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drawings/drawing1.xml" ContentType="application/vnd.openxmlformats-officedocument.drawing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drawings/drawing2.xml" ContentType="application/vnd.openxmlformats-officedocument.drawing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drawings/drawing3.xml" ContentType="application/vnd.openxmlformats-officedocument.drawing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/>
  <bookViews>
    <workbookView xWindow="-15" yWindow="-15" windowWidth="11520" windowHeight="9285" tabRatio="904" firstSheet="1" activeTab="32"/>
  </bookViews>
  <sheets>
    <sheet name="7收" sheetId="119" r:id="rId1"/>
    <sheet name="8收" sheetId="129" r:id="rId2"/>
    <sheet name="9收" sheetId="138" r:id="rId3"/>
    <sheet name="7票" sheetId="124" r:id="rId4"/>
    <sheet name="8票" sheetId="130" r:id="rId5"/>
    <sheet name="9票" sheetId="139" r:id="rId6"/>
    <sheet name="7銀" sheetId="123" r:id="rId7"/>
    <sheet name="8銀" sheetId="128" r:id="rId8"/>
    <sheet name="9銀" sheetId="137" r:id="rId9"/>
    <sheet name="7零0" sheetId="121" r:id="rId10"/>
    <sheet name="7零" sheetId="122" r:id="rId11"/>
    <sheet name="8零0" sheetId="131" r:id="rId12"/>
    <sheet name="8零" sheetId="132" r:id="rId13"/>
    <sheet name="9零0" sheetId="140" r:id="rId14"/>
    <sheet name="9零" sheetId="142" r:id="rId15"/>
    <sheet name="6薪" sheetId="110" state="hidden" r:id="rId16"/>
    <sheet name="7薪" sheetId="120" r:id="rId17"/>
    <sheet name="8薪" sheetId="133" r:id="rId18"/>
    <sheet name="9薪" sheetId="141" r:id="rId19"/>
    <sheet name="6卡" sheetId="112" state="hidden" r:id="rId20"/>
    <sheet name="7卡" sheetId="125" r:id="rId21"/>
    <sheet name="8卡" sheetId="134" r:id="rId22"/>
    <sheet name="9卡" sheetId="143" r:id="rId23"/>
    <sheet name="7進" sheetId="126" r:id="rId24"/>
    <sheet name="8進" sheetId="135" r:id="rId25"/>
    <sheet name="9進" sheetId="144" r:id="rId26"/>
    <sheet name="存" sheetId="16" r:id="rId27"/>
    <sheet name="主機" sheetId="15" r:id="rId28"/>
    <sheet name="5正" sheetId="109" state="hidden" r:id="rId29"/>
    <sheet name="6正" sheetId="118" state="hidden" r:id="rId30"/>
    <sheet name="7正" sheetId="127" r:id="rId31"/>
    <sheet name="8正" sheetId="136" r:id="rId32"/>
    <sheet name="9正" sheetId="145" r:id="rId33"/>
    <sheet name="余額" sheetId="32" r:id="rId34"/>
    <sheet name="工作表1" sheetId="146" r:id="rId35"/>
  </sheets>
  <definedNames>
    <definedName name="_xlnm._FilterDatabase" localSheetId="28" hidden="1">'5正'!$A$1:$P$164</definedName>
    <definedName name="_xlnm._FilterDatabase" localSheetId="29" hidden="1">'6正'!$A$1:$P$155</definedName>
    <definedName name="_xlnm._FilterDatabase" localSheetId="30" hidden="1">'7正'!$A$1:$P$170</definedName>
    <definedName name="_xlnm._FilterDatabase" localSheetId="31" hidden="1">'8正'!$A$1:$S$176</definedName>
    <definedName name="_xlnm._FilterDatabase" localSheetId="4" hidden="1">'8票'!$A$1:$W$1657</definedName>
    <definedName name="_xlnm._FilterDatabase" localSheetId="7" hidden="1">'8銀'!$B$5:$H$341</definedName>
    <definedName name="_xlnm._FilterDatabase" localSheetId="32" hidden="1">'9正'!$A$1:$S$172</definedName>
    <definedName name="_xlnm._FilterDatabase" localSheetId="5" hidden="1">'9票'!$A$1:$W$1846</definedName>
    <definedName name="_xlnm._FilterDatabase" localSheetId="8" hidden="1">'9銀'!$B$5:$H$339</definedName>
  </definedNames>
  <calcPr calcId="144525"/>
</workbook>
</file>

<file path=xl/calcChain.xml><?xml version="1.0" encoding="utf-8"?>
<calcChain xmlns="http://schemas.openxmlformats.org/spreadsheetml/2006/main">
  <c r="E47" i="145" l="1"/>
  <c r="E25" i="145"/>
  <c r="F28" i="145"/>
  <c r="O1692" i="139" l="1"/>
  <c r="O1693" i="139"/>
  <c r="O1694" i="139"/>
  <c r="O1695" i="139"/>
  <c r="O1696" i="139"/>
  <c r="O1697" i="139"/>
  <c r="O1698" i="139"/>
  <c r="O1699" i="139"/>
  <c r="O1700" i="139"/>
  <c r="O1701" i="139"/>
  <c r="O1702" i="139"/>
  <c r="O1703" i="139"/>
  <c r="O1704" i="139"/>
  <c r="O1705" i="139"/>
  <c r="O1706" i="139"/>
  <c r="O1691" i="139"/>
  <c r="U1515" i="139"/>
  <c r="T1515" i="139"/>
  <c r="S1515" i="139"/>
  <c r="R1515" i="139"/>
  <c r="O1515" i="139"/>
  <c r="N1515" i="139"/>
  <c r="M1515" i="139"/>
  <c r="L1515" i="139"/>
  <c r="K1515" i="139"/>
  <c r="J1515" i="139"/>
  <c r="I1515" i="139"/>
  <c r="H1515" i="139"/>
  <c r="G1515" i="139"/>
  <c r="R1708" i="139"/>
  <c r="R1709" i="139"/>
  <c r="R1710" i="139"/>
  <c r="R1711" i="139"/>
  <c r="R1712" i="139"/>
  <c r="R1713" i="139"/>
  <c r="R1714" i="139"/>
  <c r="R1715" i="139"/>
  <c r="R1716" i="139"/>
  <c r="R1717" i="139"/>
  <c r="R1718" i="139"/>
  <c r="R1719" i="139"/>
  <c r="R1720" i="139"/>
  <c r="R1721" i="139"/>
  <c r="R1722" i="139"/>
  <c r="R1723" i="139"/>
  <c r="R1724" i="139"/>
  <c r="R1725" i="139"/>
  <c r="R1726" i="139"/>
  <c r="R1727" i="139"/>
  <c r="R1728" i="139"/>
  <c r="R1729" i="139"/>
  <c r="R1730" i="139"/>
  <c r="R1731" i="139"/>
  <c r="R1732" i="139"/>
  <c r="R1733" i="139"/>
  <c r="R1734" i="139"/>
  <c r="R1735" i="139"/>
  <c r="R1736" i="139"/>
  <c r="R1737" i="139"/>
  <c r="R1738" i="139"/>
  <c r="R1739" i="139"/>
  <c r="R1740" i="139"/>
  <c r="R1741" i="139"/>
  <c r="R1742" i="139"/>
  <c r="R1743" i="139"/>
  <c r="R1744" i="139"/>
  <c r="R1745" i="139"/>
  <c r="R1746" i="139"/>
  <c r="R1747" i="139"/>
  <c r="R1748" i="139"/>
  <c r="R1749" i="139"/>
  <c r="R1750" i="139"/>
  <c r="R1751" i="139"/>
  <c r="R1752" i="139"/>
  <c r="R1753" i="139"/>
  <c r="R1754" i="139"/>
  <c r="R1755" i="139"/>
  <c r="R1756" i="139"/>
  <c r="R1757" i="139"/>
  <c r="R1758" i="139"/>
  <c r="R1759" i="139"/>
  <c r="R1760" i="139"/>
  <c r="R1761" i="139"/>
  <c r="R1762" i="139"/>
  <c r="R1763" i="139"/>
  <c r="R1764" i="139"/>
  <c r="R1765" i="139"/>
  <c r="R1766" i="139"/>
  <c r="R1767" i="139"/>
  <c r="R1768" i="139"/>
  <c r="R1769" i="139"/>
  <c r="R1770" i="139"/>
  <c r="R1771" i="139"/>
  <c r="R1772" i="139"/>
  <c r="R1773" i="139"/>
  <c r="R1774" i="139"/>
  <c r="R1775" i="139"/>
  <c r="R1776" i="139"/>
  <c r="R1777" i="139"/>
  <c r="R1778" i="139"/>
  <c r="R1779" i="139"/>
  <c r="R1780" i="139"/>
  <c r="R1781" i="139"/>
  <c r="R1782" i="139"/>
  <c r="R1783" i="139"/>
  <c r="R1784" i="139"/>
  <c r="R1785" i="139"/>
  <c r="R1786" i="139"/>
  <c r="R1787" i="139"/>
  <c r="R1788" i="139"/>
  <c r="R1789" i="139"/>
  <c r="R1790" i="139"/>
  <c r="R1791" i="139"/>
  <c r="R1792" i="139"/>
  <c r="R1793" i="139"/>
  <c r="R1794" i="139"/>
  <c r="R1795" i="139"/>
  <c r="R1796" i="139"/>
  <c r="R1797" i="139"/>
  <c r="R1798" i="139"/>
  <c r="R1799" i="139"/>
  <c r="R1800" i="139"/>
  <c r="R1801" i="139"/>
  <c r="R1802" i="139"/>
  <c r="R1803" i="139"/>
  <c r="R1804" i="139"/>
  <c r="R1805" i="139"/>
  <c r="R1806" i="139"/>
  <c r="R1807" i="139"/>
  <c r="R1808" i="139"/>
  <c r="R1809" i="139"/>
  <c r="R1810" i="139"/>
  <c r="R1707" i="139"/>
  <c r="E5" i="145" l="1"/>
  <c r="E4" i="145"/>
  <c r="E3" i="145"/>
  <c r="C45" i="32"/>
  <c r="C44" i="32"/>
  <c r="C43" i="32"/>
  <c r="C42" i="32"/>
  <c r="C41" i="32"/>
  <c r="C20" i="32"/>
  <c r="C3" i="32"/>
  <c r="E144" i="145" l="1"/>
  <c r="E136" i="145"/>
  <c r="G115" i="145"/>
  <c r="S1161" i="124" l="1"/>
  <c r="V20" i="143" l="1"/>
  <c r="X22" i="143"/>
  <c r="X23" i="143"/>
  <c r="F162" i="145" l="1"/>
  <c r="F158" i="145"/>
  <c r="F156" i="145"/>
  <c r="F154" i="145"/>
  <c r="F152" i="145"/>
  <c r="F150" i="145"/>
  <c r="F147" i="145"/>
  <c r="F145" i="145"/>
  <c r="F143" i="145"/>
  <c r="F141" i="145"/>
  <c r="E138" i="145"/>
  <c r="F137" i="145"/>
  <c r="F134" i="145"/>
  <c r="F132" i="145"/>
  <c r="F122" i="145"/>
  <c r="F118" i="145"/>
  <c r="E100" i="145"/>
  <c r="E97" i="145"/>
  <c r="F95" i="145"/>
  <c r="E90" i="145"/>
  <c r="O28" i="145" s="1"/>
  <c r="G83" i="145"/>
  <c r="F78" i="145"/>
  <c r="G78" i="145" s="1"/>
  <c r="F69" i="145"/>
  <c r="F67" i="145"/>
  <c r="F65" i="145"/>
  <c r="F62" i="145"/>
  <c r="F60" i="145"/>
  <c r="F58" i="145"/>
  <c r="F56" i="145"/>
  <c r="O46" i="145"/>
  <c r="E45" i="145"/>
  <c r="K29" i="145" s="1"/>
  <c r="E43" i="145"/>
  <c r="F42" i="145"/>
  <c r="O40" i="145"/>
  <c r="O33" i="145"/>
  <c r="O34" i="145" s="1"/>
  <c r="F32" i="145"/>
  <c r="F30" i="145"/>
  <c r="O29" i="145"/>
  <c r="K28" i="145"/>
  <c r="O27" i="145"/>
  <c r="K27" i="145"/>
  <c r="K26" i="145"/>
  <c r="K25" i="145"/>
  <c r="K24" i="145"/>
  <c r="K23" i="145"/>
  <c r="O22" i="145"/>
  <c r="K22" i="145"/>
  <c r="K21" i="145"/>
  <c r="F21" i="145"/>
  <c r="F19" i="145"/>
  <c r="O18" i="145"/>
  <c r="O15" i="145"/>
  <c r="K14" i="145"/>
  <c r="O13" i="145"/>
  <c r="K13" i="145"/>
  <c r="K8" i="145"/>
  <c r="O7" i="145"/>
  <c r="D3" i="15"/>
  <c r="D2" i="15"/>
  <c r="C2" i="15"/>
  <c r="Q11" i="16"/>
  <c r="D11" i="16"/>
  <c r="B11" i="16" s="1"/>
  <c r="Q8" i="16"/>
  <c r="B8" i="16"/>
  <c r="D4" i="16"/>
  <c r="D3" i="16"/>
  <c r="D6" i="144"/>
  <c r="E12" i="144"/>
  <c r="D11" i="144"/>
  <c r="D10" i="144"/>
  <c r="D9" i="144"/>
  <c r="D8" i="144"/>
  <c r="D7" i="144"/>
  <c r="D5" i="144"/>
  <c r="D4" i="144"/>
  <c r="D3" i="144"/>
  <c r="H227" i="144"/>
  <c r="G227" i="144"/>
  <c r="F226" i="144"/>
  <c r="F225" i="144"/>
  <c r="F224" i="144"/>
  <c r="F223" i="144"/>
  <c r="F222" i="144"/>
  <c r="F221" i="144"/>
  <c r="F220" i="144"/>
  <c r="F219" i="144"/>
  <c r="H216" i="144"/>
  <c r="G216" i="144"/>
  <c r="F216" i="144"/>
  <c r="F215" i="144"/>
  <c r="F214" i="144"/>
  <c r="F213" i="144"/>
  <c r="F211" i="144"/>
  <c r="F208" i="144"/>
  <c r="F207" i="144"/>
  <c r="F206" i="144"/>
  <c r="F205" i="144"/>
  <c r="F209" i="144" s="1"/>
  <c r="F217" i="144" s="1"/>
  <c r="F203" i="144"/>
  <c r="F202" i="144"/>
  <c r="F201" i="144"/>
  <c r="F200" i="144"/>
  <c r="F199" i="144"/>
  <c r="H194" i="144"/>
  <c r="G194" i="144"/>
  <c r="F194" i="144"/>
  <c r="F190" i="144"/>
  <c r="E189" i="144"/>
  <c r="E188" i="144"/>
  <c r="E187" i="144"/>
  <c r="E186" i="144"/>
  <c r="E185" i="144"/>
  <c r="F145" i="144"/>
  <c r="D145" i="144"/>
  <c r="E145" i="144" s="1"/>
  <c r="F144" i="144"/>
  <c r="E144" i="144" s="1"/>
  <c r="D144" i="144"/>
  <c r="F143" i="144"/>
  <c r="E143" i="144"/>
  <c r="D143" i="144"/>
  <c r="E140" i="144"/>
  <c r="D139" i="144"/>
  <c r="D138" i="144"/>
  <c r="D137" i="144"/>
  <c r="D136" i="144"/>
  <c r="D135" i="144"/>
  <c r="D134" i="144"/>
  <c r="D133" i="144"/>
  <c r="E130" i="144"/>
  <c r="D129" i="144"/>
  <c r="D128" i="144"/>
  <c r="D127" i="144"/>
  <c r="D126" i="144"/>
  <c r="D125" i="144"/>
  <c r="D124" i="144"/>
  <c r="D123" i="144"/>
  <c r="D122" i="144"/>
  <c r="E119" i="144"/>
  <c r="D118" i="144"/>
  <c r="D117" i="144"/>
  <c r="D116" i="144"/>
  <c r="D115" i="144"/>
  <c r="D114" i="144"/>
  <c r="D113" i="144"/>
  <c r="D112" i="144"/>
  <c r="D111" i="144"/>
  <c r="D110" i="144"/>
  <c r="E107" i="144"/>
  <c r="D106" i="144"/>
  <c r="D105" i="144"/>
  <c r="D104" i="144"/>
  <c r="D103" i="144"/>
  <c r="D102" i="144"/>
  <c r="D101" i="144"/>
  <c r="D100" i="144"/>
  <c r="D99" i="144"/>
  <c r="E96" i="144"/>
  <c r="D95" i="144"/>
  <c r="D94" i="144"/>
  <c r="D93" i="144"/>
  <c r="D92" i="144"/>
  <c r="D91" i="144"/>
  <c r="D90" i="144"/>
  <c r="D89" i="144"/>
  <c r="D88" i="144"/>
  <c r="D87" i="144"/>
  <c r="E84" i="144"/>
  <c r="D83" i="144"/>
  <c r="D82" i="144"/>
  <c r="D81" i="144"/>
  <c r="D80" i="144"/>
  <c r="D79" i="144"/>
  <c r="D78" i="144"/>
  <c r="D77" i="144"/>
  <c r="D76" i="144"/>
  <c r="D75" i="144"/>
  <c r="E72" i="144"/>
  <c r="D71" i="144"/>
  <c r="D70" i="144"/>
  <c r="D69" i="144"/>
  <c r="D68" i="144"/>
  <c r="D67" i="144"/>
  <c r="D66" i="144"/>
  <c r="D65" i="144"/>
  <c r="D64" i="144"/>
  <c r="D63" i="144"/>
  <c r="E60" i="144"/>
  <c r="D59" i="144"/>
  <c r="D58" i="144"/>
  <c r="D57" i="144"/>
  <c r="D56" i="144"/>
  <c r="D55" i="144"/>
  <c r="D54" i="144"/>
  <c r="D53" i="144"/>
  <c r="D52" i="144"/>
  <c r="D51" i="144"/>
  <c r="E47" i="144"/>
  <c r="E48" i="144" s="1"/>
  <c r="D47" i="144"/>
  <c r="D46" i="144"/>
  <c r="D45" i="144"/>
  <c r="D44" i="144"/>
  <c r="D43" i="144"/>
  <c r="D42" i="144"/>
  <c r="D41" i="144"/>
  <c r="D40" i="144"/>
  <c r="D39" i="144"/>
  <c r="E35" i="144"/>
  <c r="E36" i="144" s="1"/>
  <c r="D34" i="144"/>
  <c r="D33" i="144"/>
  <c r="D32" i="144"/>
  <c r="D31" i="144"/>
  <c r="D30" i="144"/>
  <c r="D29" i="144"/>
  <c r="D28" i="144"/>
  <c r="D27" i="144"/>
  <c r="E24" i="144"/>
  <c r="D23" i="144"/>
  <c r="D22" i="144"/>
  <c r="D21" i="144"/>
  <c r="D20" i="144"/>
  <c r="D19" i="144"/>
  <c r="D18" i="144"/>
  <c r="D17" i="144"/>
  <c r="D16" i="144"/>
  <c r="D15" i="144"/>
  <c r="F44" i="145" l="1"/>
  <c r="O4" i="145"/>
  <c r="C40" i="32" s="1"/>
  <c r="C47" i="32" s="1"/>
  <c r="O14" i="145"/>
  <c r="D4" i="15"/>
  <c r="D6" i="15" s="1"/>
  <c r="H5" i="15" s="1"/>
  <c r="D35" i="144"/>
  <c r="F196" i="144"/>
  <c r="F227" i="144"/>
  <c r="F228" i="144" s="1"/>
  <c r="D5" i="16"/>
  <c r="B5" i="16" s="1"/>
  <c r="K4" i="145"/>
  <c r="C5" i="32" s="1"/>
  <c r="C11" i="32" s="1"/>
  <c r="G32" i="145"/>
  <c r="P46" i="145"/>
  <c r="K12" i="145"/>
  <c r="K15" i="145" s="1"/>
  <c r="K33" i="145"/>
  <c r="P34" i="145"/>
  <c r="G21" i="145"/>
  <c r="P40" i="145"/>
  <c r="G122" i="145"/>
  <c r="F46" i="145"/>
  <c r="G134" i="145"/>
  <c r="G162" i="145"/>
  <c r="G102" i="145"/>
  <c r="G69" i="145"/>
  <c r="O30" i="145"/>
  <c r="K30" i="145" s="1"/>
  <c r="P30" i="145" s="1"/>
  <c r="F93" i="145"/>
  <c r="F139" i="145"/>
  <c r="O5" i="145" s="1"/>
  <c r="F37" i="145"/>
  <c r="F3" i="15"/>
  <c r="Q1" i="143"/>
  <c r="U21" i="143"/>
  <c r="G50" i="145" l="1"/>
  <c r="O12" i="145"/>
  <c r="P18" i="145" s="1"/>
  <c r="G147" i="145"/>
  <c r="K19" i="145"/>
  <c r="K20" i="145" s="1"/>
  <c r="X21" i="143"/>
  <c r="U20" i="143"/>
  <c r="G95" i="145"/>
  <c r="G37" i="145"/>
  <c r="X29" i="143"/>
  <c r="L12" i="143"/>
  <c r="T12" i="143"/>
  <c r="J12" i="143"/>
  <c r="H12" i="143"/>
  <c r="F12" i="143"/>
  <c r="U12" i="143" s="1"/>
  <c r="X12" i="143" s="1"/>
  <c r="D12" i="143"/>
  <c r="L18" i="143"/>
  <c r="U18" i="143" s="1"/>
  <c r="N9" i="143"/>
  <c r="L9" i="143"/>
  <c r="U9" i="143" s="1"/>
  <c r="N10" i="143"/>
  <c r="X18" i="143" l="1"/>
  <c r="X13" i="143"/>
  <c r="U13" i="143"/>
  <c r="X35" i="143"/>
  <c r="F53" i="143" s="1"/>
  <c r="N19" i="143"/>
  <c r="N16" i="143"/>
  <c r="P11" i="143"/>
  <c r="U28" i="143"/>
  <c r="U27" i="143"/>
  <c r="J8" i="143"/>
  <c r="N7" i="143"/>
  <c r="L7" i="143"/>
  <c r="L6" i="143"/>
  <c r="H6" i="143"/>
  <c r="P6" i="143"/>
  <c r="N6" i="143"/>
  <c r="J6" i="143"/>
  <c r="D6" i="143"/>
  <c r="D5" i="143"/>
  <c r="T4" i="143"/>
  <c r="J4" i="143"/>
  <c r="L4" i="143"/>
  <c r="U26" i="143"/>
  <c r="J3" i="143"/>
  <c r="L3" i="143"/>
  <c r="W108" i="143" l="1"/>
  <c r="V108" i="143"/>
  <c r="U108" i="143"/>
  <c r="X107" i="143"/>
  <c r="X106" i="143"/>
  <c r="X105" i="143"/>
  <c r="X104" i="143"/>
  <c r="X103" i="143"/>
  <c r="X102" i="143"/>
  <c r="W101" i="143"/>
  <c r="V101" i="143"/>
  <c r="U101" i="143"/>
  <c r="X100" i="143"/>
  <c r="X99" i="143"/>
  <c r="X98" i="143"/>
  <c r="X97" i="143"/>
  <c r="X96" i="143"/>
  <c r="X95" i="143"/>
  <c r="V94" i="143"/>
  <c r="U94" i="143"/>
  <c r="U109" i="143" s="1"/>
  <c r="W93" i="143"/>
  <c r="X93" i="143" s="1"/>
  <c r="W92" i="143"/>
  <c r="X92" i="143" s="1"/>
  <c r="W91" i="143"/>
  <c r="X91" i="143" s="1"/>
  <c r="W90" i="143"/>
  <c r="X90" i="143" s="1"/>
  <c r="W89" i="143"/>
  <c r="X89" i="143" s="1"/>
  <c r="W88" i="143"/>
  <c r="X88" i="143" s="1"/>
  <c r="W87" i="143"/>
  <c r="X87" i="143" s="1"/>
  <c r="W86" i="143"/>
  <c r="X86" i="143" s="1"/>
  <c r="W85" i="143"/>
  <c r="X85" i="143" s="1"/>
  <c r="W84" i="143"/>
  <c r="X84" i="143" s="1"/>
  <c r="W83" i="143"/>
  <c r="X83" i="143" s="1"/>
  <c r="W82" i="143"/>
  <c r="X82" i="143" s="1"/>
  <c r="W81" i="143"/>
  <c r="X81" i="143" s="1"/>
  <c r="W80" i="143"/>
  <c r="X80" i="143" s="1"/>
  <c r="W79" i="143"/>
  <c r="X79" i="143" s="1"/>
  <c r="W78" i="143"/>
  <c r="X78" i="143" s="1"/>
  <c r="W77" i="143"/>
  <c r="X77" i="143" s="1"/>
  <c r="W76" i="143"/>
  <c r="X76" i="143" s="1"/>
  <c r="W75" i="143"/>
  <c r="X75" i="143" s="1"/>
  <c r="W74" i="143"/>
  <c r="X74" i="143" s="1"/>
  <c r="W73" i="143"/>
  <c r="X73" i="143" s="1"/>
  <c r="W72" i="143"/>
  <c r="X72" i="143" s="1"/>
  <c r="W71" i="143"/>
  <c r="X71" i="143" s="1"/>
  <c r="W70" i="143"/>
  <c r="X70" i="143" s="1"/>
  <c r="W69" i="143"/>
  <c r="X69" i="143" s="1"/>
  <c r="W68" i="143"/>
  <c r="X68" i="143" s="1"/>
  <c r="W67" i="143"/>
  <c r="X67" i="143" s="1"/>
  <c r="W66" i="143"/>
  <c r="X66" i="143" s="1"/>
  <c r="W65" i="143"/>
  <c r="X65" i="143" s="1"/>
  <c r="W64" i="143"/>
  <c r="X64" i="143" s="1"/>
  <c r="W63" i="143"/>
  <c r="X63" i="143" s="1"/>
  <c r="W62" i="143"/>
  <c r="X62" i="143" s="1"/>
  <c r="W61" i="143"/>
  <c r="X61" i="143" s="1"/>
  <c r="W60" i="143"/>
  <c r="X60" i="143" s="1"/>
  <c r="W59" i="143"/>
  <c r="X59" i="143" s="1"/>
  <c r="W58" i="143"/>
  <c r="D54" i="143"/>
  <c r="X34" i="143"/>
  <c r="X33" i="143"/>
  <c r="X32" i="143"/>
  <c r="X30" i="143"/>
  <c r="X28" i="143"/>
  <c r="F49" i="143" s="1"/>
  <c r="X27" i="143"/>
  <c r="X26" i="143"/>
  <c r="F40" i="143" s="1"/>
  <c r="X25" i="143"/>
  <c r="F38" i="143" s="1"/>
  <c r="R1" i="143"/>
  <c r="U16" i="143"/>
  <c r="X16" i="143" s="1"/>
  <c r="U11" i="143"/>
  <c r="X11" i="143" s="1"/>
  <c r="U10" i="143"/>
  <c r="X10" i="143" s="1"/>
  <c r="F47" i="143" s="1"/>
  <c r="U8" i="143"/>
  <c r="X8" i="143" s="1"/>
  <c r="U7" i="143"/>
  <c r="X7" i="143" s="1"/>
  <c r="U6" i="143"/>
  <c r="X6" i="143" s="1"/>
  <c r="T1" i="143"/>
  <c r="J1" i="143"/>
  <c r="H1" i="143"/>
  <c r="U4" i="143"/>
  <c r="X4" i="143" s="1"/>
  <c r="V1" i="143"/>
  <c r="S1" i="143"/>
  <c r="O1" i="143"/>
  <c r="M1" i="143"/>
  <c r="K1" i="143"/>
  <c r="I1" i="143"/>
  <c r="G1" i="143"/>
  <c r="F1" i="143"/>
  <c r="E1" i="143"/>
  <c r="D1" i="143"/>
  <c r="C1" i="143"/>
  <c r="B98" i="142"/>
  <c r="B72" i="142"/>
  <c r="B67" i="142"/>
  <c r="B56" i="142"/>
  <c r="B54" i="142"/>
  <c r="B47" i="142"/>
  <c r="B34" i="142"/>
  <c r="T1658" i="139"/>
  <c r="S1658" i="139"/>
  <c r="N1658" i="139"/>
  <c r="M1658" i="139"/>
  <c r="L1658" i="139"/>
  <c r="K1658" i="139"/>
  <c r="J1658" i="139"/>
  <c r="I1658" i="139"/>
  <c r="H1658" i="139"/>
  <c r="G1658" i="139"/>
  <c r="B78" i="141"/>
  <c r="B79" i="141" s="1"/>
  <c r="B75" i="141"/>
  <c r="C66" i="141"/>
  <c r="H60" i="141"/>
  <c r="C59" i="141"/>
  <c r="H58" i="141"/>
  <c r="H57" i="141"/>
  <c r="C56" i="141"/>
  <c r="H56" i="141" s="1"/>
  <c r="H55" i="141"/>
  <c r="C55" i="141"/>
  <c r="C54" i="141"/>
  <c r="C53" i="141" s="1"/>
  <c r="C65" i="141"/>
  <c r="H50" i="141"/>
  <c r="H49" i="141"/>
  <c r="C47" i="141"/>
  <c r="K46" i="141"/>
  <c r="H46" i="141"/>
  <c r="C46" i="141"/>
  <c r="C45" i="141" s="1"/>
  <c r="F44" i="141"/>
  <c r="E44" i="141"/>
  <c r="D44" i="141"/>
  <c r="C44" i="141"/>
  <c r="C64" i="141" s="1"/>
  <c r="F43" i="141"/>
  <c r="E43" i="141"/>
  <c r="D43" i="141"/>
  <c r="C43" i="141"/>
  <c r="F42" i="141"/>
  <c r="E42" i="141"/>
  <c r="D42" i="141"/>
  <c r="D41" i="141" s="1"/>
  <c r="C42" i="141"/>
  <c r="G41" i="141"/>
  <c r="F41" i="141"/>
  <c r="E41" i="141"/>
  <c r="I40" i="141"/>
  <c r="H40" i="141"/>
  <c r="H39" i="141"/>
  <c r="I39" i="141" s="1"/>
  <c r="I38" i="141"/>
  <c r="H38" i="141"/>
  <c r="H37" i="141"/>
  <c r="H36" i="141"/>
  <c r="I35" i="141"/>
  <c r="H35" i="141"/>
  <c r="H34" i="141"/>
  <c r="H33" i="141"/>
  <c r="I32" i="141"/>
  <c r="H32" i="141"/>
  <c r="H31" i="141"/>
  <c r="H30" i="141"/>
  <c r="I29" i="141"/>
  <c r="H29" i="141"/>
  <c r="H28" i="141"/>
  <c r="H27" i="141"/>
  <c r="I26" i="141"/>
  <c r="H26" i="141"/>
  <c r="H25" i="141"/>
  <c r="H24" i="141"/>
  <c r="I23" i="141"/>
  <c r="H23" i="141"/>
  <c r="H22" i="141"/>
  <c r="H21" i="141"/>
  <c r="I20" i="141"/>
  <c r="H20" i="141"/>
  <c r="H19" i="141"/>
  <c r="H18" i="141"/>
  <c r="I17" i="141"/>
  <c r="H17" i="141"/>
  <c r="H16" i="141"/>
  <c r="H15" i="141"/>
  <c r="I14" i="141"/>
  <c r="H14" i="141"/>
  <c r="H13" i="141"/>
  <c r="H12" i="141"/>
  <c r="I11" i="141"/>
  <c r="H11" i="141"/>
  <c r="H10" i="141"/>
  <c r="H9" i="141"/>
  <c r="I8" i="141"/>
  <c r="H8" i="141"/>
  <c r="H7" i="141"/>
  <c r="H6" i="141"/>
  <c r="I5" i="141"/>
  <c r="H5" i="141"/>
  <c r="H4" i="141"/>
  <c r="H3" i="141"/>
  <c r="H1" i="141"/>
  <c r="G1" i="141"/>
  <c r="F1" i="141"/>
  <c r="E1" i="141"/>
  <c r="D1" i="141"/>
  <c r="C1" i="141"/>
  <c r="I1" i="141" l="1"/>
  <c r="H43" i="141"/>
  <c r="L1657" i="139"/>
  <c r="L1514" i="139" s="1"/>
  <c r="F42" i="143"/>
  <c r="X31" i="143"/>
  <c r="W94" i="143"/>
  <c r="X94" i="143" s="1"/>
  <c r="X101" i="143"/>
  <c r="V109" i="143"/>
  <c r="V110" i="143" s="1"/>
  <c r="F44" i="143"/>
  <c r="U15" i="143"/>
  <c r="X15" i="143" s="1"/>
  <c r="F52" i="143" s="1"/>
  <c r="U14" i="143"/>
  <c r="X14" i="143" s="1"/>
  <c r="F51" i="143" s="1"/>
  <c r="U19" i="143"/>
  <c r="X19" i="143" s="1"/>
  <c r="U5" i="143"/>
  <c r="X5" i="143" s="1"/>
  <c r="F43" i="143" s="1"/>
  <c r="W109" i="143"/>
  <c r="X108" i="143"/>
  <c r="U3" i="143"/>
  <c r="X3" i="143" s="1"/>
  <c r="F39" i="143" s="1"/>
  <c r="X9" i="143"/>
  <c r="F50" i="143" s="1"/>
  <c r="P1" i="143"/>
  <c r="X58" i="143"/>
  <c r="C62" i="141"/>
  <c r="H48" i="141"/>
  <c r="X24" i="143"/>
  <c r="N1" i="143"/>
  <c r="U17" i="143"/>
  <c r="X17" i="143" s="1"/>
  <c r="T108" i="143"/>
  <c r="T101" i="143"/>
  <c r="L1" i="143"/>
  <c r="T94" i="143"/>
  <c r="C63" i="141"/>
  <c r="C67" i="141" s="1"/>
  <c r="C41" i="141"/>
  <c r="C61" i="141" s="1"/>
  <c r="H44" i="141"/>
  <c r="H54" i="141"/>
  <c r="H51" i="141"/>
  <c r="H42" i="141"/>
  <c r="F46" i="143" l="1"/>
  <c r="F54" i="143" s="1"/>
  <c r="F56" i="143" s="1"/>
  <c r="F48" i="143"/>
  <c r="X20" i="143"/>
  <c r="V113" i="143"/>
  <c r="U1" i="143"/>
  <c r="U110" i="143" s="1"/>
  <c r="X109" i="143"/>
  <c r="X1" i="143"/>
  <c r="H41" i="141"/>
  <c r="F55" i="143" l="1"/>
  <c r="H49" i="143"/>
  <c r="H54" i="143" s="1"/>
  <c r="U113" i="143"/>
  <c r="X110" i="143"/>
  <c r="C3652" i="140"/>
  <c r="C3641" i="140"/>
  <c r="P3" i="140"/>
  <c r="H3" i="140"/>
  <c r="U1680" i="139" l="1"/>
  <c r="P1680" i="139"/>
  <c r="Q1680" i="139" s="1"/>
  <c r="O1680" i="139"/>
  <c r="U1673" i="139"/>
  <c r="P1673" i="139"/>
  <c r="Q1673" i="139" s="1"/>
  <c r="O1673" i="139"/>
  <c r="P1665" i="139"/>
  <c r="Q1665" i="139" s="1"/>
  <c r="U1665" i="139"/>
  <c r="O1665" i="139"/>
  <c r="U1690" i="139"/>
  <c r="P1690" i="139"/>
  <c r="Q1690" i="139" s="1"/>
  <c r="O1690" i="139"/>
  <c r="U1689" i="139"/>
  <c r="P1689" i="139"/>
  <c r="Q1689" i="139" s="1"/>
  <c r="O1689" i="139"/>
  <c r="U1688" i="139"/>
  <c r="P1688" i="139"/>
  <c r="Q1688" i="139" s="1"/>
  <c r="O1688" i="139"/>
  <c r="U1687" i="139"/>
  <c r="P1687" i="139"/>
  <c r="Q1687" i="139" s="1"/>
  <c r="O1687" i="139"/>
  <c r="U1686" i="139"/>
  <c r="P1686" i="139"/>
  <c r="Q1686" i="139" s="1"/>
  <c r="O1686" i="139"/>
  <c r="U1685" i="139"/>
  <c r="P1685" i="139"/>
  <c r="Q1685" i="139" s="1"/>
  <c r="O1685" i="139"/>
  <c r="U1684" i="139"/>
  <c r="Q1684" i="139"/>
  <c r="P1684" i="139"/>
  <c r="O1684" i="139"/>
  <c r="U1683" i="139"/>
  <c r="P1683" i="139"/>
  <c r="Q1683" i="139" s="1"/>
  <c r="O1683" i="139"/>
  <c r="U1682" i="139"/>
  <c r="P1682" i="139"/>
  <c r="Q1682" i="139" s="1"/>
  <c r="O1682" i="139"/>
  <c r="U1681" i="139"/>
  <c r="P1681" i="139"/>
  <c r="Q1681" i="139" s="1"/>
  <c r="O1681" i="139"/>
  <c r="U1679" i="139"/>
  <c r="P1679" i="139"/>
  <c r="Q1679" i="139" s="1"/>
  <c r="O1679" i="139"/>
  <c r="U1678" i="139"/>
  <c r="P1678" i="139"/>
  <c r="Q1678" i="139" s="1"/>
  <c r="O1678" i="139"/>
  <c r="U1677" i="139"/>
  <c r="P1677" i="139"/>
  <c r="Q1677" i="139" s="1"/>
  <c r="O1677" i="139"/>
  <c r="U1676" i="139"/>
  <c r="P1676" i="139"/>
  <c r="Q1676" i="139" s="1"/>
  <c r="O1676" i="139"/>
  <c r="U1675" i="139"/>
  <c r="Q1675" i="139"/>
  <c r="P1675" i="139"/>
  <c r="O1675" i="139"/>
  <c r="U1674" i="139"/>
  <c r="P1674" i="139"/>
  <c r="Q1674" i="139" s="1"/>
  <c r="O1674" i="139"/>
  <c r="U1672" i="139"/>
  <c r="P1672" i="139"/>
  <c r="Q1672" i="139" s="1"/>
  <c r="O1672" i="139"/>
  <c r="U1671" i="139"/>
  <c r="P1671" i="139"/>
  <c r="Q1671" i="139" s="1"/>
  <c r="O1671" i="139"/>
  <c r="U1670" i="139"/>
  <c r="P1670" i="139"/>
  <c r="Q1670" i="139" s="1"/>
  <c r="O1670" i="139"/>
  <c r="U1669" i="139"/>
  <c r="Q1669" i="139"/>
  <c r="P1669" i="139"/>
  <c r="O1669" i="139"/>
  <c r="U1668" i="139"/>
  <c r="P1668" i="139"/>
  <c r="Q1668" i="139" s="1"/>
  <c r="O1668" i="139"/>
  <c r="U1667" i="139"/>
  <c r="P1667" i="139"/>
  <c r="Q1667" i="139" s="1"/>
  <c r="O1667" i="139"/>
  <c r="U1666" i="139"/>
  <c r="P1666" i="139"/>
  <c r="Q1666" i="139" s="1"/>
  <c r="O1666" i="139"/>
  <c r="U1664" i="139"/>
  <c r="P1664" i="139"/>
  <c r="Q1664" i="139" s="1"/>
  <c r="O1664" i="139"/>
  <c r="U1663" i="139"/>
  <c r="P1663" i="139"/>
  <c r="Q1663" i="139" s="1"/>
  <c r="O1663" i="139"/>
  <c r="Q1662" i="139"/>
  <c r="P1662" i="139"/>
  <c r="U1662" i="139"/>
  <c r="O1662" i="139"/>
  <c r="Q1660" i="139"/>
  <c r="P1660" i="139"/>
  <c r="R1843" i="139"/>
  <c r="O1843" i="139"/>
  <c r="R1842" i="139"/>
  <c r="O1842" i="139"/>
  <c r="R1841" i="139"/>
  <c r="O1841" i="139"/>
  <c r="R1840" i="139"/>
  <c r="O1840" i="139"/>
  <c r="R1839" i="139"/>
  <c r="O1839" i="139"/>
  <c r="R1838" i="139"/>
  <c r="O1838" i="139"/>
  <c r="R1837" i="139"/>
  <c r="O1837" i="139"/>
  <c r="R1836" i="139"/>
  <c r="O1836" i="139"/>
  <c r="R1835" i="139"/>
  <c r="O1835" i="139"/>
  <c r="R1834" i="139"/>
  <c r="O1834" i="139"/>
  <c r="R1833" i="139"/>
  <c r="O1833" i="139"/>
  <c r="R1832" i="139"/>
  <c r="O1832" i="139"/>
  <c r="R1831" i="139"/>
  <c r="O1831" i="139"/>
  <c r="R1830" i="139"/>
  <c r="O1830" i="139"/>
  <c r="R1829" i="139"/>
  <c r="O1829" i="139"/>
  <c r="R1828" i="139"/>
  <c r="O1828" i="139"/>
  <c r="R1827" i="139"/>
  <c r="O1827" i="139"/>
  <c r="R1826" i="139"/>
  <c r="O1826" i="139"/>
  <c r="R1825" i="139"/>
  <c r="O1825" i="139"/>
  <c r="R1824" i="139"/>
  <c r="O1824" i="139"/>
  <c r="R1823" i="139"/>
  <c r="O1823" i="139"/>
  <c r="R1822" i="139"/>
  <c r="O1822" i="139"/>
  <c r="R1821" i="139"/>
  <c r="O1821" i="139"/>
  <c r="R1820" i="139"/>
  <c r="O1820" i="139"/>
  <c r="R1819" i="139"/>
  <c r="O1819" i="139"/>
  <c r="R1812" i="139" l="1"/>
  <c r="R1813" i="139"/>
  <c r="R1814" i="139"/>
  <c r="R1815" i="139"/>
  <c r="R1816" i="139"/>
  <c r="R1817" i="139"/>
  <c r="R1818" i="139"/>
  <c r="R1811" i="139"/>
  <c r="O1818" i="139"/>
  <c r="O1817" i="139"/>
  <c r="O1816" i="139"/>
  <c r="O1815" i="139"/>
  <c r="O1814" i="139"/>
  <c r="O1813" i="139"/>
  <c r="O1812" i="139"/>
  <c r="O1811" i="139"/>
  <c r="O1810" i="139"/>
  <c r="O1809" i="139"/>
  <c r="O1808" i="139"/>
  <c r="O1807" i="139"/>
  <c r="O1806" i="139"/>
  <c r="O1805" i="139"/>
  <c r="O1804" i="139"/>
  <c r="O1803" i="139"/>
  <c r="O1802" i="139"/>
  <c r="O1801" i="139"/>
  <c r="O1800" i="139"/>
  <c r="O1799" i="139"/>
  <c r="O1798" i="139"/>
  <c r="O1797" i="139"/>
  <c r="O1796" i="139"/>
  <c r="O1795" i="139"/>
  <c r="O1794" i="139"/>
  <c r="O1793" i="139"/>
  <c r="O1792" i="139"/>
  <c r="O1791" i="139"/>
  <c r="O1790" i="139"/>
  <c r="O1789" i="139"/>
  <c r="O1788" i="139"/>
  <c r="O1787" i="139"/>
  <c r="O1786" i="139"/>
  <c r="O1785" i="139"/>
  <c r="O1784" i="139"/>
  <c r="O1783" i="139"/>
  <c r="O1782" i="139"/>
  <c r="O1781" i="139"/>
  <c r="O1780" i="139"/>
  <c r="O1779" i="139"/>
  <c r="O1778" i="139"/>
  <c r="O1777" i="139"/>
  <c r="O1776" i="139"/>
  <c r="O1775" i="139"/>
  <c r="O1774" i="139"/>
  <c r="O1773" i="139"/>
  <c r="O1772" i="139"/>
  <c r="O1771" i="139"/>
  <c r="O1770" i="139"/>
  <c r="O1769" i="139"/>
  <c r="O1768" i="139"/>
  <c r="O1767" i="139"/>
  <c r="O1766" i="139"/>
  <c r="O1757" i="139"/>
  <c r="O1756" i="139"/>
  <c r="O1755" i="139"/>
  <c r="O1754" i="139"/>
  <c r="O1753" i="139"/>
  <c r="O1752" i="139"/>
  <c r="O1751" i="139"/>
  <c r="O1750" i="139"/>
  <c r="O1749" i="139"/>
  <c r="O1748" i="139"/>
  <c r="O1747" i="139"/>
  <c r="O1746" i="139"/>
  <c r="O1745" i="139"/>
  <c r="O1744" i="139"/>
  <c r="O1743" i="139"/>
  <c r="O1742" i="139"/>
  <c r="O1765" i="139"/>
  <c r="O1764" i="139"/>
  <c r="O1763" i="139"/>
  <c r="O1762" i="139"/>
  <c r="O1761" i="139"/>
  <c r="O1760" i="139"/>
  <c r="O1759" i="139"/>
  <c r="O1758" i="139"/>
  <c r="O1741" i="139"/>
  <c r="O1740" i="139"/>
  <c r="O1739" i="139"/>
  <c r="O1738" i="139"/>
  <c r="O1737" i="139"/>
  <c r="O1736" i="139"/>
  <c r="O1735" i="139"/>
  <c r="O1734" i="139"/>
  <c r="O1733" i="139"/>
  <c r="O1732" i="139"/>
  <c r="O1731" i="139"/>
  <c r="O1730" i="139"/>
  <c r="O1729" i="139"/>
  <c r="O1728" i="139"/>
  <c r="O1727" i="139"/>
  <c r="O1718" i="139"/>
  <c r="O1717" i="139"/>
  <c r="O1716" i="139"/>
  <c r="O1715" i="139"/>
  <c r="O1714" i="139"/>
  <c r="O1713" i="139"/>
  <c r="O1712" i="139"/>
  <c r="O1711" i="139"/>
  <c r="O1726" i="139" l="1"/>
  <c r="O1725" i="139"/>
  <c r="O1724" i="139"/>
  <c r="O1723" i="139"/>
  <c r="O1722" i="139"/>
  <c r="O1721" i="139"/>
  <c r="O1720" i="139"/>
  <c r="O1719" i="139"/>
  <c r="O1709" i="139"/>
  <c r="O1710" i="139"/>
  <c r="O1708" i="139"/>
  <c r="O1707" i="139"/>
  <c r="R1700" i="139" l="1"/>
  <c r="R1701" i="139"/>
  <c r="R1702" i="139"/>
  <c r="R1703" i="139"/>
  <c r="R1704" i="139"/>
  <c r="R1705" i="139"/>
  <c r="R1706" i="139"/>
  <c r="R1699" i="139"/>
  <c r="R1692" i="139"/>
  <c r="R1693" i="139"/>
  <c r="R1694" i="139"/>
  <c r="R1695" i="139"/>
  <c r="R1696" i="139"/>
  <c r="R1697" i="139"/>
  <c r="R1698" i="139"/>
  <c r="R1691" i="139"/>
  <c r="R1658" i="139" s="1"/>
  <c r="U1661" i="139"/>
  <c r="P1661" i="139"/>
  <c r="Q1661" i="139" s="1"/>
  <c r="O1661" i="139"/>
  <c r="U1660" i="139"/>
  <c r="U1658" i="139" s="1"/>
  <c r="O1660" i="139"/>
  <c r="R1654" i="139"/>
  <c r="O1654" i="139"/>
  <c r="R1653" i="139"/>
  <c r="O1653" i="139"/>
  <c r="R1652" i="139"/>
  <c r="O1652" i="139"/>
  <c r="R1651" i="139"/>
  <c r="O1651" i="139"/>
  <c r="R1650" i="139"/>
  <c r="O1650" i="139"/>
  <c r="R1649" i="139"/>
  <c r="O1649" i="139"/>
  <c r="R1648" i="139"/>
  <c r="O1648" i="139"/>
  <c r="R1647" i="139"/>
  <c r="O1647" i="139"/>
  <c r="R1646" i="139"/>
  <c r="O1646" i="139"/>
  <c r="R1645" i="139"/>
  <c r="O1645" i="139"/>
  <c r="R1644" i="139"/>
  <c r="O1644" i="139"/>
  <c r="R1643" i="139"/>
  <c r="O1643" i="139"/>
  <c r="R1642" i="139"/>
  <c r="O1642" i="139"/>
  <c r="R1641" i="139"/>
  <c r="O1641" i="139"/>
  <c r="R1640" i="139"/>
  <c r="O1640" i="139"/>
  <c r="R1639" i="139"/>
  <c r="O1639" i="139"/>
  <c r="R1638" i="139"/>
  <c r="O1638" i="139"/>
  <c r="R1637" i="139"/>
  <c r="O1637" i="139"/>
  <c r="R1636" i="139"/>
  <c r="O1636" i="139"/>
  <c r="R1635" i="139"/>
  <c r="O1635" i="139"/>
  <c r="R1634" i="139"/>
  <c r="O1634" i="139"/>
  <c r="R1633" i="139"/>
  <c r="O1633" i="139"/>
  <c r="R1632" i="139"/>
  <c r="O1632" i="139"/>
  <c r="R1631" i="139"/>
  <c r="O1631" i="139"/>
  <c r="R1630" i="139"/>
  <c r="O1630" i="139"/>
  <c r="R1629" i="139"/>
  <c r="O1629" i="139"/>
  <c r="R1628" i="139"/>
  <c r="O1628" i="139"/>
  <c r="R1627" i="139"/>
  <c r="O1627" i="139"/>
  <c r="R1626" i="139"/>
  <c r="O1626" i="139"/>
  <c r="R1625" i="139"/>
  <c r="O1625" i="139"/>
  <c r="R1624" i="139"/>
  <c r="O1624" i="139"/>
  <c r="R1623" i="139"/>
  <c r="O1623" i="139"/>
  <c r="R1622" i="139"/>
  <c r="O1622" i="139"/>
  <c r="R1621" i="139"/>
  <c r="O1621" i="139"/>
  <c r="R1620" i="139"/>
  <c r="O1620" i="139"/>
  <c r="R1619" i="139"/>
  <c r="O1619" i="139"/>
  <c r="R1618" i="139"/>
  <c r="O1618" i="139"/>
  <c r="R1617" i="139"/>
  <c r="O1617" i="139"/>
  <c r="R1616" i="139"/>
  <c r="O1616" i="139"/>
  <c r="R1615" i="139"/>
  <c r="O1615" i="139"/>
  <c r="R1614" i="139"/>
  <c r="O1614" i="139"/>
  <c r="R1613" i="139"/>
  <c r="O1613" i="139"/>
  <c r="R1612" i="139"/>
  <c r="O1612" i="139"/>
  <c r="R1611" i="139"/>
  <c r="O1611" i="139"/>
  <c r="R1610" i="139"/>
  <c r="O1610" i="139"/>
  <c r="R1609" i="139"/>
  <c r="O1609" i="139"/>
  <c r="R1608" i="139"/>
  <c r="O1608" i="139"/>
  <c r="R1607" i="139"/>
  <c r="O1607" i="139"/>
  <c r="R1606" i="139"/>
  <c r="O1606" i="139"/>
  <c r="R1605" i="139"/>
  <c r="O1605" i="139"/>
  <c r="R1604" i="139"/>
  <c r="O1604" i="139"/>
  <c r="R1603" i="139"/>
  <c r="O1603" i="139"/>
  <c r="R1602" i="139"/>
  <c r="O1602" i="139"/>
  <c r="R1601" i="139"/>
  <c r="O1601" i="139"/>
  <c r="R1600" i="139"/>
  <c r="O1600" i="139"/>
  <c r="R1599" i="139"/>
  <c r="O1599" i="139"/>
  <c r="R1598" i="139"/>
  <c r="O1598" i="139"/>
  <c r="R1597" i="139"/>
  <c r="O1597" i="139"/>
  <c r="R1596" i="139"/>
  <c r="O1596" i="139"/>
  <c r="R1595" i="139"/>
  <c r="O1595" i="139"/>
  <c r="R1594" i="139"/>
  <c r="O1594" i="139"/>
  <c r="R1593" i="139"/>
  <c r="O1593" i="139"/>
  <c r="R1592" i="139"/>
  <c r="O1592" i="139"/>
  <c r="R1591" i="139"/>
  <c r="O1591" i="139"/>
  <c r="R1590" i="139"/>
  <c r="O1590" i="139"/>
  <c r="R1589" i="139"/>
  <c r="O1589" i="139"/>
  <c r="R1588" i="139"/>
  <c r="O1588" i="139"/>
  <c r="R1587" i="139"/>
  <c r="O1587" i="139"/>
  <c r="R1586" i="139"/>
  <c r="O1586" i="139"/>
  <c r="R1585" i="139"/>
  <c r="O1585" i="139"/>
  <c r="R1584" i="139"/>
  <c r="O1584" i="139"/>
  <c r="R1583" i="139"/>
  <c r="O1583" i="139"/>
  <c r="R1582" i="139"/>
  <c r="O1582" i="139"/>
  <c r="R1581" i="139"/>
  <c r="O1581" i="139"/>
  <c r="R1580" i="139"/>
  <c r="O1580" i="139"/>
  <c r="R1579" i="139"/>
  <c r="O1579" i="139"/>
  <c r="R1578" i="139"/>
  <c r="O1578" i="139"/>
  <c r="R1577" i="139"/>
  <c r="O1577" i="139"/>
  <c r="R1576" i="139"/>
  <c r="O1576" i="139"/>
  <c r="R1575" i="139"/>
  <c r="O1575" i="139"/>
  <c r="R1574" i="139"/>
  <c r="O1574" i="139"/>
  <c r="R1573" i="139"/>
  <c r="O1573" i="139"/>
  <c r="R1572" i="139"/>
  <c r="O1572" i="139"/>
  <c r="R1571" i="139"/>
  <c r="O1571" i="139"/>
  <c r="R1570" i="139"/>
  <c r="O1570" i="139"/>
  <c r="R1569" i="139"/>
  <c r="O1569" i="139"/>
  <c r="R1568" i="139"/>
  <c r="O1568" i="139"/>
  <c r="R1567" i="139"/>
  <c r="O1567" i="139"/>
  <c r="R1566" i="139"/>
  <c r="O1566" i="139"/>
  <c r="R1565" i="139"/>
  <c r="O1565" i="139"/>
  <c r="R1564" i="139"/>
  <c r="O1564" i="139"/>
  <c r="R1563" i="139"/>
  <c r="O1563" i="139"/>
  <c r="R1562" i="139"/>
  <c r="O1562" i="139"/>
  <c r="R1561" i="139"/>
  <c r="O1561" i="139"/>
  <c r="R1560" i="139"/>
  <c r="O1560" i="139"/>
  <c r="R1559" i="139"/>
  <c r="O1559" i="139"/>
  <c r="R1558" i="139"/>
  <c r="O1558" i="139"/>
  <c r="R1557" i="139"/>
  <c r="O1557" i="139"/>
  <c r="R1556" i="139"/>
  <c r="O1556" i="139"/>
  <c r="R1555" i="139"/>
  <c r="O1555" i="139"/>
  <c r="R1554" i="139"/>
  <c r="O1554" i="139"/>
  <c r="U1553" i="139"/>
  <c r="P1553" i="139"/>
  <c r="Q1553" i="139" s="1"/>
  <c r="O1553" i="139"/>
  <c r="U1552" i="139"/>
  <c r="P1552" i="139"/>
  <c r="Q1552" i="139" s="1"/>
  <c r="O1552" i="139"/>
  <c r="U1551" i="139"/>
  <c r="O1551" i="139"/>
  <c r="U1550" i="139"/>
  <c r="P1550" i="139"/>
  <c r="Q1550" i="139" s="1"/>
  <c r="O1550" i="139"/>
  <c r="U1549" i="139"/>
  <c r="P1549" i="139"/>
  <c r="Q1549" i="139" s="1"/>
  <c r="O1549" i="139"/>
  <c r="U1548" i="139"/>
  <c r="P1548" i="139"/>
  <c r="Q1548" i="139" s="1"/>
  <c r="O1548" i="139"/>
  <c r="U1547" i="139"/>
  <c r="P1547" i="139"/>
  <c r="Q1547" i="139" s="1"/>
  <c r="O1547" i="139"/>
  <c r="U1546" i="139"/>
  <c r="P1546" i="139"/>
  <c r="Q1546" i="139" s="1"/>
  <c r="O1546" i="139"/>
  <c r="U1545" i="139"/>
  <c r="Q1545" i="139"/>
  <c r="P1545" i="139"/>
  <c r="O1545" i="139"/>
  <c r="U1544" i="139"/>
  <c r="P1544" i="139"/>
  <c r="Q1544" i="139" s="1"/>
  <c r="O1544" i="139"/>
  <c r="U1543" i="139"/>
  <c r="P1543" i="139"/>
  <c r="Q1543" i="139" s="1"/>
  <c r="O1543" i="139"/>
  <c r="U1542" i="139"/>
  <c r="P1542" i="139"/>
  <c r="Q1542" i="139" s="1"/>
  <c r="O1542" i="139"/>
  <c r="U1541" i="139"/>
  <c r="P1541" i="139"/>
  <c r="Q1541" i="139" s="1"/>
  <c r="O1541" i="139"/>
  <c r="U1540" i="139"/>
  <c r="P1540" i="139"/>
  <c r="Q1540" i="139" s="1"/>
  <c r="O1540" i="139"/>
  <c r="U1539" i="139"/>
  <c r="P1539" i="139"/>
  <c r="Q1539" i="139" s="1"/>
  <c r="O1539" i="139"/>
  <c r="U1538" i="139"/>
  <c r="Q1538" i="139"/>
  <c r="P1538" i="139"/>
  <c r="O1538" i="139"/>
  <c r="U1537" i="139"/>
  <c r="P1537" i="139"/>
  <c r="Q1537" i="139" s="1"/>
  <c r="O1537" i="139"/>
  <c r="U1536" i="139"/>
  <c r="Q1536" i="139"/>
  <c r="P1536" i="139"/>
  <c r="O1536" i="139"/>
  <c r="U1535" i="139"/>
  <c r="P1535" i="139"/>
  <c r="Q1535" i="139" s="1"/>
  <c r="O1535" i="139"/>
  <c r="U1534" i="139"/>
  <c r="P1534" i="139"/>
  <c r="Q1534" i="139" s="1"/>
  <c r="O1534" i="139"/>
  <c r="U1533" i="139"/>
  <c r="O1533" i="139"/>
  <c r="U1532" i="139"/>
  <c r="P1532" i="139"/>
  <c r="Q1532" i="139" s="1"/>
  <c r="O1532" i="139"/>
  <c r="U1531" i="139"/>
  <c r="P1531" i="139"/>
  <c r="Q1531" i="139" s="1"/>
  <c r="O1531" i="139"/>
  <c r="U1530" i="139"/>
  <c r="Q1530" i="139"/>
  <c r="P1530" i="139"/>
  <c r="O1530" i="139"/>
  <c r="U1529" i="139"/>
  <c r="P1529" i="139"/>
  <c r="Q1529" i="139" s="1"/>
  <c r="O1529" i="139"/>
  <c r="U1528" i="139"/>
  <c r="P1528" i="139"/>
  <c r="Q1528" i="139" s="1"/>
  <c r="O1528" i="139"/>
  <c r="U1527" i="139"/>
  <c r="Q1527" i="139"/>
  <c r="P1527" i="139"/>
  <c r="O1527" i="139"/>
  <c r="U1526" i="139"/>
  <c r="P1526" i="139"/>
  <c r="Q1526" i="139" s="1"/>
  <c r="O1526" i="139"/>
  <c r="U1525" i="139"/>
  <c r="P1525" i="139"/>
  <c r="Q1525" i="139" s="1"/>
  <c r="O1525" i="139"/>
  <c r="U1524" i="139"/>
  <c r="P1524" i="139"/>
  <c r="Q1524" i="139" s="1"/>
  <c r="O1524" i="139"/>
  <c r="U1523" i="139"/>
  <c r="P1523" i="139"/>
  <c r="Q1523" i="139" s="1"/>
  <c r="O1523" i="139"/>
  <c r="U1522" i="139"/>
  <c r="O1522" i="139"/>
  <c r="U1521" i="139"/>
  <c r="P1521" i="139"/>
  <c r="Q1521" i="139" s="1"/>
  <c r="O1521" i="139"/>
  <c r="U1520" i="139"/>
  <c r="Q1520" i="139"/>
  <c r="P1520" i="139"/>
  <c r="O1520" i="139"/>
  <c r="U1519" i="139"/>
  <c r="Q1519" i="139"/>
  <c r="P1519" i="139"/>
  <c r="O1519" i="139"/>
  <c r="U1518" i="139"/>
  <c r="P1518" i="139"/>
  <c r="Q1518" i="139" s="1"/>
  <c r="O1518" i="139"/>
  <c r="U1517" i="139"/>
  <c r="O1517" i="139"/>
  <c r="R1511" i="139"/>
  <c r="O1511" i="139"/>
  <c r="R1510" i="139"/>
  <c r="O1510" i="139"/>
  <c r="R1509" i="139"/>
  <c r="O1509" i="139"/>
  <c r="R1508" i="139"/>
  <c r="O1508" i="139"/>
  <c r="R1507" i="139"/>
  <c r="O1507" i="139"/>
  <c r="R1506" i="139"/>
  <c r="O1506" i="139"/>
  <c r="R1505" i="139"/>
  <c r="O1505" i="139"/>
  <c r="R1504" i="139"/>
  <c r="O1504" i="139"/>
  <c r="R1503" i="139"/>
  <c r="O1503" i="139"/>
  <c r="R1502" i="139"/>
  <c r="O1502" i="139"/>
  <c r="R1501" i="139"/>
  <c r="O1501" i="139"/>
  <c r="R1500" i="139"/>
  <c r="O1500" i="139"/>
  <c r="R1499" i="139"/>
  <c r="O1499" i="139"/>
  <c r="R1498" i="139"/>
  <c r="O1498" i="139"/>
  <c r="R1497" i="139"/>
  <c r="O1497" i="139"/>
  <c r="R1496" i="139"/>
  <c r="O1496" i="139"/>
  <c r="R1495" i="139"/>
  <c r="O1495" i="139"/>
  <c r="R1494" i="139"/>
  <c r="O1494" i="139"/>
  <c r="R1493" i="139"/>
  <c r="O1493" i="139"/>
  <c r="R1492" i="139"/>
  <c r="O1492" i="139"/>
  <c r="R1491" i="139"/>
  <c r="O1491" i="139"/>
  <c r="R1490" i="139"/>
  <c r="O1490" i="139"/>
  <c r="R1489" i="139"/>
  <c r="O1489" i="139"/>
  <c r="R1488" i="139"/>
  <c r="O1488" i="139"/>
  <c r="R1487" i="139"/>
  <c r="O1487" i="139"/>
  <c r="R1486" i="139"/>
  <c r="O1486" i="139"/>
  <c r="R1485" i="139"/>
  <c r="O1485" i="139"/>
  <c r="R1484" i="139"/>
  <c r="O1484" i="139"/>
  <c r="R1483" i="139"/>
  <c r="O1483" i="139"/>
  <c r="R1482" i="139"/>
  <c r="O1482" i="139"/>
  <c r="R1481" i="139"/>
  <c r="O1481" i="139"/>
  <c r="R1480" i="139"/>
  <c r="O1480" i="139"/>
  <c r="R1479" i="139"/>
  <c r="O1479" i="139"/>
  <c r="R1478" i="139"/>
  <c r="O1478" i="139"/>
  <c r="R1477" i="139"/>
  <c r="O1477" i="139"/>
  <c r="R1476" i="139"/>
  <c r="O1476" i="139"/>
  <c r="R1475" i="139"/>
  <c r="O1475" i="139"/>
  <c r="R1474" i="139"/>
  <c r="O1474" i="139"/>
  <c r="R1473" i="139"/>
  <c r="O1473" i="139"/>
  <c r="R1472" i="139"/>
  <c r="O1472" i="139"/>
  <c r="R1471" i="139"/>
  <c r="O1471" i="139"/>
  <c r="R1470" i="139"/>
  <c r="O1470" i="139"/>
  <c r="R1469" i="139"/>
  <c r="O1469" i="139"/>
  <c r="R1468" i="139"/>
  <c r="O1468" i="139"/>
  <c r="R1467" i="139"/>
  <c r="O1467" i="139"/>
  <c r="R1466" i="139"/>
  <c r="O1466" i="139"/>
  <c r="R1465" i="139"/>
  <c r="O1465" i="139"/>
  <c r="R1464" i="139"/>
  <c r="O1464" i="139"/>
  <c r="R1463" i="139"/>
  <c r="O1463" i="139"/>
  <c r="R1462" i="139"/>
  <c r="O1462" i="139"/>
  <c r="R1461" i="139"/>
  <c r="O1461" i="139"/>
  <c r="R1460" i="139"/>
  <c r="O1460" i="139"/>
  <c r="R1459" i="139"/>
  <c r="O1459" i="139"/>
  <c r="R1458" i="139"/>
  <c r="O1458" i="139"/>
  <c r="R1457" i="139"/>
  <c r="O1457" i="139"/>
  <c r="R1456" i="139"/>
  <c r="O1456" i="139"/>
  <c r="R1455" i="139"/>
  <c r="O1455" i="139"/>
  <c r="R1454" i="139"/>
  <c r="O1454" i="139"/>
  <c r="R1453" i="139"/>
  <c r="O1453" i="139"/>
  <c r="R1452" i="139"/>
  <c r="O1452" i="139"/>
  <c r="R1451" i="139"/>
  <c r="O1451" i="139"/>
  <c r="R1450" i="139"/>
  <c r="O1450" i="139"/>
  <c r="R1449" i="139"/>
  <c r="O1449" i="139"/>
  <c r="R1448" i="139"/>
  <c r="O1448" i="139"/>
  <c r="R1447" i="139"/>
  <c r="O1447" i="139"/>
  <c r="R1446" i="139"/>
  <c r="O1446" i="139"/>
  <c r="R1445" i="139"/>
  <c r="O1445" i="139"/>
  <c r="R1444" i="139"/>
  <c r="O1444" i="139"/>
  <c r="R1443" i="139"/>
  <c r="O1443" i="139"/>
  <c r="R1442" i="139"/>
  <c r="O1442" i="139"/>
  <c r="R1441" i="139"/>
  <c r="O1441" i="139"/>
  <c r="R1440" i="139"/>
  <c r="O1440" i="139"/>
  <c r="R1439" i="139"/>
  <c r="O1439" i="139"/>
  <c r="R1438" i="139"/>
  <c r="O1438" i="139"/>
  <c r="R1437" i="139"/>
  <c r="O1437" i="139"/>
  <c r="R1436" i="139"/>
  <c r="O1436" i="139"/>
  <c r="R1435" i="139"/>
  <c r="O1435" i="139"/>
  <c r="R1434" i="139"/>
  <c r="O1434" i="139"/>
  <c r="R1433" i="139"/>
  <c r="O1433" i="139"/>
  <c r="R1432" i="139"/>
  <c r="O1432" i="139"/>
  <c r="R1431" i="139"/>
  <c r="O1431" i="139"/>
  <c r="R1430" i="139"/>
  <c r="O1430" i="139"/>
  <c r="R1429" i="139"/>
  <c r="O1429" i="139"/>
  <c r="R1428" i="139"/>
  <c r="O1428" i="139"/>
  <c r="R1427" i="139"/>
  <c r="O1427" i="139"/>
  <c r="R1426" i="139"/>
  <c r="O1426" i="139"/>
  <c r="R1425" i="139"/>
  <c r="O1425" i="139"/>
  <c r="R1424" i="139"/>
  <c r="O1424" i="139"/>
  <c r="R1423" i="139"/>
  <c r="O1423" i="139"/>
  <c r="R1422" i="139"/>
  <c r="O1422" i="139"/>
  <c r="R1421" i="139"/>
  <c r="O1421" i="139"/>
  <c r="R1420" i="139"/>
  <c r="O1420" i="139"/>
  <c r="R1419" i="139"/>
  <c r="O1419" i="139"/>
  <c r="R1418" i="139"/>
  <c r="O1418" i="139"/>
  <c r="R1417" i="139"/>
  <c r="O1417" i="139"/>
  <c r="R1416" i="139"/>
  <c r="O1416" i="139"/>
  <c r="R1415" i="139"/>
  <c r="O1415" i="139"/>
  <c r="R1414" i="139"/>
  <c r="O1414" i="139"/>
  <c r="R1413" i="139"/>
  <c r="O1413" i="139"/>
  <c r="R1412" i="139"/>
  <c r="O1412" i="139"/>
  <c r="R1411" i="139"/>
  <c r="O1411" i="139"/>
  <c r="R1410" i="139"/>
  <c r="O1410" i="139"/>
  <c r="R1409" i="139"/>
  <c r="O1409" i="139"/>
  <c r="R1408" i="139"/>
  <c r="O1408" i="139"/>
  <c r="R1407" i="139"/>
  <c r="O1407" i="139"/>
  <c r="R1406" i="139"/>
  <c r="O1406" i="139"/>
  <c r="R1405" i="139"/>
  <c r="O1405" i="139"/>
  <c r="R1404" i="139"/>
  <c r="O1404" i="139"/>
  <c r="R1403" i="139"/>
  <c r="O1403" i="139"/>
  <c r="R1402" i="139"/>
  <c r="O1402" i="139"/>
  <c r="R1401" i="139"/>
  <c r="O1401" i="139"/>
  <c r="R1400" i="139"/>
  <c r="O1400" i="139"/>
  <c r="R1399" i="139"/>
  <c r="O1399" i="139"/>
  <c r="R1398" i="139"/>
  <c r="O1398" i="139"/>
  <c r="R1397" i="139"/>
  <c r="O1397" i="139"/>
  <c r="R1396" i="139"/>
  <c r="O1396" i="139"/>
  <c r="R1395" i="139"/>
  <c r="O1395" i="139"/>
  <c r="R1394" i="139"/>
  <c r="O1394" i="139"/>
  <c r="R1393" i="139"/>
  <c r="O1393" i="139"/>
  <c r="R1392" i="139"/>
  <c r="O1392" i="139"/>
  <c r="R1391" i="139"/>
  <c r="O1391" i="139"/>
  <c r="R1390" i="139"/>
  <c r="O1390" i="139"/>
  <c r="R1389" i="139"/>
  <c r="O1389" i="139"/>
  <c r="R1388" i="139"/>
  <c r="O1388" i="139"/>
  <c r="R1387" i="139"/>
  <c r="O1387" i="139"/>
  <c r="R1386" i="139"/>
  <c r="O1386" i="139"/>
  <c r="O1385" i="139"/>
  <c r="O1384" i="139"/>
  <c r="O1383" i="139"/>
  <c r="O1382" i="139"/>
  <c r="O1381" i="139"/>
  <c r="O1380" i="139"/>
  <c r="O1379" i="139"/>
  <c r="O1378" i="139"/>
  <c r="O1377" i="139"/>
  <c r="O1376" i="139"/>
  <c r="O1375" i="139"/>
  <c r="O1374" i="139"/>
  <c r="O1373" i="139"/>
  <c r="O1372" i="139"/>
  <c r="O1371" i="139"/>
  <c r="O1370" i="139"/>
  <c r="O1369" i="139"/>
  <c r="O1368" i="139"/>
  <c r="O1367" i="139"/>
  <c r="O1366" i="139"/>
  <c r="O1365" i="139"/>
  <c r="O1364" i="139"/>
  <c r="O1363" i="139"/>
  <c r="O1362" i="139"/>
  <c r="O1361" i="139"/>
  <c r="O1360" i="139"/>
  <c r="O1359" i="139"/>
  <c r="O1358" i="139"/>
  <c r="O1357" i="139"/>
  <c r="O1356" i="139"/>
  <c r="O1355" i="139"/>
  <c r="U1353" i="139"/>
  <c r="T1353" i="139"/>
  <c r="S1353" i="139"/>
  <c r="N1353" i="139"/>
  <c r="M1353" i="139"/>
  <c r="L1353" i="139"/>
  <c r="K1353" i="139"/>
  <c r="J1353" i="139"/>
  <c r="I1353" i="139"/>
  <c r="H1353" i="139"/>
  <c r="G1353" i="139"/>
  <c r="R1349" i="139"/>
  <c r="O1349" i="139"/>
  <c r="R1348" i="139"/>
  <c r="O1348" i="139"/>
  <c r="R1347" i="139"/>
  <c r="O1347" i="139"/>
  <c r="R1346" i="139"/>
  <c r="O1346" i="139"/>
  <c r="R1345" i="139"/>
  <c r="O1345" i="139"/>
  <c r="R1344" i="139"/>
  <c r="O1344" i="139"/>
  <c r="R1343" i="139"/>
  <c r="O1343" i="139"/>
  <c r="R1342" i="139"/>
  <c r="O1342" i="139"/>
  <c r="R1341" i="139"/>
  <c r="O1341" i="139"/>
  <c r="R1340" i="139"/>
  <c r="O1340" i="139"/>
  <c r="R1339" i="139"/>
  <c r="O1339" i="139"/>
  <c r="R1338" i="139"/>
  <c r="O1338" i="139"/>
  <c r="R1337" i="139"/>
  <c r="O1337" i="139"/>
  <c r="R1336" i="139"/>
  <c r="O1336" i="139"/>
  <c r="R1335" i="139"/>
  <c r="O1335" i="139"/>
  <c r="R1334" i="139"/>
  <c r="O1334" i="139"/>
  <c r="R1333" i="139"/>
  <c r="O1333" i="139"/>
  <c r="R1332" i="139"/>
  <c r="O1332" i="139"/>
  <c r="R1331" i="139"/>
  <c r="O1331" i="139"/>
  <c r="R1330" i="139"/>
  <c r="O1330" i="139"/>
  <c r="R1329" i="139"/>
  <c r="O1329" i="139"/>
  <c r="R1328" i="139"/>
  <c r="O1328" i="139"/>
  <c r="R1327" i="139"/>
  <c r="O1327" i="139"/>
  <c r="R1326" i="139"/>
  <c r="O1326" i="139"/>
  <c r="R1325" i="139"/>
  <c r="O1325" i="139"/>
  <c r="R1324" i="139"/>
  <c r="O1324" i="139"/>
  <c r="R1323" i="139"/>
  <c r="O1323" i="139"/>
  <c r="R1322" i="139"/>
  <c r="O1322" i="139"/>
  <c r="R1321" i="139"/>
  <c r="O1321" i="139"/>
  <c r="R1320" i="139"/>
  <c r="O1320" i="139"/>
  <c r="R1319" i="139"/>
  <c r="O1319" i="139"/>
  <c r="R1318" i="139"/>
  <c r="O1318" i="139"/>
  <c r="R1317" i="139"/>
  <c r="O1317" i="139"/>
  <c r="R1316" i="139"/>
  <c r="O1316" i="139"/>
  <c r="R1315" i="139"/>
  <c r="O1315" i="139"/>
  <c r="R1314" i="139"/>
  <c r="O1314" i="139"/>
  <c r="R1313" i="139"/>
  <c r="O1313" i="139"/>
  <c r="O1312" i="139"/>
  <c r="O1311" i="139"/>
  <c r="O1310" i="139"/>
  <c r="O1309" i="139"/>
  <c r="O1308" i="139"/>
  <c r="O1307" i="139"/>
  <c r="O1306" i="139"/>
  <c r="O1305" i="139"/>
  <c r="R1304" i="139"/>
  <c r="O1304" i="139"/>
  <c r="R1303" i="139"/>
  <c r="O1303" i="139"/>
  <c r="R1302" i="139"/>
  <c r="O1302" i="139"/>
  <c r="R1301" i="139"/>
  <c r="O1301" i="139"/>
  <c r="R1300" i="139"/>
  <c r="O1300" i="139"/>
  <c r="R1299" i="139"/>
  <c r="O1299" i="139"/>
  <c r="R1298" i="139"/>
  <c r="O1298" i="139"/>
  <c r="R1297" i="139"/>
  <c r="O1297" i="139"/>
  <c r="R1296" i="139"/>
  <c r="O1296" i="139"/>
  <c r="R1295" i="139"/>
  <c r="O1295" i="139"/>
  <c r="R1294" i="139"/>
  <c r="O1294" i="139"/>
  <c r="R1293" i="139"/>
  <c r="O1293" i="139"/>
  <c r="R1292" i="139"/>
  <c r="O1292" i="139"/>
  <c r="R1291" i="139"/>
  <c r="O1291" i="139"/>
  <c r="R1290" i="139"/>
  <c r="O1290" i="139"/>
  <c r="R1289" i="139"/>
  <c r="O1289" i="139"/>
  <c r="R1288" i="139"/>
  <c r="O1288" i="139"/>
  <c r="R1287" i="139"/>
  <c r="O1287" i="139"/>
  <c r="R1286" i="139"/>
  <c r="O1286" i="139"/>
  <c r="R1285" i="139"/>
  <c r="O1285" i="139"/>
  <c r="R1284" i="139"/>
  <c r="O1284" i="139"/>
  <c r="R1283" i="139"/>
  <c r="O1283" i="139"/>
  <c r="R1282" i="139"/>
  <c r="O1282" i="139"/>
  <c r="R1281" i="139"/>
  <c r="O1281" i="139"/>
  <c r="R1280" i="139"/>
  <c r="O1280" i="139"/>
  <c r="R1279" i="139"/>
  <c r="O1279" i="139"/>
  <c r="R1278" i="139"/>
  <c r="O1278" i="139"/>
  <c r="R1277" i="139"/>
  <c r="O1277" i="139"/>
  <c r="R1276" i="139"/>
  <c r="O1276" i="139"/>
  <c r="R1275" i="139"/>
  <c r="O1275" i="139"/>
  <c r="R1274" i="139"/>
  <c r="O1274" i="139"/>
  <c r="R1273" i="139"/>
  <c r="O1273" i="139"/>
  <c r="R1272" i="139"/>
  <c r="O1272" i="139"/>
  <c r="R1271" i="139"/>
  <c r="O1271" i="139"/>
  <c r="R1270" i="139"/>
  <c r="O1270" i="139"/>
  <c r="R1269" i="139"/>
  <c r="O1269" i="139"/>
  <c r="R1268" i="139"/>
  <c r="O1268" i="139"/>
  <c r="R1267" i="139"/>
  <c r="O1267" i="139"/>
  <c r="R1266" i="139"/>
  <c r="O1266" i="139"/>
  <c r="R1265" i="139"/>
  <c r="O1265" i="139"/>
  <c r="R1264" i="139"/>
  <c r="O1264" i="139"/>
  <c r="R1263" i="139"/>
  <c r="O1263" i="139"/>
  <c r="R1262" i="139"/>
  <c r="O1262" i="139"/>
  <c r="R1261" i="139"/>
  <c r="O1261" i="139"/>
  <c r="R1260" i="139"/>
  <c r="O1260" i="139"/>
  <c r="R1259" i="139"/>
  <c r="O1259" i="139"/>
  <c r="R1258" i="139"/>
  <c r="O1258" i="139"/>
  <c r="R1257" i="139"/>
  <c r="O1257" i="139"/>
  <c r="R1256" i="139"/>
  <c r="O1256" i="139"/>
  <c r="R1255" i="139"/>
  <c r="O1255" i="139"/>
  <c r="R1254" i="139"/>
  <c r="O1254" i="139"/>
  <c r="R1253" i="139"/>
  <c r="O1253" i="139"/>
  <c r="R1252" i="139"/>
  <c r="O1252" i="139"/>
  <c r="R1251" i="139"/>
  <c r="O1251" i="139"/>
  <c r="R1250" i="139"/>
  <c r="O1250" i="139"/>
  <c r="R1249" i="139"/>
  <c r="O1249" i="139"/>
  <c r="R1248" i="139"/>
  <c r="O1248" i="139"/>
  <c r="R1247" i="139"/>
  <c r="O1247" i="139"/>
  <c r="R1246" i="139"/>
  <c r="O1246" i="139"/>
  <c r="R1245" i="139"/>
  <c r="O1245" i="139"/>
  <c r="R1244" i="139"/>
  <c r="O1244" i="139"/>
  <c r="R1243" i="139"/>
  <c r="O1243" i="139"/>
  <c r="R1242" i="139"/>
  <c r="O1242" i="139"/>
  <c r="R1241" i="139"/>
  <c r="O1241" i="139"/>
  <c r="R1240" i="139"/>
  <c r="O1240" i="139"/>
  <c r="R1239" i="139"/>
  <c r="O1239" i="139"/>
  <c r="R1238" i="139"/>
  <c r="O1238" i="139"/>
  <c r="R1237" i="139"/>
  <c r="O1237" i="139"/>
  <c r="R1236" i="139"/>
  <c r="O1236" i="139"/>
  <c r="R1235" i="139"/>
  <c r="O1235" i="139"/>
  <c r="R1234" i="139"/>
  <c r="O1234" i="139"/>
  <c r="R1233" i="139"/>
  <c r="O1233" i="139"/>
  <c r="R1232" i="139"/>
  <c r="O1232" i="139"/>
  <c r="R1231" i="139"/>
  <c r="O1231" i="139"/>
  <c r="R1230" i="139"/>
  <c r="O1230" i="139"/>
  <c r="R1229" i="139"/>
  <c r="O1229" i="139"/>
  <c r="R1228" i="139"/>
  <c r="O1228" i="139"/>
  <c r="R1227" i="139"/>
  <c r="O1227" i="139"/>
  <c r="R1226" i="139"/>
  <c r="O1226" i="139"/>
  <c r="R1225" i="139"/>
  <c r="O1225" i="139"/>
  <c r="R1224" i="139"/>
  <c r="O1224" i="139"/>
  <c r="R1223" i="139"/>
  <c r="O1223" i="139"/>
  <c r="R1222" i="139"/>
  <c r="O1222" i="139"/>
  <c r="R1221" i="139"/>
  <c r="O1221" i="139"/>
  <c r="R1220" i="139"/>
  <c r="O1220" i="139"/>
  <c r="R1219" i="139"/>
  <c r="O1219" i="139"/>
  <c r="R1218" i="139"/>
  <c r="O1218" i="139"/>
  <c r="R1217" i="139"/>
  <c r="O1217" i="139"/>
  <c r="R1216" i="139"/>
  <c r="O1216" i="139"/>
  <c r="R1215" i="139"/>
  <c r="O1215" i="139"/>
  <c r="R1214" i="139"/>
  <c r="O1214" i="139"/>
  <c r="R1213" i="139"/>
  <c r="O1213" i="139"/>
  <c r="R1212" i="139"/>
  <c r="O1212" i="139"/>
  <c r="R1211" i="139"/>
  <c r="O1211" i="139"/>
  <c r="R1210" i="139"/>
  <c r="O1210" i="139"/>
  <c r="R1209" i="139"/>
  <c r="O1209" i="139"/>
  <c r="R1208" i="139"/>
  <c r="O1208" i="139"/>
  <c r="R1207" i="139"/>
  <c r="O1207" i="139"/>
  <c r="R1206" i="139"/>
  <c r="O1206" i="139"/>
  <c r="R1205" i="139"/>
  <c r="O1205" i="139"/>
  <c r="R1204" i="139"/>
  <c r="O1204" i="139"/>
  <c r="R1203" i="139"/>
  <c r="O1203" i="139"/>
  <c r="R1202" i="139"/>
  <c r="O1202" i="139"/>
  <c r="R1201" i="139"/>
  <c r="O1201" i="139"/>
  <c r="R1200" i="139"/>
  <c r="O1200" i="139"/>
  <c r="R1199" i="139"/>
  <c r="O1199" i="139"/>
  <c r="R1198" i="139"/>
  <c r="O1198" i="139"/>
  <c r="R1197" i="139"/>
  <c r="O1197" i="139"/>
  <c r="R1196" i="139"/>
  <c r="O1196" i="139"/>
  <c r="R1195" i="139"/>
  <c r="O1195" i="139"/>
  <c r="R1194" i="139"/>
  <c r="O1194" i="139"/>
  <c r="R1193" i="139"/>
  <c r="O1193" i="139"/>
  <c r="R1192" i="139"/>
  <c r="O1192" i="139"/>
  <c r="R1191" i="139"/>
  <c r="O1191" i="139"/>
  <c r="R1190" i="139"/>
  <c r="O1190" i="139"/>
  <c r="R1189" i="139"/>
  <c r="O1189" i="139"/>
  <c r="R1188" i="139"/>
  <c r="O1188" i="139"/>
  <c r="R1187" i="139"/>
  <c r="O1187" i="139"/>
  <c r="R1186" i="139"/>
  <c r="O1186" i="139"/>
  <c r="O1185" i="139"/>
  <c r="O1184" i="139"/>
  <c r="O1183" i="139"/>
  <c r="O1182" i="139"/>
  <c r="O1181" i="139"/>
  <c r="O1180" i="139"/>
  <c r="O1179" i="139"/>
  <c r="O1178" i="139"/>
  <c r="O1177" i="139"/>
  <c r="O1176" i="139"/>
  <c r="O1175" i="139"/>
  <c r="O1174" i="139"/>
  <c r="O1173" i="139"/>
  <c r="O1172" i="139"/>
  <c r="O1171" i="139"/>
  <c r="O1170" i="139"/>
  <c r="O1169" i="139"/>
  <c r="O1168" i="139"/>
  <c r="O1167" i="139"/>
  <c r="O1166" i="139"/>
  <c r="O1165" i="139"/>
  <c r="O1164" i="139"/>
  <c r="O1163" i="139"/>
  <c r="U1161" i="139"/>
  <c r="T1161" i="139"/>
  <c r="S1161" i="139"/>
  <c r="N1161" i="139"/>
  <c r="M1161" i="139"/>
  <c r="L1161" i="139"/>
  <c r="K1161" i="139"/>
  <c r="J1161" i="139"/>
  <c r="I1161" i="139"/>
  <c r="H1161" i="139"/>
  <c r="G1161" i="139"/>
  <c r="R1157" i="139"/>
  <c r="O1157" i="139"/>
  <c r="R1156" i="139"/>
  <c r="O1156" i="139"/>
  <c r="R1155" i="139"/>
  <c r="O1155" i="139"/>
  <c r="R1154" i="139"/>
  <c r="O1154" i="139"/>
  <c r="R1153" i="139"/>
  <c r="O1153" i="139"/>
  <c r="R1152" i="139"/>
  <c r="O1152" i="139"/>
  <c r="R1151" i="139"/>
  <c r="O1151" i="139"/>
  <c r="R1150" i="139"/>
  <c r="O1150" i="139"/>
  <c r="R1149" i="139"/>
  <c r="O1149" i="139"/>
  <c r="R1148" i="139"/>
  <c r="O1148" i="139"/>
  <c r="R1147" i="139"/>
  <c r="O1147" i="139"/>
  <c r="R1146" i="139"/>
  <c r="O1146" i="139"/>
  <c r="R1145" i="139"/>
  <c r="O1145" i="139"/>
  <c r="R1144" i="139"/>
  <c r="O1144" i="139"/>
  <c r="R1143" i="139"/>
  <c r="O1143" i="139"/>
  <c r="R1142" i="139"/>
  <c r="O1142" i="139"/>
  <c r="R1141" i="139"/>
  <c r="O1141" i="139"/>
  <c r="R1140" i="139"/>
  <c r="O1140" i="139"/>
  <c r="R1139" i="139"/>
  <c r="O1139" i="139"/>
  <c r="R1138" i="139"/>
  <c r="O1138" i="139"/>
  <c r="R1137" i="139"/>
  <c r="O1137" i="139"/>
  <c r="R1136" i="139"/>
  <c r="O1136" i="139"/>
  <c r="R1135" i="139"/>
  <c r="O1135" i="139"/>
  <c r="R1134" i="139"/>
  <c r="O1134" i="139"/>
  <c r="R1133" i="139"/>
  <c r="O1133" i="139"/>
  <c r="R1132" i="139"/>
  <c r="O1132" i="139"/>
  <c r="O1131" i="139"/>
  <c r="R1130" i="139"/>
  <c r="O1130" i="139"/>
  <c r="O1129" i="139"/>
  <c r="O1128" i="139"/>
  <c r="O1127" i="139"/>
  <c r="O1126" i="139"/>
  <c r="O1125" i="139"/>
  <c r="O1124" i="139"/>
  <c r="R1123" i="139"/>
  <c r="O1123" i="139"/>
  <c r="R1122" i="139"/>
  <c r="O1122" i="139"/>
  <c r="R1121" i="139"/>
  <c r="O1121" i="139"/>
  <c r="R1120" i="139"/>
  <c r="O1120" i="139"/>
  <c r="R1119" i="139"/>
  <c r="O1119" i="139"/>
  <c r="R1118" i="139"/>
  <c r="O1118" i="139"/>
  <c r="R1117" i="139"/>
  <c r="O1117" i="139"/>
  <c r="R1116" i="139"/>
  <c r="O1116" i="139"/>
  <c r="R1115" i="139"/>
  <c r="O1115" i="139"/>
  <c r="O1114" i="139"/>
  <c r="R1113" i="139"/>
  <c r="O1113" i="139"/>
  <c r="O1112" i="139"/>
  <c r="O1111" i="139"/>
  <c r="O1110" i="139"/>
  <c r="O1109" i="139"/>
  <c r="R1108" i="139"/>
  <c r="O1108" i="139"/>
  <c r="R1107" i="139"/>
  <c r="O1107" i="139"/>
  <c r="R1106" i="139"/>
  <c r="O1106" i="139"/>
  <c r="R1105" i="139"/>
  <c r="O1105" i="139"/>
  <c r="R1104" i="139"/>
  <c r="O1104" i="139"/>
  <c r="R1103" i="139"/>
  <c r="O1103" i="139"/>
  <c r="R1102" i="139"/>
  <c r="O1102" i="139"/>
  <c r="R1101" i="139"/>
  <c r="O1101" i="139"/>
  <c r="R1100" i="139"/>
  <c r="O1100" i="139"/>
  <c r="R1099" i="139"/>
  <c r="O1099" i="139"/>
  <c r="R1098" i="139"/>
  <c r="O1098" i="139"/>
  <c r="R1097" i="139"/>
  <c r="O1097" i="139"/>
  <c r="R1096" i="139"/>
  <c r="O1096" i="139"/>
  <c r="R1095" i="139"/>
  <c r="O1095" i="139"/>
  <c r="R1094" i="139"/>
  <c r="O1094" i="139"/>
  <c r="R1093" i="139"/>
  <c r="O1093" i="139"/>
  <c r="R1092" i="139"/>
  <c r="O1092" i="139"/>
  <c r="R1091" i="139"/>
  <c r="O1091" i="139"/>
  <c r="R1090" i="139"/>
  <c r="O1090" i="139"/>
  <c r="R1089" i="139"/>
  <c r="O1089" i="139"/>
  <c r="R1088" i="139"/>
  <c r="O1088" i="139"/>
  <c r="R1087" i="139"/>
  <c r="O1087" i="139"/>
  <c r="R1086" i="139"/>
  <c r="O1086" i="139"/>
  <c r="R1085" i="139"/>
  <c r="O1085" i="139"/>
  <c r="R1084" i="139"/>
  <c r="O1084" i="139"/>
  <c r="R1083" i="139"/>
  <c r="O1083" i="139"/>
  <c r="R1082" i="139"/>
  <c r="O1082" i="139"/>
  <c r="R1081" i="139"/>
  <c r="O1081" i="139"/>
  <c r="R1080" i="139"/>
  <c r="O1080" i="139"/>
  <c r="R1079" i="139"/>
  <c r="O1079" i="139"/>
  <c r="R1078" i="139"/>
  <c r="O1078" i="139"/>
  <c r="R1077" i="139"/>
  <c r="O1077" i="139"/>
  <c r="R1076" i="139"/>
  <c r="O1076" i="139"/>
  <c r="R1075" i="139"/>
  <c r="O1075" i="139"/>
  <c r="R1074" i="139"/>
  <c r="O1074" i="139"/>
  <c r="R1073" i="139"/>
  <c r="O1073" i="139"/>
  <c r="R1072" i="139"/>
  <c r="O1072" i="139"/>
  <c r="R1071" i="139"/>
  <c r="O1071" i="139"/>
  <c r="R1070" i="139"/>
  <c r="O1070" i="139"/>
  <c r="R1069" i="139"/>
  <c r="O1069" i="139"/>
  <c r="R1068" i="139"/>
  <c r="O1068" i="139"/>
  <c r="R1067" i="139"/>
  <c r="O1067" i="139"/>
  <c r="R1066" i="139"/>
  <c r="O1066" i="139"/>
  <c r="R1065" i="139"/>
  <c r="O1065" i="139"/>
  <c r="R1064" i="139"/>
  <c r="O1064" i="139"/>
  <c r="R1063" i="139"/>
  <c r="O1063" i="139"/>
  <c r="R1062" i="139"/>
  <c r="O1062" i="139"/>
  <c r="R1061" i="139"/>
  <c r="O1061" i="139"/>
  <c r="R1060" i="139"/>
  <c r="O1060" i="139"/>
  <c r="O1059" i="139"/>
  <c r="O1058" i="139"/>
  <c r="O1057" i="139"/>
  <c r="R1056" i="139"/>
  <c r="O1056" i="139"/>
  <c r="R1055" i="139"/>
  <c r="O1055" i="139"/>
  <c r="R1054" i="139"/>
  <c r="O1054" i="139"/>
  <c r="R1053" i="139"/>
  <c r="O1053" i="139"/>
  <c r="R1052" i="139"/>
  <c r="O1052" i="139"/>
  <c r="R1051" i="139"/>
  <c r="O1051" i="139"/>
  <c r="R1050" i="139"/>
  <c r="O1050" i="139"/>
  <c r="R1049" i="139"/>
  <c r="O1049" i="139"/>
  <c r="R1048" i="139"/>
  <c r="O1048" i="139"/>
  <c r="O1047" i="139"/>
  <c r="R1046" i="139"/>
  <c r="O1046" i="139"/>
  <c r="O1045" i="139"/>
  <c r="O1044" i="139"/>
  <c r="R1043" i="139"/>
  <c r="O1043" i="139"/>
  <c r="O1042" i="139"/>
  <c r="R1041" i="139"/>
  <c r="O1041" i="139"/>
  <c r="R1040" i="139"/>
  <c r="O1040" i="139"/>
  <c r="R1039" i="139"/>
  <c r="O1039" i="139"/>
  <c r="R1038" i="139"/>
  <c r="O1038" i="139"/>
  <c r="R1037" i="139"/>
  <c r="O1037" i="139"/>
  <c r="R1036" i="139"/>
  <c r="O1036" i="139"/>
  <c r="R1035" i="139"/>
  <c r="O1035" i="139"/>
  <c r="R1034" i="139"/>
  <c r="O1034" i="139"/>
  <c r="O1033" i="139"/>
  <c r="O1032" i="139"/>
  <c r="O1031" i="139"/>
  <c r="U1029" i="139"/>
  <c r="T1029" i="139"/>
  <c r="S1029" i="139"/>
  <c r="N1029" i="139"/>
  <c r="M1029" i="139"/>
  <c r="L1029" i="139"/>
  <c r="K1029" i="139"/>
  <c r="J1029" i="139"/>
  <c r="I1029" i="139"/>
  <c r="H1029" i="139"/>
  <c r="G1029" i="139"/>
  <c r="O1023" i="139"/>
  <c r="O1022" i="139"/>
  <c r="O1021" i="139"/>
  <c r="O1020" i="139"/>
  <c r="O1019" i="139"/>
  <c r="O1018" i="139"/>
  <c r="O1017" i="139"/>
  <c r="O1016" i="139"/>
  <c r="O1015" i="139"/>
  <c r="O1014" i="139"/>
  <c r="O1013" i="139"/>
  <c r="O1012" i="139"/>
  <c r="O1011" i="139"/>
  <c r="O1010" i="139"/>
  <c r="O1009" i="139"/>
  <c r="O1008" i="139"/>
  <c r="O1007" i="139"/>
  <c r="O1006" i="139"/>
  <c r="O1005" i="139"/>
  <c r="O1004" i="139"/>
  <c r="O1003" i="139"/>
  <c r="O1002" i="139"/>
  <c r="O1001" i="139"/>
  <c r="O1000" i="139"/>
  <c r="O999" i="139"/>
  <c r="O998" i="139"/>
  <c r="O997" i="139"/>
  <c r="O996" i="139"/>
  <c r="O995" i="139"/>
  <c r="O994" i="139"/>
  <c r="O993" i="139"/>
  <c r="O992" i="139"/>
  <c r="O991" i="139"/>
  <c r="O990" i="139"/>
  <c r="O989" i="139"/>
  <c r="O988" i="139"/>
  <c r="O987" i="139"/>
  <c r="O986" i="139"/>
  <c r="O985" i="139"/>
  <c r="O984" i="139"/>
  <c r="O983" i="139"/>
  <c r="O982" i="139"/>
  <c r="O981" i="139"/>
  <c r="O980" i="139"/>
  <c r="O979" i="139"/>
  <c r="O978" i="139"/>
  <c r="O977" i="139"/>
  <c r="O976" i="139"/>
  <c r="O975" i="139"/>
  <c r="O974" i="139"/>
  <c r="O973" i="139"/>
  <c r="O972" i="139"/>
  <c r="O971" i="139"/>
  <c r="O970" i="139"/>
  <c r="O969" i="139"/>
  <c r="O968" i="139"/>
  <c r="O967" i="139"/>
  <c r="O966" i="139"/>
  <c r="O965" i="139"/>
  <c r="O964" i="139"/>
  <c r="O963" i="139"/>
  <c r="O962" i="139"/>
  <c r="O961" i="139"/>
  <c r="O960" i="139"/>
  <c r="O959" i="139"/>
  <c r="O958" i="139"/>
  <c r="O957" i="139"/>
  <c r="O956" i="139"/>
  <c r="O955" i="139"/>
  <c r="O954" i="139"/>
  <c r="O953" i="139"/>
  <c r="O952" i="139"/>
  <c r="O951" i="139"/>
  <c r="O950" i="139"/>
  <c r="O949" i="139"/>
  <c r="O948" i="139"/>
  <c r="O947" i="139"/>
  <c r="O946" i="139"/>
  <c r="O945" i="139"/>
  <c r="O944" i="139"/>
  <c r="O943" i="139"/>
  <c r="O942" i="139"/>
  <c r="O941" i="139"/>
  <c r="O940" i="139"/>
  <c r="O939" i="139"/>
  <c r="O938" i="139"/>
  <c r="O937" i="139"/>
  <c r="O936" i="139"/>
  <c r="O935" i="139"/>
  <c r="O934" i="139"/>
  <c r="O933" i="139"/>
  <c r="O932" i="139"/>
  <c r="O931" i="139"/>
  <c r="O930" i="139"/>
  <c r="O929" i="139"/>
  <c r="O928" i="139"/>
  <c r="O927" i="139"/>
  <c r="O926" i="139"/>
  <c r="O925" i="139"/>
  <c r="O924" i="139"/>
  <c r="O923" i="139"/>
  <c r="O922" i="139"/>
  <c r="O921" i="139"/>
  <c r="O920" i="139"/>
  <c r="O919" i="139"/>
  <c r="O918" i="139"/>
  <c r="O917" i="139"/>
  <c r="O916" i="139"/>
  <c r="O915" i="139"/>
  <c r="O914" i="139"/>
  <c r="O913" i="139"/>
  <c r="O912" i="139"/>
  <c r="O911" i="139"/>
  <c r="O910" i="139"/>
  <c r="O909" i="139"/>
  <c r="O908" i="139"/>
  <c r="O907" i="139"/>
  <c r="O906" i="139"/>
  <c r="O905" i="139"/>
  <c r="O904" i="139"/>
  <c r="O903" i="139"/>
  <c r="O902" i="139"/>
  <c r="O901" i="139"/>
  <c r="O900" i="139"/>
  <c r="O899" i="139"/>
  <c r="O898" i="139"/>
  <c r="O897" i="139"/>
  <c r="O896" i="139"/>
  <c r="O895" i="139"/>
  <c r="O894" i="139"/>
  <c r="O893" i="139"/>
  <c r="O892" i="139"/>
  <c r="O891" i="139"/>
  <c r="O890" i="139"/>
  <c r="O889" i="139"/>
  <c r="O888" i="139"/>
  <c r="O887" i="139"/>
  <c r="O886" i="139"/>
  <c r="O885" i="139"/>
  <c r="O884" i="139"/>
  <c r="O883" i="139"/>
  <c r="O882" i="139"/>
  <c r="O881" i="139"/>
  <c r="O880" i="139"/>
  <c r="O879" i="139"/>
  <c r="O878" i="139"/>
  <c r="O877" i="139"/>
  <c r="O876" i="139"/>
  <c r="O875" i="139"/>
  <c r="O874" i="139"/>
  <c r="O873" i="139"/>
  <c r="O872" i="139"/>
  <c r="O871" i="139"/>
  <c r="O870" i="139"/>
  <c r="O869" i="139"/>
  <c r="O868" i="139"/>
  <c r="O867" i="139"/>
  <c r="O866" i="139"/>
  <c r="O865" i="139"/>
  <c r="O864" i="139"/>
  <c r="O863" i="139"/>
  <c r="O862" i="139"/>
  <c r="O861" i="139"/>
  <c r="O860" i="139"/>
  <c r="O859" i="139"/>
  <c r="U857" i="139"/>
  <c r="T857" i="139"/>
  <c r="S857" i="139"/>
  <c r="R857" i="139"/>
  <c r="N857" i="139"/>
  <c r="M857" i="139"/>
  <c r="L857" i="139"/>
  <c r="K857" i="139"/>
  <c r="J857" i="139"/>
  <c r="I857" i="139"/>
  <c r="H857" i="139"/>
  <c r="G857" i="139"/>
  <c r="N853" i="139"/>
  <c r="N852" i="139"/>
  <c r="N851" i="139"/>
  <c r="N850" i="139"/>
  <c r="N849" i="139"/>
  <c r="N848" i="139"/>
  <c r="N847" i="139"/>
  <c r="N846" i="139"/>
  <c r="N845" i="139"/>
  <c r="N844" i="139"/>
  <c r="N843" i="139"/>
  <c r="N842" i="139"/>
  <c r="N841" i="139"/>
  <c r="N840" i="139"/>
  <c r="N839" i="139"/>
  <c r="N838" i="139"/>
  <c r="N837" i="139"/>
  <c r="N836" i="139"/>
  <c r="N835" i="139"/>
  <c r="N834" i="139"/>
  <c r="N833" i="139"/>
  <c r="N832" i="139"/>
  <c r="N831" i="139"/>
  <c r="N830" i="139"/>
  <c r="N829" i="139"/>
  <c r="N828" i="139"/>
  <c r="N827" i="139"/>
  <c r="N826" i="139"/>
  <c r="N825" i="139"/>
  <c r="N824" i="139"/>
  <c r="N823" i="139"/>
  <c r="N822" i="139"/>
  <c r="N821" i="139"/>
  <c r="N820" i="139"/>
  <c r="N819" i="139"/>
  <c r="N818" i="139"/>
  <c r="N817" i="139"/>
  <c r="N816" i="139"/>
  <c r="N815" i="139"/>
  <c r="N814" i="139"/>
  <c r="N813" i="139"/>
  <c r="N812" i="139"/>
  <c r="N811" i="139"/>
  <c r="N810" i="139"/>
  <c r="N809" i="139"/>
  <c r="N808" i="139"/>
  <c r="N807" i="139"/>
  <c r="N806" i="139"/>
  <c r="N805" i="139"/>
  <c r="N804" i="139"/>
  <c r="N803" i="139"/>
  <c r="N802" i="139"/>
  <c r="N801" i="139"/>
  <c r="N800" i="139"/>
  <c r="N799" i="139"/>
  <c r="N798" i="139"/>
  <c r="N797" i="139"/>
  <c r="N796" i="139"/>
  <c r="N795" i="139"/>
  <c r="N794" i="139"/>
  <c r="N793" i="139"/>
  <c r="N792" i="139"/>
  <c r="N791" i="139"/>
  <c r="N790" i="139"/>
  <c r="N789" i="139"/>
  <c r="N788" i="139"/>
  <c r="N787" i="139"/>
  <c r="N786" i="139"/>
  <c r="N785" i="139"/>
  <c r="N784" i="139"/>
  <c r="N783" i="139"/>
  <c r="N782" i="139"/>
  <c r="N781" i="139"/>
  <c r="N780" i="139"/>
  <c r="N779" i="139"/>
  <c r="N778" i="139"/>
  <c r="N777" i="139"/>
  <c r="N776" i="139"/>
  <c r="N775" i="139"/>
  <c r="N774" i="139"/>
  <c r="N773" i="139"/>
  <c r="N772" i="139"/>
  <c r="N771" i="139"/>
  <c r="N770" i="139"/>
  <c r="N769" i="139"/>
  <c r="N768" i="139"/>
  <c r="N767" i="139"/>
  <c r="N766" i="139"/>
  <c r="N765" i="139"/>
  <c r="N764" i="139"/>
  <c r="N763" i="139"/>
  <c r="N762" i="139"/>
  <c r="N761" i="139"/>
  <c r="N760" i="139"/>
  <c r="N759" i="139"/>
  <c r="N758" i="139"/>
  <c r="N757" i="139"/>
  <c r="N756" i="139"/>
  <c r="N755" i="139"/>
  <c r="N754" i="139"/>
  <c r="N753" i="139"/>
  <c r="N752" i="139"/>
  <c r="N751" i="139"/>
  <c r="N750" i="139"/>
  <c r="N749" i="139"/>
  <c r="N748" i="139"/>
  <c r="N747" i="139"/>
  <c r="N746" i="139"/>
  <c r="N745" i="139"/>
  <c r="N744" i="139"/>
  <c r="N743" i="139"/>
  <c r="N742" i="139"/>
  <c r="N741" i="139"/>
  <c r="N740" i="139"/>
  <c r="N739" i="139"/>
  <c r="N738" i="139"/>
  <c r="N737" i="139"/>
  <c r="N736" i="139"/>
  <c r="N735" i="139"/>
  <c r="N734" i="139"/>
  <c r="N733" i="139"/>
  <c r="N732" i="139"/>
  <c r="N731" i="139"/>
  <c r="N730" i="139"/>
  <c r="N729" i="139"/>
  <c r="N728" i="139"/>
  <c r="N727" i="139"/>
  <c r="N726" i="139"/>
  <c r="N725" i="139"/>
  <c r="N724" i="139"/>
  <c r="N723" i="139"/>
  <c r="N722" i="139"/>
  <c r="N721" i="139"/>
  <c r="N720" i="139"/>
  <c r="N719" i="139"/>
  <c r="N718" i="139"/>
  <c r="N717" i="139"/>
  <c r="N716" i="139"/>
  <c r="N715" i="139"/>
  <c r="N714" i="139"/>
  <c r="N713" i="139"/>
  <c r="N712" i="139"/>
  <c r="N711" i="139"/>
  <c r="N710" i="139"/>
  <c r="N709" i="139"/>
  <c r="N708" i="139"/>
  <c r="N707" i="139"/>
  <c r="N706" i="139"/>
  <c r="N705" i="139"/>
  <c r="N704" i="139"/>
  <c r="N703" i="139"/>
  <c r="N702" i="139"/>
  <c r="N701" i="139"/>
  <c r="N700" i="139"/>
  <c r="N699" i="139"/>
  <c r="N698" i="139"/>
  <c r="N697" i="139"/>
  <c r="N696" i="139"/>
  <c r="N695" i="139"/>
  <c r="N694" i="139"/>
  <c r="N693" i="139"/>
  <c r="N692" i="139"/>
  <c r="N691" i="139"/>
  <c r="N690" i="139"/>
  <c r="N689" i="139"/>
  <c r="N688" i="139"/>
  <c r="N687" i="139"/>
  <c r="N686" i="139"/>
  <c r="N685" i="139"/>
  <c r="N684" i="139"/>
  <c r="N683" i="139"/>
  <c r="N682" i="139"/>
  <c r="N681" i="139"/>
  <c r="N680" i="139"/>
  <c r="N679" i="139"/>
  <c r="N678" i="139"/>
  <c r="N677" i="139"/>
  <c r="N676" i="139"/>
  <c r="N675" i="139"/>
  <c r="N674" i="139"/>
  <c r="N673" i="139"/>
  <c r="N672" i="139"/>
  <c r="N671" i="139"/>
  <c r="N670" i="139"/>
  <c r="N669" i="139"/>
  <c r="N668" i="139"/>
  <c r="N667" i="139"/>
  <c r="N666" i="139"/>
  <c r="N665" i="139"/>
  <c r="N664" i="139"/>
  <c r="N663" i="139"/>
  <c r="N662" i="139"/>
  <c r="T660" i="139"/>
  <c r="S660" i="139"/>
  <c r="R660" i="139"/>
  <c r="Q660" i="139"/>
  <c r="M660" i="139"/>
  <c r="L660" i="139"/>
  <c r="K660" i="139"/>
  <c r="J660" i="139"/>
  <c r="I660" i="139"/>
  <c r="H660" i="139"/>
  <c r="G660" i="139"/>
  <c r="N658" i="139"/>
  <c r="N657" i="139"/>
  <c r="N656" i="139"/>
  <c r="N655" i="139"/>
  <c r="N654" i="139"/>
  <c r="N653" i="139"/>
  <c r="N652" i="139"/>
  <c r="N651" i="139"/>
  <c r="N650" i="139"/>
  <c r="N649" i="139"/>
  <c r="N648" i="139"/>
  <c r="N647" i="139"/>
  <c r="N646" i="139"/>
  <c r="N645" i="139"/>
  <c r="N644" i="139"/>
  <c r="N643" i="139"/>
  <c r="N642" i="139"/>
  <c r="N641" i="139"/>
  <c r="N640" i="139"/>
  <c r="N639" i="139"/>
  <c r="N638" i="139"/>
  <c r="N637" i="139"/>
  <c r="N636" i="139"/>
  <c r="N635" i="139"/>
  <c r="N634" i="139"/>
  <c r="N633" i="139"/>
  <c r="N632" i="139"/>
  <c r="N631" i="139"/>
  <c r="N630" i="139"/>
  <c r="N629" i="139"/>
  <c r="N628" i="139"/>
  <c r="N627" i="139"/>
  <c r="N626" i="139"/>
  <c r="N625" i="139"/>
  <c r="N624" i="139"/>
  <c r="N623" i="139"/>
  <c r="N622" i="139"/>
  <c r="N621" i="139"/>
  <c r="N620" i="139"/>
  <c r="N619" i="139"/>
  <c r="N618" i="139"/>
  <c r="N617" i="139"/>
  <c r="N616" i="139"/>
  <c r="N615" i="139"/>
  <c r="N614" i="139"/>
  <c r="N613" i="139"/>
  <c r="N612" i="139"/>
  <c r="N611" i="139"/>
  <c r="N610" i="139"/>
  <c r="N609" i="139"/>
  <c r="N608" i="139"/>
  <c r="N607" i="139"/>
  <c r="N606" i="139"/>
  <c r="N605" i="139"/>
  <c r="N604" i="139"/>
  <c r="N603" i="139"/>
  <c r="N602" i="139"/>
  <c r="N601" i="139"/>
  <c r="N600" i="139"/>
  <c r="N599" i="139"/>
  <c r="N598" i="139"/>
  <c r="N597" i="139"/>
  <c r="N596" i="139"/>
  <c r="N595" i="139"/>
  <c r="N594" i="139"/>
  <c r="N593" i="139"/>
  <c r="N592" i="139"/>
  <c r="N591" i="139"/>
  <c r="N590" i="139"/>
  <c r="N589" i="139"/>
  <c r="N588" i="139"/>
  <c r="N587" i="139"/>
  <c r="N586" i="139"/>
  <c r="N585" i="139"/>
  <c r="N584" i="139"/>
  <c r="N583" i="139"/>
  <c r="N582" i="139"/>
  <c r="N581" i="139"/>
  <c r="N580" i="139"/>
  <c r="N579" i="139"/>
  <c r="N578" i="139"/>
  <c r="N577" i="139"/>
  <c r="N576" i="139"/>
  <c r="N575" i="139"/>
  <c r="N574" i="139"/>
  <c r="N573" i="139"/>
  <c r="N572" i="139"/>
  <c r="N571" i="139"/>
  <c r="N570" i="139"/>
  <c r="N569" i="139"/>
  <c r="N568" i="139"/>
  <c r="N567" i="139"/>
  <c r="N566" i="139"/>
  <c r="N565" i="139"/>
  <c r="N564" i="139"/>
  <c r="N563" i="139"/>
  <c r="N562" i="139"/>
  <c r="N561" i="139"/>
  <c r="N560" i="139"/>
  <c r="N559" i="139"/>
  <c r="N558" i="139"/>
  <c r="N557" i="139"/>
  <c r="N556" i="139"/>
  <c r="N555" i="139"/>
  <c r="N554" i="139"/>
  <c r="N553" i="139"/>
  <c r="N552" i="139"/>
  <c r="N551" i="139"/>
  <c r="N550" i="139"/>
  <c r="N549" i="139"/>
  <c r="N548" i="139"/>
  <c r="N547" i="139"/>
  <c r="N546" i="139"/>
  <c r="N545" i="139"/>
  <c r="N544" i="139"/>
  <c r="N543" i="139"/>
  <c r="N542" i="139"/>
  <c r="N541" i="139"/>
  <c r="N540" i="139"/>
  <c r="N539" i="139"/>
  <c r="N538" i="139"/>
  <c r="N537" i="139"/>
  <c r="N536" i="139"/>
  <c r="N535" i="139"/>
  <c r="N534" i="139"/>
  <c r="N533" i="139"/>
  <c r="N532" i="139"/>
  <c r="N531" i="139"/>
  <c r="N530" i="139"/>
  <c r="N529" i="139"/>
  <c r="N528" i="139"/>
  <c r="N527" i="139"/>
  <c r="N526" i="139"/>
  <c r="N525" i="139"/>
  <c r="N524" i="139"/>
  <c r="N523" i="139"/>
  <c r="N522" i="139"/>
  <c r="N521" i="139"/>
  <c r="N520" i="139"/>
  <c r="N519" i="139"/>
  <c r="N518" i="139"/>
  <c r="N517" i="139"/>
  <c r="N516" i="139"/>
  <c r="N515" i="139"/>
  <c r="N514" i="139"/>
  <c r="N513" i="139"/>
  <c r="T511" i="139"/>
  <c r="R511" i="139"/>
  <c r="Q511" i="139"/>
  <c r="M511" i="139"/>
  <c r="L511" i="139"/>
  <c r="K511" i="139"/>
  <c r="J511" i="139"/>
  <c r="I511" i="139"/>
  <c r="H511" i="139"/>
  <c r="G511" i="139"/>
  <c r="N509" i="139"/>
  <c r="N508" i="139"/>
  <c r="N507" i="139"/>
  <c r="N506" i="139"/>
  <c r="N505" i="139"/>
  <c r="N504" i="139"/>
  <c r="N503" i="139"/>
  <c r="N502" i="139"/>
  <c r="N501" i="139"/>
  <c r="N500" i="139"/>
  <c r="N499" i="139"/>
  <c r="N498" i="139"/>
  <c r="N497" i="139"/>
  <c r="N496" i="139"/>
  <c r="N495" i="139"/>
  <c r="N494" i="139"/>
  <c r="N493" i="139"/>
  <c r="N492" i="139"/>
  <c r="N491" i="139"/>
  <c r="N490" i="139"/>
  <c r="N489" i="139"/>
  <c r="N488" i="139"/>
  <c r="N487" i="139"/>
  <c r="N486" i="139"/>
  <c r="N485" i="139"/>
  <c r="N484" i="139"/>
  <c r="N483" i="139"/>
  <c r="N482" i="139"/>
  <c r="N481" i="139"/>
  <c r="N480" i="139"/>
  <c r="N479" i="139"/>
  <c r="N478" i="139"/>
  <c r="N477" i="139"/>
  <c r="N476" i="139"/>
  <c r="N475" i="139"/>
  <c r="N474" i="139"/>
  <c r="N473" i="139"/>
  <c r="N472" i="139"/>
  <c r="N471" i="139"/>
  <c r="N470" i="139"/>
  <c r="N469" i="139"/>
  <c r="N468" i="139"/>
  <c r="N467" i="139"/>
  <c r="N466" i="139"/>
  <c r="N465" i="139"/>
  <c r="N464" i="139"/>
  <c r="N463" i="139"/>
  <c r="N462" i="139"/>
  <c r="N461" i="139"/>
  <c r="N460" i="139"/>
  <c r="N459" i="139"/>
  <c r="N458" i="139"/>
  <c r="N457" i="139"/>
  <c r="N456" i="139"/>
  <c r="N455" i="139"/>
  <c r="N454" i="139"/>
  <c r="N453" i="139"/>
  <c r="N452" i="139"/>
  <c r="N451" i="139"/>
  <c r="N450" i="139"/>
  <c r="N449" i="139"/>
  <c r="N448" i="139"/>
  <c r="N447" i="139"/>
  <c r="N446" i="139"/>
  <c r="N445" i="139"/>
  <c r="N444" i="139"/>
  <c r="N443" i="139"/>
  <c r="N442" i="139"/>
  <c r="N441" i="139"/>
  <c r="N440" i="139"/>
  <c r="N439" i="139"/>
  <c r="N438" i="139"/>
  <c r="N437" i="139"/>
  <c r="N436" i="139"/>
  <c r="N435" i="139"/>
  <c r="N434" i="139"/>
  <c r="N433" i="139"/>
  <c r="N432" i="139"/>
  <c r="N431" i="139"/>
  <c r="N430" i="139"/>
  <c r="N429" i="139"/>
  <c r="N428" i="139"/>
  <c r="N427" i="139"/>
  <c r="N426" i="139"/>
  <c r="N425" i="139"/>
  <c r="N424" i="139"/>
  <c r="N423" i="139"/>
  <c r="N422" i="139"/>
  <c r="N421" i="139"/>
  <c r="N420" i="139"/>
  <c r="N419" i="139"/>
  <c r="N418" i="139"/>
  <c r="N417" i="139"/>
  <c r="N416" i="139"/>
  <c r="N415" i="139"/>
  <c r="N414" i="139"/>
  <c r="N413" i="139"/>
  <c r="N412" i="139"/>
  <c r="N411" i="139"/>
  <c r="N410" i="139"/>
  <c r="N409" i="139"/>
  <c r="N408" i="139"/>
  <c r="N407" i="139"/>
  <c r="N406" i="139"/>
  <c r="N405" i="139"/>
  <c r="N404" i="139"/>
  <c r="N403" i="139"/>
  <c r="N402" i="139"/>
  <c r="N401" i="139"/>
  <c r="N400" i="139"/>
  <c r="N399" i="139"/>
  <c r="N398" i="139"/>
  <c r="N397" i="139"/>
  <c r="N396" i="139"/>
  <c r="N395" i="139"/>
  <c r="N394" i="139"/>
  <c r="N393" i="139"/>
  <c r="N392" i="139"/>
  <c r="N391" i="139"/>
  <c r="N390" i="139"/>
  <c r="N389" i="139"/>
  <c r="N388" i="139"/>
  <c r="N387" i="139"/>
  <c r="N386" i="139"/>
  <c r="N385" i="139"/>
  <c r="N384" i="139"/>
  <c r="N383" i="139"/>
  <c r="N382" i="139"/>
  <c r="N381" i="139"/>
  <c r="N380" i="139"/>
  <c r="N379" i="139"/>
  <c r="N378" i="139"/>
  <c r="N377" i="139"/>
  <c r="N376" i="139"/>
  <c r="N375" i="139"/>
  <c r="N374" i="139"/>
  <c r="N373" i="139"/>
  <c r="N372" i="139"/>
  <c r="N371" i="139"/>
  <c r="N370" i="139"/>
  <c r="N369" i="139"/>
  <c r="N368" i="139"/>
  <c r="N367" i="139"/>
  <c r="N366" i="139"/>
  <c r="N365" i="139"/>
  <c r="N364" i="139"/>
  <c r="N363" i="139"/>
  <c r="N362" i="139"/>
  <c r="N361" i="139"/>
  <c r="N360" i="139"/>
  <c r="N359" i="139"/>
  <c r="N358" i="139"/>
  <c r="N357" i="139"/>
  <c r="N356" i="139"/>
  <c r="N355" i="139"/>
  <c r="N354" i="139"/>
  <c r="N353" i="139"/>
  <c r="N352" i="139"/>
  <c r="N351" i="139"/>
  <c r="N350" i="139"/>
  <c r="N349" i="139"/>
  <c r="N348" i="139"/>
  <c r="N347" i="139"/>
  <c r="N346" i="139"/>
  <c r="N345" i="139"/>
  <c r="N344" i="139"/>
  <c r="N343" i="139"/>
  <c r="N342" i="139"/>
  <c r="N341" i="139"/>
  <c r="N340" i="139"/>
  <c r="N339" i="139"/>
  <c r="N338" i="139"/>
  <c r="N337" i="139"/>
  <c r="N336" i="139"/>
  <c r="N335" i="139"/>
  <c r="N334" i="139"/>
  <c r="N333" i="139"/>
  <c r="N332" i="139"/>
  <c r="N331" i="139"/>
  <c r="N330" i="139"/>
  <c r="N329" i="139"/>
  <c r="N328" i="139"/>
  <c r="N327" i="139"/>
  <c r="N326" i="139"/>
  <c r="N325" i="139"/>
  <c r="N324" i="139"/>
  <c r="N323" i="139"/>
  <c r="N322" i="139"/>
  <c r="N321" i="139"/>
  <c r="N320" i="139"/>
  <c r="N319" i="139"/>
  <c r="N318" i="139"/>
  <c r="N317" i="139"/>
  <c r="N316" i="139"/>
  <c r="N315" i="139"/>
  <c r="N314" i="139"/>
  <c r="N313" i="139"/>
  <c r="N312" i="139"/>
  <c r="N311" i="139"/>
  <c r="N310" i="139"/>
  <c r="N309" i="139"/>
  <c r="N308" i="139"/>
  <c r="N307" i="139"/>
  <c r="N306" i="139"/>
  <c r="N305" i="139"/>
  <c r="N304" i="139"/>
  <c r="N303" i="139"/>
  <c r="N302" i="139"/>
  <c r="N301" i="139"/>
  <c r="N300" i="139"/>
  <c r="N299" i="139"/>
  <c r="N298" i="139"/>
  <c r="N297" i="139"/>
  <c r="N296" i="139"/>
  <c r="N295" i="139"/>
  <c r="N294" i="139"/>
  <c r="N293" i="139"/>
  <c r="N292" i="139"/>
  <c r="N291" i="139"/>
  <c r="N290" i="139"/>
  <c r="N289" i="139"/>
  <c r="N288" i="139"/>
  <c r="N287" i="139"/>
  <c r="N286" i="139"/>
  <c r="N285" i="139"/>
  <c r="N284" i="139"/>
  <c r="N283" i="139"/>
  <c r="T281" i="139"/>
  <c r="R281" i="139"/>
  <c r="Q281" i="139"/>
  <c r="K281" i="139"/>
  <c r="J281" i="139"/>
  <c r="G281" i="139"/>
  <c r="N279" i="139"/>
  <c r="N278" i="139"/>
  <c r="N277" i="139"/>
  <c r="N276" i="139"/>
  <c r="N275" i="139"/>
  <c r="N274" i="139"/>
  <c r="N273" i="139"/>
  <c r="N272" i="139"/>
  <c r="N271" i="139"/>
  <c r="N270" i="139"/>
  <c r="N269" i="139"/>
  <c r="N268" i="139"/>
  <c r="N267" i="139"/>
  <c r="N266" i="139"/>
  <c r="N265" i="139"/>
  <c r="N264" i="139"/>
  <c r="N263" i="139"/>
  <c r="N262" i="139"/>
  <c r="N261" i="139"/>
  <c r="N260" i="139"/>
  <c r="N259" i="139"/>
  <c r="N258" i="139"/>
  <c r="N257" i="139"/>
  <c r="N256" i="139"/>
  <c r="N255" i="139"/>
  <c r="N254" i="139"/>
  <c r="N253" i="139"/>
  <c r="N252" i="139"/>
  <c r="N251" i="139"/>
  <c r="N250" i="139"/>
  <c r="N249" i="139"/>
  <c r="N248" i="139"/>
  <c r="N247" i="139"/>
  <c r="N246" i="139"/>
  <c r="N245" i="139"/>
  <c r="N244" i="139"/>
  <c r="N243" i="139"/>
  <c r="N242" i="139"/>
  <c r="N241" i="139"/>
  <c r="N240" i="139"/>
  <c r="N239" i="139"/>
  <c r="N238" i="139"/>
  <c r="N237" i="139"/>
  <c r="N236" i="139"/>
  <c r="N235" i="139"/>
  <c r="N234" i="139"/>
  <c r="N233" i="139"/>
  <c r="N232" i="139"/>
  <c r="N231" i="139"/>
  <c r="N230" i="139"/>
  <c r="N229" i="139"/>
  <c r="N228" i="139"/>
  <c r="N227" i="139"/>
  <c r="N226" i="139"/>
  <c r="N225" i="139"/>
  <c r="N224" i="139"/>
  <c r="N223" i="139"/>
  <c r="N222" i="139"/>
  <c r="N221" i="139"/>
  <c r="N220" i="139"/>
  <c r="N219" i="139"/>
  <c r="N218" i="139"/>
  <c r="U217" i="139"/>
  <c r="N217" i="139"/>
  <c r="N216" i="139"/>
  <c r="N215" i="139"/>
  <c r="N214" i="139"/>
  <c r="N213" i="139"/>
  <c r="N212" i="139"/>
  <c r="N211" i="139"/>
  <c r="N210" i="139"/>
  <c r="N209" i="139"/>
  <c r="N208" i="139"/>
  <c r="N207" i="139"/>
  <c r="N206" i="139"/>
  <c r="N205" i="139"/>
  <c r="N204" i="139"/>
  <c r="N203" i="139"/>
  <c r="N202" i="139"/>
  <c r="N201" i="139"/>
  <c r="N200" i="139"/>
  <c r="N199" i="139"/>
  <c r="N198" i="139"/>
  <c r="N197" i="139"/>
  <c r="N196" i="139"/>
  <c r="N195" i="139"/>
  <c r="N194" i="139"/>
  <c r="N193" i="139"/>
  <c r="N192" i="139"/>
  <c r="N191" i="139"/>
  <c r="N190" i="139"/>
  <c r="N189" i="139"/>
  <c r="N188" i="139"/>
  <c r="N187" i="139"/>
  <c r="N186" i="139"/>
  <c r="N185" i="139"/>
  <c r="N184" i="139"/>
  <c r="N183" i="139"/>
  <c r="N182" i="139"/>
  <c r="N181" i="139"/>
  <c r="N180" i="139"/>
  <c r="N179" i="139"/>
  <c r="N178" i="139"/>
  <c r="N177" i="139"/>
  <c r="N176" i="139"/>
  <c r="N175" i="139"/>
  <c r="N174" i="139"/>
  <c r="N173" i="139"/>
  <c r="N172" i="139"/>
  <c r="N171" i="139"/>
  <c r="N170" i="139"/>
  <c r="N169" i="139"/>
  <c r="N168" i="139"/>
  <c r="N167" i="139"/>
  <c r="N166" i="139"/>
  <c r="N165" i="139"/>
  <c r="N164" i="139"/>
  <c r="N163" i="139"/>
  <c r="N162" i="139"/>
  <c r="N161" i="139"/>
  <c r="N160" i="139"/>
  <c r="N159" i="139"/>
  <c r="N158" i="139"/>
  <c r="N157" i="139"/>
  <c r="N156" i="139"/>
  <c r="N155" i="139"/>
  <c r="N154" i="139"/>
  <c r="N153" i="139"/>
  <c r="N152" i="139"/>
  <c r="N151" i="139"/>
  <c r="N150" i="139"/>
  <c r="N149" i="139"/>
  <c r="N148" i="139"/>
  <c r="N147" i="139"/>
  <c r="N146" i="139"/>
  <c r="N145" i="139"/>
  <c r="N144" i="139"/>
  <c r="N143" i="139"/>
  <c r="T141" i="139"/>
  <c r="C4" i="139" s="1"/>
  <c r="R141" i="139"/>
  <c r="C5" i="139" s="1"/>
  <c r="Q141" i="139"/>
  <c r="C3" i="139" s="1"/>
  <c r="K141" i="139"/>
  <c r="J141" i="139"/>
  <c r="G141" i="139"/>
  <c r="N140" i="139"/>
  <c r="N139" i="139"/>
  <c r="N138" i="139"/>
  <c r="N137" i="139"/>
  <c r="N136" i="139"/>
  <c r="N135" i="139"/>
  <c r="N134" i="139"/>
  <c r="N133" i="139"/>
  <c r="N132" i="139"/>
  <c r="N131" i="139"/>
  <c r="N130" i="139"/>
  <c r="N129" i="139"/>
  <c r="N128" i="139"/>
  <c r="N127" i="139"/>
  <c r="N126" i="139"/>
  <c r="N125" i="139"/>
  <c r="N124" i="139"/>
  <c r="N123" i="139"/>
  <c r="N122" i="139"/>
  <c r="N121" i="139"/>
  <c r="N120" i="139"/>
  <c r="N119" i="139"/>
  <c r="N118" i="139"/>
  <c r="N117" i="139"/>
  <c r="N116" i="139"/>
  <c r="N115" i="139"/>
  <c r="N114" i="139"/>
  <c r="N113" i="139"/>
  <c r="N112" i="139"/>
  <c r="N111" i="139"/>
  <c r="N110" i="139"/>
  <c r="N109" i="139"/>
  <c r="N108" i="139"/>
  <c r="N107" i="139"/>
  <c r="N106" i="139"/>
  <c r="N105" i="139"/>
  <c r="N104" i="139"/>
  <c r="N103" i="139"/>
  <c r="N102" i="139"/>
  <c r="N101" i="139"/>
  <c r="N100" i="139"/>
  <c r="N99" i="139"/>
  <c r="N98" i="139"/>
  <c r="N97" i="139"/>
  <c r="N96" i="139"/>
  <c r="N95" i="139"/>
  <c r="N94" i="139"/>
  <c r="N93" i="139"/>
  <c r="N92" i="139"/>
  <c r="N91" i="139"/>
  <c r="N90" i="139"/>
  <c r="N89" i="139"/>
  <c r="N88" i="139"/>
  <c r="N87" i="139"/>
  <c r="N86" i="139"/>
  <c r="N85" i="139"/>
  <c r="N84" i="139"/>
  <c r="N83" i="139"/>
  <c r="N82" i="139"/>
  <c r="N81" i="139"/>
  <c r="N80" i="139"/>
  <c r="N79" i="139"/>
  <c r="N78" i="139"/>
  <c r="N77" i="139"/>
  <c r="N76" i="139"/>
  <c r="N75" i="139"/>
  <c r="N74" i="139"/>
  <c r="N73" i="139"/>
  <c r="N72" i="139"/>
  <c r="N71" i="139"/>
  <c r="N70" i="139"/>
  <c r="N69" i="139"/>
  <c r="N68" i="139"/>
  <c r="N67" i="139"/>
  <c r="N66" i="139"/>
  <c r="N65" i="139"/>
  <c r="N64" i="139"/>
  <c r="N63" i="139"/>
  <c r="N62" i="139"/>
  <c r="N61" i="139"/>
  <c r="N60" i="139"/>
  <c r="N59" i="139"/>
  <c r="N58" i="139"/>
  <c r="N57" i="139"/>
  <c r="N56" i="139"/>
  <c r="N55" i="139"/>
  <c r="N54" i="139"/>
  <c r="N53" i="139"/>
  <c r="N52" i="139"/>
  <c r="N51" i="139"/>
  <c r="N50" i="139"/>
  <c r="N49" i="139"/>
  <c r="N48" i="139"/>
  <c r="N47" i="139"/>
  <c r="N46" i="139"/>
  <c r="N45" i="139"/>
  <c r="N44" i="139"/>
  <c r="N43" i="139"/>
  <c r="N42" i="139"/>
  <c r="N41" i="139"/>
  <c r="N40" i="139"/>
  <c r="N39" i="139"/>
  <c r="N38" i="139"/>
  <c r="N37" i="139"/>
  <c r="N36" i="139"/>
  <c r="N35" i="139"/>
  <c r="N34" i="139"/>
  <c r="N33" i="139"/>
  <c r="N32" i="139"/>
  <c r="N31" i="139"/>
  <c r="N30" i="139"/>
  <c r="N29" i="139"/>
  <c r="N28" i="139"/>
  <c r="N27" i="139"/>
  <c r="N26" i="139"/>
  <c r="N25" i="139"/>
  <c r="N24" i="139"/>
  <c r="N23" i="139"/>
  <c r="N22" i="139"/>
  <c r="N21" i="139"/>
  <c r="N20" i="139"/>
  <c r="N19" i="139"/>
  <c r="N18" i="139"/>
  <c r="N17" i="139"/>
  <c r="N16" i="139"/>
  <c r="N15" i="139"/>
  <c r="N14" i="139"/>
  <c r="N13" i="139"/>
  <c r="N12" i="139"/>
  <c r="N11" i="139"/>
  <c r="K9" i="139"/>
  <c r="J9" i="139"/>
  <c r="G9" i="139"/>
  <c r="C7" i="139"/>
  <c r="F4" i="139"/>
  <c r="F7" i="139" s="1"/>
  <c r="C1" i="139"/>
  <c r="L706" i="138"/>
  <c r="M706" i="138"/>
  <c r="L634" i="138"/>
  <c r="M634" i="138" s="1"/>
  <c r="O703" i="138"/>
  <c r="O721" i="138"/>
  <c r="O741" i="138"/>
  <c r="M686" i="138"/>
  <c r="M687" i="138"/>
  <c r="M688" i="138"/>
  <c r="M689" i="138"/>
  <c r="M690" i="138"/>
  <c r="M691" i="138"/>
  <c r="M692" i="138"/>
  <c r="M693" i="138"/>
  <c r="M694" i="138"/>
  <c r="M695" i="138"/>
  <c r="M696" i="138"/>
  <c r="M697" i="138"/>
  <c r="M698" i="138"/>
  <c r="M699" i="138"/>
  <c r="M700" i="138"/>
  <c r="M701" i="138"/>
  <c r="M702" i="138"/>
  <c r="M703" i="138"/>
  <c r="M704" i="138"/>
  <c r="M705" i="138"/>
  <c r="M707" i="138"/>
  <c r="M708" i="138"/>
  <c r="M709" i="138"/>
  <c r="M710" i="138"/>
  <c r="O710" i="138" s="1"/>
  <c r="M711" i="138"/>
  <c r="M712" i="138"/>
  <c r="M713" i="138"/>
  <c r="M714" i="138"/>
  <c r="M715" i="138"/>
  <c r="M716" i="138"/>
  <c r="M717" i="138"/>
  <c r="M718" i="138"/>
  <c r="M719" i="138"/>
  <c r="M720" i="138"/>
  <c r="M721" i="138"/>
  <c r="M722" i="138"/>
  <c r="M723" i="138"/>
  <c r="M724" i="138"/>
  <c r="M725" i="138"/>
  <c r="M726" i="138"/>
  <c r="M727" i="138"/>
  <c r="M728" i="138"/>
  <c r="M729" i="138"/>
  <c r="M730" i="138"/>
  <c r="M731" i="138"/>
  <c r="O731" i="138" s="1"/>
  <c r="M732" i="138"/>
  <c r="M733" i="138"/>
  <c r="M734" i="138"/>
  <c r="M735" i="138"/>
  <c r="O735" i="138" s="1"/>
  <c r="M736" i="138"/>
  <c r="M737" i="138"/>
  <c r="M738" i="138"/>
  <c r="M739" i="138"/>
  <c r="M740" i="138"/>
  <c r="M741" i="138"/>
  <c r="M742" i="138"/>
  <c r="M743" i="138"/>
  <c r="M744" i="138"/>
  <c r="M745" i="138"/>
  <c r="M746" i="138"/>
  <c r="M685" i="138"/>
  <c r="N684" i="138"/>
  <c r="L684" i="138"/>
  <c r="K684" i="138"/>
  <c r="J684" i="138"/>
  <c r="F684" i="138"/>
  <c r="E684" i="138"/>
  <c r="G746" i="138"/>
  <c r="O746" i="138" s="1"/>
  <c r="G745" i="138"/>
  <c r="O745" i="138" s="1"/>
  <c r="G744" i="138"/>
  <c r="G743" i="138"/>
  <c r="O743" i="138" s="1"/>
  <c r="G742" i="138"/>
  <c r="O742" i="138" s="1"/>
  <c r="G741" i="138"/>
  <c r="G740" i="138"/>
  <c r="G739" i="138"/>
  <c r="O739" i="138" s="1"/>
  <c r="G738" i="138"/>
  <c r="G737" i="138"/>
  <c r="G736" i="138"/>
  <c r="G735" i="138"/>
  <c r="G734" i="138"/>
  <c r="G733" i="138"/>
  <c r="G732" i="138"/>
  <c r="O732" i="138" s="1"/>
  <c r="G731" i="138"/>
  <c r="G730" i="138"/>
  <c r="G729" i="138"/>
  <c r="G728" i="138"/>
  <c r="G727" i="138"/>
  <c r="G726" i="138"/>
  <c r="G725" i="138"/>
  <c r="G724" i="138"/>
  <c r="G723" i="138"/>
  <c r="G722" i="138"/>
  <c r="G721" i="138"/>
  <c r="G720" i="138"/>
  <c r="G719" i="138"/>
  <c r="O719" i="138" s="1"/>
  <c r="G718" i="138"/>
  <c r="G717" i="138"/>
  <c r="G716" i="138"/>
  <c r="G715" i="138"/>
  <c r="G714" i="138"/>
  <c r="G713" i="138"/>
  <c r="G712" i="138"/>
  <c r="G711" i="138"/>
  <c r="G709" i="138"/>
  <c r="G708" i="138"/>
  <c r="G707" i="138"/>
  <c r="O707" i="138" s="1"/>
  <c r="G706" i="138"/>
  <c r="G705" i="138"/>
  <c r="O705" i="138" s="1"/>
  <c r="G704" i="138"/>
  <c r="G703" i="138"/>
  <c r="G702" i="138"/>
  <c r="G701" i="138"/>
  <c r="G700" i="138"/>
  <c r="G699" i="138"/>
  <c r="G698" i="138"/>
  <c r="G697" i="138"/>
  <c r="G696" i="138"/>
  <c r="G695" i="138"/>
  <c r="G694" i="138"/>
  <c r="G693" i="138"/>
  <c r="O693" i="138" s="1"/>
  <c r="G692" i="138"/>
  <c r="G691" i="138"/>
  <c r="O691" i="138" s="1"/>
  <c r="G690" i="138"/>
  <c r="G689" i="138"/>
  <c r="G688" i="138"/>
  <c r="G687" i="138"/>
  <c r="G686" i="138"/>
  <c r="G685" i="138"/>
  <c r="G684" i="138" s="1"/>
  <c r="M679" i="138"/>
  <c r="G679" i="138"/>
  <c r="M678" i="138"/>
  <c r="G678" i="138"/>
  <c r="M677" i="138"/>
  <c r="G677" i="138"/>
  <c r="M676" i="138"/>
  <c r="G676" i="138"/>
  <c r="M675" i="138"/>
  <c r="G675" i="138"/>
  <c r="M674" i="138"/>
  <c r="G674" i="138"/>
  <c r="M673" i="138"/>
  <c r="G673" i="138"/>
  <c r="M672" i="138"/>
  <c r="O672" i="138" s="1"/>
  <c r="G672" i="138"/>
  <c r="M671" i="138"/>
  <c r="G671" i="138"/>
  <c r="O671" i="138" s="1"/>
  <c r="M670" i="138"/>
  <c r="G670" i="138"/>
  <c r="M669" i="138"/>
  <c r="G669" i="138"/>
  <c r="M668" i="138"/>
  <c r="G668" i="138"/>
  <c r="M667" i="138"/>
  <c r="G667" i="138"/>
  <c r="M666" i="138"/>
  <c r="G666" i="138"/>
  <c r="M665" i="138"/>
  <c r="G665" i="138"/>
  <c r="O664" i="138"/>
  <c r="M664" i="138"/>
  <c r="G664" i="138"/>
  <c r="M663" i="138"/>
  <c r="G663" i="138"/>
  <c r="O663" i="138" s="1"/>
  <c r="M662" i="138"/>
  <c r="G662" i="138"/>
  <c r="M661" i="138"/>
  <c r="G661" i="138"/>
  <c r="M660" i="138"/>
  <c r="O660" i="138" s="1"/>
  <c r="M659" i="138"/>
  <c r="O659" i="138" s="1"/>
  <c r="M658" i="138"/>
  <c r="G658" i="138"/>
  <c r="M657" i="138"/>
  <c r="G657" i="138"/>
  <c r="O657" i="138" s="1"/>
  <c r="M656" i="138"/>
  <c r="G656" i="138"/>
  <c r="M655" i="138"/>
  <c r="G655" i="138"/>
  <c r="M654" i="138"/>
  <c r="G654" i="138"/>
  <c r="M653" i="138"/>
  <c r="G653" i="138"/>
  <c r="O653" i="138" s="1"/>
  <c r="M652" i="138"/>
  <c r="G652" i="138"/>
  <c r="M651" i="138"/>
  <c r="G651" i="138"/>
  <c r="O651" i="138" s="1"/>
  <c r="M650" i="138"/>
  <c r="G650" i="138"/>
  <c r="M649" i="138"/>
  <c r="G649" i="138"/>
  <c r="O649" i="138" s="1"/>
  <c r="M648" i="138"/>
  <c r="G648" i="138"/>
  <c r="M647" i="138"/>
  <c r="G647" i="138"/>
  <c r="O647" i="138" s="1"/>
  <c r="M646" i="138"/>
  <c r="G646" i="138"/>
  <c r="M645" i="138"/>
  <c r="G645" i="138"/>
  <c r="O645" i="138" s="1"/>
  <c r="M644" i="138"/>
  <c r="G644" i="138"/>
  <c r="O644" i="138" s="1"/>
  <c r="M643" i="138"/>
  <c r="G643" i="138"/>
  <c r="O643" i="138" s="1"/>
  <c r="M642" i="138"/>
  <c r="G642" i="138"/>
  <c r="M641" i="138"/>
  <c r="O641" i="138" s="1"/>
  <c r="G641" i="138"/>
  <c r="M640" i="138"/>
  <c r="G640" i="138"/>
  <c r="M639" i="138"/>
  <c r="G639" i="138"/>
  <c r="M638" i="138"/>
  <c r="G638" i="138"/>
  <c r="O638" i="138" s="1"/>
  <c r="M637" i="138"/>
  <c r="G637" i="138"/>
  <c r="M636" i="138"/>
  <c r="G636" i="138"/>
  <c r="O636" i="138" s="1"/>
  <c r="M635" i="138"/>
  <c r="G635" i="138"/>
  <c r="F634" i="138"/>
  <c r="F608" i="138" s="1"/>
  <c r="E634" i="138"/>
  <c r="M633" i="138"/>
  <c r="G633" i="138"/>
  <c r="M632" i="138"/>
  <c r="G632" i="138"/>
  <c r="O632" i="138" s="1"/>
  <c r="M631" i="138"/>
  <c r="G631" i="138"/>
  <c r="O631" i="138" s="1"/>
  <c r="M630" i="138"/>
  <c r="G630" i="138"/>
  <c r="M629" i="138"/>
  <c r="G629" i="138"/>
  <c r="M628" i="138"/>
  <c r="O628" i="138" s="1"/>
  <c r="G628" i="138"/>
  <c r="M627" i="138"/>
  <c r="G627" i="138"/>
  <c r="M626" i="138"/>
  <c r="G626" i="138"/>
  <c r="M625" i="138"/>
  <c r="G625" i="138"/>
  <c r="M624" i="138"/>
  <c r="G624" i="138"/>
  <c r="M623" i="138"/>
  <c r="G623" i="138"/>
  <c r="O623" i="138" s="1"/>
  <c r="M622" i="138"/>
  <c r="G622" i="138"/>
  <c r="M621" i="138"/>
  <c r="G621" i="138"/>
  <c r="O620" i="138"/>
  <c r="M620" i="138"/>
  <c r="G620" i="138"/>
  <c r="M619" i="138"/>
  <c r="G619" i="138"/>
  <c r="M618" i="138"/>
  <c r="G618" i="138"/>
  <c r="M617" i="138"/>
  <c r="G617" i="138"/>
  <c r="M616" i="138"/>
  <c r="G616" i="138"/>
  <c r="O616" i="138" s="1"/>
  <c r="M615" i="138"/>
  <c r="G615" i="138"/>
  <c r="O615" i="138" s="1"/>
  <c r="M614" i="138"/>
  <c r="G614" i="138"/>
  <c r="M613" i="138"/>
  <c r="G613" i="138"/>
  <c r="M612" i="138"/>
  <c r="G612" i="138"/>
  <c r="O612" i="138" s="1"/>
  <c r="M611" i="138"/>
  <c r="O611" i="138" s="1"/>
  <c r="G611" i="138"/>
  <c r="M610" i="138"/>
  <c r="G610" i="138"/>
  <c r="M609" i="138"/>
  <c r="G609" i="138"/>
  <c r="N608" i="138"/>
  <c r="L608" i="138"/>
  <c r="K608" i="138"/>
  <c r="J608" i="138"/>
  <c r="E608" i="138"/>
  <c r="M605" i="138"/>
  <c r="G605" i="138"/>
  <c r="M604" i="138"/>
  <c r="G604" i="138"/>
  <c r="O603" i="138"/>
  <c r="M603" i="138"/>
  <c r="G603" i="138"/>
  <c r="M602" i="138"/>
  <c r="G602" i="138"/>
  <c r="M601" i="138"/>
  <c r="G601" i="138"/>
  <c r="M600" i="138"/>
  <c r="G600" i="138"/>
  <c r="O600" i="138" s="1"/>
  <c r="M599" i="138"/>
  <c r="G599" i="138"/>
  <c r="O599" i="138" s="1"/>
  <c r="M598" i="138"/>
  <c r="G598" i="138"/>
  <c r="M597" i="138"/>
  <c r="G597" i="138"/>
  <c r="O597" i="138" s="1"/>
  <c r="M596" i="138"/>
  <c r="G596" i="138"/>
  <c r="O596" i="138" s="1"/>
  <c r="M595" i="138"/>
  <c r="G595" i="138"/>
  <c r="O595" i="138" s="1"/>
  <c r="M594" i="138"/>
  <c r="G594" i="138"/>
  <c r="M593" i="138"/>
  <c r="G593" i="138"/>
  <c r="M592" i="138"/>
  <c r="G592" i="138"/>
  <c r="M591" i="138"/>
  <c r="G591" i="138"/>
  <c r="M590" i="138"/>
  <c r="G590" i="138"/>
  <c r="M589" i="138"/>
  <c r="G589" i="138"/>
  <c r="M588" i="138"/>
  <c r="G588" i="138"/>
  <c r="M587" i="138"/>
  <c r="O587" i="138" s="1"/>
  <c r="M586" i="138"/>
  <c r="G586" i="138"/>
  <c r="M585" i="138"/>
  <c r="G585" i="138"/>
  <c r="M584" i="138"/>
  <c r="G584" i="138"/>
  <c r="M583" i="138"/>
  <c r="G583" i="138"/>
  <c r="M582" i="138"/>
  <c r="G582" i="138"/>
  <c r="M581" i="138"/>
  <c r="G581" i="138"/>
  <c r="M580" i="138"/>
  <c r="G580" i="138"/>
  <c r="O580" i="138" s="1"/>
  <c r="M579" i="138"/>
  <c r="G579" i="138"/>
  <c r="M578" i="138"/>
  <c r="G578" i="138"/>
  <c r="O578" i="138" s="1"/>
  <c r="M577" i="138"/>
  <c r="O577" i="138" s="1"/>
  <c r="G577" i="138"/>
  <c r="M576" i="138"/>
  <c r="G576" i="138"/>
  <c r="M575" i="138"/>
  <c r="G575" i="138"/>
  <c r="M574" i="138"/>
  <c r="G574" i="138"/>
  <c r="M573" i="138"/>
  <c r="G573" i="138"/>
  <c r="M572" i="138"/>
  <c r="G572" i="138"/>
  <c r="O572" i="138" s="1"/>
  <c r="M571" i="138"/>
  <c r="G571" i="138"/>
  <c r="M570" i="138"/>
  <c r="G570" i="138"/>
  <c r="O570" i="138" s="1"/>
  <c r="M569" i="138"/>
  <c r="G569" i="138"/>
  <c r="M568" i="138"/>
  <c r="G568" i="138"/>
  <c r="M567" i="138"/>
  <c r="G567" i="138"/>
  <c r="M566" i="138"/>
  <c r="G566" i="138"/>
  <c r="M565" i="138"/>
  <c r="G565" i="138"/>
  <c r="M564" i="138"/>
  <c r="G564" i="138"/>
  <c r="O564" i="138" s="1"/>
  <c r="M563" i="138"/>
  <c r="G563" i="138"/>
  <c r="M562" i="138"/>
  <c r="G562" i="138"/>
  <c r="O562" i="138" s="1"/>
  <c r="M561" i="138"/>
  <c r="G561" i="138"/>
  <c r="M560" i="138"/>
  <c r="G560" i="138"/>
  <c r="M559" i="138"/>
  <c r="G559" i="138"/>
  <c r="M558" i="138"/>
  <c r="G558" i="138"/>
  <c r="M557" i="138"/>
  <c r="G557" i="138"/>
  <c r="M556" i="138"/>
  <c r="G556" i="138"/>
  <c r="O556" i="138" s="1"/>
  <c r="M555" i="138"/>
  <c r="G555" i="138"/>
  <c r="M554" i="138"/>
  <c r="G554" i="138"/>
  <c r="O554" i="138" s="1"/>
  <c r="M553" i="138"/>
  <c r="G553" i="138"/>
  <c r="O553" i="138" s="1"/>
  <c r="M552" i="138"/>
  <c r="G552" i="138"/>
  <c r="M551" i="138"/>
  <c r="O551" i="138" s="1"/>
  <c r="M550" i="138"/>
  <c r="O550" i="138" s="1"/>
  <c r="M549" i="138"/>
  <c r="O549" i="138" s="1"/>
  <c r="M548" i="138"/>
  <c r="G548" i="138"/>
  <c r="M547" i="138"/>
  <c r="G547" i="138"/>
  <c r="O547" i="138" s="1"/>
  <c r="M546" i="138"/>
  <c r="G546" i="138"/>
  <c r="M545" i="138"/>
  <c r="G545" i="138"/>
  <c r="O545" i="138" s="1"/>
  <c r="M544" i="138"/>
  <c r="G544" i="138"/>
  <c r="M543" i="138"/>
  <c r="G543" i="138"/>
  <c r="M542" i="138"/>
  <c r="G542" i="138"/>
  <c r="M541" i="138"/>
  <c r="G541" i="138"/>
  <c r="M540" i="138"/>
  <c r="G540" i="138"/>
  <c r="M539" i="138"/>
  <c r="G539" i="138"/>
  <c r="M538" i="138"/>
  <c r="G538" i="138"/>
  <c r="M537" i="138"/>
  <c r="G537" i="138"/>
  <c r="M536" i="138"/>
  <c r="G536" i="138"/>
  <c r="M535" i="138"/>
  <c r="G535" i="138"/>
  <c r="M534" i="138"/>
  <c r="G534" i="138"/>
  <c r="N533" i="138"/>
  <c r="L533" i="138"/>
  <c r="K533" i="138"/>
  <c r="J533" i="138"/>
  <c r="F533" i="138"/>
  <c r="E533" i="138"/>
  <c r="M530" i="138"/>
  <c r="G530" i="138"/>
  <c r="M529" i="138"/>
  <c r="G529" i="138"/>
  <c r="O529" i="138" s="1"/>
  <c r="M528" i="138"/>
  <c r="G528" i="138"/>
  <c r="M527" i="138"/>
  <c r="G527" i="138"/>
  <c r="M526" i="138"/>
  <c r="G526" i="138"/>
  <c r="M525" i="138"/>
  <c r="G525" i="138"/>
  <c r="M524" i="138"/>
  <c r="G524" i="138"/>
  <c r="M523" i="138"/>
  <c r="G523" i="138"/>
  <c r="M522" i="138"/>
  <c r="G522" i="138"/>
  <c r="M521" i="138"/>
  <c r="G521" i="138"/>
  <c r="O521" i="138" s="1"/>
  <c r="O520" i="138"/>
  <c r="M520" i="138"/>
  <c r="G520" i="138"/>
  <c r="M519" i="138"/>
  <c r="G519" i="138"/>
  <c r="M518" i="138"/>
  <c r="G518" i="138"/>
  <c r="M517" i="138"/>
  <c r="G517" i="138"/>
  <c r="M516" i="138"/>
  <c r="G516" i="138"/>
  <c r="M515" i="138"/>
  <c r="G515" i="138"/>
  <c r="O515" i="138" s="1"/>
  <c r="M514" i="138"/>
  <c r="G514" i="138"/>
  <c r="M513" i="138"/>
  <c r="G513" i="138"/>
  <c r="O513" i="138" s="1"/>
  <c r="M512" i="138"/>
  <c r="G512" i="138"/>
  <c r="O512" i="138" s="1"/>
  <c r="M511" i="138"/>
  <c r="G511" i="138"/>
  <c r="M510" i="138"/>
  <c r="G510" i="138"/>
  <c r="M509" i="138"/>
  <c r="G509" i="138"/>
  <c r="M508" i="138"/>
  <c r="G508" i="138"/>
  <c r="O508" i="138" s="1"/>
  <c r="M507" i="138"/>
  <c r="G507" i="138"/>
  <c r="M506" i="138"/>
  <c r="G506" i="138"/>
  <c r="M505" i="138"/>
  <c r="G505" i="138"/>
  <c r="M504" i="138"/>
  <c r="G504" i="138"/>
  <c r="O504" i="138" s="1"/>
  <c r="M503" i="138"/>
  <c r="G503" i="138"/>
  <c r="M502" i="138"/>
  <c r="G502" i="138"/>
  <c r="M501" i="138"/>
  <c r="G501" i="138"/>
  <c r="M500" i="138"/>
  <c r="G500" i="138"/>
  <c r="O500" i="138" s="1"/>
  <c r="M499" i="138"/>
  <c r="O499" i="138" s="1"/>
  <c r="G499" i="138"/>
  <c r="M498" i="138"/>
  <c r="G498" i="138"/>
  <c r="M497" i="138"/>
  <c r="G497" i="138"/>
  <c r="M496" i="138"/>
  <c r="G496" i="138"/>
  <c r="O496" i="138" s="1"/>
  <c r="M495" i="138"/>
  <c r="G495" i="138"/>
  <c r="M494" i="138"/>
  <c r="G494" i="138"/>
  <c r="M493" i="138"/>
  <c r="G493" i="138"/>
  <c r="M492" i="138"/>
  <c r="G492" i="138"/>
  <c r="M491" i="138"/>
  <c r="G491" i="138"/>
  <c r="O491" i="138" s="1"/>
  <c r="M490" i="138"/>
  <c r="G490" i="138"/>
  <c r="M489" i="138"/>
  <c r="G489" i="138"/>
  <c r="O489" i="138" s="1"/>
  <c r="M488" i="138"/>
  <c r="G488" i="138"/>
  <c r="O488" i="138" s="1"/>
  <c r="M487" i="138"/>
  <c r="G487" i="138"/>
  <c r="M486" i="138"/>
  <c r="G486" i="138"/>
  <c r="M485" i="138"/>
  <c r="G485" i="138"/>
  <c r="M484" i="138"/>
  <c r="G484" i="138"/>
  <c r="M483" i="138"/>
  <c r="G483" i="138"/>
  <c r="M482" i="138"/>
  <c r="G482" i="138"/>
  <c r="L481" i="138"/>
  <c r="G481" i="138"/>
  <c r="M480" i="138"/>
  <c r="G480" i="138"/>
  <c r="M479" i="138"/>
  <c r="G479" i="138"/>
  <c r="M478" i="138"/>
  <c r="G478" i="138"/>
  <c r="M477" i="138"/>
  <c r="G477" i="138"/>
  <c r="M476" i="138"/>
  <c r="G476" i="138"/>
  <c r="M475" i="138"/>
  <c r="G475" i="138"/>
  <c r="O475" i="138" s="1"/>
  <c r="M474" i="138"/>
  <c r="G474" i="138"/>
  <c r="M473" i="138"/>
  <c r="G473" i="138"/>
  <c r="M472" i="138"/>
  <c r="G472" i="138"/>
  <c r="M471" i="138"/>
  <c r="G471" i="138"/>
  <c r="O471" i="138" s="1"/>
  <c r="M470" i="138"/>
  <c r="G470" i="138"/>
  <c r="M469" i="138"/>
  <c r="G469" i="138"/>
  <c r="M468" i="138"/>
  <c r="G468" i="138"/>
  <c r="M467" i="138"/>
  <c r="G467" i="138"/>
  <c r="O467" i="138" s="1"/>
  <c r="M466" i="138"/>
  <c r="O466" i="138" s="1"/>
  <c r="G466" i="138"/>
  <c r="M465" i="138"/>
  <c r="G465" i="138"/>
  <c r="M464" i="138"/>
  <c r="G464" i="138"/>
  <c r="M463" i="138"/>
  <c r="G463" i="138"/>
  <c r="O462" i="138"/>
  <c r="M462" i="138"/>
  <c r="G462" i="138"/>
  <c r="M461" i="138"/>
  <c r="G461" i="138"/>
  <c r="M460" i="138"/>
  <c r="G460" i="138"/>
  <c r="M459" i="138"/>
  <c r="G459" i="138"/>
  <c r="O459" i="138" s="1"/>
  <c r="N458" i="138"/>
  <c r="K458" i="138"/>
  <c r="J458" i="138"/>
  <c r="F458" i="138"/>
  <c r="E458" i="138"/>
  <c r="M453" i="138"/>
  <c r="O453" i="138" s="1"/>
  <c r="M452" i="138"/>
  <c r="G452" i="138"/>
  <c r="M451" i="138"/>
  <c r="G451" i="138"/>
  <c r="M450" i="138"/>
  <c r="G450" i="138"/>
  <c r="O450" i="138" s="1"/>
  <c r="M449" i="138"/>
  <c r="G449" i="138"/>
  <c r="O449" i="138" s="1"/>
  <c r="M448" i="138"/>
  <c r="G448" i="138"/>
  <c r="M447" i="138"/>
  <c r="G447" i="138"/>
  <c r="O447" i="138" s="1"/>
  <c r="M446" i="138"/>
  <c r="G446" i="138"/>
  <c r="O446" i="138" s="1"/>
  <c r="M445" i="138"/>
  <c r="G445" i="138"/>
  <c r="M444" i="138"/>
  <c r="G444" i="138"/>
  <c r="M443" i="138"/>
  <c r="G443" i="138"/>
  <c r="M442" i="138"/>
  <c r="G442" i="138"/>
  <c r="M441" i="138"/>
  <c r="G441" i="138"/>
  <c r="O441" i="138" s="1"/>
  <c r="M440" i="138"/>
  <c r="G440" i="138"/>
  <c r="M439" i="138"/>
  <c r="G439" i="138"/>
  <c r="O439" i="138" s="1"/>
  <c r="M438" i="138"/>
  <c r="O438" i="138" s="1"/>
  <c r="G438" i="138"/>
  <c r="M437" i="138"/>
  <c r="G437" i="138"/>
  <c r="M436" i="138"/>
  <c r="G436" i="138"/>
  <c r="M435" i="138"/>
  <c r="G435" i="138"/>
  <c r="O434" i="138"/>
  <c r="M434" i="138"/>
  <c r="G434" i="138"/>
  <c r="M433" i="138"/>
  <c r="G433" i="138"/>
  <c r="M432" i="138"/>
  <c r="G432" i="138"/>
  <c r="M431" i="138"/>
  <c r="G431" i="138"/>
  <c r="M430" i="138"/>
  <c r="G430" i="138"/>
  <c r="O430" i="138" s="1"/>
  <c r="M429" i="138"/>
  <c r="G429" i="138"/>
  <c r="M428" i="138"/>
  <c r="G428" i="138"/>
  <c r="L427" i="138"/>
  <c r="M427" i="138" s="1"/>
  <c r="G427" i="138"/>
  <c r="M426" i="138"/>
  <c r="G426" i="138"/>
  <c r="O426" i="138" s="1"/>
  <c r="M425" i="138"/>
  <c r="G425" i="138"/>
  <c r="O425" i="138" s="1"/>
  <c r="M424" i="138"/>
  <c r="G424" i="138"/>
  <c r="M423" i="138"/>
  <c r="G423" i="138"/>
  <c r="M422" i="138"/>
  <c r="G422" i="138"/>
  <c r="M421" i="138"/>
  <c r="G421" i="138"/>
  <c r="O421" i="138" s="1"/>
  <c r="M420" i="138"/>
  <c r="G420" i="138"/>
  <c r="O420" i="138" s="1"/>
  <c r="M419" i="138"/>
  <c r="G419" i="138"/>
  <c r="M418" i="138"/>
  <c r="G418" i="138"/>
  <c r="O418" i="138" s="1"/>
  <c r="M417" i="138"/>
  <c r="G417" i="138"/>
  <c r="O417" i="138" s="1"/>
  <c r="M416" i="138"/>
  <c r="G416" i="138"/>
  <c r="M415" i="138"/>
  <c r="G415" i="138"/>
  <c r="M414" i="138"/>
  <c r="G414" i="138"/>
  <c r="M413" i="138"/>
  <c r="G413" i="138"/>
  <c r="M412" i="138"/>
  <c r="G412" i="138"/>
  <c r="O412" i="138" s="1"/>
  <c r="M411" i="138"/>
  <c r="G411" i="138"/>
  <c r="M410" i="138"/>
  <c r="G410" i="138"/>
  <c r="M409" i="138"/>
  <c r="G409" i="138"/>
  <c r="O409" i="138" s="1"/>
  <c r="M408" i="138"/>
  <c r="G408" i="138"/>
  <c r="M407" i="138"/>
  <c r="G407" i="138"/>
  <c r="M406" i="138"/>
  <c r="G406" i="138"/>
  <c r="O406" i="138" s="1"/>
  <c r="M405" i="138"/>
  <c r="G405" i="138"/>
  <c r="O405" i="138" s="1"/>
  <c r="M404" i="138"/>
  <c r="G404" i="138"/>
  <c r="O404" i="138" s="1"/>
  <c r="M403" i="138"/>
  <c r="G403" i="138"/>
  <c r="M402" i="138"/>
  <c r="G402" i="138"/>
  <c r="M401" i="138"/>
  <c r="G401" i="138"/>
  <c r="M400" i="138"/>
  <c r="G400" i="138"/>
  <c r="M399" i="138"/>
  <c r="G399" i="138"/>
  <c r="M398" i="138"/>
  <c r="G398" i="138"/>
  <c r="N397" i="138"/>
  <c r="K397" i="138"/>
  <c r="K328" i="138" s="1"/>
  <c r="J397" i="138"/>
  <c r="F397" i="138"/>
  <c r="E397" i="138"/>
  <c r="E328" i="138" s="1"/>
  <c r="M394" i="138"/>
  <c r="G394" i="138"/>
  <c r="M393" i="138"/>
  <c r="G393" i="138"/>
  <c r="O393" i="138" s="1"/>
  <c r="M392" i="138"/>
  <c r="G392" i="138"/>
  <c r="M391" i="138"/>
  <c r="G391" i="138"/>
  <c r="M390" i="138"/>
  <c r="G390" i="138"/>
  <c r="M389" i="138"/>
  <c r="G389" i="138"/>
  <c r="O389" i="138" s="1"/>
  <c r="M388" i="138"/>
  <c r="G388" i="138"/>
  <c r="M387" i="138"/>
  <c r="G387" i="138"/>
  <c r="M386" i="138"/>
  <c r="G386" i="138"/>
  <c r="M385" i="138"/>
  <c r="G385" i="138"/>
  <c r="M384" i="138"/>
  <c r="G384" i="138"/>
  <c r="O384" i="138" s="1"/>
  <c r="M383" i="138"/>
  <c r="G383" i="138"/>
  <c r="M382" i="138"/>
  <c r="G382" i="138"/>
  <c r="O382" i="138" s="1"/>
  <c r="M381" i="138"/>
  <c r="G381" i="138"/>
  <c r="O381" i="138" s="1"/>
  <c r="M380" i="138"/>
  <c r="G380" i="138"/>
  <c r="O380" i="138" s="1"/>
  <c r="M379" i="138"/>
  <c r="G379" i="138"/>
  <c r="M378" i="138"/>
  <c r="G378" i="138"/>
  <c r="M377" i="138"/>
  <c r="G377" i="138"/>
  <c r="M376" i="138"/>
  <c r="G376" i="138"/>
  <c r="M375" i="138"/>
  <c r="G375" i="138"/>
  <c r="M374" i="138"/>
  <c r="G374" i="138"/>
  <c r="M373" i="138"/>
  <c r="O373" i="138" s="1"/>
  <c r="G373" i="138"/>
  <c r="M372" i="138"/>
  <c r="G372" i="138"/>
  <c r="O372" i="138" s="1"/>
  <c r="M371" i="138"/>
  <c r="G371" i="138"/>
  <c r="M370" i="138"/>
  <c r="G370" i="138"/>
  <c r="M369" i="138"/>
  <c r="G369" i="138"/>
  <c r="M368" i="138"/>
  <c r="G368" i="138"/>
  <c r="O368" i="138" s="1"/>
  <c r="M367" i="138"/>
  <c r="G367" i="138"/>
  <c r="M366" i="138"/>
  <c r="G366" i="138"/>
  <c r="O366" i="138" s="1"/>
  <c r="M365" i="138"/>
  <c r="G365" i="138"/>
  <c r="M364" i="138"/>
  <c r="G364" i="138"/>
  <c r="O364" i="138" s="1"/>
  <c r="M363" i="138"/>
  <c r="G363" i="138"/>
  <c r="O363" i="138" s="1"/>
  <c r="M362" i="138"/>
  <c r="G362" i="138"/>
  <c r="M361" i="138"/>
  <c r="G361" i="138"/>
  <c r="O361" i="138" s="1"/>
  <c r="M360" i="138"/>
  <c r="G360" i="138"/>
  <c r="M359" i="138"/>
  <c r="G359" i="138"/>
  <c r="M358" i="138"/>
  <c r="G358" i="138"/>
  <c r="O358" i="138" s="1"/>
  <c r="M357" i="138"/>
  <c r="G357" i="138"/>
  <c r="M356" i="138"/>
  <c r="G356" i="138"/>
  <c r="O356" i="138" s="1"/>
  <c r="M355" i="138"/>
  <c r="G355" i="138"/>
  <c r="O355" i="138" s="1"/>
  <c r="M354" i="138"/>
  <c r="G354" i="138"/>
  <c r="M353" i="138"/>
  <c r="G353" i="138"/>
  <c r="M352" i="138"/>
  <c r="G352" i="138"/>
  <c r="O352" i="138" s="1"/>
  <c r="M351" i="138"/>
  <c r="G351" i="138"/>
  <c r="M350" i="138"/>
  <c r="G350" i="138"/>
  <c r="O350" i="138" s="1"/>
  <c r="M349" i="138"/>
  <c r="G349" i="138"/>
  <c r="O349" i="138" s="1"/>
  <c r="M348" i="138"/>
  <c r="O348" i="138" s="1"/>
  <c r="G348" i="138"/>
  <c r="M347" i="138"/>
  <c r="G347" i="138"/>
  <c r="O347" i="138" s="1"/>
  <c r="M346" i="138"/>
  <c r="G346" i="138"/>
  <c r="M345" i="138"/>
  <c r="G345" i="138"/>
  <c r="O345" i="138" s="1"/>
  <c r="M344" i="138"/>
  <c r="G344" i="138"/>
  <c r="M343" i="138"/>
  <c r="G343" i="138"/>
  <c r="M342" i="138"/>
  <c r="G342" i="138"/>
  <c r="M341" i="138"/>
  <c r="G341" i="138"/>
  <c r="O341" i="138" s="1"/>
  <c r="M340" i="138"/>
  <c r="G340" i="138"/>
  <c r="M339" i="138"/>
  <c r="G339" i="138"/>
  <c r="O339" i="138" s="1"/>
  <c r="M338" i="138"/>
  <c r="G338" i="138"/>
  <c r="M337" i="138"/>
  <c r="G337" i="138"/>
  <c r="M336" i="138"/>
  <c r="G336" i="138"/>
  <c r="M335" i="138"/>
  <c r="G335" i="138"/>
  <c r="M334" i="138"/>
  <c r="G334" i="138"/>
  <c r="M333" i="138"/>
  <c r="G333" i="138"/>
  <c r="M332" i="138"/>
  <c r="O332" i="138" s="1"/>
  <c r="G332" i="138"/>
  <c r="M331" i="138"/>
  <c r="G331" i="138"/>
  <c r="M330" i="138"/>
  <c r="G330" i="138"/>
  <c r="M329" i="138"/>
  <c r="G329" i="138"/>
  <c r="N328" i="138"/>
  <c r="J328" i="138"/>
  <c r="F328" i="138"/>
  <c r="M324" i="138"/>
  <c r="G324" i="138"/>
  <c r="M323" i="138"/>
  <c r="G323" i="138"/>
  <c r="O323" i="138" s="1"/>
  <c r="M322" i="138"/>
  <c r="G322" i="138"/>
  <c r="M321" i="138"/>
  <c r="G321" i="138"/>
  <c r="M320" i="138"/>
  <c r="G320" i="138"/>
  <c r="M319" i="138"/>
  <c r="G319" i="138"/>
  <c r="M318" i="138"/>
  <c r="G318" i="138"/>
  <c r="M317" i="138"/>
  <c r="G317" i="138"/>
  <c r="M316" i="138"/>
  <c r="G316" i="138"/>
  <c r="M315" i="138"/>
  <c r="G315" i="138"/>
  <c r="O315" i="138" s="1"/>
  <c r="M314" i="138"/>
  <c r="G314" i="138"/>
  <c r="M313" i="138"/>
  <c r="G313" i="138"/>
  <c r="O313" i="138" s="1"/>
  <c r="M312" i="138"/>
  <c r="G312" i="138"/>
  <c r="M311" i="138"/>
  <c r="O311" i="138" s="1"/>
  <c r="M310" i="138"/>
  <c r="G310" i="138"/>
  <c r="M309" i="138"/>
  <c r="G309" i="138"/>
  <c r="M308" i="138"/>
  <c r="G308" i="138"/>
  <c r="M307" i="138"/>
  <c r="G307" i="138"/>
  <c r="M306" i="138"/>
  <c r="G306" i="138"/>
  <c r="M305" i="138"/>
  <c r="G305" i="138"/>
  <c r="O305" i="138" s="1"/>
  <c r="M304" i="138"/>
  <c r="G304" i="138"/>
  <c r="M303" i="138"/>
  <c r="G303" i="138"/>
  <c r="M302" i="138"/>
  <c r="G302" i="138"/>
  <c r="M301" i="138"/>
  <c r="G301" i="138"/>
  <c r="O301" i="138" s="1"/>
  <c r="M300" i="138"/>
  <c r="G300" i="138"/>
  <c r="M299" i="138"/>
  <c r="G299" i="138"/>
  <c r="O299" i="138" s="1"/>
  <c r="M298" i="138"/>
  <c r="G298" i="138"/>
  <c r="M297" i="138"/>
  <c r="G297" i="138"/>
  <c r="O297" i="138" s="1"/>
  <c r="M296" i="138"/>
  <c r="G296" i="138"/>
  <c r="M295" i="138"/>
  <c r="G295" i="138"/>
  <c r="M294" i="138"/>
  <c r="G294" i="138"/>
  <c r="M293" i="138"/>
  <c r="G293" i="138"/>
  <c r="O293" i="138" s="1"/>
  <c r="M292" i="138"/>
  <c r="O292" i="138" s="1"/>
  <c r="G292" i="138"/>
  <c r="M291" i="138"/>
  <c r="G291" i="138"/>
  <c r="M290" i="138"/>
  <c r="G290" i="138"/>
  <c r="M289" i="138"/>
  <c r="G289" i="138"/>
  <c r="O288" i="138"/>
  <c r="M288" i="138"/>
  <c r="G288" i="138"/>
  <c r="M287" i="138"/>
  <c r="G287" i="138"/>
  <c r="M286" i="138"/>
  <c r="G286" i="138"/>
  <c r="M285" i="138"/>
  <c r="G285" i="138"/>
  <c r="M284" i="138"/>
  <c r="G284" i="138"/>
  <c r="M283" i="138"/>
  <c r="G283" i="138"/>
  <c r="M282" i="138"/>
  <c r="O282" i="138" s="1"/>
  <c r="M281" i="138"/>
  <c r="G281" i="138"/>
  <c r="M280" i="138"/>
  <c r="G280" i="138"/>
  <c r="M279" i="138"/>
  <c r="G279" i="138"/>
  <c r="M278" i="138"/>
  <c r="G278" i="138"/>
  <c r="M277" i="138"/>
  <c r="G277" i="138"/>
  <c r="O277" i="138" s="1"/>
  <c r="M276" i="138"/>
  <c r="G276" i="138"/>
  <c r="M275" i="138"/>
  <c r="O275" i="138" s="1"/>
  <c r="M274" i="138"/>
  <c r="O274" i="138" s="1"/>
  <c r="M273" i="138"/>
  <c r="O273" i="138" s="1"/>
  <c r="M272" i="138"/>
  <c r="O272" i="138" s="1"/>
  <c r="G272" i="138"/>
  <c r="M271" i="138"/>
  <c r="G271" i="138"/>
  <c r="M270" i="138"/>
  <c r="G270" i="138"/>
  <c r="M269" i="138"/>
  <c r="O269" i="138" s="1"/>
  <c r="M268" i="138"/>
  <c r="G268" i="138"/>
  <c r="M267" i="138"/>
  <c r="G267" i="138"/>
  <c r="M266" i="138"/>
  <c r="G266" i="138"/>
  <c r="M265" i="138"/>
  <c r="G265" i="138"/>
  <c r="M264" i="138"/>
  <c r="O264" i="138" s="1"/>
  <c r="M263" i="138"/>
  <c r="O263" i="138" s="1"/>
  <c r="G263" i="138"/>
  <c r="M262" i="138"/>
  <c r="G262" i="138"/>
  <c r="M261" i="138"/>
  <c r="G261" i="138"/>
  <c r="M260" i="138"/>
  <c r="G260" i="138"/>
  <c r="M259" i="138"/>
  <c r="O259" i="138" s="1"/>
  <c r="G259" i="138"/>
  <c r="M258" i="138"/>
  <c r="O258" i="138" s="1"/>
  <c r="M257" i="138"/>
  <c r="G257" i="138"/>
  <c r="M256" i="138"/>
  <c r="G256" i="138"/>
  <c r="O256" i="138" s="1"/>
  <c r="M255" i="138"/>
  <c r="G255" i="138"/>
  <c r="M254" i="138"/>
  <c r="G254" i="138"/>
  <c r="O254" i="138" s="1"/>
  <c r="M253" i="138"/>
  <c r="G253" i="138"/>
  <c r="M252" i="138"/>
  <c r="G252" i="138"/>
  <c r="M251" i="138"/>
  <c r="G251" i="138"/>
  <c r="M250" i="138"/>
  <c r="G250" i="138"/>
  <c r="O250" i="138" s="1"/>
  <c r="O249" i="138"/>
  <c r="M249" i="138"/>
  <c r="G249" i="138"/>
  <c r="M248" i="138"/>
  <c r="G248" i="138"/>
  <c r="G247" i="138" s="1"/>
  <c r="N247" i="138"/>
  <c r="L247" i="138"/>
  <c r="K247" i="138"/>
  <c r="J247" i="138"/>
  <c r="F247" i="138"/>
  <c r="E247" i="138"/>
  <c r="M243" i="138"/>
  <c r="O243" i="138" s="1"/>
  <c r="M242" i="138"/>
  <c r="O242" i="138" s="1"/>
  <c r="M241" i="138"/>
  <c r="O241" i="138" s="1"/>
  <c r="M240" i="138"/>
  <c r="O240" i="138" s="1"/>
  <c r="M239" i="138"/>
  <c r="O239" i="138" s="1"/>
  <c r="M238" i="138"/>
  <c r="O238" i="138" s="1"/>
  <c r="M237" i="138"/>
  <c r="O237" i="138" s="1"/>
  <c r="M236" i="138"/>
  <c r="O236" i="138" s="1"/>
  <c r="M235" i="138"/>
  <c r="O235" i="138" s="1"/>
  <c r="M234" i="138"/>
  <c r="O234" i="138" s="1"/>
  <c r="M233" i="138"/>
  <c r="O233" i="138" s="1"/>
  <c r="M232" i="138"/>
  <c r="O232" i="138" s="1"/>
  <c r="M231" i="138"/>
  <c r="O231" i="138" s="1"/>
  <c r="M230" i="138"/>
  <c r="O230" i="138" s="1"/>
  <c r="M229" i="138"/>
  <c r="O229" i="138" s="1"/>
  <c r="M228" i="138"/>
  <c r="O228" i="138" s="1"/>
  <c r="M227" i="138"/>
  <c r="O227" i="138" s="1"/>
  <c r="M226" i="138"/>
  <c r="O226" i="138" s="1"/>
  <c r="M225" i="138"/>
  <c r="O225" i="138" s="1"/>
  <c r="M224" i="138"/>
  <c r="O224" i="138" s="1"/>
  <c r="M223" i="138"/>
  <c r="O223" i="138" s="1"/>
  <c r="M222" i="138"/>
  <c r="O222" i="138" s="1"/>
  <c r="M221" i="138"/>
  <c r="O221" i="138" s="1"/>
  <c r="O220" i="138"/>
  <c r="M220" i="138"/>
  <c r="M219" i="138"/>
  <c r="O219" i="138" s="1"/>
  <c r="M218" i="138"/>
  <c r="O218" i="138" s="1"/>
  <c r="M217" i="138"/>
  <c r="O217" i="138" s="1"/>
  <c r="M216" i="138"/>
  <c r="O216" i="138" s="1"/>
  <c r="M215" i="138"/>
  <c r="O215" i="138" s="1"/>
  <c r="M214" i="138"/>
  <c r="O214" i="138" s="1"/>
  <c r="M213" i="138"/>
  <c r="O213" i="138" s="1"/>
  <c r="M212" i="138"/>
  <c r="O212" i="138" s="1"/>
  <c r="M211" i="138"/>
  <c r="O211" i="138" s="1"/>
  <c r="M210" i="138"/>
  <c r="O210" i="138" s="1"/>
  <c r="M209" i="138"/>
  <c r="O209" i="138" s="1"/>
  <c r="M208" i="138"/>
  <c r="O208" i="138" s="1"/>
  <c r="M207" i="138"/>
  <c r="O207" i="138" s="1"/>
  <c r="M206" i="138"/>
  <c r="O206" i="138" s="1"/>
  <c r="M205" i="138"/>
  <c r="O205" i="138" s="1"/>
  <c r="M204" i="138"/>
  <c r="O204" i="138" s="1"/>
  <c r="M203" i="138"/>
  <c r="O203" i="138" s="1"/>
  <c r="M202" i="138"/>
  <c r="O202" i="138" s="1"/>
  <c r="M201" i="138"/>
  <c r="O201" i="138" s="1"/>
  <c r="M200" i="138"/>
  <c r="O200" i="138" s="1"/>
  <c r="M199" i="138"/>
  <c r="O199" i="138" s="1"/>
  <c r="M198" i="138"/>
  <c r="O198" i="138" s="1"/>
  <c r="M197" i="138"/>
  <c r="O197" i="138" s="1"/>
  <c r="M196" i="138"/>
  <c r="O196" i="138" s="1"/>
  <c r="M195" i="138"/>
  <c r="O195" i="138" s="1"/>
  <c r="M194" i="138"/>
  <c r="O194" i="138" s="1"/>
  <c r="M193" i="138"/>
  <c r="O193" i="138" s="1"/>
  <c r="M192" i="138"/>
  <c r="O192" i="138" s="1"/>
  <c r="M191" i="138"/>
  <c r="O191" i="138" s="1"/>
  <c r="M190" i="138"/>
  <c r="O190" i="138" s="1"/>
  <c r="M189" i="138"/>
  <c r="O189" i="138" s="1"/>
  <c r="M188" i="138"/>
  <c r="O188" i="138" s="1"/>
  <c r="M187" i="138"/>
  <c r="O187" i="138" s="1"/>
  <c r="O186" i="138"/>
  <c r="M186" i="138"/>
  <c r="M185" i="138"/>
  <c r="O185" i="138" s="1"/>
  <c r="M184" i="138"/>
  <c r="O184" i="138" s="1"/>
  <c r="M183" i="138"/>
  <c r="O183" i="138" s="1"/>
  <c r="M182" i="138"/>
  <c r="O182" i="138" s="1"/>
  <c r="M181" i="138"/>
  <c r="M180" i="138"/>
  <c r="G180" i="138"/>
  <c r="N179" i="138"/>
  <c r="L179" i="138"/>
  <c r="K179" i="138"/>
  <c r="J179" i="138"/>
  <c r="F179" i="138"/>
  <c r="E179" i="138"/>
  <c r="F176" i="138"/>
  <c r="M174" i="138"/>
  <c r="G174" i="138"/>
  <c r="M173" i="138"/>
  <c r="G173" i="138"/>
  <c r="M172" i="138"/>
  <c r="G172" i="138"/>
  <c r="M171" i="138"/>
  <c r="G171" i="138"/>
  <c r="M170" i="138"/>
  <c r="G170" i="138"/>
  <c r="M169" i="138"/>
  <c r="G169" i="138"/>
  <c r="M168" i="138"/>
  <c r="G168" i="138"/>
  <c r="M167" i="138"/>
  <c r="G167" i="138"/>
  <c r="O167" i="138" s="1"/>
  <c r="M166" i="138"/>
  <c r="G166" i="138"/>
  <c r="M165" i="138"/>
  <c r="G165" i="138"/>
  <c r="O165" i="138" s="1"/>
  <c r="M164" i="138"/>
  <c r="G164" i="138"/>
  <c r="M163" i="138"/>
  <c r="G163" i="138"/>
  <c r="M162" i="138"/>
  <c r="G162" i="138"/>
  <c r="M161" i="138"/>
  <c r="G161" i="138"/>
  <c r="D161" i="138"/>
  <c r="D162" i="138" s="1"/>
  <c r="M160" i="138"/>
  <c r="G160" i="138"/>
  <c r="O160" i="138" s="1"/>
  <c r="M159" i="138"/>
  <c r="G159" i="138"/>
  <c r="M158" i="138"/>
  <c r="G158" i="138"/>
  <c r="O158" i="138" s="1"/>
  <c r="M157" i="138"/>
  <c r="G157" i="138"/>
  <c r="O157" i="138" s="1"/>
  <c r="M156" i="138"/>
  <c r="G156" i="138"/>
  <c r="M155" i="138"/>
  <c r="G155" i="138"/>
  <c r="O155" i="138" s="1"/>
  <c r="M154" i="138"/>
  <c r="G154" i="138"/>
  <c r="O154" i="138" s="1"/>
  <c r="M153" i="138"/>
  <c r="G153" i="138"/>
  <c r="M152" i="138"/>
  <c r="G152" i="138"/>
  <c r="M151" i="138"/>
  <c r="G151" i="138"/>
  <c r="M150" i="138"/>
  <c r="G150" i="138"/>
  <c r="M149" i="138"/>
  <c r="G149" i="138"/>
  <c r="O149" i="138" s="1"/>
  <c r="M148" i="138"/>
  <c r="G148" i="138"/>
  <c r="M147" i="138"/>
  <c r="G147" i="138"/>
  <c r="O147" i="138" s="1"/>
  <c r="M146" i="138"/>
  <c r="G146" i="138"/>
  <c r="O146" i="138" s="1"/>
  <c r="M145" i="138"/>
  <c r="G145" i="138"/>
  <c r="M144" i="138"/>
  <c r="G144" i="138"/>
  <c r="M143" i="138"/>
  <c r="G143" i="138"/>
  <c r="M142" i="138"/>
  <c r="G142" i="138"/>
  <c r="O142" i="138" s="1"/>
  <c r="M141" i="138"/>
  <c r="G141" i="138"/>
  <c r="O141" i="138" s="1"/>
  <c r="M140" i="138"/>
  <c r="G140" i="138"/>
  <c r="M139" i="138"/>
  <c r="G139" i="138"/>
  <c r="M138" i="138"/>
  <c r="G138" i="138"/>
  <c r="M137" i="138"/>
  <c r="G137" i="138"/>
  <c r="M136" i="138"/>
  <c r="G136" i="138"/>
  <c r="M135" i="138"/>
  <c r="G135" i="138"/>
  <c r="O135" i="138" s="1"/>
  <c r="M134" i="138"/>
  <c r="G134" i="138"/>
  <c r="O134" i="138" s="1"/>
  <c r="M133" i="138"/>
  <c r="G133" i="138"/>
  <c r="M132" i="138"/>
  <c r="G132" i="138"/>
  <c r="M131" i="138"/>
  <c r="O131" i="138" s="1"/>
  <c r="G131" i="138"/>
  <c r="M130" i="138"/>
  <c r="G130" i="138"/>
  <c r="M129" i="138"/>
  <c r="G129" i="138"/>
  <c r="M128" i="138"/>
  <c r="G128" i="138"/>
  <c r="O127" i="138"/>
  <c r="M127" i="138"/>
  <c r="G127" i="138"/>
  <c r="M126" i="138"/>
  <c r="G126" i="138"/>
  <c r="M125" i="138"/>
  <c r="G125" i="138"/>
  <c r="O125" i="138" s="1"/>
  <c r="M124" i="138"/>
  <c r="G124" i="138"/>
  <c r="M123" i="138"/>
  <c r="G123" i="138"/>
  <c r="O123" i="138" s="1"/>
  <c r="M122" i="138"/>
  <c r="G122" i="138"/>
  <c r="M121" i="138"/>
  <c r="G121" i="138"/>
  <c r="M120" i="138"/>
  <c r="G120" i="138"/>
  <c r="G119" i="138"/>
  <c r="O119" i="138" s="1"/>
  <c r="G118" i="138"/>
  <c r="N117" i="138"/>
  <c r="L117" i="138"/>
  <c r="J117" i="138"/>
  <c r="F117" i="138"/>
  <c r="E117" i="138"/>
  <c r="M114" i="138"/>
  <c r="O114" i="138" s="1"/>
  <c r="M113" i="138"/>
  <c r="G113" i="138"/>
  <c r="M112" i="138"/>
  <c r="G112" i="138"/>
  <c r="M109" i="138"/>
  <c r="G109" i="138"/>
  <c r="M108" i="138"/>
  <c r="G108" i="138"/>
  <c r="M107" i="138"/>
  <c r="G107" i="138"/>
  <c r="M106" i="138"/>
  <c r="G106" i="138"/>
  <c r="M105" i="138"/>
  <c r="G105" i="138"/>
  <c r="M104" i="138"/>
  <c r="G104" i="138"/>
  <c r="O104" i="138" s="1"/>
  <c r="M103" i="138"/>
  <c r="G103" i="138"/>
  <c r="M102" i="138"/>
  <c r="G102" i="138"/>
  <c r="M101" i="138"/>
  <c r="G101" i="138"/>
  <c r="M100" i="138"/>
  <c r="G100" i="138"/>
  <c r="M99" i="138"/>
  <c r="G99" i="138"/>
  <c r="M98" i="138"/>
  <c r="G98" i="138"/>
  <c r="M97" i="138"/>
  <c r="G97" i="138"/>
  <c r="M96" i="138"/>
  <c r="G96" i="138"/>
  <c r="M95" i="138"/>
  <c r="G95" i="138"/>
  <c r="M94" i="138"/>
  <c r="G94" i="138"/>
  <c r="M93" i="138"/>
  <c r="G93" i="138"/>
  <c r="M92" i="138"/>
  <c r="G92" i="138"/>
  <c r="M91" i="138"/>
  <c r="G91" i="138"/>
  <c r="M90" i="138"/>
  <c r="G90" i="138"/>
  <c r="G89" i="138"/>
  <c r="G88" i="138"/>
  <c r="O88" i="138" s="1"/>
  <c r="M87" i="138"/>
  <c r="G87" i="138"/>
  <c r="M86" i="138"/>
  <c r="G86" i="138"/>
  <c r="M85" i="138"/>
  <c r="G85" i="138"/>
  <c r="M84" i="138"/>
  <c r="G84" i="138"/>
  <c r="O84" i="138" s="1"/>
  <c r="M83" i="138"/>
  <c r="G83" i="138"/>
  <c r="M82" i="138"/>
  <c r="G82" i="138"/>
  <c r="M81" i="138"/>
  <c r="G81" i="138"/>
  <c r="M80" i="138"/>
  <c r="G80" i="138"/>
  <c r="O80" i="138" s="1"/>
  <c r="O79" i="138"/>
  <c r="M78" i="138"/>
  <c r="G78" i="138"/>
  <c r="M77" i="138"/>
  <c r="O77" i="138" s="1"/>
  <c r="G77" i="138"/>
  <c r="M76" i="138"/>
  <c r="G76" i="138"/>
  <c r="O76" i="138" s="1"/>
  <c r="G75" i="138"/>
  <c r="O75" i="138" s="1"/>
  <c r="G74" i="138"/>
  <c r="O74" i="138" s="1"/>
  <c r="M73" i="138"/>
  <c r="G73" i="138"/>
  <c r="O73" i="138" s="1"/>
  <c r="M72" i="138"/>
  <c r="G72" i="138"/>
  <c r="M71" i="138"/>
  <c r="G71" i="138"/>
  <c r="M70" i="138"/>
  <c r="G70" i="138"/>
  <c r="M69" i="138"/>
  <c r="G69" i="138"/>
  <c r="G68" i="138"/>
  <c r="O68" i="138" s="1"/>
  <c r="M67" i="138"/>
  <c r="G67" i="138"/>
  <c r="M66" i="138"/>
  <c r="G66" i="138"/>
  <c r="M65" i="138"/>
  <c r="O65" i="138" s="1"/>
  <c r="G65" i="138"/>
  <c r="M64" i="138"/>
  <c r="G64" i="138"/>
  <c r="N63" i="138"/>
  <c r="L63" i="138"/>
  <c r="J63" i="138"/>
  <c r="F63" i="138"/>
  <c r="E63" i="138"/>
  <c r="M62" i="138"/>
  <c r="G62" i="138"/>
  <c r="O62" i="138" s="1"/>
  <c r="M61" i="138"/>
  <c r="G61" i="138"/>
  <c r="M60" i="138"/>
  <c r="G60" i="138"/>
  <c r="O60" i="138" s="1"/>
  <c r="M59" i="138"/>
  <c r="O59" i="138" s="1"/>
  <c r="G59" i="138"/>
  <c r="M58" i="138"/>
  <c r="G58" i="138"/>
  <c r="O58" i="138" s="1"/>
  <c r="M57" i="138"/>
  <c r="G57" i="138"/>
  <c r="M56" i="138"/>
  <c r="G56" i="138"/>
  <c r="M55" i="138"/>
  <c r="G55" i="138"/>
  <c r="M54" i="138"/>
  <c r="G54" i="138"/>
  <c r="M53" i="138"/>
  <c r="G53" i="138"/>
  <c r="M52" i="138"/>
  <c r="G52" i="138"/>
  <c r="O52" i="138" s="1"/>
  <c r="M51" i="138"/>
  <c r="G51" i="138"/>
  <c r="M50" i="138"/>
  <c r="G50" i="138"/>
  <c r="O50" i="138" s="1"/>
  <c r="M49" i="138"/>
  <c r="G49" i="138"/>
  <c r="M48" i="138"/>
  <c r="G48" i="138"/>
  <c r="O48" i="138" s="1"/>
  <c r="M47" i="138"/>
  <c r="G47" i="138"/>
  <c r="M46" i="138"/>
  <c r="G46" i="138"/>
  <c r="M45" i="138"/>
  <c r="G45" i="138"/>
  <c r="M44" i="138"/>
  <c r="G44" i="138"/>
  <c r="M43" i="138"/>
  <c r="G43" i="138"/>
  <c r="M42" i="138"/>
  <c r="G42" i="138"/>
  <c r="M41" i="138"/>
  <c r="G41" i="138"/>
  <c r="M40" i="138"/>
  <c r="G40" i="138"/>
  <c r="O40" i="138" s="1"/>
  <c r="M39" i="138"/>
  <c r="G39" i="138"/>
  <c r="G38" i="138"/>
  <c r="O38" i="138" s="1"/>
  <c r="G37" i="138"/>
  <c r="O37" i="138" s="1"/>
  <c r="M36" i="138"/>
  <c r="G36" i="138"/>
  <c r="M35" i="138"/>
  <c r="G35" i="138"/>
  <c r="M34" i="138"/>
  <c r="G34" i="138"/>
  <c r="O34" i="138" s="1"/>
  <c r="M33" i="138"/>
  <c r="G33" i="138"/>
  <c r="M32" i="138"/>
  <c r="G32" i="138"/>
  <c r="M31" i="138"/>
  <c r="G31" i="138"/>
  <c r="G30" i="138"/>
  <c r="O30" i="138" s="1"/>
  <c r="M29" i="138"/>
  <c r="G29" i="138"/>
  <c r="M28" i="138"/>
  <c r="G28" i="138"/>
  <c r="M27" i="138"/>
  <c r="G27" i="138"/>
  <c r="O27" i="138" s="1"/>
  <c r="M26" i="138"/>
  <c r="G26" i="138"/>
  <c r="M25" i="138"/>
  <c r="G25" i="138"/>
  <c r="M24" i="138"/>
  <c r="G24" i="138"/>
  <c r="M23" i="138"/>
  <c r="G23" i="138"/>
  <c r="O23" i="138" s="1"/>
  <c r="O22" i="138"/>
  <c r="M21" i="138"/>
  <c r="G21" i="138"/>
  <c r="O21" i="138" s="1"/>
  <c r="M20" i="138"/>
  <c r="O20" i="138" s="1"/>
  <c r="G20" i="138"/>
  <c r="O19" i="138"/>
  <c r="M18" i="138"/>
  <c r="G18" i="138"/>
  <c r="M17" i="138"/>
  <c r="G17" i="138"/>
  <c r="O17" i="138" s="1"/>
  <c r="M16" i="138"/>
  <c r="G16" i="138"/>
  <c r="M15" i="138"/>
  <c r="G15" i="138"/>
  <c r="O15" i="138" s="1"/>
  <c r="M14" i="138"/>
  <c r="G14" i="138"/>
  <c r="O13" i="138"/>
  <c r="M12" i="138"/>
  <c r="G12" i="138"/>
  <c r="N11" i="138"/>
  <c r="L11" i="138"/>
  <c r="J11" i="138"/>
  <c r="F11" i="138"/>
  <c r="E11" i="138"/>
  <c r="J10" i="138"/>
  <c r="J3" i="138" s="1"/>
  <c r="M9" i="138"/>
  <c r="O9" i="138" s="1"/>
  <c r="M8" i="138"/>
  <c r="O8" i="138" s="1"/>
  <c r="M7" i="138"/>
  <c r="O7" i="138" s="1"/>
  <c r="M6" i="138"/>
  <c r="O6" i="138" s="1"/>
  <c r="M5" i="138"/>
  <c r="O5" i="138" s="1"/>
  <c r="M4" i="138"/>
  <c r="O4" i="138" s="1"/>
  <c r="N3" i="138"/>
  <c r="L3" i="138"/>
  <c r="G3" i="138"/>
  <c r="F3" i="138"/>
  <c r="E3" i="138"/>
  <c r="O685" i="138" l="1"/>
  <c r="O727" i="138"/>
  <c r="O723" i="138"/>
  <c r="O715" i="138"/>
  <c r="O711" i="138"/>
  <c r="O702" i="138"/>
  <c r="O698" i="138"/>
  <c r="O694" i="138"/>
  <c r="O690" i="138"/>
  <c r="O686" i="138"/>
  <c r="O14" i="138"/>
  <c r="O18" i="138"/>
  <c r="O86" i="138"/>
  <c r="O99" i="138"/>
  <c r="O103" i="138"/>
  <c r="O122" i="138"/>
  <c r="O153" i="138"/>
  <c r="O248" i="138"/>
  <c r="O262" i="138"/>
  <c r="O285" i="138"/>
  <c r="O308" i="138"/>
  <c r="O320" i="138"/>
  <c r="O503" i="138"/>
  <c r="O511" i="138"/>
  <c r="O552" i="138"/>
  <c r="O592" i="138"/>
  <c r="O619" i="138"/>
  <c r="O658" i="138"/>
  <c r="O738" i="138"/>
  <c r="O734" i="138"/>
  <c r="O730" i="138"/>
  <c r="O726" i="138"/>
  <c r="O722" i="138"/>
  <c r="O718" i="138"/>
  <c r="O714" i="138"/>
  <c r="O701" i="138"/>
  <c r="O697" i="138"/>
  <c r="O689" i="138"/>
  <c r="O706" i="138"/>
  <c r="O12" i="138"/>
  <c r="O44" i="138"/>
  <c r="O67" i="138"/>
  <c r="O71" i="138"/>
  <c r="O163" i="138"/>
  <c r="O333" i="138"/>
  <c r="O388" i="138"/>
  <c r="O527" i="138"/>
  <c r="O543" i="138"/>
  <c r="O627" i="138"/>
  <c r="O646" i="138"/>
  <c r="O667" i="138"/>
  <c r="O675" i="138"/>
  <c r="O737" i="138"/>
  <c r="O733" i="138"/>
  <c r="O729" i="138"/>
  <c r="O725" i="138"/>
  <c r="O717" i="138"/>
  <c r="O713" i="138"/>
  <c r="O709" i="138"/>
  <c r="O704" i="138"/>
  <c r="O700" i="138"/>
  <c r="O696" i="138"/>
  <c r="O692" i="138"/>
  <c r="O688" i="138"/>
  <c r="O28" i="138"/>
  <c r="O41" i="138"/>
  <c r="O45" i="138"/>
  <c r="O55" i="138"/>
  <c r="O57" i="138"/>
  <c r="O72" i="138"/>
  <c r="O92" i="138"/>
  <c r="O96" i="138"/>
  <c r="O108" i="138"/>
  <c r="O164" i="138"/>
  <c r="O168" i="138"/>
  <c r="O172" i="138"/>
  <c r="O257" i="138"/>
  <c r="O278" i="138"/>
  <c r="O294" i="138"/>
  <c r="O296" i="138"/>
  <c r="O334" i="138"/>
  <c r="O336" i="138"/>
  <c r="O340" i="138"/>
  <c r="O342" i="138"/>
  <c r="O344" i="138"/>
  <c r="O357" i="138"/>
  <c r="O365" i="138"/>
  <c r="O371" i="138"/>
  <c r="O377" i="138"/>
  <c r="O379" i="138"/>
  <c r="O401" i="138"/>
  <c r="O468" i="138"/>
  <c r="O470" i="138"/>
  <c r="O487" i="138"/>
  <c r="O497" i="138"/>
  <c r="O528" i="138"/>
  <c r="G533" i="138"/>
  <c r="O536" i="138"/>
  <c r="O544" i="138"/>
  <c r="O548" i="138"/>
  <c r="O561" i="138"/>
  <c r="O569" i="138"/>
  <c r="O581" i="138"/>
  <c r="O585" i="138"/>
  <c r="O624" i="138"/>
  <c r="O635" i="138"/>
  <c r="O637" i="138"/>
  <c r="O639" i="138"/>
  <c r="O642" i="138"/>
  <c r="O650" i="138"/>
  <c r="O652" i="138"/>
  <c r="O654" i="138"/>
  <c r="O668" i="138"/>
  <c r="O744" i="138"/>
  <c r="O740" i="138"/>
  <c r="O736" i="138"/>
  <c r="O728" i="138"/>
  <c r="O724" i="138"/>
  <c r="O720" i="138"/>
  <c r="O716" i="138"/>
  <c r="O712" i="138"/>
  <c r="O708" i="138"/>
  <c r="O699" i="138"/>
  <c r="O695" i="138"/>
  <c r="O687" i="138"/>
  <c r="O1658" i="139"/>
  <c r="O679" i="138"/>
  <c r="O676" i="138"/>
  <c r="C6" i="139"/>
  <c r="N281" i="139"/>
  <c r="O857" i="139"/>
  <c r="O1161" i="139"/>
  <c r="R1029" i="139"/>
  <c r="R1353" i="139"/>
  <c r="R1161" i="139"/>
  <c r="O1353" i="139"/>
  <c r="N511" i="139"/>
  <c r="N9" i="139"/>
  <c r="O1029" i="139"/>
  <c r="N660" i="139"/>
  <c r="N141" i="139"/>
  <c r="M684" i="138"/>
  <c r="P684" i="138" s="1"/>
  <c r="O684" i="138"/>
  <c r="O39" i="138"/>
  <c r="O54" i="138"/>
  <c r="O78" i="138"/>
  <c r="O93" i="138"/>
  <c r="O95" i="138"/>
  <c r="O97" i="138"/>
  <c r="O121" i="138"/>
  <c r="O126" i="138"/>
  <c r="O133" i="138"/>
  <c r="O137" i="138"/>
  <c r="O171" i="138"/>
  <c r="M179" i="138"/>
  <c r="O265" i="138"/>
  <c r="O270" i="138"/>
  <c r="O281" i="138"/>
  <c r="O289" i="138"/>
  <c r="O300" i="138"/>
  <c r="O312" i="138"/>
  <c r="O316" i="138"/>
  <c r="O329" i="138"/>
  <c r="O331" i="138"/>
  <c r="O414" i="138"/>
  <c r="O429" i="138"/>
  <c r="O433" i="138"/>
  <c r="O435" i="138"/>
  <c r="O442" i="138"/>
  <c r="O463" i="138"/>
  <c r="O474" i="138"/>
  <c r="O476" i="138"/>
  <c r="O478" i="138"/>
  <c r="O495" i="138"/>
  <c r="O519" i="138"/>
  <c r="O523" i="138"/>
  <c r="O540" i="138"/>
  <c r="O560" i="138"/>
  <c r="O565" i="138"/>
  <c r="O576" i="138"/>
  <c r="O589" i="138"/>
  <c r="O591" i="138"/>
  <c r="O604" i="138"/>
  <c r="O613" i="138"/>
  <c r="O621" i="138"/>
  <c r="O629" i="138"/>
  <c r="O665" i="138"/>
  <c r="O673" i="138"/>
  <c r="O33" i="138"/>
  <c r="O35" i="138"/>
  <c r="O64" i="138"/>
  <c r="O360" i="138"/>
  <c r="O374" i="138"/>
  <c r="O376" i="138"/>
  <c r="O484" i="138"/>
  <c r="O492" i="138"/>
  <c r="O516" i="138"/>
  <c r="M608" i="138"/>
  <c r="O655" i="138"/>
  <c r="O16" i="138"/>
  <c r="O24" i="138"/>
  <c r="M11" i="138"/>
  <c r="O32" i="138"/>
  <c r="O51" i="138"/>
  <c r="O69" i="138"/>
  <c r="O83" i="138"/>
  <c r="O85" i="138"/>
  <c r="O87" i="138"/>
  <c r="O100" i="138"/>
  <c r="O102" i="138"/>
  <c r="O105" i="138"/>
  <c r="O107" i="138"/>
  <c r="O109" i="138"/>
  <c r="O113" i="138"/>
  <c r="O120" i="138"/>
  <c r="O138" i="138"/>
  <c r="O143" i="138"/>
  <c r="O150" i="138"/>
  <c r="O255" i="138"/>
  <c r="O266" i="138"/>
  <c r="O324" i="138"/>
  <c r="O385" i="138"/>
  <c r="O387" i="138"/>
  <c r="O390" i="138"/>
  <c r="O392" i="138"/>
  <c r="O400" i="138"/>
  <c r="O413" i="138"/>
  <c r="O424" i="138"/>
  <c r="O443" i="138"/>
  <c r="O479" i="138"/>
  <c r="O483" i="138"/>
  <c r="O505" i="138"/>
  <c r="O507" i="138"/>
  <c r="O524" i="138"/>
  <c r="M533" i="138"/>
  <c r="O537" i="138"/>
  <c r="O539" i="138"/>
  <c r="O557" i="138"/>
  <c r="O568" i="138"/>
  <c r="O573" i="138"/>
  <c r="O584" i="138"/>
  <c r="O586" i="138"/>
  <c r="O588" i="138"/>
  <c r="O617" i="138"/>
  <c r="O625" i="138"/>
  <c r="O633" i="138"/>
  <c r="O661" i="138"/>
  <c r="O669" i="138"/>
  <c r="O677" i="138"/>
  <c r="M117" i="138"/>
  <c r="M247" i="138"/>
  <c r="O26" i="138"/>
  <c r="O43" i="138"/>
  <c r="G63" i="138"/>
  <c r="O70" i="138"/>
  <c r="O82" i="138"/>
  <c r="O130" i="138"/>
  <c r="O132" i="138"/>
  <c r="O145" i="138"/>
  <c r="O152" i="138"/>
  <c r="O174" i="138"/>
  <c r="O252" i="138"/>
  <c r="O290" i="138"/>
  <c r="O307" i="138"/>
  <c r="O309" i="138"/>
  <c r="O25" i="138"/>
  <c r="O36" i="138"/>
  <c r="O42" i="138"/>
  <c r="O47" i="138"/>
  <c r="O49" i="138"/>
  <c r="O56" i="138"/>
  <c r="O101" i="138"/>
  <c r="G117" i="138"/>
  <c r="O129" i="138"/>
  <c r="O136" i="138"/>
  <c r="O139" i="138"/>
  <c r="O144" i="138"/>
  <c r="O159" i="138"/>
  <c r="O166" i="138"/>
  <c r="O169" i="138"/>
  <c r="O302" i="138"/>
  <c r="O304" i="138"/>
  <c r="O317" i="138"/>
  <c r="O319" i="138"/>
  <c r="O337" i="138"/>
  <c r="O353" i="138"/>
  <c r="O369" i="138"/>
  <c r="O29" i="138"/>
  <c r="O31" i="138"/>
  <c r="O46" i="138"/>
  <c r="O53" i="138"/>
  <c r="O91" i="138"/>
  <c r="O98" i="138"/>
  <c r="O151" i="138"/>
  <c r="O161" i="138"/>
  <c r="O173" i="138"/>
  <c r="O416" i="138"/>
  <c r="O445" i="138"/>
  <c r="O535" i="138"/>
  <c r="O267" i="138"/>
  <c r="O271" i="138"/>
  <c r="O284" i="138"/>
  <c r="O286" i="138"/>
  <c r="O291" i="138"/>
  <c r="O306" i="138"/>
  <c r="O318" i="138"/>
  <c r="O321" i="138"/>
  <c r="O408" i="138"/>
  <c r="O410" i="138"/>
  <c r="O437" i="138"/>
  <c r="O593" i="138"/>
  <c r="O601" i="138"/>
  <c r="O260" i="138"/>
  <c r="O276" i="138"/>
  <c r="O279" i="138"/>
  <c r="O283" i="138"/>
  <c r="O298" i="138"/>
  <c r="O310" i="138"/>
  <c r="O338" i="138"/>
  <c r="O346" i="138"/>
  <c r="O354" i="138"/>
  <c r="O362" i="138"/>
  <c r="O370" i="138"/>
  <c r="O378" i="138"/>
  <c r="O386" i="138"/>
  <c r="O394" i="138"/>
  <c r="O402" i="138"/>
  <c r="O422" i="138"/>
  <c r="O431" i="138"/>
  <c r="O451" i="138"/>
  <c r="O461" i="138"/>
  <c r="O464" i="138"/>
  <c r="O469" i="138"/>
  <c r="O472" i="138"/>
  <c r="O477" i="138"/>
  <c r="O480" i="138"/>
  <c r="O482" i="138"/>
  <c r="O485" i="138"/>
  <c r="O490" i="138"/>
  <c r="O493" i="138"/>
  <c r="O498" i="138"/>
  <c r="O501" i="138"/>
  <c r="O506" i="138"/>
  <c r="O509" i="138"/>
  <c r="O514" i="138"/>
  <c r="O517" i="138"/>
  <c r="O522" i="138"/>
  <c r="O525" i="138"/>
  <c r="O530" i="138"/>
  <c r="O538" i="138"/>
  <c r="O541" i="138"/>
  <c r="O546" i="138"/>
  <c r="O555" i="138"/>
  <c r="O558" i="138"/>
  <c r="O563" i="138"/>
  <c r="O566" i="138"/>
  <c r="O571" i="138"/>
  <c r="O574" i="138"/>
  <c r="O579" i="138"/>
  <c r="O582" i="138"/>
  <c r="O605" i="138"/>
  <c r="O118" i="138"/>
  <c r="O181" i="138"/>
  <c r="L397" i="138"/>
  <c r="L328" i="138" s="1"/>
  <c r="M10" i="138"/>
  <c r="O10" i="138" s="1"/>
  <c r="O3" i="138" s="1"/>
  <c r="G11" i="138"/>
  <c r="M63" i="138"/>
  <c r="O66" i="138"/>
  <c r="O81" i="138"/>
  <c r="O94" i="138"/>
  <c r="O112" i="138"/>
  <c r="O128" i="138"/>
  <c r="O162" i="138"/>
  <c r="O170" i="138"/>
  <c r="O180" i="138"/>
  <c r="O179" i="138" s="1"/>
  <c r="G179" i="138"/>
  <c r="O251" i="138"/>
  <c r="O261" i="138"/>
  <c r="O280" i="138"/>
  <c r="O314" i="138"/>
  <c r="O322" i="138"/>
  <c r="O61" i="138"/>
  <c r="O90" i="138"/>
  <c r="O106" i="138"/>
  <c r="O124" i="138"/>
  <c r="O140" i="138"/>
  <c r="O148" i="138"/>
  <c r="O156" i="138"/>
  <c r="O268" i="138"/>
  <c r="O287" i="138"/>
  <c r="O295" i="138"/>
  <c r="O303" i="138"/>
  <c r="O330" i="138"/>
  <c r="O335" i="138"/>
  <c r="O343" i="138"/>
  <c r="O351" i="138"/>
  <c r="O399" i="138"/>
  <c r="O407" i="138"/>
  <c r="O415" i="138"/>
  <c r="O423" i="138"/>
  <c r="O428" i="138"/>
  <c r="O436" i="138"/>
  <c r="O444" i="138"/>
  <c r="O452" i="138"/>
  <c r="O594" i="138"/>
  <c r="O602" i="138"/>
  <c r="O609" i="138"/>
  <c r="O614" i="138"/>
  <c r="O622" i="138"/>
  <c r="O630" i="138"/>
  <c r="O666" i="138"/>
  <c r="O674" i="138"/>
  <c r="O359" i="138"/>
  <c r="O367" i="138"/>
  <c r="O375" i="138"/>
  <c r="O383" i="138"/>
  <c r="O391" i="138"/>
  <c r="M397" i="138"/>
  <c r="M328" i="138" s="1"/>
  <c r="O460" i="138"/>
  <c r="G458" i="138"/>
  <c r="O465" i="138"/>
  <c r="O473" i="138"/>
  <c r="O486" i="138"/>
  <c r="O494" i="138"/>
  <c r="O502" i="138"/>
  <c r="O510" i="138"/>
  <c r="O518" i="138"/>
  <c r="O526" i="138"/>
  <c r="O534" i="138"/>
  <c r="O542" i="138"/>
  <c r="O559" i="138"/>
  <c r="O567" i="138"/>
  <c r="O575" i="138"/>
  <c r="O583" i="138"/>
  <c r="O640" i="138"/>
  <c r="O648" i="138"/>
  <c r="O656" i="138"/>
  <c r="O398" i="138"/>
  <c r="G397" i="138"/>
  <c r="G328" i="138" s="1"/>
  <c r="O403" i="138"/>
  <c r="O411" i="138"/>
  <c r="O419" i="138"/>
  <c r="O427" i="138"/>
  <c r="O432" i="138"/>
  <c r="O440" i="138"/>
  <c r="O448" i="138"/>
  <c r="M481" i="138"/>
  <c r="M458" i="138" s="1"/>
  <c r="L458" i="138"/>
  <c r="O590" i="138"/>
  <c r="O598" i="138"/>
  <c r="O610" i="138"/>
  <c r="O618" i="138"/>
  <c r="O626" i="138"/>
  <c r="G634" i="138"/>
  <c r="O634" i="138" s="1"/>
  <c r="O662" i="138"/>
  <c r="O670" i="138"/>
  <c r="O678" i="138"/>
  <c r="P660" i="139" l="1"/>
  <c r="O247" i="138"/>
  <c r="O63" i="138"/>
  <c r="O11" i="138"/>
  <c r="O397" i="138"/>
  <c r="O481" i="138"/>
  <c r="O458" i="138" s="1"/>
  <c r="G608" i="138"/>
  <c r="O608" i="138"/>
  <c r="O328" i="138"/>
  <c r="M3" i="138"/>
  <c r="O533" i="138"/>
  <c r="O117" i="138"/>
  <c r="F3" i="137" l="1"/>
  <c r="D3" i="137"/>
  <c r="G3" i="137" l="1"/>
  <c r="O8" i="136"/>
  <c r="G3" i="32" l="1"/>
  <c r="F139" i="136"/>
  <c r="B20" i="16"/>
  <c r="E12" i="135"/>
  <c r="U22" i="134" l="1"/>
  <c r="X22" i="134" s="1"/>
  <c r="F38" i="134" l="1"/>
  <c r="F165" i="136"/>
  <c r="E90" i="136"/>
  <c r="F137" i="136"/>
  <c r="G139" i="136" s="1"/>
  <c r="F95" i="136"/>
  <c r="L481" i="129" l="1"/>
  <c r="D35" i="16" l="1"/>
  <c r="D23" i="16"/>
  <c r="O18" i="136"/>
  <c r="Q20" i="16"/>
  <c r="D10" i="135"/>
  <c r="D10" i="15"/>
  <c r="C9" i="15"/>
  <c r="Q23" i="16"/>
  <c r="B23" i="16"/>
  <c r="D16" i="16"/>
  <c r="D15" i="16"/>
  <c r="F26" i="136"/>
  <c r="G45" i="32"/>
  <c r="G44" i="32"/>
  <c r="G43" i="32"/>
  <c r="G42" i="32"/>
  <c r="G41" i="32"/>
  <c r="G25" i="32"/>
  <c r="E35" i="136"/>
  <c r="F29" i="136"/>
  <c r="O1555" i="130"/>
  <c r="O1556" i="130"/>
  <c r="O1557" i="130"/>
  <c r="O1558" i="130"/>
  <c r="O1559" i="130"/>
  <c r="O1560" i="130"/>
  <c r="O1561" i="130"/>
  <c r="O1562" i="130"/>
  <c r="O1563" i="130"/>
  <c r="O1564" i="130"/>
  <c r="O1565" i="130"/>
  <c r="O1566" i="130"/>
  <c r="O1567" i="130"/>
  <c r="O1568" i="130"/>
  <c r="O1569" i="130"/>
  <c r="O1570" i="130"/>
  <c r="O1571" i="130"/>
  <c r="O1572" i="130"/>
  <c r="O1573" i="130"/>
  <c r="O1574" i="130"/>
  <c r="O1575" i="130"/>
  <c r="O1576" i="130"/>
  <c r="O1577" i="130"/>
  <c r="O1578" i="130"/>
  <c r="O1579" i="130"/>
  <c r="O1580" i="130"/>
  <c r="O1581" i="130"/>
  <c r="O1582" i="130"/>
  <c r="O1583" i="130"/>
  <c r="O1584" i="130"/>
  <c r="O1585" i="130"/>
  <c r="O1586" i="130"/>
  <c r="O1587" i="130"/>
  <c r="O1588" i="130"/>
  <c r="O1589" i="130"/>
  <c r="O1590" i="130"/>
  <c r="O1591" i="130"/>
  <c r="O1592" i="130"/>
  <c r="O1593" i="130"/>
  <c r="O1594" i="130"/>
  <c r="O1595" i="130"/>
  <c r="O1596" i="130"/>
  <c r="O1597" i="130"/>
  <c r="O1598" i="130"/>
  <c r="O1599" i="130"/>
  <c r="O1600" i="130"/>
  <c r="O1601" i="130"/>
  <c r="O1602" i="130"/>
  <c r="O1603" i="130"/>
  <c r="O1604" i="130"/>
  <c r="O1605" i="130"/>
  <c r="O1606" i="130"/>
  <c r="O1607" i="130"/>
  <c r="O1608" i="130"/>
  <c r="O1609" i="130"/>
  <c r="O1610" i="130"/>
  <c r="O1611" i="130"/>
  <c r="O1612" i="130"/>
  <c r="O1613" i="130"/>
  <c r="O1614" i="130"/>
  <c r="O1615" i="130"/>
  <c r="O1616" i="130"/>
  <c r="O1617" i="130"/>
  <c r="O1618" i="130"/>
  <c r="O1619" i="130"/>
  <c r="O1620" i="130"/>
  <c r="O1621" i="130"/>
  <c r="O1622" i="130"/>
  <c r="O1623" i="130"/>
  <c r="O1624" i="130"/>
  <c r="O1625" i="130"/>
  <c r="O1626" i="130"/>
  <c r="O1627" i="130"/>
  <c r="O1628" i="130"/>
  <c r="O1629" i="130"/>
  <c r="O1630" i="130"/>
  <c r="O1631" i="130"/>
  <c r="O1632" i="130"/>
  <c r="O1633" i="130"/>
  <c r="O1634" i="130"/>
  <c r="O1635" i="130"/>
  <c r="O1636" i="130"/>
  <c r="O1637" i="130"/>
  <c r="O1638" i="130"/>
  <c r="O1639" i="130"/>
  <c r="O1640" i="130"/>
  <c r="O1641" i="130"/>
  <c r="O1642" i="130"/>
  <c r="O1643" i="130"/>
  <c r="O1644" i="130"/>
  <c r="O1645" i="130"/>
  <c r="O1646" i="130"/>
  <c r="O1647" i="130"/>
  <c r="O1648" i="130"/>
  <c r="O1649" i="130"/>
  <c r="O1650" i="130"/>
  <c r="O1651" i="130"/>
  <c r="O1652" i="130"/>
  <c r="O1653" i="130"/>
  <c r="O1654" i="130"/>
  <c r="T1515" i="130"/>
  <c r="S1515" i="130"/>
  <c r="M1515" i="130"/>
  <c r="U1353" i="130"/>
  <c r="T1353" i="130"/>
  <c r="S1353" i="130"/>
  <c r="H1353" i="130"/>
  <c r="I1353" i="130"/>
  <c r="J1353" i="130"/>
  <c r="K1353" i="130"/>
  <c r="L1353" i="130"/>
  <c r="M1353" i="130"/>
  <c r="N1353" i="130"/>
  <c r="F163" i="136"/>
  <c r="G1353" i="130"/>
  <c r="J1515" i="130"/>
  <c r="K1515" i="130"/>
  <c r="L1515" i="130"/>
  <c r="N1515" i="130"/>
  <c r="G1515" i="130"/>
  <c r="H1515" i="130"/>
  <c r="I1515" i="130"/>
  <c r="F634" i="129"/>
  <c r="E634" i="129"/>
  <c r="G20" i="32"/>
  <c r="D17" i="16" l="1"/>
  <c r="B17" i="16" s="1"/>
  <c r="F10" i="15"/>
  <c r="E53" i="136"/>
  <c r="F49" i="136"/>
  <c r="F167" i="136" l="1"/>
  <c r="F161" i="136"/>
  <c r="F157" i="136"/>
  <c r="F155" i="136"/>
  <c r="F152" i="136"/>
  <c r="E149" i="136"/>
  <c r="F150" i="136" s="1"/>
  <c r="F148" i="136"/>
  <c r="F146" i="136"/>
  <c r="E143" i="136"/>
  <c r="F144" i="136" s="1"/>
  <c r="E141" i="136"/>
  <c r="F142" i="136" s="1"/>
  <c r="F122" i="136"/>
  <c r="F118" i="136"/>
  <c r="K7" i="136" s="1"/>
  <c r="G115" i="136"/>
  <c r="E100" i="136"/>
  <c r="E97" i="136"/>
  <c r="F93" i="136"/>
  <c r="G95" i="136" s="1"/>
  <c r="G83" i="136"/>
  <c r="F78" i="136"/>
  <c r="G78" i="136" s="1"/>
  <c r="F69" i="136"/>
  <c r="F67" i="136"/>
  <c r="F65" i="136"/>
  <c r="F62" i="136"/>
  <c r="F60" i="136"/>
  <c r="F58" i="136"/>
  <c r="F56" i="136"/>
  <c r="E48" i="136"/>
  <c r="E46" i="136"/>
  <c r="F47" i="136" s="1"/>
  <c r="O46" i="136"/>
  <c r="E44" i="136"/>
  <c r="F43" i="136"/>
  <c r="O40" i="136"/>
  <c r="O33" i="136"/>
  <c r="O34" i="136" s="1"/>
  <c r="F38" i="136"/>
  <c r="F33" i="136"/>
  <c r="O29" i="136"/>
  <c r="F31" i="136"/>
  <c r="G33" i="136" s="1"/>
  <c r="O28" i="136"/>
  <c r="K28" i="136"/>
  <c r="O27" i="136"/>
  <c r="K27" i="136"/>
  <c r="K26" i="136"/>
  <c r="K25" i="136"/>
  <c r="K24" i="136"/>
  <c r="K23" i="136"/>
  <c r="O22" i="136"/>
  <c r="K22" i="136"/>
  <c r="O21" i="136"/>
  <c r="K21" i="136"/>
  <c r="F21" i="136"/>
  <c r="F19" i="136"/>
  <c r="O15" i="136"/>
  <c r="K14" i="136"/>
  <c r="E15" i="136"/>
  <c r="O13" i="136"/>
  <c r="K13" i="136"/>
  <c r="G13" i="136"/>
  <c r="K9" i="136"/>
  <c r="G29" i="32" s="1"/>
  <c r="K8" i="136"/>
  <c r="O7" i="136"/>
  <c r="D11" i="135"/>
  <c r="D9" i="135"/>
  <c r="D8" i="135"/>
  <c r="D7" i="135"/>
  <c r="D6" i="135"/>
  <c r="D5" i="135"/>
  <c r="D4" i="135"/>
  <c r="D3" i="135"/>
  <c r="H215" i="135"/>
  <c r="G215" i="135"/>
  <c r="F214" i="135"/>
  <c r="F213" i="135"/>
  <c r="F212" i="135"/>
  <c r="F211" i="135"/>
  <c r="F210" i="135"/>
  <c r="F209" i="135"/>
  <c r="F208" i="135"/>
  <c r="F207" i="135"/>
  <c r="H204" i="135"/>
  <c r="G204" i="135"/>
  <c r="F203" i="135"/>
  <c r="F202" i="135"/>
  <c r="F201" i="135"/>
  <c r="F199" i="135"/>
  <c r="F196" i="135"/>
  <c r="F195" i="135"/>
  <c r="F194" i="135"/>
  <c r="F193" i="135"/>
  <c r="F191" i="135"/>
  <c r="F190" i="135"/>
  <c r="F189" i="135"/>
  <c r="F188" i="135"/>
  <c r="F187" i="135"/>
  <c r="H182" i="135"/>
  <c r="G182" i="135"/>
  <c r="F182" i="135"/>
  <c r="F178" i="135"/>
  <c r="E177" i="135"/>
  <c r="E176" i="135"/>
  <c r="E175" i="135"/>
  <c r="E174" i="135"/>
  <c r="E173" i="135"/>
  <c r="F133" i="135"/>
  <c r="D133" i="135"/>
  <c r="F132" i="135"/>
  <c r="D132" i="135"/>
  <c r="F131" i="135"/>
  <c r="D131" i="135"/>
  <c r="E128" i="135"/>
  <c r="D127" i="135"/>
  <c r="D126" i="135"/>
  <c r="D125" i="135"/>
  <c r="D124" i="135"/>
  <c r="D123" i="135"/>
  <c r="D122" i="135"/>
  <c r="D121" i="135"/>
  <c r="E118" i="135"/>
  <c r="D117" i="135"/>
  <c r="D116" i="135"/>
  <c r="D115" i="135"/>
  <c r="D114" i="135"/>
  <c r="D113" i="135"/>
  <c r="D112" i="135"/>
  <c r="D111" i="135"/>
  <c r="D110" i="135"/>
  <c r="E107" i="135"/>
  <c r="D106" i="135"/>
  <c r="D105" i="135"/>
  <c r="D104" i="135"/>
  <c r="D103" i="135"/>
  <c r="D102" i="135"/>
  <c r="D101" i="135"/>
  <c r="D100" i="135"/>
  <c r="D99" i="135"/>
  <c r="D98" i="135"/>
  <c r="E95" i="135"/>
  <c r="D94" i="135"/>
  <c r="D93" i="135"/>
  <c r="D92" i="135"/>
  <c r="D91" i="135"/>
  <c r="D90" i="135"/>
  <c r="D89" i="135"/>
  <c r="D88" i="135"/>
  <c r="D87" i="135"/>
  <c r="E84" i="135"/>
  <c r="D83" i="135"/>
  <c r="D82" i="135"/>
  <c r="D81" i="135"/>
  <c r="D80" i="135"/>
  <c r="D79" i="135"/>
  <c r="D78" i="135"/>
  <c r="D77" i="135"/>
  <c r="D76" i="135"/>
  <c r="D75" i="135"/>
  <c r="E72" i="135"/>
  <c r="D71" i="135"/>
  <c r="D70" i="135"/>
  <c r="D69" i="135"/>
  <c r="D68" i="135"/>
  <c r="D67" i="135"/>
  <c r="D66" i="135"/>
  <c r="D65" i="135"/>
  <c r="D64" i="135"/>
  <c r="D63" i="135"/>
  <c r="E60" i="135"/>
  <c r="D59" i="135"/>
  <c r="D58" i="135"/>
  <c r="D57" i="135"/>
  <c r="D56" i="135"/>
  <c r="D55" i="135"/>
  <c r="D54" i="135"/>
  <c r="D53" i="135"/>
  <c r="D52" i="135"/>
  <c r="D51" i="135"/>
  <c r="E48" i="135"/>
  <c r="D47" i="135"/>
  <c r="D46" i="135"/>
  <c r="D45" i="135"/>
  <c r="D44" i="135"/>
  <c r="D43" i="135"/>
  <c r="D42" i="135"/>
  <c r="D41" i="135"/>
  <c r="D40" i="135"/>
  <c r="D39" i="135"/>
  <c r="E35" i="135"/>
  <c r="E36" i="135" s="1"/>
  <c r="D34" i="135"/>
  <c r="D33" i="135"/>
  <c r="D32" i="135"/>
  <c r="D31" i="135"/>
  <c r="D30" i="135"/>
  <c r="D29" i="135"/>
  <c r="D28" i="135"/>
  <c r="D27" i="135"/>
  <c r="E23" i="135"/>
  <c r="E24" i="135" s="1"/>
  <c r="D23" i="135"/>
  <c r="D22" i="135"/>
  <c r="D21" i="135"/>
  <c r="D20" i="135"/>
  <c r="D19" i="135"/>
  <c r="D18" i="135"/>
  <c r="D17" i="135"/>
  <c r="D16" i="135"/>
  <c r="D15" i="135"/>
  <c r="U4" i="134"/>
  <c r="X4" i="134" s="1"/>
  <c r="O23" i="136" l="1"/>
  <c r="E8" i="145"/>
  <c r="G31" i="32"/>
  <c r="E9" i="145"/>
  <c r="K9" i="145" s="1"/>
  <c r="C29" i="32" s="1"/>
  <c r="C31" i="32" s="1"/>
  <c r="O24" i="136"/>
  <c r="E132" i="135"/>
  <c r="P46" i="136"/>
  <c r="F215" i="135"/>
  <c r="E131" i="135"/>
  <c r="F184" i="135"/>
  <c r="K29" i="136"/>
  <c r="P34" i="136" s="1"/>
  <c r="K12" i="136"/>
  <c r="O12" i="136" s="1"/>
  <c r="F197" i="135"/>
  <c r="F204" i="135"/>
  <c r="D35" i="135"/>
  <c r="E133" i="135"/>
  <c r="G122" i="136"/>
  <c r="G21" i="136"/>
  <c r="K5" i="136"/>
  <c r="K4" i="136"/>
  <c r="G5" i="32" s="1"/>
  <c r="G152" i="136"/>
  <c r="O6" i="136"/>
  <c r="G48" i="32" s="1"/>
  <c r="F11" i="145" s="1"/>
  <c r="O6" i="145" s="1"/>
  <c r="C48" i="32" s="1"/>
  <c r="C50" i="32" s="1"/>
  <c r="P40" i="136"/>
  <c r="G102" i="136"/>
  <c r="O14" i="136"/>
  <c r="K33" i="136"/>
  <c r="O5" i="136"/>
  <c r="F159" i="136"/>
  <c r="O4" i="136" s="1"/>
  <c r="G40" i="32" s="1"/>
  <c r="K3" i="136"/>
  <c r="G2" i="32" s="1"/>
  <c r="G69" i="136"/>
  <c r="K16" i="136"/>
  <c r="O30" i="136"/>
  <c r="K30" i="136" s="1"/>
  <c r="P30" i="136" s="1"/>
  <c r="K6" i="136"/>
  <c r="G38" i="136"/>
  <c r="F45" i="136"/>
  <c r="O3" i="136" s="1"/>
  <c r="V18" i="134"/>
  <c r="P17" i="134"/>
  <c r="R16" i="134"/>
  <c r="L17" i="134"/>
  <c r="N17" i="134"/>
  <c r="U28" i="134"/>
  <c r="X28" i="134" s="1"/>
  <c r="U20" i="134"/>
  <c r="X20" i="134" s="1"/>
  <c r="N16" i="134"/>
  <c r="L16" i="134"/>
  <c r="X35" i="134"/>
  <c r="U29" i="134"/>
  <c r="X29" i="134" s="1"/>
  <c r="P15" i="134"/>
  <c r="U15" i="134" s="1"/>
  <c r="U14" i="134"/>
  <c r="N13" i="134"/>
  <c r="L13" i="134"/>
  <c r="N12" i="134"/>
  <c r="L12" i="134"/>
  <c r="O21" i="145" l="1"/>
  <c r="K7" i="145"/>
  <c r="O23" i="145" s="1"/>
  <c r="G4" i="32"/>
  <c r="E2" i="145"/>
  <c r="K15" i="136"/>
  <c r="G32" i="32"/>
  <c r="F10" i="145" s="1"/>
  <c r="O3" i="145" s="1"/>
  <c r="C32" i="32" s="1"/>
  <c r="C39" i="32" s="1"/>
  <c r="P18" i="136"/>
  <c r="F205" i="135"/>
  <c r="F216" i="135" s="1"/>
  <c r="G19" i="32"/>
  <c r="G12" i="32"/>
  <c r="G47" i="32"/>
  <c r="G11" i="32"/>
  <c r="G167" i="136"/>
  <c r="K10" i="136"/>
  <c r="K19" i="136"/>
  <c r="K20" i="136" s="1"/>
  <c r="K17" i="136"/>
  <c r="G50" i="136"/>
  <c r="U17" i="134"/>
  <c r="U16" i="134"/>
  <c r="U25" i="134"/>
  <c r="X25" i="134" s="1"/>
  <c r="U24" i="134"/>
  <c r="L10" i="134"/>
  <c r="N9" i="134"/>
  <c r="L9" i="134"/>
  <c r="J5" i="134"/>
  <c r="T5" i="134"/>
  <c r="N5" i="134"/>
  <c r="P5" i="134"/>
  <c r="L5" i="134"/>
  <c r="H5" i="134"/>
  <c r="D5" i="134"/>
  <c r="F5" i="134"/>
  <c r="N3" i="134"/>
  <c r="L3" i="134"/>
  <c r="U19" i="134"/>
  <c r="U18" i="134" s="1"/>
  <c r="X18" i="134" s="1"/>
  <c r="K3" i="145" l="1"/>
  <c r="G18" i="32"/>
  <c r="E6" i="145"/>
  <c r="K5" i="145" s="1"/>
  <c r="C12" i="32" s="1"/>
  <c r="C18" i="32" s="1"/>
  <c r="G28" i="32"/>
  <c r="E7" i="145"/>
  <c r="K6" i="145" s="1"/>
  <c r="C19" i="32" s="1"/>
  <c r="C28" i="32" s="1"/>
  <c r="O24" i="145"/>
  <c r="K16" i="145" s="1"/>
  <c r="K17" i="145" s="1"/>
  <c r="K31" i="136"/>
  <c r="K34" i="136" s="1"/>
  <c r="K18" i="136"/>
  <c r="U3" i="134"/>
  <c r="U1552" i="130"/>
  <c r="P1552" i="130"/>
  <c r="Q1552" i="130" s="1"/>
  <c r="O1552" i="130"/>
  <c r="D49" i="134"/>
  <c r="D46" i="134"/>
  <c r="D44" i="134"/>
  <c r="D43" i="134"/>
  <c r="W104" i="134"/>
  <c r="V104" i="134"/>
  <c r="U104" i="134"/>
  <c r="X103" i="134"/>
  <c r="X102" i="134"/>
  <c r="X101" i="134"/>
  <c r="X100" i="134"/>
  <c r="X99" i="134"/>
  <c r="X98" i="134"/>
  <c r="W97" i="134"/>
  <c r="V97" i="134"/>
  <c r="U97" i="134"/>
  <c r="X96" i="134"/>
  <c r="X95" i="134"/>
  <c r="X94" i="134"/>
  <c r="X93" i="134"/>
  <c r="X92" i="134"/>
  <c r="X91" i="134"/>
  <c r="V90" i="134"/>
  <c r="U90" i="134"/>
  <c r="W89" i="134"/>
  <c r="X89" i="134" s="1"/>
  <c r="W88" i="134"/>
  <c r="X88" i="134" s="1"/>
  <c r="W87" i="134"/>
  <c r="X87" i="134" s="1"/>
  <c r="W86" i="134"/>
  <c r="X86" i="134" s="1"/>
  <c r="W85" i="134"/>
  <c r="X85" i="134" s="1"/>
  <c r="W84" i="134"/>
  <c r="X84" i="134" s="1"/>
  <c r="W83" i="134"/>
  <c r="X83" i="134" s="1"/>
  <c r="W82" i="134"/>
  <c r="X82" i="134" s="1"/>
  <c r="W81" i="134"/>
  <c r="X81" i="134" s="1"/>
  <c r="W80" i="134"/>
  <c r="X80" i="134" s="1"/>
  <c r="W79" i="134"/>
  <c r="X79" i="134" s="1"/>
  <c r="W78" i="134"/>
  <c r="X78" i="134" s="1"/>
  <c r="W77" i="134"/>
  <c r="X77" i="134" s="1"/>
  <c r="W76" i="134"/>
  <c r="X76" i="134" s="1"/>
  <c r="W75" i="134"/>
  <c r="X75" i="134" s="1"/>
  <c r="W74" i="134"/>
  <c r="X74" i="134" s="1"/>
  <c r="W73" i="134"/>
  <c r="X73" i="134" s="1"/>
  <c r="W72" i="134"/>
  <c r="X72" i="134" s="1"/>
  <c r="W71" i="134"/>
  <c r="X71" i="134" s="1"/>
  <c r="W70" i="134"/>
  <c r="X70" i="134" s="1"/>
  <c r="W69" i="134"/>
  <c r="X69" i="134" s="1"/>
  <c r="W68" i="134"/>
  <c r="X68" i="134" s="1"/>
  <c r="W67" i="134"/>
  <c r="X67" i="134" s="1"/>
  <c r="W66" i="134"/>
  <c r="X66" i="134" s="1"/>
  <c r="W65" i="134"/>
  <c r="X65" i="134" s="1"/>
  <c r="W64" i="134"/>
  <c r="X64" i="134" s="1"/>
  <c r="W63" i="134"/>
  <c r="X63" i="134" s="1"/>
  <c r="W62" i="134"/>
  <c r="X62" i="134" s="1"/>
  <c r="W61" i="134"/>
  <c r="X61" i="134" s="1"/>
  <c r="W60" i="134"/>
  <c r="X60" i="134" s="1"/>
  <c r="W59" i="134"/>
  <c r="X59" i="134" s="1"/>
  <c r="W58" i="134"/>
  <c r="X58" i="134" s="1"/>
  <c r="W57" i="134"/>
  <c r="X57" i="134" s="1"/>
  <c r="W56" i="134"/>
  <c r="X56" i="134" s="1"/>
  <c r="W55" i="134"/>
  <c r="X55" i="134" s="1"/>
  <c r="W54" i="134"/>
  <c r="X34" i="134"/>
  <c r="X33" i="134"/>
  <c r="X32" i="134"/>
  <c r="X31" i="134"/>
  <c r="X24" i="134"/>
  <c r="F45" i="134" s="1"/>
  <c r="X27" i="134"/>
  <c r="X26" i="134"/>
  <c r="U23" i="134"/>
  <c r="X23" i="134" s="1"/>
  <c r="X19" i="134"/>
  <c r="F37" i="134" s="1"/>
  <c r="P1" i="134"/>
  <c r="H1" i="134"/>
  <c r="F1" i="134"/>
  <c r="T1" i="134"/>
  <c r="N1" i="134"/>
  <c r="L1" i="134"/>
  <c r="U11" i="134"/>
  <c r="X11" i="134" s="1"/>
  <c r="U10" i="134"/>
  <c r="X10" i="134" s="1"/>
  <c r="U9" i="134"/>
  <c r="X9" i="134" s="1"/>
  <c r="U8" i="134"/>
  <c r="X8" i="134" s="1"/>
  <c r="U7" i="134"/>
  <c r="X7" i="134" s="1"/>
  <c r="U6" i="134"/>
  <c r="X6" i="134" s="1"/>
  <c r="U5" i="134"/>
  <c r="X5" i="134" s="1"/>
  <c r="X3" i="134"/>
  <c r="V1" i="134"/>
  <c r="S1" i="134"/>
  <c r="R1" i="134"/>
  <c r="Q1" i="134"/>
  <c r="O1" i="134"/>
  <c r="M1" i="134"/>
  <c r="K1" i="134"/>
  <c r="I1" i="134"/>
  <c r="G1" i="134"/>
  <c r="E1" i="134"/>
  <c r="D1" i="134"/>
  <c r="C1" i="134"/>
  <c r="F40" i="134" l="1"/>
  <c r="K31" i="145"/>
  <c r="K18" i="145"/>
  <c r="C2" i="32"/>
  <c r="C4" i="32" s="1"/>
  <c r="K10" i="145"/>
  <c r="X21" i="134"/>
  <c r="F39" i="134"/>
  <c r="X30" i="134"/>
  <c r="K32" i="136"/>
  <c r="O9" i="136"/>
  <c r="K35" i="136"/>
  <c r="F44" i="134"/>
  <c r="F43" i="134"/>
  <c r="D50" i="134"/>
  <c r="X14" i="134"/>
  <c r="F48" i="134" s="1"/>
  <c r="F42" i="134"/>
  <c r="U12" i="134"/>
  <c r="X12" i="134" s="1"/>
  <c r="X1" i="134" s="1"/>
  <c r="X15" i="134"/>
  <c r="F46" i="134"/>
  <c r="U13" i="134"/>
  <c r="X13" i="134" s="1"/>
  <c r="X16" i="134"/>
  <c r="X17" i="134"/>
  <c r="H48" i="134"/>
  <c r="H50" i="134" s="1"/>
  <c r="V105" i="134"/>
  <c r="V106" i="134" s="1"/>
  <c r="X104" i="134"/>
  <c r="X97" i="134"/>
  <c r="W90" i="134"/>
  <c r="W105" i="134" s="1"/>
  <c r="X54" i="134"/>
  <c r="T104" i="134"/>
  <c r="J1" i="134"/>
  <c r="T97" i="134"/>
  <c r="U105" i="134"/>
  <c r="T90" i="134"/>
  <c r="O10" i="136" l="1"/>
  <c r="F13" i="145"/>
  <c r="K34" i="145"/>
  <c r="K32" i="145"/>
  <c r="P10" i="136"/>
  <c r="F47" i="134"/>
  <c r="F49" i="134"/>
  <c r="F51" i="134"/>
  <c r="U1" i="134"/>
  <c r="U106" i="134" s="1"/>
  <c r="X90" i="134"/>
  <c r="X105" i="134"/>
  <c r="O8" i="145" l="1"/>
  <c r="G13" i="145"/>
  <c r="O9" i="145"/>
  <c r="K35" i="145"/>
  <c r="V109" i="134"/>
  <c r="Z106" i="134"/>
  <c r="F50" i="134"/>
  <c r="F52" i="134" s="1"/>
  <c r="U109" i="134"/>
  <c r="X106" i="134"/>
  <c r="O10" i="145" l="1"/>
  <c r="P10" i="145" s="1"/>
  <c r="U1551" i="130"/>
  <c r="U1533" i="130"/>
  <c r="U1522" i="130"/>
  <c r="U1517" i="130"/>
  <c r="O1522" i="130"/>
  <c r="O1533" i="130"/>
  <c r="O1551" i="130"/>
  <c r="O1517" i="130"/>
  <c r="B75" i="133" l="1"/>
  <c r="B78" i="133" s="1"/>
  <c r="B79" i="133" s="1"/>
  <c r="C66" i="133"/>
  <c r="H60" i="133"/>
  <c r="C59" i="133"/>
  <c r="H58" i="133"/>
  <c r="H57" i="133"/>
  <c r="C56" i="133"/>
  <c r="H56" i="133" s="1"/>
  <c r="C55" i="133"/>
  <c r="H55" i="133" s="1"/>
  <c r="C54" i="133"/>
  <c r="H50" i="133"/>
  <c r="H49" i="133"/>
  <c r="K46" i="133"/>
  <c r="C46" i="133"/>
  <c r="C45" i="133" s="1"/>
  <c r="F44" i="133"/>
  <c r="E44" i="133"/>
  <c r="D44" i="133"/>
  <c r="C44" i="133"/>
  <c r="F43" i="133"/>
  <c r="E43" i="133"/>
  <c r="D43" i="133"/>
  <c r="C43" i="133"/>
  <c r="F42" i="133"/>
  <c r="E42" i="133"/>
  <c r="D42" i="133"/>
  <c r="D41" i="133" s="1"/>
  <c r="C42" i="133"/>
  <c r="G41" i="133"/>
  <c r="F41" i="133"/>
  <c r="H40" i="133"/>
  <c r="I40" i="133" s="1"/>
  <c r="H39" i="133"/>
  <c r="I39" i="133" s="1"/>
  <c r="H38" i="133"/>
  <c r="H37" i="133"/>
  <c r="H36" i="133"/>
  <c r="I38" i="133" s="1"/>
  <c r="H35" i="133"/>
  <c r="H34" i="133"/>
  <c r="H33" i="133"/>
  <c r="H32" i="133"/>
  <c r="H31" i="133"/>
  <c r="H30" i="133"/>
  <c r="H29" i="133"/>
  <c r="H28" i="133"/>
  <c r="H27" i="133"/>
  <c r="H26" i="133"/>
  <c r="H25" i="133"/>
  <c r="H24" i="133"/>
  <c r="I26" i="133" s="1"/>
  <c r="H23" i="133"/>
  <c r="H22" i="133"/>
  <c r="H21" i="133"/>
  <c r="H20" i="133"/>
  <c r="H19" i="133"/>
  <c r="H18" i="133"/>
  <c r="H17" i="133"/>
  <c r="H16" i="133"/>
  <c r="H15" i="133"/>
  <c r="H14" i="133"/>
  <c r="H13" i="133"/>
  <c r="H12" i="133"/>
  <c r="I14" i="133" s="1"/>
  <c r="H11" i="133"/>
  <c r="H10" i="133"/>
  <c r="H9" i="133"/>
  <c r="H8" i="133"/>
  <c r="H7" i="133"/>
  <c r="H6" i="133"/>
  <c r="H5" i="133"/>
  <c r="H4" i="133"/>
  <c r="H3" i="133"/>
  <c r="G1" i="133"/>
  <c r="F1" i="133"/>
  <c r="E1" i="133"/>
  <c r="D1" i="133"/>
  <c r="C1" i="133"/>
  <c r="H46" i="133" l="1"/>
  <c r="I11" i="133"/>
  <c r="I23" i="133"/>
  <c r="I35" i="133"/>
  <c r="I8" i="133"/>
  <c r="I20" i="133"/>
  <c r="I32" i="133"/>
  <c r="I5" i="133"/>
  <c r="I17" i="133"/>
  <c r="I29" i="133"/>
  <c r="C62" i="133"/>
  <c r="E41" i="133"/>
  <c r="H1" i="133"/>
  <c r="C65" i="133"/>
  <c r="C53" i="133"/>
  <c r="C63" i="133"/>
  <c r="C64" i="133"/>
  <c r="C47" i="133"/>
  <c r="H48" i="133"/>
  <c r="H51" i="133"/>
  <c r="H43" i="133"/>
  <c r="C41" i="133"/>
  <c r="H44" i="133"/>
  <c r="H54" i="133"/>
  <c r="H42" i="133"/>
  <c r="H41" i="133" l="1"/>
  <c r="I1" i="133"/>
  <c r="C67" i="133"/>
  <c r="C61" i="133"/>
  <c r="B33" i="132"/>
  <c r="B110" i="132"/>
  <c r="B76" i="132"/>
  <c r="B71" i="132"/>
  <c r="B59" i="132"/>
  <c r="B53" i="132"/>
  <c r="B46" i="132"/>
  <c r="R1654" i="130"/>
  <c r="R1653" i="130"/>
  <c r="R1652" i="130"/>
  <c r="R1651" i="130"/>
  <c r="R1650" i="130"/>
  <c r="R1649" i="130"/>
  <c r="R1648" i="130"/>
  <c r="R1647" i="130"/>
  <c r="R1638" i="130"/>
  <c r="R1646" i="130"/>
  <c r="R1645" i="130"/>
  <c r="R1644" i="130"/>
  <c r="R1643" i="130"/>
  <c r="R1642" i="130"/>
  <c r="R1641" i="130"/>
  <c r="R1640" i="130"/>
  <c r="R1639" i="130"/>
  <c r="R1637" i="130"/>
  <c r="R1636" i="130"/>
  <c r="R1635" i="130"/>
  <c r="R1634" i="130"/>
  <c r="R1633" i="130"/>
  <c r="R1632" i="130"/>
  <c r="R1631" i="130"/>
  <c r="R1630" i="130"/>
  <c r="R1629" i="130"/>
  <c r="R1628" i="130"/>
  <c r="R1627" i="130"/>
  <c r="R1626" i="130"/>
  <c r="R1625" i="130"/>
  <c r="R1624" i="130"/>
  <c r="R1623" i="130"/>
  <c r="R1622" i="130"/>
  <c r="R1621" i="130"/>
  <c r="R1620" i="130"/>
  <c r="R1619" i="130"/>
  <c r="R1618" i="130"/>
  <c r="R1617" i="130"/>
  <c r="R1616" i="130"/>
  <c r="R1615" i="130"/>
  <c r="R1614" i="130"/>
  <c r="R1613" i="130"/>
  <c r="R1612" i="130"/>
  <c r="R1611" i="130"/>
  <c r="R1610" i="130"/>
  <c r="R1609" i="130"/>
  <c r="R1608" i="130"/>
  <c r="R1607" i="130"/>
  <c r="R1606" i="130"/>
  <c r="R1605" i="130"/>
  <c r="R1604" i="130"/>
  <c r="R1603" i="130"/>
  <c r="R1602" i="130"/>
  <c r="R1601" i="130"/>
  <c r="R1600" i="130"/>
  <c r="R1585" i="130"/>
  <c r="R1586" i="130"/>
  <c r="R1587" i="130"/>
  <c r="R1588" i="130"/>
  <c r="R1589" i="130"/>
  <c r="R1590" i="130"/>
  <c r="R1591" i="130"/>
  <c r="R1584" i="130"/>
  <c r="R1599" i="130"/>
  <c r="R1598" i="130"/>
  <c r="R1597" i="130"/>
  <c r="R1596" i="130"/>
  <c r="R1595" i="130"/>
  <c r="R1594" i="130"/>
  <c r="R1593" i="130"/>
  <c r="R1592" i="130"/>
  <c r="R1583" i="130"/>
  <c r="R1582" i="130"/>
  <c r="R1581" i="130"/>
  <c r="R1580" i="130"/>
  <c r="R1579" i="130"/>
  <c r="R1578" i="130"/>
  <c r="R1577" i="130"/>
  <c r="R1576" i="130"/>
  <c r="R1575" i="130"/>
  <c r="R1574" i="130"/>
  <c r="R1573" i="130"/>
  <c r="R1572" i="130"/>
  <c r="R1571" i="130"/>
  <c r="R1565" i="130"/>
  <c r="R1564" i="130"/>
  <c r="R1563" i="130"/>
  <c r="R1562" i="130"/>
  <c r="R1567" i="130"/>
  <c r="R1566" i="130"/>
  <c r="R1569" i="130"/>
  <c r="R1568" i="130"/>
  <c r="R1570" i="130"/>
  <c r="R1561" i="130"/>
  <c r="R1560" i="130"/>
  <c r="R1559" i="130"/>
  <c r="R1558" i="130"/>
  <c r="R1557" i="130"/>
  <c r="R1556" i="130"/>
  <c r="R1555" i="130"/>
  <c r="R1554" i="130"/>
  <c r="O1554" i="130"/>
  <c r="U1553" i="130"/>
  <c r="P1553" i="130"/>
  <c r="Q1553" i="130" s="1"/>
  <c r="O1553" i="130"/>
  <c r="U1550" i="130"/>
  <c r="P1550" i="130"/>
  <c r="Q1550" i="130" s="1"/>
  <c r="O1550" i="130"/>
  <c r="U1549" i="130"/>
  <c r="P1549" i="130"/>
  <c r="Q1549" i="130" s="1"/>
  <c r="O1549" i="130"/>
  <c r="U1548" i="130"/>
  <c r="P1548" i="130"/>
  <c r="Q1548" i="130" s="1"/>
  <c r="O1548" i="130"/>
  <c r="U1547" i="130"/>
  <c r="P1547" i="130"/>
  <c r="Q1547" i="130" s="1"/>
  <c r="O1547" i="130"/>
  <c r="U1546" i="130"/>
  <c r="P1546" i="130"/>
  <c r="Q1546" i="130" s="1"/>
  <c r="O1546" i="130"/>
  <c r="U1545" i="130"/>
  <c r="Q1545" i="130"/>
  <c r="P1545" i="130"/>
  <c r="O1545" i="130"/>
  <c r="U1544" i="130"/>
  <c r="P1544" i="130"/>
  <c r="Q1544" i="130" s="1"/>
  <c r="O1544" i="130"/>
  <c r="U1543" i="130"/>
  <c r="P1543" i="130"/>
  <c r="Q1543" i="130" s="1"/>
  <c r="O1543" i="130"/>
  <c r="U1541" i="130"/>
  <c r="P1541" i="130"/>
  <c r="Q1541" i="130" s="1"/>
  <c r="O1541" i="130"/>
  <c r="U1542" i="130"/>
  <c r="P1542" i="130"/>
  <c r="Q1542" i="130" s="1"/>
  <c r="O1542" i="130"/>
  <c r="U1540" i="130"/>
  <c r="P1540" i="130"/>
  <c r="Q1540" i="130" s="1"/>
  <c r="O1540" i="130"/>
  <c r="U1539" i="130"/>
  <c r="P1539" i="130"/>
  <c r="Q1539" i="130" s="1"/>
  <c r="O1539" i="130"/>
  <c r="U1538" i="130"/>
  <c r="Q1538" i="130"/>
  <c r="P1538" i="130"/>
  <c r="O1538" i="130"/>
  <c r="U1537" i="130"/>
  <c r="P1537" i="130"/>
  <c r="Q1537" i="130" s="1"/>
  <c r="O1537" i="130"/>
  <c r="U1536" i="130"/>
  <c r="Q1536" i="130"/>
  <c r="P1536" i="130"/>
  <c r="O1536" i="130"/>
  <c r="U1535" i="130"/>
  <c r="P1535" i="130"/>
  <c r="Q1535" i="130" s="1"/>
  <c r="O1535" i="130"/>
  <c r="U1534" i="130"/>
  <c r="P1534" i="130"/>
  <c r="Q1534" i="130" s="1"/>
  <c r="O1534" i="130"/>
  <c r="U1532" i="130"/>
  <c r="P1532" i="130"/>
  <c r="Q1532" i="130" s="1"/>
  <c r="O1532" i="130"/>
  <c r="U1531" i="130"/>
  <c r="P1531" i="130"/>
  <c r="Q1531" i="130" s="1"/>
  <c r="O1531" i="130"/>
  <c r="U1530" i="130"/>
  <c r="Q1530" i="130"/>
  <c r="P1530" i="130"/>
  <c r="O1530" i="130"/>
  <c r="U1529" i="130"/>
  <c r="P1529" i="130"/>
  <c r="Q1529" i="130" s="1"/>
  <c r="O1529" i="130"/>
  <c r="U1528" i="130"/>
  <c r="P1528" i="130"/>
  <c r="Q1528" i="130" s="1"/>
  <c r="O1528" i="130"/>
  <c r="U1527" i="130"/>
  <c r="Q1527" i="130"/>
  <c r="P1527" i="130"/>
  <c r="O1527" i="130"/>
  <c r="U1526" i="130"/>
  <c r="P1526" i="130"/>
  <c r="Q1526" i="130" s="1"/>
  <c r="O1526" i="130"/>
  <c r="U1525" i="130"/>
  <c r="P1525" i="130"/>
  <c r="Q1525" i="130" s="1"/>
  <c r="O1525" i="130"/>
  <c r="U1524" i="130"/>
  <c r="P1524" i="130"/>
  <c r="Q1524" i="130" s="1"/>
  <c r="O1524" i="130"/>
  <c r="U1523" i="130"/>
  <c r="P1523" i="130"/>
  <c r="Q1523" i="130" s="1"/>
  <c r="O1523" i="130"/>
  <c r="U1521" i="130"/>
  <c r="P1521" i="130"/>
  <c r="Q1521" i="130" s="1"/>
  <c r="O1521" i="130"/>
  <c r="U1520" i="130"/>
  <c r="Q1520" i="130"/>
  <c r="P1520" i="130"/>
  <c r="O1520" i="130"/>
  <c r="U1518" i="130"/>
  <c r="U1519" i="130"/>
  <c r="P1518" i="130"/>
  <c r="Q1518" i="130" s="1"/>
  <c r="P1519" i="130"/>
  <c r="Q1519" i="130"/>
  <c r="O1518" i="130"/>
  <c r="O1519" i="130"/>
  <c r="R1511" i="130"/>
  <c r="O1511" i="130"/>
  <c r="R1510" i="130"/>
  <c r="O1510" i="130"/>
  <c r="R1509" i="130"/>
  <c r="O1509" i="130"/>
  <c r="R1508" i="130"/>
  <c r="O1508" i="130"/>
  <c r="R1507" i="130"/>
  <c r="O1507" i="130"/>
  <c r="R1506" i="130"/>
  <c r="O1506" i="130"/>
  <c r="R1505" i="130"/>
  <c r="O1505" i="130"/>
  <c r="R1504" i="130"/>
  <c r="O1504" i="130"/>
  <c r="R1503" i="130"/>
  <c r="O1503" i="130"/>
  <c r="R1502" i="130"/>
  <c r="O1502" i="130"/>
  <c r="R1501" i="130"/>
  <c r="O1501" i="130"/>
  <c r="R1500" i="130"/>
  <c r="O1500" i="130"/>
  <c r="R1499" i="130"/>
  <c r="O1499" i="130"/>
  <c r="R1498" i="130"/>
  <c r="O1498" i="130"/>
  <c r="R1497" i="130"/>
  <c r="O1497" i="130"/>
  <c r="R1496" i="130"/>
  <c r="O1496" i="130"/>
  <c r="R1495" i="130"/>
  <c r="O1495" i="130"/>
  <c r="R1494" i="130"/>
  <c r="O1494" i="130"/>
  <c r="R1493" i="130"/>
  <c r="O1493" i="130"/>
  <c r="R1492" i="130"/>
  <c r="O1492" i="130"/>
  <c r="R1491" i="130"/>
  <c r="O1491" i="130"/>
  <c r="R1490" i="130"/>
  <c r="O1490" i="130"/>
  <c r="R1489" i="130"/>
  <c r="O1489" i="130"/>
  <c r="R1488" i="130"/>
  <c r="O1488" i="130"/>
  <c r="R1487" i="130"/>
  <c r="O1487" i="130"/>
  <c r="R1486" i="130"/>
  <c r="O1486" i="130"/>
  <c r="R1485" i="130"/>
  <c r="O1485" i="130"/>
  <c r="R1484" i="130"/>
  <c r="O1484" i="130"/>
  <c r="R1483" i="130"/>
  <c r="O1483" i="130"/>
  <c r="R1482" i="130"/>
  <c r="O1482" i="130"/>
  <c r="R1481" i="130"/>
  <c r="O1481" i="130"/>
  <c r="R1480" i="130"/>
  <c r="O1480" i="130"/>
  <c r="R1479" i="130"/>
  <c r="O1479" i="130"/>
  <c r="R1478" i="130"/>
  <c r="O1478" i="130"/>
  <c r="R1477" i="130"/>
  <c r="O1477" i="130"/>
  <c r="R1476" i="130"/>
  <c r="O1476" i="130"/>
  <c r="R1475" i="130"/>
  <c r="O1475" i="130"/>
  <c r="R1474" i="130"/>
  <c r="O1474" i="130"/>
  <c r="R1473" i="130"/>
  <c r="O1473" i="130"/>
  <c r="R1472" i="130"/>
  <c r="O1472" i="130"/>
  <c r="R1471" i="130"/>
  <c r="O1471" i="130"/>
  <c r="R1470" i="130"/>
  <c r="O1470" i="130"/>
  <c r="R1469" i="130"/>
  <c r="O1469" i="130"/>
  <c r="R1468" i="130"/>
  <c r="O1468" i="130"/>
  <c r="R1467" i="130"/>
  <c r="O1467" i="130"/>
  <c r="R1466" i="130"/>
  <c r="O1466" i="130"/>
  <c r="R1465" i="130"/>
  <c r="O1465" i="130"/>
  <c r="R1464" i="130"/>
  <c r="O1464" i="130"/>
  <c r="R1463" i="130"/>
  <c r="O1463" i="130"/>
  <c r="R1462" i="130"/>
  <c r="O1462" i="130"/>
  <c r="R1461" i="130"/>
  <c r="O1461" i="130"/>
  <c r="R1460" i="130"/>
  <c r="O1460" i="130"/>
  <c r="R1459" i="130"/>
  <c r="O1459" i="130"/>
  <c r="R1458" i="130"/>
  <c r="O1458" i="130"/>
  <c r="R1457" i="130"/>
  <c r="O1457" i="130"/>
  <c r="R1456" i="130"/>
  <c r="O1456" i="130"/>
  <c r="R1455" i="130"/>
  <c r="O1455" i="130"/>
  <c r="R1454" i="130"/>
  <c r="O1454" i="130"/>
  <c r="R1453" i="130"/>
  <c r="O1453" i="130"/>
  <c r="R1452" i="130"/>
  <c r="O1452" i="130"/>
  <c r="R1451" i="130"/>
  <c r="O1451" i="130"/>
  <c r="R1450" i="130"/>
  <c r="O1450" i="130"/>
  <c r="R1449" i="130"/>
  <c r="O1449" i="130"/>
  <c r="R1448" i="130"/>
  <c r="O1448" i="130"/>
  <c r="R1447" i="130"/>
  <c r="O1447" i="130"/>
  <c r="R1446" i="130"/>
  <c r="O1446" i="130"/>
  <c r="R1445" i="130"/>
  <c r="O1445" i="130"/>
  <c r="R1444" i="130"/>
  <c r="O1444" i="130"/>
  <c r="R1443" i="130"/>
  <c r="O1443" i="130"/>
  <c r="R1442" i="130"/>
  <c r="O1442" i="130"/>
  <c r="R1441" i="130"/>
  <c r="O1441" i="130"/>
  <c r="R1440" i="130"/>
  <c r="O1440" i="130"/>
  <c r="R1439" i="130"/>
  <c r="O1439" i="130"/>
  <c r="R1438" i="130"/>
  <c r="O1438" i="130"/>
  <c r="R1437" i="130"/>
  <c r="O1437" i="130"/>
  <c r="R1436" i="130"/>
  <c r="O1436" i="130"/>
  <c r="R1435" i="130"/>
  <c r="O1435" i="130"/>
  <c r="R1434" i="130"/>
  <c r="O1434" i="130"/>
  <c r="R1433" i="130"/>
  <c r="O1433" i="130"/>
  <c r="R1432" i="130"/>
  <c r="O1432" i="130"/>
  <c r="R1431" i="130"/>
  <c r="O1431" i="130"/>
  <c r="R1430" i="130"/>
  <c r="O1430" i="130"/>
  <c r="R1429" i="130"/>
  <c r="O1429" i="130"/>
  <c r="R1428" i="130"/>
  <c r="O1428" i="130"/>
  <c r="R1427" i="130"/>
  <c r="O1427" i="130"/>
  <c r="R1426" i="130"/>
  <c r="O1426" i="130"/>
  <c r="R1425" i="130"/>
  <c r="O1425" i="130"/>
  <c r="R1424" i="130"/>
  <c r="O1424" i="130"/>
  <c r="R1423" i="130"/>
  <c r="O1423" i="130"/>
  <c r="R1422" i="130"/>
  <c r="O1422" i="130"/>
  <c r="R1421" i="130"/>
  <c r="O1421" i="130"/>
  <c r="R1420" i="130"/>
  <c r="O1420" i="130"/>
  <c r="R1419" i="130"/>
  <c r="O1419" i="130"/>
  <c r="R1418" i="130"/>
  <c r="O1418" i="130"/>
  <c r="R1417" i="130"/>
  <c r="O1417" i="130"/>
  <c r="R1416" i="130"/>
  <c r="O1416" i="130"/>
  <c r="R1415" i="130"/>
  <c r="O1415" i="130"/>
  <c r="R1414" i="130"/>
  <c r="O1414" i="130"/>
  <c r="R1413" i="130"/>
  <c r="O1413" i="130"/>
  <c r="R1412" i="130"/>
  <c r="O1412" i="130"/>
  <c r="R1411" i="130"/>
  <c r="O1411" i="130"/>
  <c r="R1410" i="130"/>
  <c r="O1410" i="130"/>
  <c r="R1409" i="130"/>
  <c r="O1409" i="130"/>
  <c r="R1408" i="130"/>
  <c r="O1408" i="130"/>
  <c r="R1407" i="130"/>
  <c r="O1407" i="130"/>
  <c r="R1406" i="130"/>
  <c r="O1406" i="130"/>
  <c r="R1405" i="130"/>
  <c r="O1405" i="130"/>
  <c r="R1404" i="130"/>
  <c r="O1404" i="130"/>
  <c r="R1403" i="130"/>
  <c r="O1403" i="130"/>
  <c r="R1402" i="130"/>
  <c r="O1402" i="130"/>
  <c r="R1401" i="130"/>
  <c r="O1401" i="130"/>
  <c r="R1400" i="130"/>
  <c r="O1400" i="130"/>
  <c r="R1399" i="130"/>
  <c r="O1399" i="130"/>
  <c r="R1398" i="130"/>
  <c r="O1398" i="130"/>
  <c r="R1397" i="130"/>
  <c r="O1397" i="130"/>
  <c r="R1396" i="130"/>
  <c r="O1396" i="130"/>
  <c r="R1395" i="130"/>
  <c r="O1395" i="130"/>
  <c r="R1394" i="130"/>
  <c r="O1394" i="130"/>
  <c r="R1393" i="130"/>
  <c r="O1393" i="130"/>
  <c r="R1392" i="130"/>
  <c r="O1392" i="130"/>
  <c r="R1391" i="130"/>
  <c r="O1391" i="130"/>
  <c r="R1390" i="130"/>
  <c r="O1390" i="130"/>
  <c r="R1389" i="130"/>
  <c r="O1389" i="130"/>
  <c r="R1388" i="130"/>
  <c r="O1388" i="130"/>
  <c r="R1387" i="130"/>
  <c r="O1387" i="130"/>
  <c r="R1386" i="130"/>
  <c r="R1353" i="130" s="1"/>
  <c r="O1386" i="130"/>
  <c r="O1385" i="130"/>
  <c r="O1384" i="130"/>
  <c r="O1383" i="130"/>
  <c r="O1382" i="130"/>
  <c r="O1381" i="130"/>
  <c r="O1380" i="130"/>
  <c r="O1379" i="130"/>
  <c r="O1378" i="130"/>
  <c r="O1377" i="130"/>
  <c r="O1376" i="130"/>
  <c r="O1375" i="130"/>
  <c r="O1374" i="130"/>
  <c r="O1373" i="130"/>
  <c r="O1372" i="130"/>
  <c r="O1371" i="130"/>
  <c r="O1370" i="130"/>
  <c r="O1369" i="130"/>
  <c r="O1368" i="130"/>
  <c r="O1367" i="130"/>
  <c r="O1366" i="130"/>
  <c r="O1365" i="130"/>
  <c r="O1364" i="130"/>
  <c r="O1363" i="130"/>
  <c r="O1362" i="130"/>
  <c r="O1361" i="130"/>
  <c r="O1360" i="130"/>
  <c r="O1359" i="130"/>
  <c r="O1358" i="130"/>
  <c r="O1357" i="130"/>
  <c r="O1356" i="130"/>
  <c r="O1355" i="130"/>
  <c r="R1349" i="130"/>
  <c r="O1349" i="130"/>
  <c r="R1348" i="130"/>
  <c r="O1348" i="130"/>
  <c r="R1347" i="130"/>
  <c r="O1347" i="130"/>
  <c r="R1346" i="130"/>
  <c r="O1346" i="130"/>
  <c r="R1345" i="130"/>
  <c r="O1345" i="130"/>
  <c r="R1344" i="130"/>
  <c r="O1344" i="130"/>
  <c r="R1343" i="130"/>
  <c r="O1343" i="130"/>
  <c r="R1342" i="130"/>
  <c r="O1342" i="130"/>
  <c r="R1341" i="130"/>
  <c r="O1341" i="130"/>
  <c r="R1340" i="130"/>
  <c r="O1340" i="130"/>
  <c r="R1339" i="130"/>
  <c r="O1339" i="130"/>
  <c r="R1338" i="130"/>
  <c r="O1338" i="130"/>
  <c r="R1337" i="130"/>
  <c r="O1337" i="130"/>
  <c r="R1336" i="130"/>
  <c r="O1336" i="130"/>
  <c r="R1335" i="130"/>
  <c r="O1335" i="130"/>
  <c r="R1334" i="130"/>
  <c r="O1334" i="130"/>
  <c r="R1333" i="130"/>
  <c r="O1333" i="130"/>
  <c r="R1332" i="130"/>
  <c r="O1332" i="130"/>
  <c r="R1331" i="130"/>
  <c r="O1331" i="130"/>
  <c r="R1330" i="130"/>
  <c r="O1330" i="130"/>
  <c r="R1329" i="130"/>
  <c r="O1329" i="130"/>
  <c r="R1328" i="130"/>
  <c r="O1328" i="130"/>
  <c r="R1327" i="130"/>
  <c r="O1327" i="130"/>
  <c r="R1326" i="130"/>
  <c r="O1326" i="130"/>
  <c r="R1325" i="130"/>
  <c r="O1325" i="130"/>
  <c r="R1324" i="130"/>
  <c r="O1324" i="130"/>
  <c r="R1323" i="130"/>
  <c r="O1323" i="130"/>
  <c r="R1322" i="130"/>
  <c r="O1322" i="130"/>
  <c r="R1321" i="130"/>
  <c r="O1321" i="130"/>
  <c r="R1320" i="130"/>
  <c r="O1320" i="130"/>
  <c r="R1319" i="130"/>
  <c r="O1319" i="130"/>
  <c r="R1318" i="130"/>
  <c r="O1318" i="130"/>
  <c r="R1317" i="130"/>
  <c r="O1317" i="130"/>
  <c r="R1316" i="130"/>
  <c r="O1316" i="130"/>
  <c r="R1315" i="130"/>
  <c r="O1315" i="130"/>
  <c r="R1314" i="130"/>
  <c r="O1314" i="130"/>
  <c r="R1313" i="130"/>
  <c r="O1313" i="130"/>
  <c r="O1312" i="130"/>
  <c r="O1311" i="130"/>
  <c r="O1310" i="130"/>
  <c r="O1309" i="130"/>
  <c r="O1308" i="130"/>
  <c r="O1307" i="130"/>
  <c r="O1306" i="130"/>
  <c r="O1305" i="130"/>
  <c r="R1304" i="130"/>
  <c r="O1304" i="130"/>
  <c r="R1303" i="130"/>
  <c r="O1303" i="130"/>
  <c r="R1302" i="130"/>
  <c r="O1302" i="130"/>
  <c r="R1301" i="130"/>
  <c r="O1301" i="130"/>
  <c r="R1300" i="130"/>
  <c r="O1300" i="130"/>
  <c r="R1299" i="130"/>
  <c r="O1299" i="130"/>
  <c r="R1298" i="130"/>
  <c r="O1298" i="130"/>
  <c r="R1297" i="130"/>
  <c r="O1297" i="130"/>
  <c r="R1296" i="130"/>
  <c r="O1296" i="130"/>
  <c r="R1295" i="130"/>
  <c r="O1295" i="130"/>
  <c r="R1294" i="130"/>
  <c r="O1294" i="130"/>
  <c r="R1293" i="130"/>
  <c r="O1293" i="130"/>
  <c r="R1292" i="130"/>
  <c r="O1292" i="130"/>
  <c r="R1291" i="130"/>
  <c r="O1291" i="130"/>
  <c r="R1290" i="130"/>
  <c r="O1290" i="130"/>
  <c r="R1289" i="130"/>
  <c r="O1289" i="130"/>
  <c r="R1288" i="130"/>
  <c r="O1288" i="130"/>
  <c r="R1287" i="130"/>
  <c r="O1287" i="130"/>
  <c r="R1286" i="130"/>
  <c r="O1286" i="130"/>
  <c r="R1285" i="130"/>
  <c r="O1285" i="130"/>
  <c r="R1284" i="130"/>
  <c r="O1284" i="130"/>
  <c r="R1283" i="130"/>
  <c r="O1283" i="130"/>
  <c r="R1282" i="130"/>
  <c r="O1282" i="130"/>
  <c r="R1281" i="130"/>
  <c r="O1281" i="130"/>
  <c r="R1280" i="130"/>
  <c r="O1280" i="130"/>
  <c r="R1279" i="130"/>
  <c r="O1279" i="130"/>
  <c r="R1278" i="130"/>
  <c r="O1278" i="130"/>
  <c r="R1277" i="130"/>
  <c r="O1277" i="130"/>
  <c r="R1276" i="130"/>
  <c r="O1276" i="130"/>
  <c r="R1275" i="130"/>
  <c r="O1275" i="130"/>
  <c r="R1274" i="130"/>
  <c r="O1274" i="130"/>
  <c r="R1273" i="130"/>
  <c r="O1273" i="130"/>
  <c r="R1272" i="130"/>
  <c r="O1272" i="130"/>
  <c r="R1271" i="130"/>
  <c r="O1271" i="130"/>
  <c r="R1270" i="130"/>
  <c r="O1270" i="130"/>
  <c r="R1269" i="130"/>
  <c r="O1269" i="130"/>
  <c r="R1268" i="130"/>
  <c r="O1268" i="130"/>
  <c r="R1267" i="130"/>
  <c r="O1267" i="130"/>
  <c r="R1266" i="130"/>
  <c r="O1266" i="130"/>
  <c r="R1265" i="130"/>
  <c r="O1265" i="130"/>
  <c r="R1264" i="130"/>
  <c r="O1264" i="130"/>
  <c r="R1263" i="130"/>
  <c r="O1263" i="130"/>
  <c r="R1262" i="130"/>
  <c r="O1262" i="130"/>
  <c r="R1261" i="130"/>
  <c r="O1261" i="130"/>
  <c r="R1260" i="130"/>
  <c r="O1260" i="130"/>
  <c r="R1259" i="130"/>
  <c r="O1259" i="130"/>
  <c r="R1258" i="130"/>
  <c r="O1258" i="130"/>
  <c r="R1257" i="130"/>
  <c r="O1257" i="130"/>
  <c r="R1256" i="130"/>
  <c r="O1256" i="130"/>
  <c r="R1255" i="130"/>
  <c r="O1255" i="130"/>
  <c r="R1254" i="130"/>
  <c r="O1254" i="130"/>
  <c r="R1253" i="130"/>
  <c r="O1253" i="130"/>
  <c r="R1252" i="130"/>
  <c r="O1252" i="130"/>
  <c r="R1251" i="130"/>
  <c r="O1251" i="130"/>
  <c r="R1250" i="130"/>
  <c r="O1250" i="130"/>
  <c r="R1249" i="130"/>
  <c r="O1249" i="130"/>
  <c r="R1248" i="130"/>
  <c r="O1248" i="130"/>
  <c r="R1247" i="130"/>
  <c r="O1247" i="130"/>
  <c r="R1246" i="130"/>
  <c r="O1246" i="130"/>
  <c r="R1245" i="130"/>
  <c r="O1245" i="130"/>
  <c r="R1244" i="130"/>
  <c r="O1244" i="130"/>
  <c r="R1243" i="130"/>
  <c r="O1243" i="130"/>
  <c r="R1242" i="130"/>
  <c r="O1242" i="130"/>
  <c r="R1241" i="130"/>
  <c r="O1241" i="130"/>
  <c r="R1240" i="130"/>
  <c r="O1240" i="130"/>
  <c r="R1239" i="130"/>
  <c r="O1239" i="130"/>
  <c r="R1238" i="130"/>
  <c r="O1238" i="130"/>
  <c r="R1237" i="130"/>
  <c r="O1237" i="130"/>
  <c r="R1236" i="130"/>
  <c r="O1236" i="130"/>
  <c r="R1235" i="130"/>
  <c r="O1235" i="130"/>
  <c r="R1234" i="130"/>
  <c r="O1234" i="130"/>
  <c r="R1233" i="130"/>
  <c r="O1233" i="130"/>
  <c r="R1232" i="130"/>
  <c r="O1232" i="130"/>
  <c r="R1231" i="130"/>
  <c r="O1231" i="130"/>
  <c r="R1230" i="130"/>
  <c r="O1230" i="130"/>
  <c r="R1229" i="130"/>
  <c r="O1229" i="130"/>
  <c r="R1228" i="130"/>
  <c r="O1228" i="130"/>
  <c r="R1227" i="130"/>
  <c r="O1227" i="130"/>
  <c r="R1226" i="130"/>
  <c r="O1226" i="130"/>
  <c r="R1225" i="130"/>
  <c r="O1225" i="130"/>
  <c r="R1224" i="130"/>
  <c r="O1224" i="130"/>
  <c r="R1223" i="130"/>
  <c r="O1223" i="130"/>
  <c r="R1222" i="130"/>
  <c r="O1222" i="130"/>
  <c r="R1221" i="130"/>
  <c r="O1221" i="130"/>
  <c r="R1220" i="130"/>
  <c r="O1220" i="130"/>
  <c r="R1219" i="130"/>
  <c r="O1219" i="130"/>
  <c r="R1218" i="130"/>
  <c r="O1218" i="130"/>
  <c r="R1217" i="130"/>
  <c r="O1217" i="130"/>
  <c r="R1216" i="130"/>
  <c r="O1216" i="130"/>
  <c r="R1215" i="130"/>
  <c r="O1215" i="130"/>
  <c r="R1214" i="130"/>
  <c r="O1214" i="130"/>
  <c r="R1213" i="130"/>
  <c r="O1213" i="130"/>
  <c r="R1212" i="130"/>
  <c r="O1212" i="130"/>
  <c r="R1211" i="130"/>
  <c r="O1211" i="130"/>
  <c r="R1210" i="130"/>
  <c r="O1210" i="130"/>
  <c r="R1209" i="130"/>
  <c r="O1209" i="130"/>
  <c r="R1208" i="130"/>
  <c r="O1208" i="130"/>
  <c r="R1207" i="130"/>
  <c r="O1207" i="130"/>
  <c r="R1206" i="130"/>
  <c r="O1206" i="130"/>
  <c r="R1205" i="130"/>
  <c r="O1205" i="130"/>
  <c r="R1204" i="130"/>
  <c r="O1204" i="130"/>
  <c r="R1203" i="130"/>
  <c r="O1203" i="130"/>
  <c r="R1202" i="130"/>
  <c r="O1202" i="130"/>
  <c r="R1201" i="130"/>
  <c r="O1201" i="130"/>
  <c r="R1200" i="130"/>
  <c r="O1200" i="130"/>
  <c r="R1199" i="130"/>
  <c r="O1199" i="130"/>
  <c r="R1198" i="130"/>
  <c r="O1198" i="130"/>
  <c r="R1197" i="130"/>
  <c r="O1197" i="130"/>
  <c r="R1196" i="130"/>
  <c r="O1196" i="130"/>
  <c r="R1195" i="130"/>
  <c r="O1195" i="130"/>
  <c r="R1194" i="130"/>
  <c r="O1194" i="130"/>
  <c r="R1193" i="130"/>
  <c r="O1193" i="130"/>
  <c r="R1192" i="130"/>
  <c r="O1192" i="130"/>
  <c r="R1191" i="130"/>
  <c r="O1191" i="130"/>
  <c r="R1190" i="130"/>
  <c r="O1190" i="130"/>
  <c r="R1189" i="130"/>
  <c r="O1189" i="130"/>
  <c r="R1188" i="130"/>
  <c r="O1188" i="130"/>
  <c r="R1187" i="130"/>
  <c r="O1187" i="130"/>
  <c r="R1186" i="130"/>
  <c r="O1186" i="130"/>
  <c r="O1185" i="130"/>
  <c r="O1184" i="130"/>
  <c r="O1183" i="130"/>
  <c r="O1182" i="130"/>
  <c r="O1181" i="130"/>
  <c r="O1180" i="130"/>
  <c r="O1179" i="130"/>
  <c r="O1178" i="130"/>
  <c r="O1177" i="130"/>
  <c r="O1176" i="130"/>
  <c r="O1175" i="130"/>
  <c r="O1174" i="130"/>
  <c r="O1173" i="130"/>
  <c r="O1172" i="130"/>
  <c r="O1171" i="130"/>
  <c r="O1170" i="130"/>
  <c r="O1169" i="130"/>
  <c r="O1168" i="130"/>
  <c r="O1167" i="130"/>
  <c r="O1166" i="130"/>
  <c r="O1165" i="130"/>
  <c r="O1164" i="130"/>
  <c r="O1163" i="130"/>
  <c r="U1161" i="130"/>
  <c r="T1161" i="130"/>
  <c r="S1161" i="130"/>
  <c r="N1161" i="130"/>
  <c r="M1161" i="130"/>
  <c r="L1161" i="130"/>
  <c r="K1161" i="130"/>
  <c r="J1161" i="130"/>
  <c r="I1161" i="130"/>
  <c r="H1161" i="130"/>
  <c r="G1161" i="130"/>
  <c r="R1157" i="130"/>
  <c r="O1157" i="130"/>
  <c r="R1156" i="130"/>
  <c r="O1156" i="130"/>
  <c r="R1155" i="130"/>
  <c r="O1155" i="130"/>
  <c r="R1154" i="130"/>
  <c r="O1154" i="130"/>
  <c r="R1153" i="130"/>
  <c r="O1153" i="130"/>
  <c r="R1152" i="130"/>
  <c r="O1152" i="130"/>
  <c r="R1151" i="130"/>
  <c r="O1151" i="130"/>
  <c r="R1150" i="130"/>
  <c r="O1150" i="130"/>
  <c r="R1149" i="130"/>
  <c r="O1149" i="130"/>
  <c r="R1148" i="130"/>
  <c r="O1148" i="130"/>
  <c r="R1147" i="130"/>
  <c r="O1147" i="130"/>
  <c r="R1146" i="130"/>
  <c r="O1146" i="130"/>
  <c r="R1145" i="130"/>
  <c r="O1145" i="130"/>
  <c r="R1144" i="130"/>
  <c r="O1144" i="130"/>
  <c r="R1143" i="130"/>
  <c r="O1143" i="130"/>
  <c r="R1142" i="130"/>
  <c r="O1142" i="130"/>
  <c r="R1141" i="130"/>
  <c r="O1141" i="130"/>
  <c r="R1140" i="130"/>
  <c r="O1140" i="130"/>
  <c r="R1139" i="130"/>
  <c r="O1139" i="130"/>
  <c r="R1138" i="130"/>
  <c r="O1138" i="130"/>
  <c r="R1137" i="130"/>
  <c r="O1137" i="130"/>
  <c r="R1136" i="130"/>
  <c r="O1136" i="130"/>
  <c r="R1135" i="130"/>
  <c r="O1135" i="130"/>
  <c r="R1134" i="130"/>
  <c r="O1134" i="130"/>
  <c r="R1133" i="130"/>
  <c r="O1133" i="130"/>
  <c r="R1132" i="130"/>
  <c r="O1132" i="130"/>
  <c r="O1131" i="130"/>
  <c r="R1130" i="130"/>
  <c r="O1130" i="130"/>
  <c r="O1129" i="130"/>
  <c r="O1128" i="130"/>
  <c r="O1127" i="130"/>
  <c r="O1126" i="130"/>
  <c r="O1125" i="130"/>
  <c r="O1124" i="130"/>
  <c r="R1123" i="130"/>
  <c r="O1123" i="130"/>
  <c r="R1122" i="130"/>
  <c r="O1122" i="130"/>
  <c r="R1121" i="130"/>
  <c r="O1121" i="130"/>
  <c r="R1120" i="130"/>
  <c r="O1120" i="130"/>
  <c r="R1119" i="130"/>
  <c r="O1119" i="130"/>
  <c r="R1118" i="130"/>
  <c r="O1118" i="130"/>
  <c r="R1117" i="130"/>
  <c r="O1117" i="130"/>
  <c r="R1116" i="130"/>
  <c r="O1116" i="130"/>
  <c r="R1115" i="130"/>
  <c r="O1115" i="130"/>
  <c r="O1114" i="130"/>
  <c r="R1113" i="130"/>
  <c r="O1113" i="130"/>
  <c r="O1112" i="130"/>
  <c r="O1111" i="130"/>
  <c r="O1110" i="130"/>
  <c r="O1109" i="130"/>
  <c r="R1108" i="130"/>
  <c r="O1108" i="130"/>
  <c r="R1107" i="130"/>
  <c r="O1107" i="130"/>
  <c r="R1106" i="130"/>
  <c r="O1106" i="130"/>
  <c r="R1105" i="130"/>
  <c r="O1105" i="130"/>
  <c r="R1104" i="130"/>
  <c r="O1104" i="130"/>
  <c r="R1103" i="130"/>
  <c r="O1103" i="130"/>
  <c r="R1102" i="130"/>
  <c r="O1102" i="130"/>
  <c r="R1101" i="130"/>
  <c r="O1101" i="130"/>
  <c r="R1100" i="130"/>
  <c r="O1100" i="130"/>
  <c r="R1099" i="130"/>
  <c r="O1099" i="130"/>
  <c r="R1098" i="130"/>
  <c r="O1098" i="130"/>
  <c r="R1097" i="130"/>
  <c r="O1097" i="130"/>
  <c r="R1096" i="130"/>
  <c r="O1096" i="130"/>
  <c r="R1095" i="130"/>
  <c r="O1095" i="130"/>
  <c r="R1094" i="130"/>
  <c r="O1094" i="130"/>
  <c r="R1093" i="130"/>
  <c r="O1093" i="130"/>
  <c r="R1092" i="130"/>
  <c r="O1092" i="130"/>
  <c r="R1091" i="130"/>
  <c r="O1091" i="130"/>
  <c r="R1090" i="130"/>
  <c r="O1090" i="130"/>
  <c r="R1089" i="130"/>
  <c r="O1089" i="130"/>
  <c r="R1088" i="130"/>
  <c r="O1088" i="130"/>
  <c r="R1087" i="130"/>
  <c r="O1087" i="130"/>
  <c r="R1086" i="130"/>
  <c r="O1086" i="130"/>
  <c r="R1085" i="130"/>
  <c r="O1085" i="130"/>
  <c r="R1084" i="130"/>
  <c r="O1084" i="130"/>
  <c r="R1083" i="130"/>
  <c r="O1083" i="130"/>
  <c r="R1082" i="130"/>
  <c r="O1082" i="130"/>
  <c r="R1081" i="130"/>
  <c r="O1081" i="130"/>
  <c r="R1080" i="130"/>
  <c r="O1080" i="130"/>
  <c r="R1079" i="130"/>
  <c r="O1079" i="130"/>
  <c r="R1078" i="130"/>
  <c r="O1078" i="130"/>
  <c r="R1077" i="130"/>
  <c r="O1077" i="130"/>
  <c r="R1076" i="130"/>
  <c r="O1076" i="130"/>
  <c r="R1075" i="130"/>
  <c r="O1075" i="130"/>
  <c r="R1074" i="130"/>
  <c r="O1074" i="130"/>
  <c r="R1073" i="130"/>
  <c r="O1073" i="130"/>
  <c r="R1072" i="130"/>
  <c r="O1072" i="130"/>
  <c r="R1071" i="130"/>
  <c r="O1071" i="130"/>
  <c r="R1070" i="130"/>
  <c r="O1070" i="130"/>
  <c r="R1069" i="130"/>
  <c r="O1069" i="130"/>
  <c r="R1068" i="130"/>
  <c r="O1068" i="130"/>
  <c r="R1067" i="130"/>
  <c r="O1067" i="130"/>
  <c r="R1066" i="130"/>
  <c r="O1066" i="130"/>
  <c r="R1065" i="130"/>
  <c r="O1065" i="130"/>
  <c r="R1064" i="130"/>
  <c r="O1064" i="130"/>
  <c r="R1063" i="130"/>
  <c r="O1063" i="130"/>
  <c r="R1062" i="130"/>
  <c r="O1062" i="130"/>
  <c r="R1061" i="130"/>
  <c r="O1061" i="130"/>
  <c r="R1060" i="130"/>
  <c r="O1060" i="130"/>
  <c r="O1059" i="130"/>
  <c r="O1058" i="130"/>
  <c r="O1057" i="130"/>
  <c r="R1056" i="130"/>
  <c r="O1056" i="130"/>
  <c r="R1055" i="130"/>
  <c r="O1055" i="130"/>
  <c r="R1054" i="130"/>
  <c r="O1054" i="130"/>
  <c r="R1053" i="130"/>
  <c r="O1053" i="130"/>
  <c r="R1052" i="130"/>
  <c r="O1052" i="130"/>
  <c r="R1051" i="130"/>
  <c r="O1051" i="130"/>
  <c r="R1050" i="130"/>
  <c r="O1050" i="130"/>
  <c r="R1049" i="130"/>
  <c r="O1049" i="130"/>
  <c r="R1048" i="130"/>
  <c r="O1048" i="130"/>
  <c r="O1047" i="130"/>
  <c r="R1046" i="130"/>
  <c r="O1046" i="130"/>
  <c r="O1045" i="130"/>
  <c r="O1044" i="130"/>
  <c r="R1043" i="130"/>
  <c r="O1043" i="130"/>
  <c r="O1042" i="130"/>
  <c r="R1041" i="130"/>
  <c r="O1041" i="130"/>
  <c r="R1040" i="130"/>
  <c r="O1040" i="130"/>
  <c r="R1039" i="130"/>
  <c r="O1039" i="130"/>
  <c r="R1038" i="130"/>
  <c r="O1038" i="130"/>
  <c r="R1037" i="130"/>
  <c r="O1037" i="130"/>
  <c r="R1036" i="130"/>
  <c r="O1036" i="130"/>
  <c r="R1035" i="130"/>
  <c r="O1035" i="130"/>
  <c r="R1034" i="130"/>
  <c r="O1034" i="130"/>
  <c r="O1033" i="130"/>
  <c r="O1032" i="130"/>
  <c r="O1031" i="130"/>
  <c r="U1029" i="130"/>
  <c r="T1029" i="130"/>
  <c r="S1029" i="130"/>
  <c r="N1029" i="130"/>
  <c r="M1029" i="130"/>
  <c r="L1029" i="130"/>
  <c r="K1029" i="130"/>
  <c r="J1029" i="130"/>
  <c r="I1029" i="130"/>
  <c r="H1029" i="130"/>
  <c r="G1029" i="130"/>
  <c r="O1023" i="130"/>
  <c r="O1022" i="130"/>
  <c r="O1021" i="130"/>
  <c r="O1020" i="130"/>
  <c r="O1019" i="130"/>
  <c r="O1018" i="130"/>
  <c r="O1017" i="130"/>
  <c r="O1016" i="130"/>
  <c r="O1015" i="130"/>
  <c r="O1014" i="130"/>
  <c r="O1013" i="130"/>
  <c r="O1012" i="130"/>
  <c r="O1011" i="130"/>
  <c r="O1010" i="130"/>
  <c r="O1009" i="130"/>
  <c r="O1008" i="130"/>
  <c r="O1007" i="130"/>
  <c r="O1006" i="130"/>
  <c r="O1005" i="130"/>
  <c r="O1004" i="130"/>
  <c r="O1003" i="130"/>
  <c r="O1002" i="130"/>
  <c r="O1001" i="130"/>
  <c r="O1000" i="130"/>
  <c r="O999" i="130"/>
  <c r="O998" i="130"/>
  <c r="O997" i="130"/>
  <c r="O996" i="130"/>
  <c r="O995" i="130"/>
  <c r="O994" i="130"/>
  <c r="O993" i="130"/>
  <c r="O992" i="130"/>
  <c r="O991" i="130"/>
  <c r="O990" i="130"/>
  <c r="O989" i="130"/>
  <c r="O988" i="130"/>
  <c r="O987" i="130"/>
  <c r="O986" i="130"/>
  <c r="O985" i="130"/>
  <c r="O984" i="130"/>
  <c r="O983" i="130"/>
  <c r="O982" i="130"/>
  <c r="O981" i="130"/>
  <c r="O980" i="130"/>
  <c r="O979" i="130"/>
  <c r="O978" i="130"/>
  <c r="O977" i="130"/>
  <c r="O976" i="130"/>
  <c r="O975" i="130"/>
  <c r="O974" i="130"/>
  <c r="O973" i="130"/>
  <c r="O972" i="130"/>
  <c r="O971" i="130"/>
  <c r="O970" i="130"/>
  <c r="O969" i="130"/>
  <c r="O968" i="130"/>
  <c r="O967" i="130"/>
  <c r="O966" i="130"/>
  <c r="O965" i="130"/>
  <c r="O964" i="130"/>
  <c r="O963" i="130"/>
  <c r="O962" i="130"/>
  <c r="O961" i="130"/>
  <c r="O960" i="130"/>
  <c r="O959" i="130"/>
  <c r="O958" i="130"/>
  <c r="O957" i="130"/>
  <c r="O956" i="130"/>
  <c r="O955" i="130"/>
  <c r="O954" i="130"/>
  <c r="O953" i="130"/>
  <c r="O952" i="130"/>
  <c r="O951" i="130"/>
  <c r="O950" i="130"/>
  <c r="O949" i="130"/>
  <c r="O948" i="130"/>
  <c r="O947" i="130"/>
  <c r="O946" i="130"/>
  <c r="O945" i="130"/>
  <c r="O944" i="130"/>
  <c r="O943" i="130"/>
  <c r="O942" i="130"/>
  <c r="O941" i="130"/>
  <c r="O940" i="130"/>
  <c r="O939" i="130"/>
  <c r="O938" i="130"/>
  <c r="O937" i="130"/>
  <c r="O936" i="130"/>
  <c r="O935" i="130"/>
  <c r="O934" i="130"/>
  <c r="O933" i="130"/>
  <c r="O932" i="130"/>
  <c r="O931" i="130"/>
  <c r="O930" i="130"/>
  <c r="O929" i="130"/>
  <c r="O928" i="130"/>
  <c r="O927" i="130"/>
  <c r="O926" i="130"/>
  <c r="O925" i="130"/>
  <c r="O924" i="130"/>
  <c r="O923" i="130"/>
  <c r="O922" i="130"/>
  <c r="O921" i="130"/>
  <c r="O920" i="130"/>
  <c r="O919" i="130"/>
  <c r="O918" i="130"/>
  <c r="O917" i="130"/>
  <c r="O916" i="130"/>
  <c r="O915" i="130"/>
  <c r="O914" i="130"/>
  <c r="O913" i="130"/>
  <c r="O912" i="130"/>
  <c r="O911" i="130"/>
  <c r="O910" i="130"/>
  <c r="O909" i="130"/>
  <c r="O908" i="130"/>
  <c r="O907" i="130"/>
  <c r="O906" i="130"/>
  <c r="O905" i="130"/>
  <c r="O904" i="130"/>
  <c r="O903" i="130"/>
  <c r="O902" i="130"/>
  <c r="O901" i="130"/>
  <c r="O900" i="130"/>
  <c r="O899" i="130"/>
  <c r="O898" i="130"/>
  <c r="O897" i="130"/>
  <c r="O896" i="130"/>
  <c r="O895" i="130"/>
  <c r="O894" i="130"/>
  <c r="O893" i="130"/>
  <c r="O892" i="130"/>
  <c r="O891" i="130"/>
  <c r="O890" i="130"/>
  <c r="O889" i="130"/>
  <c r="O888" i="130"/>
  <c r="O887" i="130"/>
  <c r="O886" i="130"/>
  <c r="O885" i="130"/>
  <c r="O884" i="130"/>
  <c r="O883" i="130"/>
  <c r="O882" i="130"/>
  <c r="O881" i="130"/>
  <c r="O880" i="130"/>
  <c r="O879" i="130"/>
  <c r="O878" i="130"/>
  <c r="O877" i="130"/>
  <c r="O876" i="130"/>
  <c r="O875" i="130"/>
  <c r="O874" i="130"/>
  <c r="O873" i="130"/>
  <c r="O872" i="130"/>
  <c r="O871" i="130"/>
  <c r="O870" i="130"/>
  <c r="O869" i="130"/>
  <c r="O868" i="130"/>
  <c r="O867" i="130"/>
  <c r="O866" i="130"/>
  <c r="O865" i="130"/>
  <c r="O864" i="130"/>
  <c r="O863" i="130"/>
  <c r="O862" i="130"/>
  <c r="O861" i="130"/>
  <c r="O857" i="130" s="1"/>
  <c r="O860" i="130"/>
  <c r="O859" i="130"/>
  <c r="U857" i="130"/>
  <c r="T857" i="130"/>
  <c r="S857" i="130"/>
  <c r="R857" i="130"/>
  <c r="N857" i="130"/>
  <c r="M857" i="130"/>
  <c r="L857" i="130"/>
  <c r="K857" i="130"/>
  <c r="J857" i="130"/>
  <c r="I857" i="130"/>
  <c r="H857" i="130"/>
  <c r="G857" i="130"/>
  <c r="N853" i="130"/>
  <c r="N852" i="130"/>
  <c r="N851" i="130"/>
  <c r="N850" i="130"/>
  <c r="N849" i="130"/>
  <c r="N848" i="130"/>
  <c r="N847" i="130"/>
  <c r="N846" i="130"/>
  <c r="N845" i="130"/>
  <c r="N844" i="130"/>
  <c r="N843" i="130"/>
  <c r="N842" i="130"/>
  <c r="N841" i="130"/>
  <c r="N840" i="130"/>
  <c r="N839" i="130"/>
  <c r="N838" i="130"/>
  <c r="N837" i="130"/>
  <c r="N836" i="130"/>
  <c r="N835" i="130"/>
  <c r="N834" i="130"/>
  <c r="N833" i="130"/>
  <c r="N832" i="130"/>
  <c r="N831" i="130"/>
  <c r="N830" i="130"/>
  <c r="N829" i="130"/>
  <c r="N828" i="130"/>
  <c r="N827" i="130"/>
  <c r="N826" i="130"/>
  <c r="N825" i="130"/>
  <c r="N824" i="130"/>
  <c r="N823" i="130"/>
  <c r="N822" i="130"/>
  <c r="N821" i="130"/>
  <c r="N820" i="130"/>
  <c r="N819" i="130"/>
  <c r="N818" i="130"/>
  <c r="N817" i="130"/>
  <c r="N816" i="130"/>
  <c r="N815" i="130"/>
  <c r="N814" i="130"/>
  <c r="N813" i="130"/>
  <c r="N812" i="130"/>
  <c r="N811" i="130"/>
  <c r="N810" i="130"/>
  <c r="N809" i="130"/>
  <c r="N808" i="130"/>
  <c r="N807" i="130"/>
  <c r="N806" i="130"/>
  <c r="N805" i="130"/>
  <c r="N804" i="130"/>
  <c r="N803" i="130"/>
  <c r="N802" i="130"/>
  <c r="N801" i="130"/>
  <c r="N800" i="130"/>
  <c r="N799" i="130"/>
  <c r="N798" i="130"/>
  <c r="N797" i="130"/>
  <c r="N796" i="130"/>
  <c r="N795" i="130"/>
  <c r="N794" i="130"/>
  <c r="N793" i="130"/>
  <c r="N792" i="130"/>
  <c r="N791" i="130"/>
  <c r="N790" i="130"/>
  <c r="N789" i="130"/>
  <c r="N788" i="130"/>
  <c r="N787" i="130"/>
  <c r="N786" i="130"/>
  <c r="N785" i="130"/>
  <c r="N784" i="130"/>
  <c r="N783" i="130"/>
  <c r="N782" i="130"/>
  <c r="N781" i="130"/>
  <c r="N780" i="130"/>
  <c r="N779" i="130"/>
  <c r="N778" i="130"/>
  <c r="N777" i="130"/>
  <c r="N776" i="130"/>
  <c r="N775" i="130"/>
  <c r="N774" i="130"/>
  <c r="N773" i="130"/>
  <c r="N772" i="130"/>
  <c r="N771" i="130"/>
  <c r="N770" i="130"/>
  <c r="N769" i="130"/>
  <c r="N768" i="130"/>
  <c r="N767" i="130"/>
  <c r="N766" i="130"/>
  <c r="N765" i="130"/>
  <c r="N764" i="130"/>
  <c r="N763" i="130"/>
  <c r="N762" i="130"/>
  <c r="N761" i="130"/>
  <c r="N760" i="130"/>
  <c r="N759" i="130"/>
  <c r="N758" i="130"/>
  <c r="N757" i="130"/>
  <c r="N756" i="130"/>
  <c r="N755" i="130"/>
  <c r="N754" i="130"/>
  <c r="N753" i="130"/>
  <c r="N752" i="130"/>
  <c r="N751" i="130"/>
  <c r="N750" i="130"/>
  <c r="N749" i="130"/>
  <c r="N748" i="130"/>
  <c r="N747" i="130"/>
  <c r="N746" i="130"/>
  <c r="N745" i="130"/>
  <c r="N744" i="130"/>
  <c r="N743" i="130"/>
  <c r="N742" i="130"/>
  <c r="N741" i="130"/>
  <c r="N740" i="130"/>
  <c r="N739" i="130"/>
  <c r="N738" i="130"/>
  <c r="N737" i="130"/>
  <c r="N736" i="130"/>
  <c r="N735" i="130"/>
  <c r="N734" i="130"/>
  <c r="N733" i="130"/>
  <c r="N732" i="130"/>
  <c r="N731" i="130"/>
  <c r="N730" i="130"/>
  <c r="N729" i="130"/>
  <c r="N728" i="130"/>
  <c r="N727" i="130"/>
  <c r="N726" i="130"/>
  <c r="N725" i="130"/>
  <c r="N724" i="130"/>
  <c r="N723" i="130"/>
  <c r="N722" i="130"/>
  <c r="N721" i="130"/>
  <c r="N720" i="130"/>
  <c r="N719" i="130"/>
  <c r="N718" i="130"/>
  <c r="N717" i="130"/>
  <c r="N716" i="130"/>
  <c r="N715" i="130"/>
  <c r="N714" i="130"/>
  <c r="N713" i="130"/>
  <c r="N712" i="130"/>
  <c r="N711" i="130"/>
  <c r="N710" i="130"/>
  <c r="N709" i="130"/>
  <c r="N708" i="130"/>
  <c r="N707" i="130"/>
  <c r="N706" i="130"/>
  <c r="N705" i="130"/>
  <c r="N704" i="130"/>
  <c r="N703" i="130"/>
  <c r="N702" i="130"/>
  <c r="N701" i="130"/>
  <c r="N700" i="130"/>
  <c r="N699" i="130"/>
  <c r="N698" i="130"/>
  <c r="N697" i="130"/>
  <c r="N696" i="130"/>
  <c r="N695" i="130"/>
  <c r="N694" i="130"/>
  <c r="N693" i="130"/>
  <c r="N692" i="130"/>
  <c r="N691" i="130"/>
  <c r="N690" i="130"/>
  <c r="N689" i="130"/>
  <c r="N688" i="130"/>
  <c r="N687" i="130"/>
  <c r="N686" i="130"/>
  <c r="N685" i="130"/>
  <c r="N684" i="130"/>
  <c r="N683" i="130"/>
  <c r="N682" i="130"/>
  <c r="N681" i="130"/>
  <c r="N680" i="130"/>
  <c r="N679" i="130"/>
  <c r="N678" i="130"/>
  <c r="N677" i="130"/>
  <c r="N676" i="130"/>
  <c r="N675" i="130"/>
  <c r="N674" i="130"/>
  <c r="N673" i="130"/>
  <c r="N672" i="130"/>
  <c r="N671" i="130"/>
  <c r="N670" i="130"/>
  <c r="N669" i="130"/>
  <c r="N668" i="130"/>
  <c r="N667" i="130"/>
  <c r="N666" i="130"/>
  <c r="N665" i="130"/>
  <c r="N664" i="130"/>
  <c r="N660" i="130" s="1"/>
  <c r="N663" i="130"/>
  <c r="N662" i="130"/>
  <c r="T660" i="130"/>
  <c r="S660" i="130"/>
  <c r="R660" i="130"/>
  <c r="Q660" i="130"/>
  <c r="M660" i="130"/>
  <c r="L660" i="130"/>
  <c r="K660" i="130"/>
  <c r="J660" i="130"/>
  <c r="I660" i="130"/>
  <c r="H660" i="130"/>
  <c r="G660" i="130"/>
  <c r="N658" i="130"/>
  <c r="N657" i="130"/>
  <c r="N656" i="130"/>
  <c r="N655" i="130"/>
  <c r="N654" i="130"/>
  <c r="N653" i="130"/>
  <c r="N652" i="130"/>
  <c r="N651" i="130"/>
  <c r="N650" i="130"/>
  <c r="N649" i="130"/>
  <c r="N648" i="130"/>
  <c r="N647" i="130"/>
  <c r="N646" i="130"/>
  <c r="N645" i="130"/>
  <c r="N644" i="130"/>
  <c r="N643" i="130"/>
  <c r="N642" i="130"/>
  <c r="N641" i="130"/>
  <c r="N640" i="130"/>
  <c r="N639" i="130"/>
  <c r="N638" i="130"/>
  <c r="N637" i="130"/>
  <c r="N636" i="130"/>
  <c r="N635" i="130"/>
  <c r="N634" i="130"/>
  <c r="N633" i="130"/>
  <c r="N632" i="130"/>
  <c r="N631" i="130"/>
  <c r="N630" i="130"/>
  <c r="N629" i="130"/>
  <c r="N628" i="130"/>
  <c r="N627" i="130"/>
  <c r="N626" i="130"/>
  <c r="N625" i="130"/>
  <c r="N624" i="130"/>
  <c r="N623" i="130"/>
  <c r="N622" i="130"/>
  <c r="N621" i="130"/>
  <c r="N620" i="130"/>
  <c r="N619" i="130"/>
  <c r="N618" i="130"/>
  <c r="N617" i="130"/>
  <c r="N616" i="130"/>
  <c r="N615" i="130"/>
  <c r="N614" i="130"/>
  <c r="N613" i="130"/>
  <c r="N612" i="130"/>
  <c r="N611" i="130"/>
  <c r="N610" i="130"/>
  <c r="N609" i="130"/>
  <c r="N608" i="130"/>
  <c r="N607" i="130"/>
  <c r="N606" i="130"/>
  <c r="N605" i="130"/>
  <c r="N604" i="130"/>
  <c r="N603" i="130"/>
  <c r="N602" i="130"/>
  <c r="N601" i="130"/>
  <c r="N600" i="130"/>
  <c r="N599" i="130"/>
  <c r="N598" i="130"/>
  <c r="N597" i="130"/>
  <c r="N596" i="130"/>
  <c r="N595" i="130"/>
  <c r="N594" i="130"/>
  <c r="N593" i="130"/>
  <c r="N592" i="130"/>
  <c r="N591" i="130"/>
  <c r="N590" i="130"/>
  <c r="N589" i="130"/>
  <c r="N588" i="130"/>
  <c r="N587" i="130"/>
  <c r="N586" i="130"/>
  <c r="N585" i="130"/>
  <c r="N584" i="130"/>
  <c r="N583" i="130"/>
  <c r="N582" i="130"/>
  <c r="N581" i="130"/>
  <c r="N580" i="130"/>
  <c r="N579" i="130"/>
  <c r="N578" i="130"/>
  <c r="N577" i="130"/>
  <c r="N576" i="130"/>
  <c r="N575" i="130"/>
  <c r="N574" i="130"/>
  <c r="N573" i="130"/>
  <c r="N572" i="130"/>
  <c r="N571" i="130"/>
  <c r="N570" i="130"/>
  <c r="N569" i="130"/>
  <c r="N568" i="130"/>
  <c r="N567" i="130"/>
  <c r="N566" i="130"/>
  <c r="N565" i="130"/>
  <c r="N564" i="130"/>
  <c r="N563" i="130"/>
  <c r="N562" i="130"/>
  <c r="N561" i="130"/>
  <c r="N560" i="130"/>
  <c r="N559" i="130"/>
  <c r="N558" i="130"/>
  <c r="N557" i="130"/>
  <c r="N556" i="130"/>
  <c r="N555" i="130"/>
  <c r="N554" i="130"/>
  <c r="N553" i="130"/>
  <c r="N552" i="130"/>
  <c r="N551" i="130"/>
  <c r="N550" i="130"/>
  <c r="N549" i="130"/>
  <c r="N548" i="130"/>
  <c r="N547" i="130"/>
  <c r="N546" i="130"/>
  <c r="N545" i="130"/>
  <c r="N544" i="130"/>
  <c r="N543" i="130"/>
  <c r="N542" i="130"/>
  <c r="N541" i="130"/>
  <c r="N540" i="130"/>
  <c r="N539" i="130"/>
  <c r="N538" i="130"/>
  <c r="N537" i="130"/>
  <c r="N536" i="130"/>
  <c r="N535" i="130"/>
  <c r="N534" i="130"/>
  <c r="N533" i="130"/>
  <c r="N532" i="130"/>
  <c r="N531" i="130"/>
  <c r="N530" i="130"/>
  <c r="N529" i="130"/>
  <c r="N528" i="130"/>
  <c r="N527" i="130"/>
  <c r="N526" i="130"/>
  <c r="N525" i="130"/>
  <c r="N524" i="130"/>
  <c r="N523" i="130"/>
  <c r="N522" i="130"/>
  <c r="N521" i="130"/>
  <c r="N520" i="130"/>
  <c r="N519" i="130"/>
  <c r="N518" i="130"/>
  <c r="N517" i="130"/>
  <c r="N516" i="130"/>
  <c r="N515" i="130"/>
  <c r="N514" i="130"/>
  <c r="N513" i="130"/>
  <c r="T511" i="130"/>
  <c r="R511" i="130"/>
  <c r="Q511" i="130"/>
  <c r="M511" i="130"/>
  <c r="L511" i="130"/>
  <c r="K511" i="130"/>
  <c r="J511" i="130"/>
  <c r="I511" i="130"/>
  <c r="H511" i="130"/>
  <c r="G511" i="130"/>
  <c r="N509" i="130"/>
  <c r="N508" i="130"/>
  <c r="N507" i="130"/>
  <c r="N506" i="130"/>
  <c r="N505" i="130"/>
  <c r="N504" i="130"/>
  <c r="N503" i="130"/>
  <c r="N502" i="130"/>
  <c r="N501" i="130"/>
  <c r="N500" i="130"/>
  <c r="N499" i="130"/>
  <c r="N498" i="130"/>
  <c r="N497" i="130"/>
  <c r="N496" i="130"/>
  <c r="N495" i="130"/>
  <c r="N494" i="130"/>
  <c r="N493" i="130"/>
  <c r="N492" i="130"/>
  <c r="N491" i="130"/>
  <c r="N490" i="130"/>
  <c r="N489" i="130"/>
  <c r="N488" i="130"/>
  <c r="N487" i="130"/>
  <c r="N486" i="130"/>
  <c r="N485" i="130"/>
  <c r="N484" i="130"/>
  <c r="N483" i="130"/>
  <c r="N482" i="130"/>
  <c r="N481" i="130"/>
  <c r="N480" i="130"/>
  <c r="N479" i="130"/>
  <c r="N478" i="130"/>
  <c r="N477" i="130"/>
  <c r="N476" i="130"/>
  <c r="N475" i="130"/>
  <c r="N474" i="130"/>
  <c r="N473" i="130"/>
  <c r="N472" i="130"/>
  <c r="N471" i="130"/>
  <c r="N470" i="130"/>
  <c r="N469" i="130"/>
  <c r="N468" i="130"/>
  <c r="N467" i="130"/>
  <c r="N466" i="130"/>
  <c r="N465" i="130"/>
  <c r="N464" i="130"/>
  <c r="N463" i="130"/>
  <c r="N462" i="130"/>
  <c r="N461" i="130"/>
  <c r="N460" i="130"/>
  <c r="N459" i="130"/>
  <c r="N458" i="130"/>
  <c r="N457" i="130"/>
  <c r="N456" i="130"/>
  <c r="N455" i="130"/>
  <c r="N454" i="130"/>
  <c r="N453" i="130"/>
  <c r="N452" i="130"/>
  <c r="N451" i="130"/>
  <c r="N450" i="130"/>
  <c r="N449" i="130"/>
  <c r="N448" i="130"/>
  <c r="N447" i="130"/>
  <c r="N446" i="130"/>
  <c r="N445" i="130"/>
  <c r="N444" i="130"/>
  <c r="N443" i="130"/>
  <c r="N442" i="130"/>
  <c r="N441" i="130"/>
  <c r="N440" i="130"/>
  <c r="N439" i="130"/>
  <c r="N438" i="130"/>
  <c r="N437" i="130"/>
  <c r="N436" i="130"/>
  <c r="N435" i="130"/>
  <c r="N434" i="130"/>
  <c r="N433" i="130"/>
  <c r="N432" i="130"/>
  <c r="N431" i="130"/>
  <c r="N430" i="130"/>
  <c r="N429" i="130"/>
  <c r="N428" i="130"/>
  <c r="N427" i="130"/>
  <c r="N426" i="130"/>
  <c r="N425" i="130"/>
  <c r="N424" i="130"/>
  <c r="N423" i="130"/>
  <c r="N422" i="130"/>
  <c r="N421" i="130"/>
  <c r="N420" i="130"/>
  <c r="N419" i="130"/>
  <c r="N418" i="130"/>
  <c r="N417" i="130"/>
  <c r="N416" i="130"/>
  <c r="N415" i="130"/>
  <c r="N414" i="130"/>
  <c r="N413" i="130"/>
  <c r="N412" i="130"/>
  <c r="N411" i="130"/>
  <c r="N410" i="130"/>
  <c r="N409" i="130"/>
  <c r="N408" i="130"/>
  <c r="N407" i="130"/>
  <c r="N406" i="130"/>
  <c r="N405" i="130"/>
  <c r="N404" i="130"/>
  <c r="N403" i="130"/>
  <c r="N402" i="130"/>
  <c r="N401" i="130"/>
  <c r="N400" i="130"/>
  <c r="N399" i="130"/>
  <c r="N398" i="130"/>
  <c r="N397" i="130"/>
  <c r="N396" i="130"/>
  <c r="N395" i="130"/>
  <c r="N394" i="130"/>
  <c r="N393" i="130"/>
  <c r="N392" i="130"/>
  <c r="N391" i="130"/>
  <c r="N390" i="130"/>
  <c r="N389" i="130"/>
  <c r="N388" i="130"/>
  <c r="N387" i="130"/>
  <c r="N386" i="130"/>
  <c r="N385" i="130"/>
  <c r="N384" i="130"/>
  <c r="N383" i="130"/>
  <c r="N382" i="130"/>
  <c r="N381" i="130"/>
  <c r="N380" i="130"/>
  <c r="N379" i="130"/>
  <c r="N378" i="130"/>
  <c r="N377" i="130"/>
  <c r="N376" i="130"/>
  <c r="N375" i="130"/>
  <c r="N374" i="130"/>
  <c r="N373" i="130"/>
  <c r="N372" i="130"/>
  <c r="N371" i="130"/>
  <c r="N370" i="130"/>
  <c r="N369" i="130"/>
  <c r="N368" i="130"/>
  <c r="N367" i="130"/>
  <c r="N366" i="130"/>
  <c r="N365" i="130"/>
  <c r="N364" i="130"/>
  <c r="N363" i="130"/>
  <c r="N362" i="130"/>
  <c r="N361" i="130"/>
  <c r="N360" i="130"/>
  <c r="N359" i="130"/>
  <c r="N358" i="130"/>
  <c r="N357" i="130"/>
  <c r="N356" i="130"/>
  <c r="N355" i="130"/>
  <c r="N354" i="130"/>
  <c r="N353" i="130"/>
  <c r="N352" i="130"/>
  <c r="N351" i="130"/>
  <c r="N350" i="130"/>
  <c r="N349" i="130"/>
  <c r="N348" i="130"/>
  <c r="N347" i="130"/>
  <c r="N346" i="130"/>
  <c r="N345" i="130"/>
  <c r="N344" i="130"/>
  <c r="N343" i="130"/>
  <c r="N342" i="130"/>
  <c r="N341" i="130"/>
  <c r="N340" i="130"/>
  <c r="N339" i="130"/>
  <c r="N338" i="130"/>
  <c r="N337" i="130"/>
  <c r="N336" i="130"/>
  <c r="N335" i="130"/>
  <c r="N334" i="130"/>
  <c r="N333" i="130"/>
  <c r="N332" i="130"/>
  <c r="N331" i="130"/>
  <c r="N330" i="130"/>
  <c r="N329" i="130"/>
  <c r="N328" i="130"/>
  <c r="N327" i="130"/>
  <c r="N326" i="130"/>
  <c r="N325" i="130"/>
  <c r="N324" i="130"/>
  <c r="N323" i="130"/>
  <c r="N322" i="130"/>
  <c r="N321" i="130"/>
  <c r="N320" i="130"/>
  <c r="N319" i="130"/>
  <c r="N318" i="130"/>
  <c r="N317" i="130"/>
  <c r="N316" i="130"/>
  <c r="N315" i="130"/>
  <c r="N314" i="130"/>
  <c r="N313" i="130"/>
  <c r="N312" i="130"/>
  <c r="N311" i="130"/>
  <c r="N310" i="130"/>
  <c r="N309" i="130"/>
  <c r="N308" i="130"/>
  <c r="N307" i="130"/>
  <c r="N306" i="130"/>
  <c r="N305" i="130"/>
  <c r="N304" i="130"/>
  <c r="N303" i="130"/>
  <c r="N302" i="130"/>
  <c r="N301" i="130"/>
  <c r="N300" i="130"/>
  <c r="N299" i="130"/>
  <c r="N298" i="130"/>
  <c r="N297" i="130"/>
  <c r="N296" i="130"/>
  <c r="N295" i="130"/>
  <c r="N294" i="130"/>
  <c r="N293" i="130"/>
  <c r="N292" i="130"/>
  <c r="N291" i="130"/>
  <c r="N290" i="130"/>
  <c r="N289" i="130"/>
  <c r="N288" i="130"/>
  <c r="N287" i="130"/>
  <c r="N286" i="130"/>
  <c r="N285" i="130"/>
  <c r="N284" i="130"/>
  <c r="N283" i="130"/>
  <c r="T281" i="130"/>
  <c r="R281" i="130"/>
  <c r="Q281" i="130"/>
  <c r="K281" i="130"/>
  <c r="J281" i="130"/>
  <c r="G281" i="130"/>
  <c r="F4" i="130" s="1"/>
  <c r="F7" i="130" s="1"/>
  <c r="N279" i="130"/>
  <c r="N278" i="130"/>
  <c r="N277" i="130"/>
  <c r="N276" i="130"/>
  <c r="N275" i="130"/>
  <c r="N274" i="130"/>
  <c r="N273" i="130"/>
  <c r="N272" i="130"/>
  <c r="N271" i="130"/>
  <c r="N270" i="130"/>
  <c r="N269" i="130"/>
  <c r="N268" i="130"/>
  <c r="N267" i="130"/>
  <c r="N266" i="130"/>
  <c r="N265" i="130"/>
  <c r="N264" i="130"/>
  <c r="N263" i="130"/>
  <c r="N262" i="130"/>
  <c r="N261" i="130"/>
  <c r="N260" i="130"/>
  <c r="N259" i="130"/>
  <c r="N258" i="130"/>
  <c r="N257" i="130"/>
  <c r="N256" i="130"/>
  <c r="N255" i="130"/>
  <c r="N254" i="130"/>
  <c r="N253" i="130"/>
  <c r="N252" i="130"/>
  <c r="N251" i="130"/>
  <c r="N250" i="130"/>
  <c r="N249" i="130"/>
  <c r="N248" i="130"/>
  <c r="N247" i="130"/>
  <c r="N246" i="130"/>
  <c r="N245" i="130"/>
  <c r="N244" i="130"/>
  <c r="N243" i="130"/>
  <c r="N242" i="130"/>
  <c r="N241" i="130"/>
  <c r="N240" i="130"/>
  <c r="N239" i="130"/>
  <c r="N238" i="130"/>
  <c r="N237" i="130"/>
  <c r="N236" i="130"/>
  <c r="N235" i="130"/>
  <c r="N234" i="130"/>
  <c r="N233" i="130"/>
  <c r="N232" i="130"/>
  <c r="N231" i="130"/>
  <c r="N230" i="130"/>
  <c r="N229" i="130"/>
  <c r="N228" i="130"/>
  <c r="N227" i="130"/>
  <c r="N226" i="130"/>
  <c r="N225" i="130"/>
  <c r="N224" i="130"/>
  <c r="N223" i="130"/>
  <c r="N222" i="130"/>
  <c r="N221" i="130"/>
  <c r="N220" i="130"/>
  <c r="N219" i="130"/>
  <c r="N218" i="130"/>
  <c r="U217" i="130"/>
  <c r="N217" i="130"/>
  <c r="N216" i="130"/>
  <c r="N215" i="130"/>
  <c r="N214" i="130"/>
  <c r="N213" i="130"/>
  <c r="N212" i="130"/>
  <c r="N211" i="130"/>
  <c r="N210" i="130"/>
  <c r="N209" i="130"/>
  <c r="N208" i="130"/>
  <c r="N207" i="130"/>
  <c r="N206" i="130"/>
  <c r="N205" i="130"/>
  <c r="N204" i="130"/>
  <c r="N203" i="130"/>
  <c r="N202" i="130"/>
  <c r="N201" i="130"/>
  <c r="N200" i="130"/>
  <c r="N199" i="130"/>
  <c r="N198" i="130"/>
  <c r="N197" i="130"/>
  <c r="N196" i="130"/>
  <c r="N195" i="130"/>
  <c r="N194" i="130"/>
  <c r="N193" i="130"/>
  <c r="N192" i="130"/>
  <c r="N191" i="130"/>
  <c r="N190" i="130"/>
  <c r="N189" i="130"/>
  <c r="N188" i="130"/>
  <c r="N187" i="130"/>
  <c r="N186" i="130"/>
  <c r="N185" i="130"/>
  <c r="N184" i="130"/>
  <c r="N183" i="130"/>
  <c r="N182" i="130"/>
  <c r="N181" i="130"/>
  <c r="N180" i="130"/>
  <c r="N179" i="130"/>
  <c r="N178" i="130"/>
  <c r="N177" i="130"/>
  <c r="N176" i="130"/>
  <c r="N175" i="130"/>
  <c r="N174" i="130"/>
  <c r="N173" i="130"/>
  <c r="N172" i="130"/>
  <c r="N171" i="130"/>
  <c r="N170" i="130"/>
  <c r="N169" i="130"/>
  <c r="N168" i="130"/>
  <c r="N167" i="130"/>
  <c r="N166" i="130"/>
  <c r="N165" i="130"/>
  <c r="N164" i="130"/>
  <c r="N163" i="130"/>
  <c r="N162" i="130"/>
  <c r="N161" i="130"/>
  <c r="N160" i="130"/>
  <c r="N159" i="130"/>
  <c r="N158" i="130"/>
  <c r="N157" i="130"/>
  <c r="N156" i="130"/>
  <c r="N155" i="130"/>
  <c r="N154" i="130"/>
  <c r="N153" i="130"/>
  <c r="N152" i="130"/>
  <c r="N151" i="130"/>
  <c r="N150" i="130"/>
  <c r="N149" i="130"/>
  <c r="N148" i="130"/>
  <c r="N147" i="130"/>
  <c r="N146" i="130"/>
  <c r="N145" i="130"/>
  <c r="N144" i="130"/>
  <c r="N143" i="130"/>
  <c r="T141" i="130"/>
  <c r="R141" i="130"/>
  <c r="C5" i="130" s="1"/>
  <c r="Q141" i="130"/>
  <c r="C3" i="130" s="1"/>
  <c r="K141" i="130"/>
  <c r="J141" i="130"/>
  <c r="G141" i="130"/>
  <c r="N140" i="130"/>
  <c r="N139" i="130"/>
  <c r="N138" i="130"/>
  <c r="N137" i="130"/>
  <c r="N136" i="130"/>
  <c r="N135" i="130"/>
  <c r="N134" i="130"/>
  <c r="N133" i="130"/>
  <c r="N132" i="130"/>
  <c r="N131" i="130"/>
  <c r="N130" i="130"/>
  <c r="N129" i="130"/>
  <c r="N128" i="130"/>
  <c r="N127" i="130"/>
  <c r="N126" i="130"/>
  <c r="N125" i="130"/>
  <c r="N124" i="130"/>
  <c r="N123" i="130"/>
  <c r="N122" i="130"/>
  <c r="N121" i="130"/>
  <c r="N120" i="130"/>
  <c r="N119" i="130"/>
  <c r="N118" i="130"/>
  <c r="N117" i="130"/>
  <c r="N116" i="130"/>
  <c r="N115" i="130"/>
  <c r="N114" i="130"/>
  <c r="N113" i="130"/>
  <c r="N112" i="130"/>
  <c r="N111" i="130"/>
  <c r="N110" i="130"/>
  <c r="N109" i="130"/>
  <c r="N108" i="130"/>
  <c r="N107" i="130"/>
  <c r="N106" i="130"/>
  <c r="N105" i="130"/>
  <c r="N104" i="130"/>
  <c r="N103" i="130"/>
  <c r="N102" i="130"/>
  <c r="N101" i="130"/>
  <c r="N100" i="130"/>
  <c r="N99" i="130"/>
  <c r="N98" i="130"/>
  <c r="N97" i="130"/>
  <c r="N96" i="130"/>
  <c r="N95" i="130"/>
  <c r="N94" i="130"/>
  <c r="N93" i="130"/>
  <c r="N92" i="130"/>
  <c r="N91" i="130"/>
  <c r="N90" i="130"/>
  <c r="N89" i="130"/>
  <c r="N88" i="130"/>
  <c r="N87" i="130"/>
  <c r="N86" i="130"/>
  <c r="N85" i="130"/>
  <c r="N84" i="130"/>
  <c r="N83" i="130"/>
  <c r="N82" i="130"/>
  <c r="N81" i="130"/>
  <c r="N80" i="130"/>
  <c r="N79" i="130"/>
  <c r="N78" i="130"/>
  <c r="N77" i="130"/>
  <c r="N76" i="130"/>
  <c r="N75" i="130"/>
  <c r="N74" i="130"/>
  <c r="N73" i="130"/>
  <c r="N72" i="130"/>
  <c r="N71" i="130"/>
  <c r="N70" i="130"/>
  <c r="N69" i="130"/>
  <c r="N68" i="130"/>
  <c r="N67" i="130"/>
  <c r="N66" i="130"/>
  <c r="N65" i="130"/>
  <c r="N64" i="130"/>
  <c r="N63" i="130"/>
  <c r="N62" i="130"/>
  <c r="N61" i="130"/>
  <c r="N60" i="130"/>
  <c r="N59" i="130"/>
  <c r="N58" i="130"/>
  <c r="N57" i="130"/>
  <c r="N56" i="130"/>
  <c r="N55" i="130"/>
  <c r="N54" i="130"/>
  <c r="N53" i="130"/>
  <c r="N52" i="130"/>
  <c r="N51" i="130"/>
  <c r="N50" i="130"/>
  <c r="N49" i="130"/>
  <c r="N48" i="130"/>
  <c r="N47" i="130"/>
  <c r="N46" i="130"/>
  <c r="N45" i="130"/>
  <c r="N44" i="130"/>
  <c r="N43" i="130"/>
  <c r="N42" i="130"/>
  <c r="N41" i="130"/>
  <c r="N40" i="130"/>
  <c r="N39" i="130"/>
  <c r="N38" i="130"/>
  <c r="N37" i="130"/>
  <c r="N36" i="130"/>
  <c r="N35" i="130"/>
  <c r="N34" i="130"/>
  <c r="N33" i="130"/>
  <c r="N32" i="130"/>
  <c r="N31" i="130"/>
  <c r="N30" i="130"/>
  <c r="N29" i="130"/>
  <c r="N28" i="130"/>
  <c r="N27" i="130"/>
  <c r="N26" i="130"/>
  <c r="N25" i="130"/>
  <c r="N24" i="130"/>
  <c r="N23" i="130"/>
  <c r="N22" i="130"/>
  <c r="N21" i="130"/>
  <c r="N20" i="130"/>
  <c r="N19" i="130"/>
  <c r="N18" i="130"/>
  <c r="N17" i="130"/>
  <c r="N16" i="130"/>
  <c r="N15" i="130"/>
  <c r="N14" i="130"/>
  <c r="N13" i="130"/>
  <c r="N12" i="130"/>
  <c r="N11" i="130"/>
  <c r="K9" i="130"/>
  <c r="J9" i="130"/>
  <c r="G9" i="130"/>
  <c r="C7" i="130"/>
  <c r="C4" i="130"/>
  <c r="C1" i="130"/>
  <c r="L608" i="129"/>
  <c r="N608" i="129"/>
  <c r="J608" i="129"/>
  <c r="F608" i="129"/>
  <c r="E608" i="129"/>
  <c r="K608" i="129"/>
  <c r="M679" i="129"/>
  <c r="M678" i="129"/>
  <c r="M677" i="129"/>
  <c r="M676" i="129"/>
  <c r="M675" i="129"/>
  <c r="M674" i="129"/>
  <c r="M673" i="129"/>
  <c r="M672" i="129"/>
  <c r="O672" i="129" s="1"/>
  <c r="M671" i="129"/>
  <c r="M670" i="129"/>
  <c r="M669" i="129"/>
  <c r="M668" i="129"/>
  <c r="O668" i="129" s="1"/>
  <c r="M667" i="129"/>
  <c r="M666" i="129"/>
  <c r="M665" i="129"/>
  <c r="M664" i="129"/>
  <c r="M663" i="129"/>
  <c r="M662" i="129"/>
  <c r="M661" i="129"/>
  <c r="M660" i="129"/>
  <c r="O660" i="129" s="1"/>
  <c r="M659" i="129"/>
  <c r="O659" i="129" s="1"/>
  <c r="M658" i="129"/>
  <c r="M657" i="129"/>
  <c r="M656" i="129"/>
  <c r="M655" i="129"/>
  <c r="M654" i="129"/>
  <c r="M653" i="129"/>
  <c r="M652" i="129"/>
  <c r="M651" i="129"/>
  <c r="M650" i="129"/>
  <c r="M649" i="129"/>
  <c r="M648" i="129"/>
  <c r="M647" i="129"/>
  <c r="M646" i="129"/>
  <c r="M645" i="129"/>
  <c r="M644" i="129"/>
  <c r="O644" i="129" s="1"/>
  <c r="M643" i="129"/>
  <c r="M642" i="129"/>
  <c r="M641" i="129"/>
  <c r="M640" i="129"/>
  <c r="O640" i="129" s="1"/>
  <c r="M639" i="129"/>
  <c r="M638" i="129"/>
  <c r="M637" i="129"/>
  <c r="M636" i="129"/>
  <c r="M635" i="129"/>
  <c r="M634" i="129"/>
  <c r="M633" i="129"/>
  <c r="M632" i="129"/>
  <c r="M631" i="129"/>
  <c r="M630" i="129"/>
  <c r="M629" i="129"/>
  <c r="M628" i="129"/>
  <c r="M627" i="129"/>
  <c r="M626" i="129"/>
  <c r="M625" i="129"/>
  <c r="M624" i="129"/>
  <c r="O624" i="129" s="1"/>
  <c r="M623" i="129"/>
  <c r="M622" i="129"/>
  <c r="M621" i="129"/>
  <c r="M620" i="129"/>
  <c r="M619" i="129"/>
  <c r="M618" i="129"/>
  <c r="M617" i="129"/>
  <c r="M616" i="129"/>
  <c r="M615" i="129"/>
  <c r="M614" i="129"/>
  <c r="M613" i="129"/>
  <c r="M612" i="129"/>
  <c r="O612" i="129" s="1"/>
  <c r="M611" i="129"/>
  <c r="M610" i="129"/>
  <c r="M609" i="129"/>
  <c r="G679" i="129"/>
  <c r="G678" i="129"/>
  <c r="G677" i="129"/>
  <c r="G676" i="129"/>
  <c r="G675" i="129"/>
  <c r="G674" i="129"/>
  <c r="G673" i="129"/>
  <c r="G672" i="129"/>
  <c r="G671" i="129"/>
  <c r="G670" i="129"/>
  <c r="G669" i="129"/>
  <c r="G668" i="129"/>
  <c r="G667" i="129"/>
  <c r="G666" i="129"/>
  <c r="O666" i="129" s="1"/>
  <c r="G665" i="129"/>
  <c r="G664" i="129"/>
  <c r="G663" i="129"/>
  <c r="G662" i="129"/>
  <c r="G661" i="129"/>
  <c r="G658" i="129"/>
  <c r="G657" i="129"/>
  <c r="G656" i="129"/>
  <c r="G655" i="129"/>
  <c r="G654" i="129"/>
  <c r="G653" i="129"/>
  <c r="G652" i="129"/>
  <c r="G651" i="129"/>
  <c r="G650" i="129"/>
  <c r="G649" i="129"/>
  <c r="G648" i="129"/>
  <c r="G647" i="129"/>
  <c r="G646" i="129"/>
  <c r="G645" i="129"/>
  <c r="G644" i="129"/>
  <c r="G643" i="129"/>
  <c r="G642" i="129"/>
  <c r="G641" i="129"/>
  <c r="G640" i="129"/>
  <c r="G639" i="129"/>
  <c r="G638" i="129"/>
  <c r="G637" i="129"/>
  <c r="G636" i="129"/>
  <c r="G635" i="129"/>
  <c r="G634" i="129"/>
  <c r="G633" i="129"/>
  <c r="G632" i="129"/>
  <c r="G631" i="129"/>
  <c r="G630" i="129"/>
  <c r="G629" i="129"/>
  <c r="G628" i="129"/>
  <c r="G627" i="129"/>
  <c r="G626" i="129"/>
  <c r="G625" i="129"/>
  <c r="G624" i="129"/>
  <c r="G623" i="129"/>
  <c r="G622" i="129"/>
  <c r="G621" i="129"/>
  <c r="G620" i="129"/>
  <c r="G619" i="129"/>
  <c r="G618" i="129"/>
  <c r="G617" i="129"/>
  <c r="G616" i="129"/>
  <c r="G615" i="129"/>
  <c r="G614" i="129"/>
  <c r="G613" i="129"/>
  <c r="G612" i="129"/>
  <c r="G611" i="129"/>
  <c r="G610" i="129"/>
  <c r="G609" i="129"/>
  <c r="O609" i="129" s="1"/>
  <c r="M605" i="129"/>
  <c r="G605" i="129"/>
  <c r="M604" i="129"/>
  <c r="G604" i="129"/>
  <c r="O604" i="129" s="1"/>
  <c r="M603" i="129"/>
  <c r="G603" i="129"/>
  <c r="M602" i="129"/>
  <c r="G602" i="129"/>
  <c r="M601" i="129"/>
  <c r="G601" i="129"/>
  <c r="M600" i="129"/>
  <c r="G600" i="129"/>
  <c r="M599" i="129"/>
  <c r="G599" i="129"/>
  <c r="M598" i="129"/>
  <c r="G598" i="129"/>
  <c r="O598" i="129" s="1"/>
  <c r="M597" i="129"/>
  <c r="G597" i="129"/>
  <c r="M596" i="129"/>
  <c r="G596" i="129"/>
  <c r="M595" i="129"/>
  <c r="G595" i="129"/>
  <c r="M594" i="129"/>
  <c r="G594" i="129"/>
  <c r="O594" i="129" s="1"/>
  <c r="M593" i="129"/>
  <c r="G593" i="129"/>
  <c r="M592" i="129"/>
  <c r="G592" i="129"/>
  <c r="O592" i="129" s="1"/>
  <c r="M591" i="129"/>
  <c r="G591" i="129"/>
  <c r="M590" i="129"/>
  <c r="G590" i="129"/>
  <c r="M589" i="129"/>
  <c r="G589" i="129"/>
  <c r="M588" i="129"/>
  <c r="G588" i="129"/>
  <c r="M587" i="129"/>
  <c r="O587" i="129" s="1"/>
  <c r="M586" i="129"/>
  <c r="G586" i="129"/>
  <c r="M585" i="129"/>
  <c r="G585" i="129"/>
  <c r="M584" i="129"/>
  <c r="G584" i="129"/>
  <c r="M583" i="129"/>
  <c r="G583" i="129"/>
  <c r="M582" i="129"/>
  <c r="G582" i="129"/>
  <c r="M581" i="129"/>
  <c r="O581" i="129" s="1"/>
  <c r="G581" i="129"/>
  <c r="M580" i="129"/>
  <c r="G580" i="129"/>
  <c r="M579" i="129"/>
  <c r="G579" i="129"/>
  <c r="M578" i="129"/>
  <c r="G578" i="129"/>
  <c r="M577" i="129"/>
  <c r="G577" i="129"/>
  <c r="M576" i="129"/>
  <c r="G576" i="129"/>
  <c r="M575" i="129"/>
  <c r="O575" i="129" s="1"/>
  <c r="G575" i="129"/>
  <c r="M574" i="129"/>
  <c r="G574" i="129"/>
  <c r="M573" i="129"/>
  <c r="G573" i="129"/>
  <c r="M572" i="129"/>
  <c r="G572" i="129"/>
  <c r="M571" i="129"/>
  <c r="G571" i="129"/>
  <c r="M570" i="129"/>
  <c r="G570" i="129"/>
  <c r="M569" i="129"/>
  <c r="G569" i="129"/>
  <c r="M568" i="129"/>
  <c r="G568" i="129"/>
  <c r="M567" i="129"/>
  <c r="G567" i="129"/>
  <c r="M566" i="129"/>
  <c r="G566" i="129"/>
  <c r="M565" i="129"/>
  <c r="G565" i="129"/>
  <c r="M564" i="129"/>
  <c r="G564" i="129"/>
  <c r="M563" i="129"/>
  <c r="G563" i="129"/>
  <c r="M562" i="129"/>
  <c r="G562" i="129"/>
  <c r="M561" i="129"/>
  <c r="G561" i="129"/>
  <c r="M560" i="129"/>
  <c r="G560" i="129"/>
  <c r="M559" i="129"/>
  <c r="G559" i="129"/>
  <c r="M558" i="129"/>
  <c r="G558" i="129"/>
  <c r="M557" i="129"/>
  <c r="G557" i="129"/>
  <c r="M556" i="129"/>
  <c r="G556" i="129"/>
  <c r="M555" i="129"/>
  <c r="G555" i="129"/>
  <c r="M554" i="129"/>
  <c r="G554" i="129"/>
  <c r="M553" i="129"/>
  <c r="O553" i="129" s="1"/>
  <c r="G553" i="129"/>
  <c r="M552" i="129"/>
  <c r="G552" i="129"/>
  <c r="M551" i="129"/>
  <c r="O551" i="129" s="1"/>
  <c r="M550" i="129"/>
  <c r="O550" i="129" s="1"/>
  <c r="M549" i="129"/>
  <c r="O549" i="129" s="1"/>
  <c r="M548" i="129"/>
  <c r="G548" i="129"/>
  <c r="M547" i="129"/>
  <c r="G547" i="129"/>
  <c r="M546" i="129"/>
  <c r="G546" i="129"/>
  <c r="O546" i="129" s="1"/>
  <c r="M545" i="129"/>
  <c r="G545" i="129"/>
  <c r="M544" i="129"/>
  <c r="G544" i="129"/>
  <c r="M543" i="129"/>
  <c r="G543" i="129"/>
  <c r="M542" i="129"/>
  <c r="G542" i="129"/>
  <c r="M541" i="129"/>
  <c r="G541" i="129"/>
  <c r="M540" i="129"/>
  <c r="G540" i="129"/>
  <c r="O540" i="129" s="1"/>
  <c r="M539" i="129"/>
  <c r="G539" i="129"/>
  <c r="M538" i="129"/>
  <c r="G538" i="129"/>
  <c r="O538" i="129" s="1"/>
  <c r="M537" i="129"/>
  <c r="G537" i="129"/>
  <c r="M536" i="129"/>
  <c r="G536" i="129"/>
  <c r="O536" i="129" s="1"/>
  <c r="M535" i="129"/>
  <c r="G535" i="129"/>
  <c r="M534" i="129"/>
  <c r="G534" i="129"/>
  <c r="N533" i="129"/>
  <c r="L533" i="129"/>
  <c r="K533" i="129"/>
  <c r="J533" i="129"/>
  <c r="F533" i="129"/>
  <c r="E533" i="129"/>
  <c r="M530" i="129"/>
  <c r="G530" i="129"/>
  <c r="M529" i="129"/>
  <c r="G529" i="129"/>
  <c r="M528" i="129"/>
  <c r="G528" i="129"/>
  <c r="M527" i="129"/>
  <c r="G527" i="129"/>
  <c r="M526" i="129"/>
  <c r="G526" i="129"/>
  <c r="O526" i="129" s="1"/>
  <c r="M525" i="129"/>
  <c r="G525" i="129"/>
  <c r="M524" i="129"/>
  <c r="G524" i="129"/>
  <c r="M523" i="129"/>
  <c r="G523" i="129"/>
  <c r="M522" i="129"/>
  <c r="G522" i="129"/>
  <c r="O522" i="129" s="1"/>
  <c r="M521" i="129"/>
  <c r="G521" i="129"/>
  <c r="M520" i="129"/>
  <c r="G520" i="129"/>
  <c r="M519" i="129"/>
  <c r="G519" i="129"/>
  <c r="M518" i="129"/>
  <c r="G518" i="129"/>
  <c r="M517" i="129"/>
  <c r="G517" i="129"/>
  <c r="M516" i="129"/>
  <c r="G516" i="129"/>
  <c r="O516" i="129" s="1"/>
  <c r="M515" i="129"/>
  <c r="G515" i="129"/>
  <c r="M514" i="129"/>
  <c r="G514" i="129"/>
  <c r="M513" i="129"/>
  <c r="G513" i="129"/>
  <c r="M512" i="129"/>
  <c r="G512" i="129"/>
  <c r="M511" i="129"/>
  <c r="G511" i="129"/>
  <c r="M510" i="129"/>
  <c r="G510" i="129"/>
  <c r="O510" i="129" s="1"/>
  <c r="M509" i="129"/>
  <c r="G509" i="129"/>
  <c r="M508" i="129"/>
  <c r="G508" i="129"/>
  <c r="M507" i="129"/>
  <c r="G507" i="129"/>
  <c r="M506" i="129"/>
  <c r="G506" i="129"/>
  <c r="M505" i="129"/>
  <c r="G505" i="129"/>
  <c r="M504" i="129"/>
  <c r="G504" i="129"/>
  <c r="O504" i="129" s="1"/>
  <c r="M503" i="129"/>
  <c r="G503" i="129"/>
  <c r="M502" i="129"/>
  <c r="G502" i="129"/>
  <c r="M501" i="129"/>
  <c r="G501" i="129"/>
  <c r="M500" i="129"/>
  <c r="G500" i="129"/>
  <c r="M499" i="129"/>
  <c r="G499" i="129"/>
  <c r="M498" i="129"/>
  <c r="G498" i="129"/>
  <c r="M497" i="129"/>
  <c r="G497" i="129"/>
  <c r="M496" i="129"/>
  <c r="G496" i="129"/>
  <c r="O496" i="129" s="1"/>
  <c r="M495" i="129"/>
  <c r="G495" i="129"/>
  <c r="M494" i="129"/>
  <c r="G494" i="129"/>
  <c r="O494" i="129" s="1"/>
  <c r="M493" i="129"/>
  <c r="O493" i="129" s="1"/>
  <c r="G493" i="129"/>
  <c r="M492" i="129"/>
  <c r="G492" i="129"/>
  <c r="O492" i="129" s="1"/>
  <c r="M491" i="129"/>
  <c r="G491" i="129"/>
  <c r="M490" i="129"/>
  <c r="G490" i="129"/>
  <c r="M489" i="129"/>
  <c r="G489" i="129"/>
  <c r="M488" i="129"/>
  <c r="G488" i="129"/>
  <c r="M487" i="129"/>
  <c r="G487" i="129"/>
  <c r="M486" i="129"/>
  <c r="G486" i="129"/>
  <c r="M485" i="129"/>
  <c r="G485" i="129"/>
  <c r="M484" i="129"/>
  <c r="G484" i="129"/>
  <c r="M483" i="129"/>
  <c r="G483" i="129"/>
  <c r="M482" i="129"/>
  <c r="G482" i="129"/>
  <c r="O482" i="129" s="1"/>
  <c r="M481" i="129"/>
  <c r="G481" i="129"/>
  <c r="M480" i="129"/>
  <c r="G480" i="129"/>
  <c r="M479" i="129"/>
  <c r="G479" i="129"/>
  <c r="M478" i="129"/>
  <c r="G478" i="129"/>
  <c r="O478" i="129" s="1"/>
  <c r="M477" i="129"/>
  <c r="G477" i="129"/>
  <c r="M476" i="129"/>
  <c r="G476" i="129"/>
  <c r="M475" i="129"/>
  <c r="G475" i="129"/>
  <c r="M474" i="129"/>
  <c r="G474" i="129"/>
  <c r="M473" i="129"/>
  <c r="G473" i="129"/>
  <c r="M472" i="129"/>
  <c r="G472" i="129"/>
  <c r="M471" i="129"/>
  <c r="G471" i="129"/>
  <c r="M470" i="129"/>
  <c r="G470" i="129"/>
  <c r="O470" i="129" s="1"/>
  <c r="M469" i="129"/>
  <c r="G469" i="129"/>
  <c r="M468" i="129"/>
  <c r="G468" i="129"/>
  <c r="O468" i="129" s="1"/>
  <c r="M467" i="129"/>
  <c r="G467" i="129"/>
  <c r="M466" i="129"/>
  <c r="G466" i="129"/>
  <c r="M465" i="129"/>
  <c r="G465" i="129"/>
  <c r="M464" i="129"/>
  <c r="G464" i="129"/>
  <c r="M463" i="129"/>
  <c r="G463" i="129"/>
  <c r="M462" i="129"/>
  <c r="G462" i="129"/>
  <c r="O462" i="129" s="1"/>
  <c r="M461" i="129"/>
  <c r="G461" i="129"/>
  <c r="M460" i="129"/>
  <c r="G460" i="129"/>
  <c r="O460" i="129" s="1"/>
  <c r="M459" i="129"/>
  <c r="G459" i="129"/>
  <c r="N458" i="129"/>
  <c r="K458" i="129"/>
  <c r="J458" i="129"/>
  <c r="F458" i="129"/>
  <c r="E458" i="129"/>
  <c r="M453" i="129"/>
  <c r="O453" i="129" s="1"/>
  <c r="M452" i="129"/>
  <c r="G452" i="129"/>
  <c r="M451" i="129"/>
  <c r="G451" i="129"/>
  <c r="O451" i="129" s="1"/>
  <c r="M450" i="129"/>
  <c r="G450" i="129"/>
  <c r="M449" i="129"/>
  <c r="G449" i="129"/>
  <c r="M448" i="129"/>
  <c r="G448" i="129"/>
  <c r="M447" i="129"/>
  <c r="G447" i="129"/>
  <c r="M446" i="129"/>
  <c r="G446" i="129"/>
  <c r="M445" i="129"/>
  <c r="G445" i="129"/>
  <c r="M444" i="129"/>
  <c r="G444" i="129"/>
  <c r="M443" i="129"/>
  <c r="G443" i="129"/>
  <c r="M442" i="129"/>
  <c r="G442" i="129"/>
  <c r="M441" i="129"/>
  <c r="G441" i="129"/>
  <c r="M440" i="129"/>
  <c r="G440" i="129"/>
  <c r="M439" i="129"/>
  <c r="G439" i="129"/>
  <c r="O439" i="129" s="1"/>
  <c r="M438" i="129"/>
  <c r="G438" i="129"/>
  <c r="M437" i="129"/>
  <c r="G437" i="129"/>
  <c r="O437" i="129" s="1"/>
  <c r="M436" i="129"/>
  <c r="G436" i="129"/>
  <c r="M435" i="129"/>
  <c r="G435" i="129"/>
  <c r="O435" i="129" s="1"/>
  <c r="M434" i="129"/>
  <c r="G434" i="129"/>
  <c r="M433" i="129"/>
  <c r="G433" i="129"/>
  <c r="M432" i="129"/>
  <c r="G432" i="129"/>
  <c r="M431" i="129"/>
  <c r="G431" i="129"/>
  <c r="O431" i="129" s="1"/>
  <c r="M430" i="129"/>
  <c r="G430" i="129"/>
  <c r="M429" i="129"/>
  <c r="G429" i="129"/>
  <c r="O429" i="129" s="1"/>
  <c r="M428" i="129"/>
  <c r="G428" i="129"/>
  <c r="L427" i="129"/>
  <c r="M427" i="129" s="1"/>
  <c r="G427" i="129"/>
  <c r="M426" i="129"/>
  <c r="G426" i="129"/>
  <c r="M425" i="129"/>
  <c r="G425" i="129"/>
  <c r="M424" i="129"/>
  <c r="G424" i="129"/>
  <c r="M423" i="129"/>
  <c r="G423" i="129"/>
  <c r="M422" i="129"/>
  <c r="G422" i="129"/>
  <c r="M421" i="129"/>
  <c r="G421" i="129"/>
  <c r="O421" i="129" s="1"/>
  <c r="M420" i="129"/>
  <c r="G420" i="129"/>
  <c r="M419" i="129"/>
  <c r="G419" i="129"/>
  <c r="M418" i="129"/>
  <c r="G418" i="129"/>
  <c r="M417" i="129"/>
  <c r="G417" i="129"/>
  <c r="M416" i="129"/>
  <c r="G416" i="129"/>
  <c r="M415" i="129"/>
  <c r="G415" i="129"/>
  <c r="O415" i="129" s="1"/>
  <c r="M414" i="129"/>
  <c r="G414" i="129"/>
  <c r="M413" i="129"/>
  <c r="G413" i="129"/>
  <c r="M412" i="129"/>
  <c r="G412" i="129"/>
  <c r="M411" i="129"/>
  <c r="G411" i="129"/>
  <c r="M410" i="129"/>
  <c r="G410" i="129"/>
  <c r="M409" i="129"/>
  <c r="G409" i="129"/>
  <c r="O409" i="129" s="1"/>
  <c r="M408" i="129"/>
  <c r="O408" i="129" s="1"/>
  <c r="G408" i="129"/>
  <c r="M407" i="129"/>
  <c r="G407" i="129"/>
  <c r="O407" i="129" s="1"/>
  <c r="M406" i="129"/>
  <c r="G406" i="129"/>
  <c r="M405" i="129"/>
  <c r="G405" i="129"/>
  <c r="M404" i="129"/>
  <c r="G404" i="129"/>
  <c r="M403" i="129"/>
  <c r="G403" i="129"/>
  <c r="M402" i="129"/>
  <c r="G402" i="129"/>
  <c r="M401" i="129"/>
  <c r="G401" i="129"/>
  <c r="O401" i="129" s="1"/>
  <c r="M400" i="129"/>
  <c r="G400" i="129"/>
  <c r="M399" i="129"/>
  <c r="G399" i="129"/>
  <c r="G397" i="129" s="1"/>
  <c r="G328" i="129" s="1"/>
  <c r="M398" i="129"/>
  <c r="G398" i="129"/>
  <c r="N397" i="129"/>
  <c r="N328" i="129" s="1"/>
  <c r="K397" i="129"/>
  <c r="K328" i="129" s="1"/>
  <c r="J397" i="129"/>
  <c r="F397" i="129"/>
  <c r="E397" i="129"/>
  <c r="E328" i="129" s="1"/>
  <c r="M394" i="129"/>
  <c r="G394" i="129"/>
  <c r="M393" i="129"/>
  <c r="G393" i="129"/>
  <c r="M392" i="129"/>
  <c r="O392" i="129" s="1"/>
  <c r="G392" i="129"/>
  <c r="M391" i="129"/>
  <c r="G391" i="129"/>
  <c r="M390" i="129"/>
  <c r="G390" i="129"/>
  <c r="M389" i="129"/>
  <c r="G389" i="129"/>
  <c r="M388" i="129"/>
  <c r="O388" i="129" s="1"/>
  <c r="G388" i="129"/>
  <c r="M387" i="129"/>
  <c r="G387" i="129"/>
  <c r="M386" i="129"/>
  <c r="O386" i="129" s="1"/>
  <c r="G386" i="129"/>
  <c r="M385" i="129"/>
  <c r="G385" i="129"/>
  <c r="M384" i="129"/>
  <c r="G384" i="129"/>
  <c r="M383" i="129"/>
  <c r="G383" i="129"/>
  <c r="M382" i="129"/>
  <c r="G382" i="129"/>
  <c r="M381" i="129"/>
  <c r="G381" i="129"/>
  <c r="M380" i="129"/>
  <c r="G380" i="129"/>
  <c r="M379" i="129"/>
  <c r="G379" i="129"/>
  <c r="M378" i="129"/>
  <c r="O378" i="129" s="1"/>
  <c r="G378" i="129"/>
  <c r="M377" i="129"/>
  <c r="G377" i="129"/>
  <c r="M376" i="129"/>
  <c r="G376" i="129"/>
  <c r="M375" i="129"/>
  <c r="G375" i="129"/>
  <c r="M374" i="129"/>
  <c r="O374" i="129" s="1"/>
  <c r="G374" i="129"/>
  <c r="M373" i="129"/>
  <c r="G373" i="129"/>
  <c r="M372" i="129"/>
  <c r="O372" i="129" s="1"/>
  <c r="G372" i="129"/>
  <c r="M371" i="129"/>
  <c r="G371" i="129"/>
  <c r="M370" i="129"/>
  <c r="O370" i="129" s="1"/>
  <c r="G370" i="129"/>
  <c r="M369" i="129"/>
  <c r="G369" i="129"/>
  <c r="M368" i="129"/>
  <c r="G368" i="129"/>
  <c r="M367" i="129"/>
  <c r="G367" i="129"/>
  <c r="M366" i="129"/>
  <c r="G366" i="129"/>
  <c r="M365" i="129"/>
  <c r="G365" i="129"/>
  <c r="M364" i="129"/>
  <c r="G364" i="129"/>
  <c r="M363" i="129"/>
  <c r="G363" i="129"/>
  <c r="M362" i="129"/>
  <c r="G362" i="129"/>
  <c r="M361" i="129"/>
  <c r="G361" i="129"/>
  <c r="M360" i="129"/>
  <c r="O360" i="129" s="1"/>
  <c r="G360" i="129"/>
  <c r="M359" i="129"/>
  <c r="G359" i="129"/>
  <c r="M358" i="129"/>
  <c r="G358" i="129"/>
  <c r="M357" i="129"/>
  <c r="G357" i="129"/>
  <c r="M356" i="129"/>
  <c r="O356" i="129" s="1"/>
  <c r="G356" i="129"/>
  <c r="M355" i="129"/>
  <c r="G355" i="129"/>
  <c r="M354" i="129"/>
  <c r="G354" i="129"/>
  <c r="M353" i="129"/>
  <c r="G353" i="129"/>
  <c r="M352" i="129"/>
  <c r="G352" i="129"/>
  <c r="M351" i="129"/>
  <c r="G351" i="129"/>
  <c r="M350" i="129"/>
  <c r="G350" i="129"/>
  <c r="M349" i="129"/>
  <c r="G349" i="129"/>
  <c r="M348" i="129"/>
  <c r="O348" i="129" s="1"/>
  <c r="G348" i="129"/>
  <c r="M347" i="129"/>
  <c r="G347" i="129"/>
  <c r="M346" i="129"/>
  <c r="O346" i="129" s="1"/>
  <c r="G346" i="129"/>
  <c r="M345" i="129"/>
  <c r="G345" i="129"/>
  <c r="M344" i="129"/>
  <c r="O344" i="129" s="1"/>
  <c r="G344" i="129"/>
  <c r="M343" i="129"/>
  <c r="G343" i="129"/>
  <c r="M342" i="129"/>
  <c r="G342" i="129"/>
  <c r="M341" i="129"/>
  <c r="G341" i="129"/>
  <c r="M340" i="129"/>
  <c r="G340" i="129"/>
  <c r="M339" i="129"/>
  <c r="G339" i="129"/>
  <c r="M338" i="129"/>
  <c r="O338" i="129" s="1"/>
  <c r="G338" i="129"/>
  <c r="M337" i="129"/>
  <c r="G337" i="129"/>
  <c r="M336" i="129"/>
  <c r="O336" i="129" s="1"/>
  <c r="G336" i="129"/>
  <c r="M335" i="129"/>
  <c r="G335" i="129"/>
  <c r="M334" i="129"/>
  <c r="G334" i="129"/>
  <c r="M333" i="129"/>
  <c r="G333" i="129"/>
  <c r="M332" i="129"/>
  <c r="O332" i="129" s="1"/>
  <c r="G332" i="129"/>
  <c r="M331" i="129"/>
  <c r="G331" i="129"/>
  <c r="M330" i="129"/>
  <c r="O330" i="129" s="1"/>
  <c r="G330" i="129"/>
  <c r="M329" i="129"/>
  <c r="G329" i="129"/>
  <c r="J328" i="129"/>
  <c r="F328" i="129"/>
  <c r="M324" i="129"/>
  <c r="G324" i="129"/>
  <c r="M323" i="129"/>
  <c r="G323" i="129"/>
  <c r="M322" i="129"/>
  <c r="G322" i="129"/>
  <c r="M321" i="129"/>
  <c r="O321" i="129" s="1"/>
  <c r="G321" i="129"/>
  <c r="M320" i="129"/>
  <c r="G320" i="129"/>
  <c r="M319" i="129"/>
  <c r="G319" i="129"/>
  <c r="M318" i="129"/>
  <c r="G318" i="129"/>
  <c r="M317" i="129"/>
  <c r="G317" i="129"/>
  <c r="M316" i="129"/>
  <c r="G316" i="129"/>
  <c r="M315" i="129"/>
  <c r="G315" i="129"/>
  <c r="M314" i="129"/>
  <c r="G314" i="129"/>
  <c r="M313" i="129"/>
  <c r="G313" i="129"/>
  <c r="M312" i="129"/>
  <c r="G312" i="129"/>
  <c r="M311" i="129"/>
  <c r="O311" i="129" s="1"/>
  <c r="M310" i="129"/>
  <c r="G310" i="129"/>
  <c r="M309" i="129"/>
  <c r="G309" i="129"/>
  <c r="O309" i="129" s="1"/>
  <c r="M308" i="129"/>
  <c r="G308" i="129"/>
  <c r="M307" i="129"/>
  <c r="G307" i="129"/>
  <c r="O307" i="129" s="1"/>
  <c r="M306" i="129"/>
  <c r="G306" i="129"/>
  <c r="M305" i="129"/>
  <c r="G305" i="129"/>
  <c r="M304" i="129"/>
  <c r="G304" i="129"/>
  <c r="M303" i="129"/>
  <c r="G303" i="129"/>
  <c r="O303" i="129" s="1"/>
  <c r="M302" i="129"/>
  <c r="G302" i="129"/>
  <c r="M301" i="129"/>
  <c r="G301" i="129"/>
  <c r="O301" i="129" s="1"/>
  <c r="M300" i="129"/>
  <c r="G300" i="129"/>
  <c r="M299" i="129"/>
  <c r="G299" i="129"/>
  <c r="O299" i="129" s="1"/>
  <c r="M298" i="129"/>
  <c r="G298" i="129"/>
  <c r="M297" i="129"/>
  <c r="G297" i="129"/>
  <c r="M296" i="129"/>
  <c r="G296" i="129"/>
  <c r="M295" i="129"/>
  <c r="G295" i="129"/>
  <c r="M294" i="129"/>
  <c r="G294" i="129"/>
  <c r="M293" i="129"/>
  <c r="G293" i="129"/>
  <c r="M292" i="129"/>
  <c r="G292" i="129"/>
  <c r="M291" i="129"/>
  <c r="G291" i="129"/>
  <c r="M290" i="129"/>
  <c r="G290" i="129"/>
  <c r="M289" i="129"/>
  <c r="G289" i="129"/>
  <c r="M288" i="129"/>
  <c r="G288" i="129"/>
  <c r="M287" i="129"/>
  <c r="G287" i="129"/>
  <c r="M286" i="129"/>
  <c r="G286" i="129"/>
  <c r="M285" i="129"/>
  <c r="G285" i="129"/>
  <c r="O285" i="129" s="1"/>
  <c r="M284" i="129"/>
  <c r="G284" i="129"/>
  <c r="M283" i="129"/>
  <c r="G283" i="129"/>
  <c r="O283" i="129" s="1"/>
  <c r="M282" i="129"/>
  <c r="O282" i="129" s="1"/>
  <c r="M281" i="129"/>
  <c r="G281" i="129"/>
  <c r="M280" i="129"/>
  <c r="O280" i="129" s="1"/>
  <c r="G280" i="129"/>
  <c r="M279" i="129"/>
  <c r="G279" i="129"/>
  <c r="M278" i="129"/>
  <c r="G278" i="129"/>
  <c r="M277" i="129"/>
  <c r="G277" i="129"/>
  <c r="M276" i="129"/>
  <c r="G276" i="129"/>
  <c r="M275" i="129"/>
  <c r="O275" i="129" s="1"/>
  <c r="M274" i="129"/>
  <c r="O274" i="129" s="1"/>
  <c r="M273" i="129"/>
  <c r="O273" i="129" s="1"/>
  <c r="M272" i="129"/>
  <c r="G272" i="129"/>
  <c r="M271" i="129"/>
  <c r="G271" i="129"/>
  <c r="M270" i="129"/>
  <c r="G270" i="129"/>
  <c r="M269" i="129"/>
  <c r="O269" i="129" s="1"/>
  <c r="M268" i="129"/>
  <c r="G268" i="129"/>
  <c r="M267" i="129"/>
  <c r="G267" i="129"/>
  <c r="M266" i="129"/>
  <c r="G266" i="129"/>
  <c r="M265" i="129"/>
  <c r="G265" i="129"/>
  <c r="M264" i="129"/>
  <c r="O264" i="129" s="1"/>
  <c r="M263" i="129"/>
  <c r="G263" i="129"/>
  <c r="M262" i="129"/>
  <c r="G262" i="129"/>
  <c r="O262" i="129" s="1"/>
  <c r="M261" i="129"/>
  <c r="G261" i="129"/>
  <c r="M260" i="129"/>
  <c r="G260" i="129"/>
  <c r="O260" i="129" s="1"/>
  <c r="M259" i="129"/>
  <c r="G259" i="129"/>
  <c r="M258" i="129"/>
  <c r="O258" i="129" s="1"/>
  <c r="M257" i="129"/>
  <c r="O257" i="129" s="1"/>
  <c r="G257" i="129"/>
  <c r="M256" i="129"/>
  <c r="G256" i="129"/>
  <c r="M255" i="129"/>
  <c r="G255" i="129"/>
  <c r="M254" i="129"/>
  <c r="G254" i="129"/>
  <c r="M253" i="129"/>
  <c r="G253" i="129"/>
  <c r="M252" i="129"/>
  <c r="G252" i="129"/>
  <c r="M251" i="129"/>
  <c r="G251" i="129"/>
  <c r="M250" i="129"/>
  <c r="G250" i="129"/>
  <c r="M249" i="129"/>
  <c r="M247" i="129" s="1"/>
  <c r="G249" i="129"/>
  <c r="M248" i="129"/>
  <c r="G248" i="129"/>
  <c r="N247" i="129"/>
  <c r="L247" i="129"/>
  <c r="K247" i="129"/>
  <c r="J247" i="129"/>
  <c r="F247" i="129"/>
  <c r="E247" i="129"/>
  <c r="M243" i="129"/>
  <c r="O243" i="129" s="1"/>
  <c r="M242" i="129"/>
  <c r="O242" i="129" s="1"/>
  <c r="M241" i="129"/>
  <c r="O241" i="129" s="1"/>
  <c r="M240" i="129"/>
  <c r="O240" i="129" s="1"/>
  <c r="M239" i="129"/>
  <c r="O239" i="129" s="1"/>
  <c r="M238" i="129"/>
  <c r="O238" i="129" s="1"/>
  <c r="M237" i="129"/>
  <c r="O237" i="129" s="1"/>
  <c r="M236" i="129"/>
  <c r="O236" i="129" s="1"/>
  <c r="M235" i="129"/>
  <c r="O235" i="129" s="1"/>
  <c r="M234" i="129"/>
  <c r="O234" i="129" s="1"/>
  <c r="M233" i="129"/>
  <c r="O233" i="129" s="1"/>
  <c r="M232" i="129"/>
  <c r="O232" i="129" s="1"/>
  <c r="M231" i="129"/>
  <c r="O231" i="129" s="1"/>
  <c r="M230" i="129"/>
  <c r="O230" i="129" s="1"/>
  <c r="M229" i="129"/>
  <c r="O229" i="129" s="1"/>
  <c r="M228" i="129"/>
  <c r="O228" i="129" s="1"/>
  <c r="M227" i="129"/>
  <c r="O227" i="129" s="1"/>
  <c r="M226" i="129"/>
  <c r="O226" i="129" s="1"/>
  <c r="M225" i="129"/>
  <c r="O225" i="129" s="1"/>
  <c r="M224" i="129"/>
  <c r="O224" i="129" s="1"/>
  <c r="M223" i="129"/>
  <c r="O223" i="129" s="1"/>
  <c r="M222" i="129"/>
  <c r="O222" i="129" s="1"/>
  <c r="M221" i="129"/>
  <c r="O221" i="129" s="1"/>
  <c r="M220" i="129"/>
  <c r="O220" i="129" s="1"/>
  <c r="M219" i="129"/>
  <c r="O219" i="129" s="1"/>
  <c r="M218" i="129"/>
  <c r="O218" i="129" s="1"/>
  <c r="M217" i="129"/>
  <c r="O217" i="129" s="1"/>
  <c r="M216" i="129"/>
  <c r="O216" i="129" s="1"/>
  <c r="M215" i="129"/>
  <c r="O215" i="129" s="1"/>
  <c r="M214" i="129"/>
  <c r="O214" i="129" s="1"/>
  <c r="M213" i="129"/>
  <c r="O213" i="129" s="1"/>
  <c r="M212" i="129"/>
  <c r="O212" i="129" s="1"/>
  <c r="M211" i="129"/>
  <c r="O211" i="129" s="1"/>
  <c r="M210" i="129"/>
  <c r="O210" i="129" s="1"/>
  <c r="M209" i="129"/>
  <c r="O209" i="129" s="1"/>
  <c r="M208" i="129"/>
  <c r="O208" i="129" s="1"/>
  <c r="M207" i="129"/>
  <c r="O207" i="129" s="1"/>
  <c r="M206" i="129"/>
  <c r="O206" i="129" s="1"/>
  <c r="M205" i="129"/>
  <c r="O205" i="129" s="1"/>
  <c r="M204" i="129"/>
  <c r="O204" i="129" s="1"/>
  <c r="M203" i="129"/>
  <c r="O203" i="129" s="1"/>
  <c r="M202" i="129"/>
  <c r="O202" i="129" s="1"/>
  <c r="M201" i="129"/>
  <c r="O201" i="129" s="1"/>
  <c r="M200" i="129"/>
  <c r="O200" i="129" s="1"/>
  <c r="M199" i="129"/>
  <c r="O199" i="129" s="1"/>
  <c r="M198" i="129"/>
  <c r="O198" i="129" s="1"/>
  <c r="M197" i="129"/>
  <c r="O197" i="129" s="1"/>
  <c r="M196" i="129"/>
  <c r="O196" i="129" s="1"/>
  <c r="M195" i="129"/>
  <c r="O195" i="129" s="1"/>
  <c r="M194" i="129"/>
  <c r="O194" i="129" s="1"/>
  <c r="M193" i="129"/>
  <c r="O193" i="129" s="1"/>
  <c r="M192" i="129"/>
  <c r="O192" i="129" s="1"/>
  <c r="M191" i="129"/>
  <c r="O191" i="129" s="1"/>
  <c r="M190" i="129"/>
  <c r="O190" i="129" s="1"/>
  <c r="M189" i="129"/>
  <c r="O189" i="129" s="1"/>
  <c r="M188" i="129"/>
  <c r="O188" i="129" s="1"/>
  <c r="M187" i="129"/>
  <c r="O187" i="129" s="1"/>
  <c r="M186" i="129"/>
  <c r="O186" i="129" s="1"/>
  <c r="M185" i="129"/>
  <c r="O185" i="129" s="1"/>
  <c r="M184" i="129"/>
  <c r="O184" i="129" s="1"/>
  <c r="M183" i="129"/>
  <c r="O183" i="129" s="1"/>
  <c r="M182" i="129"/>
  <c r="O182" i="129" s="1"/>
  <c r="M181" i="129"/>
  <c r="O181" i="129" s="1"/>
  <c r="M180" i="129"/>
  <c r="G180" i="129"/>
  <c r="N179" i="129"/>
  <c r="L179" i="129"/>
  <c r="K179" i="129"/>
  <c r="J179" i="129"/>
  <c r="F179" i="129"/>
  <c r="E179" i="129"/>
  <c r="F176" i="129"/>
  <c r="M174" i="129"/>
  <c r="G174" i="129"/>
  <c r="M173" i="129"/>
  <c r="G173" i="129"/>
  <c r="M172" i="129"/>
  <c r="G172" i="129"/>
  <c r="M171" i="129"/>
  <c r="G171" i="129"/>
  <c r="M170" i="129"/>
  <c r="G170" i="129"/>
  <c r="M169" i="129"/>
  <c r="O169" i="129" s="1"/>
  <c r="G169" i="129"/>
  <c r="M168" i="129"/>
  <c r="G168" i="129"/>
  <c r="M167" i="129"/>
  <c r="O167" i="129" s="1"/>
  <c r="G167" i="129"/>
  <c r="M166" i="129"/>
  <c r="G166" i="129"/>
  <c r="M165" i="129"/>
  <c r="G165" i="129"/>
  <c r="M164" i="129"/>
  <c r="G164" i="129"/>
  <c r="M163" i="129"/>
  <c r="G163" i="129"/>
  <c r="M162" i="129"/>
  <c r="G162" i="129"/>
  <c r="M161" i="129"/>
  <c r="O161" i="129" s="1"/>
  <c r="G161" i="129"/>
  <c r="D161" i="129"/>
  <c r="D162" i="129" s="1"/>
  <c r="M160" i="129"/>
  <c r="G160" i="129"/>
  <c r="M159" i="129"/>
  <c r="G159" i="129"/>
  <c r="M158" i="129"/>
  <c r="G158" i="129"/>
  <c r="O158" i="129" s="1"/>
  <c r="M157" i="129"/>
  <c r="G157" i="129"/>
  <c r="M156" i="129"/>
  <c r="G156" i="129"/>
  <c r="M155" i="129"/>
  <c r="G155" i="129"/>
  <c r="M154" i="129"/>
  <c r="G154" i="129"/>
  <c r="M153" i="129"/>
  <c r="G153" i="129"/>
  <c r="M152" i="129"/>
  <c r="G152" i="129"/>
  <c r="M151" i="129"/>
  <c r="G151" i="129"/>
  <c r="M150" i="129"/>
  <c r="G150" i="129"/>
  <c r="M149" i="129"/>
  <c r="G149" i="129"/>
  <c r="M148" i="129"/>
  <c r="G148" i="129"/>
  <c r="M147" i="129"/>
  <c r="G147" i="129"/>
  <c r="M146" i="129"/>
  <c r="G146" i="129"/>
  <c r="M145" i="129"/>
  <c r="G145" i="129"/>
  <c r="M144" i="129"/>
  <c r="G144" i="129"/>
  <c r="M143" i="129"/>
  <c r="G143" i="129"/>
  <c r="M142" i="129"/>
  <c r="G142" i="129"/>
  <c r="M141" i="129"/>
  <c r="G141" i="129"/>
  <c r="M140" i="129"/>
  <c r="G140" i="129"/>
  <c r="M139" i="129"/>
  <c r="G139" i="129"/>
  <c r="M138" i="129"/>
  <c r="G138" i="129"/>
  <c r="O138" i="129" s="1"/>
  <c r="M137" i="129"/>
  <c r="G137" i="129"/>
  <c r="M136" i="129"/>
  <c r="G136" i="129"/>
  <c r="M135" i="129"/>
  <c r="G135" i="129"/>
  <c r="M134" i="129"/>
  <c r="G134" i="129"/>
  <c r="M133" i="129"/>
  <c r="G133" i="129"/>
  <c r="M132" i="129"/>
  <c r="G132" i="129"/>
  <c r="M131" i="129"/>
  <c r="G131" i="129"/>
  <c r="M130" i="129"/>
  <c r="G130" i="129"/>
  <c r="M129" i="129"/>
  <c r="G129" i="129"/>
  <c r="M128" i="129"/>
  <c r="G128" i="129"/>
  <c r="M127" i="129"/>
  <c r="G127" i="129"/>
  <c r="M126" i="129"/>
  <c r="G126" i="129"/>
  <c r="M125" i="129"/>
  <c r="G125" i="129"/>
  <c r="M124" i="129"/>
  <c r="G124" i="129"/>
  <c r="M123" i="129"/>
  <c r="G123" i="129"/>
  <c r="M122" i="129"/>
  <c r="G122" i="129"/>
  <c r="M121" i="129"/>
  <c r="G121" i="129"/>
  <c r="M120" i="129"/>
  <c r="G120" i="129"/>
  <c r="O120" i="129" s="1"/>
  <c r="G119" i="129"/>
  <c r="O119" i="129" s="1"/>
  <c r="G118" i="129"/>
  <c r="O118" i="129" s="1"/>
  <c r="N117" i="129"/>
  <c r="L117" i="129"/>
  <c r="J117" i="129"/>
  <c r="F117" i="129"/>
  <c r="E117" i="129"/>
  <c r="M114" i="129"/>
  <c r="O114" i="129" s="1"/>
  <c r="M113" i="129"/>
  <c r="G113" i="129"/>
  <c r="M112" i="129"/>
  <c r="G112" i="129"/>
  <c r="M109" i="129"/>
  <c r="G109" i="129"/>
  <c r="M108" i="129"/>
  <c r="G108" i="129"/>
  <c r="M107" i="129"/>
  <c r="G107" i="129"/>
  <c r="M106" i="129"/>
  <c r="G106" i="129"/>
  <c r="O106" i="129" s="1"/>
  <c r="M105" i="129"/>
  <c r="G105" i="129"/>
  <c r="M104" i="129"/>
  <c r="G104" i="129"/>
  <c r="M103" i="129"/>
  <c r="G103" i="129"/>
  <c r="M102" i="129"/>
  <c r="G102" i="129"/>
  <c r="O102" i="129" s="1"/>
  <c r="M101" i="129"/>
  <c r="G101" i="129"/>
  <c r="M100" i="129"/>
  <c r="G100" i="129"/>
  <c r="M99" i="129"/>
  <c r="G99" i="129"/>
  <c r="M98" i="129"/>
  <c r="G98" i="129"/>
  <c r="M97" i="129"/>
  <c r="G97" i="129"/>
  <c r="M96" i="129"/>
  <c r="G96" i="129"/>
  <c r="M95" i="129"/>
  <c r="G95" i="129"/>
  <c r="M94" i="129"/>
  <c r="G94" i="129"/>
  <c r="O94" i="129" s="1"/>
  <c r="M93" i="129"/>
  <c r="G93" i="129"/>
  <c r="M92" i="129"/>
  <c r="G92" i="129"/>
  <c r="M91" i="129"/>
  <c r="G91" i="129"/>
  <c r="M90" i="129"/>
  <c r="G90" i="129"/>
  <c r="G89" i="129"/>
  <c r="G88" i="129"/>
  <c r="O88" i="129" s="1"/>
  <c r="M87" i="129"/>
  <c r="G87" i="129"/>
  <c r="M86" i="129"/>
  <c r="G86" i="129"/>
  <c r="M85" i="129"/>
  <c r="G85" i="129"/>
  <c r="O85" i="129" s="1"/>
  <c r="M84" i="129"/>
  <c r="G84" i="129"/>
  <c r="M83" i="129"/>
  <c r="G83" i="129"/>
  <c r="M82" i="129"/>
  <c r="G82" i="129"/>
  <c r="M81" i="129"/>
  <c r="G81" i="129"/>
  <c r="M80" i="129"/>
  <c r="G80" i="129"/>
  <c r="O79" i="129"/>
  <c r="M78" i="129"/>
  <c r="O78" i="129" s="1"/>
  <c r="G78" i="129"/>
  <c r="M77" i="129"/>
  <c r="G77" i="129"/>
  <c r="M76" i="129"/>
  <c r="G76" i="129"/>
  <c r="G75" i="129"/>
  <c r="O75" i="129" s="1"/>
  <c r="G74" i="129"/>
  <c r="O74" i="129" s="1"/>
  <c r="M73" i="129"/>
  <c r="G73" i="129"/>
  <c r="M72" i="129"/>
  <c r="G72" i="129"/>
  <c r="M71" i="129"/>
  <c r="G71" i="129"/>
  <c r="M70" i="129"/>
  <c r="G70" i="129"/>
  <c r="M69" i="129"/>
  <c r="G69" i="129"/>
  <c r="G68" i="129"/>
  <c r="O68" i="129" s="1"/>
  <c r="M67" i="129"/>
  <c r="G67" i="129"/>
  <c r="O67" i="129" s="1"/>
  <c r="M66" i="129"/>
  <c r="G66" i="129"/>
  <c r="M65" i="129"/>
  <c r="G65" i="129"/>
  <c r="M64" i="129"/>
  <c r="G64" i="129"/>
  <c r="N63" i="129"/>
  <c r="L63" i="129"/>
  <c r="J63" i="129"/>
  <c r="F63" i="129"/>
  <c r="E63" i="129"/>
  <c r="M62" i="129"/>
  <c r="G62" i="129"/>
  <c r="M61" i="129"/>
  <c r="G61" i="129"/>
  <c r="M60" i="129"/>
  <c r="G60" i="129"/>
  <c r="M59" i="129"/>
  <c r="G59" i="129"/>
  <c r="M58" i="129"/>
  <c r="G58" i="129"/>
  <c r="M57" i="129"/>
  <c r="G57" i="129"/>
  <c r="M56" i="129"/>
  <c r="G56" i="129"/>
  <c r="M55" i="129"/>
  <c r="G55" i="129"/>
  <c r="M54" i="129"/>
  <c r="G54" i="129"/>
  <c r="M53" i="129"/>
  <c r="G53" i="129"/>
  <c r="M52" i="129"/>
  <c r="O52" i="129" s="1"/>
  <c r="G52" i="129"/>
  <c r="M51" i="129"/>
  <c r="G51" i="129"/>
  <c r="M50" i="129"/>
  <c r="O50" i="129" s="1"/>
  <c r="G50" i="129"/>
  <c r="M49" i="129"/>
  <c r="G49" i="129"/>
  <c r="M48" i="129"/>
  <c r="G48" i="129"/>
  <c r="M47" i="129"/>
  <c r="G47" i="129"/>
  <c r="M46" i="129"/>
  <c r="G46" i="129"/>
  <c r="M45" i="129"/>
  <c r="G45" i="129"/>
  <c r="M44" i="129"/>
  <c r="G44" i="129"/>
  <c r="M43" i="129"/>
  <c r="G43" i="129"/>
  <c r="M42" i="129"/>
  <c r="O42" i="129" s="1"/>
  <c r="G42" i="129"/>
  <c r="M41" i="129"/>
  <c r="G41" i="129"/>
  <c r="M40" i="129"/>
  <c r="O40" i="129" s="1"/>
  <c r="G40" i="129"/>
  <c r="M39" i="129"/>
  <c r="G39" i="129"/>
  <c r="G38" i="129"/>
  <c r="O38" i="129" s="1"/>
  <c r="G37" i="129"/>
  <c r="O37" i="129" s="1"/>
  <c r="M36" i="129"/>
  <c r="G36" i="129"/>
  <c r="M35" i="129"/>
  <c r="G35" i="129"/>
  <c r="M34" i="129"/>
  <c r="G34" i="129"/>
  <c r="M33" i="129"/>
  <c r="O33" i="129" s="1"/>
  <c r="G33" i="129"/>
  <c r="M32" i="129"/>
  <c r="G32" i="129"/>
  <c r="M31" i="129"/>
  <c r="G31" i="129"/>
  <c r="G30" i="129"/>
  <c r="O30" i="129" s="1"/>
  <c r="M29" i="129"/>
  <c r="G29" i="129"/>
  <c r="M28" i="129"/>
  <c r="G28" i="129"/>
  <c r="M27" i="129"/>
  <c r="G27" i="129"/>
  <c r="M26" i="129"/>
  <c r="O26" i="129" s="1"/>
  <c r="G26" i="129"/>
  <c r="M25" i="129"/>
  <c r="G25" i="129"/>
  <c r="O25" i="129" s="1"/>
  <c r="M24" i="129"/>
  <c r="G24" i="129"/>
  <c r="M23" i="129"/>
  <c r="G23" i="129"/>
  <c r="O22" i="129"/>
  <c r="M21" i="129"/>
  <c r="G21" i="129"/>
  <c r="M20" i="129"/>
  <c r="O20" i="129" s="1"/>
  <c r="G20" i="129"/>
  <c r="O19" i="129"/>
  <c r="M18" i="129"/>
  <c r="G18" i="129"/>
  <c r="M17" i="129"/>
  <c r="G17" i="129"/>
  <c r="M16" i="129"/>
  <c r="G16" i="129"/>
  <c r="M15" i="129"/>
  <c r="G15" i="129"/>
  <c r="M14" i="129"/>
  <c r="G14" i="129"/>
  <c r="O13" i="129"/>
  <c r="M12" i="129"/>
  <c r="G12" i="129"/>
  <c r="N11" i="129"/>
  <c r="L11" i="129"/>
  <c r="J11" i="129"/>
  <c r="F11" i="129"/>
  <c r="E11" i="129"/>
  <c r="J10" i="129"/>
  <c r="M10" i="129" s="1"/>
  <c r="M9" i="129"/>
  <c r="O9" i="129" s="1"/>
  <c r="M8" i="129"/>
  <c r="O8" i="129" s="1"/>
  <c r="M7" i="129"/>
  <c r="O7" i="129" s="1"/>
  <c r="M6" i="129"/>
  <c r="O6" i="129" s="1"/>
  <c r="M5" i="129"/>
  <c r="M4" i="129"/>
  <c r="O4" i="129" s="1"/>
  <c r="N3" i="129"/>
  <c r="L3" i="129"/>
  <c r="G3" i="129"/>
  <c r="F3" i="129"/>
  <c r="E3" i="129"/>
  <c r="F3" i="128"/>
  <c r="D3" i="128"/>
  <c r="E165" i="127"/>
  <c r="E163" i="127"/>
  <c r="F164" i="127" s="1"/>
  <c r="E161" i="127"/>
  <c r="F162" i="127" s="1"/>
  <c r="E159" i="127"/>
  <c r="F160" i="127" s="1"/>
  <c r="E150" i="127"/>
  <c r="E142" i="127"/>
  <c r="F143" i="127" s="1"/>
  <c r="O14" i="127"/>
  <c r="O16" i="127"/>
  <c r="O15" i="127" s="1"/>
  <c r="O19" i="127"/>
  <c r="O39" i="127"/>
  <c r="O41" i="127" s="1"/>
  <c r="F149" i="127"/>
  <c r="F147" i="127"/>
  <c r="F140" i="127"/>
  <c r="G140" i="127" s="1"/>
  <c r="F97" i="127"/>
  <c r="G97" i="127" s="1"/>
  <c r="E34" i="127"/>
  <c r="F37" i="127" s="1"/>
  <c r="G37" i="127" s="1"/>
  <c r="G119" i="127"/>
  <c r="E11" i="126"/>
  <c r="D11" i="126" s="1"/>
  <c r="U7" i="125"/>
  <c r="X7" i="125" s="1"/>
  <c r="W48" i="125"/>
  <c r="W49" i="125"/>
  <c r="W50" i="125"/>
  <c r="X50" i="125" s="1"/>
  <c r="W51" i="125"/>
  <c r="X51" i="125" s="1"/>
  <c r="W52" i="125"/>
  <c r="W53" i="125"/>
  <c r="X53" i="125" s="1"/>
  <c r="W54" i="125"/>
  <c r="X54" i="125" s="1"/>
  <c r="W55" i="125"/>
  <c r="W56" i="125"/>
  <c r="W57" i="125"/>
  <c r="X57" i="125" s="1"/>
  <c r="W58" i="125"/>
  <c r="W59" i="125"/>
  <c r="X59" i="125" s="1"/>
  <c r="W60" i="125"/>
  <c r="W61" i="125"/>
  <c r="X61" i="125" s="1"/>
  <c r="W62" i="125"/>
  <c r="W63" i="125"/>
  <c r="X63" i="125" s="1"/>
  <c r="W64" i="125"/>
  <c r="W65" i="125"/>
  <c r="X65" i="125" s="1"/>
  <c r="W66" i="125"/>
  <c r="W67" i="125"/>
  <c r="X67" i="125" s="1"/>
  <c r="W68" i="125"/>
  <c r="W69" i="125"/>
  <c r="X69" i="125" s="1"/>
  <c r="W70" i="125"/>
  <c r="W72" i="125"/>
  <c r="W73" i="125"/>
  <c r="W74" i="125"/>
  <c r="X74" i="125" s="1"/>
  <c r="W75" i="125"/>
  <c r="X75" i="125" s="1"/>
  <c r="W76" i="125"/>
  <c r="X76" i="125" s="1"/>
  <c r="W77" i="125"/>
  <c r="W78" i="125"/>
  <c r="W79" i="125"/>
  <c r="W80" i="125"/>
  <c r="X80" i="125" s="1"/>
  <c r="W81" i="125"/>
  <c r="W82" i="125"/>
  <c r="W83" i="125"/>
  <c r="X83" i="125" s="1"/>
  <c r="W71" i="125"/>
  <c r="O1466" i="124"/>
  <c r="I1353" i="124"/>
  <c r="E102" i="127"/>
  <c r="E99" i="127"/>
  <c r="G87" i="127"/>
  <c r="E43" i="127"/>
  <c r="H1353" i="124"/>
  <c r="N1353" i="124"/>
  <c r="J1353" i="124"/>
  <c r="K1353" i="124"/>
  <c r="L1353" i="124"/>
  <c r="M1353" i="124"/>
  <c r="G1353" i="124"/>
  <c r="K21" i="32"/>
  <c r="K49" i="32"/>
  <c r="K48" i="32"/>
  <c r="K47" i="32"/>
  <c r="K46" i="32"/>
  <c r="K45" i="32"/>
  <c r="F30" i="127"/>
  <c r="G32" i="127" s="1"/>
  <c r="F32" i="127"/>
  <c r="C15" i="15"/>
  <c r="D16" i="15"/>
  <c r="F16" i="15" s="1"/>
  <c r="C21" i="15"/>
  <c r="D22" i="15"/>
  <c r="F22" i="15" s="1"/>
  <c r="C27" i="15"/>
  <c r="D28" i="15"/>
  <c r="C33" i="15"/>
  <c r="D34" i="15"/>
  <c r="F34" i="15" s="1"/>
  <c r="C39" i="15"/>
  <c r="D40" i="15"/>
  <c r="F40" i="15" s="1"/>
  <c r="C45" i="15"/>
  <c r="D46" i="15"/>
  <c r="F46" i="15" s="1"/>
  <c r="C51" i="15"/>
  <c r="F51" i="15"/>
  <c r="D52" i="15"/>
  <c r="F52" i="15" s="1"/>
  <c r="E53" i="15"/>
  <c r="C57" i="15"/>
  <c r="F57" i="15"/>
  <c r="D58" i="15"/>
  <c r="F58" i="15" s="1"/>
  <c r="E59" i="15"/>
  <c r="F69" i="15"/>
  <c r="D70" i="15"/>
  <c r="F70" i="15" s="1"/>
  <c r="E71" i="15"/>
  <c r="F75" i="15"/>
  <c r="D76" i="15"/>
  <c r="F76" i="15" s="1"/>
  <c r="E77" i="15"/>
  <c r="K79" i="15"/>
  <c r="G85" i="15"/>
  <c r="H85" i="15"/>
  <c r="I85" i="15" s="1"/>
  <c r="F88" i="15"/>
  <c r="I91" i="15"/>
  <c r="F94" i="15"/>
  <c r="S2" i="32"/>
  <c r="W2" i="32"/>
  <c r="AA2" i="32"/>
  <c r="AE2" i="32"/>
  <c r="AI2" i="32"/>
  <c r="AM2" i="32"/>
  <c r="AU2" i="32"/>
  <c r="AY2" i="32"/>
  <c r="BC2" i="32"/>
  <c r="BG2" i="32"/>
  <c r="BK2" i="32"/>
  <c r="S9" i="32"/>
  <c r="W9" i="32"/>
  <c r="AE9" i="32"/>
  <c r="AI9" i="32"/>
  <c r="AY9" i="32"/>
  <c r="BC9" i="32"/>
  <c r="BG9" i="32"/>
  <c r="BK9" i="32"/>
  <c r="AA10" i="32"/>
  <c r="AU11" i="32"/>
  <c r="AA12" i="32"/>
  <c r="AA9" i="32" s="1"/>
  <c r="AE13" i="32"/>
  <c r="AI13" i="32"/>
  <c r="AM13" i="32"/>
  <c r="O16" i="32"/>
  <c r="S16" i="32"/>
  <c r="AA16" i="32"/>
  <c r="W17" i="32"/>
  <c r="W16" i="32" s="1"/>
  <c r="AA17" i="32"/>
  <c r="S26" i="32"/>
  <c r="AM26" i="32"/>
  <c r="W28" i="32"/>
  <c r="AA28" i="32"/>
  <c r="AI28" i="32"/>
  <c r="AU28" i="32"/>
  <c r="AE29" i="32"/>
  <c r="AM34" i="32"/>
  <c r="AE35" i="32"/>
  <c r="S36" i="32"/>
  <c r="AE36" i="32"/>
  <c r="S37" i="32"/>
  <c r="AA37" i="32"/>
  <c r="AE37" i="32"/>
  <c r="AI37" i="32"/>
  <c r="AL37" i="32"/>
  <c r="AL38" i="32" s="1"/>
  <c r="AL39" i="32" s="1"/>
  <c r="S38" i="32"/>
  <c r="AA38" i="32"/>
  <c r="AI38" i="32"/>
  <c r="S39" i="32"/>
  <c r="W39" i="32"/>
  <c r="AA39" i="32"/>
  <c r="AE39" i="32"/>
  <c r="W40" i="32"/>
  <c r="AA40" i="32"/>
  <c r="AI40" i="32"/>
  <c r="O41" i="32"/>
  <c r="W41" i="32"/>
  <c r="O42" i="32"/>
  <c r="S42" i="32"/>
  <c r="T39" i="32" s="1"/>
  <c r="W42" i="32"/>
  <c r="O43" i="32"/>
  <c r="W43" i="32"/>
  <c r="AA43" i="32"/>
  <c r="O44" i="32"/>
  <c r="W44" i="32"/>
  <c r="AU44" i="32"/>
  <c r="O45" i="32"/>
  <c r="O46" i="32"/>
  <c r="W46" i="32"/>
  <c r="AY241" i="32"/>
  <c r="AY237" i="32" s="1"/>
  <c r="AY249" i="32"/>
  <c r="AY256" i="32"/>
  <c r="AY260" i="32"/>
  <c r="AY264" i="32"/>
  <c r="AY268" i="32"/>
  <c r="BC278" i="32"/>
  <c r="BC287" i="32"/>
  <c r="BC294" i="32"/>
  <c r="BC311" i="32"/>
  <c r="BC319" i="32"/>
  <c r="BC323" i="32"/>
  <c r="BC327" i="32"/>
  <c r="BC330" i="32"/>
  <c r="BC333" i="32"/>
  <c r="BC336" i="32"/>
  <c r="BC339" i="32"/>
  <c r="BG382" i="32"/>
  <c r="BG393" i="32"/>
  <c r="BG396" i="32"/>
  <c r="BG402" i="32"/>
  <c r="BG413" i="32"/>
  <c r="BK421" i="32"/>
  <c r="BG430" i="32"/>
  <c r="BK430" i="32"/>
  <c r="BG433" i="32"/>
  <c r="BG436" i="32"/>
  <c r="BG439" i="32"/>
  <c r="BG442" i="32"/>
  <c r="BG445" i="32"/>
  <c r="BK453" i="32"/>
  <c r="BK456" i="32"/>
  <c r="BK459" i="32"/>
  <c r="BK470" i="32"/>
  <c r="BK474" i="32"/>
  <c r="BK483" i="32"/>
  <c r="BK482" i="32" s="1"/>
  <c r="BK487" i="32"/>
  <c r="BK491" i="32"/>
  <c r="BK495" i="32"/>
  <c r="BK498" i="32"/>
  <c r="BK501" i="32"/>
  <c r="BK543" i="32"/>
  <c r="BK547" i="32"/>
  <c r="BK572" i="32"/>
  <c r="BK672" i="32"/>
  <c r="BK675" i="32"/>
  <c r="BK678" i="32"/>
  <c r="O7" i="127"/>
  <c r="K8" i="127"/>
  <c r="K9" i="127"/>
  <c r="K30" i="32" s="1"/>
  <c r="K32" i="32" s="1"/>
  <c r="F13" i="127"/>
  <c r="G13" i="127"/>
  <c r="K14" i="127"/>
  <c r="K15" i="127"/>
  <c r="K22" i="127"/>
  <c r="O22" i="127"/>
  <c r="O23" i="127"/>
  <c r="K24" i="127"/>
  <c r="K25" i="127"/>
  <c r="K26" i="127"/>
  <c r="K27" i="127"/>
  <c r="K28" i="127"/>
  <c r="O28" i="127"/>
  <c r="K29" i="127"/>
  <c r="O30" i="127"/>
  <c r="O34" i="127"/>
  <c r="O35" i="127" s="1"/>
  <c r="E15" i="127"/>
  <c r="F21" i="127"/>
  <c r="F19" i="127"/>
  <c r="F122" i="127"/>
  <c r="K7" i="127" s="1"/>
  <c r="O24" i="127" s="1"/>
  <c r="O47" i="127"/>
  <c r="F126" i="127"/>
  <c r="G126" i="127" s="1"/>
  <c r="E51" i="127"/>
  <c r="K23" i="127" s="1"/>
  <c r="E52" i="127"/>
  <c r="O29" i="127" s="1"/>
  <c r="F55" i="127"/>
  <c r="F57" i="127"/>
  <c r="F59" i="127"/>
  <c r="F61" i="127"/>
  <c r="F64" i="127"/>
  <c r="F66" i="127"/>
  <c r="F68" i="127"/>
  <c r="F82" i="127"/>
  <c r="G82" i="127" s="1"/>
  <c r="F42" i="127"/>
  <c r="E45" i="127"/>
  <c r="E47" i="127"/>
  <c r="K3" i="127"/>
  <c r="G39" i="32" s="1"/>
  <c r="E144" i="127"/>
  <c r="F145" i="127" s="1"/>
  <c r="F151" i="127"/>
  <c r="F153" i="127"/>
  <c r="F156" i="127"/>
  <c r="F158" i="127"/>
  <c r="F166" i="127"/>
  <c r="O6" i="118"/>
  <c r="O49" i="32" s="1"/>
  <c r="O51" i="32" s="1"/>
  <c r="O7" i="118"/>
  <c r="K8" i="118"/>
  <c r="K9" i="118"/>
  <c r="O26" i="32" s="1"/>
  <c r="O28" i="32" s="1"/>
  <c r="F13" i="118"/>
  <c r="G13" i="118" s="1"/>
  <c r="K15" i="118"/>
  <c r="K16" i="118"/>
  <c r="O17" i="118"/>
  <c r="E18" i="118"/>
  <c r="G24" i="118" s="1"/>
  <c r="F19" i="118"/>
  <c r="F20" i="118"/>
  <c r="O20" i="118"/>
  <c r="K23" i="118"/>
  <c r="O23" i="118"/>
  <c r="F24" i="118"/>
  <c r="O24" i="118"/>
  <c r="K25" i="118"/>
  <c r="K26" i="118"/>
  <c r="K27" i="118"/>
  <c r="K28" i="118"/>
  <c r="K29" i="118"/>
  <c r="K30" i="118"/>
  <c r="O31" i="118"/>
  <c r="F33" i="118"/>
  <c r="G33" i="118" s="1"/>
  <c r="O35" i="118"/>
  <c r="O36" i="118" s="1"/>
  <c r="E36" i="118"/>
  <c r="F40" i="118"/>
  <c r="F42" i="118"/>
  <c r="O42" i="118"/>
  <c r="F45" i="118"/>
  <c r="K7" i="118" s="1"/>
  <c r="O25" i="118" s="1"/>
  <c r="O48" i="118"/>
  <c r="F49" i="118"/>
  <c r="E51" i="118"/>
  <c r="E52" i="118"/>
  <c r="O30" i="118" s="1"/>
  <c r="F55" i="118"/>
  <c r="F57" i="118"/>
  <c r="F59" i="118"/>
  <c r="F61" i="118"/>
  <c r="F64" i="118"/>
  <c r="F66" i="118"/>
  <c r="F68" i="118"/>
  <c r="F77" i="118"/>
  <c r="G77" i="118" s="1"/>
  <c r="F82" i="118"/>
  <c r="F84" i="118"/>
  <c r="E85" i="118"/>
  <c r="K31" i="118" s="1"/>
  <c r="E87" i="118"/>
  <c r="G96" i="118"/>
  <c r="E106" i="118"/>
  <c r="F107" i="118" s="1"/>
  <c r="K3" i="118" s="1"/>
  <c r="O2" i="32" s="1"/>
  <c r="O5" i="32" s="1"/>
  <c r="F122" i="118"/>
  <c r="G122" i="118" s="1"/>
  <c r="F131" i="118"/>
  <c r="G131" i="118" s="1"/>
  <c r="F134" i="118"/>
  <c r="E135" i="118"/>
  <c r="F136" i="118" s="1"/>
  <c r="F138" i="118"/>
  <c r="F140" i="118"/>
  <c r="O5" i="118" s="1"/>
  <c r="F142" i="118"/>
  <c r="F145" i="118"/>
  <c r="F147" i="118"/>
  <c r="K14" i="118" s="1"/>
  <c r="O14" i="118" s="1"/>
  <c r="F149" i="118"/>
  <c r="F151" i="118"/>
  <c r="F153" i="118"/>
  <c r="F155" i="118"/>
  <c r="O6" i="109"/>
  <c r="O7" i="109"/>
  <c r="K9" i="109"/>
  <c r="F13" i="109"/>
  <c r="G13" i="109" s="1"/>
  <c r="K14" i="109"/>
  <c r="K15" i="109"/>
  <c r="F16" i="109"/>
  <c r="F18" i="109"/>
  <c r="O4" i="109" s="1"/>
  <c r="O18" i="109"/>
  <c r="F20" i="109"/>
  <c r="K7" i="109" s="1"/>
  <c r="O23" i="109" s="1"/>
  <c r="O21" i="109"/>
  <c r="K22" i="109"/>
  <c r="F24" i="109"/>
  <c r="K24" i="109"/>
  <c r="K25" i="109"/>
  <c r="E26" i="109"/>
  <c r="K26" i="109"/>
  <c r="K27" i="109"/>
  <c r="K28" i="109"/>
  <c r="K29" i="109"/>
  <c r="O30" i="109"/>
  <c r="O33" i="109"/>
  <c r="F34" i="109"/>
  <c r="O35" i="109"/>
  <c r="F38" i="109"/>
  <c r="F44" i="109"/>
  <c r="G44" i="109" s="1"/>
  <c r="E46" i="109"/>
  <c r="K23" i="109" s="1"/>
  <c r="E47" i="109"/>
  <c r="O34" i="109" s="1"/>
  <c r="K31" i="109" s="1"/>
  <c r="F50" i="109"/>
  <c r="F52" i="109"/>
  <c r="F55" i="109"/>
  <c r="F57" i="109"/>
  <c r="K4" i="109" s="1"/>
  <c r="F59" i="109"/>
  <c r="E61" i="109"/>
  <c r="F62" i="109" s="1"/>
  <c r="F70" i="109"/>
  <c r="F75" i="109"/>
  <c r="F77" i="109"/>
  <c r="E78" i="109"/>
  <c r="F79" i="109" s="1"/>
  <c r="F81" i="109"/>
  <c r="F83" i="109"/>
  <c r="F89" i="109"/>
  <c r="F91" i="109"/>
  <c r="F102" i="109"/>
  <c r="K3" i="109" s="1"/>
  <c r="G117" i="109"/>
  <c r="F120" i="109"/>
  <c r="F132" i="109"/>
  <c r="F135" i="109"/>
  <c r="E136" i="109"/>
  <c r="O3" i="109" s="1"/>
  <c r="F139" i="109"/>
  <c r="F141" i="109"/>
  <c r="F143" i="109"/>
  <c r="F146" i="109"/>
  <c r="G154" i="109" s="1"/>
  <c r="F148" i="109"/>
  <c r="F150" i="109"/>
  <c r="F152" i="109"/>
  <c r="K8" i="109"/>
  <c r="F154" i="109"/>
  <c r="K6" i="109" s="1"/>
  <c r="F156" i="109"/>
  <c r="D27" i="16"/>
  <c r="D28" i="16"/>
  <c r="D29" i="16" s="1"/>
  <c r="B29" i="16" s="1"/>
  <c r="B32" i="16"/>
  <c r="Q32" i="16"/>
  <c r="E34" i="16"/>
  <c r="E16" i="16" s="1"/>
  <c r="E22" i="16" s="1"/>
  <c r="E4" i="16" s="1"/>
  <c r="E10" i="16" s="1"/>
  <c r="F34" i="16"/>
  <c r="F16" i="16" s="1"/>
  <c r="F22" i="16" s="1"/>
  <c r="F4" i="16" s="1"/>
  <c r="F10" i="16" s="1"/>
  <c r="G34" i="16"/>
  <c r="G16" i="16" s="1"/>
  <c r="G22" i="16" s="1"/>
  <c r="G4" i="16" s="1"/>
  <c r="G10" i="16" s="1"/>
  <c r="H34" i="16"/>
  <c r="H16" i="16" s="1"/>
  <c r="H22" i="16" s="1"/>
  <c r="H4" i="16" s="1"/>
  <c r="H10" i="16" s="1"/>
  <c r="I34" i="16"/>
  <c r="I16" i="16" s="1"/>
  <c r="I22" i="16" s="1"/>
  <c r="I4" i="16" s="1"/>
  <c r="I10" i="16" s="1"/>
  <c r="J34" i="16"/>
  <c r="J16" i="16" s="1"/>
  <c r="J22" i="16" s="1"/>
  <c r="J4" i="16" s="1"/>
  <c r="J10" i="16" s="1"/>
  <c r="K34" i="16"/>
  <c r="K16" i="16" s="1"/>
  <c r="K22" i="16" s="1"/>
  <c r="K4" i="16" s="1"/>
  <c r="K10" i="16" s="1"/>
  <c r="L34" i="16"/>
  <c r="L16" i="16" s="1"/>
  <c r="L22" i="16" s="1"/>
  <c r="L4" i="16" s="1"/>
  <c r="L10" i="16" s="1"/>
  <c r="M34" i="16"/>
  <c r="M16" i="16" s="1"/>
  <c r="M22" i="16" s="1"/>
  <c r="M4" i="16" s="1"/>
  <c r="M10" i="16" s="1"/>
  <c r="B35" i="16"/>
  <c r="Q35" i="16"/>
  <c r="D39" i="16"/>
  <c r="D40" i="16"/>
  <c r="B44" i="16"/>
  <c r="Q44" i="16"/>
  <c r="E46" i="16"/>
  <c r="F46" i="16"/>
  <c r="G46" i="16"/>
  <c r="H46" i="16"/>
  <c r="I46" i="16"/>
  <c r="J46" i="16"/>
  <c r="K46" i="16"/>
  <c r="L46" i="16"/>
  <c r="M46" i="16"/>
  <c r="N46" i="16"/>
  <c r="B47" i="16"/>
  <c r="S47" i="16"/>
  <c r="D51" i="16"/>
  <c r="D52" i="16"/>
  <c r="B56" i="16"/>
  <c r="Q56" i="16"/>
  <c r="E58" i="16"/>
  <c r="F58" i="16"/>
  <c r="G58" i="16"/>
  <c r="H58" i="16"/>
  <c r="I58" i="16"/>
  <c r="J58" i="16"/>
  <c r="K58" i="16"/>
  <c r="L58" i="16"/>
  <c r="M58" i="16"/>
  <c r="N58" i="16"/>
  <c r="D59" i="16"/>
  <c r="B59" i="16" s="1"/>
  <c r="S59" i="16"/>
  <c r="D63" i="16"/>
  <c r="D64" i="16"/>
  <c r="B68" i="16"/>
  <c r="Q68" i="16"/>
  <c r="E70" i="16"/>
  <c r="F70" i="16"/>
  <c r="G70" i="16"/>
  <c r="H70" i="16"/>
  <c r="I70" i="16"/>
  <c r="J70" i="16"/>
  <c r="K70" i="16"/>
  <c r="L70" i="16"/>
  <c r="M70" i="16"/>
  <c r="N70" i="16"/>
  <c r="D71" i="16"/>
  <c r="B71" i="16" s="1"/>
  <c r="S71" i="16"/>
  <c r="D77" i="16"/>
  <c r="B77" i="16" s="1"/>
  <c r="B80" i="16"/>
  <c r="Q80" i="16"/>
  <c r="E82" i="16"/>
  <c r="F82" i="16"/>
  <c r="G82" i="16"/>
  <c r="H82" i="16"/>
  <c r="I82" i="16"/>
  <c r="J82" i="16"/>
  <c r="K82" i="16"/>
  <c r="L82" i="16"/>
  <c r="M82" i="16"/>
  <c r="N82" i="16"/>
  <c r="D83" i="16"/>
  <c r="B83" i="16" s="1"/>
  <c r="S83" i="16"/>
  <c r="D89" i="16"/>
  <c r="B89" i="16" s="1"/>
  <c r="B92" i="16"/>
  <c r="Q92" i="16"/>
  <c r="E94" i="16"/>
  <c r="F94" i="16"/>
  <c r="G94" i="16"/>
  <c r="H94" i="16"/>
  <c r="I94" i="16"/>
  <c r="J94" i="16"/>
  <c r="K94" i="16"/>
  <c r="L94" i="16"/>
  <c r="M94" i="16"/>
  <c r="N94" i="16"/>
  <c r="D95" i="16"/>
  <c r="B95" i="16" s="1"/>
  <c r="S95" i="16"/>
  <c r="D101" i="16"/>
  <c r="B101" i="16" s="1"/>
  <c r="B104" i="16"/>
  <c r="Q104" i="16"/>
  <c r="E106" i="16"/>
  <c r="F106" i="16"/>
  <c r="G106" i="16"/>
  <c r="H106" i="16"/>
  <c r="I106" i="16"/>
  <c r="J106" i="16"/>
  <c r="K106" i="16"/>
  <c r="L106" i="16"/>
  <c r="M106" i="16"/>
  <c r="N106" i="16"/>
  <c r="D107" i="16"/>
  <c r="B107" i="16" s="1"/>
  <c r="S107" i="16"/>
  <c r="B113" i="16"/>
  <c r="B116" i="16"/>
  <c r="Q116" i="16"/>
  <c r="E118" i="16"/>
  <c r="F118" i="16"/>
  <c r="G118" i="16"/>
  <c r="H118" i="16"/>
  <c r="I118" i="16"/>
  <c r="J118" i="16"/>
  <c r="K118" i="16"/>
  <c r="L118" i="16"/>
  <c r="M118" i="16"/>
  <c r="N118" i="16"/>
  <c r="D119" i="16"/>
  <c r="B119" i="16" s="1"/>
  <c r="S119" i="16"/>
  <c r="S131" i="16"/>
  <c r="D142" i="16"/>
  <c r="B149" i="16"/>
  <c r="B150" i="16"/>
  <c r="L152" i="16"/>
  <c r="B152" i="16" s="1"/>
  <c r="D154" i="16"/>
  <c r="E154" i="16"/>
  <c r="F154" i="16"/>
  <c r="G154" i="16"/>
  <c r="H154" i="16"/>
  <c r="I154" i="16"/>
  <c r="J154" i="16"/>
  <c r="K154" i="16"/>
  <c r="L154" i="16"/>
  <c r="L155" i="16" s="1"/>
  <c r="R155" i="16" s="1"/>
  <c r="M154" i="16"/>
  <c r="J155" i="16"/>
  <c r="F164" i="16"/>
  <c r="L164" i="16"/>
  <c r="R165" i="16" s="1"/>
  <c r="F166" i="16"/>
  <c r="F167" i="16" s="1"/>
  <c r="R166" i="16" s="1"/>
  <c r="J166" i="16"/>
  <c r="J165" i="16" s="1"/>
  <c r="L166" i="16"/>
  <c r="L167" i="16" s="1"/>
  <c r="C171" i="16"/>
  <c r="F171" i="16"/>
  <c r="K171" i="16"/>
  <c r="L171" i="16"/>
  <c r="L176" i="16" s="1"/>
  <c r="N171" i="16"/>
  <c r="N176" i="16" s="1"/>
  <c r="P171" i="16"/>
  <c r="P176" i="16" s="1"/>
  <c r="Q171" i="16"/>
  <c r="Q176" i="16" s="1"/>
  <c r="C172" i="16"/>
  <c r="D172" i="16"/>
  <c r="C173" i="16"/>
  <c r="E178" i="16"/>
  <c r="E179" i="16" s="1"/>
  <c r="G178" i="16"/>
  <c r="G179" i="16" s="1"/>
  <c r="H178" i="16"/>
  <c r="H179" i="16" s="1"/>
  <c r="I178" i="16"/>
  <c r="I179" i="16" s="1"/>
  <c r="J178" i="16"/>
  <c r="J179" i="16" s="1"/>
  <c r="D179" i="16"/>
  <c r="D177" i="16" s="1"/>
  <c r="M179" i="16"/>
  <c r="O179" i="16"/>
  <c r="R179" i="16"/>
  <c r="C181" i="16"/>
  <c r="D181" i="16"/>
  <c r="C185" i="16"/>
  <c r="D185" i="16"/>
  <c r="K185" i="16"/>
  <c r="K190" i="16" s="1"/>
  <c r="L185" i="16"/>
  <c r="L190" i="16" s="1"/>
  <c r="N185" i="16"/>
  <c r="N190" i="16" s="1"/>
  <c r="O185" i="16"/>
  <c r="O190" i="16" s="1"/>
  <c r="P185" i="16"/>
  <c r="P190" i="16" s="1"/>
  <c r="Q185" i="16"/>
  <c r="Q190" i="16" s="1"/>
  <c r="R185" i="16"/>
  <c r="R190" i="16" s="1"/>
  <c r="C186" i="16"/>
  <c r="D186" i="16"/>
  <c r="C187" i="16"/>
  <c r="E190" i="16"/>
  <c r="B190" i="16" s="1"/>
  <c r="G190" i="16"/>
  <c r="H190" i="16"/>
  <c r="I190" i="16"/>
  <c r="E192" i="16"/>
  <c r="F192" i="16"/>
  <c r="G192" i="16"/>
  <c r="H192" i="16"/>
  <c r="I192" i="16"/>
  <c r="J192" i="16"/>
  <c r="D193" i="16"/>
  <c r="D191" i="16" s="1"/>
  <c r="D171" i="16" s="1"/>
  <c r="C195" i="16"/>
  <c r="D195" i="16"/>
  <c r="C199" i="16"/>
  <c r="D199" i="16"/>
  <c r="K199" i="16"/>
  <c r="L199" i="16"/>
  <c r="M199" i="16"/>
  <c r="N199" i="16"/>
  <c r="N204" i="16" s="1"/>
  <c r="O199" i="16"/>
  <c r="O204" i="16" s="1"/>
  <c r="P199" i="16"/>
  <c r="P204" i="16" s="1"/>
  <c r="Q199" i="16"/>
  <c r="Q204" i="16" s="1"/>
  <c r="R199" i="16"/>
  <c r="R204" i="16" s="1"/>
  <c r="C200" i="16"/>
  <c r="D200" i="16"/>
  <c r="M200" i="16"/>
  <c r="R200" i="16"/>
  <c r="R206" i="16" s="1"/>
  <c r="R186" i="16" s="1"/>
  <c r="C201" i="16"/>
  <c r="M201" i="16"/>
  <c r="D207" i="16"/>
  <c r="D187" i="16" s="1"/>
  <c r="C209" i="16"/>
  <c r="D209" i="16"/>
  <c r="D215" i="16"/>
  <c r="H215" i="16"/>
  <c r="J215" i="16"/>
  <c r="K215" i="16"/>
  <c r="L215" i="16"/>
  <c r="M215" i="16"/>
  <c r="N215" i="16"/>
  <c r="O215" i="16"/>
  <c r="P215" i="16"/>
  <c r="Q215" i="16"/>
  <c r="R215" i="16"/>
  <c r="K219" i="16"/>
  <c r="K200" i="16" s="1"/>
  <c r="K206" i="16" s="1"/>
  <c r="K186" i="16" s="1"/>
  <c r="K192" i="16" s="1"/>
  <c r="L219" i="16"/>
  <c r="L220" i="16" s="1"/>
  <c r="L201" i="16" s="1"/>
  <c r="N219" i="16"/>
  <c r="N200" i="16" s="1"/>
  <c r="N206" i="16" s="1"/>
  <c r="O219" i="16"/>
  <c r="O220" i="16" s="1"/>
  <c r="O201" i="16" s="1"/>
  <c r="P219" i="16"/>
  <c r="P220" i="16" s="1"/>
  <c r="P201" i="16" s="1"/>
  <c r="Q219" i="16"/>
  <c r="R219" i="16"/>
  <c r="R220" i="16" s="1"/>
  <c r="D220" i="16"/>
  <c r="D201" i="16" s="1"/>
  <c r="R201" i="16"/>
  <c r="C222" i="16"/>
  <c r="D222" i="16"/>
  <c r="D3" i="126"/>
  <c r="D4" i="126"/>
  <c r="D5" i="126"/>
  <c r="D6" i="126"/>
  <c r="D7" i="126"/>
  <c r="D8" i="126"/>
  <c r="D9" i="126"/>
  <c r="D10" i="126"/>
  <c r="E12" i="126"/>
  <c r="D15" i="126"/>
  <c r="D16" i="126"/>
  <c r="D17" i="126"/>
  <c r="D18" i="126"/>
  <c r="D19" i="126"/>
  <c r="D20" i="126"/>
  <c r="D21" i="126"/>
  <c r="D22" i="126"/>
  <c r="E23" i="126"/>
  <c r="D23" i="126" s="1"/>
  <c r="D27" i="126"/>
  <c r="D28" i="126"/>
  <c r="D29" i="126"/>
  <c r="D30" i="126"/>
  <c r="D31" i="126"/>
  <c r="D32" i="126"/>
  <c r="D33" i="126"/>
  <c r="D34" i="126"/>
  <c r="D35" i="126"/>
  <c r="E36" i="126"/>
  <c r="D39" i="126"/>
  <c r="D40" i="126"/>
  <c r="D41" i="126"/>
  <c r="D42" i="126"/>
  <c r="D43" i="126"/>
  <c r="D44" i="126"/>
  <c r="D45" i="126"/>
  <c r="D46" i="126"/>
  <c r="D47" i="126"/>
  <c r="E48" i="126"/>
  <c r="D51" i="126"/>
  <c r="D52" i="126"/>
  <c r="D53" i="126"/>
  <c r="D54" i="126"/>
  <c r="D55" i="126"/>
  <c r="D56" i="126"/>
  <c r="D57" i="126"/>
  <c r="D58" i="126"/>
  <c r="D59" i="126"/>
  <c r="E60" i="126"/>
  <c r="D63" i="126"/>
  <c r="D64" i="126"/>
  <c r="D65" i="126"/>
  <c r="D66" i="126"/>
  <c r="D67" i="126"/>
  <c r="D68" i="126"/>
  <c r="D69" i="126"/>
  <c r="D70" i="126"/>
  <c r="D71" i="126"/>
  <c r="E72" i="126"/>
  <c r="D75" i="126"/>
  <c r="D76" i="126"/>
  <c r="D77" i="126"/>
  <c r="D78" i="126"/>
  <c r="D79" i="126"/>
  <c r="D80" i="126"/>
  <c r="D81" i="126"/>
  <c r="D82" i="126"/>
  <c r="E83" i="126"/>
  <c r="D86" i="126"/>
  <c r="D87" i="126"/>
  <c r="D88" i="126"/>
  <c r="D89" i="126"/>
  <c r="D90" i="126"/>
  <c r="D91" i="126"/>
  <c r="D92" i="126"/>
  <c r="D93" i="126"/>
  <c r="D94" i="126"/>
  <c r="E95" i="126"/>
  <c r="D98" i="126"/>
  <c r="D99" i="126"/>
  <c r="D100" i="126"/>
  <c r="D101" i="126"/>
  <c r="D102" i="126"/>
  <c r="D103" i="126"/>
  <c r="D104" i="126"/>
  <c r="D105" i="126"/>
  <c r="E106" i="126"/>
  <c r="D109" i="126"/>
  <c r="D110" i="126"/>
  <c r="D111" i="126"/>
  <c r="D112" i="126"/>
  <c r="D113" i="126"/>
  <c r="D114" i="126"/>
  <c r="D115" i="126"/>
  <c r="E116" i="126"/>
  <c r="D119" i="126"/>
  <c r="F119" i="126"/>
  <c r="D120" i="126"/>
  <c r="F120" i="126"/>
  <c r="D121" i="126"/>
  <c r="F121" i="126"/>
  <c r="E161" i="126"/>
  <c r="E162" i="126"/>
  <c r="E163" i="126"/>
  <c r="E164" i="126"/>
  <c r="E165" i="126"/>
  <c r="F166" i="126"/>
  <c r="F170" i="126"/>
  <c r="G170" i="126"/>
  <c r="H170" i="126"/>
  <c r="F175" i="126"/>
  <c r="F176" i="126"/>
  <c r="F177" i="126"/>
  <c r="F178" i="126"/>
  <c r="F179" i="126"/>
  <c r="F181" i="126"/>
  <c r="F182" i="126"/>
  <c r="F183" i="126"/>
  <c r="F184" i="126"/>
  <c r="F187" i="126"/>
  <c r="F189" i="126"/>
  <c r="F190" i="126"/>
  <c r="F191" i="126"/>
  <c r="G192" i="126"/>
  <c r="H192" i="126"/>
  <c r="F195" i="126"/>
  <c r="F203" i="126" s="1"/>
  <c r="F196" i="126"/>
  <c r="F197" i="126"/>
  <c r="F198" i="126"/>
  <c r="F199" i="126"/>
  <c r="F200" i="126"/>
  <c r="F201" i="126"/>
  <c r="F202" i="126"/>
  <c r="G203" i="126"/>
  <c r="H203" i="126"/>
  <c r="C1" i="125"/>
  <c r="E1" i="125"/>
  <c r="G1" i="125"/>
  <c r="I1" i="125"/>
  <c r="K1" i="125"/>
  <c r="M1" i="125"/>
  <c r="O1" i="125"/>
  <c r="Q1" i="125"/>
  <c r="S1" i="125"/>
  <c r="V1" i="125"/>
  <c r="L3" i="125"/>
  <c r="N3" i="125"/>
  <c r="N1" i="125" s="1"/>
  <c r="P3" i="125"/>
  <c r="R3" i="125"/>
  <c r="D4" i="125"/>
  <c r="F4" i="125"/>
  <c r="F1" i="125" s="1"/>
  <c r="H4" i="125"/>
  <c r="J4" i="125"/>
  <c r="J5" i="125"/>
  <c r="U5" i="125" s="1"/>
  <c r="X5" i="125" s="1"/>
  <c r="F35" i="125" s="1"/>
  <c r="L5" i="125"/>
  <c r="N5" i="125"/>
  <c r="D6" i="125"/>
  <c r="F6" i="125"/>
  <c r="U6" i="125" s="1"/>
  <c r="X6" i="125" s="1"/>
  <c r="F36" i="125" s="1"/>
  <c r="H6" i="125"/>
  <c r="L6" i="125"/>
  <c r="N6" i="125"/>
  <c r="J8" i="125"/>
  <c r="L8" i="125"/>
  <c r="U8" i="125" s="1"/>
  <c r="X8" i="125" s="1"/>
  <c r="N8" i="125"/>
  <c r="L9" i="125"/>
  <c r="N9" i="125"/>
  <c r="U9" i="125" s="1"/>
  <c r="X9" i="125" s="1"/>
  <c r="P9" i="125"/>
  <c r="D10" i="125"/>
  <c r="J10" i="125"/>
  <c r="R10" i="125"/>
  <c r="L11" i="125"/>
  <c r="U11" i="125" s="1"/>
  <c r="X11" i="125" s="1"/>
  <c r="N11" i="125"/>
  <c r="F12" i="125"/>
  <c r="J12" i="125"/>
  <c r="U12" i="125" s="1"/>
  <c r="X12" i="125" s="1"/>
  <c r="L12" i="125"/>
  <c r="N12" i="125"/>
  <c r="N13" i="125"/>
  <c r="P13" i="125"/>
  <c r="U13" i="125" s="1"/>
  <c r="X13" i="125" s="1"/>
  <c r="R13" i="125"/>
  <c r="D14" i="125"/>
  <c r="F14" i="125"/>
  <c r="H14" i="125"/>
  <c r="J14" i="125"/>
  <c r="L14" i="125"/>
  <c r="N15" i="125"/>
  <c r="P15" i="125"/>
  <c r="R15" i="125"/>
  <c r="T15" i="125"/>
  <c r="D16" i="125"/>
  <c r="F16" i="125"/>
  <c r="U16" i="125" s="1"/>
  <c r="X16" i="125" s="1"/>
  <c r="H16" i="125"/>
  <c r="J16" i="125"/>
  <c r="L16" i="125"/>
  <c r="H17" i="125"/>
  <c r="U17" i="125" s="1"/>
  <c r="X17" i="125" s="1"/>
  <c r="F43" i="125" s="1"/>
  <c r="J17" i="125"/>
  <c r="L17" i="125"/>
  <c r="N17" i="125"/>
  <c r="P17" i="125"/>
  <c r="T17" i="125"/>
  <c r="U18" i="125"/>
  <c r="V18" i="125"/>
  <c r="X19" i="125"/>
  <c r="U21" i="125"/>
  <c r="X21" i="125" s="1"/>
  <c r="U22" i="125"/>
  <c r="X22" i="125" s="1"/>
  <c r="U23" i="125"/>
  <c r="X23" i="125" s="1"/>
  <c r="U24" i="125"/>
  <c r="X24" i="125" s="1"/>
  <c r="U25" i="125"/>
  <c r="X25" i="125" s="1"/>
  <c r="F41" i="125" s="1"/>
  <c r="X27" i="125"/>
  <c r="X28" i="125"/>
  <c r="X29" i="125"/>
  <c r="X30" i="125"/>
  <c r="F37" i="125"/>
  <c r="D38" i="125"/>
  <c r="D39" i="125"/>
  <c r="X66" i="125"/>
  <c r="X64" i="125"/>
  <c r="X68" i="125"/>
  <c r="X62" i="125"/>
  <c r="X70" i="125"/>
  <c r="X60" i="125"/>
  <c r="X71" i="125"/>
  <c r="X82" i="125"/>
  <c r="X79" i="125"/>
  <c r="X77" i="125"/>
  <c r="X72" i="125"/>
  <c r="X81" i="125"/>
  <c r="X73" i="125"/>
  <c r="X78" i="125"/>
  <c r="X55" i="125"/>
  <c r="X58" i="125"/>
  <c r="X48" i="125"/>
  <c r="X52" i="125"/>
  <c r="X56" i="125"/>
  <c r="X49" i="125"/>
  <c r="U84" i="125"/>
  <c r="T84" i="125" s="1"/>
  <c r="V84" i="125"/>
  <c r="X85" i="125"/>
  <c r="X86" i="125"/>
  <c r="X87" i="125"/>
  <c r="X88" i="125"/>
  <c r="X89" i="125"/>
  <c r="X90" i="125"/>
  <c r="U91" i="125"/>
  <c r="V91" i="125"/>
  <c r="W91" i="125"/>
  <c r="X92" i="125"/>
  <c r="X93" i="125"/>
  <c r="X94" i="125"/>
  <c r="X95" i="125"/>
  <c r="X96" i="125"/>
  <c r="X97" i="125"/>
  <c r="U98" i="125"/>
  <c r="V98" i="125"/>
  <c r="W98" i="125"/>
  <c r="C1" i="112"/>
  <c r="E1" i="112"/>
  <c r="G1" i="112"/>
  <c r="I1" i="112"/>
  <c r="K1" i="112"/>
  <c r="M1" i="112"/>
  <c r="O1" i="112"/>
  <c r="Q1" i="112"/>
  <c r="S1" i="112"/>
  <c r="V1" i="112"/>
  <c r="U3" i="112"/>
  <c r="U4" i="112"/>
  <c r="X4" i="112" s="1"/>
  <c r="U5" i="112"/>
  <c r="X5" i="112" s="1"/>
  <c r="U6" i="112"/>
  <c r="X6" i="112" s="1"/>
  <c r="F7" i="112"/>
  <c r="H8" i="112"/>
  <c r="N8" i="112"/>
  <c r="U8" i="112" s="1"/>
  <c r="X8" i="112" s="1"/>
  <c r="P8" i="112"/>
  <c r="R8" i="112"/>
  <c r="D9" i="112"/>
  <c r="U9" i="112" s="1"/>
  <c r="X9" i="112" s="1"/>
  <c r="L10" i="112"/>
  <c r="U10" i="112" s="1"/>
  <c r="X10" i="112" s="1"/>
  <c r="H11" i="112"/>
  <c r="J11" i="112"/>
  <c r="L11" i="112"/>
  <c r="N11" i="112"/>
  <c r="U11" i="112" s="1"/>
  <c r="X11" i="112" s="1"/>
  <c r="P11" i="112"/>
  <c r="R11" i="112"/>
  <c r="D12" i="112"/>
  <c r="U12" i="112" s="1"/>
  <c r="X12" i="112" s="1"/>
  <c r="U13" i="112"/>
  <c r="X13" i="112" s="1"/>
  <c r="H14" i="112"/>
  <c r="J14" i="112"/>
  <c r="L14" i="112"/>
  <c r="N14" i="112"/>
  <c r="P14" i="112"/>
  <c r="R14" i="112"/>
  <c r="L15" i="112"/>
  <c r="N15" i="112"/>
  <c r="U15" i="112" s="1"/>
  <c r="X15" i="112" s="1"/>
  <c r="P15" i="112"/>
  <c r="R15" i="112"/>
  <c r="N16" i="112"/>
  <c r="U16" i="112" s="1"/>
  <c r="X16" i="112" s="1"/>
  <c r="R17" i="112"/>
  <c r="U17" i="112" s="1"/>
  <c r="X17" i="112" s="1"/>
  <c r="N18" i="112"/>
  <c r="U18" i="112" s="1"/>
  <c r="X18" i="112" s="1"/>
  <c r="J19" i="112"/>
  <c r="U19" i="112" s="1"/>
  <c r="X19" i="112" s="1"/>
  <c r="D20" i="112"/>
  <c r="L20" i="112"/>
  <c r="U21" i="112"/>
  <c r="X21" i="112" s="1"/>
  <c r="U22" i="112"/>
  <c r="X22" i="112" s="1"/>
  <c r="L23" i="112"/>
  <c r="U23" i="112" s="1"/>
  <c r="X23" i="112" s="1"/>
  <c r="J24" i="112"/>
  <c r="U24" i="112" s="1"/>
  <c r="X24" i="112" s="1"/>
  <c r="N24" i="112"/>
  <c r="D25" i="112"/>
  <c r="U25" i="112" s="1"/>
  <c r="X25" i="112" s="1"/>
  <c r="T26" i="112"/>
  <c r="U26" i="112" s="1"/>
  <c r="X26" i="112"/>
  <c r="L27" i="112"/>
  <c r="N27" i="112"/>
  <c r="L28" i="112"/>
  <c r="N28" i="112"/>
  <c r="U28" i="112" s="1"/>
  <c r="X28" i="112" s="1"/>
  <c r="F58" i="112" s="1"/>
  <c r="N29" i="112"/>
  <c r="T29" i="112"/>
  <c r="D30" i="112"/>
  <c r="F30" i="112"/>
  <c r="H30" i="112"/>
  <c r="J30" i="112"/>
  <c r="L30" i="112"/>
  <c r="J31" i="112"/>
  <c r="U31" i="112" s="1"/>
  <c r="X31" i="112" s="1"/>
  <c r="U32" i="112"/>
  <c r="X32" i="112"/>
  <c r="J33" i="112"/>
  <c r="L33" i="112"/>
  <c r="N33" i="112"/>
  <c r="T33" i="112"/>
  <c r="U34" i="112"/>
  <c r="X34" i="112"/>
  <c r="J35" i="112"/>
  <c r="U35" i="112" s="1"/>
  <c r="X35" i="112" s="1"/>
  <c r="U36" i="112"/>
  <c r="V36" i="112"/>
  <c r="X37" i="112"/>
  <c r="U39" i="112"/>
  <c r="X39" i="112"/>
  <c r="U40" i="112"/>
  <c r="X40" i="112" s="1"/>
  <c r="U41" i="112"/>
  <c r="X41" i="112" s="1"/>
  <c r="X42" i="112"/>
  <c r="X44" i="112"/>
  <c r="X45" i="112"/>
  <c r="X46" i="112"/>
  <c r="X47" i="112"/>
  <c r="X48" i="112"/>
  <c r="D50" i="112"/>
  <c r="D53" i="112"/>
  <c r="D54" i="112"/>
  <c r="D56" i="112"/>
  <c r="D58" i="112"/>
  <c r="X66" i="112"/>
  <c r="X67" i="112"/>
  <c r="X68" i="112"/>
  <c r="X69" i="112"/>
  <c r="X70" i="112"/>
  <c r="X71" i="112"/>
  <c r="X72" i="112"/>
  <c r="X73" i="112"/>
  <c r="X74" i="112"/>
  <c r="X75" i="112"/>
  <c r="X76" i="112"/>
  <c r="X77" i="112"/>
  <c r="X78" i="112"/>
  <c r="X79" i="112"/>
  <c r="X80" i="112"/>
  <c r="X81" i="112"/>
  <c r="X82" i="112"/>
  <c r="X83" i="112"/>
  <c r="X84" i="112"/>
  <c r="X85" i="112"/>
  <c r="X86" i="112"/>
  <c r="X87" i="112"/>
  <c r="X88" i="112"/>
  <c r="X89" i="112"/>
  <c r="X90" i="112"/>
  <c r="X91" i="112"/>
  <c r="X92" i="112"/>
  <c r="X93" i="112"/>
  <c r="X94" i="112"/>
  <c r="X95" i="112"/>
  <c r="X96" i="112"/>
  <c r="X97" i="112"/>
  <c r="X98" i="112"/>
  <c r="X99" i="112"/>
  <c r="X100" i="112"/>
  <c r="X101" i="112"/>
  <c r="U102" i="112"/>
  <c r="X102" i="112" s="1"/>
  <c r="V102" i="112"/>
  <c r="W102" i="112"/>
  <c r="X103" i="112"/>
  <c r="X104" i="112"/>
  <c r="X105" i="112"/>
  <c r="X106" i="112"/>
  <c r="X107" i="112"/>
  <c r="X108" i="112"/>
  <c r="U109" i="112"/>
  <c r="V109" i="112"/>
  <c r="W109" i="112"/>
  <c r="X110" i="112"/>
  <c r="X111" i="112"/>
  <c r="X112" i="112"/>
  <c r="X113" i="112"/>
  <c r="X114" i="112"/>
  <c r="X115" i="112"/>
  <c r="U116" i="112"/>
  <c r="V116" i="112"/>
  <c r="X116" i="112" s="1"/>
  <c r="W116" i="112"/>
  <c r="C1" i="120"/>
  <c r="D1" i="120"/>
  <c r="E1" i="120"/>
  <c r="F1" i="120"/>
  <c r="G1" i="120"/>
  <c r="H3" i="120"/>
  <c r="I5" i="120" s="1"/>
  <c r="H4" i="120"/>
  <c r="H5" i="120"/>
  <c r="H6" i="120"/>
  <c r="H7" i="120"/>
  <c r="I8" i="120" s="1"/>
  <c r="H8" i="120"/>
  <c r="H9" i="120"/>
  <c r="H10" i="120"/>
  <c r="H11" i="120"/>
  <c r="H12" i="120"/>
  <c r="H13" i="120"/>
  <c r="I14" i="120" s="1"/>
  <c r="H14" i="120"/>
  <c r="H15" i="120"/>
  <c r="H16" i="120"/>
  <c r="H17" i="120"/>
  <c r="H18" i="120"/>
  <c r="H19" i="120"/>
  <c r="I20" i="120" s="1"/>
  <c r="H20" i="120"/>
  <c r="H21" i="120"/>
  <c r="H22" i="120"/>
  <c r="H23" i="120"/>
  <c r="H24" i="120"/>
  <c r="H25" i="120"/>
  <c r="I26" i="120" s="1"/>
  <c r="H26" i="120"/>
  <c r="H27" i="120"/>
  <c r="H28" i="120"/>
  <c r="H29" i="120"/>
  <c r="H30" i="120"/>
  <c r="H31" i="120"/>
  <c r="I32" i="120" s="1"/>
  <c r="H32" i="120"/>
  <c r="H33" i="120"/>
  <c r="H34" i="120"/>
  <c r="H35" i="120"/>
  <c r="H36" i="120"/>
  <c r="H37" i="120"/>
  <c r="I38" i="120" s="1"/>
  <c r="H38" i="120"/>
  <c r="H39" i="120"/>
  <c r="I39" i="120" s="1"/>
  <c r="H40" i="120"/>
  <c r="I40" i="120" s="1"/>
  <c r="G41" i="120"/>
  <c r="C42" i="120"/>
  <c r="D42" i="120"/>
  <c r="D41" i="120" s="1"/>
  <c r="E42" i="120"/>
  <c r="F42" i="120"/>
  <c r="C43" i="120"/>
  <c r="D43" i="120"/>
  <c r="E43" i="120"/>
  <c r="F43" i="120"/>
  <c r="C44" i="120"/>
  <c r="D44" i="120"/>
  <c r="E44" i="120"/>
  <c r="F44" i="120"/>
  <c r="C46" i="120"/>
  <c r="H46" i="120" s="1"/>
  <c r="C45" i="120"/>
  <c r="K46" i="120"/>
  <c r="C47" i="120"/>
  <c r="H48" i="120"/>
  <c r="H49" i="120"/>
  <c r="H50" i="120"/>
  <c r="H51" i="120"/>
  <c r="C54" i="120"/>
  <c r="H54" i="120" s="1"/>
  <c r="C55" i="120"/>
  <c r="H55" i="120" s="1"/>
  <c r="C56" i="120"/>
  <c r="H56" i="120" s="1"/>
  <c r="H57" i="120"/>
  <c r="H58" i="120"/>
  <c r="C59" i="120"/>
  <c r="H60" i="120"/>
  <c r="C66" i="120"/>
  <c r="B70" i="120"/>
  <c r="B73" i="120" s="1"/>
  <c r="C1" i="110"/>
  <c r="D1" i="110"/>
  <c r="E1" i="110"/>
  <c r="F1" i="110"/>
  <c r="G1" i="110"/>
  <c r="H3" i="110"/>
  <c r="H4" i="110"/>
  <c r="I5" i="110" s="1"/>
  <c r="H5" i="110"/>
  <c r="H6" i="110"/>
  <c r="H7" i="110"/>
  <c r="H8" i="110"/>
  <c r="H9" i="110"/>
  <c r="H10" i="110"/>
  <c r="H11" i="110"/>
  <c r="H12" i="110"/>
  <c r="H13" i="110"/>
  <c r="H14" i="110"/>
  <c r="H15" i="110"/>
  <c r="H16" i="110"/>
  <c r="H17" i="110"/>
  <c r="H18" i="110"/>
  <c r="H19" i="110"/>
  <c r="H20" i="110"/>
  <c r="H21" i="110"/>
  <c r="H22" i="110"/>
  <c r="H23" i="110"/>
  <c r="H24" i="110"/>
  <c r="H25" i="110"/>
  <c r="H26" i="110"/>
  <c r="H27" i="110"/>
  <c r="H28" i="110"/>
  <c r="H29" i="110"/>
  <c r="H30" i="110"/>
  <c r="H31" i="110"/>
  <c r="H32" i="110"/>
  <c r="H33" i="110"/>
  <c r="H34" i="110"/>
  <c r="H35" i="110"/>
  <c r="H36" i="110"/>
  <c r="H37" i="110"/>
  <c r="H38" i="110"/>
  <c r="H39" i="110"/>
  <c r="I39" i="110" s="1"/>
  <c r="H40" i="110"/>
  <c r="I40" i="110" s="1"/>
  <c r="G41" i="110"/>
  <c r="C42" i="110"/>
  <c r="C41" i="110" s="1"/>
  <c r="D42" i="110"/>
  <c r="E42" i="110"/>
  <c r="F42" i="110"/>
  <c r="C43" i="110"/>
  <c r="C63" i="110" s="1"/>
  <c r="D43" i="110"/>
  <c r="E43" i="110"/>
  <c r="F43" i="110"/>
  <c r="C44" i="110"/>
  <c r="C64" i="110" s="1"/>
  <c r="D44" i="110"/>
  <c r="E44" i="110"/>
  <c r="F44" i="110"/>
  <c r="C45" i="110"/>
  <c r="C46" i="110"/>
  <c r="H46" i="110"/>
  <c r="K46" i="110"/>
  <c r="H48" i="110"/>
  <c r="H49" i="110"/>
  <c r="H50" i="110"/>
  <c r="C51" i="110"/>
  <c r="C54" i="110"/>
  <c r="H55" i="110"/>
  <c r="H56" i="110"/>
  <c r="H57" i="110"/>
  <c r="H58" i="110"/>
  <c r="C59" i="110"/>
  <c r="H60" i="110"/>
  <c r="C66" i="110"/>
  <c r="B70" i="110"/>
  <c r="B73" i="110" s="1"/>
  <c r="B35" i="122"/>
  <c r="B48" i="122"/>
  <c r="B55" i="122"/>
  <c r="B57" i="122"/>
  <c r="B60" i="122"/>
  <c r="B74" i="122"/>
  <c r="B78" i="122"/>
  <c r="B101" i="122"/>
  <c r="D3" i="123"/>
  <c r="F3" i="123"/>
  <c r="C1" i="124"/>
  <c r="C7" i="124"/>
  <c r="G9" i="124"/>
  <c r="J9" i="124"/>
  <c r="K9" i="124"/>
  <c r="N11" i="124"/>
  <c r="N12" i="124"/>
  <c r="N13" i="124"/>
  <c r="N14" i="124"/>
  <c r="N15" i="124"/>
  <c r="N16" i="124"/>
  <c r="N17" i="124"/>
  <c r="N18" i="124"/>
  <c r="N19" i="124"/>
  <c r="N20" i="124"/>
  <c r="N21" i="124"/>
  <c r="N22" i="124"/>
  <c r="N23" i="124"/>
  <c r="N24" i="124"/>
  <c r="N25" i="124"/>
  <c r="N26" i="124"/>
  <c r="N27" i="124"/>
  <c r="N28" i="124"/>
  <c r="N29" i="124"/>
  <c r="N30" i="124"/>
  <c r="N31" i="124"/>
  <c r="N32" i="124"/>
  <c r="N33" i="124"/>
  <c r="N34" i="124"/>
  <c r="N35" i="124"/>
  <c r="N36" i="124"/>
  <c r="N37" i="124"/>
  <c r="N38" i="124"/>
  <c r="N39" i="124"/>
  <c r="N40" i="124"/>
  <c r="N41" i="124"/>
  <c r="N42" i="124"/>
  <c r="N43" i="124"/>
  <c r="N44" i="124"/>
  <c r="N45" i="124"/>
  <c r="N46" i="124"/>
  <c r="N47" i="124"/>
  <c r="N48" i="124"/>
  <c r="N49" i="124"/>
  <c r="N50" i="124"/>
  <c r="N51" i="124"/>
  <c r="N52" i="124"/>
  <c r="N53" i="124"/>
  <c r="N54" i="124"/>
  <c r="N55" i="124"/>
  <c r="N56" i="124"/>
  <c r="N57" i="124"/>
  <c r="N58" i="124"/>
  <c r="N59" i="124"/>
  <c r="N60" i="124"/>
  <c r="N61" i="124"/>
  <c r="N62" i="124"/>
  <c r="N63" i="124"/>
  <c r="N64" i="124"/>
  <c r="N65" i="124"/>
  <c r="N66" i="124"/>
  <c r="N67" i="124"/>
  <c r="N68" i="124"/>
  <c r="N69" i="124"/>
  <c r="N70" i="124"/>
  <c r="N71" i="124"/>
  <c r="N72" i="124"/>
  <c r="N73" i="124"/>
  <c r="N74" i="124"/>
  <c r="N75" i="124"/>
  <c r="N76" i="124"/>
  <c r="N77" i="124"/>
  <c r="N78" i="124"/>
  <c r="N79" i="124"/>
  <c r="N80" i="124"/>
  <c r="N81" i="124"/>
  <c r="N82" i="124"/>
  <c r="N83" i="124"/>
  <c r="N84" i="124"/>
  <c r="N85" i="124"/>
  <c r="N86" i="124"/>
  <c r="N87" i="124"/>
  <c r="N88" i="124"/>
  <c r="N89" i="124"/>
  <c r="N90" i="124"/>
  <c r="N91" i="124"/>
  <c r="N92" i="124"/>
  <c r="N93" i="124"/>
  <c r="N94" i="124"/>
  <c r="N95" i="124"/>
  <c r="N96" i="124"/>
  <c r="N97" i="124"/>
  <c r="N98" i="124"/>
  <c r="N99" i="124"/>
  <c r="N100" i="124"/>
  <c r="N101" i="124"/>
  <c r="N102" i="124"/>
  <c r="N103" i="124"/>
  <c r="N104" i="124"/>
  <c r="N105" i="124"/>
  <c r="N106" i="124"/>
  <c r="N107" i="124"/>
  <c r="N108" i="124"/>
  <c r="N109" i="124"/>
  <c r="N110" i="124"/>
  <c r="N111" i="124"/>
  <c r="N112" i="124"/>
  <c r="N113" i="124"/>
  <c r="N114" i="124"/>
  <c r="N115" i="124"/>
  <c r="N116" i="124"/>
  <c r="N117" i="124"/>
  <c r="N118" i="124"/>
  <c r="N119" i="124"/>
  <c r="N120" i="124"/>
  <c r="N121" i="124"/>
  <c r="N122" i="124"/>
  <c r="N123" i="124"/>
  <c r="N124" i="124"/>
  <c r="N125" i="124"/>
  <c r="N126" i="124"/>
  <c r="N127" i="124"/>
  <c r="N128" i="124"/>
  <c r="N129" i="124"/>
  <c r="N130" i="124"/>
  <c r="N131" i="124"/>
  <c r="N132" i="124"/>
  <c r="N133" i="124"/>
  <c r="N134" i="124"/>
  <c r="N135" i="124"/>
  <c r="N136" i="124"/>
  <c r="N137" i="124"/>
  <c r="N138" i="124"/>
  <c r="N139" i="124"/>
  <c r="N140" i="124"/>
  <c r="G141" i="124"/>
  <c r="J141" i="124"/>
  <c r="K141" i="124"/>
  <c r="Q141" i="124"/>
  <c r="C3" i="124" s="1"/>
  <c r="R141" i="124"/>
  <c r="C5" i="124" s="1"/>
  <c r="T141" i="124"/>
  <c r="C4" i="124" s="1"/>
  <c r="N143" i="124"/>
  <c r="N144" i="124"/>
  <c r="N145" i="124"/>
  <c r="N146" i="124"/>
  <c r="N147" i="124"/>
  <c r="N148" i="124"/>
  <c r="N149" i="124"/>
  <c r="N150" i="124"/>
  <c r="N151" i="124"/>
  <c r="N152" i="124"/>
  <c r="N153" i="124"/>
  <c r="N154" i="124"/>
  <c r="N155" i="124"/>
  <c r="N156" i="124"/>
  <c r="N157" i="124"/>
  <c r="N158" i="124"/>
  <c r="N159" i="124"/>
  <c r="N160" i="124"/>
  <c r="N161" i="124"/>
  <c r="N162" i="124"/>
  <c r="N163" i="124"/>
  <c r="N164" i="124"/>
  <c r="N165" i="124"/>
  <c r="N166" i="124"/>
  <c r="N167" i="124"/>
  <c r="N168" i="124"/>
  <c r="N169" i="124"/>
  <c r="N170" i="124"/>
  <c r="N171" i="124"/>
  <c r="N172" i="124"/>
  <c r="N173" i="124"/>
  <c r="N174" i="124"/>
  <c r="N175" i="124"/>
  <c r="N176" i="124"/>
  <c r="N177" i="124"/>
  <c r="N178" i="124"/>
  <c r="N179" i="124"/>
  <c r="N180" i="124"/>
  <c r="N181" i="124"/>
  <c r="N182" i="124"/>
  <c r="N183" i="124"/>
  <c r="N184" i="124"/>
  <c r="N185" i="124"/>
  <c r="N186" i="124"/>
  <c r="N187" i="124"/>
  <c r="N188" i="124"/>
  <c r="N189" i="124"/>
  <c r="N190" i="124"/>
  <c r="N191" i="124"/>
  <c r="N192" i="124"/>
  <c r="N193" i="124"/>
  <c r="N194" i="124"/>
  <c r="N195" i="124"/>
  <c r="N196" i="124"/>
  <c r="N197" i="124"/>
  <c r="N198" i="124"/>
  <c r="N199" i="124"/>
  <c r="N200" i="124"/>
  <c r="N201" i="124"/>
  <c r="N202" i="124"/>
  <c r="N203" i="124"/>
  <c r="N204" i="124"/>
  <c r="N205" i="124"/>
  <c r="N206" i="124"/>
  <c r="N207" i="124"/>
  <c r="N208" i="124"/>
  <c r="N209" i="124"/>
  <c r="N210" i="124"/>
  <c r="N211" i="124"/>
  <c r="N212" i="124"/>
  <c r="N213" i="124"/>
  <c r="N214" i="124"/>
  <c r="N215" i="124"/>
  <c r="N216" i="124"/>
  <c r="N217" i="124"/>
  <c r="U217" i="124"/>
  <c r="N218" i="124"/>
  <c r="N219" i="124"/>
  <c r="N220" i="124"/>
  <c r="N221" i="124"/>
  <c r="N222" i="124"/>
  <c r="N223" i="124"/>
  <c r="N224" i="124"/>
  <c r="N225" i="124"/>
  <c r="N226" i="124"/>
  <c r="N227" i="124"/>
  <c r="N228" i="124"/>
  <c r="N229" i="124"/>
  <c r="N230" i="124"/>
  <c r="N231" i="124"/>
  <c r="N232" i="124"/>
  <c r="N233" i="124"/>
  <c r="N234" i="124"/>
  <c r="N235" i="124"/>
  <c r="N236" i="124"/>
  <c r="N237" i="124"/>
  <c r="N238" i="124"/>
  <c r="N239" i="124"/>
  <c r="N240" i="124"/>
  <c r="N241" i="124"/>
  <c r="N242" i="124"/>
  <c r="N243" i="124"/>
  <c r="N244" i="124"/>
  <c r="N245" i="124"/>
  <c r="N246" i="124"/>
  <c r="N247" i="124"/>
  <c r="N248" i="124"/>
  <c r="N249" i="124"/>
  <c r="N250" i="124"/>
  <c r="N251" i="124"/>
  <c r="N252" i="124"/>
  <c r="N253" i="124"/>
  <c r="N254" i="124"/>
  <c r="N255" i="124"/>
  <c r="N256" i="124"/>
  <c r="N257" i="124"/>
  <c r="N258" i="124"/>
  <c r="N259" i="124"/>
  <c r="N260" i="124"/>
  <c r="N261" i="124"/>
  <c r="N262" i="124"/>
  <c r="N263" i="124"/>
  <c r="N264" i="124"/>
  <c r="N265" i="124"/>
  <c r="N266" i="124"/>
  <c r="N267" i="124"/>
  <c r="N268" i="124"/>
  <c r="N269" i="124"/>
  <c r="N270" i="124"/>
  <c r="N271" i="124"/>
  <c r="N272" i="124"/>
  <c r="N273" i="124"/>
  <c r="N274" i="124"/>
  <c r="N275" i="124"/>
  <c r="N276" i="124"/>
  <c r="N277" i="124"/>
  <c r="N278" i="124"/>
  <c r="N279" i="124"/>
  <c r="G281" i="124"/>
  <c r="F4" i="124" s="1"/>
  <c r="F7" i="124" s="1"/>
  <c r="J281" i="124"/>
  <c r="K281" i="124"/>
  <c r="Q281" i="124"/>
  <c r="R281" i="124"/>
  <c r="T281" i="124"/>
  <c r="N283" i="124"/>
  <c r="N284" i="124"/>
  <c r="N285" i="124"/>
  <c r="N286" i="124"/>
  <c r="N287" i="124"/>
  <c r="N288" i="124"/>
  <c r="N289" i="124"/>
  <c r="N290" i="124"/>
  <c r="N291" i="124"/>
  <c r="N292" i="124"/>
  <c r="N293" i="124"/>
  <c r="N294" i="124"/>
  <c r="N295" i="124"/>
  <c r="N296" i="124"/>
  <c r="N297" i="124"/>
  <c r="N298" i="124"/>
  <c r="N299" i="124"/>
  <c r="N300" i="124"/>
  <c r="N301" i="124"/>
  <c r="N302" i="124"/>
  <c r="N303" i="124"/>
  <c r="N304" i="124"/>
  <c r="N305" i="124"/>
  <c r="N306" i="124"/>
  <c r="N307" i="124"/>
  <c r="N308" i="124"/>
  <c r="N309" i="124"/>
  <c r="N310" i="124"/>
  <c r="N311" i="124"/>
  <c r="N312" i="124"/>
  <c r="N313" i="124"/>
  <c r="N314" i="124"/>
  <c r="N315" i="124"/>
  <c r="N316" i="124"/>
  <c r="N317" i="124"/>
  <c r="N318" i="124"/>
  <c r="N319" i="124"/>
  <c r="N320" i="124"/>
  <c r="N321" i="124"/>
  <c r="N322" i="124"/>
  <c r="N323" i="124"/>
  <c r="N324" i="124"/>
  <c r="N325" i="124"/>
  <c r="N326" i="124"/>
  <c r="N327" i="124"/>
  <c r="N328" i="124"/>
  <c r="N329" i="124"/>
  <c r="N330" i="124"/>
  <c r="N331" i="124"/>
  <c r="N332" i="124"/>
  <c r="N333" i="124"/>
  <c r="N334" i="124"/>
  <c r="N335" i="124"/>
  <c r="N336" i="124"/>
  <c r="N337" i="124"/>
  <c r="N338" i="124"/>
  <c r="N339" i="124"/>
  <c r="N340" i="124"/>
  <c r="N341" i="124"/>
  <c r="N342" i="124"/>
  <c r="N343" i="124"/>
  <c r="N344" i="124"/>
  <c r="N345" i="124"/>
  <c r="N346" i="124"/>
  <c r="N347" i="124"/>
  <c r="N348" i="124"/>
  <c r="N349" i="124"/>
  <c r="N350" i="124"/>
  <c r="N351" i="124"/>
  <c r="N352" i="124"/>
  <c r="N353" i="124"/>
  <c r="N354" i="124"/>
  <c r="N355" i="124"/>
  <c r="N356" i="124"/>
  <c r="N357" i="124"/>
  <c r="N358" i="124"/>
  <c r="N359" i="124"/>
  <c r="N360" i="124"/>
  <c r="N361" i="124"/>
  <c r="N362" i="124"/>
  <c r="N363" i="124"/>
  <c r="N364" i="124"/>
  <c r="N365" i="124"/>
  <c r="N366" i="124"/>
  <c r="N367" i="124"/>
  <c r="N368" i="124"/>
  <c r="N369" i="124"/>
  <c r="N370" i="124"/>
  <c r="N371" i="124"/>
  <c r="N372" i="124"/>
  <c r="N373" i="124"/>
  <c r="N374" i="124"/>
  <c r="N375" i="124"/>
  <c r="N376" i="124"/>
  <c r="N377" i="124"/>
  <c r="N378" i="124"/>
  <c r="N379" i="124"/>
  <c r="N380" i="124"/>
  <c r="N381" i="124"/>
  <c r="N382" i="124"/>
  <c r="N383" i="124"/>
  <c r="N384" i="124"/>
  <c r="N385" i="124"/>
  <c r="N386" i="124"/>
  <c r="N387" i="124"/>
  <c r="N388" i="124"/>
  <c r="N389" i="124"/>
  <c r="N390" i="124"/>
  <c r="N391" i="124"/>
  <c r="N392" i="124"/>
  <c r="N393" i="124"/>
  <c r="N394" i="124"/>
  <c r="N395" i="124"/>
  <c r="N396" i="124"/>
  <c r="N397" i="124"/>
  <c r="N398" i="124"/>
  <c r="N399" i="124"/>
  <c r="N400" i="124"/>
  <c r="N401" i="124"/>
  <c r="N402" i="124"/>
  <c r="N403" i="124"/>
  <c r="N404" i="124"/>
  <c r="N405" i="124"/>
  <c r="N406" i="124"/>
  <c r="N407" i="124"/>
  <c r="N408" i="124"/>
  <c r="N409" i="124"/>
  <c r="N410" i="124"/>
  <c r="N411" i="124"/>
  <c r="N412" i="124"/>
  <c r="N413" i="124"/>
  <c r="N414" i="124"/>
  <c r="N415" i="124"/>
  <c r="N416" i="124"/>
  <c r="N417" i="124"/>
  <c r="N418" i="124"/>
  <c r="N419" i="124"/>
  <c r="N420" i="124"/>
  <c r="N421" i="124"/>
  <c r="N422" i="124"/>
  <c r="N423" i="124"/>
  <c r="N424" i="124"/>
  <c r="N425" i="124"/>
  <c r="N426" i="124"/>
  <c r="N427" i="124"/>
  <c r="N428" i="124"/>
  <c r="N429" i="124"/>
  <c r="N430" i="124"/>
  <c r="N431" i="124"/>
  <c r="N432" i="124"/>
  <c r="N433" i="124"/>
  <c r="N434" i="124"/>
  <c r="N435" i="124"/>
  <c r="N436" i="124"/>
  <c r="N437" i="124"/>
  <c r="N438" i="124"/>
  <c r="N439" i="124"/>
  <c r="N440" i="124"/>
  <c r="N441" i="124"/>
  <c r="N442" i="124"/>
  <c r="N443" i="124"/>
  <c r="N444" i="124"/>
  <c r="N445" i="124"/>
  <c r="N446" i="124"/>
  <c r="N447" i="124"/>
  <c r="N448" i="124"/>
  <c r="N449" i="124"/>
  <c r="N450" i="124"/>
  <c r="N451" i="124"/>
  <c r="N452" i="124"/>
  <c r="N453" i="124"/>
  <c r="N454" i="124"/>
  <c r="N455" i="124"/>
  <c r="N456" i="124"/>
  <c r="N457" i="124"/>
  <c r="N458" i="124"/>
  <c r="N459" i="124"/>
  <c r="N460" i="124"/>
  <c r="N461" i="124"/>
  <c r="N462" i="124"/>
  <c r="N463" i="124"/>
  <c r="N464" i="124"/>
  <c r="N465" i="124"/>
  <c r="N466" i="124"/>
  <c r="N467" i="124"/>
  <c r="N468" i="124"/>
  <c r="N469" i="124"/>
  <c r="N470" i="124"/>
  <c r="N471" i="124"/>
  <c r="N472" i="124"/>
  <c r="N473" i="124"/>
  <c r="N474" i="124"/>
  <c r="N475" i="124"/>
  <c r="N476" i="124"/>
  <c r="N477" i="124"/>
  <c r="N478" i="124"/>
  <c r="N479" i="124"/>
  <c r="N480" i="124"/>
  <c r="N481" i="124"/>
  <c r="N482" i="124"/>
  <c r="N483" i="124"/>
  <c r="N484" i="124"/>
  <c r="N485" i="124"/>
  <c r="N486" i="124"/>
  <c r="N487" i="124"/>
  <c r="N488" i="124"/>
  <c r="N489" i="124"/>
  <c r="N490" i="124"/>
  <c r="N491" i="124"/>
  <c r="N492" i="124"/>
  <c r="N493" i="124"/>
  <c r="N494" i="124"/>
  <c r="N495" i="124"/>
  <c r="N496" i="124"/>
  <c r="N497" i="124"/>
  <c r="N498" i="124"/>
  <c r="N499" i="124"/>
  <c r="N500" i="124"/>
  <c r="N501" i="124"/>
  <c r="N502" i="124"/>
  <c r="N503" i="124"/>
  <c r="N504" i="124"/>
  <c r="N505" i="124"/>
  <c r="N506" i="124"/>
  <c r="N507" i="124"/>
  <c r="N508" i="124"/>
  <c r="N509" i="124"/>
  <c r="G511" i="124"/>
  <c r="H511" i="124"/>
  <c r="I511" i="124"/>
  <c r="J511" i="124"/>
  <c r="K511" i="124"/>
  <c r="L511" i="124"/>
  <c r="M511" i="124"/>
  <c r="Q511" i="124"/>
  <c r="R511" i="124"/>
  <c r="T511" i="124"/>
  <c r="N513" i="124"/>
  <c r="N514" i="124"/>
  <c r="N515" i="124"/>
  <c r="N516" i="124"/>
  <c r="N517" i="124"/>
  <c r="N518" i="124"/>
  <c r="N519" i="124"/>
  <c r="N520" i="124"/>
  <c r="N521" i="124"/>
  <c r="N522" i="124"/>
  <c r="N523" i="124"/>
  <c r="N524" i="124"/>
  <c r="N525" i="124"/>
  <c r="N526" i="124"/>
  <c r="N527" i="124"/>
  <c r="N528" i="124"/>
  <c r="N529" i="124"/>
  <c r="N530" i="124"/>
  <c r="N531" i="124"/>
  <c r="N532" i="124"/>
  <c r="N533" i="124"/>
  <c r="N534" i="124"/>
  <c r="N535" i="124"/>
  <c r="N536" i="124"/>
  <c r="N537" i="124"/>
  <c r="N538" i="124"/>
  <c r="N539" i="124"/>
  <c r="N540" i="124"/>
  <c r="N541" i="124"/>
  <c r="N542" i="124"/>
  <c r="N543" i="124"/>
  <c r="N544" i="124"/>
  <c r="N545" i="124"/>
  <c r="N546" i="124"/>
  <c r="N547" i="124"/>
  <c r="N548" i="124"/>
  <c r="N549" i="124"/>
  <c r="N550" i="124"/>
  <c r="N551" i="124"/>
  <c r="N552" i="124"/>
  <c r="N553" i="124"/>
  <c r="N554" i="124"/>
  <c r="N555" i="124"/>
  <c r="N556" i="124"/>
  <c r="N557" i="124"/>
  <c r="N558" i="124"/>
  <c r="N559" i="124"/>
  <c r="N560" i="124"/>
  <c r="N561" i="124"/>
  <c r="N562" i="124"/>
  <c r="N563" i="124"/>
  <c r="N564" i="124"/>
  <c r="N565" i="124"/>
  <c r="N566" i="124"/>
  <c r="N567" i="124"/>
  <c r="N568" i="124"/>
  <c r="N569" i="124"/>
  <c r="N570" i="124"/>
  <c r="N571" i="124"/>
  <c r="N572" i="124"/>
  <c r="N573" i="124"/>
  <c r="N574" i="124"/>
  <c r="N575" i="124"/>
  <c r="N576" i="124"/>
  <c r="N577" i="124"/>
  <c r="N578" i="124"/>
  <c r="N579" i="124"/>
  <c r="N580" i="124"/>
  <c r="N581" i="124"/>
  <c r="N582" i="124"/>
  <c r="N583" i="124"/>
  <c r="N584" i="124"/>
  <c r="N585" i="124"/>
  <c r="N586" i="124"/>
  <c r="N587" i="124"/>
  <c r="N588" i="124"/>
  <c r="N589" i="124"/>
  <c r="N590" i="124"/>
  <c r="N591" i="124"/>
  <c r="N592" i="124"/>
  <c r="N593" i="124"/>
  <c r="N594" i="124"/>
  <c r="N595" i="124"/>
  <c r="N596" i="124"/>
  <c r="N597" i="124"/>
  <c r="N598" i="124"/>
  <c r="N599" i="124"/>
  <c r="N600" i="124"/>
  <c r="N601" i="124"/>
  <c r="N602" i="124"/>
  <c r="N603" i="124"/>
  <c r="N604" i="124"/>
  <c r="N605" i="124"/>
  <c r="N606" i="124"/>
  <c r="N607" i="124"/>
  <c r="N608" i="124"/>
  <c r="N609" i="124"/>
  <c r="N610" i="124"/>
  <c r="N611" i="124"/>
  <c r="N612" i="124"/>
  <c r="N613" i="124"/>
  <c r="N614" i="124"/>
  <c r="N615" i="124"/>
  <c r="N616" i="124"/>
  <c r="N617" i="124"/>
  <c r="N618" i="124"/>
  <c r="N619" i="124"/>
  <c r="N620" i="124"/>
  <c r="N621" i="124"/>
  <c r="N622" i="124"/>
  <c r="N623" i="124"/>
  <c r="N624" i="124"/>
  <c r="N625" i="124"/>
  <c r="N626" i="124"/>
  <c r="N627" i="124"/>
  <c r="N628" i="124"/>
  <c r="N629" i="124"/>
  <c r="N630" i="124"/>
  <c r="N631" i="124"/>
  <c r="N632" i="124"/>
  <c r="N633" i="124"/>
  <c r="N634" i="124"/>
  <c r="N635" i="124"/>
  <c r="N636" i="124"/>
  <c r="N637" i="124"/>
  <c r="N638" i="124"/>
  <c r="N639" i="124"/>
  <c r="N640" i="124"/>
  <c r="N641" i="124"/>
  <c r="N642" i="124"/>
  <c r="N643" i="124"/>
  <c r="N644" i="124"/>
  <c r="N645" i="124"/>
  <c r="N646" i="124"/>
  <c r="N647" i="124"/>
  <c r="N648" i="124"/>
  <c r="N649" i="124"/>
  <c r="N650" i="124"/>
  <c r="N651" i="124"/>
  <c r="N652" i="124"/>
  <c r="N653" i="124"/>
  <c r="N654" i="124"/>
  <c r="N655" i="124"/>
  <c r="N656" i="124"/>
  <c r="N657" i="124"/>
  <c r="N658" i="124"/>
  <c r="G660" i="124"/>
  <c r="H660" i="124"/>
  <c r="I660" i="124"/>
  <c r="J660" i="124"/>
  <c r="K660" i="124"/>
  <c r="L660" i="124"/>
  <c r="M660" i="124"/>
  <c r="Q660" i="124"/>
  <c r="R660" i="124"/>
  <c r="S660" i="124"/>
  <c r="T660" i="124"/>
  <c r="N662" i="124"/>
  <c r="N663" i="124"/>
  <c r="N664" i="124"/>
  <c r="N665" i="124"/>
  <c r="N666" i="124"/>
  <c r="N667" i="124"/>
  <c r="N668" i="124"/>
  <c r="N669" i="124"/>
  <c r="N670" i="124"/>
  <c r="N671" i="124"/>
  <c r="N672" i="124"/>
  <c r="N673" i="124"/>
  <c r="N674" i="124"/>
  <c r="N675" i="124"/>
  <c r="N676" i="124"/>
  <c r="N677" i="124"/>
  <c r="N678" i="124"/>
  <c r="N679" i="124"/>
  <c r="N680" i="124"/>
  <c r="N681" i="124"/>
  <c r="N682" i="124"/>
  <c r="N683" i="124"/>
  <c r="N684" i="124"/>
  <c r="N685" i="124"/>
  <c r="N686" i="124"/>
  <c r="N687" i="124"/>
  <c r="N688" i="124"/>
  <c r="N689" i="124"/>
  <c r="N690" i="124"/>
  <c r="N691" i="124"/>
  <c r="N692" i="124"/>
  <c r="N693" i="124"/>
  <c r="N694" i="124"/>
  <c r="N695" i="124"/>
  <c r="N696" i="124"/>
  <c r="N697" i="124"/>
  <c r="N698" i="124"/>
  <c r="N699" i="124"/>
  <c r="N700" i="124"/>
  <c r="N701" i="124"/>
  <c r="N702" i="124"/>
  <c r="N703" i="124"/>
  <c r="N704" i="124"/>
  <c r="N705" i="124"/>
  <c r="N706" i="124"/>
  <c r="N707" i="124"/>
  <c r="N708" i="124"/>
  <c r="N709" i="124"/>
  <c r="N710" i="124"/>
  <c r="N711" i="124"/>
  <c r="N712" i="124"/>
  <c r="N713" i="124"/>
  <c r="N714" i="124"/>
  <c r="N715" i="124"/>
  <c r="N716" i="124"/>
  <c r="N717" i="124"/>
  <c r="N718" i="124"/>
  <c r="N719" i="124"/>
  <c r="N720" i="124"/>
  <c r="N721" i="124"/>
  <c r="N722" i="124"/>
  <c r="N723" i="124"/>
  <c r="N724" i="124"/>
  <c r="N725" i="124"/>
  <c r="N726" i="124"/>
  <c r="N727" i="124"/>
  <c r="N728" i="124"/>
  <c r="N729" i="124"/>
  <c r="N730" i="124"/>
  <c r="N731" i="124"/>
  <c r="N732" i="124"/>
  <c r="N733" i="124"/>
  <c r="N734" i="124"/>
  <c r="N735" i="124"/>
  <c r="N736" i="124"/>
  <c r="N737" i="124"/>
  <c r="N738" i="124"/>
  <c r="N739" i="124"/>
  <c r="N740" i="124"/>
  <c r="N741" i="124"/>
  <c r="N742" i="124"/>
  <c r="N743" i="124"/>
  <c r="N744" i="124"/>
  <c r="N745" i="124"/>
  <c r="N746" i="124"/>
  <c r="N747" i="124"/>
  <c r="N748" i="124"/>
  <c r="N749" i="124"/>
  <c r="N750" i="124"/>
  <c r="N751" i="124"/>
  <c r="N752" i="124"/>
  <c r="N753" i="124"/>
  <c r="N754" i="124"/>
  <c r="N755" i="124"/>
  <c r="N756" i="124"/>
  <c r="N757" i="124"/>
  <c r="N758" i="124"/>
  <c r="N759" i="124"/>
  <c r="N760" i="124"/>
  <c r="N761" i="124"/>
  <c r="N762" i="124"/>
  <c r="N763" i="124"/>
  <c r="N764" i="124"/>
  <c r="N765" i="124"/>
  <c r="N766" i="124"/>
  <c r="N767" i="124"/>
  <c r="N768" i="124"/>
  <c r="N769" i="124"/>
  <c r="N770" i="124"/>
  <c r="N771" i="124"/>
  <c r="N772" i="124"/>
  <c r="N773" i="124"/>
  <c r="N774" i="124"/>
  <c r="N775" i="124"/>
  <c r="N776" i="124"/>
  <c r="N777" i="124"/>
  <c r="N778" i="124"/>
  <c r="N779" i="124"/>
  <c r="N780" i="124"/>
  <c r="N781" i="124"/>
  <c r="N782" i="124"/>
  <c r="N783" i="124"/>
  <c r="N784" i="124"/>
  <c r="N785" i="124"/>
  <c r="N786" i="124"/>
  <c r="N787" i="124"/>
  <c r="N788" i="124"/>
  <c r="N789" i="124"/>
  <c r="N790" i="124"/>
  <c r="N791" i="124"/>
  <c r="N792" i="124"/>
  <c r="N793" i="124"/>
  <c r="N794" i="124"/>
  <c r="N795" i="124"/>
  <c r="N796" i="124"/>
  <c r="N797" i="124"/>
  <c r="N798" i="124"/>
  <c r="N799" i="124"/>
  <c r="N800" i="124"/>
  <c r="N801" i="124"/>
  <c r="N802" i="124"/>
  <c r="N803" i="124"/>
  <c r="N804" i="124"/>
  <c r="N805" i="124"/>
  <c r="N806" i="124"/>
  <c r="N807" i="124"/>
  <c r="N808" i="124"/>
  <c r="N809" i="124"/>
  <c r="N810" i="124"/>
  <c r="N811" i="124"/>
  <c r="N812" i="124"/>
  <c r="N813" i="124"/>
  <c r="N814" i="124"/>
  <c r="N815" i="124"/>
  <c r="N816" i="124"/>
  <c r="N817" i="124"/>
  <c r="N818" i="124"/>
  <c r="N819" i="124"/>
  <c r="N820" i="124"/>
  <c r="N821" i="124"/>
  <c r="N822" i="124"/>
  <c r="N823" i="124"/>
  <c r="N824" i="124"/>
  <c r="N825" i="124"/>
  <c r="N826" i="124"/>
  <c r="N827" i="124"/>
  <c r="N828" i="124"/>
  <c r="N829" i="124"/>
  <c r="N830" i="124"/>
  <c r="N831" i="124"/>
  <c r="N832" i="124"/>
  <c r="N833" i="124"/>
  <c r="N834" i="124"/>
  <c r="N835" i="124"/>
  <c r="N836" i="124"/>
  <c r="N837" i="124"/>
  <c r="N838" i="124"/>
  <c r="N839" i="124"/>
  <c r="N840" i="124"/>
  <c r="N841" i="124"/>
  <c r="N842" i="124"/>
  <c r="N843" i="124"/>
  <c r="N844" i="124"/>
  <c r="N845" i="124"/>
  <c r="N846" i="124"/>
  <c r="N847" i="124"/>
  <c r="N848" i="124"/>
  <c r="N849" i="124"/>
  <c r="N850" i="124"/>
  <c r="N851" i="124"/>
  <c r="N852" i="124"/>
  <c r="N853" i="124"/>
  <c r="G857" i="124"/>
  <c r="H857" i="124"/>
  <c r="I857" i="124"/>
  <c r="J857" i="124"/>
  <c r="K857" i="124"/>
  <c r="L857" i="124"/>
  <c r="M857" i="124"/>
  <c r="N857" i="124"/>
  <c r="R857" i="124"/>
  <c r="S857" i="124"/>
  <c r="T857" i="124"/>
  <c r="U857" i="124"/>
  <c r="O859" i="124"/>
  <c r="O860" i="124"/>
  <c r="O861" i="124"/>
  <c r="O862" i="124"/>
  <c r="O863" i="124"/>
  <c r="O864" i="124"/>
  <c r="O865" i="124"/>
  <c r="O866" i="124"/>
  <c r="O867" i="124"/>
  <c r="O868" i="124"/>
  <c r="O869" i="124"/>
  <c r="O870" i="124"/>
  <c r="O871" i="124"/>
  <c r="O872" i="124"/>
  <c r="O873" i="124"/>
  <c r="O874" i="124"/>
  <c r="O875" i="124"/>
  <c r="O876" i="124"/>
  <c r="O877" i="124"/>
  <c r="O878" i="124"/>
  <c r="O879" i="124"/>
  <c r="O880" i="124"/>
  <c r="O881" i="124"/>
  <c r="O882" i="124"/>
  <c r="O883" i="124"/>
  <c r="O884" i="124"/>
  <c r="O885" i="124"/>
  <c r="O886" i="124"/>
  <c r="O887" i="124"/>
  <c r="O888" i="124"/>
  <c r="O889" i="124"/>
  <c r="O890" i="124"/>
  <c r="O891" i="124"/>
  <c r="O892" i="124"/>
  <c r="O893" i="124"/>
  <c r="O894" i="124"/>
  <c r="O895" i="124"/>
  <c r="O896" i="124"/>
  <c r="O897" i="124"/>
  <c r="O898" i="124"/>
  <c r="O899" i="124"/>
  <c r="O900" i="124"/>
  <c r="O901" i="124"/>
  <c r="O902" i="124"/>
  <c r="O903" i="124"/>
  <c r="O904" i="124"/>
  <c r="O905" i="124"/>
  <c r="O906" i="124"/>
  <c r="O907" i="124"/>
  <c r="O908" i="124"/>
  <c r="O909" i="124"/>
  <c r="O910" i="124"/>
  <c r="O911" i="124"/>
  <c r="O912" i="124"/>
  <c r="O913" i="124"/>
  <c r="O914" i="124"/>
  <c r="O915" i="124"/>
  <c r="O916" i="124"/>
  <c r="O917" i="124"/>
  <c r="O918" i="124"/>
  <c r="O919" i="124"/>
  <c r="O920" i="124"/>
  <c r="O921" i="124"/>
  <c r="O922" i="124"/>
  <c r="O923" i="124"/>
  <c r="O924" i="124"/>
  <c r="O925" i="124"/>
  <c r="O926" i="124"/>
  <c r="O927" i="124"/>
  <c r="O928" i="124"/>
  <c r="O929" i="124"/>
  <c r="O930" i="124"/>
  <c r="O931" i="124"/>
  <c r="O932" i="124"/>
  <c r="O933" i="124"/>
  <c r="O934" i="124"/>
  <c r="O935" i="124"/>
  <c r="O936" i="124"/>
  <c r="O937" i="124"/>
  <c r="O938" i="124"/>
  <c r="O939" i="124"/>
  <c r="O940" i="124"/>
  <c r="O941" i="124"/>
  <c r="O942" i="124"/>
  <c r="O943" i="124"/>
  <c r="O944" i="124"/>
  <c r="O945" i="124"/>
  <c r="O946" i="124"/>
  <c r="O947" i="124"/>
  <c r="O948" i="124"/>
  <c r="O949" i="124"/>
  <c r="O950" i="124"/>
  <c r="O951" i="124"/>
  <c r="O952" i="124"/>
  <c r="O953" i="124"/>
  <c r="O954" i="124"/>
  <c r="O955" i="124"/>
  <c r="O956" i="124"/>
  <c r="O957" i="124"/>
  <c r="O958" i="124"/>
  <c r="O959" i="124"/>
  <c r="O960" i="124"/>
  <c r="O961" i="124"/>
  <c r="O962" i="124"/>
  <c r="O963" i="124"/>
  <c r="O964" i="124"/>
  <c r="O965" i="124"/>
  <c r="O966" i="124"/>
  <c r="O967" i="124"/>
  <c r="O968" i="124"/>
  <c r="O969" i="124"/>
  <c r="O970" i="124"/>
  <c r="O971" i="124"/>
  <c r="O972" i="124"/>
  <c r="O973" i="124"/>
  <c r="O974" i="124"/>
  <c r="O975" i="124"/>
  <c r="O976" i="124"/>
  <c r="O977" i="124"/>
  <c r="O978" i="124"/>
  <c r="O979" i="124"/>
  <c r="O980" i="124"/>
  <c r="O981" i="124"/>
  <c r="O982" i="124"/>
  <c r="O983" i="124"/>
  <c r="O984" i="124"/>
  <c r="O985" i="124"/>
  <c r="O986" i="124"/>
  <c r="O987" i="124"/>
  <c r="O988" i="124"/>
  <c r="O989" i="124"/>
  <c r="O990" i="124"/>
  <c r="O991" i="124"/>
  <c r="O992" i="124"/>
  <c r="O993" i="124"/>
  <c r="O994" i="124"/>
  <c r="O995" i="124"/>
  <c r="O996" i="124"/>
  <c r="O997" i="124"/>
  <c r="O998" i="124"/>
  <c r="O999" i="124"/>
  <c r="O1000" i="124"/>
  <c r="O1001" i="124"/>
  <c r="O1002" i="124"/>
  <c r="O1003" i="124"/>
  <c r="O1004" i="124"/>
  <c r="O1005" i="124"/>
  <c r="O1006" i="124"/>
  <c r="O1007" i="124"/>
  <c r="O1008" i="124"/>
  <c r="O1009" i="124"/>
  <c r="O1010" i="124"/>
  <c r="O1011" i="124"/>
  <c r="O1012" i="124"/>
  <c r="O1013" i="124"/>
  <c r="O1014" i="124"/>
  <c r="O1015" i="124"/>
  <c r="O1016" i="124"/>
  <c r="O1017" i="124"/>
  <c r="O1018" i="124"/>
  <c r="O1019" i="124"/>
  <c r="O1020" i="124"/>
  <c r="O1021" i="124"/>
  <c r="O1022" i="124"/>
  <c r="O1023" i="124"/>
  <c r="G1029" i="124"/>
  <c r="H1029" i="124"/>
  <c r="I1029" i="124"/>
  <c r="J1029" i="124"/>
  <c r="K1029" i="124"/>
  <c r="L1029" i="124"/>
  <c r="M1029" i="124"/>
  <c r="N1029" i="124"/>
  <c r="S1029" i="124"/>
  <c r="T1029" i="124"/>
  <c r="U1029" i="124"/>
  <c r="O1031" i="124"/>
  <c r="O1032" i="124"/>
  <c r="O1033" i="124"/>
  <c r="O1034" i="124"/>
  <c r="R1034" i="124"/>
  <c r="O1035" i="124"/>
  <c r="R1035" i="124"/>
  <c r="R1029" i="124" s="1"/>
  <c r="O1036" i="124"/>
  <c r="R1036" i="124"/>
  <c r="O1037" i="124"/>
  <c r="R1037" i="124"/>
  <c r="O1038" i="124"/>
  <c r="R1038" i="124"/>
  <c r="O1039" i="124"/>
  <c r="R1039" i="124"/>
  <c r="O1040" i="124"/>
  <c r="R1040" i="124"/>
  <c r="O1041" i="124"/>
  <c r="R1041" i="124"/>
  <c r="O1042" i="124"/>
  <c r="O1043" i="124"/>
  <c r="R1043" i="124"/>
  <c r="O1044" i="124"/>
  <c r="O1045" i="124"/>
  <c r="O1046" i="124"/>
  <c r="R1046" i="124"/>
  <c r="O1047" i="124"/>
  <c r="O1048" i="124"/>
  <c r="R1048" i="124"/>
  <c r="O1049" i="124"/>
  <c r="R1049" i="124"/>
  <c r="O1050" i="124"/>
  <c r="R1050" i="124"/>
  <c r="O1051" i="124"/>
  <c r="R1051" i="124"/>
  <c r="O1052" i="124"/>
  <c r="R1052" i="124"/>
  <c r="O1053" i="124"/>
  <c r="R1053" i="124"/>
  <c r="O1054" i="124"/>
  <c r="R1054" i="124"/>
  <c r="O1055" i="124"/>
  <c r="R1055" i="124"/>
  <c r="O1056" i="124"/>
  <c r="R1056" i="124"/>
  <c r="O1057" i="124"/>
  <c r="O1058" i="124"/>
  <c r="O1059" i="124"/>
  <c r="O1060" i="124"/>
  <c r="R1060" i="124"/>
  <c r="O1061" i="124"/>
  <c r="R1061" i="124"/>
  <c r="O1062" i="124"/>
  <c r="R1062" i="124"/>
  <c r="O1063" i="124"/>
  <c r="R1063" i="124"/>
  <c r="O1064" i="124"/>
  <c r="R1064" i="124"/>
  <c r="O1065" i="124"/>
  <c r="R1065" i="124"/>
  <c r="O1066" i="124"/>
  <c r="R1066" i="124"/>
  <c r="O1067" i="124"/>
  <c r="R1067" i="124"/>
  <c r="O1068" i="124"/>
  <c r="R1068" i="124"/>
  <c r="O1069" i="124"/>
  <c r="R1069" i="124"/>
  <c r="O1070" i="124"/>
  <c r="R1070" i="124"/>
  <c r="O1071" i="124"/>
  <c r="R1071" i="124"/>
  <c r="O1072" i="124"/>
  <c r="R1072" i="124"/>
  <c r="O1073" i="124"/>
  <c r="R1073" i="124"/>
  <c r="O1074" i="124"/>
  <c r="R1074" i="124"/>
  <c r="O1075" i="124"/>
  <c r="R1075" i="124"/>
  <c r="O1076" i="124"/>
  <c r="R1076" i="124"/>
  <c r="O1077" i="124"/>
  <c r="R1077" i="124"/>
  <c r="O1078" i="124"/>
  <c r="R1078" i="124"/>
  <c r="O1079" i="124"/>
  <c r="R1079" i="124"/>
  <c r="O1080" i="124"/>
  <c r="R1080" i="124"/>
  <c r="O1081" i="124"/>
  <c r="R1081" i="124"/>
  <c r="O1082" i="124"/>
  <c r="R1082" i="124"/>
  <c r="O1083" i="124"/>
  <c r="R1083" i="124"/>
  <c r="O1084" i="124"/>
  <c r="R1084" i="124"/>
  <c r="O1085" i="124"/>
  <c r="R1085" i="124"/>
  <c r="O1086" i="124"/>
  <c r="R1086" i="124"/>
  <c r="O1087" i="124"/>
  <c r="R1087" i="124"/>
  <c r="O1088" i="124"/>
  <c r="R1088" i="124"/>
  <c r="O1089" i="124"/>
  <c r="R1089" i="124"/>
  <c r="O1090" i="124"/>
  <c r="R1090" i="124"/>
  <c r="O1091" i="124"/>
  <c r="R1091" i="124"/>
  <c r="O1092" i="124"/>
  <c r="R1092" i="124"/>
  <c r="O1093" i="124"/>
  <c r="R1093" i="124"/>
  <c r="O1094" i="124"/>
  <c r="R1094" i="124"/>
  <c r="O1095" i="124"/>
  <c r="R1095" i="124"/>
  <c r="O1096" i="124"/>
  <c r="R1096" i="124"/>
  <c r="O1097" i="124"/>
  <c r="R1097" i="124"/>
  <c r="O1098" i="124"/>
  <c r="R1098" i="124"/>
  <c r="O1099" i="124"/>
  <c r="R1099" i="124"/>
  <c r="O1100" i="124"/>
  <c r="R1100" i="124"/>
  <c r="O1101" i="124"/>
  <c r="R1101" i="124"/>
  <c r="O1102" i="124"/>
  <c r="R1102" i="124"/>
  <c r="O1103" i="124"/>
  <c r="R1103" i="124"/>
  <c r="O1104" i="124"/>
  <c r="R1104" i="124"/>
  <c r="O1105" i="124"/>
  <c r="R1105" i="124"/>
  <c r="O1106" i="124"/>
  <c r="R1106" i="124"/>
  <c r="O1107" i="124"/>
  <c r="R1107" i="124"/>
  <c r="O1108" i="124"/>
  <c r="R1108" i="124"/>
  <c r="O1109" i="124"/>
  <c r="O1110" i="124"/>
  <c r="O1111" i="124"/>
  <c r="O1112" i="124"/>
  <c r="O1113" i="124"/>
  <c r="R1113" i="124"/>
  <c r="O1114" i="124"/>
  <c r="O1115" i="124"/>
  <c r="R1115" i="124"/>
  <c r="O1116" i="124"/>
  <c r="R1116" i="124"/>
  <c r="O1117" i="124"/>
  <c r="R1117" i="124"/>
  <c r="O1118" i="124"/>
  <c r="R1118" i="124"/>
  <c r="O1119" i="124"/>
  <c r="R1119" i="124"/>
  <c r="O1120" i="124"/>
  <c r="R1120" i="124"/>
  <c r="O1121" i="124"/>
  <c r="R1121" i="124"/>
  <c r="O1122" i="124"/>
  <c r="R1122" i="124"/>
  <c r="O1123" i="124"/>
  <c r="R1123" i="124"/>
  <c r="O1124" i="124"/>
  <c r="O1125" i="124"/>
  <c r="O1126" i="124"/>
  <c r="O1127" i="124"/>
  <c r="O1128" i="124"/>
  <c r="O1129" i="124"/>
  <c r="O1130" i="124"/>
  <c r="R1130" i="124"/>
  <c r="O1131" i="124"/>
  <c r="O1132" i="124"/>
  <c r="R1132" i="124"/>
  <c r="O1133" i="124"/>
  <c r="R1133" i="124"/>
  <c r="O1134" i="124"/>
  <c r="R1134" i="124"/>
  <c r="O1135" i="124"/>
  <c r="R1135" i="124"/>
  <c r="O1136" i="124"/>
  <c r="R1136" i="124"/>
  <c r="O1137" i="124"/>
  <c r="R1137" i="124"/>
  <c r="O1138" i="124"/>
  <c r="R1138" i="124"/>
  <c r="O1139" i="124"/>
  <c r="R1139" i="124"/>
  <c r="O1140" i="124"/>
  <c r="R1140" i="124"/>
  <c r="O1141" i="124"/>
  <c r="R1141" i="124"/>
  <c r="O1142" i="124"/>
  <c r="R1142" i="124"/>
  <c r="O1143" i="124"/>
  <c r="R1143" i="124"/>
  <c r="O1144" i="124"/>
  <c r="R1144" i="124"/>
  <c r="O1145" i="124"/>
  <c r="R1145" i="124"/>
  <c r="O1146" i="124"/>
  <c r="R1146" i="124"/>
  <c r="O1147" i="124"/>
  <c r="R1147" i="124"/>
  <c r="O1148" i="124"/>
  <c r="R1148" i="124"/>
  <c r="O1149" i="124"/>
  <c r="R1149" i="124"/>
  <c r="O1150" i="124"/>
  <c r="R1150" i="124"/>
  <c r="O1151" i="124"/>
  <c r="R1151" i="124"/>
  <c r="O1152" i="124"/>
  <c r="R1152" i="124"/>
  <c r="O1153" i="124"/>
  <c r="R1153" i="124"/>
  <c r="O1154" i="124"/>
  <c r="R1154" i="124"/>
  <c r="O1155" i="124"/>
  <c r="R1155" i="124"/>
  <c r="O1156" i="124"/>
  <c r="R1156" i="124"/>
  <c r="O1157" i="124"/>
  <c r="R1157" i="124"/>
  <c r="G1161" i="124"/>
  <c r="H1161" i="124"/>
  <c r="I1161" i="124"/>
  <c r="J1161" i="124"/>
  <c r="K1161" i="124"/>
  <c r="L1161" i="124"/>
  <c r="M1161" i="124"/>
  <c r="N1161" i="124"/>
  <c r="T1161" i="124"/>
  <c r="U1161" i="124"/>
  <c r="O1163" i="124"/>
  <c r="O1164" i="124"/>
  <c r="O1165" i="124"/>
  <c r="O1166" i="124"/>
  <c r="O1167" i="124"/>
  <c r="O1168" i="124"/>
  <c r="O1169" i="124"/>
  <c r="O1170" i="124"/>
  <c r="O1171" i="124"/>
  <c r="O1172" i="124"/>
  <c r="O1173" i="124"/>
  <c r="O1174" i="124"/>
  <c r="O1175" i="124"/>
  <c r="O1176" i="124"/>
  <c r="O1177" i="124"/>
  <c r="O1178" i="124"/>
  <c r="O1179" i="124"/>
  <c r="O1180" i="124"/>
  <c r="O1181" i="124"/>
  <c r="O1182" i="124"/>
  <c r="O1183" i="124"/>
  <c r="O1184" i="124"/>
  <c r="O1185" i="124"/>
  <c r="O1186" i="124"/>
  <c r="R1186" i="124"/>
  <c r="O1187" i="124"/>
  <c r="R1187" i="124"/>
  <c r="O1188" i="124"/>
  <c r="R1188" i="124"/>
  <c r="O1189" i="124"/>
  <c r="R1189" i="124"/>
  <c r="O1190" i="124"/>
  <c r="R1190" i="124"/>
  <c r="O1191" i="124"/>
  <c r="R1191" i="124"/>
  <c r="O1192" i="124"/>
  <c r="R1192" i="124"/>
  <c r="O1193" i="124"/>
  <c r="R1193" i="124"/>
  <c r="O1194" i="124"/>
  <c r="R1194" i="124"/>
  <c r="O1195" i="124"/>
  <c r="R1195" i="124"/>
  <c r="O1196" i="124"/>
  <c r="R1196" i="124"/>
  <c r="O1197" i="124"/>
  <c r="R1197" i="124"/>
  <c r="O1198" i="124"/>
  <c r="R1198" i="124"/>
  <c r="O1199" i="124"/>
  <c r="R1199" i="124"/>
  <c r="O1200" i="124"/>
  <c r="R1200" i="124"/>
  <c r="O1201" i="124"/>
  <c r="R1201" i="124"/>
  <c r="O1202" i="124"/>
  <c r="R1202" i="124"/>
  <c r="O1203" i="124"/>
  <c r="R1203" i="124"/>
  <c r="O1204" i="124"/>
  <c r="R1204" i="124"/>
  <c r="O1205" i="124"/>
  <c r="R1205" i="124"/>
  <c r="O1206" i="124"/>
  <c r="R1206" i="124"/>
  <c r="O1207" i="124"/>
  <c r="R1207" i="124"/>
  <c r="O1208" i="124"/>
  <c r="R1208" i="124"/>
  <c r="O1209" i="124"/>
  <c r="R1209" i="124"/>
  <c r="O1210" i="124"/>
  <c r="R1210" i="124"/>
  <c r="O1211" i="124"/>
  <c r="R1211" i="124"/>
  <c r="O1212" i="124"/>
  <c r="R1212" i="124"/>
  <c r="O1213" i="124"/>
  <c r="R1213" i="124"/>
  <c r="O1214" i="124"/>
  <c r="R1214" i="124"/>
  <c r="O1215" i="124"/>
  <c r="R1215" i="124"/>
  <c r="O1216" i="124"/>
  <c r="R1216" i="124"/>
  <c r="O1217" i="124"/>
  <c r="R1217" i="124"/>
  <c r="O1218" i="124"/>
  <c r="R1218" i="124"/>
  <c r="O1219" i="124"/>
  <c r="R1219" i="124"/>
  <c r="O1220" i="124"/>
  <c r="R1220" i="124"/>
  <c r="O1221" i="124"/>
  <c r="R1221" i="124"/>
  <c r="O1222" i="124"/>
  <c r="R1222" i="124"/>
  <c r="O1223" i="124"/>
  <c r="R1223" i="124"/>
  <c r="O1224" i="124"/>
  <c r="R1224" i="124"/>
  <c r="O1225" i="124"/>
  <c r="R1225" i="124"/>
  <c r="O1226" i="124"/>
  <c r="R1226" i="124"/>
  <c r="O1227" i="124"/>
  <c r="R1227" i="124"/>
  <c r="O1228" i="124"/>
  <c r="R1228" i="124"/>
  <c r="O1229" i="124"/>
  <c r="R1229" i="124"/>
  <c r="O1230" i="124"/>
  <c r="R1230" i="124"/>
  <c r="O1231" i="124"/>
  <c r="R1231" i="124"/>
  <c r="O1232" i="124"/>
  <c r="R1232" i="124"/>
  <c r="O1233" i="124"/>
  <c r="R1233" i="124"/>
  <c r="O1234" i="124"/>
  <c r="R1234" i="124"/>
  <c r="O1235" i="124"/>
  <c r="R1235" i="124"/>
  <c r="O1236" i="124"/>
  <c r="R1236" i="124"/>
  <c r="O1237" i="124"/>
  <c r="R1237" i="124"/>
  <c r="O1238" i="124"/>
  <c r="R1238" i="124"/>
  <c r="O1239" i="124"/>
  <c r="R1239" i="124"/>
  <c r="O1240" i="124"/>
  <c r="R1240" i="124"/>
  <c r="O1241" i="124"/>
  <c r="R1241" i="124"/>
  <c r="O1242" i="124"/>
  <c r="R1242" i="124"/>
  <c r="O1243" i="124"/>
  <c r="R1243" i="124"/>
  <c r="O1244" i="124"/>
  <c r="R1244" i="124"/>
  <c r="O1245" i="124"/>
  <c r="R1245" i="124"/>
  <c r="O1246" i="124"/>
  <c r="R1246" i="124"/>
  <c r="O1247" i="124"/>
  <c r="R1247" i="124"/>
  <c r="O1248" i="124"/>
  <c r="R1248" i="124"/>
  <c r="O1249" i="124"/>
  <c r="R1249" i="124"/>
  <c r="O1250" i="124"/>
  <c r="R1250" i="124"/>
  <c r="O1251" i="124"/>
  <c r="R1251" i="124"/>
  <c r="O1252" i="124"/>
  <c r="R1252" i="124"/>
  <c r="O1253" i="124"/>
  <c r="R1253" i="124"/>
  <c r="O1254" i="124"/>
  <c r="R1254" i="124"/>
  <c r="O1255" i="124"/>
  <c r="R1255" i="124"/>
  <c r="O1256" i="124"/>
  <c r="R1256" i="124"/>
  <c r="O1257" i="124"/>
  <c r="R1257" i="124"/>
  <c r="O1258" i="124"/>
  <c r="R1258" i="124"/>
  <c r="O1259" i="124"/>
  <c r="R1259" i="124"/>
  <c r="O1260" i="124"/>
  <c r="R1260" i="124"/>
  <c r="O1261" i="124"/>
  <c r="R1261" i="124"/>
  <c r="O1262" i="124"/>
  <c r="R1262" i="124"/>
  <c r="O1263" i="124"/>
  <c r="R1263" i="124"/>
  <c r="O1264" i="124"/>
  <c r="R1264" i="124"/>
  <c r="O1265" i="124"/>
  <c r="R1265" i="124"/>
  <c r="O1266" i="124"/>
  <c r="R1266" i="124"/>
  <c r="O1267" i="124"/>
  <c r="R1267" i="124"/>
  <c r="O1268" i="124"/>
  <c r="R1268" i="124"/>
  <c r="O1269" i="124"/>
  <c r="R1269" i="124"/>
  <c r="O1270" i="124"/>
  <c r="R1270" i="124"/>
  <c r="O1271" i="124"/>
  <c r="R1271" i="124"/>
  <c r="O1272" i="124"/>
  <c r="R1272" i="124"/>
  <c r="O1273" i="124"/>
  <c r="R1273" i="124"/>
  <c r="O1274" i="124"/>
  <c r="R1274" i="124"/>
  <c r="O1275" i="124"/>
  <c r="R1275" i="124"/>
  <c r="O1276" i="124"/>
  <c r="R1276" i="124"/>
  <c r="O1277" i="124"/>
  <c r="R1277" i="124"/>
  <c r="O1278" i="124"/>
  <c r="R1278" i="124"/>
  <c r="O1279" i="124"/>
  <c r="R1279" i="124"/>
  <c r="O1280" i="124"/>
  <c r="R1280" i="124"/>
  <c r="O1281" i="124"/>
  <c r="R1281" i="124"/>
  <c r="O1282" i="124"/>
  <c r="R1282" i="124"/>
  <c r="O1283" i="124"/>
  <c r="R1283" i="124"/>
  <c r="O1284" i="124"/>
  <c r="R1284" i="124"/>
  <c r="O1285" i="124"/>
  <c r="R1285" i="124"/>
  <c r="O1286" i="124"/>
  <c r="R1286" i="124"/>
  <c r="O1287" i="124"/>
  <c r="R1287" i="124"/>
  <c r="O1288" i="124"/>
  <c r="R1288" i="124"/>
  <c r="O1289" i="124"/>
  <c r="R1289" i="124"/>
  <c r="O1290" i="124"/>
  <c r="R1290" i="124"/>
  <c r="O1291" i="124"/>
  <c r="R1291" i="124"/>
  <c r="O1292" i="124"/>
  <c r="R1292" i="124"/>
  <c r="O1293" i="124"/>
  <c r="R1293" i="124"/>
  <c r="O1294" i="124"/>
  <c r="R1294" i="124"/>
  <c r="O1295" i="124"/>
  <c r="R1295" i="124"/>
  <c r="O1296" i="124"/>
  <c r="R1296" i="124"/>
  <c r="O1297" i="124"/>
  <c r="R1297" i="124"/>
  <c r="O1298" i="124"/>
  <c r="R1298" i="124"/>
  <c r="O1299" i="124"/>
  <c r="R1299" i="124"/>
  <c r="O1300" i="124"/>
  <c r="R1300" i="124"/>
  <c r="O1301" i="124"/>
  <c r="R1301" i="124"/>
  <c r="O1302" i="124"/>
  <c r="R1302" i="124"/>
  <c r="O1303" i="124"/>
  <c r="R1303" i="124"/>
  <c r="O1304" i="124"/>
  <c r="R1304" i="124"/>
  <c r="O1305" i="124"/>
  <c r="O1306" i="124"/>
  <c r="O1307" i="124"/>
  <c r="O1308" i="124"/>
  <c r="O1309" i="124"/>
  <c r="O1310" i="124"/>
  <c r="O1311" i="124"/>
  <c r="O1312" i="124"/>
  <c r="O1313" i="124"/>
  <c r="R1313" i="124"/>
  <c r="O1314" i="124"/>
  <c r="R1314" i="124"/>
  <c r="O1315" i="124"/>
  <c r="R1315" i="124"/>
  <c r="O1316" i="124"/>
  <c r="R1316" i="124"/>
  <c r="O1317" i="124"/>
  <c r="R1317" i="124"/>
  <c r="O1318" i="124"/>
  <c r="R1318" i="124"/>
  <c r="O1319" i="124"/>
  <c r="R1319" i="124"/>
  <c r="O1320" i="124"/>
  <c r="R1320" i="124"/>
  <c r="O1321" i="124"/>
  <c r="R1321" i="124"/>
  <c r="O1322" i="124"/>
  <c r="R1322" i="124"/>
  <c r="O1323" i="124"/>
  <c r="R1323" i="124"/>
  <c r="O1324" i="124"/>
  <c r="R1324" i="124"/>
  <c r="O1325" i="124"/>
  <c r="R1325" i="124"/>
  <c r="O1326" i="124"/>
  <c r="R1326" i="124"/>
  <c r="O1327" i="124"/>
  <c r="R1327" i="124"/>
  <c r="O1328" i="124"/>
  <c r="R1328" i="124"/>
  <c r="O1329" i="124"/>
  <c r="R1329" i="124"/>
  <c r="O1330" i="124"/>
  <c r="R1330" i="124"/>
  <c r="O1331" i="124"/>
  <c r="R1331" i="124"/>
  <c r="O1332" i="124"/>
  <c r="R1332" i="124"/>
  <c r="O1333" i="124"/>
  <c r="R1333" i="124"/>
  <c r="O1334" i="124"/>
  <c r="R1334" i="124"/>
  <c r="O1335" i="124"/>
  <c r="R1335" i="124"/>
  <c r="O1336" i="124"/>
  <c r="R1336" i="124"/>
  <c r="O1337" i="124"/>
  <c r="R1337" i="124"/>
  <c r="O1338" i="124"/>
  <c r="R1338" i="124"/>
  <c r="O1339" i="124"/>
  <c r="R1339" i="124"/>
  <c r="O1340" i="124"/>
  <c r="R1340" i="124"/>
  <c r="O1341" i="124"/>
  <c r="R1341" i="124"/>
  <c r="O1342" i="124"/>
  <c r="R1342" i="124"/>
  <c r="O1343" i="124"/>
  <c r="R1343" i="124"/>
  <c r="O1344" i="124"/>
  <c r="R1344" i="124"/>
  <c r="O1345" i="124"/>
  <c r="R1345" i="124"/>
  <c r="O1346" i="124"/>
  <c r="R1346" i="124"/>
  <c r="O1347" i="124"/>
  <c r="R1347" i="124"/>
  <c r="O1348" i="124"/>
  <c r="R1348" i="124"/>
  <c r="O1349" i="124"/>
  <c r="R1349" i="124"/>
  <c r="R1353" i="124"/>
  <c r="T1353" i="124"/>
  <c r="U1353" i="124"/>
  <c r="O1355" i="124"/>
  <c r="O1356" i="124"/>
  <c r="O1357" i="124"/>
  <c r="O1358" i="124"/>
  <c r="O1359" i="124"/>
  <c r="O1360" i="124"/>
  <c r="O1361" i="124"/>
  <c r="O1362" i="124"/>
  <c r="O1363" i="124"/>
  <c r="O1364" i="124"/>
  <c r="O1365" i="124"/>
  <c r="O1366" i="124"/>
  <c r="O1367" i="124"/>
  <c r="O1368" i="124"/>
  <c r="O1369" i="124"/>
  <c r="O1370" i="124"/>
  <c r="O1371" i="124"/>
  <c r="O1372" i="124"/>
  <c r="O1373" i="124"/>
  <c r="O1374" i="124"/>
  <c r="O1375" i="124"/>
  <c r="O1376" i="124"/>
  <c r="O1377" i="124"/>
  <c r="O1378" i="124"/>
  <c r="O1379" i="124"/>
  <c r="O1380" i="124"/>
  <c r="O1381" i="124"/>
  <c r="O1382" i="124"/>
  <c r="O1383" i="124"/>
  <c r="O1384" i="124"/>
  <c r="O1385" i="124"/>
  <c r="O1386" i="124"/>
  <c r="R1386" i="124"/>
  <c r="O1387" i="124"/>
  <c r="R1387" i="124"/>
  <c r="O1388" i="124"/>
  <c r="R1388" i="124"/>
  <c r="O1389" i="124"/>
  <c r="R1389" i="124"/>
  <c r="O1390" i="124"/>
  <c r="R1390" i="124"/>
  <c r="O1391" i="124"/>
  <c r="R1391" i="124"/>
  <c r="O1392" i="124"/>
  <c r="R1392" i="124"/>
  <c r="O1393" i="124"/>
  <c r="R1393" i="124"/>
  <c r="O1394" i="124"/>
  <c r="R1394" i="124"/>
  <c r="O1395" i="124"/>
  <c r="R1395" i="124"/>
  <c r="O1396" i="124"/>
  <c r="R1396" i="124"/>
  <c r="O1397" i="124"/>
  <c r="R1397" i="124"/>
  <c r="O1398" i="124"/>
  <c r="R1398" i="124"/>
  <c r="O1399" i="124"/>
  <c r="R1399" i="124"/>
  <c r="O1400" i="124"/>
  <c r="R1400" i="124"/>
  <c r="O1401" i="124"/>
  <c r="R1401" i="124"/>
  <c r="O1402" i="124"/>
  <c r="R1402" i="124"/>
  <c r="O1403" i="124"/>
  <c r="R1403" i="124"/>
  <c r="O1404" i="124"/>
  <c r="R1404" i="124"/>
  <c r="O1405" i="124"/>
  <c r="R1405" i="124"/>
  <c r="O1406" i="124"/>
  <c r="R1406" i="124"/>
  <c r="O1407" i="124"/>
  <c r="R1407" i="124"/>
  <c r="O1408" i="124"/>
  <c r="R1408" i="124"/>
  <c r="O1409" i="124"/>
  <c r="R1409" i="124"/>
  <c r="O1410" i="124"/>
  <c r="R1410" i="124"/>
  <c r="O1411" i="124"/>
  <c r="R1411" i="124"/>
  <c r="O1412" i="124"/>
  <c r="R1412" i="124"/>
  <c r="O1413" i="124"/>
  <c r="R1413" i="124"/>
  <c r="O1414" i="124"/>
  <c r="R1414" i="124"/>
  <c r="O1415" i="124"/>
  <c r="R1415" i="124"/>
  <c r="O1416" i="124"/>
  <c r="R1416" i="124"/>
  <c r="O1417" i="124"/>
  <c r="R1417" i="124"/>
  <c r="O1418" i="124"/>
  <c r="R1418" i="124"/>
  <c r="O1419" i="124"/>
  <c r="R1419" i="124"/>
  <c r="O1420" i="124"/>
  <c r="R1420" i="124"/>
  <c r="O1421" i="124"/>
  <c r="R1421" i="124"/>
  <c r="O1422" i="124"/>
  <c r="R1422" i="124"/>
  <c r="O1423" i="124"/>
  <c r="R1423" i="124"/>
  <c r="O1424" i="124"/>
  <c r="R1424" i="124"/>
  <c r="O1425" i="124"/>
  <c r="R1425" i="124"/>
  <c r="O1426" i="124"/>
  <c r="R1426" i="124"/>
  <c r="O1427" i="124"/>
  <c r="R1427" i="124"/>
  <c r="O1428" i="124"/>
  <c r="R1428" i="124"/>
  <c r="O1429" i="124"/>
  <c r="R1429" i="124"/>
  <c r="O1430" i="124"/>
  <c r="R1430" i="124"/>
  <c r="O1431" i="124"/>
  <c r="R1431" i="124"/>
  <c r="O1432" i="124"/>
  <c r="R1432" i="124"/>
  <c r="O1433" i="124"/>
  <c r="R1433" i="124"/>
  <c r="O1434" i="124"/>
  <c r="R1434" i="124"/>
  <c r="O1435" i="124"/>
  <c r="R1435" i="124"/>
  <c r="O1436" i="124"/>
  <c r="R1436" i="124"/>
  <c r="O1437" i="124"/>
  <c r="R1437" i="124"/>
  <c r="O1438" i="124"/>
  <c r="R1438" i="124"/>
  <c r="O1439" i="124"/>
  <c r="R1439" i="124"/>
  <c r="O1440" i="124"/>
  <c r="R1440" i="124"/>
  <c r="O1441" i="124"/>
  <c r="R1441" i="124"/>
  <c r="O1442" i="124"/>
  <c r="R1442" i="124"/>
  <c r="O1443" i="124"/>
  <c r="R1443" i="124"/>
  <c r="O1444" i="124"/>
  <c r="R1444" i="124"/>
  <c r="O1445" i="124"/>
  <c r="R1445" i="124"/>
  <c r="O1446" i="124"/>
  <c r="R1446" i="124"/>
  <c r="O1447" i="124"/>
  <c r="R1447" i="124"/>
  <c r="O1448" i="124"/>
  <c r="R1448" i="124"/>
  <c r="O1449" i="124"/>
  <c r="R1449" i="124"/>
  <c r="O1450" i="124"/>
  <c r="R1450" i="124"/>
  <c r="O1451" i="124"/>
  <c r="R1451" i="124"/>
  <c r="O1452" i="124"/>
  <c r="R1452" i="124"/>
  <c r="O1453" i="124"/>
  <c r="R1453" i="124"/>
  <c r="O1454" i="124"/>
  <c r="R1454" i="124"/>
  <c r="O1455" i="124"/>
  <c r="R1455" i="124"/>
  <c r="O1456" i="124"/>
  <c r="R1456" i="124"/>
  <c r="O1457" i="124"/>
  <c r="R1457" i="124"/>
  <c r="O1458" i="124"/>
  <c r="R1458" i="124"/>
  <c r="O1459" i="124"/>
  <c r="R1459" i="124"/>
  <c r="O1460" i="124"/>
  <c r="R1460" i="124"/>
  <c r="O1461" i="124"/>
  <c r="R1461" i="124"/>
  <c r="O1462" i="124"/>
  <c r="R1462" i="124"/>
  <c r="O1463" i="124"/>
  <c r="R1463" i="124"/>
  <c r="O1464" i="124"/>
  <c r="R1464" i="124"/>
  <c r="O1465" i="124"/>
  <c r="R1465" i="124"/>
  <c r="R1466" i="124"/>
  <c r="O1467" i="124"/>
  <c r="R1467" i="124"/>
  <c r="O1468" i="124"/>
  <c r="R1468" i="124"/>
  <c r="O1469" i="124"/>
  <c r="R1469" i="124"/>
  <c r="O1470" i="124"/>
  <c r="R1470" i="124"/>
  <c r="O1471" i="124"/>
  <c r="R1471" i="124"/>
  <c r="O1472" i="124"/>
  <c r="R1472" i="124"/>
  <c r="O1473" i="124"/>
  <c r="R1473" i="124"/>
  <c r="O1474" i="124"/>
  <c r="R1474" i="124"/>
  <c r="O1475" i="124"/>
  <c r="R1475" i="124"/>
  <c r="O1476" i="124"/>
  <c r="R1476" i="124"/>
  <c r="O1477" i="124"/>
  <c r="R1477" i="124"/>
  <c r="O1478" i="124"/>
  <c r="R1478" i="124"/>
  <c r="O1479" i="124"/>
  <c r="R1479" i="124"/>
  <c r="O1480" i="124"/>
  <c r="R1480" i="124"/>
  <c r="O1481" i="124"/>
  <c r="R1481" i="124"/>
  <c r="O1482" i="124"/>
  <c r="R1482" i="124"/>
  <c r="O1483" i="124"/>
  <c r="R1483" i="124"/>
  <c r="O1484" i="124"/>
  <c r="R1484" i="124"/>
  <c r="O1485" i="124"/>
  <c r="R1485" i="124"/>
  <c r="O1486" i="124"/>
  <c r="R1486" i="124"/>
  <c r="O1487" i="124"/>
  <c r="R1487" i="124"/>
  <c r="O1488" i="124"/>
  <c r="R1488" i="124"/>
  <c r="O1489" i="124"/>
  <c r="R1489" i="124"/>
  <c r="O1490" i="124"/>
  <c r="R1490" i="124"/>
  <c r="O1491" i="124"/>
  <c r="R1491" i="124"/>
  <c r="O1492" i="124"/>
  <c r="R1492" i="124"/>
  <c r="O1493" i="124"/>
  <c r="R1493" i="124"/>
  <c r="O1494" i="124"/>
  <c r="R1494" i="124"/>
  <c r="O1495" i="124"/>
  <c r="R1495" i="124"/>
  <c r="O1496" i="124"/>
  <c r="R1496" i="124"/>
  <c r="O1497" i="124"/>
  <c r="R1497" i="124"/>
  <c r="O1498" i="124"/>
  <c r="R1498" i="124"/>
  <c r="O1499" i="124"/>
  <c r="R1499" i="124"/>
  <c r="O1500" i="124"/>
  <c r="R1500" i="124"/>
  <c r="O1501" i="124"/>
  <c r="R1501" i="124"/>
  <c r="O1502" i="124"/>
  <c r="R1502" i="124"/>
  <c r="O1503" i="124"/>
  <c r="R1503" i="124"/>
  <c r="O1504" i="124"/>
  <c r="R1504" i="124"/>
  <c r="O1505" i="124"/>
  <c r="R1505" i="124"/>
  <c r="O1506" i="124"/>
  <c r="R1506" i="124"/>
  <c r="O1507" i="124"/>
  <c r="R1507" i="124"/>
  <c r="O1508" i="124"/>
  <c r="R1508" i="124"/>
  <c r="O1509" i="124"/>
  <c r="R1509" i="124"/>
  <c r="O1510" i="124"/>
  <c r="R1510" i="124"/>
  <c r="O1511" i="124"/>
  <c r="R1511" i="124"/>
  <c r="E3" i="119"/>
  <c r="F3" i="119"/>
  <c r="G3" i="119"/>
  <c r="L3" i="119"/>
  <c r="N3" i="119"/>
  <c r="M4" i="119"/>
  <c r="M5" i="119"/>
  <c r="O5" i="119" s="1"/>
  <c r="M6" i="119"/>
  <c r="O6" i="119" s="1"/>
  <c r="M7" i="119"/>
  <c r="O7" i="119" s="1"/>
  <c r="M8" i="119"/>
  <c r="O8" i="119" s="1"/>
  <c r="M9" i="119"/>
  <c r="O9" i="119" s="1"/>
  <c r="J10" i="119"/>
  <c r="M10" i="119" s="1"/>
  <c r="O10" i="119" s="1"/>
  <c r="E11" i="119"/>
  <c r="F11" i="119"/>
  <c r="J11" i="119"/>
  <c r="L11" i="119"/>
  <c r="N11" i="119"/>
  <c r="G12" i="119"/>
  <c r="M12" i="119"/>
  <c r="O13" i="119"/>
  <c r="G14" i="119"/>
  <c r="M14" i="119"/>
  <c r="G15" i="119"/>
  <c r="M15" i="119"/>
  <c r="G16" i="119"/>
  <c r="M16" i="119"/>
  <c r="G17" i="119"/>
  <c r="M17" i="119"/>
  <c r="G18" i="119"/>
  <c r="M18" i="119"/>
  <c r="O19" i="119"/>
  <c r="G20" i="119"/>
  <c r="M20" i="119"/>
  <c r="G21" i="119"/>
  <c r="O21" i="119" s="1"/>
  <c r="M21" i="119"/>
  <c r="O22" i="119"/>
  <c r="G23" i="119"/>
  <c r="M23" i="119"/>
  <c r="G24" i="119"/>
  <c r="M24" i="119"/>
  <c r="G25" i="119"/>
  <c r="M25" i="119"/>
  <c r="G26" i="119"/>
  <c r="M26" i="119"/>
  <c r="G27" i="119"/>
  <c r="M27" i="119"/>
  <c r="G28" i="119"/>
  <c r="M28" i="119"/>
  <c r="G29" i="119"/>
  <c r="M29" i="119"/>
  <c r="G30" i="119"/>
  <c r="O30" i="119" s="1"/>
  <c r="G31" i="119"/>
  <c r="M31" i="119"/>
  <c r="G32" i="119"/>
  <c r="O32" i="119" s="1"/>
  <c r="M32" i="119"/>
  <c r="G33" i="119"/>
  <c r="M33" i="119"/>
  <c r="G34" i="119"/>
  <c r="M34" i="119"/>
  <c r="G35" i="119"/>
  <c r="M35" i="119"/>
  <c r="G36" i="119"/>
  <c r="O36" i="119" s="1"/>
  <c r="M36" i="119"/>
  <c r="G37" i="119"/>
  <c r="O37" i="119" s="1"/>
  <c r="G38" i="119"/>
  <c r="O38" i="119" s="1"/>
  <c r="G39" i="119"/>
  <c r="M39" i="119"/>
  <c r="G40" i="119"/>
  <c r="M40" i="119"/>
  <c r="G41" i="119"/>
  <c r="M41" i="119"/>
  <c r="G42" i="119"/>
  <c r="M42" i="119"/>
  <c r="G43" i="119"/>
  <c r="O43" i="119" s="1"/>
  <c r="M43" i="119"/>
  <c r="G44" i="119"/>
  <c r="M44" i="119"/>
  <c r="G45" i="119"/>
  <c r="M45" i="119"/>
  <c r="G46" i="119"/>
  <c r="M46" i="119"/>
  <c r="G47" i="119"/>
  <c r="O47" i="119" s="1"/>
  <c r="M47" i="119"/>
  <c r="G48" i="119"/>
  <c r="M48" i="119"/>
  <c r="G49" i="119"/>
  <c r="O49" i="119" s="1"/>
  <c r="M49" i="119"/>
  <c r="G50" i="119"/>
  <c r="M50" i="119"/>
  <c r="G51" i="119"/>
  <c r="O51" i="119" s="1"/>
  <c r="M51" i="119"/>
  <c r="G52" i="119"/>
  <c r="M52" i="119"/>
  <c r="G53" i="119"/>
  <c r="M53" i="119"/>
  <c r="G54" i="119"/>
  <c r="M54" i="119"/>
  <c r="G55" i="119"/>
  <c r="O55" i="119" s="1"/>
  <c r="M55" i="119"/>
  <c r="G56" i="119"/>
  <c r="M56" i="119"/>
  <c r="G57" i="119"/>
  <c r="O57" i="119" s="1"/>
  <c r="M57" i="119"/>
  <c r="G58" i="119"/>
  <c r="M58" i="119"/>
  <c r="O58" i="119" s="1"/>
  <c r="G59" i="119"/>
  <c r="M59" i="119"/>
  <c r="O59" i="119" s="1"/>
  <c r="G60" i="119"/>
  <c r="O60" i="119" s="1"/>
  <c r="M60" i="119"/>
  <c r="G61" i="119"/>
  <c r="M61" i="119"/>
  <c r="G62" i="119"/>
  <c r="O62" i="119" s="1"/>
  <c r="M62" i="119"/>
  <c r="E63" i="119"/>
  <c r="F63" i="119"/>
  <c r="J63" i="119"/>
  <c r="L63" i="119"/>
  <c r="N63" i="119"/>
  <c r="G64" i="119"/>
  <c r="O64" i="119" s="1"/>
  <c r="M64" i="119"/>
  <c r="G65" i="119"/>
  <c r="M65" i="119"/>
  <c r="G66" i="119"/>
  <c r="M66" i="119"/>
  <c r="G67" i="119"/>
  <c r="M67" i="119"/>
  <c r="G68" i="119"/>
  <c r="O68" i="119" s="1"/>
  <c r="G69" i="119"/>
  <c r="O69" i="119" s="1"/>
  <c r="M69" i="119"/>
  <c r="G70" i="119"/>
  <c r="M70" i="119"/>
  <c r="O70" i="119"/>
  <c r="G71" i="119"/>
  <c r="M71" i="119"/>
  <c r="G72" i="119"/>
  <c r="O72" i="119"/>
  <c r="M72" i="119"/>
  <c r="G73" i="119"/>
  <c r="M73" i="119"/>
  <c r="O73" i="119"/>
  <c r="G74" i="119"/>
  <c r="O74" i="119"/>
  <c r="G75" i="119"/>
  <c r="O75" i="119"/>
  <c r="G76" i="119"/>
  <c r="M76" i="119"/>
  <c r="O76" i="119" s="1"/>
  <c r="G77" i="119"/>
  <c r="O77" i="119" s="1"/>
  <c r="M77" i="119"/>
  <c r="G78" i="119"/>
  <c r="M78" i="119"/>
  <c r="O78" i="119"/>
  <c r="O79" i="119"/>
  <c r="G80" i="119"/>
  <c r="M80" i="119"/>
  <c r="O80" i="119"/>
  <c r="G81" i="119"/>
  <c r="M81" i="119"/>
  <c r="O81" i="119" s="1"/>
  <c r="G82" i="119"/>
  <c r="M82" i="119"/>
  <c r="G83" i="119"/>
  <c r="M83" i="119"/>
  <c r="G84" i="119"/>
  <c r="O84" i="119"/>
  <c r="M84" i="119"/>
  <c r="G85" i="119"/>
  <c r="M85" i="119"/>
  <c r="O85" i="119"/>
  <c r="G86" i="119"/>
  <c r="M86" i="119"/>
  <c r="G87" i="119"/>
  <c r="M87" i="119"/>
  <c r="O87" i="119" s="1"/>
  <c r="G88" i="119"/>
  <c r="O88" i="119"/>
  <c r="G89" i="119"/>
  <c r="G90" i="119"/>
  <c r="O90" i="119" s="1"/>
  <c r="M90" i="119"/>
  <c r="G91" i="119"/>
  <c r="M91" i="119"/>
  <c r="G92" i="119"/>
  <c r="O92" i="119" s="1"/>
  <c r="M92" i="119"/>
  <c r="G93" i="119"/>
  <c r="M93" i="119"/>
  <c r="G94" i="119"/>
  <c r="M94" i="119"/>
  <c r="G95" i="119"/>
  <c r="M95" i="119"/>
  <c r="G96" i="119"/>
  <c r="M96" i="119"/>
  <c r="G97" i="119"/>
  <c r="M97" i="119"/>
  <c r="G98" i="119"/>
  <c r="M98" i="119"/>
  <c r="G99" i="119"/>
  <c r="M99" i="119"/>
  <c r="G100" i="119"/>
  <c r="M100" i="119"/>
  <c r="G101" i="119"/>
  <c r="M101" i="119"/>
  <c r="G102" i="119"/>
  <c r="M102" i="119"/>
  <c r="G103" i="119"/>
  <c r="M103" i="119"/>
  <c r="G104" i="119"/>
  <c r="O104" i="119" s="1"/>
  <c r="M104" i="119"/>
  <c r="G105" i="119"/>
  <c r="M105" i="119"/>
  <c r="O105" i="119" s="1"/>
  <c r="G106" i="119"/>
  <c r="M106" i="119"/>
  <c r="G107" i="119"/>
  <c r="M107" i="119"/>
  <c r="O107" i="119" s="1"/>
  <c r="G108" i="119"/>
  <c r="M108" i="119"/>
  <c r="G109" i="119"/>
  <c r="M109" i="119"/>
  <c r="G112" i="119"/>
  <c r="M112" i="119"/>
  <c r="G113" i="119"/>
  <c r="M113" i="119"/>
  <c r="M114" i="119"/>
  <c r="O114" i="119" s="1"/>
  <c r="E117" i="119"/>
  <c r="F117" i="119"/>
  <c r="J117" i="119"/>
  <c r="L117" i="119"/>
  <c r="N117" i="119"/>
  <c r="G118" i="119"/>
  <c r="O118" i="119" s="1"/>
  <c r="G119" i="119"/>
  <c r="O119" i="119" s="1"/>
  <c r="G120" i="119"/>
  <c r="O120" i="119" s="1"/>
  <c r="M120" i="119"/>
  <c r="G121" i="119"/>
  <c r="M121" i="119"/>
  <c r="O121" i="119" s="1"/>
  <c r="G122" i="119"/>
  <c r="M122" i="119"/>
  <c r="G123" i="119"/>
  <c r="M123" i="119"/>
  <c r="G124" i="119"/>
  <c r="M124" i="119"/>
  <c r="G125" i="119"/>
  <c r="M125" i="119"/>
  <c r="G126" i="119"/>
  <c r="M126" i="119"/>
  <c r="G127" i="119"/>
  <c r="M127" i="119"/>
  <c r="G128" i="119"/>
  <c r="M128" i="119"/>
  <c r="G129" i="119"/>
  <c r="M129" i="119"/>
  <c r="G130" i="119"/>
  <c r="M130" i="119"/>
  <c r="G131" i="119"/>
  <c r="M131" i="119"/>
  <c r="O131" i="119" s="1"/>
  <c r="G132" i="119"/>
  <c r="M132" i="119"/>
  <c r="G133" i="119"/>
  <c r="M133" i="119"/>
  <c r="G134" i="119"/>
  <c r="M134" i="119"/>
  <c r="G135" i="119"/>
  <c r="M135" i="119"/>
  <c r="G136" i="119"/>
  <c r="M136" i="119"/>
  <c r="G137" i="119"/>
  <c r="M137" i="119"/>
  <c r="G138" i="119"/>
  <c r="M138" i="119"/>
  <c r="G139" i="119"/>
  <c r="M139" i="119"/>
  <c r="G140" i="119"/>
  <c r="M140" i="119"/>
  <c r="G141" i="119"/>
  <c r="M141" i="119"/>
  <c r="G142" i="119"/>
  <c r="M142" i="119"/>
  <c r="G143" i="119"/>
  <c r="M143" i="119"/>
  <c r="G144" i="119"/>
  <c r="M144" i="119"/>
  <c r="G145" i="119"/>
  <c r="M145" i="119"/>
  <c r="G146" i="119"/>
  <c r="M146" i="119"/>
  <c r="G147" i="119"/>
  <c r="M147" i="119"/>
  <c r="G148" i="119"/>
  <c r="M148" i="119"/>
  <c r="O148" i="119"/>
  <c r="G149" i="119"/>
  <c r="M149" i="119"/>
  <c r="G150" i="119"/>
  <c r="M150" i="119"/>
  <c r="G151" i="119"/>
  <c r="M151" i="119"/>
  <c r="G152" i="119"/>
  <c r="M152" i="119"/>
  <c r="G153" i="119"/>
  <c r="M153" i="119"/>
  <c r="G154" i="119"/>
  <c r="M154" i="119"/>
  <c r="G155" i="119"/>
  <c r="M155" i="119"/>
  <c r="G156" i="119"/>
  <c r="M156" i="119"/>
  <c r="G157" i="119"/>
  <c r="M157" i="119"/>
  <c r="G158" i="119"/>
  <c r="O158" i="119"/>
  <c r="M158" i="119"/>
  <c r="G159" i="119"/>
  <c r="O159" i="119" s="1"/>
  <c r="M159" i="119"/>
  <c r="G160" i="119"/>
  <c r="O160" i="119" s="1"/>
  <c r="M160" i="119"/>
  <c r="D161" i="119"/>
  <c r="D162" i="119" s="1"/>
  <c r="G161" i="119"/>
  <c r="M161" i="119"/>
  <c r="G162" i="119"/>
  <c r="M162" i="119"/>
  <c r="G163" i="119"/>
  <c r="M163" i="119"/>
  <c r="O163" i="119" s="1"/>
  <c r="G164" i="119"/>
  <c r="M164" i="119"/>
  <c r="G165" i="119"/>
  <c r="M165" i="119"/>
  <c r="G166" i="119"/>
  <c r="M166" i="119"/>
  <c r="G167" i="119"/>
  <c r="O167" i="119"/>
  <c r="M167" i="119"/>
  <c r="G168" i="119"/>
  <c r="M168" i="119"/>
  <c r="G169" i="119"/>
  <c r="O169" i="119" s="1"/>
  <c r="M169" i="119"/>
  <c r="G170" i="119"/>
  <c r="M170" i="119"/>
  <c r="G171" i="119"/>
  <c r="M171" i="119"/>
  <c r="G172" i="119"/>
  <c r="M172" i="119"/>
  <c r="G173" i="119"/>
  <c r="O173" i="119" s="1"/>
  <c r="M173" i="119"/>
  <c r="G174" i="119"/>
  <c r="M174" i="119"/>
  <c r="F176" i="119"/>
  <c r="E179" i="119"/>
  <c r="F179" i="119"/>
  <c r="J179" i="119"/>
  <c r="K179" i="119"/>
  <c r="L179" i="119"/>
  <c r="N179" i="119"/>
  <c r="G180" i="119"/>
  <c r="G179" i="119" s="1"/>
  <c r="M180" i="119"/>
  <c r="M181" i="119"/>
  <c r="O181" i="119" s="1"/>
  <c r="M182" i="119"/>
  <c r="O182" i="119" s="1"/>
  <c r="M183" i="119"/>
  <c r="O183" i="119" s="1"/>
  <c r="M184" i="119"/>
  <c r="O184" i="119" s="1"/>
  <c r="M185" i="119"/>
  <c r="O185" i="119" s="1"/>
  <c r="M186" i="119"/>
  <c r="O186" i="119" s="1"/>
  <c r="M187" i="119"/>
  <c r="O187" i="119" s="1"/>
  <c r="M188" i="119"/>
  <c r="O188" i="119" s="1"/>
  <c r="M189" i="119"/>
  <c r="O189" i="119" s="1"/>
  <c r="M190" i="119"/>
  <c r="O190" i="119" s="1"/>
  <c r="M191" i="119"/>
  <c r="O191" i="119" s="1"/>
  <c r="M192" i="119"/>
  <c r="O192" i="119" s="1"/>
  <c r="M193" i="119"/>
  <c r="O193" i="119" s="1"/>
  <c r="M194" i="119"/>
  <c r="O194" i="119" s="1"/>
  <c r="M195" i="119"/>
  <c r="O195" i="119" s="1"/>
  <c r="M196" i="119"/>
  <c r="O196" i="119" s="1"/>
  <c r="M197" i="119"/>
  <c r="O197" i="119" s="1"/>
  <c r="M198" i="119"/>
  <c r="O198" i="119" s="1"/>
  <c r="M199" i="119"/>
  <c r="O199" i="119" s="1"/>
  <c r="M200" i="119"/>
  <c r="O200" i="119" s="1"/>
  <c r="M201" i="119"/>
  <c r="O201" i="119" s="1"/>
  <c r="M202" i="119"/>
  <c r="O202" i="119" s="1"/>
  <c r="M203" i="119"/>
  <c r="O203" i="119" s="1"/>
  <c r="M204" i="119"/>
  <c r="O204" i="119" s="1"/>
  <c r="M205" i="119"/>
  <c r="O205" i="119" s="1"/>
  <c r="M206" i="119"/>
  <c r="O206" i="119" s="1"/>
  <c r="M207" i="119"/>
  <c r="O207" i="119" s="1"/>
  <c r="M208" i="119"/>
  <c r="O208" i="119" s="1"/>
  <c r="M209" i="119"/>
  <c r="O209" i="119" s="1"/>
  <c r="M210" i="119"/>
  <c r="O210" i="119" s="1"/>
  <c r="M211" i="119"/>
  <c r="O211" i="119" s="1"/>
  <c r="M212" i="119"/>
  <c r="O212" i="119" s="1"/>
  <c r="M213" i="119"/>
  <c r="O213" i="119" s="1"/>
  <c r="M214" i="119"/>
  <c r="O214" i="119" s="1"/>
  <c r="M215" i="119"/>
  <c r="O215" i="119" s="1"/>
  <c r="M216" i="119"/>
  <c r="O216" i="119"/>
  <c r="M217" i="119"/>
  <c r="O217" i="119" s="1"/>
  <c r="M218" i="119"/>
  <c r="O218" i="119" s="1"/>
  <c r="M219" i="119"/>
  <c r="O219" i="119" s="1"/>
  <c r="M220" i="119"/>
  <c r="O220" i="119" s="1"/>
  <c r="M221" i="119"/>
  <c r="O221" i="119" s="1"/>
  <c r="M222" i="119"/>
  <c r="O222" i="119" s="1"/>
  <c r="M223" i="119"/>
  <c r="O223" i="119" s="1"/>
  <c r="M224" i="119"/>
  <c r="O224" i="119" s="1"/>
  <c r="M225" i="119"/>
  <c r="O225" i="119" s="1"/>
  <c r="M226" i="119"/>
  <c r="O226" i="119" s="1"/>
  <c r="M227" i="119"/>
  <c r="O227" i="119" s="1"/>
  <c r="M228" i="119"/>
  <c r="O228" i="119" s="1"/>
  <c r="M229" i="119"/>
  <c r="O229" i="119" s="1"/>
  <c r="M230" i="119"/>
  <c r="O230" i="119" s="1"/>
  <c r="M231" i="119"/>
  <c r="O231" i="119" s="1"/>
  <c r="M232" i="119"/>
  <c r="O232" i="119"/>
  <c r="M233" i="119"/>
  <c r="O233" i="119" s="1"/>
  <c r="M234" i="119"/>
  <c r="O234" i="119" s="1"/>
  <c r="M235" i="119"/>
  <c r="O235" i="119" s="1"/>
  <c r="M236" i="119"/>
  <c r="O236" i="119" s="1"/>
  <c r="M237" i="119"/>
  <c r="O237" i="119" s="1"/>
  <c r="M238" i="119"/>
  <c r="O238" i="119" s="1"/>
  <c r="M239" i="119"/>
  <c r="O239" i="119" s="1"/>
  <c r="M240" i="119"/>
  <c r="O240" i="119" s="1"/>
  <c r="M241" i="119"/>
  <c r="O241" i="119" s="1"/>
  <c r="M242" i="119"/>
  <c r="O242" i="119" s="1"/>
  <c r="M243" i="119"/>
  <c r="O243" i="119" s="1"/>
  <c r="E247" i="119"/>
  <c r="F247" i="119"/>
  <c r="J247" i="119"/>
  <c r="K247" i="119"/>
  <c r="L247" i="119"/>
  <c r="N247" i="119"/>
  <c r="G248" i="119"/>
  <c r="M248" i="119"/>
  <c r="G249" i="119"/>
  <c r="O249" i="119" s="1"/>
  <c r="M249" i="119"/>
  <c r="G250" i="119"/>
  <c r="M250" i="119"/>
  <c r="G251" i="119"/>
  <c r="M251" i="119"/>
  <c r="G252" i="119"/>
  <c r="M252" i="119"/>
  <c r="G253" i="119"/>
  <c r="M253" i="119"/>
  <c r="G254" i="119"/>
  <c r="M254" i="119"/>
  <c r="G255" i="119"/>
  <c r="O255" i="119" s="1"/>
  <c r="M255" i="119"/>
  <c r="G256" i="119"/>
  <c r="M256" i="119"/>
  <c r="G257" i="119"/>
  <c r="O257" i="119" s="1"/>
  <c r="M257" i="119"/>
  <c r="M258" i="119"/>
  <c r="O258" i="119" s="1"/>
  <c r="G259" i="119"/>
  <c r="M259" i="119"/>
  <c r="G260" i="119"/>
  <c r="M260" i="119"/>
  <c r="O260" i="119" s="1"/>
  <c r="G261" i="119"/>
  <c r="M261" i="119"/>
  <c r="G262" i="119"/>
  <c r="M262" i="119"/>
  <c r="G263" i="119"/>
  <c r="M263" i="119"/>
  <c r="M264" i="119"/>
  <c r="O264" i="119" s="1"/>
  <c r="G265" i="119"/>
  <c r="M265" i="119"/>
  <c r="G266" i="119"/>
  <c r="M266" i="119"/>
  <c r="G267" i="119"/>
  <c r="M267" i="119"/>
  <c r="G268" i="119"/>
  <c r="O268" i="119" s="1"/>
  <c r="M268" i="119"/>
  <c r="M269" i="119"/>
  <c r="O269" i="119" s="1"/>
  <c r="G270" i="119"/>
  <c r="O270" i="119" s="1"/>
  <c r="M270" i="119"/>
  <c r="G271" i="119"/>
  <c r="M271" i="119"/>
  <c r="G272" i="119"/>
  <c r="M272" i="119"/>
  <c r="M273" i="119"/>
  <c r="O273" i="119" s="1"/>
  <c r="M274" i="119"/>
  <c r="O274" i="119" s="1"/>
  <c r="M275" i="119"/>
  <c r="O275" i="119" s="1"/>
  <c r="G276" i="119"/>
  <c r="M276" i="119"/>
  <c r="G277" i="119"/>
  <c r="M277" i="119"/>
  <c r="G278" i="119"/>
  <c r="M278" i="119"/>
  <c r="G279" i="119"/>
  <c r="M279" i="119"/>
  <c r="G280" i="119"/>
  <c r="M280" i="119"/>
  <c r="G281" i="119"/>
  <c r="M281" i="119"/>
  <c r="M282" i="119"/>
  <c r="O282" i="119" s="1"/>
  <c r="G283" i="119"/>
  <c r="M283" i="119"/>
  <c r="G284" i="119"/>
  <c r="M284" i="119"/>
  <c r="G285" i="119"/>
  <c r="M285" i="119"/>
  <c r="G286" i="119"/>
  <c r="M286" i="119"/>
  <c r="G287" i="119"/>
  <c r="M287" i="119"/>
  <c r="G288" i="119"/>
  <c r="O288" i="119" s="1"/>
  <c r="M288" i="119"/>
  <c r="G289" i="119"/>
  <c r="M289" i="119"/>
  <c r="G290" i="119"/>
  <c r="M290" i="119"/>
  <c r="G291" i="119"/>
  <c r="M291" i="119"/>
  <c r="O291" i="119" s="1"/>
  <c r="G292" i="119"/>
  <c r="M292" i="119"/>
  <c r="G293" i="119"/>
  <c r="M293" i="119"/>
  <c r="O293" i="119" s="1"/>
  <c r="G294" i="119"/>
  <c r="M294" i="119"/>
  <c r="G295" i="119"/>
  <c r="M295" i="119"/>
  <c r="O295" i="119" s="1"/>
  <c r="G296" i="119"/>
  <c r="M296" i="119"/>
  <c r="G297" i="119"/>
  <c r="M297" i="119"/>
  <c r="G298" i="119"/>
  <c r="M298" i="119"/>
  <c r="G299" i="119"/>
  <c r="M299" i="119"/>
  <c r="G300" i="119"/>
  <c r="M300" i="119"/>
  <c r="G301" i="119"/>
  <c r="M301" i="119"/>
  <c r="G302" i="119"/>
  <c r="M302" i="119"/>
  <c r="G303" i="119"/>
  <c r="M303" i="119"/>
  <c r="G304" i="119"/>
  <c r="M304" i="119"/>
  <c r="G305" i="119"/>
  <c r="M305" i="119"/>
  <c r="O305" i="119" s="1"/>
  <c r="G306" i="119"/>
  <c r="M306" i="119"/>
  <c r="G307" i="119"/>
  <c r="M307" i="119"/>
  <c r="G308" i="119"/>
  <c r="M308" i="119"/>
  <c r="G309" i="119"/>
  <c r="M309" i="119"/>
  <c r="G310" i="119"/>
  <c r="O310" i="119" s="1"/>
  <c r="M310" i="119"/>
  <c r="M311" i="119"/>
  <c r="O311" i="119" s="1"/>
  <c r="G312" i="119"/>
  <c r="M312" i="119"/>
  <c r="G313" i="119"/>
  <c r="M313" i="119"/>
  <c r="G314" i="119"/>
  <c r="M314" i="119"/>
  <c r="G315" i="119"/>
  <c r="M315" i="119"/>
  <c r="O315" i="119" s="1"/>
  <c r="G316" i="119"/>
  <c r="M316" i="119"/>
  <c r="G317" i="119"/>
  <c r="M317" i="119"/>
  <c r="O317" i="119" s="1"/>
  <c r="G318" i="119"/>
  <c r="M318" i="119"/>
  <c r="G319" i="119"/>
  <c r="M319" i="119"/>
  <c r="G320" i="119"/>
  <c r="M320" i="119"/>
  <c r="G321" i="119"/>
  <c r="M321" i="119"/>
  <c r="G322" i="119"/>
  <c r="M322" i="119"/>
  <c r="G323" i="119"/>
  <c r="M323" i="119"/>
  <c r="G324" i="119"/>
  <c r="O324" i="119" s="1"/>
  <c r="M324" i="119"/>
  <c r="F328" i="119"/>
  <c r="J328" i="119"/>
  <c r="G329" i="119"/>
  <c r="O329" i="119" s="1"/>
  <c r="M329" i="119"/>
  <c r="G330" i="119"/>
  <c r="M330" i="119"/>
  <c r="G331" i="119"/>
  <c r="O331" i="119" s="1"/>
  <c r="M331" i="119"/>
  <c r="G332" i="119"/>
  <c r="M332" i="119"/>
  <c r="G333" i="119"/>
  <c r="M333" i="119"/>
  <c r="G334" i="119"/>
  <c r="M334" i="119"/>
  <c r="G335" i="119"/>
  <c r="M335" i="119"/>
  <c r="G336" i="119"/>
  <c r="M336" i="119"/>
  <c r="G337" i="119"/>
  <c r="M337" i="119"/>
  <c r="G338" i="119"/>
  <c r="O338" i="119" s="1"/>
  <c r="M338" i="119"/>
  <c r="G339" i="119"/>
  <c r="M339" i="119"/>
  <c r="G340" i="119"/>
  <c r="O340" i="119" s="1"/>
  <c r="M340" i="119"/>
  <c r="G341" i="119"/>
  <c r="O341" i="119" s="1"/>
  <c r="M341" i="119"/>
  <c r="G342" i="119"/>
  <c r="M342" i="119"/>
  <c r="G343" i="119"/>
  <c r="M343" i="119"/>
  <c r="G344" i="119"/>
  <c r="M344" i="119"/>
  <c r="G345" i="119"/>
  <c r="O345" i="119" s="1"/>
  <c r="M345" i="119"/>
  <c r="G346" i="119"/>
  <c r="M346" i="119"/>
  <c r="G347" i="119"/>
  <c r="M347" i="119"/>
  <c r="G348" i="119"/>
  <c r="M348" i="119"/>
  <c r="G349" i="119"/>
  <c r="M349" i="119"/>
  <c r="G350" i="119"/>
  <c r="O350" i="119" s="1"/>
  <c r="M350" i="119"/>
  <c r="G351" i="119"/>
  <c r="M351" i="119"/>
  <c r="G352" i="119"/>
  <c r="M352" i="119"/>
  <c r="G353" i="119"/>
  <c r="M353" i="119"/>
  <c r="G354" i="119"/>
  <c r="M354" i="119"/>
  <c r="G355" i="119"/>
  <c r="O355" i="119" s="1"/>
  <c r="M355" i="119"/>
  <c r="G356" i="119"/>
  <c r="M356" i="119"/>
  <c r="G357" i="119"/>
  <c r="M357" i="119"/>
  <c r="G358" i="119"/>
  <c r="M358" i="119"/>
  <c r="G359" i="119"/>
  <c r="O359" i="119" s="1"/>
  <c r="M359" i="119"/>
  <c r="G360" i="119"/>
  <c r="M360" i="119"/>
  <c r="G361" i="119"/>
  <c r="M361" i="119"/>
  <c r="G362" i="119"/>
  <c r="M362" i="119"/>
  <c r="G363" i="119"/>
  <c r="M363" i="119"/>
  <c r="G364" i="119"/>
  <c r="M364" i="119"/>
  <c r="G365" i="119"/>
  <c r="M365" i="119"/>
  <c r="G366" i="119"/>
  <c r="M366" i="119"/>
  <c r="G367" i="119"/>
  <c r="M367" i="119"/>
  <c r="G368" i="119"/>
  <c r="M368" i="119"/>
  <c r="G369" i="119"/>
  <c r="M369" i="119"/>
  <c r="G370" i="119"/>
  <c r="O370" i="119" s="1"/>
  <c r="M370" i="119"/>
  <c r="G371" i="119"/>
  <c r="M371" i="119"/>
  <c r="G372" i="119"/>
  <c r="O372" i="119" s="1"/>
  <c r="M372" i="119"/>
  <c r="G373" i="119"/>
  <c r="M373" i="119"/>
  <c r="G374" i="119"/>
  <c r="M374" i="119"/>
  <c r="G375" i="119"/>
  <c r="M375" i="119"/>
  <c r="G376" i="119"/>
  <c r="O376" i="119" s="1"/>
  <c r="M376" i="119"/>
  <c r="G377" i="119"/>
  <c r="M377" i="119"/>
  <c r="G378" i="119"/>
  <c r="O378" i="119" s="1"/>
  <c r="M378" i="119"/>
  <c r="G379" i="119"/>
  <c r="M379" i="119"/>
  <c r="G380" i="119"/>
  <c r="O380" i="119" s="1"/>
  <c r="M380" i="119"/>
  <c r="G381" i="119"/>
  <c r="M381" i="119"/>
  <c r="G382" i="119"/>
  <c r="O382" i="119" s="1"/>
  <c r="M382" i="119"/>
  <c r="G383" i="119"/>
  <c r="M383" i="119"/>
  <c r="G384" i="119"/>
  <c r="M384" i="119"/>
  <c r="G385" i="119"/>
  <c r="M385" i="119"/>
  <c r="G386" i="119"/>
  <c r="O386" i="119" s="1"/>
  <c r="M386" i="119"/>
  <c r="G387" i="119"/>
  <c r="M387" i="119"/>
  <c r="G388" i="119"/>
  <c r="M388" i="119"/>
  <c r="G389" i="119"/>
  <c r="M389" i="119"/>
  <c r="G390" i="119"/>
  <c r="M390" i="119"/>
  <c r="G391" i="119"/>
  <c r="M391" i="119"/>
  <c r="G392" i="119"/>
  <c r="M392" i="119"/>
  <c r="G393" i="119"/>
  <c r="M393" i="119"/>
  <c r="G394" i="119"/>
  <c r="M394" i="119"/>
  <c r="E400" i="119"/>
  <c r="E328" i="119" s="1"/>
  <c r="F400" i="119"/>
  <c r="J400" i="119"/>
  <c r="K400" i="119"/>
  <c r="K328" i="119" s="1"/>
  <c r="N400" i="119"/>
  <c r="N328" i="119" s="1"/>
  <c r="G401" i="119"/>
  <c r="M401" i="119"/>
  <c r="G402" i="119"/>
  <c r="M402" i="119"/>
  <c r="G403" i="119"/>
  <c r="M403" i="119"/>
  <c r="G404" i="119"/>
  <c r="M404" i="119"/>
  <c r="G405" i="119"/>
  <c r="M405" i="119"/>
  <c r="G406" i="119"/>
  <c r="O406" i="119" s="1"/>
  <c r="M406" i="119"/>
  <c r="G407" i="119"/>
  <c r="M407" i="119"/>
  <c r="G408" i="119"/>
  <c r="M408" i="119"/>
  <c r="G409" i="119"/>
  <c r="M409" i="119"/>
  <c r="G410" i="119"/>
  <c r="M410" i="119"/>
  <c r="G411" i="119"/>
  <c r="M411" i="119"/>
  <c r="G412" i="119"/>
  <c r="M412" i="119"/>
  <c r="G413" i="119"/>
  <c r="M413" i="119"/>
  <c r="G414" i="119"/>
  <c r="M414" i="119"/>
  <c r="G415" i="119"/>
  <c r="M415" i="119"/>
  <c r="G416" i="119"/>
  <c r="M416" i="119"/>
  <c r="G417" i="119"/>
  <c r="M417" i="119"/>
  <c r="G418" i="119"/>
  <c r="M418" i="119"/>
  <c r="G419" i="119"/>
  <c r="M419" i="119"/>
  <c r="G420" i="119"/>
  <c r="M420" i="119"/>
  <c r="G421" i="119"/>
  <c r="M421" i="119"/>
  <c r="G422" i="119"/>
  <c r="M422" i="119"/>
  <c r="G423" i="119"/>
  <c r="M423" i="119"/>
  <c r="G424" i="119"/>
  <c r="M424" i="119"/>
  <c r="G425" i="119"/>
  <c r="M425" i="119"/>
  <c r="G426" i="119"/>
  <c r="O426" i="119" s="1"/>
  <c r="M426" i="119"/>
  <c r="G427" i="119"/>
  <c r="M427" i="119"/>
  <c r="G428" i="119"/>
  <c r="M428" i="119"/>
  <c r="G429" i="119"/>
  <c r="M429" i="119"/>
  <c r="G430" i="119"/>
  <c r="L430" i="119"/>
  <c r="L400" i="119" s="1"/>
  <c r="L328" i="119" s="1"/>
  <c r="G431" i="119"/>
  <c r="M431" i="119"/>
  <c r="G432" i="119"/>
  <c r="M432" i="119"/>
  <c r="G433" i="119"/>
  <c r="M433" i="119"/>
  <c r="G434" i="119"/>
  <c r="M434" i="119"/>
  <c r="G435" i="119"/>
  <c r="M435" i="119"/>
  <c r="G436" i="119"/>
  <c r="M436" i="119"/>
  <c r="G437" i="119"/>
  <c r="M437" i="119"/>
  <c r="G438" i="119"/>
  <c r="M438" i="119"/>
  <c r="G439" i="119"/>
  <c r="M439" i="119"/>
  <c r="G440" i="119"/>
  <c r="M440" i="119"/>
  <c r="G441" i="119"/>
  <c r="M441" i="119"/>
  <c r="G442" i="119"/>
  <c r="M442" i="119"/>
  <c r="G443" i="119"/>
  <c r="M443" i="119"/>
  <c r="G444" i="119"/>
  <c r="M444" i="119"/>
  <c r="G445" i="119"/>
  <c r="M445" i="119"/>
  <c r="O445" i="119" s="1"/>
  <c r="G446" i="119"/>
  <c r="M446" i="119"/>
  <c r="G447" i="119"/>
  <c r="M447" i="119"/>
  <c r="O447" i="119" s="1"/>
  <c r="G448" i="119"/>
  <c r="M448" i="119"/>
  <c r="G449" i="119"/>
  <c r="M449" i="119"/>
  <c r="O449" i="119" s="1"/>
  <c r="G450" i="119"/>
  <c r="M450" i="119"/>
  <c r="G451" i="119"/>
  <c r="M451" i="119"/>
  <c r="O451" i="119" s="1"/>
  <c r="G452" i="119"/>
  <c r="M452" i="119"/>
  <c r="G453" i="119"/>
  <c r="M453" i="119"/>
  <c r="O453" i="119" s="1"/>
  <c r="G454" i="119"/>
  <c r="M454" i="119"/>
  <c r="G455" i="119"/>
  <c r="O455" i="119"/>
  <c r="M455" i="119"/>
  <c r="M456" i="119"/>
  <c r="O456" i="119" s="1"/>
  <c r="E461" i="119"/>
  <c r="F461" i="119"/>
  <c r="J461" i="119"/>
  <c r="K461" i="119"/>
  <c r="N461" i="119"/>
  <c r="G462" i="119"/>
  <c r="M462" i="119"/>
  <c r="G463" i="119"/>
  <c r="M463" i="119"/>
  <c r="G464" i="119"/>
  <c r="O464" i="119" s="1"/>
  <c r="M464" i="119"/>
  <c r="G465" i="119"/>
  <c r="M465" i="119"/>
  <c r="G466" i="119"/>
  <c r="M466" i="119"/>
  <c r="G467" i="119"/>
  <c r="M467" i="119"/>
  <c r="G468" i="119"/>
  <c r="O468" i="119" s="1"/>
  <c r="M468" i="119"/>
  <c r="G469" i="119"/>
  <c r="M469" i="119"/>
  <c r="G470" i="119"/>
  <c r="M470" i="119"/>
  <c r="G471" i="119"/>
  <c r="M471" i="119"/>
  <c r="G472" i="119"/>
  <c r="M472" i="119"/>
  <c r="G473" i="119"/>
  <c r="M473" i="119"/>
  <c r="G474" i="119"/>
  <c r="M474" i="119"/>
  <c r="G475" i="119"/>
  <c r="M475" i="119"/>
  <c r="G476" i="119"/>
  <c r="O476" i="119" s="1"/>
  <c r="M476" i="119"/>
  <c r="G477" i="119"/>
  <c r="M477" i="119"/>
  <c r="G478" i="119"/>
  <c r="M478" i="119"/>
  <c r="G479" i="119"/>
  <c r="M479" i="119"/>
  <c r="G480" i="119"/>
  <c r="M480" i="119"/>
  <c r="G481" i="119"/>
  <c r="M481" i="119"/>
  <c r="G482" i="119"/>
  <c r="M482" i="119"/>
  <c r="G483" i="119"/>
  <c r="M483" i="119"/>
  <c r="G484" i="119"/>
  <c r="L484" i="119"/>
  <c r="L461" i="119" s="1"/>
  <c r="G485" i="119"/>
  <c r="M485" i="119"/>
  <c r="G486" i="119"/>
  <c r="M486" i="119"/>
  <c r="G487" i="119"/>
  <c r="M487" i="119"/>
  <c r="G488" i="119"/>
  <c r="M488" i="119"/>
  <c r="G489" i="119"/>
  <c r="M489" i="119"/>
  <c r="G490" i="119"/>
  <c r="M490" i="119"/>
  <c r="G491" i="119"/>
  <c r="M491" i="119"/>
  <c r="G492" i="119"/>
  <c r="M492" i="119"/>
  <c r="G493" i="119"/>
  <c r="M493" i="119"/>
  <c r="G494" i="119"/>
  <c r="M494" i="119"/>
  <c r="G495" i="119"/>
  <c r="M495" i="119"/>
  <c r="G496" i="119"/>
  <c r="M496" i="119"/>
  <c r="G497" i="119"/>
  <c r="M497" i="119"/>
  <c r="G498" i="119"/>
  <c r="M498" i="119"/>
  <c r="G499" i="119"/>
  <c r="M499" i="119"/>
  <c r="G500" i="119"/>
  <c r="M500" i="119"/>
  <c r="G501" i="119"/>
  <c r="M501" i="119"/>
  <c r="G502" i="119"/>
  <c r="M502" i="119"/>
  <c r="G503" i="119"/>
  <c r="M503" i="119"/>
  <c r="G504" i="119"/>
  <c r="O504" i="119" s="1"/>
  <c r="M504" i="119"/>
  <c r="G505" i="119"/>
  <c r="M505" i="119"/>
  <c r="G506" i="119"/>
  <c r="M506" i="119"/>
  <c r="G507" i="119"/>
  <c r="M507" i="119"/>
  <c r="G508" i="119"/>
  <c r="O508" i="119" s="1"/>
  <c r="M508" i="119"/>
  <c r="G509" i="119"/>
  <c r="M509" i="119"/>
  <c r="G510" i="119"/>
  <c r="M510" i="119"/>
  <c r="G511" i="119"/>
  <c r="M511" i="119"/>
  <c r="G512" i="119"/>
  <c r="M512" i="119"/>
  <c r="G513" i="119"/>
  <c r="M513" i="119"/>
  <c r="G514" i="119"/>
  <c r="M514" i="119"/>
  <c r="G515" i="119"/>
  <c r="M515" i="119"/>
  <c r="G516" i="119"/>
  <c r="M516" i="119"/>
  <c r="G517" i="119"/>
  <c r="M517" i="119"/>
  <c r="G518" i="119"/>
  <c r="M518" i="119"/>
  <c r="G519" i="119"/>
  <c r="M519" i="119"/>
  <c r="G520" i="119"/>
  <c r="M520" i="119"/>
  <c r="G521" i="119"/>
  <c r="M521" i="119"/>
  <c r="G522" i="119"/>
  <c r="M522" i="119"/>
  <c r="G523" i="119"/>
  <c r="M523" i="119"/>
  <c r="G524" i="119"/>
  <c r="O524" i="119" s="1"/>
  <c r="M524" i="119"/>
  <c r="G525" i="119"/>
  <c r="M525" i="119"/>
  <c r="G526" i="119"/>
  <c r="M526" i="119"/>
  <c r="G527" i="119"/>
  <c r="M527" i="119"/>
  <c r="G528" i="119"/>
  <c r="O528" i="119" s="1"/>
  <c r="M528" i="119"/>
  <c r="G529" i="119"/>
  <c r="M529" i="119"/>
  <c r="G530" i="119"/>
  <c r="M530" i="119"/>
  <c r="G531" i="119"/>
  <c r="M531" i="119"/>
  <c r="G532" i="119"/>
  <c r="M532" i="119"/>
  <c r="G533" i="119"/>
  <c r="M533" i="119"/>
  <c r="E538" i="119"/>
  <c r="F538" i="119"/>
  <c r="J538" i="119"/>
  <c r="K538" i="119"/>
  <c r="L538" i="119"/>
  <c r="N538" i="119"/>
  <c r="G539" i="119"/>
  <c r="M539" i="119"/>
  <c r="O539" i="119" s="1"/>
  <c r="G540" i="119"/>
  <c r="M540" i="119"/>
  <c r="G541" i="119"/>
  <c r="M541" i="119"/>
  <c r="G542" i="119"/>
  <c r="O542" i="119" s="1"/>
  <c r="M542" i="119"/>
  <c r="G543" i="119"/>
  <c r="M543" i="119"/>
  <c r="G544" i="119"/>
  <c r="M544" i="119"/>
  <c r="G545" i="119"/>
  <c r="M545" i="119"/>
  <c r="G546" i="119"/>
  <c r="M546" i="119"/>
  <c r="G547" i="119"/>
  <c r="M547" i="119"/>
  <c r="G548" i="119"/>
  <c r="M548" i="119"/>
  <c r="G549" i="119"/>
  <c r="M549" i="119"/>
  <c r="G550" i="119"/>
  <c r="M550" i="119"/>
  <c r="G551" i="119"/>
  <c r="M551" i="119"/>
  <c r="G552" i="119"/>
  <c r="M552" i="119"/>
  <c r="G553" i="119"/>
  <c r="M553" i="119"/>
  <c r="M554" i="119"/>
  <c r="O554" i="119" s="1"/>
  <c r="M555" i="119"/>
  <c r="O555" i="119"/>
  <c r="M556" i="119"/>
  <c r="O556" i="119" s="1"/>
  <c r="G557" i="119"/>
  <c r="M557" i="119"/>
  <c r="O557" i="119" s="1"/>
  <c r="G558" i="119"/>
  <c r="M558" i="119"/>
  <c r="G559" i="119"/>
  <c r="M559" i="119"/>
  <c r="O559" i="119" s="1"/>
  <c r="G560" i="119"/>
  <c r="M560" i="119"/>
  <c r="G561" i="119"/>
  <c r="M561" i="119"/>
  <c r="G562" i="119"/>
  <c r="M562" i="119"/>
  <c r="G563" i="119"/>
  <c r="M563" i="119"/>
  <c r="G564" i="119"/>
  <c r="M564" i="119"/>
  <c r="G565" i="119"/>
  <c r="M565" i="119"/>
  <c r="G566" i="119"/>
  <c r="M566" i="119"/>
  <c r="G567" i="119"/>
  <c r="M567" i="119"/>
  <c r="G568" i="119"/>
  <c r="M568" i="119"/>
  <c r="G569" i="119"/>
  <c r="M569" i="119"/>
  <c r="G570" i="119"/>
  <c r="M570" i="119"/>
  <c r="G571" i="119"/>
  <c r="M571" i="119"/>
  <c r="G572" i="119"/>
  <c r="M572" i="119"/>
  <c r="G573" i="119"/>
  <c r="M573" i="119"/>
  <c r="G574" i="119"/>
  <c r="M574" i="119"/>
  <c r="G575" i="119"/>
  <c r="M575" i="119"/>
  <c r="G576" i="119"/>
  <c r="M576" i="119"/>
  <c r="G577" i="119"/>
  <c r="M577" i="119"/>
  <c r="G578" i="119"/>
  <c r="M578" i="119"/>
  <c r="G579" i="119"/>
  <c r="M579" i="119"/>
  <c r="G580" i="119"/>
  <c r="M580" i="119"/>
  <c r="G581" i="119"/>
  <c r="M581" i="119"/>
  <c r="O581" i="119" s="1"/>
  <c r="G582" i="119"/>
  <c r="M582" i="119"/>
  <c r="G583" i="119"/>
  <c r="O583" i="119"/>
  <c r="M583" i="119"/>
  <c r="G584" i="119"/>
  <c r="M584" i="119"/>
  <c r="G585" i="119"/>
  <c r="M585" i="119"/>
  <c r="G586" i="119"/>
  <c r="M586" i="119"/>
  <c r="G587" i="119"/>
  <c r="O587" i="119" s="1"/>
  <c r="M587" i="119"/>
  <c r="G588" i="119"/>
  <c r="M588" i="119"/>
  <c r="G589" i="119"/>
  <c r="M589" i="119"/>
  <c r="G590" i="119"/>
  <c r="M590" i="119"/>
  <c r="G591" i="119"/>
  <c r="O591" i="119" s="1"/>
  <c r="M591" i="119"/>
  <c r="M592" i="119"/>
  <c r="O592" i="119" s="1"/>
  <c r="G593" i="119"/>
  <c r="M593" i="119"/>
  <c r="G594" i="119"/>
  <c r="M594" i="119"/>
  <c r="G595" i="119"/>
  <c r="M595" i="119"/>
  <c r="G596" i="119"/>
  <c r="M596" i="119"/>
  <c r="G597" i="119"/>
  <c r="M597" i="119"/>
  <c r="G598" i="119"/>
  <c r="M598" i="119"/>
  <c r="G599" i="119"/>
  <c r="M599" i="119"/>
  <c r="G600" i="119"/>
  <c r="M600" i="119"/>
  <c r="O600" i="119" s="1"/>
  <c r="G601" i="119"/>
  <c r="M601" i="119"/>
  <c r="G602" i="119"/>
  <c r="M602" i="119"/>
  <c r="O602" i="119" s="1"/>
  <c r="G603" i="119"/>
  <c r="O603" i="119" s="1"/>
  <c r="M603" i="119"/>
  <c r="G604" i="119"/>
  <c r="M604" i="119"/>
  <c r="G605" i="119"/>
  <c r="O605" i="119" s="1"/>
  <c r="M605" i="119"/>
  <c r="G606" i="119"/>
  <c r="M606" i="119"/>
  <c r="G607" i="119"/>
  <c r="M607" i="119"/>
  <c r="G608" i="119"/>
  <c r="M608" i="119"/>
  <c r="G609" i="119"/>
  <c r="M609" i="119"/>
  <c r="G610" i="119"/>
  <c r="M610" i="119"/>
  <c r="F46" i="127"/>
  <c r="O8" i="127"/>
  <c r="K5" i="118"/>
  <c r="O13" i="32" s="1"/>
  <c r="O19" i="32" s="1"/>
  <c r="P42" i="118"/>
  <c r="K6" i="118"/>
  <c r="O20" i="32" s="1"/>
  <c r="O25" i="32" s="1"/>
  <c r="O16" i="118"/>
  <c r="G107" i="118"/>
  <c r="G49" i="118"/>
  <c r="G42" i="118"/>
  <c r="R1161" i="130"/>
  <c r="O1161" i="130"/>
  <c r="N511" i="130"/>
  <c r="O480" i="129"/>
  <c r="O484" i="129"/>
  <c r="O486" i="129"/>
  <c r="O610" i="129"/>
  <c r="O614" i="129"/>
  <c r="O618" i="129"/>
  <c r="O622" i="129"/>
  <c r="O626" i="129"/>
  <c r="O630" i="129"/>
  <c r="O634" i="129"/>
  <c r="O638" i="129"/>
  <c r="O642" i="129"/>
  <c r="O646" i="129"/>
  <c r="O650" i="129"/>
  <c r="O654" i="129"/>
  <c r="O658" i="129"/>
  <c r="O664" i="129"/>
  <c r="O676" i="129"/>
  <c r="O620" i="129"/>
  <c r="O628" i="129"/>
  <c r="O636" i="129"/>
  <c r="O652" i="129"/>
  <c r="O656" i="129"/>
  <c r="O662" i="129"/>
  <c r="O670" i="129"/>
  <c r="O674" i="129"/>
  <c r="O678" i="129"/>
  <c r="O498" i="129"/>
  <c r="L458" i="129"/>
  <c r="O500" i="129"/>
  <c r="O554" i="129"/>
  <c r="O558" i="129"/>
  <c r="O560" i="129"/>
  <c r="O562" i="129"/>
  <c r="O566" i="129"/>
  <c r="O596" i="129"/>
  <c r="O54" i="129"/>
  <c r="O60" i="129"/>
  <c r="O499" i="129"/>
  <c r="O29" i="129"/>
  <c r="O362" i="129"/>
  <c r="O382" i="129"/>
  <c r="O390" i="129"/>
  <c r="O402" i="129"/>
  <c r="O404" i="129"/>
  <c r="O406" i="129"/>
  <c r="O410" i="129"/>
  <c r="O418" i="129"/>
  <c r="O420" i="129"/>
  <c r="O424" i="129"/>
  <c r="O432" i="129"/>
  <c r="O434" i="129"/>
  <c r="O436" i="129"/>
  <c r="O438" i="129"/>
  <c r="O446" i="129"/>
  <c r="O448" i="129"/>
  <c r="O450" i="129"/>
  <c r="O452" i="129"/>
  <c r="O476" i="129"/>
  <c r="O544" i="129"/>
  <c r="O573" i="129"/>
  <c r="O17" i="129"/>
  <c r="O28" i="129"/>
  <c r="O84" i="129"/>
  <c r="O91" i="129"/>
  <c r="O99" i="129"/>
  <c r="O101" i="129"/>
  <c r="O103" i="129"/>
  <c r="O105" i="129"/>
  <c r="O107" i="129"/>
  <c r="O113" i="129"/>
  <c r="O149" i="129"/>
  <c r="O153" i="129"/>
  <c r="O155" i="129"/>
  <c r="O157" i="129"/>
  <c r="O249" i="129"/>
  <c r="L397" i="129"/>
  <c r="L328" i="129" s="1"/>
  <c r="O419" i="129"/>
  <c r="O423" i="129"/>
  <c r="O425" i="129"/>
  <c r="O447" i="129"/>
  <c r="O479" i="129"/>
  <c r="O507" i="129"/>
  <c r="O509" i="129"/>
  <c r="O537" i="129"/>
  <c r="O545" i="129"/>
  <c r="O574" i="129"/>
  <c r="O576" i="129"/>
  <c r="O578" i="129"/>
  <c r="O586" i="129"/>
  <c r="O49" i="129"/>
  <c r="O145" i="129"/>
  <c r="O256" i="129"/>
  <c r="O306" i="129"/>
  <c r="O310" i="129"/>
  <c r="O345" i="129"/>
  <c r="O371" i="129"/>
  <c r="O373" i="129"/>
  <c r="O377" i="129"/>
  <c r="O417" i="129"/>
  <c r="O443" i="129"/>
  <c r="O489" i="129"/>
  <c r="O513" i="129"/>
  <c r="O515" i="129"/>
  <c r="O525" i="129"/>
  <c r="O535" i="129"/>
  <c r="O552" i="129"/>
  <c r="O76" i="129"/>
  <c r="O124" i="129"/>
  <c r="M179" i="129"/>
  <c r="O289" i="129"/>
  <c r="O293" i="129"/>
  <c r="O297" i="129"/>
  <c r="O317" i="129"/>
  <c r="O342" i="129"/>
  <c r="O387" i="129"/>
  <c r="O389" i="129"/>
  <c r="O505" i="129"/>
  <c r="O597" i="129"/>
  <c r="O603" i="129"/>
  <c r="O605" i="129"/>
  <c r="O32" i="129"/>
  <c r="O36" i="129"/>
  <c r="O83" i="129"/>
  <c r="O92" i="129"/>
  <c r="O108" i="129"/>
  <c r="O112" i="129"/>
  <c r="O121" i="129"/>
  <c r="O129" i="129"/>
  <c r="O162" i="129"/>
  <c r="O279" i="129"/>
  <c r="O329" i="129"/>
  <c r="O333" i="129"/>
  <c r="O335" i="129"/>
  <c r="O337" i="129"/>
  <c r="O339" i="129"/>
  <c r="O366" i="129"/>
  <c r="O368" i="129"/>
  <c r="O403" i="129"/>
  <c r="O405" i="129"/>
  <c r="O430" i="129"/>
  <c r="O463" i="129"/>
  <c r="O465" i="129"/>
  <c r="O467" i="129"/>
  <c r="O469" i="129"/>
  <c r="O471" i="129"/>
  <c r="O473" i="129"/>
  <c r="O475" i="129"/>
  <c r="O477" i="129"/>
  <c r="O512" i="129"/>
  <c r="O518" i="129"/>
  <c r="O524" i="129"/>
  <c r="O585" i="129"/>
  <c r="O588" i="129"/>
  <c r="O590" i="129"/>
  <c r="J3" i="129"/>
  <c r="O24" i="129"/>
  <c r="O43" i="129"/>
  <c r="O51" i="129"/>
  <c r="O53" i="129"/>
  <c r="O123" i="129"/>
  <c r="O125" i="129"/>
  <c r="O250" i="129"/>
  <c r="O252" i="129"/>
  <c r="O263" i="129"/>
  <c r="O393" i="129"/>
  <c r="O412" i="129"/>
  <c r="O414" i="129"/>
  <c r="O416" i="129"/>
  <c r="O440" i="129"/>
  <c r="O442" i="129"/>
  <c r="O444" i="129"/>
  <c r="O488" i="129"/>
  <c r="O490" i="129"/>
  <c r="O497" i="129"/>
  <c r="O501" i="129"/>
  <c r="O520" i="129"/>
  <c r="O529" i="129"/>
  <c r="O555" i="129"/>
  <c r="O571" i="129"/>
  <c r="O582" i="129"/>
  <c r="O593" i="129"/>
  <c r="M117" i="129"/>
  <c r="O140" i="129"/>
  <c r="O266" i="129"/>
  <c r="O363" i="129"/>
  <c r="O379" i="129"/>
  <c r="O464" i="129"/>
  <c r="O483" i="129"/>
  <c r="O568" i="129"/>
  <c r="O577" i="129"/>
  <c r="O601" i="129"/>
  <c r="O21" i="129"/>
  <c r="O44" i="129"/>
  <c r="O46" i="129"/>
  <c r="O57" i="129"/>
  <c r="O64" i="129"/>
  <c r="O70" i="129"/>
  <c r="O77" i="129"/>
  <c r="O137" i="129"/>
  <c r="O139" i="129"/>
  <c r="O141" i="129"/>
  <c r="O171" i="129"/>
  <c r="O255" i="129"/>
  <c r="O261" i="129"/>
  <c r="O265" i="129"/>
  <c r="O290" i="129"/>
  <c r="O324" i="129"/>
  <c r="O358" i="129"/>
  <c r="O369" i="129"/>
  <c r="O376" i="129"/>
  <c r="O385" i="129"/>
  <c r="O398" i="129"/>
  <c r="O400" i="129"/>
  <c r="O411" i="129"/>
  <c r="O413" i="129"/>
  <c r="O422" i="129"/>
  <c r="O426" i="129"/>
  <c r="O428" i="129"/>
  <c r="O445" i="129"/>
  <c r="O459" i="129"/>
  <c r="O472" i="129"/>
  <c r="O485" i="129"/>
  <c r="O491" i="129"/>
  <c r="O502" i="129"/>
  <c r="O517" i="129"/>
  <c r="O521" i="129"/>
  <c r="O523" i="129"/>
  <c r="O528" i="129"/>
  <c r="O541" i="129"/>
  <c r="O543" i="129"/>
  <c r="O548" i="129"/>
  <c r="O563" i="129"/>
  <c r="O579" i="129"/>
  <c r="O600" i="129"/>
  <c r="O602" i="129"/>
  <c r="O35" i="129"/>
  <c r="O39" i="129"/>
  <c r="O48" i="129"/>
  <c r="O55" i="129"/>
  <c r="M63" i="129"/>
  <c r="O72" i="129"/>
  <c r="O81" i="129"/>
  <c r="O96" i="129"/>
  <c r="O98" i="129"/>
  <c r="O127" i="129"/>
  <c r="O132" i="129"/>
  <c r="O134" i="129"/>
  <c r="O136" i="129"/>
  <c r="O143" i="129"/>
  <c r="O150" i="129"/>
  <c r="O152" i="129"/>
  <c r="O159" i="129"/>
  <c r="O164" i="129"/>
  <c r="O166" i="129"/>
  <c r="O173" i="129"/>
  <c r="O180" i="129"/>
  <c r="O254" i="129"/>
  <c r="O259" i="129"/>
  <c r="O267" i="129"/>
  <c r="O276" i="129"/>
  <c r="O281" i="129"/>
  <c r="O287" i="129"/>
  <c r="O294" i="129"/>
  <c r="O296" i="129"/>
  <c r="O319" i="129"/>
  <c r="G63" i="129"/>
  <c r="O100" i="129"/>
  <c r="O109" i="129"/>
  <c r="O122" i="129"/>
  <c r="O131" i="129"/>
  <c r="O147" i="129"/>
  <c r="O154" i="129"/>
  <c r="O156" i="129"/>
  <c r="O168" i="129"/>
  <c r="O170" i="129"/>
  <c r="O251" i="129"/>
  <c r="O270" i="129"/>
  <c r="O291" i="129"/>
  <c r="O298" i="129"/>
  <c r="O318" i="129"/>
  <c r="O323" i="129"/>
  <c r="O334" i="129"/>
  <c r="O343" i="129"/>
  <c r="O350" i="129"/>
  <c r="O506" i="129"/>
  <c r="O514" i="129"/>
  <c r="O530" i="129"/>
  <c r="O542" i="129"/>
  <c r="O12" i="129"/>
  <c r="O18" i="129"/>
  <c r="O23" i="129"/>
  <c r="O34" i="129"/>
  <c r="O45" i="129"/>
  <c r="O47" i="129"/>
  <c r="O56" i="129"/>
  <c r="O61" i="129"/>
  <c r="O69" i="129"/>
  <c r="O71" i="129"/>
  <c r="O73" i="129"/>
  <c r="O80" i="129"/>
  <c r="O87" i="129"/>
  <c r="O90" i="129"/>
  <c r="O97" i="129"/>
  <c r="G117" i="129"/>
  <c r="O126" i="129"/>
  <c r="O128" i="129"/>
  <c r="O135" i="129"/>
  <c r="O142" i="129"/>
  <c r="O144" i="129"/>
  <c r="O151" i="129"/>
  <c r="O160" i="129"/>
  <c r="O165" i="129"/>
  <c r="O172" i="129"/>
  <c r="O174" i="129"/>
  <c r="G247" i="129"/>
  <c r="O268" i="129"/>
  <c r="O277" i="129"/>
  <c r="O286" i="129"/>
  <c r="O288" i="129"/>
  <c r="O295" i="129"/>
  <c r="O302" i="129"/>
  <c r="O304" i="129"/>
  <c r="O313" i="129"/>
  <c r="O322" i="129"/>
  <c r="O340" i="129"/>
  <c r="O347" i="129"/>
  <c r="O354" i="129"/>
  <c r="O359" i="129"/>
  <c r="O364" i="129"/>
  <c r="O367" i="129"/>
  <c r="O375" i="129"/>
  <c r="O380" i="129"/>
  <c r="O383" i="129"/>
  <c r="O391" i="129"/>
  <c r="O559" i="129"/>
  <c r="O567" i="129"/>
  <c r="O583" i="129"/>
  <c r="O5" i="129"/>
  <c r="O66" i="129"/>
  <c r="G179" i="129"/>
  <c r="O272" i="129"/>
  <c r="O284" i="129"/>
  <c r="O300" i="129"/>
  <c r="O352" i="129"/>
  <c r="M533" i="129"/>
  <c r="O584" i="129"/>
  <c r="O15" i="129"/>
  <c r="O65" i="129"/>
  <c r="O331" i="129"/>
  <c r="O399" i="129"/>
  <c r="O433" i="129"/>
  <c r="O441" i="129"/>
  <c r="O449" i="129"/>
  <c r="O461" i="129"/>
  <c r="O466" i="129"/>
  <c r="O474" i="129"/>
  <c r="O487" i="129"/>
  <c r="O495" i="129"/>
  <c r="O503" i="129"/>
  <c r="O511" i="129"/>
  <c r="O519" i="129"/>
  <c r="O527" i="129"/>
  <c r="O534" i="129"/>
  <c r="G533" i="129"/>
  <c r="O539" i="129"/>
  <c r="O547" i="129"/>
  <c r="O591" i="129"/>
  <c r="O599" i="129"/>
  <c r="O271" i="129"/>
  <c r="O292" i="129"/>
  <c r="O308" i="129"/>
  <c r="O556" i="129"/>
  <c r="O564" i="129"/>
  <c r="O572" i="129"/>
  <c r="O580" i="129"/>
  <c r="M430" i="119"/>
  <c r="O180" i="119"/>
  <c r="O381" i="119"/>
  <c r="O349" i="119"/>
  <c r="O333" i="119"/>
  <c r="O289" i="119"/>
  <c r="O266" i="119"/>
  <c r="O154" i="119"/>
  <c r="O138" i="119"/>
  <c r="O100" i="119"/>
  <c r="O130" i="119"/>
  <c r="O71" i="119"/>
  <c r="O39" i="119"/>
  <c r="O18" i="119"/>
  <c r="O4" i="119"/>
  <c r="J3" i="119"/>
  <c r="C47" i="110"/>
  <c r="T1" i="112"/>
  <c r="H1" i="112"/>
  <c r="D1" i="112"/>
  <c r="J1" i="125"/>
  <c r="X3" i="112"/>
  <c r="E24" i="126"/>
  <c r="O26" i="119"/>
  <c r="O12" i="119"/>
  <c r="H42" i="120"/>
  <c r="U14" i="125"/>
  <c r="X14" i="125" s="1"/>
  <c r="D1" i="125"/>
  <c r="F185" i="126"/>
  <c r="H51" i="110"/>
  <c r="V117" i="112"/>
  <c r="V118" i="112" s="1"/>
  <c r="Z118" i="112" s="1"/>
  <c r="U27" i="112"/>
  <c r="X27" i="112" s="1"/>
  <c r="F57" i="112" s="1"/>
  <c r="U3" i="125"/>
  <c r="X3" i="125" s="1"/>
  <c r="X18" i="125"/>
  <c r="H42" i="125" s="1"/>
  <c r="H44" i="125" s="1"/>
  <c r="B204" i="16"/>
  <c r="L200" i="16"/>
  <c r="L206" i="16" s="1"/>
  <c r="L186" i="16" s="1"/>
  <c r="K207" i="16"/>
  <c r="K187" i="16" s="1"/>
  <c r="F137" i="109"/>
  <c r="Q200" i="16"/>
  <c r="Q206" i="16" s="1"/>
  <c r="Q207" i="16" s="1"/>
  <c r="Q187" i="16" s="1"/>
  <c r="Q220" i="16"/>
  <c r="Q201" i="16" s="1"/>
  <c r="U10" i="125"/>
  <c r="X10" i="125" s="1"/>
  <c r="U4" i="125"/>
  <c r="X4" i="125" s="1"/>
  <c r="G102" i="109"/>
  <c r="G59" i="109"/>
  <c r="K13" i="109"/>
  <c r="K16" i="109" s="1"/>
  <c r="F28" i="15"/>
  <c r="D77" i="15"/>
  <c r="D79" i="15" s="1"/>
  <c r="H79" i="15" s="1"/>
  <c r="D59" i="15"/>
  <c r="D61" i="15" s="1"/>
  <c r="H60" i="15" s="1"/>
  <c r="L192" i="16"/>
  <c r="L193" i="16" s="1"/>
  <c r="L173" i="16" s="1"/>
  <c r="F51" i="112"/>
  <c r="G117" i="119" l="1"/>
  <c r="O533" i="119"/>
  <c r="O529" i="119"/>
  <c r="O525" i="119"/>
  <c r="O405" i="119"/>
  <c r="O403" i="119"/>
  <c r="O401" i="119"/>
  <c r="P30" i="109"/>
  <c r="K35" i="118"/>
  <c r="K24" i="118"/>
  <c r="G68" i="118"/>
  <c r="R1161" i="124"/>
  <c r="C62" i="110"/>
  <c r="G143" i="109"/>
  <c r="H44" i="110"/>
  <c r="O541" i="119"/>
  <c r="O531" i="119"/>
  <c r="O527" i="119"/>
  <c r="O435" i="119"/>
  <c r="O149" i="119"/>
  <c r="R1" i="125"/>
  <c r="P36" i="118"/>
  <c r="L207" i="16"/>
  <c r="H42" i="110"/>
  <c r="G458" i="129"/>
  <c r="M11" i="129"/>
  <c r="U99" i="125"/>
  <c r="G155" i="118"/>
  <c r="O571" i="119"/>
  <c r="O563" i="119"/>
  <c r="O265" i="119"/>
  <c r="O256" i="119"/>
  <c r="O145" i="119"/>
  <c r="I38" i="110"/>
  <c r="I26" i="110"/>
  <c r="I14" i="110"/>
  <c r="U117" i="112"/>
  <c r="T102" i="112"/>
  <c r="B164" i="16"/>
  <c r="K4" i="118"/>
  <c r="K12" i="118" s="1"/>
  <c r="O502" i="119"/>
  <c r="O362" i="119"/>
  <c r="O29" i="119"/>
  <c r="T91" i="125"/>
  <c r="K30" i="127"/>
  <c r="F44" i="127"/>
  <c r="O31" i="129"/>
  <c r="O58" i="129"/>
  <c r="O62" i="129"/>
  <c r="O163" i="129"/>
  <c r="O278" i="129"/>
  <c r="O315" i="129"/>
  <c r="O384" i="129"/>
  <c r="O394" i="129"/>
  <c r="O616" i="129"/>
  <c r="O632" i="129"/>
  <c r="O648" i="129"/>
  <c r="O1029" i="130"/>
  <c r="O610" i="119"/>
  <c r="O606" i="119"/>
  <c r="O586" i="119"/>
  <c r="O584" i="119"/>
  <c r="O522" i="119"/>
  <c r="O499" i="119"/>
  <c r="O491" i="119"/>
  <c r="O487" i="119"/>
  <c r="O485" i="119"/>
  <c r="O483" i="119"/>
  <c r="O481" i="119"/>
  <c r="O479" i="119"/>
  <c r="O477" i="119"/>
  <c r="O369" i="119"/>
  <c r="O320" i="119"/>
  <c r="O314" i="119"/>
  <c r="O296" i="119"/>
  <c r="O152" i="119"/>
  <c r="O150" i="119"/>
  <c r="O56" i="119"/>
  <c r="O54" i="119"/>
  <c r="O50" i="119"/>
  <c r="O48" i="119"/>
  <c r="O46" i="119"/>
  <c r="O42" i="119"/>
  <c r="O40" i="119"/>
  <c r="O31" i="119"/>
  <c r="O594" i="119"/>
  <c r="O570" i="119"/>
  <c r="O568" i="119"/>
  <c r="O566" i="119"/>
  <c r="O564" i="119"/>
  <c r="O562" i="119"/>
  <c r="O560" i="119"/>
  <c r="O552" i="119"/>
  <c r="O496" i="119"/>
  <c r="O492" i="119"/>
  <c r="O474" i="119"/>
  <c r="O434" i="119"/>
  <c r="O432" i="119"/>
  <c r="O424" i="119"/>
  <c r="O422" i="119"/>
  <c r="O420" i="119"/>
  <c r="O375" i="119"/>
  <c r="O373" i="119"/>
  <c r="O371" i="119"/>
  <c r="O365" i="119"/>
  <c r="O351" i="119"/>
  <c r="O301" i="119"/>
  <c r="O297" i="119"/>
  <c r="O287" i="119"/>
  <c r="O285" i="119"/>
  <c r="O283" i="119"/>
  <c r="O153" i="119"/>
  <c r="O146" i="119"/>
  <c r="O142" i="119"/>
  <c r="O140" i="119"/>
  <c r="O136" i="119"/>
  <c r="O132" i="119"/>
  <c r="O112" i="119"/>
  <c r="O106" i="119"/>
  <c r="O15" i="119"/>
  <c r="C65" i="110"/>
  <c r="U20" i="112"/>
  <c r="X20" i="112" s="1"/>
  <c r="F54" i="112" s="1"/>
  <c r="U14" i="112"/>
  <c r="X14" i="112" s="1"/>
  <c r="T1" i="125"/>
  <c r="G83" i="109"/>
  <c r="G70" i="109"/>
  <c r="O31" i="127"/>
  <c r="K31" i="127" s="1"/>
  <c r="D53" i="15"/>
  <c r="D55" i="15" s="1"/>
  <c r="O16" i="129"/>
  <c r="O41" i="129"/>
  <c r="O59" i="129"/>
  <c r="O355" i="129"/>
  <c r="O381" i="129"/>
  <c r="O25" i="127"/>
  <c r="K17" i="127" s="1"/>
  <c r="V121" i="112"/>
  <c r="O488" i="119"/>
  <c r="G461" i="119"/>
  <c r="O5" i="109"/>
  <c r="F32" i="125"/>
  <c r="F40" i="125"/>
  <c r="O516" i="119"/>
  <c r="O598" i="119"/>
  <c r="O575" i="119"/>
  <c r="O569" i="119"/>
  <c r="O567" i="119"/>
  <c r="O565" i="119"/>
  <c r="O546" i="119"/>
  <c r="O540" i="119"/>
  <c r="O532" i="119"/>
  <c r="O530" i="119"/>
  <c r="O519" i="119"/>
  <c r="O517" i="119"/>
  <c r="O494" i="119"/>
  <c r="O472" i="119"/>
  <c r="O466" i="119"/>
  <c r="O450" i="119"/>
  <c r="O448" i="119"/>
  <c r="O425" i="119"/>
  <c r="O423" i="119"/>
  <c r="O421" i="119"/>
  <c r="O419" i="119"/>
  <c r="O417" i="119"/>
  <c r="O415" i="119"/>
  <c r="O409" i="119"/>
  <c r="O407" i="119"/>
  <c r="O392" i="119"/>
  <c r="O390" i="119"/>
  <c r="O384" i="119"/>
  <c r="O374" i="119"/>
  <c r="O336" i="119"/>
  <c r="O332" i="119"/>
  <c r="O318" i="119"/>
  <c r="O316" i="119"/>
  <c r="O304" i="119"/>
  <c r="O302" i="119"/>
  <c r="O281" i="119"/>
  <c r="O279" i="119"/>
  <c r="O261" i="119"/>
  <c r="O259" i="119"/>
  <c r="O250" i="119"/>
  <c r="O174" i="119"/>
  <c r="O172" i="119"/>
  <c r="O156" i="119"/>
  <c r="O143" i="119"/>
  <c r="O135" i="119"/>
  <c r="O124" i="119"/>
  <c r="O98" i="119"/>
  <c r="O96" i="119"/>
  <c r="O94" i="119"/>
  <c r="O53" i="119"/>
  <c r="G3" i="123"/>
  <c r="F41" i="110"/>
  <c r="C63" i="120"/>
  <c r="C62" i="120"/>
  <c r="E121" i="126"/>
  <c r="E119" i="126"/>
  <c r="K220" i="16"/>
  <c r="K201" i="16" s="1"/>
  <c r="P200" i="16"/>
  <c r="P206" i="16" s="1"/>
  <c r="D65" i="16"/>
  <c r="B65" i="16" s="1"/>
  <c r="D53" i="16"/>
  <c r="B53" i="16" s="1"/>
  <c r="O29" i="118"/>
  <c r="K32" i="118" s="1"/>
  <c r="F86" i="118"/>
  <c r="O430" i="119"/>
  <c r="M63" i="119"/>
  <c r="G11" i="119"/>
  <c r="S1353" i="124"/>
  <c r="O1161" i="124"/>
  <c r="O14" i="129"/>
  <c r="O667" i="129"/>
  <c r="O675" i="129"/>
  <c r="O679" i="129"/>
  <c r="O608" i="119"/>
  <c r="O597" i="119"/>
  <c r="O595" i="119"/>
  <c r="O589" i="119"/>
  <c r="O520" i="119"/>
  <c r="O514" i="119"/>
  <c r="O486" i="119"/>
  <c r="O482" i="119"/>
  <c r="O471" i="119"/>
  <c r="O469" i="119"/>
  <c r="O443" i="119"/>
  <c r="O439" i="119"/>
  <c r="O433" i="119"/>
  <c r="O431" i="119"/>
  <c r="O414" i="119"/>
  <c r="O410" i="119"/>
  <c r="O404" i="119"/>
  <c r="M400" i="119"/>
  <c r="M328" i="119" s="1"/>
  <c r="O391" i="119"/>
  <c r="O389" i="119"/>
  <c r="O387" i="119"/>
  <c r="O368" i="119"/>
  <c r="O366" i="119"/>
  <c r="O364" i="119"/>
  <c r="O360" i="119"/>
  <c r="O358" i="119"/>
  <c r="O354" i="119"/>
  <c r="O347" i="119"/>
  <c r="O339" i="119"/>
  <c r="O337" i="119"/>
  <c r="O323" i="119"/>
  <c r="O321" i="119"/>
  <c r="O319" i="119"/>
  <c r="O309" i="119"/>
  <c r="O307" i="119"/>
  <c r="O299" i="119"/>
  <c r="O292" i="119"/>
  <c r="O290" i="119"/>
  <c r="O284" i="119"/>
  <c r="O262" i="119"/>
  <c r="O164" i="119"/>
  <c r="O157" i="119"/>
  <c r="O155" i="119"/>
  <c r="O144" i="119"/>
  <c r="O129" i="119"/>
  <c r="O95" i="119"/>
  <c r="O52" i="119"/>
  <c r="O35" i="119"/>
  <c r="O16" i="119"/>
  <c r="H43" i="110"/>
  <c r="E41" i="120"/>
  <c r="R1" i="112"/>
  <c r="F1" i="112"/>
  <c r="V99" i="125"/>
  <c r="V100" i="125" s="1"/>
  <c r="H1" i="125"/>
  <c r="E120" i="126"/>
  <c r="G132" i="109"/>
  <c r="G91" i="109"/>
  <c r="O312" i="129"/>
  <c r="M538" i="119"/>
  <c r="F60" i="112"/>
  <c r="X91" i="125"/>
  <c r="O8" i="109"/>
  <c r="O5" i="127"/>
  <c r="G21" i="127"/>
  <c r="O4" i="127"/>
  <c r="K44" i="32" s="1"/>
  <c r="K51" i="32" s="1"/>
  <c r="O95" i="129"/>
  <c r="O615" i="129"/>
  <c r="O623" i="129"/>
  <c r="O631" i="129"/>
  <c r="O643" i="129"/>
  <c r="O647" i="129"/>
  <c r="K172" i="16"/>
  <c r="K178" i="16" s="1"/>
  <c r="K179" i="16" s="1"/>
  <c r="K193" i="16"/>
  <c r="K173" i="16" s="1"/>
  <c r="F77" i="15"/>
  <c r="G63" i="119"/>
  <c r="Q186" i="16"/>
  <c r="Q192" i="16" s="1"/>
  <c r="Q172" i="16" s="1"/>
  <c r="Q178" i="16" s="1"/>
  <c r="Q179" i="16" s="1"/>
  <c r="M3" i="119"/>
  <c r="G247" i="119"/>
  <c r="O179" i="119"/>
  <c r="M484" i="119"/>
  <c r="O484" i="119" s="1"/>
  <c r="G538" i="119"/>
  <c r="K21" i="118"/>
  <c r="O470" i="119"/>
  <c r="O467" i="119"/>
  <c r="O465" i="119"/>
  <c r="O463" i="119"/>
  <c r="O418" i="119"/>
  <c r="O412" i="119"/>
  <c r="O394" i="119"/>
  <c r="O388" i="119"/>
  <c r="O385" i="119"/>
  <c r="O383" i="119"/>
  <c r="O379" i="119"/>
  <c r="O377" i="119"/>
  <c r="O363" i="119"/>
  <c r="O361" i="119"/>
  <c r="O303" i="119"/>
  <c r="O300" i="119"/>
  <c r="O298" i="119"/>
  <c r="O267" i="119"/>
  <c r="M117" i="119"/>
  <c r="F59" i="15"/>
  <c r="F60" i="15" s="1"/>
  <c r="F39" i="125"/>
  <c r="M247" i="119"/>
  <c r="O604" i="119"/>
  <c r="O579" i="119"/>
  <c r="O573" i="119"/>
  <c r="O553" i="119"/>
  <c r="O551" i="119"/>
  <c r="O549" i="119"/>
  <c r="O547" i="119"/>
  <c r="O512" i="119"/>
  <c r="O506" i="119"/>
  <c r="O503" i="119"/>
  <c r="O501" i="119"/>
  <c r="O490" i="119"/>
  <c r="O437" i="119"/>
  <c r="O428" i="119"/>
  <c r="O408" i="119"/>
  <c r="G400" i="119"/>
  <c r="G328" i="119" s="1"/>
  <c r="O277" i="119"/>
  <c r="B215" i="16"/>
  <c r="F172" i="16"/>
  <c r="F178" i="16" s="1"/>
  <c r="F179" i="16" s="1"/>
  <c r="J181" i="16" s="1"/>
  <c r="F193" i="16"/>
  <c r="J194" i="16" s="1"/>
  <c r="L172" i="16"/>
  <c r="L178" i="16" s="1"/>
  <c r="L179" i="16" s="1"/>
  <c r="P20" i="118"/>
  <c r="O609" i="119"/>
  <c r="O607" i="119"/>
  <c r="O596" i="119"/>
  <c r="O593" i="119"/>
  <c r="O585" i="119"/>
  <c r="O582" i="119"/>
  <c r="O580" i="119"/>
  <c r="O578" i="119"/>
  <c r="O576" i="119"/>
  <c r="O550" i="119"/>
  <c r="O544" i="119"/>
  <c r="O518" i="119"/>
  <c r="O515" i="119"/>
  <c r="O513" i="119"/>
  <c r="O511" i="119"/>
  <c r="O509" i="119"/>
  <c r="O500" i="119"/>
  <c r="O498" i="119"/>
  <c r="O495" i="119"/>
  <c r="O493" i="119"/>
  <c r="O480" i="119"/>
  <c r="O446" i="119"/>
  <c r="O444" i="119"/>
  <c r="O442" i="119"/>
  <c r="O440" i="119"/>
  <c r="O402" i="119"/>
  <c r="O356" i="119"/>
  <c r="O353" i="119"/>
  <c r="O348" i="119"/>
  <c r="O346" i="119"/>
  <c r="O344" i="119"/>
  <c r="O342" i="119"/>
  <c r="O334" i="119"/>
  <c r="O322" i="119"/>
  <c r="O312" i="119"/>
  <c r="O308" i="119"/>
  <c r="O306" i="119"/>
  <c r="O286" i="119"/>
  <c r="O271" i="119"/>
  <c r="O263" i="119"/>
  <c r="O254" i="119"/>
  <c r="O113" i="119"/>
  <c r="O99" i="119"/>
  <c r="O601" i="119"/>
  <c r="O599" i="119"/>
  <c r="O590" i="119"/>
  <c r="O588" i="119"/>
  <c r="O577" i="119"/>
  <c r="O574" i="119"/>
  <c r="O572" i="119"/>
  <c r="O561" i="119"/>
  <c r="O558" i="119"/>
  <c r="O548" i="119"/>
  <c r="O545" i="119"/>
  <c r="O543" i="119"/>
  <c r="O526" i="119"/>
  <c r="O523" i="119"/>
  <c r="O521" i="119"/>
  <c r="O510" i="119"/>
  <c r="O507" i="119"/>
  <c r="O505" i="119"/>
  <c r="O497" i="119"/>
  <c r="O489" i="119"/>
  <c r="O478" i="119"/>
  <c r="O475" i="119"/>
  <c r="O473" i="119"/>
  <c r="O462" i="119"/>
  <c r="O454" i="119"/>
  <c r="O452" i="119"/>
  <c r="O441" i="119"/>
  <c r="O438" i="119"/>
  <c r="O436" i="119"/>
  <c r="O429" i="119"/>
  <c r="O427" i="119"/>
  <c r="O416" i="119"/>
  <c r="O413" i="119"/>
  <c r="O411" i="119"/>
  <c r="O393" i="119"/>
  <c r="O367" i="119"/>
  <c r="O357" i="119"/>
  <c r="O352" i="119"/>
  <c r="O343" i="119"/>
  <c r="O335" i="119"/>
  <c r="O330" i="119"/>
  <c r="O313" i="119"/>
  <c r="O294" i="119"/>
  <c r="O280" i="119"/>
  <c r="O278" i="119"/>
  <c r="O276" i="119"/>
  <c r="O272" i="119"/>
  <c r="O251" i="119"/>
  <c r="O108" i="119"/>
  <c r="O44" i="119"/>
  <c r="C53" i="110"/>
  <c r="C61" i="110" s="1"/>
  <c r="H54" i="110"/>
  <c r="N281" i="124"/>
  <c r="N9" i="124"/>
  <c r="F50" i="112"/>
  <c r="U30" i="112"/>
  <c r="X30" i="112" s="1"/>
  <c r="N1" i="112"/>
  <c r="P1" i="125"/>
  <c r="O171" i="119"/>
  <c r="O151" i="119"/>
  <c r="O139" i="119"/>
  <c r="O134" i="119"/>
  <c r="O125" i="119"/>
  <c r="O109" i="119"/>
  <c r="O102" i="119"/>
  <c r="O82" i="119"/>
  <c r="O45" i="119"/>
  <c r="O34" i="119"/>
  <c r="O28" i="119"/>
  <c r="O24" i="119"/>
  <c r="O14" i="119"/>
  <c r="I29" i="110"/>
  <c r="I17" i="110"/>
  <c r="C64" i="120"/>
  <c r="I29" i="120"/>
  <c r="I17" i="120"/>
  <c r="H1" i="120"/>
  <c r="U33" i="112"/>
  <c r="X33" i="112" s="1"/>
  <c r="U7" i="112"/>
  <c r="X7" i="112" s="1"/>
  <c r="F52" i="112" s="1"/>
  <c r="T98" i="125"/>
  <c r="U15" i="125"/>
  <c r="X15" i="125" s="1"/>
  <c r="X1" i="125" s="1"/>
  <c r="L1" i="125"/>
  <c r="O200" i="16"/>
  <c r="O206" i="16" s="1"/>
  <c r="D41" i="16"/>
  <c r="B41" i="16" s="1"/>
  <c r="O4" i="118"/>
  <c r="O40" i="32" s="1"/>
  <c r="O48" i="32" s="1"/>
  <c r="O661" i="129"/>
  <c r="O665" i="129"/>
  <c r="O673" i="129"/>
  <c r="O677" i="129"/>
  <c r="C6" i="124"/>
  <c r="I32" i="110"/>
  <c r="I20" i="110"/>
  <c r="I8" i="110"/>
  <c r="H43" i="120"/>
  <c r="D62" i="112"/>
  <c r="X36" i="112"/>
  <c r="H60" i="112" s="1"/>
  <c r="H62" i="112" s="1"/>
  <c r="L1" i="112"/>
  <c r="P1" i="112"/>
  <c r="F192" i="126"/>
  <c r="F193" i="126" s="1"/>
  <c r="F204" i="126" s="1"/>
  <c r="G38" i="109"/>
  <c r="F53" i="15"/>
  <c r="F54" i="15" s="1"/>
  <c r="O82" i="129"/>
  <c r="O170" i="119"/>
  <c r="O168" i="119"/>
  <c r="O165" i="119"/>
  <c r="O162" i="119"/>
  <c r="O147" i="119"/>
  <c r="O133" i="119"/>
  <c r="O128" i="119"/>
  <c r="O103" i="119"/>
  <c r="O101" i="119"/>
  <c r="O97" i="119"/>
  <c r="O93" i="119"/>
  <c r="O83" i="119"/>
  <c r="O67" i="119"/>
  <c r="O41" i="119"/>
  <c r="O33" i="119"/>
  <c r="O25" i="119"/>
  <c r="O23" i="119"/>
  <c r="O20" i="119"/>
  <c r="O1353" i="124"/>
  <c r="O1029" i="124"/>
  <c r="N141" i="124"/>
  <c r="E41" i="110"/>
  <c r="I35" i="110"/>
  <c r="I23" i="110"/>
  <c r="I11" i="110"/>
  <c r="F41" i="120"/>
  <c r="I35" i="120"/>
  <c r="I23" i="120"/>
  <c r="I11" i="120"/>
  <c r="T116" i="112"/>
  <c r="T109" i="112"/>
  <c r="W117" i="112"/>
  <c r="X117" i="112" s="1"/>
  <c r="U29" i="112"/>
  <c r="X29" i="112" s="1"/>
  <c r="W84" i="125"/>
  <c r="D44" i="125"/>
  <c r="F172" i="126"/>
  <c r="K5" i="109"/>
  <c r="K10" i="109" s="1"/>
  <c r="K34" i="109"/>
  <c r="O26" i="118"/>
  <c r="K18" i="118" s="1"/>
  <c r="D71" i="15"/>
  <c r="D73" i="15" s="1"/>
  <c r="H73" i="15" s="1"/>
  <c r="O104" i="129"/>
  <c r="O613" i="129"/>
  <c r="O617" i="129"/>
  <c r="O625" i="129"/>
  <c r="O633" i="129"/>
  <c r="O641" i="129"/>
  <c r="O649" i="129"/>
  <c r="O653" i="129"/>
  <c r="O657" i="129"/>
  <c r="O3" i="119"/>
  <c r="Q193" i="16"/>
  <c r="Q173" i="16" s="1"/>
  <c r="L187" i="16"/>
  <c r="O538" i="119"/>
  <c r="P18" i="109"/>
  <c r="F38" i="125"/>
  <c r="F53" i="112"/>
  <c r="M11" i="119"/>
  <c r="K17" i="118"/>
  <c r="O248" i="119"/>
  <c r="O161" i="119"/>
  <c r="O137" i="119"/>
  <c r="O127" i="119"/>
  <c r="O122" i="119"/>
  <c r="O91" i="119"/>
  <c r="O66" i="119"/>
  <c r="O17" i="119"/>
  <c r="M179" i="119"/>
  <c r="O252" i="119"/>
  <c r="O166" i="119"/>
  <c r="O141" i="119"/>
  <c r="O126" i="119"/>
  <c r="O123" i="119"/>
  <c r="O86" i="119"/>
  <c r="O65" i="119"/>
  <c r="O61" i="119"/>
  <c r="O27" i="119"/>
  <c r="N660" i="124"/>
  <c r="F61" i="112"/>
  <c r="F55" i="112"/>
  <c r="O857" i="124"/>
  <c r="F56" i="112"/>
  <c r="F173" i="16"/>
  <c r="F176" i="16" s="1"/>
  <c r="B167" i="16"/>
  <c r="G142" i="118"/>
  <c r="O32" i="118"/>
  <c r="N207" i="16"/>
  <c r="N186" i="16"/>
  <c r="N192" i="16" s="1"/>
  <c r="O24" i="109"/>
  <c r="K17" i="109" s="1"/>
  <c r="K18" i="109" s="1"/>
  <c r="N511" i="124"/>
  <c r="C67" i="110"/>
  <c r="H1" i="110"/>
  <c r="C65" i="120"/>
  <c r="C53" i="120"/>
  <c r="C41" i="120"/>
  <c r="X109" i="112"/>
  <c r="K30" i="109"/>
  <c r="K20" i="109" s="1"/>
  <c r="K21" i="109" s="1"/>
  <c r="G24" i="109"/>
  <c r="O27" i="129"/>
  <c r="J1" i="112"/>
  <c r="R207" i="16"/>
  <c r="R187" i="16" s="1"/>
  <c r="R152" i="16"/>
  <c r="O8" i="118"/>
  <c r="O10" i="118" s="1"/>
  <c r="BC318" i="32"/>
  <c r="AI36" i="32"/>
  <c r="AE34" i="32"/>
  <c r="D41" i="110"/>
  <c r="X98" i="125"/>
  <c r="O86" i="129"/>
  <c r="H44" i="120"/>
  <c r="H41" i="120" s="1"/>
  <c r="N220" i="16"/>
  <c r="O1515" i="130"/>
  <c r="D173" i="16"/>
  <c r="G49" i="127"/>
  <c r="K34" i="127"/>
  <c r="O1353" i="130"/>
  <c r="U1515" i="130"/>
  <c r="R1515" i="130"/>
  <c r="O3" i="127"/>
  <c r="K33" i="32" s="1"/>
  <c r="K43" i="32" s="1"/>
  <c r="K13" i="127"/>
  <c r="K16" i="127" s="1"/>
  <c r="K18" i="127" s="1"/>
  <c r="G153" i="127"/>
  <c r="P35" i="127"/>
  <c r="K4" i="127"/>
  <c r="G68" i="127"/>
  <c r="K6" i="127"/>
  <c r="G50" i="32" s="1"/>
  <c r="G105" i="127"/>
  <c r="P41" i="127"/>
  <c r="K2" i="32"/>
  <c r="K5" i="32" s="1"/>
  <c r="O6" i="127"/>
  <c r="K52" i="32" s="1"/>
  <c r="K54" i="32" s="1"/>
  <c r="BK414" i="32"/>
  <c r="W38" i="32"/>
  <c r="AA36" i="32"/>
  <c r="S35" i="32"/>
  <c r="AA15" i="32"/>
  <c r="BL578" i="32"/>
  <c r="BK469" i="32"/>
  <c r="BG429" i="32"/>
  <c r="O561" i="129"/>
  <c r="O305" i="129"/>
  <c r="O557" i="129"/>
  <c r="O595" i="129"/>
  <c r="G608" i="129"/>
  <c r="O248" i="129"/>
  <c r="O130" i="129"/>
  <c r="O133" i="129"/>
  <c r="O146" i="129"/>
  <c r="O341" i="129"/>
  <c r="O351" i="129"/>
  <c r="O353" i="129"/>
  <c r="O93" i="129"/>
  <c r="O148" i="129"/>
  <c r="O316" i="129"/>
  <c r="O320" i="129"/>
  <c r="O361" i="129"/>
  <c r="O365" i="129"/>
  <c r="O569" i="129"/>
  <c r="O570" i="129"/>
  <c r="O427" i="129"/>
  <c r="O397" i="129" s="1"/>
  <c r="M397" i="129"/>
  <c r="M328" i="129" s="1"/>
  <c r="O481" i="129"/>
  <c r="M458" i="129"/>
  <c r="O179" i="129"/>
  <c r="G11" i="129"/>
  <c r="O314" i="129"/>
  <c r="O349" i="129"/>
  <c r="O357" i="129"/>
  <c r="O508" i="129"/>
  <c r="O565" i="129"/>
  <c r="O589" i="129"/>
  <c r="O10" i="129"/>
  <c r="O3" i="129" s="1"/>
  <c r="M3" i="129"/>
  <c r="O611" i="129"/>
  <c r="O619" i="129"/>
  <c r="O621" i="129"/>
  <c r="O627" i="129"/>
  <c r="O629" i="129"/>
  <c r="O635" i="129"/>
  <c r="O637" i="129"/>
  <c r="O639" i="129"/>
  <c r="O645" i="129"/>
  <c r="O651" i="129"/>
  <c r="O655" i="129"/>
  <c r="O663" i="129"/>
  <c r="O669" i="129"/>
  <c r="O671" i="129"/>
  <c r="K5" i="127"/>
  <c r="K13" i="32" s="1"/>
  <c r="K19" i="32" s="1"/>
  <c r="G166" i="127"/>
  <c r="P31" i="127"/>
  <c r="K20" i="127"/>
  <c r="G3" i="128"/>
  <c r="M608" i="129"/>
  <c r="R1029" i="130"/>
  <c r="N9" i="130"/>
  <c r="P660" i="130"/>
  <c r="C6" i="130"/>
  <c r="N141" i="130"/>
  <c r="N281" i="130"/>
  <c r="O328" i="119" l="1"/>
  <c r="O400" i="119"/>
  <c r="O461" i="119"/>
  <c r="O533" i="129"/>
  <c r="O63" i="129"/>
  <c r="F59" i="112"/>
  <c r="I1" i="120"/>
  <c r="O6" i="32"/>
  <c r="O12" i="32" s="1"/>
  <c r="I1" i="110"/>
  <c r="H54" i="15"/>
  <c r="D45" i="15"/>
  <c r="D47" i="15" s="1"/>
  <c r="D49" i="15" s="1"/>
  <c r="O11" i="129"/>
  <c r="K19" i="118"/>
  <c r="H41" i="110"/>
  <c r="O13" i="127"/>
  <c r="P19" i="127" s="1"/>
  <c r="V103" i="125"/>
  <c r="Z100" i="125"/>
  <c r="G89" i="118"/>
  <c r="O3" i="118"/>
  <c r="O29" i="32" s="1"/>
  <c r="O39" i="32" s="1"/>
  <c r="P186" i="16"/>
  <c r="P192" i="16" s="1"/>
  <c r="P207" i="16"/>
  <c r="P187" i="16" s="1"/>
  <c r="O117" i="119"/>
  <c r="U1" i="125"/>
  <c r="U100" i="125" s="1"/>
  <c r="X1" i="112"/>
  <c r="O247" i="129"/>
  <c r="C67" i="120"/>
  <c r="F71" i="15"/>
  <c r="F72" i="15" s="1"/>
  <c r="U1" i="112"/>
  <c r="U118" i="112" s="1"/>
  <c r="M461" i="119"/>
  <c r="F42" i="125"/>
  <c r="F44" i="125" s="1"/>
  <c r="F45" i="125" s="1"/>
  <c r="O63" i="119"/>
  <c r="O186" i="16"/>
  <c r="O207" i="16"/>
  <c r="O187" i="16" s="1"/>
  <c r="K176" i="16"/>
  <c r="R180" i="16" s="1"/>
  <c r="O608" i="129"/>
  <c r="O11" i="119"/>
  <c r="E60" i="15"/>
  <c r="F61" i="15"/>
  <c r="F79" i="15"/>
  <c r="I79" i="15" s="1"/>
  <c r="F78" i="15"/>
  <c r="E78" i="15" s="1"/>
  <c r="E79" i="15" s="1"/>
  <c r="G79" i="15" s="1"/>
  <c r="D153" i="16" s="1"/>
  <c r="D155" i="16" s="1"/>
  <c r="B155" i="16" s="1"/>
  <c r="W99" i="125"/>
  <c r="X99" i="125" s="1"/>
  <c r="X84" i="125"/>
  <c r="F55" i="15"/>
  <c r="F45" i="15" s="1"/>
  <c r="E54" i="15"/>
  <c r="O458" i="129"/>
  <c r="K19" i="109"/>
  <c r="K32" i="109"/>
  <c r="N187" i="16"/>
  <c r="B207" i="16"/>
  <c r="B187" i="16" s="1"/>
  <c r="F62" i="112"/>
  <c r="F63" i="112" s="1"/>
  <c r="J180" i="16"/>
  <c r="O328" i="129"/>
  <c r="O247" i="119"/>
  <c r="K22" i="118"/>
  <c r="R208" i="16"/>
  <c r="N201" i="16"/>
  <c r="B220" i="16"/>
  <c r="B201" i="16" s="1"/>
  <c r="R221" i="16"/>
  <c r="C61" i="120"/>
  <c r="N172" i="16"/>
  <c r="N178" i="16" s="1"/>
  <c r="N179" i="16" s="1"/>
  <c r="N193" i="16"/>
  <c r="P660" i="124"/>
  <c r="K20" i="118"/>
  <c r="K33" i="118"/>
  <c r="K21" i="127"/>
  <c r="K20" i="32"/>
  <c r="K29" i="32" s="1"/>
  <c r="K6" i="32"/>
  <c r="K12" i="32" s="1"/>
  <c r="K11" i="127"/>
  <c r="O117" i="129"/>
  <c r="K19" i="127"/>
  <c r="K32" i="127"/>
  <c r="D39" i="15" l="1"/>
  <c r="D41" i="15" s="1"/>
  <c r="D43" i="15" s="1"/>
  <c r="H48" i="15"/>
  <c r="X100" i="125"/>
  <c r="U103" i="125"/>
  <c r="S180" i="16"/>
  <c r="B176" i="16"/>
  <c r="P193" i="16"/>
  <c r="P173" i="16" s="1"/>
  <c r="P172" i="16"/>
  <c r="P178" i="16" s="1"/>
  <c r="P179" i="16" s="1"/>
  <c r="B179" i="16" s="1"/>
  <c r="B161" i="16" s="1"/>
  <c r="E61" i="15"/>
  <c r="H61" i="15" s="1"/>
  <c r="H59" i="15"/>
  <c r="H53" i="15"/>
  <c r="E55" i="15"/>
  <c r="X118" i="112"/>
  <c r="U121" i="112"/>
  <c r="F73" i="15"/>
  <c r="I73" i="15" s="1"/>
  <c r="E72" i="15"/>
  <c r="E73" i="15" s="1"/>
  <c r="G73" i="15" s="1"/>
  <c r="D141" i="16" s="1"/>
  <c r="D143" i="16" s="1"/>
  <c r="B143" i="16" s="1"/>
  <c r="N173" i="16"/>
  <c r="B193" i="16"/>
  <c r="B173" i="16" s="1"/>
  <c r="K35" i="109"/>
  <c r="K33" i="109"/>
  <c r="K36" i="118"/>
  <c r="K34" i="118"/>
  <c r="K33" i="127"/>
  <c r="K35" i="127"/>
  <c r="R181" i="16" l="1"/>
  <c r="R194" i="16"/>
  <c r="H42" i="15"/>
  <c r="D33" i="15"/>
  <c r="D35" i="15" s="1"/>
  <c r="D37" i="15" s="1"/>
  <c r="H55" i="15"/>
  <c r="E45" i="15"/>
  <c r="O11" i="118"/>
  <c r="O12" i="118" s="1"/>
  <c r="P12" i="118" s="1"/>
  <c r="K37" i="118"/>
  <c r="K36" i="109"/>
  <c r="O9" i="109"/>
  <c r="O10" i="109" s="1"/>
  <c r="P10" i="109" s="1"/>
  <c r="K36" i="127"/>
  <c r="O10" i="127"/>
  <c r="O11" i="127" s="1"/>
  <c r="P11" i="127" s="1"/>
  <c r="D27" i="15" l="1"/>
  <c r="D29" i="15" s="1"/>
  <c r="D31" i="15" s="1"/>
  <c r="H36" i="15"/>
  <c r="E47" i="15"/>
  <c r="F47" i="15" s="1"/>
  <c r="F48" i="15" s="1"/>
  <c r="D21" i="15" l="1"/>
  <c r="D23" i="15" s="1"/>
  <c r="D25" i="15" s="1"/>
  <c r="H30" i="15"/>
  <c r="E48" i="15"/>
  <c r="F49" i="15"/>
  <c r="F39" i="15" s="1"/>
  <c r="H24" i="15" l="1"/>
  <c r="D15" i="15"/>
  <c r="D17" i="15" s="1"/>
  <c r="D19" i="15" s="1"/>
  <c r="H47" i="15"/>
  <c r="E49" i="15"/>
  <c r="D9" i="15" l="1"/>
  <c r="D11" i="15" s="1"/>
  <c r="D13" i="15" s="1"/>
  <c r="H12" i="15" s="1"/>
  <c r="H18" i="15"/>
  <c r="E39" i="15"/>
  <c r="H49" i="15"/>
  <c r="E41" i="15" l="1"/>
  <c r="F41" i="15" s="1"/>
  <c r="F42" i="15" s="1"/>
  <c r="F43" i="15" l="1"/>
  <c r="F33" i="15" s="1"/>
  <c r="E42" i="15"/>
  <c r="H41" i="15" l="1"/>
  <c r="E43" i="15"/>
  <c r="H43" i="15" l="1"/>
  <c r="E33" i="15"/>
  <c r="E35" i="15" l="1"/>
  <c r="F35" i="15" s="1"/>
  <c r="F36" i="15" s="1"/>
  <c r="F37" i="15" l="1"/>
  <c r="F27" i="15" s="1"/>
  <c r="E36" i="15"/>
  <c r="H35" i="15" l="1"/>
  <c r="E37" i="15"/>
  <c r="H37" i="15" l="1"/>
  <c r="E27" i="15"/>
  <c r="E29" i="15" l="1"/>
  <c r="F29" i="15" s="1"/>
  <c r="F30" i="15" s="1"/>
  <c r="F31" i="15" l="1"/>
  <c r="F21" i="15" s="1"/>
  <c r="E30" i="15"/>
  <c r="H29" i="15" l="1"/>
  <c r="E31" i="15"/>
  <c r="E21" i="15" l="1"/>
  <c r="H31" i="15"/>
  <c r="E23" i="15" l="1"/>
  <c r="F23" i="15" s="1"/>
  <c r="F24" i="15" s="1"/>
  <c r="F25" i="15" l="1"/>
  <c r="F15" i="15" s="1"/>
  <c r="E24" i="15"/>
  <c r="H23" i="15" l="1"/>
  <c r="E25" i="15"/>
  <c r="H25" i="15" l="1"/>
  <c r="E15" i="15"/>
  <c r="E17" i="15" l="1"/>
  <c r="F17" i="15" s="1"/>
  <c r="F18" i="15" s="1"/>
  <c r="E18" i="15" l="1"/>
  <c r="F19" i="15"/>
  <c r="F9" i="15" s="1"/>
  <c r="H17" i="15" l="1"/>
  <c r="E19" i="15"/>
  <c r="H19" i="15" l="1"/>
  <c r="E9" i="15"/>
  <c r="E11" i="15" l="1"/>
  <c r="F11" i="15" s="1"/>
  <c r="F12" i="15" s="1"/>
  <c r="F2" i="15" s="1"/>
  <c r="F13" i="15" l="1"/>
  <c r="E12" i="15"/>
  <c r="E2" i="15" s="1"/>
  <c r="E4" i="15" l="1"/>
  <c r="F4" i="15" s="1"/>
  <c r="F5" i="15" s="1"/>
  <c r="H11" i="15"/>
  <c r="E13" i="15"/>
  <c r="H13" i="15" s="1"/>
  <c r="F6" i="15" l="1"/>
  <c r="E5" i="15"/>
  <c r="H4" i="15" l="1"/>
  <c r="E6" i="15"/>
  <c r="H6" i="15" s="1"/>
</calcChain>
</file>

<file path=xl/comments1.xml><?xml version="1.0" encoding="utf-8"?>
<comments xmlns="http://schemas.openxmlformats.org/spreadsheetml/2006/main">
  <authors>
    <author>Jen</author>
    <author>da</author>
    <author>Administrator</author>
    <author>win764</author>
  </authors>
  <commentList>
    <comment ref="J10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第二期應收: 14175
支票金額只開: 14145
差額30元
</t>
        </r>
      </text>
    </comment>
    <comment ref="E14" authorId="1">
      <text>
        <r>
          <rPr>
            <b/>
            <sz val="18"/>
            <color indexed="81"/>
            <rFont val="Tahoma"/>
            <family val="2"/>
          </rPr>
          <t>1-24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16" authorId="1">
      <text>
        <r>
          <rPr>
            <b/>
            <sz val="16"/>
            <color indexed="81"/>
            <rFont val="Tahoma"/>
            <family val="2"/>
          </rPr>
          <t>1-3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  <r>
          <rPr>
            <b/>
            <sz val="16"/>
            <color indexed="81"/>
            <rFont val="Tahoma"/>
            <family val="2"/>
          </rPr>
          <t xml:space="preserve"> / </t>
        </r>
        <r>
          <rPr>
            <b/>
            <sz val="16"/>
            <color indexed="81"/>
            <rFont val="細明體"/>
            <family val="3"/>
            <charset val="136"/>
          </rPr>
          <t>共</t>
        </r>
        <r>
          <rPr>
            <b/>
            <sz val="16"/>
            <color indexed="81"/>
            <rFont val="Tahoma"/>
            <family val="2"/>
          </rPr>
          <t>24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</text>
    </comment>
    <comment ref="E17" authorId="1">
      <text>
        <r>
          <rPr>
            <sz val="16"/>
            <color indexed="81"/>
            <rFont val="細明體"/>
            <family val="3"/>
            <charset val="136"/>
          </rPr>
          <t>22-24期</t>
        </r>
        <r>
          <rPr>
            <sz val="16"/>
            <color indexed="81"/>
            <rFont val="Tahoma"/>
            <family val="2"/>
          </rPr>
          <t xml:space="preserve"> / </t>
        </r>
        <r>
          <rPr>
            <sz val="16"/>
            <color indexed="81"/>
            <rFont val="細明體"/>
            <family val="3"/>
            <charset val="136"/>
          </rPr>
          <t>共</t>
        </r>
        <r>
          <rPr>
            <sz val="16"/>
            <color indexed="81"/>
            <rFont val="Tahoma"/>
            <family val="2"/>
          </rPr>
          <t>36</t>
        </r>
        <r>
          <rPr>
            <sz val="16"/>
            <color indexed="81"/>
            <rFont val="細明體"/>
            <family val="3"/>
            <charset val="136"/>
          </rPr>
          <t>期</t>
        </r>
      </text>
    </comment>
    <comment ref="E18" authorId="1">
      <text>
        <r>
          <rPr>
            <sz val="18"/>
            <color indexed="81"/>
            <rFont val="細明體"/>
            <family val="3"/>
            <charset val="136"/>
          </rPr>
          <t>19 - 21期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0" authorId="1">
      <text>
        <r>
          <rPr>
            <b/>
            <sz val="18"/>
            <color indexed="81"/>
            <rFont val="Tahoma"/>
            <family val="2"/>
          </rPr>
          <t xml:space="preserve">19 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1" authorId="1">
      <text>
        <r>
          <rPr>
            <b/>
            <sz val="18"/>
            <color indexed="81"/>
            <rFont val="Tahoma"/>
            <family val="2"/>
          </rPr>
          <t>20 - 24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8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9" authorId="1">
      <text>
        <r>
          <rPr>
            <sz val="18"/>
            <color indexed="81"/>
            <rFont val="Tahoma"/>
            <family val="2"/>
          </rPr>
          <t>13 - 24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0" authorId="1">
      <text>
        <r>
          <rPr>
            <b/>
            <sz val="18"/>
            <color indexed="81"/>
            <rFont val="細明體"/>
            <family val="3"/>
            <charset val="136"/>
          </rPr>
          <t>折讓: 20091118 銷貨稅金</t>
        </r>
      </text>
    </comment>
    <comment ref="E34" authorId="1">
      <text>
        <r>
          <rPr>
            <sz val="18"/>
            <color indexed="81"/>
            <rFont val="Tahoma"/>
            <family val="2"/>
          </rPr>
          <t>25 - 27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5" authorId="1">
      <text>
        <r>
          <rPr>
            <sz val="18"/>
            <color indexed="81"/>
            <rFont val="Tahoma"/>
            <family val="2"/>
          </rPr>
          <t>22 - 24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8" authorId="1">
      <text>
        <r>
          <rPr>
            <b/>
            <sz val="18"/>
            <color indexed="81"/>
            <rFont val="細明體"/>
            <family val="3"/>
            <charset val="136"/>
          </rPr>
          <t>折讓: 20100622 銷貨金額</t>
        </r>
      </text>
    </comment>
    <comment ref="E39" authorId="1">
      <text>
        <r>
          <rPr>
            <sz val="18"/>
            <color indexed="81"/>
            <rFont val="Tahoma"/>
            <family val="2"/>
          </rPr>
          <t>1 - 8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0" authorId="1">
      <text>
        <r>
          <rPr>
            <sz val="18"/>
            <color indexed="81"/>
            <rFont val="Tahoma"/>
            <family val="2"/>
          </rPr>
          <t>9 - 16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1" authorId="1">
      <text>
        <r>
          <rPr>
            <sz val="18"/>
            <color indexed="81"/>
            <rFont val="Tahoma"/>
            <family val="2"/>
          </rPr>
          <t>17 - 24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7" authorId="1">
      <text>
        <r>
          <rPr>
            <sz val="18"/>
            <color indexed="81"/>
            <rFont val="Tahoma"/>
            <family val="2"/>
          </rPr>
          <t>28 - 30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8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9" authorId="1">
      <text>
        <r>
          <rPr>
            <sz val="18"/>
            <color indexed="81"/>
            <rFont val="Tahoma"/>
            <family val="2"/>
          </rPr>
          <t>1 - 3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0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1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2" authorId="1">
      <text>
        <r>
          <rPr>
            <sz val="18"/>
            <color indexed="81"/>
            <rFont val="Tahoma"/>
            <family val="2"/>
          </rPr>
          <t>10 - 12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C161" authorId="0">
      <text>
        <r>
          <rPr>
            <sz val="12"/>
            <color indexed="81"/>
            <rFont val="新細明體"/>
            <family val="1"/>
            <charset val="136"/>
          </rPr>
          <t>提早三季解約
13500 x 3 = 40500
開銷貨折讓</t>
        </r>
      </text>
    </comment>
    <comment ref="N167" authorId="0">
      <text>
        <r>
          <rPr>
            <b/>
            <sz val="9"/>
            <color indexed="81"/>
            <rFont val="新細明體"/>
            <family val="1"/>
            <charset val="136"/>
          </rPr>
          <t>少付4元作手續費
2013沖</t>
        </r>
      </text>
    </comment>
    <comment ref="O167" authorId="1">
      <text>
        <r>
          <rPr>
            <b/>
            <sz val="12"/>
            <color indexed="81"/>
            <rFont val="新細明體"/>
            <family val="1"/>
            <charset val="136"/>
          </rPr>
          <t>8張票 $8977.5 客戶開$8977</t>
        </r>
      </text>
    </comment>
    <comment ref="O174" authorId="0">
      <text>
        <r>
          <rPr>
            <b/>
            <sz val="12"/>
            <color indexed="81"/>
            <rFont val="新細明體"/>
            <family val="1"/>
            <charset val="136"/>
          </rPr>
          <t>2013.01.16
已匯入</t>
        </r>
      </text>
    </comment>
    <comment ref="J179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J247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O270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年繳</t>
        </r>
      </text>
    </comment>
    <comment ref="O295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發票預開二年, 季繳</t>
        </r>
      </text>
    </comment>
    <comment ref="O312" authorId="3">
      <text>
        <r>
          <rPr>
            <b/>
            <sz val="9"/>
            <color indexed="81"/>
            <rFont val="細明體"/>
            <family val="3"/>
            <charset val="136"/>
          </rPr>
          <t>原維護約改換機約, 補差額</t>
        </r>
      </text>
    </comment>
    <comment ref="P312" authorId="2">
      <text>
        <r>
          <rPr>
            <b/>
            <sz val="12"/>
            <color indexed="81"/>
            <rFont val="細明體"/>
            <family val="3"/>
            <charset val="136"/>
          </rPr>
          <t>原</t>
        </r>
        <r>
          <rPr>
            <b/>
            <sz val="12"/>
            <color indexed="81"/>
            <rFont val="Tahoma"/>
            <family val="2"/>
          </rPr>
          <t>3600</t>
        </r>
        <r>
          <rPr>
            <b/>
            <sz val="12"/>
            <color indexed="81"/>
            <rFont val="細明體"/>
            <family val="3"/>
            <charset val="136"/>
          </rPr>
          <t>含稅維護改</t>
        </r>
        <r>
          <rPr>
            <b/>
            <sz val="12"/>
            <color indexed="81"/>
            <rFont val="Tahoma"/>
            <family val="2"/>
          </rPr>
          <t>4500</t>
        </r>
        <r>
          <rPr>
            <b/>
            <sz val="12"/>
            <color indexed="81"/>
            <rFont val="細明體"/>
            <family val="3"/>
            <charset val="136"/>
          </rPr>
          <t>含稅換機</t>
        </r>
      </text>
    </comment>
    <comment ref="J32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369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H370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C389" authorId="3">
      <text>
        <r>
          <rPr>
            <b/>
            <sz val="12"/>
            <color indexed="81"/>
            <rFont val="Tahoma"/>
            <family val="2"/>
          </rPr>
          <t>SJ</t>
        </r>
      </text>
    </comment>
    <comment ref="H390" authorId="3">
      <text>
        <r>
          <rPr>
            <b/>
            <sz val="12"/>
            <color indexed="81"/>
            <rFont val="細明體"/>
            <family val="3"/>
            <charset val="136"/>
          </rPr>
          <t>車源管理服務費-尾款</t>
        </r>
      </text>
    </comment>
    <comment ref="H391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2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3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4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J400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437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446" authorId="3">
      <text>
        <r>
          <rPr>
            <b/>
            <sz val="9"/>
            <color indexed="81"/>
            <rFont val="細明體"/>
            <family val="3"/>
            <charset val="136"/>
          </rPr>
          <t>依德軟維</t>
        </r>
      </text>
    </comment>
    <comment ref="H447" authorId="3">
      <text>
        <r>
          <rPr>
            <b/>
            <sz val="9"/>
            <color indexed="81"/>
            <rFont val="細明體"/>
            <family val="3"/>
            <charset val="136"/>
          </rPr>
          <t>鎔德軟維</t>
        </r>
      </text>
    </comment>
    <comment ref="H448" authorId="3">
      <text>
        <r>
          <rPr>
            <b/>
            <sz val="9"/>
            <color indexed="81"/>
            <rFont val="細明體"/>
            <family val="3"/>
            <charset val="136"/>
          </rPr>
          <t>遠端單次維護</t>
        </r>
      </text>
    </comment>
    <comment ref="G456" authorId="3">
      <text>
        <r>
          <rPr>
            <sz val="12"/>
            <color indexed="81"/>
            <rFont val="細明體"/>
            <family val="3"/>
            <charset val="136"/>
          </rPr>
          <t>馬桶增高器</t>
        </r>
      </text>
    </comment>
    <comment ref="J461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13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9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20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30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1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2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3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J53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</commentList>
</comments>
</file>

<file path=xl/comments10.xml><?xml version="1.0" encoding="utf-8"?>
<comments xmlns="http://schemas.openxmlformats.org/spreadsheetml/2006/main">
  <authors>
    <author>Administrator</author>
    <author>win764</author>
  </authors>
  <commentList>
    <comment ref="H2258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259" authorId="0">
      <text>
        <r>
          <rPr>
            <b/>
            <sz val="9"/>
            <color indexed="81"/>
            <rFont val="Tahoma"/>
            <family val="2"/>
          </rPr>
          <t>$14606</t>
        </r>
        <r>
          <rPr>
            <b/>
            <sz val="9"/>
            <color indexed="81"/>
            <rFont val="細明體"/>
            <family val="3"/>
            <charset val="136"/>
          </rPr>
          <t>扣除</t>
        </r>
        <r>
          <rPr>
            <b/>
            <sz val="9"/>
            <color indexed="81"/>
            <rFont val="Tahoma"/>
            <family val="2"/>
          </rPr>
          <t>$60</t>
        </r>
        <r>
          <rPr>
            <b/>
            <sz val="9"/>
            <color indexed="81"/>
            <rFont val="細明體"/>
            <family val="3"/>
            <charset val="136"/>
          </rPr>
          <t>匯費</t>
        </r>
      </text>
    </comment>
    <comment ref="H2342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57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72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431" authorId="0">
      <text>
        <r>
          <rPr>
            <b/>
            <sz val="9"/>
            <color indexed="81"/>
            <rFont val="細明體"/>
            <family val="3"/>
            <charset val="136"/>
          </rPr>
          <t>依德財務軟體 $63000
鎔德財務軟體 $63000
依德業務軟體 $42000
鎔德業務軟體 $42000</t>
        </r>
      </text>
    </comment>
    <comment ref="H2704" authorId="0">
      <text>
        <r>
          <rPr>
            <b/>
            <sz val="9"/>
            <color indexed="81"/>
            <rFont val="細明體"/>
            <family val="3"/>
            <charset val="136"/>
          </rPr>
          <t>阿明還陳 $158000</t>
        </r>
      </text>
    </comment>
    <comment ref="C2941" authorId="1">
      <text>
        <r>
          <rPr>
            <b/>
            <sz val="9"/>
            <color indexed="81"/>
            <rFont val="細明體"/>
            <family val="3"/>
            <charset val="136"/>
          </rPr>
          <t>信義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華算</t>
        </r>
        <r>
          <rPr>
            <b/>
            <sz val="9"/>
            <color indexed="81"/>
            <rFont val="Tahoma"/>
            <family val="2"/>
          </rPr>
          <t xml:space="preserve"> $39517 (105/12 </t>
        </r>
        <r>
          <rPr>
            <b/>
            <sz val="9"/>
            <color indexed="81"/>
            <rFont val="細明體"/>
            <family val="3"/>
            <charset val="136"/>
          </rPr>
          <t>中信</t>
        </r>
        <r>
          <rPr>
            <b/>
            <sz val="9"/>
            <color indexed="81"/>
            <rFont val="Tahoma"/>
            <family val="2"/>
          </rPr>
          <t xml:space="preserve"> $9821, 105/12 </t>
        </r>
        <r>
          <rPr>
            <b/>
            <sz val="9"/>
            <color indexed="81"/>
            <rFont val="細明體"/>
            <family val="3"/>
            <charset val="136"/>
          </rPr>
          <t>玉山</t>
        </r>
        <r>
          <rPr>
            <b/>
            <sz val="9"/>
            <color indexed="81"/>
            <rFont val="Tahoma"/>
            <family val="2"/>
          </rPr>
          <t xml:space="preserve"> $20696, </t>
        </r>
        <r>
          <rPr>
            <b/>
            <sz val="9"/>
            <color indexed="81"/>
            <rFont val="細明體"/>
            <family val="3"/>
            <charset val="136"/>
          </rPr>
          <t>達薪</t>
        </r>
        <r>
          <rPr>
            <b/>
            <sz val="9"/>
            <color indexed="81"/>
            <rFont val="Tahoma"/>
            <family val="2"/>
          </rPr>
          <t>$9000)</t>
        </r>
      </text>
    </comment>
    <comment ref="H3487" authorId="1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494" authorId="1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507" authorId="1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</commentList>
</comments>
</file>

<file path=xl/comments11.xml><?xml version="1.0" encoding="utf-8"?>
<comments xmlns="http://schemas.openxmlformats.org/spreadsheetml/2006/main">
  <authors>
    <author>Administrator</author>
    <author>win764</author>
    <author>win1064</author>
  </authors>
  <commentList>
    <comment ref="H2258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259" authorId="0">
      <text>
        <r>
          <rPr>
            <b/>
            <sz val="9"/>
            <color indexed="81"/>
            <rFont val="Tahoma"/>
            <family val="2"/>
          </rPr>
          <t>$14606</t>
        </r>
        <r>
          <rPr>
            <b/>
            <sz val="9"/>
            <color indexed="81"/>
            <rFont val="細明體"/>
            <family val="3"/>
            <charset val="136"/>
          </rPr>
          <t>扣除</t>
        </r>
        <r>
          <rPr>
            <b/>
            <sz val="9"/>
            <color indexed="81"/>
            <rFont val="Tahoma"/>
            <family val="2"/>
          </rPr>
          <t>$60</t>
        </r>
        <r>
          <rPr>
            <b/>
            <sz val="9"/>
            <color indexed="81"/>
            <rFont val="細明體"/>
            <family val="3"/>
            <charset val="136"/>
          </rPr>
          <t>匯費</t>
        </r>
      </text>
    </comment>
    <comment ref="H2342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57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72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431" authorId="0">
      <text>
        <r>
          <rPr>
            <b/>
            <sz val="9"/>
            <color indexed="81"/>
            <rFont val="細明體"/>
            <family val="3"/>
            <charset val="136"/>
          </rPr>
          <t>依德財務軟體 $63000
鎔德財務軟體 $63000
依德業務軟體 $42000
鎔德業務軟體 $42000</t>
        </r>
      </text>
    </comment>
    <comment ref="H2704" authorId="0">
      <text>
        <r>
          <rPr>
            <b/>
            <sz val="9"/>
            <color indexed="81"/>
            <rFont val="細明體"/>
            <family val="3"/>
            <charset val="136"/>
          </rPr>
          <t>阿明還陳 $158000</t>
        </r>
      </text>
    </comment>
    <comment ref="C2941" authorId="1">
      <text>
        <r>
          <rPr>
            <b/>
            <sz val="9"/>
            <color indexed="81"/>
            <rFont val="細明體"/>
            <family val="3"/>
            <charset val="136"/>
          </rPr>
          <t>信義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華算</t>
        </r>
        <r>
          <rPr>
            <b/>
            <sz val="9"/>
            <color indexed="81"/>
            <rFont val="Tahoma"/>
            <family val="2"/>
          </rPr>
          <t xml:space="preserve"> $39517 (105/12 </t>
        </r>
        <r>
          <rPr>
            <b/>
            <sz val="9"/>
            <color indexed="81"/>
            <rFont val="細明體"/>
            <family val="3"/>
            <charset val="136"/>
          </rPr>
          <t>中信</t>
        </r>
        <r>
          <rPr>
            <b/>
            <sz val="9"/>
            <color indexed="81"/>
            <rFont val="Tahoma"/>
            <family val="2"/>
          </rPr>
          <t xml:space="preserve"> $9821, 105/12 </t>
        </r>
        <r>
          <rPr>
            <b/>
            <sz val="9"/>
            <color indexed="81"/>
            <rFont val="細明體"/>
            <family val="3"/>
            <charset val="136"/>
          </rPr>
          <t>玉山</t>
        </r>
        <r>
          <rPr>
            <b/>
            <sz val="9"/>
            <color indexed="81"/>
            <rFont val="Tahoma"/>
            <family val="2"/>
          </rPr>
          <t xml:space="preserve"> $20696, </t>
        </r>
        <r>
          <rPr>
            <b/>
            <sz val="9"/>
            <color indexed="81"/>
            <rFont val="細明體"/>
            <family val="3"/>
            <charset val="136"/>
          </rPr>
          <t>達薪</t>
        </r>
        <r>
          <rPr>
            <b/>
            <sz val="9"/>
            <color indexed="81"/>
            <rFont val="Tahoma"/>
            <family val="2"/>
          </rPr>
          <t>$9000)</t>
        </r>
      </text>
    </comment>
    <comment ref="E3399" authorId="2">
      <text>
        <r>
          <rPr>
            <b/>
            <sz val="9"/>
            <color indexed="81"/>
            <rFont val="Tahoma"/>
            <family val="2"/>
          </rPr>
          <t xml:space="preserve">20200622 </t>
        </r>
        <r>
          <rPr>
            <b/>
            <sz val="9"/>
            <color indexed="81"/>
            <rFont val="細明體"/>
            <family val="3"/>
            <charset val="136"/>
          </rPr>
          <t>查應是</t>
        </r>
        <r>
          <rPr>
            <b/>
            <sz val="9"/>
            <color indexed="81"/>
            <rFont val="Tahoma"/>
            <family val="2"/>
          </rPr>
          <t xml:space="preserve"> $178</t>
        </r>
      </text>
    </comment>
    <comment ref="H3488" authorId="1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495" authorId="1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508" authorId="1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653" authorId="2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軟体的二次款及尾款, 依/鎔</t>
        </r>
      </text>
    </comment>
    <comment ref="H3691" authorId="2">
      <text>
        <r>
          <rPr>
            <b/>
            <sz val="9"/>
            <color indexed="81"/>
            <rFont val="細明體"/>
            <family val="3"/>
            <charset val="136"/>
          </rPr>
          <t xml:space="preserve">依德車維 $50000
鎔德車維 $50000
鉑德車維 $34000
依德KO $30000
鎔德KO $30000
鉑德KO $30000
鎔德行善KO $24000
扣健保 $4960
共$243040
</t>
        </r>
      </text>
    </comment>
    <comment ref="H3692" authorId="2">
      <text>
        <r>
          <rPr>
            <b/>
            <sz val="9"/>
            <color indexed="81"/>
            <rFont val="細明體"/>
            <family val="3"/>
            <charset val="136"/>
          </rPr>
          <t xml:space="preserve">依德車維 $50000
鎔德車維 $50000
鉑德車維 $34000
依德KO $30000
鎔德KO $30000
鉑德KO $30000
鎔德行善KO $24000
扣健保 $4960
共$243040
</t>
        </r>
      </text>
    </comment>
    <comment ref="H3693" authorId="2">
      <text>
        <r>
          <rPr>
            <b/>
            <sz val="9"/>
            <color indexed="81"/>
            <rFont val="細明體"/>
            <family val="3"/>
            <charset val="136"/>
          </rPr>
          <t xml:space="preserve">依德車維 $50000
鎔德車維 $50000
鉑德車維 $34000
依德KO $30000
鎔德KO $30000
鉑德KO $30000
鎔德行善KO $24000
扣健保 $4960
共$243040
</t>
        </r>
      </text>
    </comment>
  </commentList>
</comments>
</file>

<file path=xl/comments12.xml><?xml version="1.0" encoding="utf-8"?>
<comments xmlns="http://schemas.openxmlformats.org/spreadsheetml/2006/main">
  <authors>
    <author>Jen</author>
    <author>PUREXP</author>
  </authors>
  <commentList>
    <comment ref="C46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56400 - 2400 = 54000
年薪資: 54000 * 12 = 648000
105保留: +59200
106保留: -54000
105年申報: 648000+59200-54000
               = 653200
</t>
        </r>
      </text>
    </comment>
    <comment ref="C52" authorId="1">
      <text>
        <r>
          <rPr>
            <b/>
            <sz val="12"/>
            <color indexed="81"/>
            <rFont val="新細明體"/>
            <family val="1"/>
          </rPr>
          <t>2015年本期應付未付費用: 49900
累積保留薪資次年可高報約13萬</t>
        </r>
      </text>
    </comment>
    <comment ref="C58" authorId="1">
      <text>
        <r>
          <rPr>
            <b/>
            <sz val="12"/>
            <color indexed="81"/>
            <rFont val="新細明體"/>
            <family val="1"/>
          </rPr>
          <t xml:space="preserve">2016年本期應付未付費用: 57400
累積保留薪資次年可高報約13萬
</t>
        </r>
      </text>
    </comment>
  </commentList>
</comments>
</file>

<file path=xl/comments13.xml><?xml version="1.0" encoding="utf-8"?>
<comments xmlns="http://schemas.openxmlformats.org/spreadsheetml/2006/main">
  <authors>
    <author>Jen</author>
    <author>PUREXP</author>
  </authors>
  <commentList>
    <comment ref="C46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60400 - 2400 = 58000
年薪資: 58000 * 12 = 696000
106保留: +54000
107保留: -58000
107年申報: 696000+54000-58000
               = 692000
</t>
        </r>
      </text>
    </comment>
    <comment ref="C52" authorId="1">
      <text>
        <r>
          <rPr>
            <b/>
            <sz val="12"/>
            <color indexed="81"/>
            <rFont val="新細明體"/>
            <family val="1"/>
          </rPr>
          <t>2017年本期應付未付薪資費用
(實際金額): 189600
(調節表申報): 57400
(差額): 132200 保留可高報次年薪資
-&gt;如果增加在調節表的"(+)本期應付金額"欄位
可增加"(=)本期申報支出金額"金額</t>
        </r>
      </text>
    </comment>
    <comment ref="C58" authorId="1">
      <text>
        <r>
          <rPr>
            <b/>
            <sz val="12"/>
            <color indexed="81"/>
            <rFont val="新細明體"/>
            <family val="1"/>
          </rPr>
          <t>2018年本期應付未付薪資費用
(實際金額): 203600
(調節表申報): 71400
(差額): 132200 保留可高報次年薪資
-&gt;如果增加在調節表的"(+)本期應付金額"欄位
可增加"(=)本期申報支出金額"金額</t>
        </r>
      </text>
    </comment>
  </commentList>
</comments>
</file>

<file path=xl/comments14.xml><?xml version="1.0" encoding="utf-8"?>
<comments xmlns="http://schemas.openxmlformats.org/spreadsheetml/2006/main">
  <authors>
    <author>Jen</author>
    <author>PUREXP</author>
  </authors>
  <commentList>
    <comment ref="C46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60400 - 2400 = 58000
年薪資: 58000 * 12 = 696000
107保留: +58000
108保留: -58000
108年申報: 696000+58000-58000
               = 696000
</t>
        </r>
      </text>
    </comment>
    <comment ref="C52" authorId="1">
      <text>
        <r>
          <rPr>
            <b/>
            <sz val="12"/>
            <color indexed="81"/>
            <rFont val="新細明體"/>
            <family val="1"/>
          </rPr>
          <t>2018年本期應付未付薪資費用
(實際金額): 189600
(調節表申報): 57400
(差額): 132200 保留可高報次年薪資
-&gt;如果增加在調節表的"(+)本期應付金額"欄位
可增加"(=)本期申報支出金額"金額</t>
        </r>
      </text>
    </comment>
    <comment ref="C58" authorId="1">
      <text>
        <r>
          <rPr>
            <b/>
            <sz val="12"/>
            <color indexed="81"/>
            <rFont val="新細明體"/>
            <family val="1"/>
          </rPr>
          <t>2019年本期應付未付薪資費用
(實際金額): 203600
(調節表申報): 71400
(差額): 132200 保留可高報次年薪資
-&gt;如果增加在調節表的"(+)本期應付金額"欄位
可增加"(=)本期申報支出金額"金額</t>
        </r>
      </text>
    </comment>
  </commentList>
</comments>
</file>

<file path=xl/comments15.xml><?xml version="1.0" encoding="utf-8"?>
<comments xmlns="http://schemas.openxmlformats.org/spreadsheetml/2006/main">
  <authors>
    <author>Jen</author>
    <author>PUREXP</author>
  </authors>
  <commentList>
    <comment ref="C46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53400 - 2400 = 51000
年薪資: 51000 * 12 = 612000
107保留: +58000
108保留: -51000
108年申報: 612000+58000-51000
               = 619000
</t>
        </r>
      </text>
    </comment>
    <comment ref="C52" authorId="1">
      <text>
        <r>
          <rPr>
            <b/>
            <sz val="12"/>
            <color indexed="81"/>
            <rFont val="新細明體"/>
            <family val="1"/>
          </rPr>
          <t>2018年本期應付未付薪資費用
(實際金額): 189600
(調節表申報): 57400
(差額): 132200 保留可高報次年薪資
-&gt;如果增加在調節表的"(+)本期應付金額"欄位
可增加"(=)本期申報支出金額"金額</t>
        </r>
      </text>
    </comment>
    <comment ref="C58" authorId="1">
      <text>
        <r>
          <rPr>
            <b/>
            <sz val="12"/>
            <color indexed="81"/>
            <rFont val="新細明體"/>
            <family val="1"/>
          </rPr>
          <t>2019年本期應付未付薪資費用
(實際金額): 203600
(調節表申報): 71400
(差額): 132200 保留可高報次年薪資
-&gt;如果增加在調節表的"(+)本期應付金額"欄位
可增加"(=)本期申報支出金額"金額</t>
        </r>
      </text>
    </comment>
  </commentList>
</comments>
</file>

<file path=xl/comments16.xml><?xml version="1.0" encoding="utf-8"?>
<comments xmlns="http://schemas.openxmlformats.org/spreadsheetml/2006/main">
  <authors>
    <author>david</author>
  </authors>
  <commentList>
    <comment ref="U20" authorId="0">
      <text>
        <r>
          <rPr>
            <b/>
            <sz val="9"/>
            <color indexed="81"/>
            <rFont val="Tahoma"/>
            <family val="2"/>
          </rPr>
          <t>9236-&gt;9421
換算稅金 差185元</t>
        </r>
      </text>
    </comment>
    <comment ref="U30" authorId="0">
      <text>
        <r>
          <rPr>
            <b/>
            <sz val="9"/>
            <color indexed="81"/>
            <rFont val="Tahoma"/>
            <family val="2"/>
          </rPr>
          <t xml:space="preserve">8447-&gt;8480
換算稅金 差33元
</t>
        </r>
      </text>
    </comment>
    <comment ref="X30" authorId="0">
      <text>
        <r>
          <rPr>
            <b/>
            <sz val="9"/>
            <color indexed="81"/>
            <rFont val="Tahoma"/>
            <family val="2"/>
          </rPr>
          <t>=((U30+V30)-140)*1.02</t>
        </r>
      </text>
    </comment>
  </commentList>
</comments>
</file>

<file path=xl/comments17.xml><?xml version="1.0" encoding="utf-8"?>
<comments xmlns="http://schemas.openxmlformats.org/spreadsheetml/2006/main">
  <authors>
    <author>win1064</author>
  </authors>
  <commentList>
    <comment ref="X6" author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>期,$4209+$4205*5</t>
        </r>
      </text>
    </comment>
    <comment ref="X7" author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 xml:space="preserve">期,$808*6
</t>
        </r>
      </text>
    </comment>
    <comment ref="X8" author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 xml:space="preserve">,$491+$487*5
</t>
        </r>
      </text>
    </comment>
    <comment ref="X9" author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 xml:space="preserve">,$2706+$2705*2
</t>
        </r>
      </text>
    </comment>
    <comment ref="X11" authorId="0">
      <text>
        <r>
          <rPr>
            <sz val="9"/>
            <color indexed="81"/>
            <rFont val="細明體"/>
            <family val="3"/>
            <charset val="136"/>
          </rPr>
          <t>分</t>
        </r>
        <r>
          <rPr>
            <sz val="9"/>
            <color indexed="81"/>
            <rFont val="Tahoma"/>
            <family val="2"/>
          </rPr>
          <t>6</t>
        </r>
        <r>
          <rPr>
            <sz val="9"/>
            <color indexed="81"/>
            <rFont val="細明體"/>
            <family val="3"/>
            <charset val="136"/>
          </rPr>
          <t>期</t>
        </r>
        <r>
          <rPr>
            <sz val="9"/>
            <color indexed="81"/>
            <rFont val="Tahoma"/>
            <family val="2"/>
          </rPr>
          <t>, $1130+1126*5</t>
        </r>
      </text>
    </comment>
    <comment ref="X12" authorId="0">
      <text>
        <r>
          <rPr>
            <sz val="9"/>
            <color indexed="81"/>
            <rFont val="細明體"/>
            <family val="3"/>
            <charset val="136"/>
          </rPr>
          <t>分</t>
        </r>
        <r>
          <rPr>
            <sz val="9"/>
            <color indexed="81"/>
            <rFont val="Tahoma"/>
            <family val="2"/>
          </rPr>
          <t>6</t>
        </r>
        <r>
          <rPr>
            <sz val="9"/>
            <color indexed="81"/>
            <rFont val="細明體"/>
            <family val="3"/>
            <charset val="136"/>
          </rPr>
          <t>期</t>
        </r>
        <r>
          <rPr>
            <sz val="9"/>
            <color indexed="81"/>
            <rFont val="Tahoma"/>
            <family val="2"/>
          </rPr>
          <t>, $8638+8635*5</t>
        </r>
      </text>
    </comment>
    <comment ref="X15" author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>, $1405+1403*5</t>
        </r>
      </text>
    </comment>
    <comment ref="X16" author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>, $1190+$1189*2</t>
        </r>
      </text>
    </comment>
    <comment ref="X17" author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>, $564+$563*2</t>
        </r>
      </text>
    </comment>
    <comment ref="X18" author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>, $1655+$1654*5</t>
        </r>
      </text>
    </comment>
    <comment ref="A22" authorId="0">
      <text>
        <r>
          <rPr>
            <b/>
            <sz val="9"/>
            <color indexed="81"/>
            <rFont val="Tahoma"/>
            <family val="2"/>
          </rPr>
          <t xml:space="preserve">2020/11/6 </t>
        </r>
        <r>
          <rPr>
            <b/>
            <sz val="9"/>
            <color indexed="81"/>
            <rFont val="細明體"/>
            <family val="3"/>
            <charset val="136"/>
          </rPr>
          <t>購買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補發票</t>
        </r>
      </text>
    </comment>
  </commentList>
</comments>
</file>

<file path=xl/comments18.xml><?xml version="1.0" encoding="utf-8"?>
<comments xmlns="http://schemas.openxmlformats.org/spreadsheetml/2006/main">
  <authors>
    <author>dv-10</author>
    <author>david</author>
  </authors>
  <commentList>
    <comment ref="E11" authorId="0">
      <text>
        <r>
          <rPr>
            <b/>
            <sz val="9"/>
            <color indexed="81"/>
            <rFont val="Tahoma"/>
            <family val="2"/>
          </rPr>
          <t xml:space="preserve">2018 </t>
        </r>
        <r>
          <rPr>
            <b/>
            <sz val="9"/>
            <color indexed="81"/>
            <rFont val="宋体"/>
            <charset val="134"/>
          </rPr>
          <t>進貨價為207433
加</t>
        </r>
        <r>
          <rPr>
            <b/>
            <sz val="9"/>
            <color indexed="81"/>
            <rFont val="Tahoma"/>
            <family val="2"/>
          </rPr>
          <t>ADA</t>
        </r>
        <r>
          <rPr>
            <b/>
            <sz val="9"/>
            <color indexed="81"/>
            <rFont val="宋体"/>
            <charset val="134"/>
          </rPr>
          <t xml:space="preserve">刷卡手續費
</t>
        </r>
        <r>
          <rPr>
            <b/>
            <sz val="9"/>
            <color indexed="81"/>
            <rFont val="Tahoma"/>
            <family val="2"/>
          </rPr>
          <t>171=</t>
        </r>
        <r>
          <rPr>
            <b/>
            <sz val="9"/>
            <color indexed="81"/>
            <rFont val="宋体"/>
            <charset val="134"/>
          </rPr>
          <t xml:space="preserve">207604
</t>
        </r>
      </text>
    </comment>
    <comment ref="E23" authorId="1">
      <text>
        <r>
          <rPr>
            <b/>
            <sz val="9"/>
            <color indexed="81"/>
            <rFont val="Tahoma"/>
            <family val="2"/>
          </rPr>
          <t>稅金換算差 185元
稅金換算差 33元
小數點換算差 -1元</t>
        </r>
      </text>
    </comment>
  </commentList>
</comments>
</file>

<file path=xl/comments19.xml><?xml version="1.0" encoding="utf-8"?>
<comments xmlns="http://schemas.openxmlformats.org/spreadsheetml/2006/main">
  <authors>
    <author>dv-10</author>
    <author>david</author>
  </authors>
  <commentList>
    <comment ref="E23" authorId="0">
      <text>
        <r>
          <rPr>
            <b/>
            <sz val="9"/>
            <color indexed="81"/>
            <rFont val="Tahoma"/>
            <family val="2"/>
          </rPr>
          <t xml:space="preserve">2018 </t>
        </r>
        <r>
          <rPr>
            <b/>
            <sz val="9"/>
            <color indexed="81"/>
            <rFont val="宋体"/>
            <charset val="134"/>
          </rPr>
          <t>進貨價為207433
加</t>
        </r>
        <r>
          <rPr>
            <b/>
            <sz val="9"/>
            <color indexed="81"/>
            <rFont val="Tahoma"/>
            <family val="2"/>
          </rPr>
          <t>ADA</t>
        </r>
        <r>
          <rPr>
            <b/>
            <sz val="9"/>
            <color indexed="81"/>
            <rFont val="宋体"/>
            <charset val="134"/>
          </rPr>
          <t xml:space="preserve">刷卡手續費
</t>
        </r>
        <r>
          <rPr>
            <b/>
            <sz val="9"/>
            <color indexed="81"/>
            <rFont val="Tahoma"/>
            <family val="2"/>
          </rPr>
          <t>171=</t>
        </r>
        <r>
          <rPr>
            <b/>
            <sz val="9"/>
            <color indexed="81"/>
            <rFont val="宋体"/>
            <charset val="134"/>
          </rPr>
          <t xml:space="preserve">207604
</t>
        </r>
      </text>
    </comment>
    <comment ref="E35" authorId="1">
      <text>
        <r>
          <rPr>
            <b/>
            <sz val="9"/>
            <color indexed="81"/>
            <rFont val="Tahoma"/>
            <family val="2"/>
          </rPr>
          <t>稅金換算差 185元
稅金換算差 33元
小數點換算差 -1元</t>
        </r>
      </text>
    </comment>
  </commentList>
</comments>
</file>

<file path=xl/comments2.xml><?xml version="1.0" encoding="utf-8"?>
<comments xmlns="http://schemas.openxmlformats.org/spreadsheetml/2006/main">
  <authors>
    <author>Jen</author>
    <author>da</author>
    <author>Administrator</author>
    <author>win764</author>
    <author>win1064</author>
  </authors>
  <commentList>
    <comment ref="J10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第二期應收: 14175
支票金額只開: 14145
差額30元
</t>
        </r>
      </text>
    </comment>
    <comment ref="E14" authorId="1">
      <text>
        <r>
          <rPr>
            <b/>
            <sz val="18"/>
            <color indexed="81"/>
            <rFont val="Tahoma"/>
            <family val="2"/>
          </rPr>
          <t>1-24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16" authorId="1">
      <text>
        <r>
          <rPr>
            <b/>
            <sz val="16"/>
            <color indexed="81"/>
            <rFont val="Tahoma"/>
            <family val="2"/>
          </rPr>
          <t>1-3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  <r>
          <rPr>
            <b/>
            <sz val="16"/>
            <color indexed="81"/>
            <rFont val="Tahoma"/>
            <family val="2"/>
          </rPr>
          <t xml:space="preserve"> / </t>
        </r>
        <r>
          <rPr>
            <b/>
            <sz val="16"/>
            <color indexed="81"/>
            <rFont val="細明體"/>
            <family val="3"/>
            <charset val="136"/>
          </rPr>
          <t>共</t>
        </r>
        <r>
          <rPr>
            <b/>
            <sz val="16"/>
            <color indexed="81"/>
            <rFont val="Tahoma"/>
            <family val="2"/>
          </rPr>
          <t>24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</text>
    </comment>
    <comment ref="E17" authorId="1">
      <text>
        <r>
          <rPr>
            <sz val="16"/>
            <color indexed="81"/>
            <rFont val="細明體"/>
            <family val="3"/>
            <charset val="136"/>
          </rPr>
          <t>22-24期</t>
        </r>
        <r>
          <rPr>
            <sz val="16"/>
            <color indexed="81"/>
            <rFont val="Tahoma"/>
            <family val="2"/>
          </rPr>
          <t xml:space="preserve"> / </t>
        </r>
        <r>
          <rPr>
            <sz val="16"/>
            <color indexed="81"/>
            <rFont val="細明體"/>
            <family val="3"/>
            <charset val="136"/>
          </rPr>
          <t>共</t>
        </r>
        <r>
          <rPr>
            <sz val="16"/>
            <color indexed="81"/>
            <rFont val="Tahoma"/>
            <family val="2"/>
          </rPr>
          <t>36</t>
        </r>
        <r>
          <rPr>
            <sz val="16"/>
            <color indexed="81"/>
            <rFont val="細明體"/>
            <family val="3"/>
            <charset val="136"/>
          </rPr>
          <t>期</t>
        </r>
      </text>
    </comment>
    <comment ref="E18" authorId="1">
      <text>
        <r>
          <rPr>
            <sz val="18"/>
            <color indexed="81"/>
            <rFont val="細明體"/>
            <family val="3"/>
            <charset val="136"/>
          </rPr>
          <t>19 - 21期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0" authorId="1">
      <text>
        <r>
          <rPr>
            <b/>
            <sz val="18"/>
            <color indexed="81"/>
            <rFont val="Tahoma"/>
            <family val="2"/>
          </rPr>
          <t xml:space="preserve">19 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1" authorId="1">
      <text>
        <r>
          <rPr>
            <b/>
            <sz val="18"/>
            <color indexed="81"/>
            <rFont val="Tahoma"/>
            <family val="2"/>
          </rPr>
          <t>20 - 24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8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9" authorId="1">
      <text>
        <r>
          <rPr>
            <sz val="18"/>
            <color indexed="81"/>
            <rFont val="Tahoma"/>
            <family val="2"/>
          </rPr>
          <t>13 - 24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0" authorId="1">
      <text>
        <r>
          <rPr>
            <b/>
            <sz val="18"/>
            <color indexed="81"/>
            <rFont val="細明體"/>
            <family val="3"/>
            <charset val="136"/>
          </rPr>
          <t>折讓: 20091118 銷貨稅金</t>
        </r>
      </text>
    </comment>
    <comment ref="E34" authorId="1">
      <text>
        <r>
          <rPr>
            <sz val="18"/>
            <color indexed="81"/>
            <rFont val="Tahoma"/>
            <family val="2"/>
          </rPr>
          <t>25 - 27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5" authorId="1">
      <text>
        <r>
          <rPr>
            <sz val="18"/>
            <color indexed="81"/>
            <rFont val="Tahoma"/>
            <family val="2"/>
          </rPr>
          <t>22 - 24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8" authorId="1">
      <text>
        <r>
          <rPr>
            <b/>
            <sz val="18"/>
            <color indexed="81"/>
            <rFont val="細明體"/>
            <family val="3"/>
            <charset val="136"/>
          </rPr>
          <t>折讓: 20100622 銷貨金額</t>
        </r>
      </text>
    </comment>
    <comment ref="E39" authorId="1">
      <text>
        <r>
          <rPr>
            <sz val="18"/>
            <color indexed="81"/>
            <rFont val="Tahoma"/>
            <family val="2"/>
          </rPr>
          <t>1 - 8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0" authorId="1">
      <text>
        <r>
          <rPr>
            <sz val="18"/>
            <color indexed="81"/>
            <rFont val="Tahoma"/>
            <family val="2"/>
          </rPr>
          <t>9 - 16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1" authorId="1">
      <text>
        <r>
          <rPr>
            <sz val="18"/>
            <color indexed="81"/>
            <rFont val="Tahoma"/>
            <family val="2"/>
          </rPr>
          <t>17 - 24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7" authorId="1">
      <text>
        <r>
          <rPr>
            <sz val="18"/>
            <color indexed="81"/>
            <rFont val="Tahoma"/>
            <family val="2"/>
          </rPr>
          <t>28 - 30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8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9" authorId="1">
      <text>
        <r>
          <rPr>
            <sz val="18"/>
            <color indexed="81"/>
            <rFont val="Tahoma"/>
            <family val="2"/>
          </rPr>
          <t>1 - 3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0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1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2" authorId="1">
      <text>
        <r>
          <rPr>
            <sz val="18"/>
            <color indexed="81"/>
            <rFont val="Tahoma"/>
            <family val="2"/>
          </rPr>
          <t>10 - 12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C161" authorId="0">
      <text>
        <r>
          <rPr>
            <sz val="12"/>
            <color indexed="81"/>
            <rFont val="新細明體"/>
            <family val="1"/>
            <charset val="136"/>
          </rPr>
          <t>提早三季解約
13500 x 3 = 40500
開銷貨折讓</t>
        </r>
      </text>
    </comment>
    <comment ref="N167" authorId="0">
      <text>
        <r>
          <rPr>
            <b/>
            <sz val="9"/>
            <color indexed="81"/>
            <rFont val="新細明體"/>
            <family val="1"/>
            <charset val="136"/>
          </rPr>
          <t>少付4元作手續費
2013沖</t>
        </r>
      </text>
    </comment>
    <comment ref="O167" authorId="1">
      <text>
        <r>
          <rPr>
            <b/>
            <sz val="12"/>
            <color indexed="81"/>
            <rFont val="新細明體"/>
            <family val="1"/>
            <charset val="136"/>
          </rPr>
          <t>8張票 $8977.5 客戶開$8977</t>
        </r>
      </text>
    </comment>
    <comment ref="O174" authorId="0">
      <text>
        <r>
          <rPr>
            <b/>
            <sz val="12"/>
            <color indexed="81"/>
            <rFont val="新細明體"/>
            <family val="1"/>
            <charset val="136"/>
          </rPr>
          <t>2013.01.16
已匯入</t>
        </r>
      </text>
    </comment>
    <comment ref="J179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J247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O270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年繳</t>
        </r>
      </text>
    </comment>
    <comment ref="O295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發票預開二年, 季繳</t>
        </r>
      </text>
    </comment>
    <comment ref="O312" authorId="3">
      <text>
        <r>
          <rPr>
            <b/>
            <sz val="9"/>
            <color indexed="81"/>
            <rFont val="細明體"/>
            <family val="3"/>
            <charset val="136"/>
          </rPr>
          <t>原維護約改換機約, 補差額</t>
        </r>
      </text>
    </comment>
    <comment ref="P312" authorId="2">
      <text>
        <r>
          <rPr>
            <b/>
            <sz val="12"/>
            <color indexed="81"/>
            <rFont val="細明體"/>
            <family val="3"/>
            <charset val="136"/>
          </rPr>
          <t>原</t>
        </r>
        <r>
          <rPr>
            <b/>
            <sz val="12"/>
            <color indexed="81"/>
            <rFont val="Tahoma"/>
            <family val="2"/>
          </rPr>
          <t>3600</t>
        </r>
        <r>
          <rPr>
            <b/>
            <sz val="12"/>
            <color indexed="81"/>
            <rFont val="細明體"/>
            <family val="3"/>
            <charset val="136"/>
          </rPr>
          <t>含稅維護改</t>
        </r>
        <r>
          <rPr>
            <b/>
            <sz val="12"/>
            <color indexed="81"/>
            <rFont val="Tahoma"/>
            <family val="2"/>
          </rPr>
          <t>4500</t>
        </r>
        <r>
          <rPr>
            <b/>
            <sz val="12"/>
            <color indexed="81"/>
            <rFont val="細明體"/>
            <family val="3"/>
            <charset val="136"/>
          </rPr>
          <t>含稅換機</t>
        </r>
      </text>
    </comment>
    <comment ref="J32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369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H370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C389" authorId="3">
      <text>
        <r>
          <rPr>
            <b/>
            <sz val="12"/>
            <color indexed="81"/>
            <rFont val="Tahoma"/>
            <family val="2"/>
          </rPr>
          <t>SJ</t>
        </r>
      </text>
    </comment>
    <comment ref="H390" authorId="3">
      <text>
        <r>
          <rPr>
            <b/>
            <sz val="12"/>
            <color indexed="81"/>
            <rFont val="細明體"/>
            <family val="3"/>
            <charset val="136"/>
          </rPr>
          <t>車源管理服務費-尾款</t>
        </r>
      </text>
    </comment>
    <comment ref="H391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2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3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4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J397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434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443" authorId="3">
      <text>
        <r>
          <rPr>
            <b/>
            <sz val="9"/>
            <color indexed="81"/>
            <rFont val="細明體"/>
            <family val="3"/>
            <charset val="136"/>
          </rPr>
          <t>依德軟維</t>
        </r>
      </text>
    </comment>
    <comment ref="H444" authorId="3">
      <text>
        <r>
          <rPr>
            <b/>
            <sz val="9"/>
            <color indexed="81"/>
            <rFont val="細明體"/>
            <family val="3"/>
            <charset val="136"/>
          </rPr>
          <t>鎔德軟維</t>
        </r>
      </text>
    </comment>
    <comment ref="H445" authorId="3">
      <text>
        <r>
          <rPr>
            <b/>
            <sz val="9"/>
            <color indexed="81"/>
            <rFont val="細明體"/>
            <family val="3"/>
            <charset val="136"/>
          </rPr>
          <t>遠端單次維護</t>
        </r>
      </text>
    </comment>
    <comment ref="G453" authorId="3">
      <text>
        <r>
          <rPr>
            <sz val="12"/>
            <color indexed="81"/>
            <rFont val="細明體"/>
            <family val="3"/>
            <charset val="136"/>
          </rPr>
          <t>馬桶增高器</t>
        </r>
      </text>
    </comment>
    <comment ref="J45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10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6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7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27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28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29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0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J533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87" authorId="4">
      <text>
        <r>
          <rPr>
            <b/>
            <sz val="9"/>
            <color indexed="81"/>
            <rFont val="Tahoma"/>
            <family val="2"/>
          </rPr>
          <t>DNS</t>
        </r>
      </text>
    </comment>
    <comment ref="H605" authorId="4">
      <text>
        <r>
          <rPr>
            <b/>
            <sz val="9"/>
            <color indexed="81"/>
            <rFont val="細明體"/>
            <family val="3"/>
            <charset val="136"/>
          </rPr>
          <t>車源尾款</t>
        </r>
      </text>
    </comment>
    <comment ref="J60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651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52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軟體開發費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第一次款</t>
        </r>
      </text>
    </comment>
    <comment ref="H653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軟體開發費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第一次款</t>
        </r>
      </text>
    </comment>
    <comment ref="H662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63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64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</commentList>
</comments>
</file>

<file path=xl/comments20.xml><?xml version="1.0" encoding="utf-8"?>
<comments xmlns="http://schemas.openxmlformats.org/spreadsheetml/2006/main">
  <authors>
    <author>dv-10</author>
    <author>david</author>
  </authors>
  <commentList>
    <comment ref="E35" authorId="0">
      <text>
        <r>
          <rPr>
            <b/>
            <sz val="9"/>
            <color indexed="81"/>
            <rFont val="Tahoma"/>
            <family val="2"/>
          </rPr>
          <t xml:space="preserve">2018 </t>
        </r>
        <r>
          <rPr>
            <b/>
            <sz val="9"/>
            <color indexed="81"/>
            <rFont val="宋体"/>
            <charset val="134"/>
          </rPr>
          <t>進貨價為207433
加</t>
        </r>
        <r>
          <rPr>
            <b/>
            <sz val="9"/>
            <color indexed="81"/>
            <rFont val="Tahoma"/>
            <family val="2"/>
          </rPr>
          <t>ADA</t>
        </r>
        <r>
          <rPr>
            <b/>
            <sz val="9"/>
            <color indexed="81"/>
            <rFont val="宋体"/>
            <charset val="134"/>
          </rPr>
          <t xml:space="preserve">刷卡手續費
</t>
        </r>
        <r>
          <rPr>
            <b/>
            <sz val="9"/>
            <color indexed="81"/>
            <rFont val="Tahoma"/>
            <family val="2"/>
          </rPr>
          <t>171=</t>
        </r>
        <r>
          <rPr>
            <b/>
            <sz val="9"/>
            <color indexed="81"/>
            <rFont val="宋体"/>
            <charset val="134"/>
          </rPr>
          <t xml:space="preserve">207604
</t>
        </r>
      </text>
    </comment>
    <comment ref="E47" authorId="1">
      <text>
        <r>
          <rPr>
            <b/>
            <sz val="9"/>
            <color indexed="81"/>
            <rFont val="Tahoma"/>
            <family val="2"/>
          </rPr>
          <t>稅金換算差 185元
稅金換算差 33元
小數點換算差 -1元</t>
        </r>
      </text>
    </comment>
  </commentList>
</comments>
</file>

<file path=xl/comments21.xml><?xml version="1.0" encoding="utf-8"?>
<comments xmlns="http://schemas.openxmlformats.org/spreadsheetml/2006/main">
  <authors>
    <author>Jen</author>
    <author>dvnb1</author>
  </authors>
  <commentList>
    <comment ref="D9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21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33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45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57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69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81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87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93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98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D105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110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D117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122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M134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M146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M158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</commentList>
</comments>
</file>

<file path=xl/comments22.xml><?xml version="1.0" encoding="utf-8"?>
<comments xmlns="http://schemas.openxmlformats.org/spreadsheetml/2006/main">
  <authors>
    <author>dv</author>
    <author>Jen</author>
  </authors>
  <commentList>
    <comment ref="D5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12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18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24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30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36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42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48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54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E55" authorId="1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  <r>
          <rPr>
            <b/>
            <sz val="12"/>
            <color indexed="81"/>
            <rFont val="新細明體"/>
            <family val="1"/>
            <charset val="136"/>
          </rPr>
          <t>160271.80--&gt;160272.09</t>
        </r>
      </text>
    </comment>
    <comment ref="D60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E61" authorId="1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  <r>
          <rPr>
            <b/>
            <sz val="12"/>
            <color indexed="81"/>
            <rFont val="新細明體"/>
            <family val="1"/>
            <charset val="136"/>
          </rPr>
          <t>131255.58--&gt;131296.68</t>
        </r>
      </text>
    </comment>
    <comment ref="D66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72" authorId="0">
      <text>
        <r>
          <rPr>
            <sz val="12"/>
            <color indexed="81"/>
            <rFont val="新細明體"/>
            <family val="1"/>
            <charset val="136"/>
          </rPr>
          <t>根據毛利率89.86%
反推折舊月台</t>
        </r>
      </text>
    </comment>
    <comment ref="D78" authorId="0">
      <text>
        <r>
          <rPr>
            <sz val="12"/>
            <color indexed="81"/>
            <rFont val="新細明體"/>
            <family val="1"/>
            <charset val="136"/>
          </rPr>
          <t>根據毛利率89.86%
反推折舊月台</t>
        </r>
      </text>
    </comment>
    <comment ref="D84" authorId="0">
      <text>
        <r>
          <rPr>
            <sz val="12"/>
            <color indexed="81"/>
            <rFont val="新細明體"/>
            <family val="1"/>
            <charset val="136"/>
          </rPr>
          <t>根據毛利率89.77%
反推折舊月台</t>
        </r>
      </text>
    </comment>
    <comment ref="D90" authorId="0">
      <text>
        <r>
          <rPr>
            <sz val="12"/>
            <color indexed="81"/>
            <rFont val="新細明體"/>
            <family val="1"/>
            <charset val="136"/>
          </rPr>
          <t>根據毛利率88.66%
反推折舊月台</t>
        </r>
      </text>
    </comment>
    <comment ref="D96" authorId="0">
      <text>
        <r>
          <rPr>
            <sz val="12"/>
            <color indexed="81"/>
            <rFont val="新細明體"/>
            <family val="1"/>
            <charset val="136"/>
          </rPr>
          <t xml:space="preserve">根據毛利率86.98%
反推折舊月台數
</t>
        </r>
      </text>
    </comment>
  </commentList>
</comments>
</file>

<file path=xl/comments23.xml><?xml version="1.0" encoding="utf-8"?>
<comments xmlns="http://schemas.openxmlformats.org/spreadsheetml/2006/main">
  <authors>
    <author>david</author>
    <author>PUREXP</author>
    <author>Jen</author>
  </authors>
  <commentList>
    <comment ref="N14" authorId="0">
      <text>
        <r>
          <rPr>
            <b/>
            <sz val="9"/>
            <color indexed="81"/>
            <rFont val="Tahoma"/>
            <family val="2"/>
          </rPr>
          <t>上期收入太高
收入改做預收
本期補報收入</t>
        </r>
      </text>
    </comment>
    <comment ref="D15" authorId="1">
      <text>
        <r>
          <rPr>
            <b/>
            <sz val="9"/>
            <color indexed="81"/>
            <rFont val="MingLiU"/>
            <family val="3"/>
            <charset val="136"/>
          </rPr>
          <t>沖平預收
作本期應收未開立發票,2017年可當營收減項</t>
        </r>
      </text>
    </comment>
    <comment ref="N15" authorId="0">
      <text>
        <r>
          <rPr>
            <b/>
            <sz val="9"/>
            <color indexed="81"/>
            <rFont val="Tahoma"/>
            <family val="2"/>
          </rPr>
          <t>上期收入太低
直接增加收入
本期補開發票
收入可低報</t>
        </r>
      </text>
    </comment>
    <comment ref="N16" authorId="0">
      <text>
        <r>
          <rPr>
            <b/>
            <sz val="9"/>
            <color indexed="81"/>
            <rFont val="Tahoma"/>
            <family val="2"/>
          </rPr>
          <t>本期收入太低
直接增加收入
下期補開發票
收入可低報</t>
        </r>
      </text>
    </comment>
    <comment ref="N17" authorId="0">
      <text>
        <r>
          <rPr>
            <b/>
            <sz val="9"/>
            <color indexed="81"/>
            <rFont val="Tahoma"/>
            <family val="2"/>
          </rPr>
          <t>本期收入太高
收入改做預收
下期補報收入</t>
        </r>
      </text>
    </comment>
    <comment ref="D142" authorId="2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  <comment ref="D145" authorId="1">
      <text>
        <r>
          <rPr>
            <b/>
            <sz val="9"/>
            <color indexed="81"/>
            <rFont val="MingLiU"/>
            <family val="3"/>
            <charset val="136"/>
          </rPr>
          <t>沖平股往
作本期應收未開立發票,2017年可當營收減項</t>
        </r>
      </text>
    </comment>
    <comment ref="D152" authorId="0">
      <text>
        <r>
          <rPr>
            <b/>
            <sz val="9"/>
            <color indexed="81"/>
            <rFont val="Tahoma"/>
            <family val="2"/>
          </rPr>
          <t>1/30 48
2/22 18
3/31 94</t>
        </r>
      </text>
    </comment>
  </commentList>
</comments>
</file>

<file path=xl/comments24.xml><?xml version="1.0" encoding="utf-8"?>
<comments xmlns="http://schemas.openxmlformats.org/spreadsheetml/2006/main">
  <authors>
    <author>david</author>
    <author>Jen</author>
  </authors>
  <commentList>
    <comment ref="N17" authorId="0">
      <text>
        <r>
          <rPr>
            <b/>
            <sz val="9"/>
            <color indexed="81"/>
            <rFont val="Tahoma"/>
            <family val="2"/>
          </rPr>
          <t>上期收入太高
收入改做預收
本期補報收入
(償還上期欠的)</t>
        </r>
      </text>
    </comment>
    <comment ref="D18" authorId="0">
      <text>
        <r>
          <rPr>
            <b/>
            <sz val="9"/>
            <color indexed="81"/>
            <rFont val="Tahoma"/>
            <family val="2"/>
          </rPr>
          <t>鉑德 2x20475
依德 7x20475
鎔德 7x20475
鎔保 7x16380</t>
        </r>
      </text>
    </comment>
    <comment ref="N18" authorId="0">
      <text>
        <r>
          <rPr>
            <b/>
            <sz val="9"/>
            <color indexed="81"/>
            <rFont val="Tahoma"/>
            <family val="2"/>
          </rPr>
          <t>本期收入太低
直接增加收入
下期補開發票
收入可低報
(預存下期可用)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>鉑德 6x20475
依德 3x20475
鎔德 3x20475
鎔保 3x16380
安力 4x20475
大桐 5x20475</t>
        </r>
      </text>
    </comment>
    <comment ref="N19" authorId="0">
      <text>
        <r>
          <rPr>
            <b/>
            <sz val="9"/>
            <color indexed="81"/>
            <rFont val="Tahoma"/>
            <family val="2"/>
          </rPr>
          <t>本期收入太高
收入改做預收
下期補報收入
(透支下期需還)</t>
        </r>
      </text>
    </comment>
    <comment ref="N20" authorId="0">
      <text>
        <r>
          <rPr>
            <b/>
            <sz val="9"/>
            <color indexed="81"/>
            <rFont val="Tahoma"/>
            <family val="2"/>
          </rPr>
          <t>上期收入太低
直接增加收入
本期補開發票
收入可低報
(取用上期存的)</t>
        </r>
      </text>
    </comment>
    <comment ref="D127" authorId="0">
      <text>
        <r>
          <rPr>
            <b/>
            <sz val="9"/>
            <color indexed="81"/>
            <rFont val="Tahoma"/>
            <family val="2"/>
          </rPr>
          <t>PT-車源首次$150000
大桐佣金 $30000
扣二代健103-105 $42000</t>
        </r>
      </text>
    </comment>
    <comment ref="D141" authorId="1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25.xml><?xml version="1.0" encoding="utf-8"?>
<comments xmlns="http://schemas.openxmlformats.org/spreadsheetml/2006/main">
  <authors>
    <author>david</author>
    <author>dv-10</author>
    <author>Jen</author>
  </authors>
  <commentList>
    <comment ref="N16" authorId="0">
      <text>
        <r>
          <rPr>
            <b/>
            <sz val="9"/>
            <color indexed="81"/>
            <rFont val="宋体"/>
            <charset val="134"/>
          </rPr>
          <t xml:space="preserve">上期收入太高
上期收入改做預收
本期補報收入
</t>
        </r>
        <r>
          <rPr>
            <b/>
            <sz val="9"/>
            <color indexed="81"/>
            <rFont val="Tahoma"/>
            <family val="2"/>
          </rPr>
          <t>(401</t>
        </r>
        <r>
          <rPr>
            <b/>
            <sz val="9"/>
            <color indexed="81"/>
            <rFont val="宋体"/>
            <charset val="134"/>
          </rPr>
          <t>發票免開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償還上期少報的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7" authorId="0">
      <text>
        <r>
          <rPr>
            <b/>
            <sz val="9"/>
            <color indexed="81"/>
            <rFont val="宋体"/>
            <charset val="134"/>
          </rPr>
          <t xml:space="preserve">本期收入太低
本期預先增加收入
下期再補開發票
下期收入可低報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預存下期可用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8" authorId="0">
      <text>
        <r>
          <rPr>
            <b/>
            <sz val="9"/>
            <color indexed="81"/>
            <rFont val="宋体"/>
            <charset val="134"/>
          </rPr>
          <t xml:space="preserve">本期收入太高
本期收入改做預收
下期再補報增加收入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發票預開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透支下期需還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9" authorId="0">
      <text>
        <r>
          <rPr>
            <b/>
            <sz val="9"/>
            <color indexed="81"/>
            <rFont val="宋体"/>
            <charset val="134"/>
          </rPr>
          <t xml:space="preserve">上期收入太低
上期已預先增加收入
本期再補開發票
本期收入可低報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發票補開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取用上期預存的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E23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-H 2018</t>
        </r>
        <r>
          <rPr>
            <b/>
            <sz val="9"/>
            <color indexed="81"/>
            <rFont val="宋体"/>
            <charset val="134"/>
          </rPr>
          <t>已開發票</t>
        </r>
      </text>
    </comment>
    <comment ref="E24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-I 2018</t>
        </r>
        <r>
          <rPr>
            <b/>
            <sz val="9"/>
            <color indexed="81"/>
            <rFont val="宋体"/>
            <charset val="134"/>
          </rPr>
          <t>未開預收</t>
        </r>
      </text>
    </comment>
    <comment ref="E25" authorId="0">
      <text>
        <r>
          <rPr>
            <b/>
            <sz val="9"/>
            <color indexed="81"/>
            <rFont val="宋体"/>
            <charset val="134"/>
          </rPr>
          <t>鉑德 6x20475
依德 3x20475
鎔德 3x20475
鎔保 3x16380
安力 4x20475
大桐 5x20475</t>
        </r>
      </text>
    </comment>
    <comment ref="F26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-J 2018</t>
        </r>
        <r>
          <rPr>
            <b/>
            <sz val="9"/>
            <color indexed="81"/>
            <rFont val="宋体"/>
            <charset val="134"/>
          </rPr>
          <t>本期支票</t>
        </r>
      </text>
    </comment>
    <comment ref="F27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-K 2018</t>
        </r>
        <r>
          <rPr>
            <b/>
            <sz val="9"/>
            <color indexed="81"/>
            <rFont val="宋体"/>
            <charset val="134"/>
          </rPr>
          <t>預收支票</t>
        </r>
      </text>
    </comment>
    <comment ref="F28" authorId="0">
      <text>
        <r>
          <rPr>
            <b/>
            <sz val="9"/>
            <color indexed="81"/>
            <rFont val="宋体"/>
            <charset val="134"/>
          </rPr>
          <t>鉑德</t>
        </r>
        <r>
          <rPr>
            <b/>
            <sz val="9"/>
            <color indexed="81"/>
            <rFont val="Tahoma"/>
            <family val="2"/>
          </rPr>
          <t xml:space="preserve"> 20475x2
</t>
        </r>
        <r>
          <rPr>
            <b/>
            <sz val="9"/>
            <color indexed="81"/>
            <rFont val="宋体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16380x7
</t>
        </r>
        <r>
          <rPr>
            <b/>
            <sz val="9"/>
            <color indexed="81"/>
            <rFont val="宋体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20475x1</t>
        </r>
      </text>
    </comment>
    <comment ref="E29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-G 2017</t>
        </r>
        <r>
          <rPr>
            <b/>
            <sz val="9"/>
            <color indexed="81"/>
            <rFont val="宋体"/>
            <charset val="134"/>
          </rPr>
          <t>發票</t>
        </r>
      </text>
    </comment>
    <comment ref="E34" authorId="1">
      <text>
        <r>
          <rPr>
            <b/>
            <sz val="9"/>
            <color indexed="81"/>
            <rFont val="新細明體"/>
            <family val="1"/>
            <charset val="136"/>
          </rPr>
          <t>20180301
崴凌:3150元</t>
        </r>
      </text>
    </comment>
    <comment ref="D79" authorId="1">
      <text>
        <r>
          <rPr>
            <b/>
            <sz val="9"/>
            <color indexed="81"/>
            <rFont val="Tahoma"/>
            <family val="2"/>
          </rPr>
          <t>2018.12.18
DV-0911209896</t>
        </r>
        <r>
          <rPr>
            <b/>
            <sz val="9"/>
            <color indexed="81"/>
            <rFont val="宋体"/>
            <charset val="134"/>
          </rPr>
          <t>電話費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宋体"/>
            <charset val="134"/>
          </rPr>
          <t>退押金</t>
        </r>
      </text>
    </comment>
    <comment ref="D95" authorId="1">
      <text>
        <r>
          <rPr>
            <b/>
            <sz val="9"/>
            <color indexed="81"/>
            <rFont val="Tahoma"/>
            <family val="2"/>
          </rPr>
          <t xml:space="preserve">20180726
</t>
        </r>
        <r>
          <rPr>
            <b/>
            <sz val="9"/>
            <color indexed="81"/>
            <rFont val="宋体"/>
            <charset val="134"/>
          </rPr>
          <t>支出</t>
        </r>
        <r>
          <rPr>
            <b/>
            <sz val="9"/>
            <color indexed="81"/>
            <rFont val="Tahoma"/>
            <family val="2"/>
          </rPr>
          <t>300</t>
        </r>
        <r>
          <rPr>
            <b/>
            <sz val="9"/>
            <color indexed="81"/>
            <rFont val="宋体"/>
            <charset val="134"/>
          </rPr>
          <t>元餘額少計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宋体"/>
            <charset val="134"/>
          </rPr>
          <t>元</t>
        </r>
      </text>
    </comment>
    <comment ref="E131" authorId="0">
      <text>
        <r>
          <rPr>
            <b/>
            <sz val="9"/>
            <color indexed="81"/>
            <rFont val="Tahoma"/>
            <family val="2"/>
          </rPr>
          <t>PT-車源首次$150000
大桐佣金 $30000
扣二代健103-105 $42000</t>
        </r>
      </text>
    </comment>
    <comment ref="D152" authorId="2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26.xml><?xml version="1.0" encoding="utf-8"?>
<comments xmlns="http://schemas.openxmlformats.org/spreadsheetml/2006/main">
  <authors>
    <author>dv-10</author>
    <author>david</author>
    <author>win1064</author>
    <author>Jen</author>
  </authors>
  <commentList>
    <comment ref="E15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family val="3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G 2019</t>
        </r>
        <r>
          <rPr>
            <b/>
            <sz val="9"/>
            <color indexed="81"/>
            <rFont val="宋体"/>
            <family val="3"/>
            <charset val="134"/>
          </rPr>
          <t>總計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宋体"/>
            <family val="3"/>
            <charset val="134"/>
          </rPr>
          <t>相符</t>
        </r>
      </text>
    </comment>
    <comment ref="N15" authorId="1">
      <text>
        <r>
          <rPr>
            <b/>
            <sz val="9"/>
            <color indexed="81"/>
            <rFont val="宋体"/>
            <charset val="134"/>
          </rPr>
          <t xml:space="preserve">上期收入太高
上期收入改做預收
本期補報收入
</t>
        </r>
        <r>
          <rPr>
            <b/>
            <sz val="9"/>
            <color indexed="81"/>
            <rFont val="Tahoma"/>
            <family val="2"/>
          </rPr>
          <t>(401</t>
        </r>
        <r>
          <rPr>
            <b/>
            <sz val="9"/>
            <color indexed="81"/>
            <rFont val="宋体"/>
            <charset val="134"/>
          </rPr>
          <t>發票免開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償還上期少報的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6" authorId="1">
      <text>
        <r>
          <rPr>
            <b/>
            <sz val="9"/>
            <color indexed="81"/>
            <rFont val="宋体"/>
            <charset val="134"/>
          </rPr>
          <t xml:space="preserve">本期收入太低
本期預先增加收入
下期再補開發票
下期收入可低報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預存下期可用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7" authorId="1">
      <text>
        <r>
          <rPr>
            <b/>
            <sz val="9"/>
            <color indexed="81"/>
            <rFont val="宋体"/>
            <charset val="134"/>
          </rPr>
          <t xml:space="preserve">本期收入太高
本期收入改做預收
下期再補報增加收入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發票預開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透支下期需還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8" authorId="1">
      <text>
        <r>
          <rPr>
            <b/>
            <sz val="9"/>
            <color indexed="81"/>
            <rFont val="宋体"/>
            <charset val="134"/>
          </rPr>
          <t xml:space="preserve">上期收入太低
上期已預先增加收入
本期再補開發票
本期收入可低報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發票補開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取用上期預存的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E23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H 2019</t>
        </r>
        <r>
          <rPr>
            <b/>
            <sz val="9"/>
            <color indexed="81"/>
            <rFont val="宋体"/>
            <charset val="134"/>
          </rPr>
          <t>已開發票</t>
        </r>
      </text>
    </comment>
    <comment ref="E24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I 2019</t>
        </r>
        <r>
          <rPr>
            <b/>
            <sz val="9"/>
            <color indexed="81"/>
            <rFont val="宋体"/>
            <charset val="134"/>
          </rPr>
          <t>未開預收</t>
        </r>
      </text>
    </comment>
    <comment ref="E25" authorId="1">
      <text>
        <r>
          <rPr>
            <b/>
            <sz val="9"/>
            <color indexed="81"/>
            <rFont val="宋体"/>
            <charset val="134"/>
          </rPr>
          <t>鉑德</t>
        </r>
        <r>
          <rPr>
            <b/>
            <sz val="9"/>
            <color indexed="81"/>
            <rFont val="Tahoma"/>
            <family val="2"/>
          </rPr>
          <t xml:space="preserve"> 20475x2
</t>
        </r>
        <r>
          <rPr>
            <b/>
            <sz val="9"/>
            <color indexed="81"/>
            <rFont val="宋体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16380x7
</t>
        </r>
        <r>
          <rPr>
            <b/>
            <sz val="9"/>
            <color indexed="81"/>
            <rFont val="宋体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20475x1</t>
        </r>
      </text>
    </comment>
    <comment ref="F26" authorId="0">
      <text>
        <r>
          <rPr>
            <b/>
            <sz val="9"/>
            <color indexed="81"/>
            <rFont val="宋体"/>
            <family val="3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: 6300
</t>
        </r>
        <r>
          <rPr>
            <b/>
            <sz val="9"/>
            <color indexed="81"/>
            <rFont val="宋体"/>
            <family val="3"/>
            <charset val="134"/>
          </rPr>
          <t>協億通</t>
        </r>
        <r>
          <rPr>
            <b/>
            <sz val="9"/>
            <color indexed="81"/>
            <rFont val="Tahoma"/>
            <family val="2"/>
          </rPr>
          <t xml:space="preserve">: 113400
</t>
        </r>
        <r>
          <rPr>
            <b/>
            <sz val="9"/>
            <color indexed="81"/>
            <rFont val="宋体"/>
            <family val="3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>: 165900</t>
        </r>
      </text>
    </comment>
    <comment ref="F27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J 2019</t>
        </r>
        <r>
          <rPr>
            <b/>
            <sz val="9"/>
            <color indexed="81"/>
            <rFont val="宋体"/>
            <charset val="134"/>
          </rPr>
          <t>本期支票</t>
        </r>
      </text>
    </comment>
    <comment ref="F28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K 2019</t>
        </r>
        <r>
          <rPr>
            <b/>
            <sz val="9"/>
            <color indexed="81"/>
            <rFont val="宋体"/>
            <charset val="134"/>
          </rPr>
          <t>預收支票</t>
        </r>
      </text>
    </comment>
    <comment ref="F29" authorId="1">
      <text>
        <r>
          <rPr>
            <b/>
            <sz val="9"/>
            <color indexed="81"/>
            <rFont val="宋体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20475x5</t>
        </r>
        <r>
          <rPr>
            <b/>
            <sz val="9"/>
            <color indexed="81"/>
            <rFont val="宋体"/>
            <charset val="134"/>
          </rPr>
          <t xml:space="preserve">
鉑德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16380x3
</t>
        </r>
      </text>
    </comment>
    <comment ref="E30" author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G 2018</t>
        </r>
        <r>
          <rPr>
            <b/>
            <sz val="9"/>
            <color indexed="81"/>
            <rFont val="宋体"/>
            <charset val="134"/>
          </rPr>
          <t>發票</t>
        </r>
      </text>
    </comment>
    <comment ref="J52" authorId="2">
      <text>
        <r>
          <rPr>
            <b/>
            <sz val="9"/>
            <color indexed="81"/>
            <rFont val="Tahoma"/>
            <family val="2"/>
          </rPr>
          <t xml:space="preserve">20180529 </t>
        </r>
        <r>
          <rPr>
            <b/>
            <sz val="9"/>
            <color indexed="81"/>
            <rFont val="細明體"/>
            <family val="3"/>
            <charset val="136"/>
          </rPr>
          <t>國稅局中正分局
商業司查詢仍在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核准設立</t>
        </r>
        <r>
          <rPr>
            <b/>
            <sz val="9"/>
            <color indexed="81"/>
            <rFont val="Tahoma"/>
            <family val="2"/>
          </rPr>
          <t xml:space="preserve">, 2016/11 </t>
        </r>
        <r>
          <rPr>
            <b/>
            <sz val="9"/>
            <color indexed="81"/>
            <rFont val="細明體"/>
            <family val="3"/>
            <charset val="136"/>
          </rPr>
          <t>發票</t>
        </r>
        <r>
          <rPr>
            <b/>
            <sz val="9"/>
            <color indexed="81"/>
            <rFont val="Tahoma"/>
            <family val="2"/>
          </rPr>
          <t xml:space="preserve"> 2017/5/24 </t>
        </r>
        <r>
          <rPr>
            <b/>
            <sz val="9"/>
            <color indexed="81"/>
            <rFont val="細明體"/>
            <family val="3"/>
            <charset val="136"/>
          </rPr>
          <t>開始未付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需由</t>
        </r>
        <r>
          <rPr>
            <b/>
            <sz val="9"/>
            <color indexed="81"/>
            <rFont val="Tahoma"/>
            <family val="2"/>
          </rPr>
          <t xml:space="preserve"> 2017/5/24 </t>
        </r>
        <r>
          <rPr>
            <b/>
            <sz val="9"/>
            <color indexed="81"/>
            <rFont val="細明體"/>
            <family val="3"/>
            <charset val="136"/>
          </rPr>
          <t>開始算二年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才能列呆帳損失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但現在可作催討動作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 xml:space="preserve">寄存証信函至商業司登記地址
</t>
        </r>
        <r>
          <rPr>
            <b/>
            <sz val="9"/>
            <color indexed="81"/>
            <rFont val="Tahoma"/>
            <family val="2"/>
          </rPr>
          <t xml:space="preserve">20190917 </t>
        </r>
        <r>
          <rPr>
            <b/>
            <sz val="9"/>
            <color indexed="81"/>
            <rFont val="細明體"/>
            <family val="3"/>
            <charset val="136"/>
          </rPr>
          <t>寄存証信函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桃園市楊梅區貴山街</t>
        </r>
        <r>
          <rPr>
            <b/>
            <sz val="9"/>
            <color indexed="81"/>
            <rFont val="Tahoma"/>
            <family val="2"/>
          </rPr>
          <t>113</t>
        </r>
        <r>
          <rPr>
            <b/>
            <sz val="9"/>
            <color indexed="81"/>
            <rFont val="細明體"/>
            <family val="3"/>
            <charset val="136"/>
          </rPr>
          <t>號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城乙有限公司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范城土</t>
        </r>
      </text>
    </comment>
    <comment ref="D94" authorId="2">
      <text>
        <r>
          <rPr>
            <b/>
            <sz val="9"/>
            <color indexed="81"/>
            <rFont val="細明體"/>
            <family val="3"/>
            <charset val="136"/>
          </rPr>
          <t>台銀匯款 13212</t>
        </r>
      </text>
    </comment>
    <comment ref="E127" authorId="1">
      <text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細明體"/>
            <family val="3"/>
            <charset val="136"/>
          </rPr>
          <t>補陳</t>
        </r>
        <r>
          <rPr>
            <b/>
            <sz val="9"/>
            <color indexed="81"/>
            <rFont val="Tahoma"/>
            <family val="2"/>
          </rPr>
          <t>$362040</t>
        </r>
        <r>
          <rPr>
            <b/>
            <sz val="9"/>
            <color indexed="81"/>
            <rFont val="細明體"/>
            <family val="3"/>
            <charset val="136"/>
          </rPr>
          <t>到</t>
        </r>
        <r>
          <rPr>
            <b/>
            <sz val="9"/>
            <color indexed="81"/>
            <rFont val="Tahoma"/>
            <family val="2"/>
          </rPr>
          <t>40</t>
        </r>
        <r>
          <rPr>
            <b/>
            <sz val="9"/>
            <color indexed="81"/>
            <rFont val="細明體"/>
            <family val="3"/>
            <charset val="136"/>
          </rPr>
          <t>萬</t>
        </r>
        <r>
          <rPr>
            <b/>
            <sz val="9"/>
            <color indexed="81"/>
            <rFont val="Tahoma"/>
            <family val="2"/>
          </rPr>
          <t>=$37960),</t>
        </r>
        <r>
          <rPr>
            <b/>
            <sz val="9"/>
            <color indexed="81"/>
            <rFont val="細明體"/>
            <family val="3"/>
            <charset val="136"/>
          </rPr>
          <t>扣匯費</t>
        </r>
        <r>
          <rPr>
            <b/>
            <sz val="9"/>
            <color indexed="81"/>
            <rFont val="Tahoma"/>
            <family val="2"/>
          </rPr>
          <t>$30,</t>
        </r>
        <r>
          <rPr>
            <b/>
            <sz val="9"/>
            <color indexed="81"/>
            <rFont val="細明體"/>
            <family val="3"/>
            <charset val="136"/>
          </rPr>
          <t>餘</t>
        </r>
        <r>
          <rPr>
            <b/>
            <sz val="9"/>
            <color indexed="81"/>
            <rFont val="Tahoma"/>
            <family val="2"/>
          </rPr>
          <t>$62010,</t>
        </r>
        <r>
          <rPr>
            <b/>
            <sz val="9"/>
            <color indexed="81"/>
            <rFont val="細明體"/>
            <family val="3"/>
            <charset val="136"/>
          </rPr>
          <t>轉</t>
        </r>
        <r>
          <rPr>
            <b/>
            <sz val="9"/>
            <color indexed="81"/>
            <rFont val="Tahoma"/>
            <family val="2"/>
          </rPr>
          <t>$61454</t>
        </r>
        <r>
          <rPr>
            <b/>
            <sz val="9"/>
            <color indexed="81"/>
            <rFont val="細明體"/>
            <family val="3"/>
            <charset val="136"/>
          </rPr>
          <t>達</t>
        </r>
        <r>
          <rPr>
            <b/>
            <sz val="9"/>
            <color indexed="81"/>
            <rFont val="Tahoma"/>
            <family val="2"/>
          </rPr>
          <t>108.05</t>
        </r>
        <r>
          <rPr>
            <b/>
            <sz val="9"/>
            <color indexed="81"/>
            <rFont val="細明體"/>
            <family val="3"/>
            <charset val="136"/>
          </rPr>
          <t>薪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細明體"/>
            <family val="3"/>
            <charset val="136"/>
          </rPr>
          <t>餘</t>
        </r>
        <r>
          <rPr>
            <b/>
            <sz val="9"/>
            <color indexed="81"/>
            <rFont val="Tahoma"/>
            <family val="2"/>
          </rPr>
          <t>$556,</t>
        </r>
        <r>
          <rPr>
            <b/>
            <sz val="9"/>
            <color indexed="81"/>
            <rFont val="細明體"/>
            <family val="3"/>
            <charset val="136"/>
          </rPr>
          <t>轉零用金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D151" authorId="3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27.xml><?xml version="1.0" encoding="utf-8"?>
<comments xmlns="http://schemas.openxmlformats.org/spreadsheetml/2006/main">
  <authors>
    <author>dv-10</author>
    <author>david</author>
    <author>win1064</author>
    <author>Jen</author>
  </authors>
  <commentList>
    <comment ref="E15" authorId="0">
      <text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宋体"/>
            <family val="3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G 2020</t>
        </r>
        <r>
          <rPr>
            <b/>
            <sz val="9"/>
            <color indexed="81"/>
            <rFont val="宋体"/>
            <family val="3"/>
            <charset val="134"/>
          </rPr>
          <t>總計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宋体"/>
            <family val="3"/>
            <charset val="134"/>
          </rPr>
          <t>相符</t>
        </r>
      </text>
    </comment>
    <comment ref="N15" authorId="1">
      <text>
        <r>
          <rPr>
            <b/>
            <sz val="9"/>
            <color indexed="81"/>
            <rFont val="宋体"/>
            <charset val="134"/>
          </rPr>
          <t xml:space="preserve">上期收入太高
上期收入改做預收
本期補報收入
</t>
        </r>
        <r>
          <rPr>
            <b/>
            <sz val="9"/>
            <color indexed="81"/>
            <rFont val="Tahoma"/>
            <family val="2"/>
          </rPr>
          <t>(401</t>
        </r>
        <r>
          <rPr>
            <b/>
            <sz val="9"/>
            <color indexed="81"/>
            <rFont val="宋体"/>
            <charset val="134"/>
          </rPr>
          <t>發票免開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償還上期少報的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6" authorId="1">
      <text>
        <r>
          <rPr>
            <b/>
            <sz val="9"/>
            <color indexed="81"/>
            <rFont val="宋体"/>
            <charset val="134"/>
          </rPr>
          <t xml:space="preserve">本期收入太低
本期預先增加收入
下期再補開發票
下期收入可低報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預存下期可用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7" authorId="1">
      <text>
        <r>
          <rPr>
            <b/>
            <sz val="9"/>
            <color indexed="81"/>
            <rFont val="宋体"/>
            <charset val="134"/>
          </rPr>
          <t xml:space="preserve">本期收入太高
本期收入改做預收
下期再補報增加收入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發票預開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透支下期需還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8" authorId="1">
      <text>
        <r>
          <rPr>
            <b/>
            <sz val="9"/>
            <color indexed="81"/>
            <rFont val="宋体"/>
            <charset val="134"/>
          </rPr>
          <t xml:space="preserve">上期收入太低
上期已預先增加收入
本期再補開發票
本期收入可低報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發票補開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取用上期預存的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E23" authorId="0">
      <text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H=9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J 2020</t>
        </r>
        <r>
          <rPr>
            <b/>
            <sz val="9"/>
            <color indexed="81"/>
            <rFont val="宋体"/>
            <charset val="134"/>
          </rPr>
          <t>已開發票</t>
        </r>
      </text>
    </comment>
    <comment ref="E24" authorId="0">
      <text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I 2020</t>
        </r>
        <r>
          <rPr>
            <b/>
            <sz val="9"/>
            <color indexed="81"/>
            <rFont val="宋体"/>
            <charset val="134"/>
          </rPr>
          <t>未開預收</t>
        </r>
      </text>
    </comment>
    <comment ref="E25" authorId="1">
      <text>
        <r>
          <rPr>
            <b/>
            <sz val="9"/>
            <color indexed="81"/>
            <rFont val="宋体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20475x5</t>
        </r>
        <r>
          <rPr>
            <b/>
            <sz val="9"/>
            <color indexed="81"/>
            <rFont val="宋体"/>
            <charset val="134"/>
          </rPr>
          <t xml:space="preserve">
鉑德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16380x3
</t>
        </r>
      </text>
    </comment>
    <comment ref="F26" authorId="0">
      <text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J 2020</t>
        </r>
        <r>
          <rPr>
            <b/>
            <sz val="9"/>
            <color indexed="81"/>
            <rFont val="宋体"/>
            <charset val="134"/>
          </rPr>
          <t>本期支票</t>
        </r>
      </text>
    </comment>
    <comment ref="F27" authorId="0">
      <text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K 2020</t>
        </r>
        <r>
          <rPr>
            <b/>
            <sz val="9"/>
            <color indexed="81"/>
            <rFont val="宋体"/>
            <charset val="134"/>
          </rPr>
          <t>預收支票</t>
        </r>
      </text>
    </comment>
    <comment ref="F28" authorId="1">
      <text>
        <r>
          <rPr>
            <b/>
            <sz val="9"/>
            <color indexed="81"/>
            <rFont val="宋体"/>
            <charset val="134"/>
          </rPr>
          <t>鉑德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16380x7
</t>
        </r>
        <r>
          <rPr>
            <b/>
            <sz val="9"/>
            <color indexed="81"/>
            <rFont val="宋体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20475x1</t>
        </r>
      </text>
    </comment>
    <comment ref="E29" authorId="0">
      <text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G 2019</t>
        </r>
        <r>
          <rPr>
            <b/>
            <sz val="9"/>
            <color indexed="81"/>
            <rFont val="宋体"/>
            <charset val="134"/>
          </rPr>
          <t>發票</t>
        </r>
      </text>
    </comment>
    <comment ref="J53" authorId="2">
      <text>
        <r>
          <rPr>
            <b/>
            <sz val="9"/>
            <color indexed="81"/>
            <rFont val="Tahoma"/>
            <family val="2"/>
          </rPr>
          <t xml:space="preserve">20180529 </t>
        </r>
        <r>
          <rPr>
            <b/>
            <sz val="9"/>
            <color indexed="81"/>
            <rFont val="細明體"/>
            <family val="3"/>
            <charset val="136"/>
          </rPr>
          <t>國稅局中正分局
商業司查詢仍在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核准設立</t>
        </r>
        <r>
          <rPr>
            <b/>
            <sz val="9"/>
            <color indexed="81"/>
            <rFont val="Tahoma"/>
            <family val="2"/>
          </rPr>
          <t xml:space="preserve">, 2016/11 </t>
        </r>
        <r>
          <rPr>
            <b/>
            <sz val="9"/>
            <color indexed="81"/>
            <rFont val="細明體"/>
            <family val="3"/>
            <charset val="136"/>
          </rPr>
          <t>發票</t>
        </r>
        <r>
          <rPr>
            <b/>
            <sz val="9"/>
            <color indexed="81"/>
            <rFont val="Tahoma"/>
            <family val="2"/>
          </rPr>
          <t xml:space="preserve"> 2017/5/24 </t>
        </r>
        <r>
          <rPr>
            <b/>
            <sz val="9"/>
            <color indexed="81"/>
            <rFont val="細明體"/>
            <family val="3"/>
            <charset val="136"/>
          </rPr>
          <t>開始未付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需由</t>
        </r>
        <r>
          <rPr>
            <b/>
            <sz val="9"/>
            <color indexed="81"/>
            <rFont val="Tahoma"/>
            <family val="2"/>
          </rPr>
          <t xml:space="preserve"> 2017/5/24 </t>
        </r>
        <r>
          <rPr>
            <b/>
            <sz val="9"/>
            <color indexed="81"/>
            <rFont val="細明體"/>
            <family val="3"/>
            <charset val="136"/>
          </rPr>
          <t>開始算二年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才能列呆帳損失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但現在可作催討動作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 xml:space="preserve">寄存証信函至商業司登記地址
</t>
        </r>
        <r>
          <rPr>
            <b/>
            <sz val="9"/>
            <color indexed="81"/>
            <rFont val="Tahoma"/>
            <family val="2"/>
          </rPr>
          <t xml:space="preserve">20190917 </t>
        </r>
        <r>
          <rPr>
            <b/>
            <sz val="9"/>
            <color indexed="81"/>
            <rFont val="細明體"/>
            <family val="3"/>
            <charset val="136"/>
          </rPr>
          <t>寄存証信函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桃園市楊梅區貴山街</t>
        </r>
        <r>
          <rPr>
            <b/>
            <sz val="9"/>
            <color indexed="81"/>
            <rFont val="Tahoma"/>
            <family val="2"/>
          </rPr>
          <t>113</t>
        </r>
        <r>
          <rPr>
            <b/>
            <sz val="9"/>
            <color indexed="81"/>
            <rFont val="細明體"/>
            <family val="3"/>
            <charset val="136"/>
          </rPr>
          <t>號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城乙有限公司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范城土</t>
        </r>
      </text>
    </comment>
    <comment ref="D94" authorId="2">
      <text>
        <r>
          <rPr>
            <b/>
            <sz val="9"/>
            <color indexed="81"/>
            <rFont val="細明體"/>
            <family val="3"/>
            <charset val="136"/>
          </rPr>
          <t>台銀匯款 17616</t>
        </r>
      </text>
    </comment>
    <comment ref="D133" authorId="2">
      <text>
        <r>
          <rPr>
            <b/>
            <sz val="9"/>
            <color indexed="81"/>
            <rFont val="細明體"/>
            <family val="3"/>
            <charset val="136"/>
          </rPr>
          <t>振興券</t>
        </r>
      </text>
    </comment>
    <comment ref="D146" authorId="3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28.xml><?xml version="1.0" encoding="utf-8"?>
<comments xmlns="http://schemas.openxmlformats.org/spreadsheetml/2006/main">
  <authors>
    <author>dv-10</author>
    <author>Jen</author>
    <author>David</author>
    <author>haha</author>
  </authors>
  <commentList>
    <comment ref="B3" authorId="0">
      <text>
        <r>
          <rPr>
            <b/>
            <sz val="9"/>
            <color indexed="81"/>
            <rFont val="宋体"/>
            <family val="3"/>
            <charset val="134"/>
          </rPr>
          <t>你再確定一下水費是</t>
        </r>
        <r>
          <rPr>
            <b/>
            <sz val="9"/>
            <color indexed="81"/>
            <rFont val="Tahoma"/>
            <family val="2"/>
          </rPr>
          <t xml:space="preserve">168? 178?
ADA  15:42:32
</t>
        </r>
        <r>
          <rPr>
            <b/>
            <sz val="9"/>
            <color indexed="81"/>
            <rFont val="宋体"/>
            <family val="3"/>
            <charset val="134"/>
          </rPr>
          <t>是</t>
        </r>
        <r>
          <rPr>
            <b/>
            <sz val="9"/>
            <color indexed="81"/>
            <rFont val="Tahoma"/>
            <family val="2"/>
          </rPr>
          <t xml:space="preserve">178
</t>
        </r>
        <r>
          <rPr>
            <b/>
            <sz val="9"/>
            <color indexed="81"/>
            <rFont val="宋体"/>
            <family val="3"/>
            <charset val="134"/>
          </rPr>
          <t>李生</t>
        </r>
        <r>
          <rPr>
            <b/>
            <sz val="9"/>
            <color indexed="81"/>
            <rFont val="Tahoma"/>
            <family val="2"/>
          </rPr>
          <t xml:space="preserve">  15:43:23
</t>
        </r>
        <r>
          <rPr>
            <b/>
            <sz val="9"/>
            <color indexed="81"/>
            <rFont val="宋体"/>
            <family val="3"/>
            <charset val="134"/>
          </rPr>
          <t>那零用金就應該是</t>
        </r>
        <r>
          <rPr>
            <b/>
            <sz val="9"/>
            <color indexed="81"/>
            <rFont val="Tahoma"/>
            <family val="2"/>
          </rPr>
          <t>5075,</t>
        </r>
        <r>
          <rPr>
            <b/>
            <sz val="9"/>
            <color indexed="81"/>
            <rFont val="宋体"/>
            <family val="3"/>
            <charset val="134"/>
          </rPr>
          <t>大概是你之前算帳時自己墊了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宋体"/>
            <family val="3"/>
            <charset val="134"/>
          </rPr>
          <t>元</t>
        </r>
      </text>
    </comment>
    <comment ref="F3" authorId="0">
      <text>
        <r>
          <rPr>
            <b/>
            <sz val="9"/>
            <color indexed="81"/>
            <rFont val="宋体"/>
            <family val="3"/>
            <charset val="134"/>
          </rPr>
          <t>你再確定一下水費是</t>
        </r>
        <r>
          <rPr>
            <b/>
            <sz val="9"/>
            <color indexed="81"/>
            <rFont val="Tahoma"/>
            <family val="2"/>
          </rPr>
          <t xml:space="preserve">168? 178?
ADA  15:42:32
</t>
        </r>
        <r>
          <rPr>
            <b/>
            <sz val="9"/>
            <color indexed="81"/>
            <rFont val="宋体"/>
            <family val="3"/>
            <charset val="134"/>
          </rPr>
          <t>是</t>
        </r>
        <r>
          <rPr>
            <b/>
            <sz val="9"/>
            <color indexed="81"/>
            <rFont val="Tahoma"/>
            <family val="2"/>
          </rPr>
          <t xml:space="preserve">178
</t>
        </r>
        <r>
          <rPr>
            <b/>
            <sz val="9"/>
            <color indexed="81"/>
            <rFont val="宋体"/>
            <family val="3"/>
            <charset val="134"/>
          </rPr>
          <t>李生</t>
        </r>
        <r>
          <rPr>
            <b/>
            <sz val="9"/>
            <color indexed="81"/>
            <rFont val="Tahoma"/>
            <family val="2"/>
          </rPr>
          <t xml:space="preserve">  15:43:23
</t>
        </r>
        <r>
          <rPr>
            <b/>
            <sz val="9"/>
            <color indexed="81"/>
            <rFont val="宋体"/>
            <family val="3"/>
            <charset val="134"/>
          </rPr>
          <t>那零用金就應該是</t>
        </r>
        <r>
          <rPr>
            <b/>
            <sz val="9"/>
            <color indexed="81"/>
            <rFont val="Tahoma"/>
            <family val="2"/>
          </rPr>
          <t>5075,</t>
        </r>
        <r>
          <rPr>
            <b/>
            <sz val="9"/>
            <color indexed="81"/>
            <rFont val="宋体"/>
            <family val="3"/>
            <charset val="134"/>
          </rPr>
          <t>大概是你之前算帳時自己墊了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宋体"/>
            <family val="3"/>
            <charset val="134"/>
          </rPr>
          <t>元</t>
        </r>
      </text>
    </comment>
    <comment ref="B6" authorId="0">
      <text>
        <r>
          <rPr>
            <b/>
            <sz val="9"/>
            <color indexed="81"/>
            <rFont val="宋体"/>
            <family val="3"/>
            <charset val="134"/>
          </rPr>
          <t>台銀城中</t>
        </r>
        <r>
          <rPr>
            <b/>
            <sz val="9"/>
            <color indexed="81"/>
            <rFont val="Tahoma"/>
            <family val="2"/>
          </rPr>
          <t xml:space="preserve"> - (004) 045-001-12748-7 $145906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054-001-04880-2 $13847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054-001-04873-8 $2386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054-001-50035-2 $1948</t>
        </r>
      </text>
    </comment>
    <comment ref="F6" authorId="0">
      <text>
        <r>
          <rPr>
            <b/>
            <sz val="9"/>
            <color indexed="81"/>
            <rFont val="宋体"/>
            <family val="3"/>
            <charset val="134"/>
          </rPr>
          <t>台銀城中</t>
        </r>
        <r>
          <rPr>
            <b/>
            <sz val="9"/>
            <color indexed="81"/>
            <rFont val="Tahoma"/>
            <family val="2"/>
          </rPr>
          <t xml:space="preserve"> - (004) 045-001-12748-7 $145906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054-001-04880-2 $13847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054-001-04873-8 $2386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054-001-50035-2 $1948</t>
        </r>
      </text>
    </comment>
    <comment ref="J7" authorId="0">
      <text>
        <r>
          <rPr>
            <b/>
            <sz val="9"/>
            <color indexed="81"/>
            <rFont val="Tahoma"/>
            <family val="2"/>
          </rPr>
          <t>#27487 2018</t>
        </r>
        <r>
          <rPr>
            <b/>
            <sz val="9"/>
            <color indexed="81"/>
            <rFont val="宋体"/>
            <charset val="134"/>
          </rPr>
          <t>年底餘額</t>
        </r>
        <r>
          <rPr>
            <b/>
            <sz val="9"/>
            <color indexed="81"/>
            <rFont val="Tahoma"/>
            <family val="2"/>
          </rPr>
          <t xml:space="preserve"> $174375 , #48802 2018</t>
        </r>
        <r>
          <rPr>
            <b/>
            <sz val="9"/>
            <color indexed="81"/>
            <rFont val="宋体"/>
            <charset val="134"/>
          </rPr>
          <t>年底餘額</t>
        </r>
        <r>
          <rPr>
            <b/>
            <sz val="9"/>
            <color indexed="81"/>
            <rFont val="Tahoma"/>
            <family val="2"/>
          </rPr>
          <t xml:space="preserve"> $2694</t>
        </r>
      </text>
    </comment>
    <comment ref="AU38" authorId="1">
      <text>
        <r>
          <rPr>
            <b/>
            <sz val="12"/>
            <color indexed="81"/>
            <rFont val="新細明體"/>
            <family val="1"/>
            <charset val="136"/>
          </rPr>
          <t>2010 
JW37563950
JW37736635
JW37737046
JW37857642
JW37856863</t>
        </r>
      </text>
    </comment>
    <comment ref="AU39" authorId="1">
      <text>
        <r>
          <rPr>
            <b/>
            <sz val="12"/>
            <color indexed="81"/>
            <rFont val="新細明體"/>
            <family val="1"/>
            <charset val="136"/>
          </rPr>
          <t>進貨退回</t>
        </r>
      </text>
    </comment>
    <comment ref="AU40" authorId="1">
      <text>
        <r>
          <rPr>
            <b/>
            <sz val="12"/>
            <color indexed="81"/>
            <rFont val="新細明體"/>
            <family val="1"/>
            <charset val="136"/>
          </rPr>
          <t>18000*6=108000
20091214預支30000</t>
        </r>
      </text>
    </comment>
    <comment ref="AU41" authorId="1">
      <text>
        <r>
          <rPr>
            <b/>
            <sz val="12"/>
            <color indexed="81"/>
            <rFont val="新細明體"/>
            <family val="1"/>
            <charset val="136"/>
          </rPr>
          <t>ADA: 27200, 張:78000, 晉:18200</t>
        </r>
      </text>
    </comment>
    <comment ref="AU42" authorId="1">
      <text>
        <r>
          <rPr>
            <b/>
            <sz val="12"/>
            <color indexed="81"/>
            <rFont val="新細明體"/>
            <family val="1"/>
            <charset val="136"/>
          </rPr>
          <t>1800 * 3</t>
        </r>
      </text>
    </comment>
    <comment ref="BG388" authorId="2">
      <text>
        <r>
          <rPr>
            <sz val="12"/>
            <color indexed="81"/>
            <rFont val="宋体"/>
            <charset val="134"/>
          </rPr>
          <t xml:space="preserve">張未處理
</t>
        </r>
      </text>
    </comment>
    <comment ref="BG389" authorId="2">
      <text>
        <r>
          <rPr>
            <sz val="12"/>
            <color indexed="81"/>
            <rFont val="宋体"/>
            <charset val="134"/>
          </rPr>
          <t xml:space="preserve">張未處理
</t>
        </r>
      </text>
    </comment>
    <comment ref="BG390" authorId="2">
      <text>
        <r>
          <rPr>
            <sz val="12"/>
            <color indexed="81"/>
            <rFont val="宋体"/>
            <charset val="134"/>
          </rPr>
          <t>96年退回主機及
94年開的發票</t>
        </r>
      </text>
    </comment>
    <comment ref="BK420" authorId="3">
      <text>
        <r>
          <rPr>
            <b/>
            <sz val="12"/>
            <color indexed="81"/>
            <rFont val="Times New Roman"/>
            <family val="1"/>
          </rPr>
          <t>95760-47880=47880
11970*4=47880(</t>
        </r>
        <r>
          <rPr>
            <b/>
            <sz val="12"/>
            <color indexed="81"/>
            <rFont val="細明體"/>
            <family val="3"/>
            <charset val="136"/>
          </rPr>
          <t>已收</t>
        </r>
        <r>
          <rPr>
            <b/>
            <sz val="12"/>
            <color indexed="81"/>
            <rFont val="Times New Roman"/>
            <family val="1"/>
          </rPr>
          <t>)</t>
        </r>
        <r>
          <rPr>
            <b/>
            <sz val="9"/>
            <color indexed="81"/>
            <rFont val="Times New Roman"/>
            <family val="1"/>
          </rPr>
          <t xml:space="preserve">
</t>
        </r>
        <r>
          <rPr>
            <sz val="9"/>
            <color indexed="81"/>
            <rFont val="新細明體"/>
            <family val="1"/>
            <charset val="136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Jen</author>
    <author>da</author>
    <author>Administrator</author>
    <author>win764</author>
    <author>win1064</author>
  </authors>
  <commentList>
    <comment ref="J10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第二期應收: 14175
支票金額只開: 14145
差額30元
</t>
        </r>
      </text>
    </comment>
    <comment ref="E14" authorId="1">
      <text>
        <r>
          <rPr>
            <b/>
            <sz val="18"/>
            <color indexed="81"/>
            <rFont val="Tahoma"/>
            <family val="2"/>
          </rPr>
          <t>1-24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16" authorId="1">
      <text>
        <r>
          <rPr>
            <b/>
            <sz val="16"/>
            <color indexed="81"/>
            <rFont val="Tahoma"/>
            <family val="2"/>
          </rPr>
          <t>1-3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  <r>
          <rPr>
            <b/>
            <sz val="16"/>
            <color indexed="81"/>
            <rFont val="Tahoma"/>
            <family val="2"/>
          </rPr>
          <t xml:space="preserve"> / </t>
        </r>
        <r>
          <rPr>
            <b/>
            <sz val="16"/>
            <color indexed="81"/>
            <rFont val="細明體"/>
            <family val="3"/>
            <charset val="136"/>
          </rPr>
          <t>共</t>
        </r>
        <r>
          <rPr>
            <b/>
            <sz val="16"/>
            <color indexed="81"/>
            <rFont val="Tahoma"/>
            <family val="2"/>
          </rPr>
          <t>24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</text>
    </comment>
    <comment ref="E17" authorId="1">
      <text>
        <r>
          <rPr>
            <sz val="16"/>
            <color indexed="81"/>
            <rFont val="細明體"/>
            <family val="3"/>
            <charset val="136"/>
          </rPr>
          <t>22-24期</t>
        </r>
        <r>
          <rPr>
            <sz val="16"/>
            <color indexed="81"/>
            <rFont val="Tahoma"/>
            <family val="2"/>
          </rPr>
          <t xml:space="preserve"> / </t>
        </r>
        <r>
          <rPr>
            <sz val="16"/>
            <color indexed="81"/>
            <rFont val="細明體"/>
            <family val="3"/>
            <charset val="136"/>
          </rPr>
          <t>共</t>
        </r>
        <r>
          <rPr>
            <sz val="16"/>
            <color indexed="81"/>
            <rFont val="Tahoma"/>
            <family val="2"/>
          </rPr>
          <t>36</t>
        </r>
        <r>
          <rPr>
            <sz val="16"/>
            <color indexed="81"/>
            <rFont val="細明體"/>
            <family val="3"/>
            <charset val="136"/>
          </rPr>
          <t>期</t>
        </r>
      </text>
    </comment>
    <comment ref="E18" authorId="1">
      <text>
        <r>
          <rPr>
            <sz val="18"/>
            <color indexed="81"/>
            <rFont val="細明體"/>
            <family val="3"/>
            <charset val="136"/>
          </rPr>
          <t>19 - 21期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0" authorId="1">
      <text>
        <r>
          <rPr>
            <b/>
            <sz val="18"/>
            <color indexed="81"/>
            <rFont val="Tahoma"/>
            <family val="2"/>
          </rPr>
          <t xml:space="preserve">19 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1" authorId="1">
      <text>
        <r>
          <rPr>
            <b/>
            <sz val="18"/>
            <color indexed="81"/>
            <rFont val="Tahoma"/>
            <family val="2"/>
          </rPr>
          <t>20 - 24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8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9" authorId="1">
      <text>
        <r>
          <rPr>
            <sz val="18"/>
            <color indexed="81"/>
            <rFont val="Tahoma"/>
            <family val="2"/>
          </rPr>
          <t>13 - 24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0" authorId="1">
      <text>
        <r>
          <rPr>
            <b/>
            <sz val="18"/>
            <color indexed="81"/>
            <rFont val="細明體"/>
            <family val="3"/>
            <charset val="136"/>
          </rPr>
          <t>折讓: 20091118 銷貨稅金</t>
        </r>
      </text>
    </comment>
    <comment ref="E34" authorId="1">
      <text>
        <r>
          <rPr>
            <sz val="18"/>
            <color indexed="81"/>
            <rFont val="Tahoma"/>
            <family val="2"/>
          </rPr>
          <t>25 - 27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5" authorId="1">
      <text>
        <r>
          <rPr>
            <sz val="18"/>
            <color indexed="81"/>
            <rFont val="Tahoma"/>
            <family val="2"/>
          </rPr>
          <t>22 - 24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8" authorId="1">
      <text>
        <r>
          <rPr>
            <b/>
            <sz val="18"/>
            <color indexed="81"/>
            <rFont val="細明體"/>
            <family val="3"/>
            <charset val="136"/>
          </rPr>
          <t>折讓: 20100622 銷貨金額</t>
        </r>
      </text>
    </comment>
    <comment ref="E39" authorId="1">
      <text>
        <r>
          <rPr>
            <sz val="18"/>
            <color indexed="81"/>
            <rFont val="Tahoma"/>
            <family val="2"/>
          </rPr>
          <t>1 - 8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0" authorId="1">
      <text>
        <r>
          <rPr>
            <sz val="18"/>
            <color indexed="81"/>
            <rFont val="Tahoma"/>
            <family val="2"/>
          </rPr>
          <t>9 - 16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1" authorId="1">
      <text>
        <r>
          <rPr>
            <sz val="18"/>
            <color indexed="81"/>
            <rFont val="Tahoma"/>
            <family val="2"/>
          </rPr>
          <t>17 - 24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7" authorId="1">
      <text>
        <r>
          <rPr>
            <sz val="18"/>
            <color indexed="81"/>
            <rFont val="Tahoma"/>
            <family val="2"/>
          </rPr>
          <t>28 - 30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8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9" authorId="1">
      <text>
        <r>
          <rPr>
            <sz val="18"/>
            <color indexed="81"/>
            <rFont val="Tahoma"/>
            <family val="2"/>
          </rPr>
          <t>1 - 3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0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1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2" authorId="1">
      <text>
        <r>
          <rPr>
            <sz val="18"/>
            <color indexed="81"/>
            <rFont val="Tahoma"/>
            <family val="2"/>
          </rPr>
          <t>10 - 12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C161" authorId="0">
      <text>
        <r>
          <rPr>
            <sz val="12"/>
            <color indexed="81"/>
            <rFont val="新細明體"/>
            <family val="1"/>
            <charset val="136"/>
          </rPr>
          <t>提早三季解約
13500 x 3 = 40500
開銷貨折讓</t>
        </r>
      </text>
    </comment>
    <comment ref="N167" authorId="0">
      <text>
        <r>
          <rPr>
            <b/>
            <sz val="9"/>
            <color indexed="81"/>
            <rFont val="新細明體"/>
            <family val="1"/>
            <charset val="136"/>
          </rPr>
          <t>少付4元作手續費
2013沖</t>
        </r>
      </text>
    </comment>
    <comment ref="O167" authorId="1">
      <text>
        <r>
          <rPr>
            <b/>
            <sz val="12"/>
            <color indexed="81"/>
            <rFont val="新細明體"/>
            <family val="1"/>
            <charset val="136"/>
          </rPr>
          <t>8張票 $8977.5 客戶開$8977</t>
        </r>
      </text>
    </comment>
    <comment ref="O174" authorId="0">
      <text>
        <r>
          <rPr>
            <b/>
            <sz val="12"/>
            <color indexed="81"/>
            <rFont val="新細明體"/>
            <family val="1"/>
            <charset val="136"/>
          </rPr>
          <t>2013.01.16
已匯入</t>
        </r>
      </text>
    </comment>
    <comment ref="J179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J247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O270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年繳</t>
        </r>
      </text>
    </comment>
    <comment ref="O295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發票預開二年, 季繳</t>
        </r>
      </text>
    </comment>
    <comment ref="O312" authorId="3">
      <text>
        <r>
          <rPr>
            <b/>
            <sz val="9"/>
            <color indexed="81"/>
            <rFont val="細明體"/>
            <family val="3"/>
            <charset val="136"/>
          </rPr>
          <t>原維護約改換機約, 補差額</t>
        </r>
      </text>
    </comment>
    <comment ref="P312" authorId="2">
      <text>
        <r>
          <rPr>
            <b/>
            <sz val="12"/>
            <color indexed="81"/>
            <rFont val="細明體"/>
            <family val="3"/>
            <charset val="136"/>
          </rPr>
          <t>原</t>
        </r>
        <r>
          <rPr>
            <b/>
            <sz val="12"/>
            <color indexed="81"/>
            <rFont val="Tahoma"/>
            <family val="2"/>
          </rPr>
          <t>3600</t>
        </r>
        <r>
          <rPr>
            <b/>
            <sz val="12"/>
            <color indexed="81"/>
            <rFont val="細明體"/>
            <family val="3"/>
            <charset val="136"/>
          </rPr>
          <t>含稅維護改</t>
        </r>
        <r>
          <rPr>
            <b/>
            <sz val="12"/>
            <color indexed="81"/>
            <rFont val="Tahoma"/>
            <family val="2"/>
          </rPr>
          <t>4500</t>
        </r>
        <r>
          <rPr>
            <b/>
            <sz val="12"/>
            <color indexed="81"/>
            <rFont val="細明體"/>
            <family val="3"/>
            <charset val="136"/>
          </rPr>
          <t>含稅換機</t>
        </r>
      </text>
    </comment>
    <comment ref="J32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369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H370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C389" authorId="3">
      <text>
        <r>
          <rPr>
            <b/>
            <sz val="12"/>
            <color indexed="81"/>
            <rFont val="Tahoma"/>
            <family val="2"/>
          </rPr>
          <t>SJ</t>
        </r>
      </text>
    </comment>
    <comment ref="H390" authorId="3">
      <text>
        <r>
          <rPr>
            <b/>
            <sz val="12"/>
            <color indexed="81"/>
            <rFont val="細明體"/>
            <family val="3"/>
            <charset val="136"/>
          </rPr>
          <t>車源管理服務費-尾款</t>
        </r>
      </text>
    </comment>
    <comment ref="H391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2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3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4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J397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434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443" authorId="3">
      <text>
        <r>
          <rPr>
            <b/>
            <sz val="9"/>
            <color indexed="81"/>
            <rFont val="細明體"/>
            <family val="3"/>
            <charset val="136"/>
          </rPr>
          <t>依德軟維</t>
        </r>
      </text>
    </comment>
    <comment ref="H444" authorId="3">
      <text>
        <r>
          <rPr>
            <b/>
            <sz val="9"/>
            <color indexed="81"/>
            <rFont val="細明體"/>
            <family val="3"/>
            <charset val="136"/>
          </rPr>
          <t>鎔德軟維</t>
        </r>
      </text>
    </comment>
    <comment ref="H445" authorId="3">
      <text>
        <r>
          <rPr>
            <b/>
            <sz val="9"/>
            <color indexed="81"/>
            <rFont val="細明體"/>
            <family val="3"/>
            <charset val="136"/>
          </rPr>
          <t>遠端單次維護</t>
        </r>
      </text>
    </comment>
    <comment ref="G453" authorId="3">
      <text>
        <r>
          <rPr>
            <sz val="12"/>
            <color indexed="81"/>
            <rFont val="細明體"/>
            <family val="3"/>
            <charset val="136"/>
          </rPr>
          <t>馬桶增高器</t>
        </r>
      </text>
    </comment>
    <comment ref="J45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10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6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7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27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28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29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0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J533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87" authorId="4">
      <text>
        <r>
          <rPr>
            <b/>
            <sz val="9"/>
            <color indexed="81"/>
            <rFont val="Tahoma"/>
            <family val="2"/>
          </rPr>
          <t>DNS</t>
        </r>
      </text>
    </comment>
    <comment ref="H605" authorId="4">
      <text>
        <r>
          <rPr>
            <b/>
            <sz val="9"/>
            <color indexed="81"/>
            <rFont val="細明體"/>
            <family val="3"/>
            <charset val="136"/>
          </rPr>
          <t>車源尾款</t>
        </r>
      </text>
    </comment>
    <comment ref="J60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651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52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軟體開發費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第一次款</t>
        </r>
      </text>
    </comment>
    <comment ref="H653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軟體開發費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第一次款</t>
        </r>
      </text>
    </comment>
    <comment ref="H662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63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64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J684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713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721" authorId="4">
      <text>
        <r>
          <rPr>
            <b/>
            <sz val="9"/>
            <color indexed="81"/>
            <rFont val="細明體"/>
            <family val="3"/>
            <charset val="136"/>
          </rPr>
          <t>單次維護</t>
        </r>
      </text>
    </comment>
    <comment ref="H729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二次</t>
        </r>
      </text>
    </comment>
    <comment ref="H730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二次</t>
        </r>
      </text>
    </comment>
    <comment ref="H731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尾款</t>
        </r>
      </text>
    </comment>
    <comment ref="H732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尾款</t>
        </r>
      </text>
    </comment>
    <comment ref="H737" authorId="4">
      <text>
        <r>
          <rPr>
            <b/>
            <sz val="9"/>
            <color indexed="81"/>
            <rFont val="細明體"/>
            <family val="3"/>
            <charset val="136"/>
          </rPr>
          <t>軟體維護</t>
        </r>
      </text>
    </comment>
    <comment ref="H739" authorId="4">
      <text>
        <r>
          <rPr>
            <b/>
            <sz val="9"/>
            <color indexed="81"/>
            <rFont val="細明體"/>
            <family val="3"/>
            <charset val="136"/>
          </rPr>
          <t>軟體維護</t>
        </r>
      </text>
    </comment>
  </commentList>
</comments>
</file>

<file path=xl/comments4.xml><?xml version="1.0" encoding="utf-8"?>
<comments xmlns="http://schemas.openxmlformats.org/spreadsheetml/2006/main">
  <authors>
    <author>TIGER-XP</author>
    <author>Jen</author>
    <author>win764</author>
    <author>PUREXP</author>
  </authors>
  <commentList>
    <comment ref="R184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185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N213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4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5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6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R221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R222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240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Q253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C465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C673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D693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D69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6" authorId="2">
      <text>
        <r>
          <rPr>
            <b/>
            <sz val="9"/>
            <color indexed="81"/>
            <rFont val="細明體"/>
            <family val="3"/>
            <charset val="136"/>
          </rPr>
          <t>VPN-KO舊機</t>
        </r>
      </text>
    </comment>
    <comment ref="D706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  <comment ref="D708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K766" authorId="3">
      <text>
        <r>
          <rPr>
            <b/>
            <sz val="12"/>
            <color indexed="81"/>
            <rFont val="MingLiU"/>
            <family val="3"/>
            <charset val="136"/>
          </rPr>
          <t>拆機退票</t>
        </r>
        <r>
          <rPr>
            <b/>
            <sz val="12"/>
            <color indexed="81"/>
            <rFont val="Tahoma"/>
            <family val="2"/>
          </rPr>
          <t>3</t>
        </r>
        <r>
          <rPr>
            <b/>
            <sz val="12"/>
            <color indexed="81"/>
            <rFont val="MingLiU"/>
            <family val="3"/>
            <charset val="136"/>
          </rPr>
          <t>張</t>
        </r>
      </text>
    </comment>
    <comment ref="D802" authorId="2">
      <text>
        <r>
          <rPr>
            <b/>
            <sz val="9"/>
            <color indexed="81"/>
            <rFont val="細明體"/>
            <family val="3"/>
            <charset val="136"/>
          </rPr>
          <t xml:space="preserve">車源首次款
</t>
        </r>
      </text>
    </comment>
    <comment ref="D803" authorId="2">
      <text>
        <r>
          <rPr>
            <b/>
            <sz val="9"/>
            <color indexed="81"/>
            <rFont val="細明體"/>
            <family val="3"/>
            <charset val="136"/>
          </rPr>
          <t>保限尾款</t>
        </r>
      </text>
    </comment>
    <comment ref="D80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D80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C828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C829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D860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863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917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</commentList>
</comments>
</file>

<file path=xl/comments5.xml><?xml version="1.0" encoding="utf-8"?>
<comments xmlns="http://schemas.openxmlformats.org/spreadsheetml/2006/main">
  <authors>
    <author>TIGER-XP</author>
    <author>Jen</author>
    <author>win764</author>
    <author>PUREXP</author>
  </authors>
  <commentList>
    <comment ref="R184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185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N213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4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5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6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R221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R222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240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Q253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C465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C673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D693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D69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6" authorId="2">
      <text>
        <r>
          <rPr>
            <b/>
            <sz val="9"/>
            <color indexed="81"/>
            <rFont val="細明體"/>
            <family val="3"/>
            <charset val="136"/>
          </rPr>
          <t>VPN-KO舊機</t>
        </r>
      </text>
    </comment>
    <comment ref="D706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  <comment ref="D708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K766" authorId="3">
      <text>
        <r>
          <rPr>
            <b/>
            <sz val="12"/>
            <color indexed="81"/>
            <rFont val="MingLiU"/>
            <family val="3"/>
            <charset val="136"/>
          </rPr>
          <t>拆機退票</t>
        </r>
        <r>
          <rPr>
            <b/>
            <sz val="12"/>
            <color indexed="81"/>
            <rFont val="Tahoma"/>
            <family val="2"/>
          </rPr>
          <t>3</t>
        </r>
        <r>
          <rPr>
            <b/>
            <sz val="12"/>
            <color indexed="81"/>
            <rFont val="MingLiU"/>
            <family val="3"/>
            <charset val="136"/>
          </rPr>
          <t>張</t>
        </r>
      </text>
    </comment>
    <comment ref="D802" authorId="2">
      <text>
        <r>
          <rPr>
            <b/>
            <sz val="9"/>
            <color indexed="81"/>
            <rFont val="細明體"/>
            <family val="3"/>
            <charset val="136"/>
          </rPr>
          <t xml:space="preserve">車源首次款
</t>
        </r>
      </text>
    </comment>
    <comment ref="D803" authorId="2">
      <text>
        <r>
          <rPr>
            <b/>
            <sz val="9"/>
            <color indexed="81"/>
            <rFont val="細明體"/>
            <family val="3"/>
            <charset val="136"/>
          </rPr>
          <t>保限尾款</t>
        </r>
      </text>
    </comment>
    <comment ref="D80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D80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C828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C829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D860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863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917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</commentList>
</comments>
</file>

<file path=xl/comments6.xml><?xml version="1.0" encoding="utf-8"?>
<comments xmlns="http://schemas.openxmlformats.org/spreadsheetml/2006/main">
  <authors>
    <author>TIGER-XP</author>
    <author>Jen</author>
    <author>win764</author>
    <author>PUREXP</author>
    <author>win1064</author>
  </authors>
  <commentList>
    <comment ref="R184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185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N213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4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5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6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R221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R222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240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Q253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C465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C673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D693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D69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6" authorId="2">
      <text>
        <r>
          <rPr>
            <b/>
            <sz val="9"/>
            <color indexed="81"/>
            <rFont val="細明體"/>
            <family val="3"/>
            <charset val="136"/>
          </rPr>
          <t>VPN-KO舊機</t>
        </r>
      </text>
    </comment>
    <comment ref="D706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  <comment ref="D708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K766" authorId="3">
      <text>
        <r>
          <rPr>
            <b/>
            <sz val="12"/>
            <color indexed="81"/>
            <rFont val="MingLiU"/>
            <family val="3"/>
            <charset val="136"/>
          </rPr>
          <t>拆機退票</t>
        </r>
        <r>
          <rPr>
            <b/>
            <sz val="12"/>
            <color indexed="81"/>
            <rFont val="Tahoma"/>
            <family val="2"/>
          </rPr>
          <t>3</t>
        </r>
        <r>
          <rPr>
            <b/>
            <sz val="12"/>
            <color indexed="81"/>
            <rFont val="MingLiU"/>
            <family val="3"/>
            <charset val="136"/>
          </rPr>
          <t>張</t>
        </r>
      </text>
    </comment>
    <comment ref="D802" authorId="2">
      <text>
        <r>
          <rPr>
            <b/>
            <sz val="9"/>
            <color indexed="81"/>
            <rFont val="細明體"/>
            <family val="3"/>
            <charset val="136"/>
          </rPr>
          <t xml:space="preserve">車源首次款
</t>
        </r>
      </text>
    </comment>
    <comment ref="D803" authorId="2">
      <text>
        <r>
          <rPr>
            <b/>
            <sz val="9"/>
            <color indexed="81"/>
            <rFont val="細明體"/>
            <family val="3"/>
            <charset val="136"/>
          </rPr>
          <t>保限尾款</t>
        </r>
      </text>
    </comment>
    <comment ref="D80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D80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C828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C829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D860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863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917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  <comment ref="H1735" authorId="4">
      <text>
        <r>
          <rPr>
            <b/>
            <sz val="9"/>
            <color indexed="81"/>
            <rFont val="細明體"/>
            <family val="3"/>
            <charset val="136"/>
          </rPr>
          <t>原半年約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重簽二年約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 xml:space="preserve">被前半年約差頍
</t>
        </r>
        <r>
          <rPr>
            <b/>
            <sz val="9"/>
            <color indexed="81"/>
            <rFont val="Tahoma"/>
            <family val="2"/>
          </rPr>
          <t>108/9/1~109/2/28(4500*1.05*6=28,350)-</t>
        </r>
        <r>
          <rPr>
            <b/>
            <sz val="9"/>
            <color indexed="81"/>
            <rFont val="細明體"/>
            <family val="3"/>
            <charset val="136"/>
          </rPr>
          <t>己支付</t>
        </r>
        <r>
          <rPr>
            <b/>
            <sz val="9"/>
            <color indexed="81"/>
            <rFont val="Tahoma"/>
            <family val="2"/>
          </rPr>
          <t>(3600*1.05*6=22,680)</t>
        </r>
        <r>
          <rPr>
            <b/>
            <sz val="9"/>
            <color indexed="81"/>
            <rFont val="細明體"/>
            <family val="3"/>
            <charset val="136"/>
          </rPr>
          <t xml:space="preserve">需補開
</t>
        </r>
        <r>
          <rPr>
            <b/>
            <sz val="9"/>
            <color indexed="81"/>
            <rFont val="細明體"/>
            <family val="3"/>
            <charset val="136"/>
          </rPr>
          <t>差額</t>
        </r>
        <r>
          <rPr>
            <b/>
            <sz val="9"/>
            <color indexed="81"/>
            <rFont val="Tahoma"/>
            <family val="2"/>
          </rPr>
          <t>5,670</t>
        </r>
        <r>
          <rPr>
            <b/>
            <sz val="9"/>
            <color indexed="81"/>
            <rFont val="細明體"/>
            <family val="3"/>
            <charset val="136"/>
          </rPr>
          <t>，另支付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>張支票</t>
        </r>
        <r>
          <rPr>
            <b/>
            <sz val="9"/>
            <color indexed="81"/>
            <rFont val="Tahoma"/>
            <family val="2"/>
          </rPr>
          <t>(4500*1.05*3=14,175)*6</t>
        </r>
        <r>
          <rPr>
            <b/>
            <sz val="9"/>
            <color indexed="81"/>
            <rFont val="細明體"/>
            <family val="3"/>
            <charset val="136"/>
          </rPr>
          <t>張票</t>
        </r>
        <r>
          <rPr>
            <b/>
            <sz val="9"/>
            <color indexed="81"/>
            <rFont val="Tahoma"/>
            <family val="2"/>
          </rPr>
          <t>(1</t>
        </r>
        <r>
          <rPr>
            <b/>
            <sz val="9"/>
            <color indexed="81"/>
            <rFont val="細明體"/>
            <family val="3"/>
            <charset val="136"/>
          </rPr>
          <t>季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張票</t>
        </r>
        <r>
          <rPr>
            <b/>
            <sz val="9"/>
            <color indexed="81"/>
            <rFont val="Tahoma"/>
            <family val="2"/>
          </rPr>
          <t>) ($85050)</t>
        </r>
      </text>
    </comment>
  </commentList>
</comments>
</file>

<file path=xl/comments7.xml><?xml version="1.0" encoding="utf-8"?>
<comments xmlns="http://schemas.openxmlformats.org/spreadsheetml/2006/main">
  <authors>
    <author>win764</author>
  </authors>
  <commentList>
    <comment ref="C9" authorId="0">
      <text>
        <r>
          <rPr>
            <b/>
            <sz val="9"/>
            <color indexed="81"/>
            <rFont val="Tahoma"/>
            <family val="2"/>
          </rPr>
          <t xml:space="preserve">401---107.09/107.10 </t>
        </r>
        <r>
          <rPr>
            <b/>
            <sz val="9"/>
            <color indexed="81"/>
            <rFont val="細明體"/>
            <family val="3"/>
            <charset val="136"/>
          </rPr>
          <t>在華算信義</t>
        </r>
      </text>
    </comment>
    <comment ref="C15" authorId="0">
      <text>
        <r>
          <rPr>
            <b/>
            <sz val="9"/>
            <color indexed="81"/>
            <rFont val="Tahoma"/>
            <family val="2"/>
          </rPr>
          <t xml:space="preserve">107.07 </t>
        </r>
        <r>
          <rPr>
            <b/>
            <sz val="9"/>
            <color indexed="81"/>
            <rFont val="細明體"/>
            <family val="3"/>
            <charset val="136"/>
          </rPr>
          <t>另一筆卡費在華算信義</t>
        </r>
      </text>
    </comment>
  </commentList>
</comments>
</file>

<file path=xl/comments8.xml><?xml version="1.0" encoding="utf-8"?>
<comments xmlns="http://schemas.openxmlformats.org/spreadsheetml/2006/main">
  <authors>
    <author>win1064</author>
  </authors>
  <commentList>
    <comment ref="D31" authorId="0">
      <text>
        <r>
          <rPr>
            <b/>
            <sz val="9"/>
            <color indexed="81"/>
            <rFont val="細明體"/>
            <family val="3"/>
            <charset val="136"/>
          </rPr>
          <t>阿明</t>
        </r>
        <r>
          <rPr>
            <b/>
            <sz val="9"/>
            <color indexed="81"/>
            <rFont val="Tahoma"/>
            <family val="2"/>
          </rPr>
          <t xml:space="preserve"> 4/28 $100000 </t>
        </r>
        <r>
          <rPr>
            <b/>
            <sz val="9"/>
            <color indexed="81"/>
            <rFont val="細明體"/>
            <family val="3"/>
            <charset val="136"/>
          </rPr>
          <t>周轉</t>
        </r>
      </text>
    </comment>
    <comment ref="D215" authorId="0">
      <text>
        <r>
          <rPr>
            <b/>
            <sz val="9"/>
            <color indexed="81"/>
            <rFont val="Tahoma"/>
            <family val="2"/>
          </rPr>
          <t>2020.04.28 100000      
2020.05.04  20010     (</t>
        </r>
        <r>
          <rPr>
            <b/>
            <sz val="9"/>
            <color indexed="81"/>
            <rFont val="細明體"/>
            <family val="3"/>
            <charset val="136"/>
          </rPr>
          <t>明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細明體"/>
            <family val="3"/>
            <charset val="136"/>
          </rPr>
          <t>萬</t>
        </r>
        <r>
          <rPr>
            <b/>
            <sz val="9"/>
            <color indexed="81"/>
            <rFont val="Tahoma"/>
            <family val="2"/>
          </rPr>
          <t xml:space="preserve">) 2020.05 </t>
        </r>
        <r>
          <rPr>
            <b/>
            <sz val="9"/>
            <color indexed="81"/>
            <rFont val="細明體"/>
            <family val="3"/>
            <charset val="136"/>
          </rPr>
          <t>北平房租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台銀網銀轉帳</t>
        </r>
        <r>
          <rPr>
            <b/>
            <sz val="9"/>
            <color indexed="81"/>
            <rFont val="Tahoma"/>
            <family val="2"/>
          </rPr>
          <t>(2018.11</t>
        </r>
        <r>
          <rPr>
            <b/>
            <sz val="9"/>
            <color indexed="81"/>
            <rFont val="細明體"/>
            <family val="3"/>
            <charset val="136"/>
          </rPr>
          <t>開始</t>
        </r>
        <r>
          <rPr>
            <b/>
            <sz val="9"/>
            <color indexed="81"/>
            <rFont val="Tahoma"/>
            <family val="2"/>
          </rPr>
          <t>)-</t>
        </r>
        <r>
          <rPr>
            <b/>
            <sz val="9"/>
            <color indexed="81"/>
            <rFont val="細明體"/>
            <family val="3"/>
            <charset val="136"/>
          </rPr>
          <t>轉</t>
        </r>
        <r>
          <rPr>
            <b/>
            <sz val="9"/>
            <color indexed="81"/>
            <rFont val="Tahoma"/>
            <family val="2"/>
          </rPr>
          <t>ADA</t>
        </r>
        <r>
          <rPr>
            <b/>
            <sz val="9"/>
            <color indexed="81"/>
            <rFont val="細明體"/>
            <family val="3"/>
            <charset val="136"/>
          </rPr>
          <t xml:space="preserve">再轉房東
</t>
        </r>
        <r>
          <rPr>
            <b/>
            <sz val="9"/>
            <color indexed="81"/>
            <rFont val="Tahoma"/>
            <family val="2"/>
          </rPr>
          <t>2020.05.05  29575     (</t>
        </r>
        <r>
          <rPr>
            <b/>
            <sz val="9"/>
            <color indexed="81"/>
            <rFont val="細明體"/>
            <family val="3"/>
            <charset val="136"/>
          </rPr>
          <t>明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細明體"/>
            <family val="3"/>
            <charset val="136"/>
          </rPr>
          <t>萬</t>
        </r>
        <r>
          <rPr>
            <b/>
            <sz val="9"/>
            <color indexed="81"/>
            <rFont val="Tahoma"/>
            <family val="2"/>
          </rPr>
          <t xml:space="preserve">) 109.04 </t>
        </r>
        <r>
          <rPr>
            <b/>
            <sz val="9"/>
            <color indexed="81"/>
            <rFont val="細明體"/>
            <family val="3"/>
            <charset val="136"/>
          </rPr>
          <t>欽</t>
        </r>
        <r>
          <rPr>
            <b/>
            <sz val="9"/>
            <color indexed="81"/>
            <rFont val="Tahoma"/>
            <family val="2"/>
          </rPr>
          <t xml:space="preserve"> (2018.1</t>
        </r>
        <r>
          <rPr>
            <b/>
            <sz val="9"/>
            <color indexed="81"/>
            <rFont val="細明體"/>
            <family val="3"/>
            <charset val="136"/>
          </rPr>
          <t>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調薪</t>
        </r>
        <r>
          <rPr>
            <b/>
            <sz val="9"/>
            <color indexed="81"/>
            <rFont val="Tahoma"/>
            <family val="2"/>
          </rPr>
          <t xml:space="preserve"> $30150),</t>
        </r>
        <r>
          <rPr>
            <b/>
            <sz val="9"/>
            <color indexed="81"/>
            <rFont val="細明體"/>
            <family val="3"/>
            <charset val="136"/>
          </rPr>
          <t xml:space="preserve">調勞保
</t>
        </r>
        <r>
          <rPr>
            <b/>
            <sz val="9"/>
            <color indexed="81"/>
            <rFont val="Tahoma"/>
            <family val="2"/>
          </rPr>
          <t>2020.05.05  26000     (</t>
        </r>
        <r>
          <rPr>
            <b/>
            <sz val="9"/>
            <color indexed="81"/>
            <rFont val="細明體"/>
            <family val="3"/>
            <charset val="136"/>
          </rPr>
          <t>明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細明體"/>
            <family val="3"/>
            <charset val="136"/>
          </rPr>
          <t>萬</t>
        </r>
        <r>
          <rPr>
            <b/>
            <sz val="9"/>
            <color indexed="81"/>
            <rFont val="Tahoma"/>
            <family val="2"/>
          </rPr>
          <t xml:space="preserve">) 109.04 </t>
        </r>
        <r>
          <rPr>
            <b/>
            <sz val="9"/>
            <color indexed="81"/>
            <rFont val="細明體"/>
            <family val="3"/>
            <charset val="136"/>
          </rPr>
          <t xml:space="preserve">張
</t>
        </r>
        <r>
          <rPr>
            <b/>
            <sz val="9"/>
            <color indexed="81"/>
            <rFont val="Tahoma"/>
            <family val="2"/>
          </rPr>
          <t>2020.05.05  24415 $36,865    (</t>
        </r>
        <r>
          <rPr>
            <b/>
            <sz val="9"/>
            <color indexed="81"/>
            <rFont val="細明體"/>
            <family val="3"/>
            <charset val="136"/>
          </rPr>
          <t>明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細明體"/>
            <family val="3"/>
            <charset val="136"/>
          </rPr>
          <t>萬</t>
        </r>
        <r>
          <rPr>
            <b/>
            <sz val="9"/>
            <color indexed="81"/>
            <rFont val="Tahoma"/>
            <family val="2"/>
          </rPr>
          <t xml:space="preserve">) 109.04 </t>
        </r>
        <r>
          <rPr>
            <b/>
            <sz val="9"/>
            <color indexed="81"/>
            <rFont val="細明體"/>
            <family val="3"/>
            <charset val="136"/>
          </rPr>
          <t>達</t>
        </r>
        <r>
          <rPr>
            <b/>
            <sz val="9"/>
            <color indexed="81"/>
            <rFont val="Tahoma"/>
            <family val="2"/>
          </rPr>
          <t xml:space="preserve">-1
</t>
        </r>
      </text>
    </comment>
    <comment ref="F225" authorId="0">
      <text>
        <r>
          <rPr>
            <b/>
            <sz val="9"/>
            <color indexed="81"/>
            <rFont val="細明體"/>
            <family val="3"/>
            <charset val="136"/>
          </rPr>
          <t>華算信義 欲匯 $13230 , 誤填 $13280, ADA補$50現金</t>
        </r>
      </text>
    </comment>
    <comment ref="D305" authorId="0">
      <text>
        <r>
          <rPr>
            <b/>
            <sz val="9"/>
            <color indexed="81"/>
            <rFont val="細明體"/>
            <family val="3"/>
            <charset val="136"/>
          </rPr>
          <t>阿明</t>
        </r>
        <r>
          <rPr>
            <b/>
            <sz val="9"/>
            <color indexed="81"/>
            <rFont val="Tahoma"/>
            <family val="2"/>
          </rPr>
          <t xml:space="preserve"> 4/28 $100000 </t>
        </r>
        <r>
          <rPr>
            <b/>
            <sz val="9"/>
            <color indexed="81"/>
            <rFont val="細明體"/>
            <family val="3"/>
            <charset val="136"/>
          </rPr>
          <t>周轉</t>
        </r>
      </text>
    </comment>
    <comment ref="D313" authorId="0">
      <text>
        <r>
          <rPr>
            <b/>
            <sz val="9"/>
            <color indexed="81"/>
            <rFont val="Tahoma"/>
            <family val="2"/>
          </rPr>
          <t xml:space="preserve">$3575 </t>
        </r>
        <r>
          <rPr>
            <b/>
            <sz val="9"/>
            <color indexed="81"/>
            <rFont val="細明體"/>
            <family val="3"/>
            <charset val="136"/>
          </rPr>
          <t>零用金支出</t>
        </r>
      </text>
    </comment>
    <comment ref="D316" authorId="0">
      <text>
        <r>
          <rPr>
            <b/>
            <sz val="9"/>
            <color indexed="81"/>
            <rFont val="細明體"/>
            <family val="3"/>
            <charset val="136"/>
          </rPr>
          <t>阿明</t>
        </r>
        <r>
          <rPr>
            <b/>
            <sz val="9"/>
            <color indexed="81"/>
            <rFont val="Tahoma"/>
            <family val="2"/>
          </rPr>
          <t xml:space="preserve"> 4/28 $100000 </t>
        </r>
        <r>
          <rPr>
            <b/>
            <sz val="9"/>
            <color indexed="81"/>
            <rFont val="細明體"/>
            <family val="3"/>
            <charset val="136"/>
          </rPr>
          <t>周轉</t>
        </r>
      </text>
    </comment>
    <comment ref="D333" authorId="0">
      <text>
        <r>
          <rPr>
            <b/>
            <sz val="9"/>
            <color indexed="81"/>
            <rFont val="細明體"/>
            <family val="3"/>
            <charset val="136"/>
          </rPr>
          <t>阿明</t>
        </r>
        <r>
          <rPr>
            <b/>
            <sz val="9"/>
            <color indexed="81"/>
            <rFont val="Tahoma"/>
            <family val="2"/>
          </rPr>
          <t xml:space="preserve"> 4/28 $100000 </t>
        </r>
        <r>
          <rPr>
            <b/>
            <sz val="9"/>
            <color indexed="81"/>
            <rFont val="細明體"/>
            <family val="3"/>
            <charset val="136"/>
          </rPr>
          <t>周轉</t>
        </r>
      </text>
    </comment>
    <comment ref="D335" authorId="0">
      <text>
        <r>
          <rPr>
            <b/>
            <sz val="9"/>
            <color indexed="81"/>
            <rFont val="Tahoma"/>
            <family val="2"/>
          </rPr>
          <t xml:space="preserve">$13230 </t>
        </r>
        <r>
          <rPr>
            <b/>
            <sz val="9"/>
            <color indexed="81"/>
            <rFont val="細明體"/>
            <family val="3"/>
            <charset val="136"/>
          </rPr>
          <t>台銀信義</t>
        </r>
      </text>
    </comment>
    <comment ref="D336" authorId="0">
      <text>
        <r>
          <rPr>
            <b/>
            <sz val="9"/>
            <color indexed="81"/>
            <rFont val="Tahoma"/>
            <family val="2"/>
          </rPr>
          <t>$10906 + $20374</t>
        </r>
      </text>
    </comment>
    <comment ref="D341" authorId="0">
      <text>
        <r>
          <rPr>
            <b/>
            <sz val="9"/>
            <color indexed="81"/>
            <rFont val="細明體"/>
            <family val="3"/>
            <charset val="136"/>
          </rPr>
          <t>$1280 + $50 (華算信義</t>
        </r>
        <r>
          <rPr>
            <b/>
            <sz val="9"/>
            <color indexed="81"/>
            <rFont val="Tahoma"/>
            <family val="2"/>
          </rPr>
          <t xml:space="preserve"> $13230 + ADA $50)</t>
        </r>
      </text>
    </comment>
  </commentList>
</comments>
</file>

<file path=xl/comments9.xml><?xml version="1.0" encoding="utf-8"?>
<comments xmlns="http://schemas.openxmlformats.org/spreadsheetml/2006/main">
  <authors>
    <author>Administrator</author>
    <author>win764</author>
  </authors>
  <commentList>
    <comment ref="H2258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259" authorId="0">
      <text>
        <r>
          <rPr>
            <b/>
            <sz val="9"/>
            <color indexed="81"/>
            <rFont val="Tahoma"/>
            <family val="2"/>
          </rPr>
          <t>$14606</t>
        </r>
        <r>
          <rPr>
            <b/>
            <sz val="9"/>
            <color indexed="81"/>
            <rFont val="細明體"/>
            <family val="3"/>
            <charset val="136"/>
          </rPr>
          <t>扣除</t>
        </r>
        <r>
          <rPr>
            <b/>
            <sz val="9"/>
            <color indexed="81"/>
            <rFont val="Tahoma"/>
            <family val="2"/>
          </rPr>
          <t>$60</t>
        </r>
        <r>
          <rPr>
            <b/>
            <sz val="9"/>
            <color indexed="81"/>
            <rFont val="細明體"/>
            <family val="3"/>
            <charset val="136"/>
          </rPr>
          <t>匯費</t>
        </r>
      </text>
    </comment>
    <comment ref="H2342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57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72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431" authorId="0">
      <text>
        <r>
          <rPr>
            <b/>
            <sz val="9"/>
            <color indexed="81"/>
            <rFont val="細明體"/>
            <family val="3"/>
            <charset val="136"/>
          </rPr>
          <t>依德財務軟體 $63000
鎔德財務軟體 $63000
依德業務軟體 $42000
鎔德業務軟體 $42000</t>
        </r>
      </text>
    </comment>
    <comment ref="H2704" authorId="0">
      <text>
        <r>
          <rPr>
            <b/>
            <sz val="9"/>
            <color indexed="81"/>
            <rFont val="細明體"/>
            <family val="3"/>
            <charset val="136"/>
          </rPr>
          <t>阿明還陳 $158000</t>
        </r>
      </text>
    </comment>
    <comment ref="C2941" authorId="1">
      <text>
        <r>
          <rPr>
            <b/>
            <sz val="9"/>
            <color indexed="81"/>
            <rFont val="細明體"/>
            <family val="3"/>
            <charset val="136"/>
          </rPr>
          <t>信義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華算</t>
        </r>
        <r>
          <rPr>
            <b/>
            <sz val="9"/>
            <color indexed="81"/>
            <rFont val="Tahoma"/>
            <family val="2"/>
          </rPr>
          <t xml:space="preserve"> $39517 (105/12 </t>
        </r>
        <r>
          <rPr>
            <b/>
            <sz val="9"/>
            <color indexed="81"/>
            <rFont val="細明體"/>
            <family val="3"/>
            <charset val="136"/>
          </rPr>
          <t>中信</t>
        </r>
        <r>
          <rPr>
            <b/>
            <sz val="9"/>
            <color indexed="81"/>
            <rFont val="Tahoma"/>
            <family val="2"/>
          </rPr>
          <t xml:space="preserve"> $9821, 105/12 </t>
        </r>
        <r>
          <rPr>
            <b/>
            <sz val="9"/>
            <color indexed="81"/>
            <rFont val="細明體"/>
            <family val="3"/>
            <charset val="136"/>
          </rPr>
          <t>玉山</t>
        </r>
        <r>
          <rPr>
            <b/>
            <sz val="9"/>
            <color indexed="81"/>
            <rFont val="Tahoma"/>
            <family val="2"/>
          </rPr>
          <t xml:space="preserve"> $20696, </t>
        </r>
        <r>
          <rPr>
            <b/>
            <sz val="9"/>
            <color indexed="81"/>
            <rFont val="細明體"/>
            <family val="3"/>
            <charset val="136"/>
          </rPr>
          <t>達薪</t>
        </r>
        <r>
          <rPr>
            <b/>
            <sz val="9"/>
            <color indexed="81"/>
            <rFont val="Tahoma"/>
            <family val="2"/>
          </rPr>
          <t>$9000)</t>
        </r>
      </text>
    </comment>
  </commentList>
</comments>
</file>

<file path=xl/sharedStrings.xml><?xml version="1.0" encoding="utf-8"?>
<sst xmlns="http://schemas.openxmlformats.org/spreadsheetml/2006/main" count="65468" uniqueCount="19214">
  <si>
    <t>94年華算進貨明細</t>
  </si>
  <si>
    <t>HDD</t>
  </si>
  <si>
    <t>品固</t>
  </si>
  <si>
    <t>辰宇</t>
  </si>
  <si>
    <t>進貨折讓 ev27480739</t>
  </si>
  <si>
    <t>已扣</t>
  </si>
  <si>
    <t>53 改 63</t>
  </si>
  <si>
    <t>大成</t>
  </si>
  <si>
    <t>元超</t>
  </si>
  <si>
    <t>台一</t>
  </si>
  <si>
    <t>太陽SC7713686-7</t>
  </si>
  <si>
    <t>佳尼特IC9548061-4</t>
  </si>
  <si>
    <t>佳尼特IC9548062-5</t>
  </si>
  <si>
    <t>佳尼特IC9548063-6</t>
  </si>
  <si>
    <t>佳尼特IC9548064-7</t>
  </si>
  <si>
    <t>佳尼特IC9548065-8</t>
  </si>
  <si>
    <t>東電CR6791300-7</t>
  </si>
  <si>
    <t>松星SC7864302-2</t>
  </si>
  <si>
    <t>股東往來</t>
  </si>
  <si>
    <t>月份</t>
  </si>
  <si>
    <t>姓名</t>
  </si>
  <si>
    <t>蔡定達</t>
  </si>
  <si>
    <t>扣勞保</t>
  </si>
  <si>
    <t>扣健保</t>
  </si>
  <si>
    <t>張證凱</t>
  </si>
  <si>
    <t>扣其他</t>
  </si>
  <si>
    <t>道法MC0780491-5</t>
  </si>
  <si>
    <t>道法MC0780492-6</t>
  </si>
  <si>
    <t>道法MC0780493-7</t>
  </si>
  <si>
    <t>道法MC0780494-8</t>
  </si>
  <si>
    <t>達翌BA4235865-2</t>
  </si>
  <si>
    <t>達翌BA4235866-3</t>
  </si>
  <si>
    <t>達翌BA4235867-4</t>
  </si>
  <si>
    <t>達翌BA4235868-5</t>
  </si>
  <si>
    <t>達翌BA4235869-6</t>
  </si>
  <si>
    <t>達翌BA4235870-7</t>
  </si>
  <si>
    <t>達翌BA4235871-8</t>
  </si>
  <si>
    <t>漢聯AL5918346-2</t>
  </si>
  <si>
    <t>漢聯AL5918347-3</t>
  </si>
  <si>
    <t>漢聯AL5918348-4</t>
  </si>
  <si>
    <t>漢聯AL5918349-5</t>
  </si>
  <si>
    <t>漢聯AL5918350-6</t>
  </si>
  <si>
    <t>漢聯AL5918351-7</t>
  </si>
  <si>
    <t>漢聯AL5918352-8</t>
  </si>
  <si>
    <t>廣豪BC4853218-3</t>
  </si>
  <si>
    <t>廣豪BC4853219-4</t>
  </si>
  <si>
    <t>廣豪BC4853220-5</t>
  </si>
  <si>
    <t>廣豪BC4853221-6</t>
  </si>
  <si>
    <t>廣豪BC4853222-7</t>
  </si>
  <si>
    <t>廣豪BC4853223-8</t>
  </si>
  <si>
    <t>廣龍AC7942384-4</t>
  </si>
  <si>
    <t>廣龍AC7942385-5</t>
  </si>
  <si>
    <t>廣龍AC7942386-6</t>
  </si>
  <si>
    <t>廣龍AC7942387-7</t>
  </si>
  <si>
    <t>廣龍AC7942388-8</t>
  </si>
  <si>
    <t>鴻碩HS0128415-2</t>
  </si>
  <si>
    <t>鴻碩HS0128416-3</t>
  </si>
  <si>
    <t>鴻碩HS0128417-4</t>
  </si>
  <si>
    <t>鴻碩HS0128418-5</t>
  </si>
  <si>
    <t>鴻碩HS0128419-6</t>
  </si>
  <si>
    <t>鴻碩HS0128420-7</t>
  </si>
  <si>
    <t>鴻碩HS0128421-8</t>
  </si>
  <si>
    <t>1123.100應收帳款</t>
    <phoneticPr fontId="3" type="noConversion"/>
  </si>
  <si>
    <t>同皇WU26218606-6</t>
    <phoneticPr fontId="3" type="noConversion"/>
  </si>
  <si>
    <t>尚肯WU26218613-7</t>
  </si>
  <si>
    <t>施舒雅WU26218607-8</t>
  </si>
  <si>
    <t>新豐UU26312408-8</t>
    <phoneticPr fontId="3" type="noConversion"/>
  </si>
  <si>
    <t>達翌WU26218612-8</t>
  </si>
  <si>
    <t>BA1252523</t>
  </si>
  <si>
    <t>BA1252521</t>
  </si>
  <si>
    <t>BA1252522</t>
  </si>
  <si>
    <t>MC0880620</t>
  </si>
  <si>
    <t>MC0880621</t>
  </si>
  <si>
    <t>MC0880622</t>
  </si>
  <si>
    <t>MC0880623</t>
  </si>
  <si>
    <t>MC0880624</t>
  </si>
  <si>
    <t>MC0880625</t>
  </si>
  <si>
    <t>MC0880626</t>
  </si>
  <si>
    <t>GD2901102</t>
  </si>
  <si>
    <t>GD2901103</t>
  </si>
  <si>
    <t>GD2901104</t>
  </si>
  <si>
    <t>GD2901105</t>
  </si>
  <si>
    <t>GD2901106</t>
  </si>
  <si>
    <t>GD2901107</t>
  </si>
  <si>
    <t>GD2901108</t>
  </si>
  <si>
    <t>HN1460986</t>
  </si>
  <si>
    <t>HN1460987</t>
  </si>
  <si>
    <t>HN1460988</t>
  </si>
  <si>
    <t>HN1460989</t>
  </si>
  <si>
    <t>HN1460990</t>
  </si>
  <si>
    <t>HN1460991</t>
  </si>
  <si>
    <t>YMA0719683</t>
  </si>
  <si>
    <t>YMA0719684</t>
  </si>
  <si>
    <t>YMA0719685</t>
  </si>
  <si>
    <t>YMA0719686</t>
  </si>
  <si>
    <t>YMA0719687</t>
  </si>
  <si>
    <t>YMA0719688</t>
  </si>
  <si>
    <t>YMA0719689</t>
  </si>
  <si>
    <t>AA3930670</t>
  </si>
  <si>
    <t>AA3930671</t>
  </si>
  <si>
    <t>AA3930672</t>
  </si>
  <si>
    <t>AA3930673</t>
  </si>
  <si>
    <t>AA3930674</t>
  </si>
  <si>
    <t>AA3930675</t>
  </si>
  <si>
    <t>AA3930676</t>
  </si>
  <si>
    <t>BH0395872</t>
  </si>
  <si>
    <t>BH0395873</t>
  </si>
  <si>
    <t>BH0399277</t>
  </si>
  <si>
    <t>BH0399278</t>
  </si>
  <si>
    <t>BH0399279</t>
  </si>
  <si>
    <t>BH0399280</t>
  </si>
  <si>
    <t>HS0308900</t>
  </si>
  <si>
    <t>HS0308901</t>
  </si>
  <si>
    <t>HS0308902</t>
  </si>
  <si>
    <t>HS0308903</t>
  </si>
  <si>
    <t>HS0308904</t>
  </si>
  <si>
    <t>HS0308905</t>
  </si>
  <si>
    <t>HS0308906</t>
  </si>
  <si>
    <t>HD7398987</t>
  </si>
  <si>
    <t>HD7398988</t>
  </si>
  <si>
    <t>HD7398989</t>
  </si>
  <si>
    <t>HD7398990</t>
  </si>
  <si>
    <t>HD7398991</t>
  </si>
  <si>
    <t>HD7398992</t>
  </si>
  <si>
    <t>AF8591874</t>
  </si>
  <si>
    <t>AF8591875</t>
  </si>
  <si>
    <t>AF8591876</t>
  </si>
  <si>
    <t>AF8591877</t>
  </si>
  <si>
    <t>AF8591878</t>
  </si>
  <si>
    <t>AF8591879</t>
  </si>
  <si>
    <t>AF8591880</t>
  </si>
  <si>
    <t>HD1686074</t>
  </si>
  <si>
    <t>HD1686075</t>
  </si>
  <si>
    <t>HD1686076</t>
  </si>
  <si>
    <t>UW1463273</t>
  </si>
  <si>
    <t>UW1463274</t>
  </si>
  <si>
    <t>UW1463275</t>
  </si>
  <si>
    <t>UW1463276</t>
  </si>
  <si>
    <t>UW1463277</t>
  </si>
  <si>
    <t>UW1463278</t>
  </si>
  <si>
    <t>UW1463279</t>
  </si>
  <si>
    <t>HD7630005</t>
  </si>
  <si>
    <t>HD7630006</t>
  </si>
  <si>
    <t>HD7630007</t>
  </si>
  <si>
    <t>HD7630010</t>
  </si>
  <si>
    <t>HD7630013</t>
  </si>
  <si>
    <t>HN1445297</t>
  </si>
  <si>
    <t>HN1445298</t>
  </si>
  <si>
    <t>HN1445299</t>
  </si>
  <si>
    <t>HN1445300</t>
  </si>
  <si>
    <t>HN1428002</t>
  </si>
  <si>
    <t>HN1428003</t>
  </si>
  <si>
    <t>HN1428004</t>
  </si>
  <si>
    <t>HN1428005</t>
  </si>
  <si>
    <t>HN1428006</t>
  </si>
  <si>
    <t>HN1428007</t>
  </si>
  <si>
    <t>EA2280329</t>
  </si>
  <si>
    <t>EA2280330</t>
  </si>
  <si>
    <t>EA2280331</t>
  </si>
  <si>
    <t>EA2280332</t>
  </si>
  <si>
    <t>EA2280333</t>
  </si>
  <si>
    <t>EA2280334</t>
  </si>
  <si>
    <t>EA2280335</t>
  </si>
  <si>
    <t>FS0008978</t>
  </si>
  <si>
    <t>FS0008979</t>
  </si>
  <si>
    <t>FS0008980</t>
  </si>
  <si>
    <t>FS0008981</t>
  </si>
  <si>
    <t>FS0008982</t>
  </si>
  <si>
    <t>FS0008983</t>
  </si>
  <si>
    <t>FS0008984</t>
  </si>
  <si>
    <t>HD6172045</t>
  </si>
  <si>
    <t>HD6172046</t>
  </si>
  <si>
    <t>HD6172047</t>
  </si>
  <si>
    <t>HD6172048</t>
  </si>
  <si>
    <t>HD6172049</t>
  </si>
  <si>
    <t>HD6172050</t>
  </si>
  <si>
    <t>HD6172051</t>
  </si>
  <si>
    <t>YU04524501</t>
  </si>
  <si>
    <t>YU04524502</t>
  </si>
  <si>
    <t>YU04524503</t>
  </si>
  <si>
    <t>AH04509351</t>
  </si>
  <si>
    <t>AH04509352</t>
  </si>
  <si>
    <t>AH04509353</t>
  </si>
  <si>
    <t>AH04509354</t>
  </si>
  <si>
    <t>AH04509355</t>
  </si>
  <si>
    <t>AH04509356</t>
  </si>
  <si>
    <t>AH04509357</t>
  </si>
  <si>
    <t>AH04509358</t>
  </si>
  <si>
    <t>AH04509359</t>
  </si>
  <si>
    <t>BW04524601</t>
  </si>
  <si>
    <t>BW04524602</t>
  </si>
  <si>
    <t>BW04524603</t>
  </si>
  <si>
    <t>BW04524604</t>
  </si>
  <si>
    <t>BW04524605</t>
  </si>
  <si>
    <t>BW04524606</t>
  </si>
  <si>
    <t>BW04524607</t>
  </si>
  <si>
    <t>BW04524608</t>
  </si>
  <si>
    <t>BW04524609</t>
  </si>
  <si>
    <t>BW04524610</t>
  </si>
  <si>
    <t>DK04476401</t>
  </si>
  <si>
    <t>DK04476402</t>
  </si>
  <si>
    <t>DK04476403</t>
  </si>
  <si>
    <t>DK04476404</t>
  </si>
  <si>
    <t>DK04476405</t>
  </si>
  <si>
    <t>DK04476406</t>
  </si>
  <si>
    <t>DK04476407</t>
  </si>
  <si>
    <t>EY04521001</t>
  </si>
  <si>
    <t>EY04521002</t>
  </si>
  <si>
    <t>EY04521003</t>
  </si>
  <si>
    <t>EY04521004</t>
  </si>
  <si>
    <t>EY04521005</t>
  </si>
  <si>
    <t>EY04521006</t>
  </si>
  <si>
    <t>EY04521007</t>
  </si>
  <si>
    <t>GM26847001</t>
  </si>
  <si>
    <t>GM26847002</t>
  </si>
  <si>
    <t>GM26847003</t>
  </si>
  <si>
    <t>一路發BS007736-24/7</t>
  </si>
  <si>
    <t>一路發BS007737-24/8</t>
  </si>
  <si>
    <t>一路發BS8007732-24/3</t>
  </si>
  <si>
    <t>八亨BR5440037-保</t>
  </si>
  <si>
    <t>八亨BR5440038-保</t>
  </si>
  <si>
    <t>又禾興CP6587089-24/7</t>
  </si>
  <si>
    <t>又禾興CP6587090-24/8</t>
  </si>
  <si>
    <t>凡球AQ0226078-24/8</t>
  </si>
  <si>
    <t>元超VB0214947-7</t>
  </si>
  <si>
    <t>元超VB0214948-8</t>
  </si>
  <si>
    <t>甲品HTA0295547-24/6</t>
  </si>
  <si>
    <t>甲品HTA0295548-24/7</t>
  </si>
  <si>
    <t>甲品HTA0295549-24/8</t>
  </si>
  <si>
    <t>同樂CF1835978-24/8</t>
  </si>
  <si>
    <t>合碩JC5237616-24/8</t>
  </si>
  <si>
    <t>西拓TB4844650-24/3</t>
  </si>
  <si>
    <t>西拓TB4844651-24/4</t>
  </si>
  <si>
    <t>佳錄FAZ3358209-7</t>
  </si>
  <si>
    <t>佳錄FAZ3358210-8</t>
  </si>
  <si>
    <t>協億通CN3311099-8</t>
  </si>
  <si>
    <t>和昌PC9330296-6</t>
  </si>
  <si>
    <t>和昌PC9330297-7</t>
  </si>
  <si>
    <t>和昌PC9330298-8</t>
  </si>
  <si>
    <t>帕斯卡EA1134998-24/7</t>
  </si>
  <si>
    <t>帕斯卡EA1134999-24/8</t>
  </si>
  <si>
    <t>日期</t>
  </si>
  <si>
    <t xml:space="preserve">    應收帳款</t>
  </si>
  <si>
    <t xml:space="preserve">    應收票據</t>
  </si>
  <si>
    <t xml:space="preserve">    銷項稅額</t>
  </si>
  <si>
    <t>台銀信義</t>
  </si>
  <si>
    <t>台灣銀行#27487</t>
  </si>
  <si>
    <t>台灣銀行#48802</t>
  </si>
  <si>
    <t>台銀城中</t>
  </si>
  <si>
    <t xml:space="preserve">    台灣銀行#48802</t>
  </si>
  <si>
    <r>
      <t>臺灣銀行</t>
    </r>
    <r>
      <rPr>
        <sz val="12"/>
        <rFont val="Times New Roman"/>
        <family val="1"/>
      </rPr>
      <t>#27487</t>
    </r>
  </si>
  <si>
    <t xml:space="preserve">    台灣銀行#27487</t>
  </si>
  <si>
    <t>2011年華算進貨明細</t>
  </si>
  <si>
    <t>VIDEO</t>
  </si>
  <si>
    <t>2012.01.12存票</t>
  </si>
  <si>
    <t>麥德士</t>
  </si>
  <si>
    <t>2010年收票</t>
  </si>
  <si>
    <t>健保費-9611</t>
  </si>
  <si>
    <t>健保費-9612</t>
  </si>
  <si>
    <t>勞保費-9611</t>
  </si>
  <si>
    <t>勞保費-9612</t>
  </si>
  <si>
    <t>薪資-9612</t>
  </si>
  <si>
    <t>96121303 零佣金</t>
    <phoneticPr fontId="3" type="noConversion"/>
  </si>
  <si>
    <t>饒大偉</t>
  </si>
  <si>
    <t>雙安</t>
  </si>
  <si>
    <t>票號</t>
  </si>
  <si>
    <t xml:space="preserve"> 達算DU25369854       </t>
  </si>
  <si>
    <t xml:space="preserve"> 友士JU22478455-7     </t>
  </si>
  <si>
    <t xml:space="preserve"> 同皇JU22478454-6     </t>
  </si>
  <si>
    <t xml:space="preserve"> 大阪京FU25129900     </t>
  </si>
  <si>
    <t xml:space="preserve"> 展鑫發票稅金</t>
  </si>
  <si>
    <t xml:space="preserve"> 崴凌JU22478458-1-8   </t>
  </si>
  <si>
    <t xml:space="preserve"> 華達-英屬維京 </t>
  </si>
  <si>
    <t>(-)</t>
    <phoneticPr fontId="3" type="noConversion"/>
  </si>
  <si>
    <t>台數</t>
    <phoneticPr fontId="3" type="noConversion"/>
  </si>
  <si>
    <t>月台數</t>
    <phoneticPr fontId="3" type="noConversion"/>
  </si>
  <si>
    <t>金額</t>
    <phoneticPr fontId="3" type="noConversion"/>
  </si>
  <si>
    <t>+</t>
    <phoneticPr fontId="3" type="noConversion"/>
  </si>
  <si>
    <r>
      <t>平均</t>
    </r>
    <r>
      <rPr>
        <sz val="12"/>
        <rFont val="Times New Roman"/>
        <family val="1"/>
      </rPr>
      <t>$/</t>
    </r>
    <r>
      <rPr>
        <sz val="12"/>
        <rFont val="新細明體"/>
        <family val="1"/>
        <charset val="136"/>
      </rPr>
      <t>月台</t>
    </r>
    <phoneticPr fontId="3" type="noConversion"/>
  </si>
  <si>
    <t>平均</t>
    <phoneticPr fontId="3" type="noConversion"/>
  </si>
  <si>
    <t>日期</t>
  </si>
  <si>
    <t>廠商</t>
  </si>
  <si>
    <t>CPU</t>
  </si>
  <si>
    <t>RAM</t>
  </si>
  <si>
    <t>HD</t>
  </si>
  <si>
    <t>矽華</t>
  </si>
  <si>
    <t>益衡</t>
  </si>
  <si>
    <t>MB</t>
    <phoneticPr fontId="8" type="noConversion"/>
  </si>
  <si>
    <t>lan</t>
    <phoneticPr fontId="8" type="noConversion"/>
  </si>
  <si>
    <t>鐵件</t>
    <phoneticPr fontId="8" type="noConversion"/>
  </si>
  <si>
    <t>開關</t>
    <phoneticPr fontId="8" type="noConversion"/>
  </si>
  <si>
    <t>電源</t>
    <phoneticPr fontId="8" type="noConversion"/>
  </si>
  <si>
    <t>鐵筒</t>
    <phoneticPr fontId="8" type="noConversion"/>
  </si>
  <si>
    <t>小風扇</t>
    <phoneticPr fontId="8" type="noConversion"/>
  </si>
  <si>
    <t>壓克力</t>
    <phoneticPr fontId="8" type="noConversion"/>
  </si>
  <si>
    <t>進貨</t>
    <phoneticPr fontId="8" type="noConversion"/>
  </si>
  <si>
    <t>風口</t>
    <phoneticPr fontId="8" type="noConversion"/>
  </si>
  <si>
    <r>
      <t>pw</t>
    </r>
    <r>
      <rPr>
        <sz val="12"/>
        <rFont val="細明體"/>
        <family val="3"/>
        <charset val="136"/>
      </rPr>
      <t>架</t>
    </r>
    <phoneticPr fontId="8" type="noConversion"/>
  </si>
  <si>
    <t>展碁</t>
  </si>
  <si>
    <t>支出明細</t>
  </si>
  <si>
    <t>存入細項說明</t>
  </si>
  <si>
    <t>宇法健保-饒-9407</t>
  </si>
  <si>
    <t>宇法健保-饒-9408</t>
  </si>
  <si>
    <t>宇法健保-饒-9409</t>
  </si>
  <si>
    <t>宇法健保-饒-9410</t>
  </si>
  <si>
    <t>1149.200暫付款-捐</t>
  </si>
  <si>
    <t>1149.300暫付款-未</t>
  </si>
  <si>
    <t>1149.400暫付款-李</t>
  </si>
  <si>
    <t>代墊勞保費-9401</t>
  </si>
  <si>
    <t>代墊健保費-9401</t>
  </si>
  <si>
    <t>代墊勞保費-9402</t>
  </si>
  <si>
    <t>代墊健保費-9402</t>
  </si>
  <si>
    <t>代墊勞保費-9403</t>
  </si>
  <si>
    <t>代墊健保費-9403</t>
  </si>
  <si>
    <t>代墊勞保費-9404</t>
  </si>
  <si>
    <t>代墊健保費-9404</t>
  </si>
  <si>
    <t xml:space="preserve">達算DU25369854       </t>
  </si>
  <si>
    <t>折讓-20100514</t>
  </si>
  <si>
    <r>
      <t>呆帳</t>
    </r>
    <r>
      <rPr>
        <sz val="12"/>
        <color indexed="53"/>
        <rFont val="新細明體"/>
        <family val="1"/>
        <charset val="136"/>
      </rPr>
      <t>-&gt;99年轉股往</t>
    </r>
  </si>
  <si>
    <r>
      <t>匯費-$60-$30</t>
    </r>
    <r>
      <rPr>
        <sz val="12"/>
        <color indexed="53"/>
        <rFont val="新細明體"/>
        <family val="1"/>
        <charset val="136"/>
      </rPr>
      <t>-&gt;99年轉股往</t>
    </r>
  </si>
  <si>
    <r>
      <t>差$30</t>
    </r>
    <r>
      <rPr>
        <sz val="12"/>
        <color indexed="53"/>
        <rFont val="新細明體"/>
        <family val="1"/>
        <charset val="136"/>
      </rPr>
      <t>-&gt;99年轉股往</t>
    </r>
  </si>
  <si>
    <t>股往暫轉定存</t>
  </si>
  <si>
    <t>代墊勞保費-9405</t>
  </si>
  <si>
    <t>代墊健保費-9405</t>
  </si>
  <si>
    <t>代墊勞保費-9406</t>
  </si>
  <si>
    <t>代墊健保費-9406</t>
  </si>
  <si>
    <t>代墊勞保費-9407</t>
  </si>
  <si>
    <t>代墊健保費-9407</t>
  </si>
  <si>
    <t>代墊勞保費-9408</t>
  </si>
  <si>
    <t>代墊健保費-9408</t>
  </si>
  <si>
    <t>代墊勞保費-9409</t>
  </si>
  <si>
    <t>代墊健保費-9409</t>
  </si>
  <si>
    <t>代墊勞保費-9410</t>
  </si>
  <si>
    <t>代墊健保費-員工-9410</t>
  </si>
  <si>
    <r>
      <t>2195.300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其他</t>
    </r>
  </si>
  <si>
    <r>
      <t>2195.600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代墊勞保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李</t>
    </r>
  </si>
  <si>
    <r>
      <t>2195.700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代墊勞保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李</t>
    </r>
  </si>
  <si>
    <t xml:space="preserve">    服務收入</t>
  </si>
  <si>
    <t>94年華算主機-殘值</t>
  </si>
  <si>
    <t>97年華算主機-期初</t>
  </si>
  <si>
    <t>97年華算主機-新組裝</t>
  </si>
  <si>
    <t>97年華算主機-折舊</t>
  </si>
  <si>
    <t>97年華算主機-殘值</t>
  </si>
  <si>
    <t>97/12/31庫存帳</t>
  </si>
  <si>
    <t>97年華算進貨明細</t>
  </si>
  <si>
    <t>97年科目明細</t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</si>
  <si>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綜</t>
    </r>
    <r>
      <rPr>
        <sz val="12"/>
        <rFont val="Times New Roman"/>
        <family val="1"/>
      </rPr>
      <t>)#0352</t>
    </r>
  </si>
  <si>
    <r>
      <t>臺灣銀行</t>
    </r>
    <r>
      <rPr>
        <sz val="12"/>
        <rFont val="Times New Roman"/>
        <family val="1"/>
      </rPr>
      <t>#127487</t>
    </r>
  </si>
  <si>
    <t>1121.100應收票據</t>
  </si>
  <si>
    <t>八亨ZT7714791-4</t>
  </si>
  <si>
    <t>八亨ZT7714792-5</t>
  </si>
  <si>
    <t>八亨ZT7714793-6</t>
  </si>
  <si>
    <t>八亨ZT7714794-7</t>
  </si>
  <si>
    <t>八亨ZT7714795-8</t>
  </si>
  <si>
    <t>大成AD9924018-2</t>
  </si>
  <si>
    <t>大成AD9924019-3</t>
  </si>
  <si>
    <t>大成AD9924020-4</t>
  </si>
  <si>
    <t>大成AD9924021-5</t>
  </si>
  <si>
    <t>大成AD9924022-6</t>
  </si>
  <si>
    <t>大成AD9924023-7</t>
  </si>
  <si>
    <t>大成AD9924024-8</t>
  </si>
  <si>
    <t>大阪京AE2760133-3</t>
  </si>
  <si>
    <t>大阪京AE2760134-4</t>
  </si>
  <si>
    <t>大阪京AE2760135-5</t>
  </si>
  <si>
    <t>大阪京AE2760136-6</t>
  </si>
  <si>
    <t>大阪京AE2760137-7</t>
  </si>
  <si>
    <t>大阪京AE2760138-8</t>
  </si>
  <si>
    <t>大碩KLB1053845-4</t>
  </si>
  <si>
    <t>大碩KLB1053846-5</t>
  </si>
  <si>
    <t>大碩KLB1053847-6</t>
  </si>
  <si>
    <t>大碩KLB1053848-7</t>
  </si>
  <si>
    <t>大碩KLB1053849-8</t>
  </si>
  <si>
    <t>元超AA1493212-1</t>
  </si>
  <si>
    <t>元超AA1493213-2</t>
  </si>
  <si>
    <t>元超AA1493214-3</t>
  </si>
  <si>
    <t>元超AA1493215-4</t>
  </si>
  <si>
    <t>元超AA1493216-5</t>
  </si>
  <si>
    <t>元超AA1493217-6</t>
  </si>
  <si>
    <t>元超AA1493218-7</t>
  </si>
  <si>
    <t>元超AA1493219-8</t>
  </si>
  <si>
    <t>太暘XC2515134-5</t>
  </si>
  <si>
    <t>太暘XC2515135-6</t>
  </si>
  <si>
    <t>太暘XC2515136-7</t>
  </si>
  <si>
    <t>太暘XC2515137-8</t>
  </si>
  <si>
    <t>戈采EA3571561-4</t>
  </si>
  <si>
    <t>戈采EA3571562-5</t>
  </si>
  <si>
    <t>戈采EA3571563-6</t>
  </si>
  <si>
    <t>戈采EA3571564-7</t>
  </si>
  <si>
    <t>戈采EA3571565-8</t>
  </si>
  <si>
    <t>永馳RC5841292-3</t>
  </si>
  <si>
    <t>永馳RC5841293-4</t>
  </si>
  <si>
    <t>永馳RC5841294-5</t>
  </si>
  <si>
    <t>永馳RC5841295-6</t>
  </si>
  <si>
    <t>永馳RC5841296-7</t>
  </si>
  <si>
    <t>永馳RC5841297-8</t>
  </si>
  <si>
    <t>甲品HTA0396896-2</t>
  </si>
  <si>
    <t>甲品HTA0396897-3</t>
  </si>
  <si>
    <t>甲品HTA0396898-4</t>
  </si>
  <si>
    <t>甲品HTA0396899-5</t>
  </si>
  <si>
    <t>甲品HTA0396900-6</t>
  </si>
  <si>
    <t>甲品HTA0396901-7</t>
  </si>
  <si>
    <t>甲品HTA0396902-8</t>
  </si>
  <si>
    <t>立昇ZA0024498-4</t>
  </si>
  <si>
    <t>吉而耐VB8512868-5</t>
  </si>
  <si>
    <t>合碩BN6887022-2</t>
  </si>
  <si>
    <t>合碩BN6887023-3</t>
  </si>
  <si>
    <t>合碩BN6887024-4</t>
  </si>
  <si>
    <t>合碩BN6887025-5</t>
  </si>
  <si>
    <t>合碩BN6887026-6</t>
  </si>
  <si>
    <t>合碩BN6887027-7</t>
  </si>
  <si>
    <t>合碩BN6887028-8</t>
  </si>
  <si>
    <t>邁拓WU26218616-24</t>
  </si>
  <si>
    <t>租金-達算</t>
  </si>
  <si>
    <t>2123.100應付費用</t>
    <phoneticPr fontId="3" type="noConversion"/>
  </si>
  <si>
    <t>2011.01.21</t>
  </si>
  <si>
    <t>2011.11.29</t>
  </si>
  <si>
    <t>2011.01.24</t>
  </si>
  <si>
    <t>2011.01.28</t>
  </si>
  <si>
    <t>2011.02.10</t>
  </si>
  <si>
    <t>2011.02.15</t>
  </si>
  <si>
    <t>2011.02.22</t>
  </si>
  <si>
    <t>2011.03.15</t>
  </si>
  <si>
    <t>2011.03.16</t>
  </si>
  <si>
    <t xml:space="preserve">    預收貨款</t>
  </si>
  <si>
    <t>每台殘值</t>
  </si>
  <si>
    <t>每台殘月</t>
  </si>
  <si>
    <t>勞保1-12</t>
  </si>
  <si>
    <t>健保1-12</t>
  </si>
  <si>
    <t>薪資-9812</t>
  </si>
  <si>
    <t>勞退費-9812</t>
  </si>
  <si>
    <t>勞保費-9812</t>
  </si>
  <si>
    <t>勞保費-9811</t>
  </si>
  <si>
    <t>健保費-9812</t>
  </si>
  <si>
    <t>健保費-9811</t>
  </si>
  <si>
    <t>勞退費-9811</t>
  </si>
  <si>
    <t>勞退費-9810</t>
  </si>
  <si>
    <t>kv</t>
  </si>
  <si>
    <t>勞退1-12</t>
  </si>
  <si>
    <t>薪資1-12</t>
  </si>
  <si>
    <t>98年華算主機-期初</t>
  </si>
  <si>
    <t>2011.05.29</t>
  </si>
  <si>
    <t>2011.08.29</t>
  </si>
  <si>
    <t>2012.02.29</t>
  </si>
  <si>
    <t>2012.05.29</t>
  </si>
  <si>
    <t>2012.08.29</t>
  </si>
  <si>
    <t>2013.02.28</t>
  </si>
  <si>
    <t>2011.05.16</t>
  </si>
  <si>
    <t>永馳</t>
    <phoneticPr fontId="3" type="noConversion"/>
  </si>
  <si>
    <t>2011.06.15</t>
  </si>
  <si>
    <t>2011.06.23</t>
  </si>
  <si>
    <t>2011.07.06</t>
  </si>
  <si>
    <t>宇權</t>
    <phoneticPr fontId="3" type="noConversion"/>
  </si>
  <si>
    <t>2011.07.12</t>
  </si>
  <si>
    <t>2011.07.18</t>
  </si>
  <si>
    <t>2011.07.22</t>
  </si>
  <si>
    <t>2011.08.10</t>
  </si>
  <si>
    <t>施舒雅</t>
    <phoneticPr fontId="3" type="noConversion"/>
  </si>
  <si>
    <t>2011.09.16</t>
  </si>
  <si>
    <t>2012.11.28</t>
  </si>
  <si>
    <t>2012.11.30</t>
  </si>
  <si>
    <t>2012.12.10</t>
  </si>
  <si>
    <t>2012.12.21</t>
  </si>
  <si>
    <t>2013.01.25</t>
  </si>
  <si>
    <t>零用金</t>
    <phoneticPr fontId="3" type="noConversion"/>
  </si>
  <si>
    <t>轉帳零用金</t>
    <phoneticPr fontId="3" type="noConversion"/>
  </si>
  <si>
    <t>股東往來</t>
    <phoneticPr fontId="3" type="noConversion"/>
  </si>
  <si>
    <t>98123108</t>
    <phoneticPr fontId="3" type="noConversion"/>
  </si>
  <si>
    <t>依德 3x20475</t>
    <phoneticPr fontId="3" type="noConversion"/>
  </si>
  <si>
    <t>鎔德 3x20475</t>
    <phoneticPr fontId="3" type="noConversion"/>
  </si>
  <si>
    <t>2013.02.25</t>
  </si>
  <si>
    <t>2013.02.26</t>
  </si>
  <si>
    <t>2013.03.05</t>
  </si>
  <si>
    <t>2013.03.08</t>
  </si>
  <si>
    <t>2013.03.27</t>
  </si>
  <si>
    <t>摘要</t>
  </si>
  <si>
    <t>支出</t>
  </si>
  <si>
    <t>結存</t>
  </si>
  <si>
    <t>算計</t>
  </si>
  <si>
    <t>核對</t>
  </si>
  <si>
    <t>台銀信義 - (004) 054-001-04880-2</t>
  </si>
  <si>
    <t>支出細項</t>
  </si>
  <si>
    <t>存入細項</t>
  </si>
  <si>
    <t>華算信義</t>
  </si>
  <si>
    <t>達算信義</t>
  </si>
  <si>
    <t>台銀信義 - (004) 054-001-50035-2</t>
  </si>
  <si>
    <t>定存</t>
  </si>
  <si>
    <t>2012.01.13</t>
  </si>
  <si>
    <t>2012.04.25</t>
  </si>
  <si>
    <t>2012.06.27</t>
  </si>
  <si>
    <t>2012.06.28</t>
  </si>
  <si>
    <t>2012.07.05</t>
  </si>
  <si>
    <t>2012.07.06</t>
  </si>
  <si>
    <t>2012.11.02</t>
  </si>
  <si>
    <t>2012.09.14</t>
  </si>
  <si>
    <t>2012.05.30</t>
  </si>
  <si>
    <t>2012.08.06</t>
  </si>
  <si>
    <t>2013.02.22</t>
  </si>
  <si>
    <t>2013.02.23</t>
  </si>
  <si>
    <t>2012.01.18</t>
  </si>
  <si>
    <t>2012.12.28</t>
  </si>
  <si>
    <t>2013.01.02</t>
  </si>
  <si>
    <t>2013.03.28</t>
  </si>
  <si>
    <t>退票</t>
  </si>
  <si>
    <t>拒絕往來未存</t>
  </si>
  <si>
    <t>2013.01.30</t>
  </si>
  <si>
    <t>2013.01.31</t>
  </si>
  <si>
    <t>2013.04.02</t>
  </si>
  <si>
    <t>2013.04.03</t>
  </si>
  <si>
    <t>2013.02.27</t>
  </si>
  <si>
    <t>2012.01.16</t>
  </si>
  <si>
    <t>GD0903606</t>
  </si>
  <si>
    <t>CA8148124</t>
  </si>
  <si>
    <t>HN1460985</t>
  </si>
  <si>
    <t>2012.03.10</t>
  </si>
  <si>
    <t>2012.06.10</t>
  </si>
  <si>
    <t>2012.09.10</t>
  </si>
  <si>
    <t>HN1460992</t>
  </si>
  <si>
    <t>HN1460993</t>
  </si>
  <si>
    <t>2012.11.10</t>
  </si>
  <si>
    <t>HN1460994</t>
  </si>
  <si>
    <t>HN1460995</t>
  </si>
  <si>
    <t>HN1460996</t>
  </si>
  <si>
    <t>2013.02.10</t>
  </si>
  <si>
    <t>2012.03.08</t>
  </si>
  <si>
    <t>CA6374451</t>
  </si>
  <si>
    <t>2012.04.15</t>
  </si>
  <si>
    <t>CA6374452</t>
  </si>
  <si>
    <t>2012.07.15</t>
  </si>
  <si>
    <t>CA6374453</t>
  </si>
  <si>
    <t>2012.10.15</t>
  </si>
  <si>
    <t>CA6374454</t>
  </si>
  <si>
    <t>2013.01.15</t>
  </si>
  <si>
    <t>CA6374455</t>
  </si>
  <si>
    <t>2013.04.15</t>
  </si>
  <si>
    <t>CA6374456</t>
  </si>
  <si>
    <t>2013.07.15</t>
  </si>
  <si>
    <t>CA6374457</t>
  </si>
  <si>
    <t>2013.10.15</t>
  </si>
  <si>
    <t>CA6374458</t>
  </si>
  <si>
    <t>2014.01.15</t>
  </si>
  <si>
    <t>2012.03.15</t>
  </si>
  <si>
    <t>AB4904484</t>
  </si>
  <si>
    <t>AB4904485</t>
  </si>
  <si>
    <t>2012.07.30</t>
  </si>
  <si>
    <t>AB4904486</t>
  </si>
  <si>
    <t>2012.10.30</t>
  </si>
  <si>
    <t>AB4904487</t>
  </si>
  <si>
    <t>AB4904488</t>
  </si>
  <si>
    <t>2013.04.30</t>
  </si>
  <si>
    <t>AB4904489</t>
  </si>
  <si>
    <t>2013.07.30</t>
  </si>
  <si>
    <t>AB4904490</t>
  </si>
  <si>
    <t>2013.10.30</t>
  </si>
  <si>
    <t>AB4904491</t>
  </si>
  <si>
    <t>2014.01.30</t>
  </si>
  <si>
    <t>愛浪I</t>
  </si>
  <si>
    <t>GD2845245</t>
  </si>
  <si>
    <t>GD2845246</t>
  </si>
  <si>
    <t>GD2845247</t>
  </si>
  <si>
    <t>2012.09.25</t>
  </si>
  <si>
    <t>GD2845248</t>
  </si>
  <si>
    <t>2011.02.17</t>
  </si>
  <si>
    <t>2011.05.17</t>
  </si>
  <si>
    <t>2011.08.17</t>
  </si>
  <si>
    <t>2012.02.17</t>
  </si>
  <si>
    <t>2012.05.17</t>
  </si>
  <si>
    <t>2012.08.17</t>
  </si>
  <si>
    <t>2011.01.03</t>
  </si>
  <si>
    <t>2011.01.04</t>
  </si>
  <si>
    <t>2010.12.27</t>
  </si>
  <si>
    <t>2010.12.28</t>
  </si>
  <si>
    <t>2011.03.14</t>
  </si>
  <si>
    <t>2011.02.16</t>
  </si>
  <si>
    <t>2011.04.01</t>
  </si>
  <si>
    <t>2011.10.26</t>
  </si>
  <si>
    <t>2011.10.27</t>
  </si>
  <si>
    <t>應收金額</t>
  </si>
  <si>
    <t>手績費</t>
  </si>
  <si>
    <t>2011.8.30</t>
  </si>
  <si>
    <t>AD7685371</t>
  </si>
  <si>
    <t>2011.9.1</t>
  </si>
  <si>
    <t>EA3724458</t>
  </si>
  <si>
    <t>旺旺達UC8792132-4</t>
  </si>
  <si>
    <t>旺旺達UC8792133-5</t>
  </si>
  <si>
    <t>旺旺達UC8792134-6</t>
  </si>
  <si>
    <t>旺旺達UC8792135-7</t>
  </si>
  <si>
    <t>旺旺達UC8792136-8</t>
  </si>
  <si>
    <t>松群ZA0055804-4</t>
  </si>
  <si>
    <t>松群ZA0055805-5</t>
  </si>
  <si>
    <t>松群ZA0055806-6</t>
  </si>
  <si>
    <t>松群ZA0055807-7</t>
  </si>
  <si>
    <t>松群ZA0055808-8</t>
  </si>
  <si>
    <t>應稅</t>
  </si>
  <si>
    <t>免稅</t>
  </si>
  <si>
    <t>水電小計</t>
  </si>
  <si>
    <t xml:space="preserve">    應付費用</t>
  </si>
  <si>
    <t xml:space="preserve">    進項稅額</t>
  </si>
  <si>
    <t>行銷廣告</t>
  </si>
  <si>
    <t>裝機計程車+捷運</t>
  </si>
  <si>
    <t xml:space="preserve">    股東往來</t>
  </si>
  <si>
    <t>掛號+郵票</t>
  </si>
  <si>
    <t>垃圾袋+買發票</t>
  </si>
  <si>
    <t xml:space="preserve">    零用金</t>
  </si>
  <si>
    <t>各項支出</t>
  </si>
  <si>
    <t>Video</t>
  </si>
  <si>
    <t xml:space="preserve">  薪資</t>
  </si>
  <si>
    <t>展鑫</t>
  </si>
  <si>
    <t>2011.11.20</t>
  </si>
  <si>
    <t>CT1490689</t>
  </si>
  <si>
    <t>2013.05.07</t>
  </si>
  <si>
    <t>2013.04.26</t>
  </si>
  <si>
    <t>2013.04.29</t>
  </si>
  <si>
    <t>2013.07.29</t>
  </si>
  <si>
    <t>2013.10.11</t>
  </si>
  <si>
    <t>2013.10.14</t>
  </si>
  <si>
    <t>2013.06.05</t>
  </si>
  <si>
    <t>2013.06.06</t>
  </si>
  <si>
    <t>2013.08.30</t>
  </si>
  <si>
    <t>2013.09.02</t>
  </si>
  <si>
    <t>2013.11.18</t>
  </si>
  <si>
    <t>2013.11.19</t>
  </si>
  <si>
    <t>2014.01.23</t>
  </si>
  <si>
    <t>2014.01.24</t>
  </si>
  <si>
    <t>2013.05.03</t>
  </si>
  <si>
    <t>2013.05.06</t>
  </si>
  <si>
    <t>2014.03.04</t>
  </si>
  <si>
    <t>2014.03.05</t>
  </si>
  <si>
    <t>2013.07.09</t>
  </si>
  <si>
    <t>2013.12.23</t>
  </si>
  <si>
    <t>2013.12.24</t>
  </si>
  <si>
    <t>CT1491503</t>
  </si>
  <si>
    <t>2013.05.27</t>
  </si>
  <si>
    <t>2013.05.28</t>
  </si>
  <si>
    <t>2013.08.23</t>
  </si>
  <si>
    <t>2013.08.26</t>
  </si>
  <si>
    <t>解約退回票</t>
  </si>
  <si>
    <t>2013.7.29</t>
  </si>
  <si>
    <t>2013.7.31</t>
  </si>
  <si>
    <t>HD7417950</t>
  </si>
  <si>
    <t>車源二次款</t>
  </si>
  <si>
    <t>2013.05.22</t>
  </si>
  <si>
    <t>FD2159910</t>
  </si>
  <si>
    <t>DA3275660</t>
  </si>
  <si>
    <t>DA3275661</t>
  </si>
  <si>
    <t>DA3275662</t>
  </si>
  <si>
    <t>2013.12.30</t>
  </si>
  <si>
    <t>DA3275663</t>
  </si>
  <si>
    <t>2014.03.30</t>
  </si>
  <si>
    <t>DA3275664</t>
  </si>
  <si>
    <t>DA3275665</t>
  </si>
  <si>
    <t>DA3275666</t>
  </si>
  <si>
    <t>2014.12.30</t>
  </si>
  <si>
    <t>DA3275667</t>
  </si>
  <si>
    <t>2015.03.30</t>
  </si>
  <si>
    <t>BN1317290</t>
  </si>
  <si>
    <t>BN1317291</t>
  </si>
  <si>
    <t>BN1317292</t>
  </si>
  <si>
    <t>BN1317293</t>
  </si>
  <si>
    <t>BN1317294</t>
  </si>
  <si>
    <t>2015.02.25</t>
  </si>
  <si>
    <t>BN1317295</t>
  </si>
  <si>
    <t>BN1317296</t>
  </si>
  <si>
    <t>BN1317297</t>
  </si>
  <si>
    <t>2015.08.25</t>
  </si>
  <si>
    <t>2013.06.27</t>
  </si>
  <si>
    <t>財務---1</t>
  </si>
  <si>
    <t>2013.06.28</t>
  </si>
  <si>
    <t>GD1454493</t>
  </si>
  <si>
    <t>GD1454494</t>
  </si>
  <si>
    <t>GD1454495</t>
  </si>
  <si>
    <t>GD1454496</t>
  </si>
  <si>
    <t>GD1454497</t>
  </si>
  <si>
    <t>GD1454498</t>
  </si>
  <si>
    <t>GD1454499</t>
  </si>
  <si>
    <t>2015.01.31</t>
  </si>
  <si>
    <t>GD1454500</t>
  </si>
  <si>
    <t>2015.04.30</t>
  </si>
  <si>
    <t>2013.07.25</t>
  </si>
  <si>
    <t>JN0976787</t>
  </si>
  <si>
    <t>JN0976788</t>
  </si>
  <si>
    <t>JN0976789</t>
  </si>
  <si>
    <t>JN0976790</t>
  </si>
  <si>
    <t>JN0976791</t>
  </si>
  <si>
    <t>2014.07.01</t>
  </si>
  <si>
    <t>JN0976792</t>
  </si>
  <si>
    <t>2014.10.01</t>
  </si>
  <si>
    <t>JN0976793</t>
  </si>
  <si>
    <t>2015.01.01</t>
  </si>
  <si>
    <t>JN0976794</t>
  </si>
  <si>
    <t>2015.04.01</t>
  </si>
  <si>
    <t>2013.08.02</t>
  </si>
  <si>
    <t>FD2140834</t>
  </si>
  <si>
    <t>FD2140835</t>
  </si>
  <si>
    <t>FD2140836</t>
  </si>
  <si>
    <t>FD2140837</t>
  </si>
  <si>
    <t>FD2140838</t>
  </si>
  <si>
    <t>FD2140839</t>
  </si>
  <si>
    <t>FD2140840</t>
  </si>
  <si>
    <t>2015.05.15</t>
  </si>
  <si>
    <t>FD2140841</t>
  </si>
  <si>
    <t>2015.08.15</t>
  </si>
  <si>
    <t>鉑德</t>
  </si>
  <si>
    <t>BA7432549</t>
  </si>
  <si>
    <t>BA7432550</t>
  </si>
  <si>
    <t>BA7432551</t>
  </si>
  <si>
    <t>BA7432552</t>
  </si>
  <si>
    <t>BA7432553</t>
  </si>
  <si>
    <t>BA7432554</t>
  </si>
  <si>
    <t>2014.11.25</t>
  </si>
  <si>
    <t>BA7432555</t>
  </si>
  <si>
    <t>BA7432556</t>
  </si>
  <si>
    <t>2015.05.25</t>
  </si>
  <si>
    <t>KD3694826</t>
  </si>
  <si>
    <t>2013.11.05</t>
  </si>
  <si>
    <t>AJ0349094</t>
  </si>
  <si>
    <t>2013.10.03</t>
  </si>
  <si>
    <t>AJ0349095</t>
  </si>
  <si>
    <t>2014.01.03</t>
  </si>
  <si>
    <t>AJ0349096</t>
  </si>
  <si>
    <t>2014.04.03</t>
  </si>
  <si>
    <t>AJ0349097</t>
  </si>
  <si>
    <t>2014.07.03</t>
  </si>
  <si>
    <t>AJ0349098</t>
  </si>
  <si>
    <t>2014.10.03</t>
  </si>
  <si>
    <t>AJ0349099</t>
  </si>
  <si>
    <t>2015.01.03</t>
  </si>
  <si>
    <t>AJ0349100</t>
  </si>
  <si>
    <t>2015.04.03</t>
  </si>
  <si>
    <t>AJ0350201</t>
  </si>
  <si>
    <t>2015.07.03</t>
  </si>
  <si>
    <t>2013.11.08</t>
  </si>
  <si>
    <t>2013.11.13</t>
  </si>
  <si>
    <t>BA7433422</t>
  </si>
  <si>
    <t>BA7433424</t>
  </si>
  <si>
    <t>2013.12.05</t>
  </si>
  <si>
    <t>DNS</t>
  </si>
  <si>
    <t>2013.11.14</t>
  </si>
  <si>
    <t>BA1252547</t>
  </si>
  <si>
    <t>2013.11.20</t>
  </si>
  <si>
    <t>BA1252548</t>
  </si>
  <si>
    <t>2014.02.20</t>
  </si>
  <si>
    <t>2014.03.5</t>
  </si>
  <si>
    <t>BA1252549</t>
  </si>
  <si>
    <t>2014.05.20</t>
  </si>
  <si>
    <t>BA1252550</t>
  </si>
  <si>
    <t>2014.08.20</t>
  </si>
  <si>
    <t>軟體維護</t>
  </si>
  <si>
    <t>德鎔</t>
  </si>
  <si>
    <t>保險---1</t>
  </si>
  <si>
    <t>2013.11.26</t>
  </si>
  <si>
    <t>FD3198403</t>
  </si>
  <si>
    <t>2014.01.14</t>
  </si>
  <si>
    <t>EA2774735</t>
  </si>
  <si>
    <t>EA2774736</t>
  </si>
  <si>
    <t>EA2774737</t>
  </si>
  <si>
    <t>EA2774738</t>
  </si>
  <si>
    <t>2014.11.20</t>
  </si>
  <si>
    <t>EA2774739</t>
  </si>
  <si>
    <t>2015.02.20</t>
  </si>
  <si>
    <t>EA2774740</t>
  </si>
  <si>
    <t>2015.05.20</t>
  </si>
  <si>
    <t>EA2774741</t>
  </si>
  <si>
    <t>2015.08.20</t>
  </si>
  <si>
    <t>EA2774742</t>
  </si>
  <si>
    <t>2015.11.20</t>
  </si>
  <si>
    <t>2014.01.27</t>
  </si>
  <si>
    <t>BH0412421</t>
  </si>
  <si>
    <t>2014.01.28</t>
  </si>
  <si>
    <t>2014.01.29</t>
  </si>
  <si>
    <t>解約金</t>
  </si>
  <si>
    <t>KD4753104</t>
  </si>
  <si>
    <t>2014.03.06</t>
  </si>
  <si>
    <t>KD4753105</t>
  </si>
  <si>
    <t>2014.06.06</t>
  </si>
  <si>
    <t>KD4753106</t>
  </si>
  <si>
    <t>2014.09.06</t>
  </si>
  <si>
    <t>KD4753107</t>
  </si>
  <si>
    <t>2014.12.06</t>
  </si>
  <si>
    <t>KD4753108</t>
  </si>
  <si>
    <t>2015.03.06</t>
  </si>
  <si>
    <t>KD4753109</t>
  </si>
  <si>
    <t>2015.06.06</t>
  </si>
  <si>
    <t>KD4753110</t>
  </si>
  <si>
    <t>2015.09.06</t>
  </si>
  <si>
    <t>KD4753111</t>
  </si>
  <si>
    <t>2015.12.06</t>
  </si>
  <si>
    <t>2014.03.03</t>
  </si>
  <si>
    <t>FA6366776</t>
  </si>
  <si>
    <t>2014.04.10</t>
  </si>
  <si>
    <t>FA6366777</t>
  </si>
  <si>
    <t>2014.07.10</t>
  </si>
  <si>
    <t>FA6366778</t>
  </si>
  <si>
    <t>2014.10.10</t>
  </si>
  <si>
    <t>FA6366779</t>
  </si>
  <si>
    <t>2015.01.10</t>
  </si>
  <si>
    <t>FA6366780</t>
  </si>
  <si>
    <t>2015.04.10</t>
  </si>
  <si>
    <t>FA6366781</t>
  </si>
  <si>
    <t>2015.07.10</t>
  </si>
  <si>
    <t>FA6366782</t>
  </si>
  <si>
    <t>2015.10.10</t>
  </si>
  <si>
    <t>FA6366783</t>
  </si>
  <si>
    <t>2016.01.10</t>
  </si>
  <si>
    <t>2014.03.25</t>
  </si>
  <si>
    <t>FD3460725</t>
  </si>
  <si>
    <t>2014.05.02</t>
  </si>
  <si>
    <t>AC5129873</t>
  </si>
  <si>
    <t>AC5129874</t>
  </si>
  <si>
    <t>2014.07.30</t>
  </si>
  <si>
    <t>AC5129875</t>
  </si>
  <si>
    <t>2014.10.30</t>
  </si>
  <si>
    <t>AC5129876</t>
  </si>
  <si>
    <t>2015.01.30</t>
  </si>
  <si>
    <t>小計-&gt;</t>
  </si>
  <si>
    <t>2012.02.23</t>
  </si>
  <si>
    <t>2012.03.13</t>
  </si>
  <si>
    <t>2012.03.23</t>
  </si>
  <si>
    <t>2012.03.30</t>
  </si>
  <si>
    <t>2012.04.24</t>
  </si>
  <si>
    <t>2012.02.10</t>
  </si>
  <si>
    <t>2012.05.10</t>
  </si>
  <si>
    <t>2012.08.10</t>
  </si>
  <si>
    <t>2012.01.10</t>
  </si>
  <si>
    <t>2012.04.10</t>
  </si>
  <si>
    <t>2012.07.10</t>
  </si>
  <si>
    <t>2013.01.10</t>
  </si>
  <si>
    <t>2013.04.10</t>
  </si>
  <si>
    <t>2013.07.10</t>
  </si>
  <si>
    <t>98年華算主機-新組裝</t>
  </si>
  <si>
    <t>98年華算主機-折舊</t>
  </si>
  <si>
    <t>98年華算主機-殘值</t>
  </si>
  <si>
    <t>松群</t>
    <phoneticPr fontId="3" type="noConversion"/>
  </si>
  <si>
    <r>
      <t>2195.000</t>
    </r>
    <r>
      <rPr>
        <sz val="12"/>
        <rFont val="新細明體"/>
        <family val="1"/>
        <charset val="136"/>
      </rPr>
      <t xml:space="preserve"> 代收款項</t>
    </r>
    <phoneticPr fontId="3" type="noConversion"/>
  </si>
  <si>
    <t>2910.100存入保證金</t>
    <phoneticPr fontId="3" type="noConversion"/>
  </si>
  <si>
    <t>95年科目明細</t>
    <phoneticPr fontId="3" type="noConversion"/>
  </si>
  <si>
    <t>94年科目明細</t>
    <phoneticPr fontId="3" type="noConversion"/>
  </si>
  <si>
    <t>預扣應收 留96年抵銷</t>
    <phoneticPr fontId="3" type="noConversion"/>
  </si>
  <si>
    <t>年底結轉</t>
    <phoneticPr fontId="3" type="noConversion"/>
  </si>
  <si>
    <r>
      <t>9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/12/31庫存帳</t>
    </r>
    <phoneticPr fontId="8" type="noConversion"/>
  </si>
  <si>
    <t>FAN</t>
    <phoneticPr fontId="8" type="noConversion"/>
  </si>
  <si>
    <t>印彩-到期退租</t>
  </si>
  <si>
    <t>安口-到期退押金</t>
  </si>
  <si>
    <t>雙隆</t>
  </si>
  <si>
    <t>誠明-押金抵8期款</t>
  </si>
  <si>
    <t>海瀧-到期退租</t>
  </si>
  <si>
    <t>台一-到期退租</t>
  </si>
  <si>
    <t>雙隆-押金</t>
  </si>
  <si>
    <t>捷泰-到期退租</t>
  </si>
  <si>
    <t>明惠-押金抵8期款</t>
  </si>
  <si>
    <t>明惠-到期退租</t>
  </si>
  <si>
    <t>合碩-到期退租</t>
  </si>
  <si>
    <t>威倫-到期退租</t>
  </si>
  <si>
    <t>三易-到期退租</t>
  </si>
  <si>
    <t>德坤-押金抵5期款</t>
  </si>
  <si>
    <t>德坤-到期退租</t>
  </si>
  <si>
    <t>正聯-到期退租</t>
  </si>
  <si>
    <t>全冠-到期退租</t>
  </si>
  <si>
    <t>松群</t>
  </si>
  <si>
    <t>大誠-到期退租</t>
  </si>
  <si>
    <t>好德-到期退租</t>
  </si>
  <si>
    <t>東電-到期退租</t>
  </si>
  <si>
    <t>上鵬-抵第6期應收</t>
  </si>
  <si>
    <t>日華-押金抵應收</t>
  </si>
  <si>
    <t>立歐-到期退押金</t>
  </si>
  <si>
    <t>華邁-2 抵押金</t>
  </si>
  <si>
    <t>華邁-1 抵押金</t>
  </si>
  <si>
    <t>精展-到期退租</t>
  </si>
  <si>
    <t>華陽-押金抵貨款</t>
  </si>
  <si>
    <t>金御押金抵8期款</t>
  </si>
  <si>
    <t>金御-到期退租</t>
  </si>
  <si>
    <t>天健-押金抵6期款</t>
  </si>
  <si>
    <t>天健-押金抵7期款</t>
  </si>
  <si>
    <t>立歐-到期退租</t>
  </si>
  <si>
    <t>愛惠浦-到期退租</t>
  </si>
  <si>
    <t>晨祈社-到期退租</t>
  </si>
  <si>
    <t>茂潁</t>
  </si>
  <si>
    <t>現金</t>
  </si>
  <si>
    <t>電費</t>
    <phoneticPr fontId="3" type="noConversion"/>
  </si>
  <si>
    <t>2014兌現</t>
  </si>
  <si>
    <t>前期已兌</t>
  </si>
  <si>
    <t>2014.05.09</t>
  </si>
  <si>
    <t>台氨EU25778475-24</t>
  </si>
  <si>
    <t>95/3/27開折讓單$6000</t>
  </si>
  <si>
    <t>玄懋GU26187144-5</t>
  </si>
  <si>
    <t>玄懋JU25967134-6</t>
  </si>
  <si>
    <t>玄懋JU25967155-7</t>
  </si>
  <si>
    <t>玄懋JU25967156-8</t>
  </si>
  <si>
    <t>同皇JU25967126-24/6</t>
  </si>
  <si>
    <t>好德DU04133868-8</t>
  </si>
  <si>
    <t>帆華FU26080774-24</t>
  </si>
  <si>
    <t>利明JU25967152-4</t>
  </si>
  <si>
    <t>94010603開折讓單$7800</t>
  </si>
  <si>
    <t>零用金</t>
  </si>
  <si>
    <t>風扇</t>
  </si>
  <si>
    <t>號碼</t>
  </si>
  <si>
    <t>cpu</t>
  </si>
  <si>
    <t>$</t>
  </si>
  <si>
    <t>MB</t>
  </si>
  <si>
    <t>ram</t>
  </si>
  <si>
    <t>hd</t>
  </si>
  <si>
    <t>LAN</t>
  </si>
  <si>
    <t>電源</t>
  </si>
  <si>
    <t>機殼</t>
  </si>
  <si>
    <t>公司</t>
  </si>
  <si>
    <t>1</t>
  </si>
  <si>
    <t>2</t>
  </si>
  <si>
    <t>愛浪</t>
    <phoneticPr fontId="3" type="noConversion"/>
  </si>
  <si>
    <t>施舒雅</t>
    <phoneticPr fontId="3" type="noConversion"/>
  </si>
  <si>
    <t>2012.05.31</t>
  </si>
  <si>
    <t>2012.06.18</t>
  </si>
  <si>
    <t>2012.06.25</t>
  </si>
  <si>
    <t>2012.09.17</t>
  </si>
  <si>
    <t>2012.09.18</t>
  </si>
  <si>
    <t>2012.09.20</t>
  </si>
  <si>
    <t>2012.09.24</t>
  </si>
  <si>
    <t>CASE</t>
  </si>
  <si>
    <t>???</t>
  </si>
  <si>
    <t>SATA -- IDE</t>
  </si>
  <si>
    <t>PWR</t>
  </si>
  <si>
    <t>邁登GH3204553-8</t>
  </si>
  <si>
    <t>1123.100應收帳款</t>
  </si>
  <si>
    <t>同皇CU25749601-2</t>
  </si>
  <si>
    <r>
      <t>2</t>
    </r>
    <r>
      <rPr>
        <sz val="12"/>
        <rFont val="新細明體"/>
        <family val="1"/>
        <charset val="136"/>
      </rPr>
      <t>121.100應付票據</t>
    </r>
  </si>
  <si>
    <t>2123.100應付費用</t>
  </si>
  <si>
    <t>健保費-9711</t>
  </si>
  <si>
    <t>健保費-9712</t>
  </si>
  <si>
    <t>勞保費-9711</t>
  </si>
  <si>
    <t>勞保費-9712</t>
  </si>
  <si>
    <t>薪資-9712</t>
  </si>
  <si>
    <t>2195.100代扣勞保</t>
  </si>
  <si>
    <t>代扣勞保-9711</t>
  </si>
  <si>
    <t>代扣勞保-9712</t>
  </si>
  <si>
    <r>
      <t>2</t>
    </r>
    <r>
      <rPr>
        <sz val="12"/>
        <rFont val="新細明體"/>
        <family val="1"/>
        <charset val="136"/>
      </rPr>
      <t>195.200代扣健保</t>
    </r>
  </si>
  <si>
    <t>代扣健保-9711</t>
  </si>
  <si>
    <t>代扣健保-9712</t>
  </si>
  <si>
    <r>
      <t>2</t>
    </r>
    <r>
      <rPr>
        <sz val="12"/>
        <rFont val="新細明體"/>
        <family val="1"/>
        <charset val="136"/>
      </rPr>
      <t>195.400代墊勞保</t>
    </r>
  </si>
  <si>
    <t>代墊勞保-9711</t>
  </si>
  <si>
    <t>代墊勞保-9712</t>
  </si>
  <si>
    <r>
      <t>2</t>
    </r>
    <r>
      <rPr>
        <sz val="12"/>
        <rFont val="新細明體"/>
        <family val="1"/>
        <charset val="136"/>
      </rPr>
      <t>195.500代墊健保</t>
    </r>
  </si>
  <si>
    <t>代墊健保-9711</t>
  </si>
  <si>
    <t>代墊健保-9712</t>
  </si>
  <si>
    <t>1910.100存出保證金</t>
  </si>
  <si>
    <t>上期</t>
  </si>
  <si>
    <t>北平辦公室押金2個月</t>
  </si>
  <si>
    <t>泰聯</t>
    <phoneticPr fontId="3" type="noConversion"/>
  </si>
  <si>
    <t>昌明LN0969031-7</t>
  </si>
  <si>
    <t>昌明LN0969032-8</t>
  </si>
  <si>
    <t>松大NC1538627-24/6</t>
  </si>
  <si>
    <t>松大NC1538628-24/7</t>
  </si>
  <si>
    <t>松大NC1538629-24/8</t>
  </si>
  <si>
    <t>迎華軒DA0351859-8</t>
  </si>
  <si>
    <t>俊尚CK6648516-7</t>
  </si>
  <si>
    <t>俊尚CK6648517-8</t>
  </si>
  <si>
    <t>冠智CK3283864-8/1</t>
  </si>
  <si>
    <t>冠智CK3283865-8/2</t>
  </si>
  <si>
    <t>冠智CK3283866-8/3</t>
  </si>
  <si>
    <t>威武JJ3537219-24/7</t>
  </si>
  <si>
    <t>威武JJ3537220-24/8</t>
  </si>
  <si>
    <t>恆傑AR0275377-6</t>
  </si>
  <si>
    <t>恆傑AR0275378-7</t>
  </si>
  <si>
    <t>恆傑AR0275379-8</t>
  </si>
  <si>
    <t>春池CC2051702-24/5</t>
  </si>
  <si>
    <t>春池CC2051703-24/6</t>
  </si>
  <si>
    <t>春池CC2051704-24/7</t>
  </si>
  <si>
    <t>春池CC2051705-24/8</t>
  </si>
  <si>
    <t>春池CC2051713-24/5</t>
  </si>
  <si>
    <t>春池CC2051714-24/6</t>
  </si>
  <si>
    <t>威倫CT1204137-4</t>
  </si>
  <si>
    <t>威倫CT1204138-5</t>
  </si>
  <si>
    <t>威倫CT1204139-6</t>
  </si>
  <si>
    <t>威倫CT1204140-7</t>
  </si>
  <si>
    <t>威倫CT1204141-8</t>
  </si>
  <si>
    <t>春佑AR0496956-4</t>
  </si>
  <si>
    <t>春佑AR0496957-5</t>
  </si>
  <si>
    <t>春佑AR0496958-6</t>
  </si>
  <si>
    <t>春佑AR0496959-7</t>
  </si>
  <si>
    <t>春佑AR0496960-8</t>
  </si>
  <si>
    <t>柏周AG6702061-4</t>
  </si>
  <si>
    <t>柏周AG6702062-5</t>
  </si>
  <si>
    <t>柏周AG6702063-6</t>
  </si>
  <si>
    <t>柏周AG6702064-7</t>
  </si>
  <si>
    <t>柏周AG6702065-8</t>
  </si>
  <si>
    <t>茂潁AA1763632-5</t>
  </si>
  <si>
    <t>茂潁AA1763633-6</t>
  </si>
  <si>
    <t>茂潁AA1763634-7</t>
  </si>
  <si>
    <t>茂潁AA1763646-8</t>
  </si>
  <si>
    <t>韋克AA2657117-3</t>
  </si>
  <si>
    <t>韋克AA2657118-4</t>
  </si>
  <si>
    <t>韋克AA2657119-5</t>
  </si>
  <si>
    <t>韋克AA2657120-6</t>
  </si>
  <si>
    <t>韋克AA2657121-7</t>
  </si>
  <si>
    <t>韋克AA2657122-8</t>
  </si>
  <si>
    <t>恩豪AG9665221-8</t>
  </si>
  <si>
    <t>恩豪AG9665222-7</t>
  </si>
  <si>
    <t>恩豪AG9665223-6</t>
  </si>
  <si>
    <t>恩豪AG9665224-5</t>
  </si>
  <si>
    <t>恩豪AG9665225-4</t>
  </si>
  <si>
    <t>恩豪AG9665226-3</t>
  </si>
  <si>
    <t>恩豪AG9665227-2</t>
  </si>
  <si>
    <t>格瑞特0227387-3</t>
  </si>
  <si>
    <t>格瑞特0227388-4</t>
  </si>
  <si>
    <t>格瑞特0227389-5</t>
  </si>
  <si>
    <t>格瑞特0227390-6</t>
  </si>
  <si>
    <t>格瑞特0227391-7</t>
  </si>
  <si>
    <t>格瑞特0227392-8</t>
  </si>
  <si>
    <t>益睿AU8568561-2</t>
  </si>
  <si>
    <t>2013.03.028</t>
  </si>
  <si>
    <t>2013.06.30</t>
  </si>
  <si>
    <t>2013.09.30</t>
  </si>
  <si>
    <t>2013.12.31</t>
  </si>
  <si>
    <t>2014.03.31</t>
  </si>
  <si>
    <t>2014.06.30</t>
  </si>
  <si>
    <t>2014.09.30</t>
  </si>
  <si>
    <t>依德</t>
  </si>
  <si>
    <t>HD7398986</t>
  </si>
  <si>
    <t>HD7398995</t>
  </si>
  <si>
    <t>鎔德</t>
  </si>
  <si>
    <t>AF8591873</t>
  </si>
  <si>
    <t>FD2135705</t>
  </si>
  <si>
    <t>2013.01.08</t>
  </si>
  <si>
    <t>FS0008977</t>
  </si>
  <si>
    <t>2012.06.26</t>
  </si>
  <si>
    <t>2012.09.26</t>
  </si>
  <si>
    <t>2013.03.26</t>
  </si>
  <si>
    <t>2013.06.26</t>
  </si>
  <si>
    <t>2013.09.26</t>
  </si>
  <si>
    <t>2013.12.26</t>
  </si>
  <si>
    <t>2014.03.26</t>
  </si>
  <si>
    <t>2013.01.14</t>
  </si>
  <si>
    <t>HD6172044</t>
  </si>
  <si>
    <t>2014.04.30</t>
  </si>
  <si>
    <t>2014.07.31</t>
  </si>
  <si>
    <t>2014.10.31</t>
  </si>
  <si>
    <t>2013.01.16</t>
  </si>
  <si>
    <t>2013.01.17</t>
  </si>
  <si>
    <t>EA2280328</t>
  </si>
  <si>
    <t>HD7402622</t>
  </si>
  <si>
    <t>2013.01.22</t>
  </si>
  <si>
    <t>車源一次款</t>
  </si>
  <si>
    <t>2013.01.29</t>
  </si>
  <si>
    <t>AF8592108</t>
  </si>
  <si>
    <t>2013.01.28</t>
  </si>
  <si>
    <t>2014.12.15</t>
  </si>
  <si>
    <t>2013.03.22</t>
  </si>
  <si>
    <t>GD0947516</t>
  </si>
  <si>
    <t>HD1686073</t>
  </si>
  <si>
    <t>HN1445296</t>
  </si>
  <si>
    <t>2013.05.10</t>
  </si>
  <si>
    <t>HN1428001</t>
  </si>
  <si>
    <t>2013.08.10</t>
  </si>
  <si>
    <t>2013.11.10</t>
  </si>
  <si>
    <t>2014.01.10</t>
  </si>
  <si>
    <t>2014.02.10</t>
  </si>
  <si>
    <t>HD7630004</t>
  </si>
  <si>
    <t>HD7630009</t>
  </si>
  <si>
    <t>HD7630012</t>
  </si>
  <si>
    <t>2014.12.25</t>
  </si>
  <si>
    <t>2013.04.09</t>
  </si>
  <si>
    <t>UW1463272</t>
  </si>
  <si>
    <t>2013.05.15</t>
  </si>
  <si>
    <t>2013.08.15</t>
  </si>
  <si>
    <t>2013.11.15</t>
  </si>
  <si>
    <t>2014.02.15</t>
  </si>
  <si>
    <t>2014.05.15</t>
  </si>
  <si>
    <t>2014.08.15</t>
  </si>
  <si>
    <t>2014.11.15</t>
  </si>
  <si>
    <t>2015.02.15</t>
  </si>
  <si>
    <r>
      <t>170-171</t>
    </r>
    <r>
      <rPr>
        <sz val="12"/>
        <rFont val="新細明體"/>
        <family val="1"/>
        <charset val="136"/>
      </rPr>
      <t>,341-344</t>
    </r>
  </si>
  <si>
    <r>
      <t>3</t>
    </r>
    <r>
      <rPr>
        <sz val="12"/>
        <rFont val="新細明體"/>
        <family val="1"/>
        <charset val="136"/>
      </rPr>
      <t>00-307</t>
    </r>
  </si>
  <si>
    <t>RU03167800</t>
  </si>
  <si>
    <t>308-315</t>
  </si>
  <si>
    <t>22283501</t>
  </si>
  <si>
    <t>23306799</t>
  </si>
  <si>
    <t>317-324</t>
  </si>
  <si>
    <t>04500175</t>
  </si>
  <si>
    <t>325-332</t>
  </si>
  <si>
    <t>96967079</t>
  </si>
  <si>
    <t>5</t>
  </si>
  <si>
    <t>333-340</t>
  </si>
  <si>
    <t>12</t>
  </si>
  <si>
    <t>04242698</t>
  </si>
  <si>
    <t>SY03173050</t>
  </si>
  <si>
    <t>347-354</t>
  </si>
  <si>
    <t>89935670</t>
  </si>
  <si>
    <t>04825440</t>
  </si>
  <si>
    <t>363-370</t>
  </si>
  <si>
    <t>23724870</t>
  </si>
  <si>
    <t>355-362</t>
  </si>
  <si>
    <t>20867509</t>
  </si>
  <si>
    <t>UC04765500</t>
  </si>
  <si>
    <t>UC04765501</t>
  </si>
  <si>
    <t>6</t>
  </si>
  <si>
    <t>12545554</t>
  </si>
  <si>
    <t>UC04765502</t>
  </si>
  <si>
    <t>UC04765503</t>
  </si>
  <si>
    <t>33002211</t>
  </si>
  <si>
    <t>UC04765504</t>
  </si>
  <si>
    <t>23674533</t>
  </si>
  <si>
    <t>UC04765505</t>
  </si>
  <si>
    <t>22663002</t>
  </si>
  <si>
    <t>UC04765506</t>
  </si>
  <si>
    <t>373-380</t>
  </si>
  <si>
    <t>22650392</t>
  </si>
  <si>
    <t>UK3681800</t>
  </si>
  <si>
    <t>沈大為</t>
  </si>
  <si>
    <t>車</t>
  </si>
  <si>
    <t>VG04745000</t>
  </si>
  <si>
    <t>VG04745001</t>
  </si>
  <si>
    <t>381-388</t>
  </si>
  <si>
    <t>VG04745002</t>
  </si>
  <si>
    <t>VG04745003</t>
  </si>
  <si>
    <t>VG04745004</t>
  </si>
  <si>
    <t>4</t>
  </si>
  <si>
    <t>VG04745005</t>
  </si>
  <si>
    <t>VG04745006</t>
  </si>
  <si>
    <t>VG04745007</t>
  </si>
  <si>
    <t>VG04745008</t>
  </si>
  <si>
    <t>391-398</t>
  </si>
  <si>
    <t>WL04539300</t>
  </si>
  <si>
    <r>
      <t>1</t>
    </r>
    <r>
      <rPr>
        <sz val="12"/>
        <rFont val="新細明體"/>
        <family val="1"/>
        <charset val="136"/>
      </rPr>
      <t>-8</t>
    </r>
  </si>
  <si>
    <r>
      <t>4</t>
    </r>
    <r>
      <rPr>
        <sz val="12"/>
        <rFont val="新細明體"/>
        <family val="1"/>
        <charset val="136"/>
      </rPr>
      <t>04-411</t>
    </r>
  </si>
  <si>
    <t>70489361</t>
  </si>
  <si>
    <t>WL04539301</t>
  </si>
  <si>
    <t>WL04539302</t>
  </si>
  <si>
    <t>WL04539303</t>
  </si>
  <si>
    <t>XQ04811300</t>
  </si>
  <si>
    <t>XQ04811301</t>
  </si>
  <si>
    <t>XQ04811302</t>
  </si>
  <si>
    <t>XQ04811303</t>
  </si>
  <si>
    <t>XQ04811304</t>
  </si>
  <si>
    <t>23913400</t>
  </si>
  <si>
    <t>7</t>
  </si>
  <si>
    <t>8</t>
  </si>
  <si>
    <t>XQ04811310</t>
  </si>
  <si>
    <r>
      <t>4</t>
    </r>
    <r>
      <rPr>
        <sz val="12"/>
        <rFont val="新細明體"/>
        <family val="1"/>
        <charset val="136"/>
      </rPr>
      <t>12-419</t>
    </r>
  </si>
  <si>
    <t>XQ04811311</t>
  </si>
  <si>
    <t>XQ04811312</t>
  </si>
  <si>
    <r>
      <t>2</t>
    </r>
    <r>
      <rPr>
        <sz val="12"/>
        <rFont val="新細明體"/>
        <family val="1"/>
        <charset val="136"/>
      </rPr>
      <t>012.02.23</t>
    </r>
  </si>
  <si>
    <t>2012年開出發票</t>
  </si>
  <si>
    <t>YU04524500</t>
  </si>
  <si>
    <r>
      <t>2</t>
    </r>
    <r>
      <rPr>
        <sz val="12"/>
        <rFont val="新細明體"/>
        <family val="1"/>
        <charset val="136"/>
      </rPr>
      <t>012.03.08</t>
    </r>
  </si>
  <si>
    <r>
      <t>2</t>
    </r>
    <r>
      <rPr>
        <sz val="12"/>
        <rFont val="新細明體"/>
        <family val="1"/>
        <charset val="136"/>
      </rPr>
      <t>012.03.15</t>
    </r>
  </si>
  <si>
    <t>AH04509350</t>
  </si>
  <si>
    <r>
      <t>1</t>
    </r>
    <r>
      <rPr>
        <sz val="12"/>
        <rFont val="新細明體"/>
        <family val="1"/>
        <charset val="136"/>
      </rPr>
      <t>-12</t>
    </r>
  </si>
  <si>
    <r>
      <t>4</t>
    </r>
    <r>
      <rPr>
        <sz val="12"/>
        <rFont val="新細明體"/>
        <family val="1"/>
        <charset val="136"/>
      </rPr>
      <t>23-434</t>
    </r>
  </si>
  <si>
    <t>00965968</t>
  </si>
  <si>
    <r>
      <t>2</t>
    </r>
    <r>
      <rPr>
        <sz val="12"/>
        <rFont val="新細明體"/>
        <family val="1"/>
        <charset val="136"/>
      </rPr>
      <t>013.04.25</t>
    </r>
  </si>
  <si>
    <r>
      <t>2</t>
    </r>
    <r>
      <rPr>
        <sz val="12"/>
        <rFont val="新細明體"/>
        <family val="1"/>
        <charset val="136"/>
      </rPr>
      <t>012.05.10</t>
    </r>
  </si>
  <si>
    <r>
      <t>4</t>
    </r>
    <r>
      <rPr>
        <sz val="12"/>
        <rFont val="新細明體"/>
        <family val="1"/>
        <charset val="136"/>
      </rPr>
      <t>51-458</t>
    </r>
  </si>
  <si>
    <t>33858898</t>
  </si>
  <si>
    <r>
      <t>4</t>
    </r>
    <r>
      <rPr>
        <sz val="12"/>
        <rFont val="新細明體"/>
        <family val="1"/>
        <charset val="136"/>
      </rPr>
      <t>35-442</t>
    </r>
  </si>
  <si>
    <t>04427533</t>
  </si>
  <si>
    <r>
      <t>4</t>
    </r>
    <r>
      <rPr>
        <sz val="12"/>
        <rFont val="新細明體"/>
        <family val="1"/>
        <charset val="136"/>
      </rPr>
      <t>43-450</t>
    </r>
  </si>
  <si>
    <t>39604416</t>
  </si>
  <si>
    <r>
      <t>4</t>
    </r>
    <r>
      <rPr>
        <sz val="12"/>
        <rFont val="新細明體"/>
        <family val="1"/>
        <charset val="136"/>
      </rPr>
      <t>75-482</t>
    </r>
  </si>
  <si>
    <t>12659198</t>
  </si>
  <si>
    <r>
      <t>4</t>
    </r>
    <r>
      <rPr>
        <sz val="12"/>
        <rFont val="新細明體"/>
        <family val="1"/>
        <charset val="136"/>
      </rPr>
      <t>59-466</t>
    </r>
  </si>
  <si>
    <t>22863276</t>
  </si>
  <si>
    <r>
      <t>4</t>
    </r>
    <r>
      <rPr>
        <sz val="12"/>
        <rFont val="新細明體"/>
        <family val="1"/>
        <charset val="136"/>
      </rPr>
      <t>67-474</t>
    </r>
  </si>
  <si>
    <t>09485687</t>
  </si>
  <si>
    <r>
      <t>2</t>
    </r>
    <r>
      <rPr>
        <sz val="12"/>
        <rFont val="新細明體"/>
        <family val="1"/>
        <charset val="136"/>
      </rPr>
      <t>012.07.09</t>
    </r>
  </si>
  <si>
    <r>
      <t>2</t>
    </r>
    <r>
      <rPr>
        <sz val="12"/>
        <rFont val="新細明體"/>
        <family val="1"/>
        <charset val="136"/>
      </rPr>
      <t>0120508</t>
    </r>
  </si>
  <si>
    <t>BW04524600</t>
  </si>
  <si>
    <r>
      <t>4</t>
    </r>
    <r>
      <rPr>
        <sz val="12"/>
        <rFont val="新細明體"/>
        <family val="1"/>
        <charset val="136"/>
      </rPr>
      <t>83-490</t>
    </r>
  </si>
  <si>
    <t>27847682</t>
  </si>
  <si>
    <t>20120510</t>
  </si>
  <si>
    <r>
      <t>2</t>
    </r>
    <r>
      <rPr>
        <sz val="12"/>
        <rFont val="新細明體"/>
        <family val="1"/>
        <charset val="136"/>
      </rPr>
      <t>012.06.15</t>
    </r>
  </si>
  <si>
    <t>20120516</t>
  </si>
  <si>
    <r>
      <t>5</t>
    </r>
    <r>
      <rPr>
        <sz val="12"/>
        <rFont val="新細明體"/>
        <family val="1"/>
        <charset val="136"/>
      </rPr>
      <t>03-510</t>
    </r>
  </si>
  <si>
    <t>20930144</t>
  </si>
  <si>
    <t>20120522</t>
  </si>
  <si>
    <r>
      <t>5</t>
    </r>
    <r>
      <rPr>
        <sz val="12"/>
        <rFont val="新細明體"/>
        <family val="1"/>
        <charset val="136"/>
      </rPr>
      <t>12-519</t>
    </r>
  </si>
  <si>
    <t>20928581</t>
  </si>
  <si>
    <r>
      <t>5</t>
    </r>
    <r>
      <rPr>
        <sz val="12"/>
        <rFont val="新細明體"/>
        <family val="1"/>
        <charset val="136"/>
      </rPr>
      <t>20-527</t>
    </r>
  </si>
  <si>
    <t>20120528</t>
  </si>
  <si>
    <t>52900354</t>
  </si>
  <si>
    <t>20120530</t>
  </si>
  <si>
    <r>
      <t>4</t>
    </r>
    <r>
      <rPr>
        <sz val="12"/>
        <rFont val="新細明體"/>
        <family val="1"/>
        <charset val="136"/>
      </rPr>
      <t>95-502</t>
    </r>
  </si>
  <si>
    <t>12946360</t>
  </si>
  <si>
    <t>20120620</t>
  </si>
  <si>
    <r>
      <t>5</t>
    </r>
    <r>
      <rPr>
        <sz val="12"/>
        <rFont val="新細明體"/>
        <family val="1"/>
        <charset val="136"/>
      </rPr>
      <t>29-536</t>
    </r>
  </si>
  <si>
    <t>西拓WA2394447-4</t>
  </si>
  <si>
    <t>西拓WA2394448-5</t>
  </si>
  <si>
    <t>西拓WA2394449-6</t>
  </si>
  <si>
    <t>西拓WA2394450-7</t>
  </si>
  <si>
    <t>西拓WA2394451-8</t>
  </si>
  <si>
    <t>西拓WA2394452-9</t>
  </si>
  <si>
    <t>協億通CN2159266-3</t>
  </si>
  <si>
    <t>協億通CN2159267-4</t>
  </si>
  <si>
    <t>協億通CN2159268-5</t>
  </si>
  <si>
    <t>協億通CN2159269-6</t>
  </si>
  <si>
    <t>協億通CN2159270-7</t>
  </si>
  <si>
    <t>協億通CN2159271-8</t>
  </si>
  <si>
    <t>旺旺達NC3949902-4</t>
  </si>
  <si>
    <t>旺旺達NC3949903-5</t>
  </si>
  <si>
    <t>旺旺達NC3949904-6</t>
  </si>
  <si>
    <t>旺旺達NC3949905-7</t>
  </si>
  <si>
    <t>旺旺達NC3949906-8</t>
  </si>
  <si>
    <t>金仁豐AG9301089-4</t>
  </si>
  <si>
    <t>金仁豐AG9301090-5</t>
  </si>
  <si>
    <t>金仁豐AG9301091-6</t>
  </si>
  <si>
    <t>金仁豐AG9301092-7</t>
  </si>
  <si>
    <t>金仁豐AG9301093-8</t>
  </si>
  <si>
    <t>品固SC7643145-4</t>
  </si>
  <si>
    <t>品固SC7643146-5</t>
  </si>
  <si>
    <t>品固SC7643147-6</t>
  </si>
  <si>
    <t>品固SC7643148-7</t>
  </si>
  <si>
    <t>品固SC7643149-8</t>
  </si>
  <si>
    <t>威武BY0065793-3</t>
  </si>
  <si>
    <t>威武BY0065794-4</t>
  </si>
  <si>
    <t>威武BY0065795-5</t>
  </si>
  <si>
    <t>威武BY0065796-6</t>
  </si>
  <si>
    <t>威武BY0065797-7</t>
  </si>
  <si>
    <t>威武BY0065798-8</t>
  </si>
  <si>
    <t>應付費用</t>
  </si>
  <si>
    <t>電話費</t>
  </si>
  <si>
    <t>銷項稅額</t>
  </si>
  <si>
    <t>水費</t>
  </si>
  <si>
    <t>管理費</t>
  </si>
  <si>
    <t>進貨-電腦零件</t>
  </si>
  <si>
    <t>雜項購置</t>
  </si>
  <si>
    <t>雜費</t>
  </si>
  <si>
    <t>郵費</t>
  </si>
  <si>
    <t>文具用品</t>
  </si>
  <si>
    <t>交通費</t>
  </si>
  <si>
    <t>KU03051400</t>
  </si>
  <si>
    <t>KU03051401</t>
  </si>
  <si>
    <t>KU03051402</t>
  </si>
  <si>
    <t>KU03051403</t>
  </si>
  <si>
    <t>KU03051404</t>
  </si>
  <si>
    <t>宇權</t>
  </si>
  <si>
    <t>LU03161350</t>
  </si>
  <si>
    <t>友士</t>
  </si>
  <si>
    <t>主機</t>
  </si>
  <si>
    <t>LU03161352</t>
  </si>
  <si>
    <t>作廢</t>
  </si>
  <si>
    <t>LU03161353</t>
  </si>
  <si>
    <t>華達</t>
  </si>
  <si>
    <t>LU03161354</t>
  </si>
  <si>
    <t>華邁</t>
  </si>
  <si>
    <t>LU03161355</t>
  </si>
  <si>
    <t>LU03161356</t>
  </si>
  <si>
    <t>LU03161357</t>
  </si>
  <si>
    <t>LU03161358</t>
  </si>
  <si>
    <t>LU03161359</t>
  </si>
  <si>
    <t>MU03134300</t>
  </si>
  <si>
    <t>光興</t>
  </si>
  <si>
    <r>
      <t>M</t>
    </r>
    <r>
      <rPr>
        <sz val="12"/>
        <rFont val="新細明體"/>
        <family val="1"/>
        <charset val="136"/>
      </rPr>
      <t>U03134301</t>
    </r>
  </si>
  <si>
    <t>MU03134302</t>
  </si>
  <si>
    <t>勤業</t>
  </si>
  <si>
    <t>MU03134303</t>
  </si>
  <si>
    <t>MU03134304</t>
  </si>
  <si>
    <t>MU03134305</t>
  </si>
  <si>
    <t>MU03134306</t>
  </si>
  <si>
    <t>MU03134307</t>
  </si>
  <si>
    <t>MU03134308</t>
  </si>
  <si>
    <t>MU03134309</t>
  </si>
  <si>
    <t>NU03135250</t>
  </si>
  <si>
    <t>NU03135251</t>
  </si>
  <si>
    <t>NU03135252</t>
  </si>
  <si>
    <t>NU03135253</t>
  </si>
  <si>
    <t>NU03135254</t>
  </si>
  <si>
    <t>NU03135255</t>
  </si>
  <si>
    <t>NU03135256</t>
  </si>
  <si>
    <t>泰聯</t>
  </si>
  <si>
    <t>PU03154450</t>
  </si>
  <si>
    <t>PU03154451</t>
  </si>
  <si>
    <t>PU03154452</t>
  </si>
  <si>
    <t>PU03154453</t>
  </si>
  <si>
    <t>PU03154454</t>
  </si>
  <si>
    <t>恩豪</t>
  </si>
  <si>
    <t>PU03154455</t>
  </si>
  <si>
    <t>PU03154456</t>
  </si>
  <si>
    <t>PU03154457</t>
  </si>
  <si>
    <t>PU03154458</t>
  </si>
  <si>
    <t>期別</t>
  </si>
  <si>
    <t>1-8</t>
  </si>
  <si>
    <t>5-8</t>
  </si>
  <si>
    <t>9-16</t>
  </si>
  <si>
    <t>17-24</t>
  </si>
  <si>
    <t>票期</t>
  </si>
  <si>
    <t>收票日</t>
  </si>
  <si>
    <t>存票日</t>
  </si>
  <si>
    <t>匯款</t>
  </si>
  <si>
    <t>華邁JU25967129-6</t>
  </si>
  <si>
    <t>新力美JU25967143-1</t>
  </si>
  <si>
    <t>瑞強GU26187139-3</t>
  </si>
  <si>
    <t>瑞強HU25771751-4</t>
  </si>
  <si>
    <t>誠明FU26080771-8</t>
  </si>
  <si>
    <t>達昌JU25967124-5</t>
  </si>
  <si>
    <t>漢業JU25967136-3</t>
  </si>
  <si>
    <t>德坤JU25967131-3</t>
  </si>
  <si>
    <t>德坤JU25967125-7</t>
  </si>
  <si>
    <t>1910.100存出保證金</t>
  </si>
  <si>
    <t>2122.100應付帳款</t>
  </si>
  <si>
    <t>凡捷DU04133852-6</t>
  </si>
  <si>
    <t>金仁豐EU25778500-5</t>
  </si>
  <si>
    <t>7-12月利息扣繳</t>
  </si>
  <si>
    <t>台集</t>
  </si>
  <si>
    <t>誠全</t>
  </si>
  <si>
    <t>合碩</t>
  </si>
  <si>
    <t>協億通</t>
  </si>
  <si>
    <t>西拓</t>
  </si>
  <si>
    <t>喜可</t>
  </si>
  <si>
    <t>廣豪</t>
  </si>
  <si>
    <t>崴凌</t>
  </si>
  <si>
    <t>甲品</t>
  </si>
  <si>
    <t>益睿</t>
  </si>
  <si>
    <t>預收貨款</t>
  </si>
  <si>
    <t>服務收入</t>
  </si>
  <si>
    <t>一路發BS007734-24/5</t>
  </si>
  <si>
    <t>一路發BS007735-24/6</t>
  </si>
  <si>
    <t>2139.100其他預收款</t>
  </si>
  <si>
    <t>1112.100銀行存款</t>
  </si>
  <si>
    <t>1121.100應收票據</t>
  </si>
  <si>
    <t>大唐AAF6633516-4</t>
  </si>
  <si>
    <t>大唐AAF6633517-5</t>
  </si>
  <si>
    <t>大唐AAF6633518-6</t>
  </si>
  <si>
    <t>大唐AAF6633519-7</t>
  </si>
  <si>
    <t>大唐AAF6633520-8</t>
  </si>
  <si>
    <t>台氨UB5761974-4</t>
  </si>
  <si>
    <t>台氨UB5761975-5</t>
  </si>
  <si>
    <t>台氨UB5761976-6</t>
  </si>
  <si>
    <t>台氨UB5761977-7</t>
  </si>
  <si>
    <t>台氨UB5761978-8</t>
  </si>
  <si>
    <t>永光VA8769895-3</t>
  </si>
  <si>
    <t>永光VA8769896-4</t>
  </si>
  <si>
    <t>永光VA8769897-5</t>
  </si>
  <si>
    <t>永光VA8769898-6</t>
  </si>
  <si>
    <t>永光VA8769899-7</t>
  </si>
  <si>
    <t>永光VA8769900-8</t>
  </si>
  <si>
    <t>永馳DC5415857-2</t>
  </si>
  <si>
    <t>永馳DC5415858-3</t>
  </si>
  <si>
    <t>永馳DC5415859-4</t>
  </si>
  <si>
    <t>永馳DC5415860-5</t>
  </si>
  <si>
    <t>永馳DC5415861-6</t>
  </si>
  <si>
    <t>永馳DC5415862-7</t>
  </si>
  <si>
    <t>永馳DC5415863-8</t>
  </si>
  <si>
    <t>立昇AC4304949-2</t>
  </si>
  <si>
    <t>立昇AC4304950-3</t>
  </si>
  <si>
    <t>立昇AC4304951-4</t>
  </si>
  <si>
    <t>立昇AC4304952-5</t>
  </si>
  <si>
    <t>立昇AC4304953-6</t>
  </si>
  <si>
    <t>立昇AC4304955-7</t>
  </si>
  <si>
    <t>立昇AC4304956-8</t>
  </si>
  <si>
    <t>全亞QJ9658264-3</t>
  </si>
  <si>
    <t>全亞QJ9658265-4</t>
  </si>
  <si>
    <t>全亞QJ9658266-5</t>
  </si>
  <si>
    <t>全亞QJ9658267-6</t>
  </si>
  <si>
    <t>全亞QJ9658268-7</t>
  </si>
  <si>
    <t>全亞QJ9658269-8</t>
  </si>
  <si>
    <t>全冠ZR7622568-6</t>
  </si>
  <si>
    <t>好慶ZY8021765-3</t>
  </si>
  <si>
    <t>好慶ZY8021766-4</t>
  </si>
  <si>
    <t>帆華AG6917857-5+6</t>
  </si>
  <si>
    <t>大阪京ERA0087854-5</t>
  </si>
  <si>
    <t>大阪京ERA0087855-6</t>
  </si>
  <si>
    <t>大阪京ERA0087856-7</t>
  </si>
  <si>
    <t>大阪京ERA0087857-8</t>
  </si>
  <si>
    <t>大碩KLB0438537-4</t>
  </si>
  <si>
    <t>大碩KLB0438538-5</t>
  </si>
  <si>
    <t>大碩KLB0438539-6</t>
  </si>
  <si>
    <t>大碩KLB0438540-7</t>
  </si>
  <si>
    <t>大碩KLB0438541-8</t>
  </si>
  <si>
    <t>元超WA1957274-2</t>
  </si>
  <si>
    <t>元超WA1957275-3</t>
  </si>
  <si>
    <t>元超WA1957276-4</t>
  </si>
  <si>
    <t>元超WA1957277-5</t>
  </si>
  <si>
    <t>元超WA1957278-6</t>
  </si>
  <si>
    <t>元超WA1957279-7</t>
  </si>
  <si>
    <t>元超WA1957280-8</t>
  </si>
  <si>
    <t>太陽SC7713684-5</t>
  </si>
  <si>
    <t>太陽SC7713685-6</t>
  </si>
  <si>
    <t>品名</t>
  </si>
  <si>
    <t>XQ04811305</t>
  </si>
  <si>
    <t>XQ04811306</t>
  </si>
  <si>
    <t>XQ04811307</t>
  </si>
  <si>
    <t>XQ04811308</t>
  </si>
  <si>
    <t>XQ04811309</t>
  </si>
  <si>
    <t>2012.8.25</t>
  </si>
  <si>
    <t>AU0517085</t>
  </si>
  <si>
    <t>2012.9.15</t>
  </si>
  <si>
    <t>CA0292295</t>
  </si>
  <si>
    <t>2012.11.17</t>
  </si>
  <si>
    <t>BO0443470</t>
  </si>
  <si>
    <t>客戶名</t>
  </si>
  <si>
    <t>入帳日</t>
  </si>
  <si>
    <t>98年未收款</t>
  </si>
  <si>
    <t>99年開出發票</t>
  </si>
  <si>
    <t xml:space="preserve">FU25129900     </t>
  </si>
  <si>
    <t>大阪京</t>
  </si>
  <si>
    <t xml:space="preserve">JU22478454  </t>
  </si>
  <si>
    <t>發票稅金</t>
  </si>
  <si>
    <t xml:space="preserve">JU22478458   </t>
  </si>
  <si>
    <t>儲存媒體</t>
    <phoneticPr fontId="8" type="noConversion"/>
  </si>
  <si>
    <t>差1元</t>
  </si>
  <si>
    <t>上期應付</t>
  </si>
  <si>
    <t>本期應付</t>
  </si>
  <si>
    <t>達信用卡2011/12月</t>
  </si>
  <si>
    <t>95120106</t>
  </si>
  <si>
    <t>品固(5)XC2280182-4</t>
  </si>
  <si>
    <t>品固(5)XC2280183-5</t>
  </si>
  <si>
    <t>品固(5)XC2280184-6</t>
  </si>
  <si>
    <t>品固(5)XC2280185-7</t>
  </si>
  <si>
    <t>品固(5)XC2280186-8</t>
  </si>
  <si>
    <t>城乙AU0517023-3</t>
  </si>
  <si>
    <t>城乙AU0517024-4</t>
  </si>
  <si>
    <t>城乙AU0517025-5</t>
  </si>
  <si>
    <t>城乙AU0517026-6</t>
  </si>
  <si>
    <t>城乙AU0517027-7</t>
  </si>
  <si>
    <t>城乙AU0517028-8</t>
  </si>
  <si>
    <t>威倫CT1205373-4</t>
  </si>
  <si>
    <t>威倫CT1205374-5</t>
  </si>
  <si>
    <t>威倫CT1205375-6</t>
  </si>
  <si>
    <t>威倫CT1205376-7</t>
  </si>
  <si>
    <t>威倫CT1205377-8</t>
  </si>
  <si>
    <t>春佑AR0389061-4</t>
  </si>
  <si>
    <t>春佑AR0389062-5</t>
  </si>
  <si>
    <t>春佑AR0389063-6</t>
  </si>
  <si>
    <t>春佑AR0389064-7</t>
  </si>
  <si>
    <t>春佑AR0389065-8</t>
  </si>
  <si>
    <t>柏周ZA0175311-3</t>
  </si>
  <si>
    <t>柏周ZA0175312-4</t>
  </si>
  <si>
    <t>柏周ZA0175314-5</t>
  </si>
  <si>
    <t>柏周ZA0175315-6</t>
  </si>
  <si>
    <t>柏周ZA0175316-7</t>
  </si>
  <si>
    <t>柏周ZA0175317-8</t>
  </si>
  <si>
    <t>庭田FS0005337-4</t>
  </si>
  <si>
    <t>庭田FS0005338-5</t>
  </si>
  <si>
    <t>庭田FS0005339-6</t>
  </si>
  <si>
    <t>96122402 零佣金</t>
    <phoneticPr fontId="3" type="noConversion"/>
  </si>
  <si>
    <t>96112604 零佣金</t>
    <phoneticPr fontId="3" type="noConversion"/>
  </si>
  <si>
    <t>96121304 零佣金</t>
    <phoneticPr fontId="3" type="noConversion"/>
  </si>
  <si>
    <t>96121903 零佣金</t>
    <phoneticPr fontId="3" type="noConversion"/>
  </si>
  <si>
    <t>96112301 零佣金</t>
    <phoneticPr fontId="3" type="noConversion"/>
  </si>
  <si>
    <t>96121201 零佣金</t>
  </si>
  <si>
    <t>96122301 零佣金</t>
  </si>
  <si>
    <t>96122505 零佣金</t>
  </si>
  <si>
    <t>96122803 零佣金</t>
  </si>
  <si>
    <t>代扣勞保-9611</t>
    <phoneticPr fontId="3" type="noConversion"/>
  </si>
  <si>
    <t>代扣勞保-9612</t>
    <phoneticPr fontId="3" type="noConversion"/>
  </si>
  <si>
    <t>代扣健保-9611</t>
    <phoneticPr fontId="3" type="noConversion"/>
  </si>
  <si>
    <t>代扣健保-9612</t>
    <phoneticPr fontId="3" type="noConversion"/>
  </si>
  <si>
    <r>
      <t>2</t>
    </r>
    <r>
      <rPr>
        <sz val="12"/>
        <rFont val="新細明體"/>
        <family val="1"/>
        <charset val="136"/>
      </rPr>
      <t>195.400代墊勞保</t>
    </r>
    <phoneticPr fontId="3" type="noConversion"/>
  </si>
  <si>
    <t>1910.100存出保證金</t>
    <phoneticPr fontId="3" type="noConversion"/>
  </si>
  <si>
    <t>2013科目明細</t>
  </si>
  <si>
    <t>2013/12/31庫存帳</t>
  </si>
  <si>
    <t>2013華算主機-期初</t>
  </si>
  <si>
    <t>2013華算主機-新組裝</t>
  </si>
  <si>
    <t>2013華算主機-折舊</t>
  </si>
  <si>
    <t>2013華算主機-殘值</t>
  </si>
  <si>
    <t>2013年華算進貨明細</t>
  </si>
  <si>
    <r>
      <t>P</t>
    </r>
    <r>
      <rPr>
        <sz val="12"/>
        <rFont val="新細明體"/>
        <family val="1"/>
        <charset val="136"/>
      </rPr>
      <t>WER</t>
    </r>
  </si>
  <si>
    <r>
      <t>C</t>
    </r>
    <r>
      <rPr>
        <sz val="12"/>
        <rFont val="新細明體"/>
        <family val="1"/>
        <charset val="136"/>
      </rPr>
      <t>ASE</t>
    </r>
  </si>
  <si>
    <t>2012年華算進貨明細</t>
  </si>
  <si>
    <t>零用金-出</t>
  </si>
  <si>
    <t>2012.03.07</t>
  </si>
  <si>
    <t>2012.04.03</t>
  </si>
  <si>
    <t>2012.07.09</t>
  </si>
  <si>
    <t>2012.07.11</t>
  </si>
  <si>
    <t>2012.10.25</t>
  </si>
  <si>
    <t>2012.11.01</t>
  </si>
  <si>
    <t>2012.11.07</t>
  </si>
  <si>
    <t>2012.11.16</t>
  </si>
  <si>
    <t>2012.12.07</t>
  </si>
  <si>
    <t>2012.12.11</t>
  </si>
  <si>
    <t>2012.12.12</t>
  </si>
  <si>
    <t>2012.12.25</t>
  </si>
  <si>
    <t>2012.12.18</t>
  </si>
  <si>
    <t>2012.11.20</t>
  </si>
  <si>
    <t>2012.12.20</t>
  </si>
  <si>
    <t>2012.04.06</t>
  </si>
  <si>
    <t>2012.08.07</t>
  </si>
  <si>
    <t>2012.09.03</t>
  </si>
  <si>
    <t>2012.12.03</t>
  </si>
  <si>
    <t>2012.12.17</t>
  </si>
  <si>
    <t>2012.12.26</t>
  </si>
  <si>
    <t>LU03161351</t>
  </si>
  <si>
    <t>65-72</t>
  </si>
  <si>
    <t>56-63</t>
  </si>
  <si>
    <t>83-90</t>
  </si>
  <si>
    <t>73-80</t>
  </si>
  <si>
    <t>46-53</t>
  </si>
  <si>
    <t>91-102</t>
  </si>
  <si>
    <t>JU22478450</t>
  </si>
  <si>
    <t>折讓單誤寫錯為 JU24478450</t>
  </si>
  <si>
    <t>120-127</t>
  </si>
  <si>
    <t>128-135</t>
  </si>
  <si>
    <t>103-110</t>
  </si>
  <si>
    <t>112-119</t>
  </si>
  <si>
    <t>154-156</t>
  </si>
  <si>
    <t>*</t>
  </si>
  <si>
    <t>157-159</t>
  </si>
  <si>
    <t>160-161</t>
  </si>
  <si>
    <t>138-145</t>
  </si>
  <si>
    <t>146-153</t>
  </si>
  <si>
    <t>162-169</t>
  </si>
  <si>
    <t>發票開2年費用只收第1年</t>
  </si>
  <si>
    <t>172-179</t>
  </si>
  <si>
    <t>210-217</t>
  </si>
  <si>
    <t>188-195</t>
  </si>
  <si>
    <t>QU03166250</t>
  </si>
  <si>
    <t>QU03166251</t>
  </si>
  <si>
    <t>202-209</t>
  </si>
  <si>
    <t>QU03166252</t>
  </si>
  <si>
    <t>QU03166254</t>
  </si>
  <si>
    <t>221-228</t>
  </si>
  <si>
    <t>QU03166257</t>
  </si>
  <si>
    <t>2011年開出發票</t>
  </si>
  <si>
    <t>薪資所得稅-9606</t>
    <phoneticPr fontId="3" type="noConversion"/>
  </si>
  <si>
    <t>庫存-電腦</t>
    <phoneticPr fontId="8" type="noConversion"/>
  </si>
  <si>
    <t>用料-電腦</t>
    <phoneticPr fontId="8" type="noConversion"/>
  </si>
  <si>
    <t>用料-其他</t>
    <phoneticPr fontId="8" type="noConversion"/>
  </si>
  <si>
    <t>庫存-其他</t>
    <phoneticPr fontId="8" type="noConversion"/>
  </si>
  <si>
    <r>
      <t>臺灣銀行</t>
    </r>
    <r>
      <rPr>
        <sz val="12"/>
        <rFont val="Times New Roman"/>
        <family val="1"/>
      </rPr>
      <t>#127487</t>
    </r>
    <phoneticPr fontId="3" type="noConversion"/>
  </si>
  <si>
    <t>金仁豐RU26116113-4</t>
    <phoneticPr fontId="3" type="noConversion"/>
  </si>
  <si>
    <t>紡慶SU26051358-8</t>
  </si>
  <si>
    <t>金仁豐TU26372402-5</t>
  </si>
  <si>
    <t>金仁豐VU26077700-6</t>
  </si>
  <si>
    <t>金仁豐WU26218608-7</t>
  </si>
  <si>
    <t>光興AL5786444-2</t>
  </si>
  <si>
    <t>光興AL5786445-3</t>
  </si>
  <si>
    <t>光興AL5786446-4</t>
  </si>
  <si>
    <t>光興AL5786447-5</t>
  </si>
  <si>
    <t>光興AL5786448-6</t>
  </si>
  <si>
    <t>光興AL5786449-7</t>
  </si>
  <si>
    <t>光興AL5786451-8</t>
  </si>
  <si>
    <t>吉而耐VB8512865-2</t>
  </si>
  <si>
    <t>吉而耐VB8512866-3</t>
  </si>
  <si>
    <t>吉而耐VB8512867-4</t>
  </si>
  <si>
    <t>吉而耐VB8512868-5</t>
  </si>
  <si>
    <t>吉而耐VB8512869-6</t>
  </si>
  <si>
    <t>八亨</t>
  </si>
  <si>
    <t>泰聯第二年</t>
  </si>
  <si>
    <t>東電CR6794860-7</t>
  </si>
  <si>
    <t>東電CR6794861-8</t>
  </si>
  <si>
    <t>東模CT1325940-2</t>
  </si>
  <si>
    <t>東模CT1325941-3</t>
  </si>
  <si>
    <t>東模CT1325942-4</t>
  </si>
  <si>
    <t>北平12F-4押金2個月</t>
  </si>
  <si>
    <t>東模CT1325943-5</t>
  </si>
  <si>
    <t>東模CT1325944-6</t>
  </si>
  <si>
    <t>東模CT1325945-7</t>
  </si>
  <si>
    <t>東模CT1325946-8</t>
  </si>
  <si>
    <t>松星XC2814974-1</t>
  </si>
  <si>
    <t>松星XC2814975-2</t>
  </si>
  <si>
    <t>松星XC2814976-3</t>
  </si>
  <si>
    <t>松星XC2814977-4</t>
  </si>
  <si>
    <t>松星XC2814978-5</t>
  </si>
  <si>
    <t>松星XC2814979-6</t>
  </si>
  <si>
    <t>松星XC2814980-7</t>
  </si>
  <si>
    <t>松星XC2814981-8</t>
  </si>
  <si>
    <t>金憶達VC0773341-4</t>
  </si>
  <si>
    <t>品固UB6091917-3</t>
  </si>
  <si>
    <t>品固UB6091918-4</t>
  </si>
  <si>
    <t>品固UB6091919-5</t>
  </si>
  <si>
    <t>品固UB6091920-6</t>
  </si>
  <si>
    <t>品固UB6091921-7</t>
  </si>
  <si>
    <t>品固UB6091922-8</t>
  </si>
  <si>
    <t>展鑫UC8459592-4</t>
  </si>
  <si>
    <t>展鑫UC8459593-5</t>
  </si>
  <si>
    <t>展鑫UC8459594-6</t>
  </si>
  <si>
    <t>展鑫UC8459595-7</t>
  </si>
  <si>
    <t>展鑫UC8459596-8</t>
  </si>
  <si>
    <t>旅東AF2882426-3</t>
  </si>
  <si>
    <t>旅東AF2882427-4</t>
  </si>
  <si>
    <t>旅東AF2882428-5</t>
  </si>
  <si>
    <t>旅東AF2882429-6</t>
  </si>
  <si>
    <t>旅東AF2882430-7</t>
  </si>
  <si>
    <t>旅東AF2882431-8</t>
  </si>
  <si>
    <t>海特CM0896349-3</t>
  </si>
  <si>
    <t>海特CM0896350-4</t>
  </si>
  <si>
    <t>海特CM0896351-5</t>
  </si>
  <si>
    <t>海特CM0896351-8</t>
  </si>
  <si>
    <t>海特CM0896352-6</t>
  </si>
  <si>
    <t>海特CM0896353-7</t>
  </si>
  <si>
    <t>寂天CE0045944-2</t>
  </si>
  <si>
    <t>寂天CE0045945-3</t>
  </si>
  <si>
    <t>寂天CE0045946-4</t>
  </si>
  <si>
    <t>寂天CE0045947-5</t>
  </si>
  <si>
    <t>寂天CE0045948-6</t>
  </si>
  <si>
    <t>寂天CE0045949-7</t>
  </si>
  <si>
    <t>寂天CE0045950-8</t>
  </si>
  <si>
    <t>捷曠AA6460806-2</t>
  </si>
  <si>
    <t>捷曠AA6460807-3</t>
  </si>
  <si>
    <t>捷曠AA6460808-4</t>
  </si>
  <si>
    <t>捷曠AA6460809-5</t>
  </si>
  <si>
    <t>捷曠AA6460810-6</t>
  </si>
  <si>
    <t>捷曠AA6460811-7</t>
  </si>
  <si>
    <t>+</t>
  </si>
  <si>
    <t>95年華算主機-期初</t>
  </si>
  <si>
    <t>95年華算主機-新組裝</t>
  </si>
  <si>
    <t>平均</t>
  </si>
  <si>
    <t>(-)</t>
  </si>
  <si>
    <t>95年華算主機-折舊</t>
  </si>
  <si>
    <t>95年華算主機-殘值</t>
  </si>
  <si>
    <t>94年華算主機-期初</t>
  </si>
  <si>
    <t>94年華算主機-新組裝</t>
  </si>
  <si>
    <t>94年華算主機-折舊</t>
  </si>
  <si>
    <t>93年華算主機-期初</t>
  </si>
  <si>
    <t>93年華算主機-新組裝</t>
  </si>
  <si>
    <t>雙安VA7711962-7</t>
  </si>
  <si>
    <t>雙安VA7711963-8</t>
  </si>
  <si>
    <t>讚鴻CL8955698-4</t>
  </si>
  <si>
    <t>讚鴻CL8955699-5</t>
  </si>
  <si>
    <t>讚鴻CL8955700-6</t>
  </si>
  <si>
    <t>讚鴻CL8955701-7</t>
  </si>
  <si>
    <t>讚鴻CL8955702-8</t>
  </si>
  <si>
    <t>新日AF0935551-3</t>
  </si>
  <si>
    <t>新日AF0935551-4</t>
  </si>
  <si>
    <t>新日AF0935551-5</t>
  </si>
  <si>
    <t>新日AF0935551-6</t>
  </si>
  <si>
    <t>新日AF0935551-7</t>
  </si>
  <si>
    <t>新日AF0935551-8</t>
  </si>
  <si>
    <t>CN0051150</t>
  </si>
  <si>
    <t>2011.9.15</t>
  </si>
  <si>
    <t>AA3419077</t>
  </si>
  <si>
    <t>CA0292291</t>
  </si>
  <si>
    <t>2011.9.20</t>
  </si>
  <si>
    <t>AD7773396</t>
  </si>
  <si>
    <t>2011.9.25</t>
  </si>
  <si>
    <t>DD6593337</t>
  </si>
  <si>
    <t>2011.10.1</t>
  </si>
  <si>
    <t>AD7325169</t>
  </si>
  <si>
    <t>AD8712617</t>
  </si>
  <si>
    <t>2011.10.5</t>
  </si>
  <si>
    <t>BA8300737</t>
  </si>
  <si>
    <t>AD7390124</t>
  </si>
  <si>
    <t>2011.10.18</t>
  </si>
  <si>
    <t>BC4853950</t>
  </si>
  <si>
    <t>2011.10.19</t>
  </si>
  <si>
    <t>AA3825083</t>
  </si>
  <si>
    <t>春池CC2051715-24/7</t>
  </si>
  <si>
    <t>春池CC2051716-24/8</t>
  </si>
  <si>
    <t>飛泰AE4681594-24/8</t>
  </si>
  <si>
    <t>恩吉NC0025888-8</t>
  </si>
  <si>
    <t>恩豪JA0823678-6</t>
  </si>
  <si>
    <t>恩豪JA0823679-7</t>
  </si>
  <si>
    <t>恩豪JA0823680-8</t>
  </si>
  <si>
    <t>益睿ZR7541739-6</t>
  </si>
  <si>
    <t>益睿ZR7541740-7</t>
  </si>
  <si>
    <t>益睿ZR7541741-8</t>
  </si>
  <si>
    <t>健雅UA7929715-8</t>
  </si>
  <si>
    <t>莉高CD3073706-7</t>
  </si>
  <si>
    <t>莉高CD3073707-8</t>
  </si>
  <si>
    <t>頂尖堂JC5229163-8</t>
  </si>
  <si>
    <t>喜可UB5385889-24/7</t>
  </si>
  <si>
    <t>喜可UB5385890-24/8</t>
  </si>
  <si>
    <t>喜樂AH1072862-24/12</t>
  </si>
  <si>
    <t>崴凌EC0228055-24/6</t>
  </si>
  <si>
    <t>崴凌EC0228056-24/7</t>
  </si>
  <si>
    <t>崴凌EC0228057-24/8</t>
  </si>
  <si>
    <t>普續AA6353537-5</t>
  </si>
  <si>
    <t>普續AA6353538-6</t>
  </si>
  <si>
    <t>普續AA6353539-7</t>
  </si>
  <si>
    <t>普續AA6353555-8</t>
  </si>
  <si>
    <t>晶元BZ0129212-24/8</t>
  </si>
  <si>
    <t>華敬4387017-24/7</t>
  </si>
  <si>
    <t>祥和CN1609733-3</t>
  </si>
  <si>
    <t>祥和CN1609734-4</t>
  </si>
  <si>
    <t>祥和CN1609735-5</t>
  </si>
  <si>
    <t>祥和CN1609736-6</t>
  </si>
  <si>
    <t>祥和CN1609737-7</t>
  </si>
  <si>
    <t>祥和CN1609738-8</t>
  </si>
  <si>
    <t>勤發AA6425538-5</t>
  </si>
  <si>
    <t>勤發VC0923374-6</t>
  </si>
  <si>
    <t>勤發AA9525268-7</t>
  </si>
  <si>
    <t>勤發CA0029197-8</t>
  </si>
  <si>
    <t>裕恆ZA0059008-4</t>
  </si>
  <si>
    <t>裕恆ZA0059009-5</t>
  </si>
  <si>
    <t>裕恆ZA0059010-6</t>
  </si>
  <si>
    <t>裕恆ZA0059011-7</t>
  </si>
  <si>
    <t>裕恆ZA0059012-8</t>
  </si>
  <si>
    <t>誠全BI1124904-4</t>
  </si>
  <si>
    <t>誠全BI1124905-5</t>
  </si>
  <si>
    <t>誠全BI1124906-6</t>
  </si>
  <si>
    <t>誠全BI1124907-7</t>
  </si>
  <si>
    <t>誠全BI1124908-8</t>
  </si>
  <si>
    <t>廣豪BC4853223-7</t>
  </si>
  <si>
    <t>廣豪BC4853224-8</t>
  </si>
  <si>
    <t>2195.000</t>
  </si>
  <si>
    <t>代墊勞保費-9411</t>
  </si>
  <si>
    <t>代墊勞保費-9412</t>
  </si>
  <si>
    <t>代墊健保費-9411</t>
  </si>
  <si>
    <t>代墊健保費-9412</t>
  </si>
  <si>
    <t>營業稅-94/11-12</t>
  </si>
  <si>
    <t>前期(金山辦公室)</t>
  </si>
  <si>
    <t>勤緯</t>
  </si>
  <si>
    <t>首能-到期退租</t>
  </si>
  <si>
    <t>一賢-到期退租</t>
  </si>
  <si>
    <t>禾訊-到期退租</t>
  </si>
  <si>
    <t>愛彼</t>
  </si>
  <si>
    <t>到期退租-法登</t>
  </si>
  <si>
    <t>到期退租-方聯</t>
  </si>
  <si>
    <t>到期退租-愛彼</t>
  </si>
  <si>
    <t>押金抵7+8</t>
  </si>
  <si>
    <t>到期退租-凸技</t>
  </si>
  <si>
    <t>到期退租-高昌</t>
  </si>
  <si>
    <t>到期退租-朱林</t>
  </si>
  <si>
    <t>利明</t>
  </si>
  <si>
    <t>德紘</t>
  </si>
  <si>
    <t>到期退租-祥晨</t>
  </si>
  <si>
    <t>到期退租-合瑞</t>
  </si>
  <si>
    <t>綿德-到期退租</t>
  </si>
  <si>
    <t>誠明-到期退押金</t>
  </si>
  <si>
    <t>統安-到期退押金-1</t>
  </si>
  <si>
    <t>統安-到期退押金-2</t>
  </si>
  <si>
    <t>漢業</t>
  </si>
  <si>
    <t>德政行-退押金</t>
  </si>
  <si>
    <t>萬昌-到期退租</t>
  </si>
  <si>
    <t>貿慶-到期退租</t>
  </si>
  <si>
    <t>押金抵1期-德政行</t>
  </si>
  <si>
    <t>寂天-到期退押金</t>
  </si>
  <si>
    <t>永信-退押金</t>
  </si>
  <si>
    <t>安口-押金抵8期款</t>
  </si>
  <si>
    <t>睿成-到期退租</t>
  </si>
  <si>
    <t>穩迎-到期退租</t>
  </si>
  <si>
    <t>八亨-押金抵7期</t>
  </si>
  <si>
    <t>八亨-押金抵8期</t>
  </si>
  <si>
    <t>顯明-到期退租</t>
  </si>
  <si>
    <t>恆殷-到期退租</t>
  </si>
  <si>
    <t>裕恆-到期退租</t>
  </si>
  <si>
    <t>偉欽-押金抵2期款</t>
  </si>
  <si>
    <t>偉欽-押金抵3期款</t>
  </si>
  <si>
    <t>邁拓-押金抵8期款</t>
  </si>
  <si>
    <t>中崴-到期退租</t>
  </si>
  <si>
    <t>英菲-到期退租</t>
  </si>
  <si>
    <t>前期-沖結暫付款</t>
  </si>
  <si>
    <t>1149.100暫付款</t>
  </si>
  <si>
    <t>宇法健保-饒-9402</t>
  </si>
  <si>
    <t>宇法健保-饒-9403</t>
  </si>
  <si>
    <t>宇法健保-饒-9404</t>
  </si>
  <si>
    <t>宇法健保-饒-9405</t>
  </si>
  <si>
    <t>宇法健保-饒-9406</t>
  </si>
  <si>
    <t>借支-9410</t>
  </si>
  <si>
    <t>代墊勞保-9410</t>
  </si>
  <si>
    <t>代墊健保費-9410</t>
  </si>
  <si>
    <t>機票(台北-香港)-陳</t>
  </si>
  <si>
    <t>香港簽證</t>
  </si>
  <si>
    <t>饒轉入現金</t>
  </si>
  <si>
    <t>饒借支-機票</t>
  </si>
  <si>
    <t>饒借支941115-1</t>
  </si>
  <si>
    <t>沖借支</t>
  </si>
  <si>
    <t>薪資-9411</t>
  </si>
  <si>
    <t>借支-9411</t>
  </si>
  <si>
    <t>D4121507</t>
  </si>
  <si>
    <t>饒借支-94122701</t>
  </si>
  <si>
    <t>借支-9412</t>
  </si>
  <si>
    <t>饒暫付</t>
  </si>
  <si>
    <t>薪資-陳美玲</t>
  </si>
  <si>
    <t>借支9408</t>
  </si>
  <si>
    <t>FAX/MDN</t>
    <phoneticPr fontId="8" type="noConversion"/>
  </si>
  <si>
    <r>
      <t>期初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單價</t>
    </r>
    <phoneticPr fontId="8" type="noConversion"/>
  </si>
  <si>
    <r>
      <t>期初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數量</t>
    </r>
    <phoneticPr fontId="8" type="noConversion"/>
  </si>
  <si>
    <r>
      <t>期初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金額</t>
    </r>
    <phoneticPr fontId="8" type="noConversion"/>
  </si>
  <si>
    <r>
      <t>組裝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用料</t>
    </r>
    <phoneticPr fontId="8" type="noConversion"/>
  </si>
  <si>
    <r>
      <t>期末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單價</t>
    </r>
    <phoneticPr fontId="8" type="noConversion"/>
  </si>
  <si>
    <r>
      <t>期末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數量</t>
    </r>
    <phoneticPr fontId="8" type="noConversion"/>
  </si>
  <si>
    <r>
      <t>期末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金額</t>
    </r>
    <phoneticPr fontId="8" type="noConversion"/>
  </si>
  <si>
    <t>2011.12.25</t>
  </si>
  <si>
    <t>DD6593340</t>
  </si>
  <si>
    <t>愛浪II</t>
  </si>
  <si>
    <t>2012.1.1</t>
  </si>
  <si>
    <t>AD8712618</t>
  </si>
  <si>
    <t>旺旺達</t>
  </si>
  <si>
    <t>2012.1.5</t>
  </si>
  <si>
    <t>BA8300738</t>
  </si>
  <si>
    <t>品固-CN</t>
  </si>
  <si>
    <t>AD7390125</t>
  </si>
  <si>
    <t>品固-TW</t>
  </si>
  <si>
    <t>2012.1.18</t>
  </si>
  <si>
    <t>BC4853951</t>
  </si>
  <si>
    <t>2012.1.31</t>
  </si>
  <si>
    <t>HS0131177</t>
  </si>
  <si>
    <t>BA4419099</t>
  </si>
  <si>
    <t>達翌</t>
  </si>
  <si>
    <t>2012.2.10</t>
  </si>
  <si>
    <t>CN0084705</t>
  </si>
  <si>
    <t>BO0443467</t>
  </si>
  <si>
    <t>2012.2.20</t>
  </si>
  <si>
    <t>CT1490690</t>
  </si>
  <si>
    <t>威倫</t>
  </si>
  <si>
    <t>2012.2.25</t>
  </si>
  <si>
    <t>AU0517083</t>
  </si>
  <si>
    <t>2012.2.26</t>
  </si>
  <si>
    <t>BI1217545</t>
  </si>
  <si>
    <t>FS0007072</t>
  </si>
  <si>
    <t>2012.2.28</t>
  </si>
  <si>
    <t>AD7685373</t>
  </si>
  <si>
    <t>太暘</t>
  </si>
  <si>
    <t>2012.3.1</t>
  </si>
  <si>
    <t>EA3724461</t>
  </si>
  <si>
    <t>戈采</t>
  </si>
  <si>
    <t>CN0051152</t>
  </si>
  <si>
    <t>2012.3.15</t>
  </si>
  <si>
    <t>CA0292293</t>
  </si>
  <si>
    <t>2012.3.20</t>
  </si>
  <si>
    <t>AD7773398</t>
  </si>
  <si>
    <t>2012.3.25</t>
  </si>
  <si>
    <t>DD6593339</t>
  </si>
  <si>
    <t>2012.4.1</t>
  </si>
  <si>
    <t>AD8712619</t>
  </si>
  <si>
    <t>2012.4.5</t>
  </si>
  <si>
    <t>BA8300739</t>
  </si>
  <si>
    <t>AD7390126</t>
  </si>
  <si>
    <t>BO0443468</t>
  </si>
  <si>
    <t>2012.5.25</t>
  </si>
  <si>
    <t>AU0517084</t>
  </si>
  <si>
    <t>2012.5.26</t>
  </si>
  <si>
    <t>BI1217546</t>
  </si>
  <si>
    <t>2012.5.30</t>
  </si>
  <si>
    <t>AD7685374</t>
  </si>
  <si>
    <t>2012.6.1</t>
  </si>
  <si>
    <t>EA3724460</t>
  </si>
  <si>
    <t>2012.6.15</t>
  </si>
  <si>
    <t>CA0292294</t>
  </si>
  <si>
    <t>2012.6.20</t>
  </si>
  <si>
    <t>AD7773399</t>
  </si>
  <si>
    <t>2012.7.1</t>
  </si>
  <si>
    <t>AD8712620</t>
  </si>
  <si>
    <t>BO0443469</t>
  </si>
  <si>
    <t>RU03167801</t>
  </si>
  <si>
    <t xml:space="preserve">DD4252900  </t>
  </si>
  <si>
    <t>25-32</t>
  </si>
  <si>
    <t>DK04476400</t>
  </si>
  <si>
    <r>
      <t>2</t>
    </r>
    <r>
      <rPr>
        <sz val="12"/>
        <rFont val="新細明體"/>
        <family val="1"/>
        <charset val="136"/>
      </rPr>
      <t>012.08.27</t>
    </r>
  </si>
  <si>
    <r>
      <t>2</t>
    </r>
    <r>
      <rPr>
        <sz val="12"/>
        <rFont val="新細明體"/>
        <family val="1"/>
        <charset val="136"/>
      </rPr>
      <t>012.09.10</t>
    </r>
  </si>
  <si>
    <r>
      <t>2</t>
    </r>
    <r>
      <rPr>
        <sz val="12"/>
        <rFont val="新細明體"/>
        <family val="1"/>
        <charset val="136"/>
      </rPr>
      <t>012.09.07</t>
    </r>
  </si>
  <si>
    <r>
      <t>5</t>
    </r>
    <r>
      <rPr>
        <sz val="12"/>
        <rFont val="新細明體"/>
        <family val="1"/>
        <charset val="136"/>
      </rPr>
      <t>37-545</t>
    </r>
  </si>
  <si>
    <t>97384256</t>
  </si>
  <si>
    <r>
      <t>2</t>
    </r>
    <r>
      <rPr>
        <sz val="12"/>
        <rFont val="新細明體"/>
        <family val="1"/>
        <charset val="136"/>
      </rPr>
      <t>012.08.24</t>
    </r>
  </si>
  <si>
    <r>
      <t>2</t>
    </r>
    <r>
      <rPr>
        <sz val="12"/>
        <rFont val="新細明體"/>
        <family val="1"/>
        <charset val="136"/>
      </rPr>
      <t>012.09.24</t>
    </r>
  </si>
  <si>
    <r>
      <t>5</t>
    </r>
    <r>
      <rPr>
        <sz val="12"/>
        <rFont val="新細明體"/>
        <family val="1"/>
        <charset val="136"/>
      </rPr>
      <t>46-553</t>
    </r>
  </si>
  <si>
    <t>27355335</t>
  </si>
  <si>
    <t>DK04476408</t>
  </si>
  <si>
    <t>DK04476409</t>
  </si>
  <si>
    <r>
      <t>5</t>
    </r>
    <r>
      <rPr>
        <sz val="12"/>
        <rFont val="新細明體"/>
        <family val="1"/>
        <charset val="136"/>
      </rPr>
      <t>54-561</t>
    </r>
  </si>
  <si>
    <t>22585148</t>
  </si>
  <si>
    <t>EY04521000</t>
  </si>
  <si>
    <r>
      <t>2</t>
    </r>
    <r>
      <rPr>
        <sz val="12"/>
        <rFont val="新細明體"/>
        <family val="1"/>
        <charset val="136"/>
      </rPr>
      <t>012.10.25</t>
    </r>
  </si>
  <si>
    <r>
      <t>2</t>
    </r>
    <r>
      <rPr>
        <sz val="12"/>
        <rFont val="新細明體"/>
        <family val="1"/>
        <charset val="136"/>
      </rPr>
      <t>012.09.19</t>
    </r>
  </si>
  <si>
    <t>作癈</t>
  </si>
  <si>
    <t>GM26847000</t>
  </si>
  <si>
    <t>亦采</t>
  </si>
  <si>
    <r>
      <t>5</t>
    </r>
    <r>
      <rPr>
        <sz val="12"/>
        <rFont val="新細明體"/>
        <family val="1"/>
        <charset val="136"/>
      </rPr>
      <t>83-590</t>
    </r>
  </si>
  <si>
    <t>53937169</t>
  </si>
  <si>
    <r>
      <t>5</t>
    </r>
    <r>
      <rPr>
        <sz val="12"/>
        <rFont val="新細明體"/>
        <family val="1"/>
        <charset val="136"/>
      </rPr>
      <t>91-598</t>
    </r>
  </si>
  <si>
    <t>599-606</t>
  </si>
  <si>
    <t>97417777</t>
  </si>
  <si>
    <t>571-578</t>
  </si>
  <si>
    <t>01014093</t>
  </si>
  <si>
    <t>563-570</t>
  </si>
  <si>
    <t>97077763</t>
  </si>
  <si>
    <t>07656431</t>
  </si>
  <si>
    <t>53456020</t>
  </si>
  <si>
    <t>607-614</t>
  </si>
  <si>
    <t>22909456</t>
  </si>
  <si>
    <t>8票</t>
  </si>
  <si>
    <t>2010.12.29</t>
  </si>
  <si>
    <t>CN5130407</t>
  </si>
  <si>
    <t>2011.01.01</t>
  </si>
  <si>
    <t>CN5130409</t>
  </si>
  <si>
    <t>CN5130408</t>
  </si>
  <si>
    <t>2011.07.01</t>
  </si>
  <si>
    <t>CN5130410</t>
  </si>
  <si>
    <t>2011.10.01</t>
  </si>
  <si>
    <t>CN5130411</t>
  </si>
  <si>
    <t>2012.01.01</t>
  </si>
  <si>
    <t>CN5130413</t>
  </si>
  <si>
    <t>2012.04.01</t>
  </si>
  <si>
    <t>CN5130412</t>
  </si>
  <si>
    <t>2012.07.01</t>
  </si>
  <si>
    <t>CN5130414</t>
  </si>
  <si>
    <t>2012.10.01</t>
  </si>
  <si>
    <t>ED4029639</t>
  </si>
  <si>
    <t>ED4029640</t>
  </si>
  <si>
    <t>ED4029641</t>
  </si>
  <si>
    <t>ED4029642</t>
  </si>
  <si>
    <t>ED4029643</t>
  </si>
  <si>
    <t>ED4029644</t>
  </si>
  <si>
    <t>ED4029645</t>
  </si>
  <si>
    <t>ED4029646</t>
  </si>
  <si>
    <t>2012.10.31</t>
  </si>
  <si>
    <t>ED1772831</t>
  </si>
  <si>
    <t>大碩</t>
  </si>
  <si>
    <t>BN1193731</t>
  </si>
  <si>
    <t>BN1193732</t>
  </si>
  <si>
    <t>BN1193733</t>
  </si>
  <si>
    <t>20120528</t>
    <phoneticPr fontId="3" type="noConversion"/>
  </si>
  <si>
    <t>QU03166255</t>
  </si>
  <si>
    <t>QU03166258</t>
  </si>
  <si>
    <t>QU03166259</t>
  </si>
  <si>
    <t>兌現金額</t>
  </si>
  <si>
    <t>2011.7.31</t>
  </si>
  <si>
    <t>BA4419097</t>
  </si>
  <si>
    <t>HS0131175</t>
  </si>
  <si>
    <t>2011.8.5</t>
  </si>
  <si>
    <t>AA4032042</t>
  </si>
  <si>
    <t>2011.8.10</t>
  </si>
  <si>
    <t>CN0084703</t>
  </si>
  <si>
    <t>2011.8.15</t>
  </si>
  <si>
    <t>CB0204523</t>
  </si>
  <si>
    <t>BO0443465</t>
  </si>
  <si>
    <t>2011.8.20</t>
  </si>
  <si>
    <t>CT1490688</t>
  </si>
  <si>
    <t>2011.8.25</t>
  </si>
  <si>
    <t>AU0517081</t>
  </si>
  <si>
    <t>2011.8.26</t>
  </si>
  <si>
    <t>FS0007070</t>
  </si>
  <si>
    <t>BI1217543</t>
  </si>
  <si>
    <t>2011應收帳款</t>
  </si>
  <si>
    <t>尚肯HU25771756-代購</t>
  </si>
  <si>
    <t>尚肯JU25967119-7</t>
  </si>
  <si>
    <t>明惠JU25967116-7</t>
  </si>
  <si>
    <t>金御JU25967135-6</t>
  </si>
  <si>
    <t>信彰JU25967112-8</t>
  </si>
  <si>
    <t>洋忠WW40344443-12</t>
  </si>
  <si>
    <t>晨祈社HU25771760-9</t>
  </si>
  <si>
    <t>晨祈社JU25967154-10</t>
  </si>
  <si>
    <t>富擎天JU25967148-24</t>
  </si>
  <si>
    <t>依德 7x20475</t>
  </si>
  <si>
    <t>鎔德 7x20475</t>
  </si>
  <si>
    <t>宇權</t>
    <phoneticPr fontId="3" type="noConversion"/>
  </si>
  <si>
    <t>祥晨WB9395133-5</t>
  </si>
  <si>
    <t>祥晨WB9395134-6</t>
  </si>
  <si>
    <t>祥晨WB9395135-7</t>
  </si>
  <si>
    <t>祥晨WB9395136-8</t>
  </si>
  <si>
    <t>統安DKA0119856-4</t>
  </si>
  <si>
    <t>統安DKA0119857-5</t>
  </si>
  <si>
    <t>統安DKA0119858-6</t>
  </si>
  <si>
    <t>統安DKA0119859-7</t>
  </si>
  <si>
    <t>統安DKA0119860-8</t>
  </si>
  <si>
    <t>崴凌EC0230554-2</t>
  </si>
  <si>
    <t>崴凌EC0230555-3</t>
  </si>
  <si>
    <t>崴凌EC0230556-4</t>
  </si>
  <si>
    <t>崴凌EC0230557-5</t>
  </si>
  <si>
    <t>崴凌EC0230553-1</t>
  </si>
  <si>
    <t>崴凌EC0230558-6</t>
  </si>
  <si>
    <t>崴凌EC0230559-7</t>
  </si>
  <si>
    <t>崴凌EC0230560-8</t>
  </si>
  <si>
    <t>晶元BZ0087633-1+2</t>
  </si>
  <si>
    <t>晶元BZ0087634-3+4</t>
  </si>
  <si>
    <t>晶元BZ0087635-5+6</t>
  </si>
  <si>
    <t>晶元BZ0087636-7+8</t>
  </si>
  <si>
    <t>港岱A0777923-3</t>
  </si>
  <si>
    <t>港岱A0777924-4</t>
  </si>
  <si>
    <t>港岱A0777925-5</t>
  </si>
  <si>
    <t>港岱A0777926-6</t>
  </si>
  <si>
    <t>港岱A0777927-7</t>
  </si>
  <si>
    <t>港岱A0777928-8</t>
  </si>
  <si>
    <t>BN1193734</t>
  </si>
  <si>
    <t>BN1193735</t>
  </si>
  <si>
    <t>BN1193736</t>
  </si>
  <si>
    <t>BN1193737</t>
  </si>
  <si>
    <t>BN1193738</t>
  </si>
  <si>
    <t>UW1138866</t>
  </si>
  <si>
    <t>UW1138867</t>
  </si>
  <si>
    <t>2011.06.01</t>
  </si>
  <si>
    <t>UW1138868</t>
  </si>
  <si>
    <t>2011.09.01</t>
  </si>
  <si>
    <t>UW1138869</t>
  </si>
  <si>
    <t>2011.12.01</t>
  </si>
  <si>
    <t>UW1138870</t>
  </si>
  <si>
    <t>2012.03.01</t>
  </si>
  <si>
    <t>UW1138871</t>
  </si>
  <si>
    <t>2012.06.01</t>
  </si>
  <si>
    <t>UW1138872</t>
  </si>
  <si>
    <t>2012.09.01</t>
  </si>
  <si>
    <t>UW1138873</t>
  </si>
  <si>
    <t>2012.12.01</t>
  </si>
  <si>
    <t>BN6983536</t>
  </si>
  <si>
    <t>BN6983537</t>
  </si>
  <si>
    <t>BN6983538</t>
  </si>
  <si>
    <t>BN6983539</t>
  </si>
  <si>
    <t>BN6983540</t>
  </si>
  <si>
    <t>BN6983541</t>
  </si>
  <si>
    <t>BN6983542</t>
  </si>
  <si>
    <t>2012.11.15</t>
  </si>
  <si>
    <t>BN6983543</t>
  </si>
  <si>
    <t>2011.03.08</t>
  </si>
  <si>
    <t>DD0284223</t>
  </si>
  <si>
    <t>DD0284224</t>
  </si>
  <si>
    <t>DD0284225</t>
  </si>
  <si>
    <t>2011.10.05</t>
  </si>
  <si>
    <t>DD0284226</t>
  </si>
  <si>
    <t>2011應收帳款,2012.01.12存票</t>
  </si>
  <si>
    <t>ED1739212</t>
  </si>
  <si>
    <t>鉑德 6x20475</t>
  </si>
  <si>
    <t>利慧泰FAZ699303-3</t>
  </si>
  <si>
    <t>利慧泰FAZ699305-5</t>
  </si>
  <si>
    <t>利慧泰FAZ699306-6</t>
  </si>
  <si>
    <t>利慧泰FAZ699307-7</t>
  </si>
  <si>
    <t>利慧泰FAZ699308-8</t>
  </si>
  <si>
    <t>利慧泰FAZ699310-4</t>
  </si>
  <si>
    <t>杉坤OC2025695-3</t>
  </si>
  <si>
    <t>杉坤OC2025696-4</t>
  </si>
  <si>
    <t>杉坤OC2025697-5</t>
  </si>
  <si>
    <t>杉坤OC2025698-6</t>
  </si>
  <si>
    <t>杉坤OC2025699-7</t>
  </si>
  <si>
    <t>杉坤OC2025700-8</t>
  </si>
  <si>
    <t>沛倫NC4415052-4</t>
  </si>
  <si>
    <t>沛倫NC4415053-5</t>
  </si>
  <si>
    <t>沛倫NC4415054-6</t>
  </si>
  <si>
    <t>沛倫NC4415055-7</t>
  </si>
  <si>
    <t>沛倫NC4415056-8</t>
  </si>
  <si>
    <t>佳尼特IC9548059-2</t>
  </si>
  <si>
    <t>佳尼特IC9548060-3</t>
  </si>
  <si>
    <t>2011.04.05</t>
  </si>
  <si>
    <t>UB5814647</t>
  </si>
  <si>
    <t>CA1359623</t>
  </si>
  <si>
    <t>CA1359624</t>
  </si>
  <si>
    <t>CA1359625</t>
  </si>
  <si>
    <t>2011.12.31</t>
  </si>
  <si>
    <t>CA1359626</t>
  </si>
  <si>
    <t>CA1359627</t>
  </si>
  <si>
    <t>CA1359628</t>
  </si>
  <si>
    <t>CA1359629</t>
  </si>
  <si>
    <t>2012.12.31</t>
  </si>
  <si>
    <t>CA1359630</t>
  </si>
  <si>
    <t>AD7067655</t>
  </si>
  <si>
    <t>AD7067656</t>
  </si>
  <si>
    <t>AD7067657</t>
  </si>
  <si>
    <t>AD7067658</t>
  </si>
  <si>
    <t>AD7067659</t>
  </si>
  <si>
    <t>AD7067660</t>
  </si>
  <si>
    <t>AD7067661</t>
  </si>
  <si>
    <t>AD7067662</t>
  </si>
  <si>
    <t>柏周</t>
  </si>
  <si>
    <t>AY2259615</t>
  </si>
  <si>
    <t>AY2259616</t>
  </si>
  <si>
    <t>AY2259617</t>
  </si>
  <si>
    <t>AY2259618</t>
  </si>
  <si>
    <t>AY2259619</t>
  </si>
  <si>
    <t>AY2259620</t>
  </si>
  <si>
    <t>AY2259621</t>
  </si>
  <si>
    <t>2012.11.29</t>
  </si>
  <si>
    <t>AY2259622</t>
  </si>
  <si>
    <t>UB5814692</t>
  </si>
  <si>
    <t>ED1782439</t>
  </si>
  <si>
    <t>2011.07.05</t>
  </si>
  <si>
    <t>2011.07.13</t>
  </si>
  <si>
    <t>祥和</t>
  </si>
  <si>
    <t>HN1257087</t>
  </si>
  <si>
    <t>HN1257088</t>
  </si>
  <si>
    <t>HN1257089</t>
  </si>
  <si>
    <t>HN1257090</t>
  </si>
  <si>
    <t>HN1257091</t>
  </si>
  <si>
    <t>HN1257092</t>
  </si>
  <si>
    <t>HN1257093</t>
  </si>
  <si>
    <t>2013.01.01</t>
  </si>
  <si>
    <t>HN1257094</t>
  </si>
  <si>
    <t>2013.04.01</t>
  </si>
  <si>
    <t>UA1024209</t>
  </si>
  <si>
    <t>UA1024210</t>
  </si>
  <si>
    <t>UA1024211</t>
  </si>
  <si>
    <t>UA1024212</t>
  </si>
  <si>
    <t>UA1024213</t>
  </si>
  <si>
    <t>UA1024214</t>
  </si>
  <si>
    <t>UA1024215</t>
  </si>
  <si>
    <t>UA1024216</t>
  </si>
  <si>
    <t>施舒雅</t>
  </si>
  <si>
    <t>UB5818723</t>
  </si>
  <si>
    <t>ED1814120</t>
  </si>
  <si>
    <t>2011.09.05</t>
  </si>
  <si>
    <t>HTA1643720</t>
  </si>
  <si>
    <t>2011.10.08</t>
  </si>
  <si>
    <t>HTA1643721</t>
  </si>
  <si>
    <t>2011.11.08</t>
  </si>
  <si>
    <t>HTA1643722</t>
  </si>
  <si>
    <t>2012.02.08</t>
  </si>
  <si>
    <t>HTA1643723</t>
  </si>
  <si>
    <t>2012.05.08</t>
  </si>
  <si>
    <t>HTA1643724</t>
  </si>
  <si>
    <t>2012.08.08</t>
  </si>
  <si>
    <t>HTA1643725</t>
  </si>
  <si>
    <t>2012.11.08</t>
  </si>
  <si>
    <t>HTA1643726</t>
  </si>
  <si>
    <t>2013.02.08</t>
  </si>
  <si>
    <t>HTA1643727</t>
  </si>
  <si>
    <t>2013.05.08</t>
  </si>
  <si>
    <t>2011.10.03</t>
  </si>
  <si>
    <t>2011.10.07</t>
  </si>
  <si>
    <t>2011.11.11</t>
  </si>
  <si>
    <t>AA4032083</t>
  </si>
  <si>
    <t>AA4032084</t>
  </si>
  <si>
    <t>AA4032085</t>
  </si>
  <si>
    <t>AA4032086</t>
  </si>
  <si>
    <t>2011.11.16</t>
  </si>
  <si>
    <t>2011.10.16</t>
  </si>
  <si>
    <t>HN2875260</t>
  </si>
  <si>
    <t>DA4508942</t>
  </si>
  <si>
    <t>DA4508943</t>
  </si>
  <si>
    <t>DA4508944</t>
  </si>
  <si>
    <t>DA4508945</t>
  </si>
  <si>
    <t>2012.10.10</t>
  </si>
  <si>
    <t>DA4508946</t>
  </si>
  <si>
    <t>DA4508947</t>
  </si>
  <si>
    <t>DA4508948</t>
  </si>
  <si>
    <t>DA4508949</t>
  </si>
  <si>
    <t>2013.10.10</t>
  </si>
  <si>
    <t>2011.12.07</t>
  </si>
  <si>
    <t>FD1050922</t>
  </si>
  <si>
    <t>FD1050923</t>
  </si>
  <si>
    <t>FD1050924</t>
  </si>
  <si>
    <t>FD1050925</t>
  </si>
  <si>
    <t>FD1050926</t>
  </si>
  <si>
    <t>FD1050927</t>
  </si>
  <si>
    <t>2013.03.01</t>
  </si>
  <si>
    <t>FD1050928</t>
  </si>
  <si>
    <t>2013.06.01</t>
  </si>
  <si>
    <t>FD1050930</t>
  </si>
  <si>
    <t>2013.09.01</t>
  </si>
  <si>
    <t>2011.12.09</t>
  </si>
  <si>
    <t>2011.12.22</t>
  </si>
  <si>
    <t>GD0888706</t>
  </si>
  <si>
    <t>2012.01.05</t>
  </si>
  <si>
    <t>0票</t>
  </si>
  <si>
    <t>2012年應收票據科目明細</t>
  </si>
  <si>
    <t>2012年收票</t>
  </si>
  <si>
    <t>2013年收票</t>
  </si>
  <si>
    <t>2013.02.20</t>
  </si>
  <si>
    <t>1票</t>
  </si>
  <si>
    <t>2012匯款應收總計</t>
  </si>
  <si>
    <t>2012匯款手續費總計</t>
  </si>
  <si>
    <t>2012匯款實收總計</t>
  </si>
  <si>
    <t>(+)2012收票總計</t>
  </si>
  <si>
    <t>2012年底未兌總計</t>
  </si>
  <si>
    <t>(-)2012銀行兌現總計</t>
  </si>
  <si>
    <t>(-)2012股東往來總計</t>
  </si>
  <si>
    <t>股往暫轉應收票據</t>
  </si>
  <si>
    <t>股往暫轉應收帳款</t>
  </si>
  <si>
    <t>99122904</t>
  </si>
  <si>
    <t>蔡99/12薪等</t>
  </si>
  <si>
    <t>張99/12薪等</t>
  </si>
  <si>
    <t>冼永誠99/12薪等</t>
  </si>
  <si>
    <t>2196.100應納稅額</t>
  </si>
  <si>
    <t>99/11~12</t>
  </si>
  <si>
    <t>99122906</t>
  </si>
  <si>
    <t>99年華算進貨明細</t>
  </si>
  <si>
    <t>93年華算主機-折舊</t>
  </si>
  <si>
    <t>92年華算主機-期初</t>
  </si>
  <si>
    <t>92年華算主機-新組裝</t>
  </si>
  <si>
    <t>92年華算主機-折舊</t>
  </si>
  <si>
    <t>92年華算主機-殘值</t>
  </si>
  <si>
    <t>91年華算主機-期初</t>
  </si>
  <si>
    <t>91年華算主機-新組裝</t>
  </si>
  <si>
    <t>91年華算主機-折舊</t>
  </si>
  <si>
    <t>91年華算主機-殘值</t>
  </si>
  <si>
    <t>90年華算主機-新組裝</t>
  </si>
  <si>
    <t>買入達算主機-殘值</t>
  </si>
  <si>
    <t>90年華算主機-折舊</t>
  </si>
  <si>
    <t>90年華算主機-殘值</t>
  </si>
  <si>
    <t>2014科目明細</t>
  </si>
  <si>
    <t>2014/12/31庫存帳</t>
  </si>
  <si>
    <t>2014華算主機-期初</t>
  </si>
  <si>
    <t>2014華算主機-新組裝</t>
  </si>
  <si>
    <t>2014華算主機-折舊</t>
  </si>
  <si>
    <t>2014華算主機-殘值</t>
  </si>
  <si>
    <t>GD2845249</t>
  </si>
  <si>
    <t>2013.03.25</t>
  </si>
  <si>
    <t>2013.03.29</t>
  </si>
  <si>
    <t>GD2845250</t>
  </si>
  <si>
    <t>2013.06.25</t>
  </si>
  <si>
    <t>GD2845251</t>
  </si>
  <si>
    <t>2013.09.25</t>
  </si>
  <si>
    <t>GD2845253</t>
  </si>
  <si>
    <t>2013.12.25</t>
  </si>
  <si>
    <t>GA1057290</t>
  </si>
  <si>
    <t>2012.04.20</t>
  </si>
  <si>
    <t>GA1073502</t>
  </si>
  <si>
    <t>2012.07.20</t>
  </si>
  <si>
    <t>2012.08.26</t>
  </si>
  <si>
    <t>GA1057294</t>
  </si>
  <si>
    <t>2012.10.20</t>
  </si>
  <si>
    <t>GA1057295</t>
  </si>
  <si>
    <t>2013.01.20</t>
  </si>
  <si>
    <t>GA1057296</t>
  </si>
  <si>
    <t>2013.04.20</t>
  </si>
  <si>
    <t>GA1057297</t>
  </si>
  <si>
    <t>2013.07.20</t>
  </si>
  <si>
    <t>GA1057298</t>
  </si>
  <si>
    <t>2013.10.20</t>
  </si>
  <si>
    <t>GA1057300</t>
  </si>
  <si>
    <t>2014.01.20</t>
  </si>
  <si>
    <t>FN2599800</t>
  </si>
  <si>
    <t>FN2599801</t>
  </si>
  <si>
    <t>FN2599802</t>
  </si>
  <si>
    <t>FN2599803</t>
  </si>
  <si>
    <t>FN2599804</t>
  </si>
  <si>
    <t>FN2599805</t>
  </si>
  <si>
    <t>2013.07.01</t>
  </si>
  <si>
    <t>FN2599806</t>
  </si>
  <si>
    <t>2013.10.01</t>
  </si>
  <si>
    <t>FN2599807</t>
  </si>
  <si>
    <t>2014.01.01</t>
  </si>
  <si>
    <t>BA2546355</t>
  </si>
  <si>
    <t>BA2546356</t>
  </si>
  <si>
    <t>BA2546357</t>
  </si>
  <si>
    <t>BA2546358</t>
  </si>
  <si>
    <t>BA2546359</t>
  </si>
  <si>
    <t>BA2546360</t>
  </si>
  <si>
    <t>2013.07.31</t>
  </si>
  <si>
    <t>BA2546361</t>
  </si>
  <si>
    <t>2013.10.31</t>
  </si>
  <si>
    <t>BA2546362</t>
  </si>
  <si>
    <t>2014.01.31</t>
  </si>
  <si>
    <t>宇陽</t>
  </si>
  <si>
    <t>XV0189703</t>
  </si>
  <si>
    <t>XV0189704</t>
  </si>
  <si>
    <t>2012.08.31</t>
  </si>
  <si>
    <t>XV0189705</t>
  </si>
  <si>
    <t>XV0189706</t>
  </si>
  <si>
    <t>XV0189707</t>
  </si>
  <si>
    <t>XV0189708</t>
  </si>
  <si>
    <t>2013.08.31</t>
  </si>
  <si>
    <t>XV0189709</t>
  </si>
  <si>
    <t>2013.11.30</t>
  </si>
  <si>
    <t>XV0189710</t>
  </si>
  <si>
    <t>2014.02.28</t>
  </si>
  <si>
    <t>2012.06.04</t>
  </si>
  <si>
    <t>ED6812299</t>
  </si>
  <si>
    <t>ED6792300</t>
  </si>
  <si>
    <t>ED6812301</t>
  </si>
  <si>
    <t>ED6812302</t>
  </si>
  <si>
    <t>2012.06.06</t>
  </si>
  <si>
    <t>CN0119591</t>
  </si>
  <si>
    <t>CN0119592</t>
  </si>
  <si>
    <t>CN0119594</t>
  </si>
  <si>
    <t>CN0119596</t>
  </si>
  <si>
    <t>2013.03.10</t>
  </si>
  <si>
    <t>2013.03.11</t>
  </si>
  <si>
    <t>CN0119597</t>
  </si>
  <si>
    <t>2013.06.10</t>
  </si>
  <si>
    <t>CN0119598</t>
  </si>
  <si>
    <t>2013.09.10</t>
  </si>
  <si>
    <t>CN0119599</t>
  </si>
  <si>
    <t>2013.12.10</t>
  </si>
  <si>
    <t>CN0119600</t>
  </si>
  <si>
    <t>2014.03.10</t>
  </si>
  <si>
    <t>2012.06.15</t>
  </si>
  <si>
    <t>2012.06.20</t>
  </si>
  <si>
    <t>CT1491496</t>
  </si>
  <si>
    <t>CT1491497</t>
  </si>
  <si>
    <t>CT1491498</t>
  </si>
  <si>
    <t>CT1491499</t>
  </si>
  <si>
    <t>2013.03.20</t>
  </si>
  <si>
    <t>CT1491500</t>
  </si>
  <si>
    <t>2013.06.20</t>
  </si>
  <si>
    <t>CT1491501</t>
  </si>
  <si>
    <t>2013.09.20</t>
  </si>
  <si>
    <t>CT1491502</t>
  </si>
  <si>
    <t>2013.12.20</t>
  </si>
  <si>
    <t>2014.03.20</t>
  </si>
  <si>
    <t>GD0925524</t>
  </si>
  <si>
    <t>品固TW</t>
  </si>
  <si>
    <t>AD7506442</t>
  </si>
  <si>
    <t>AD7506443</t>
  </si>
  <si>
    <t>2012.10.05</t>
  </si>
  <si>
    <t>AD7506444</t>
  </si>
  <si>
    <t>2013.01.05</t>
  </si>
  <si>
    <t>AD7506445</t>
  </si>
  <si>
    <t>2013.04.05</t>
  </si>
  <si>
    <t>AD7506446</t>
  </si>
  <si>
    <t>2013.07.05</t>
  </si>
  <si>
    <t>AD7506447</t>
  </si>
  <si>
    <t>2013.10.05</t>
  </si>
  <si>
    <t>AD7506448</t>
  </si>
  <si>
    <t>2014.01.05</t>
  </si>
  <si>
    <t>AD7506449</t>
  </si>
  <si>
    <t>2014.04.05</t>
  </si>
  <si>
    <t>品固CN</t>
  </si>
  <si>
    <t>DA2693543</t>
  </si>
  <si>
    <t>DA2693544</t>
  </si>
  <si>
    <t>DA2693545</t>
  </si>
  <si>
    <t>DA2693546</t>
  </si>
  <si>
    <t>DA2693547</t>
  </si>
  <si>
    <t>DA2693548</t>
  </si>
  <si>
    <t>DA2693549</t>
  </si>
  <si>
    <t>DA2693550</t>
  </si>
  <si>
    <t>CA8148172</t>
  </si>
  <si>
    <t>2012.06.29</t>
  </si>
  <si>
    <t>BC4854332</t>
  </si>
  <si>
    <t>BC4854333</t>
  </si>
  <si>
    <t>BC4854334</t>
  </si>
  <si>
    <t>BC4854335</t>
  </si>
  <si>
    <t>2013.03.18</t>
  </si>
  <si>
    <t>BC4854336</t>
  </si>
  <si>
    <t>2013.06.18</t>
  </si>
  <si>
    <t>BC4854337</t>
  </si>
  <si>
    <t>2013.09.18</t>
  </si>
  <si>
    <t>BC4854338</t>
  </si>
  <si>
    <t>2013.12.18</t>
  </si>
  <si>
    <t>BC4854339</t>
  </si>
  <si>
    <t>2014.03.18</t>
  </si>
  <si>
    <t>2012.08.24</t>
  </si>
  <si>
    <t>CA8143505</t>
  </si>
  <si>
    <t>AD7776973</t>
  </si>
  <si>
    <t>AD7776974</t>
  </si>
  <si>
    <t>AD7776975</t>
  </si>
  <si>
    <t>2013.03.1</t>
  </si>
  <si>
    <t>AD7776976</t>
  </si>
  <si>
    <t>2013.05.31</t>
  </si>
  <si>
    <t>AD7776977</t>
  </si>
  <si>
    <t>AD7776978</t>
  </si>
  <si>
    <t>AD7776979</t>
  </si>
  <si>
    <t>AD7776980</t>
  </si>
  <si>
    <t>2014.05.31</t>
  </si>
  <si>
    <t>2012.08.27</t>
  </si>
  <si>
    <t>BA4582969</t>
  </si>
  <si>
    <t>BA4582970</t>
  </si>
  <si>
    <t>BA4582971</t>
  </si>
  <si>
    <t>BA4582972</t>
  </si>
  <si>
    <t>BA4582973</t>
  </si>
  <si>
    <t>BA4582974</t>
  </si>
  <si>
    <t>BA4582975</t>
  </si>
  <si>
    <t>BA4582976</t>
  </si>
  <si>
    <t>AA6966378</t>
  </si>
  <si>
    <t>AA6966379</t>
  </si>
  <si>
    <t>AA6966395</t>
  </si>
  <si>
    <t>AA6966396</t>
  </si>
  <si>
    <t>AA6966397</t>
  </si>
  <si>
    <t>AA6966394</t>
  </si>
  <si>
    <t>AA6966399</t>
  </si>
  <si>
    <t>2014.01.02</t>
  </si>
  <si>
    <t>AA6966400</t>
  </si>
  <si>
    <t>2014.04.01</t>
  </si>
  <si>
    <t>2012.09.07</t>
  </si>
  <si>
    <t>2012.09.19</t>
  </si>
  <si>
    <t>GD0952721</t>
  </si>
  <si>
    <t>AA3930669</t>
  </si>
  <si>
    <t>2013.03.17</t>
  </si>
  <si>
    <t>2013.06.17</t>
  </si>
  <si>
    <t>2013.09.17</t>
  </si>
  <si>
    <t>2013.12.17</t>
  </si>
  <si>
    <t>2014.03.17</t>
  </si>
  <si>
    <t>2014.06.17</t>
  </si>
  <si>
    <t>2014.09.17</t>
  </si>
  <si>
    <t>MC0880619</t>
  </si>
  <si>
    <t>2013.12.01</t>
  </si>
  <si>
    <t>2014.03.01</t>
  </si>
  <si>
    <t>2014.06.01</t>
  </si>
  <si>
    <t>2014.09.01</t>
  </si>
  <si>
    <t>2012.11.19</t>
  </si>
  <si>
    <t>BA1252520</t>
  </si>
  <si>
    <t>2013.05.20</t>
  </si>
  <si>
    <t>2013.08.20</t>
  </si>
  <si>
    <t>亦采戈采</t>
  </si>
  <si>
    <t>BH0395871</t>
  </si>
  <si>
    <t>2012.12.15</t>
  </si>
  <si>
    <t>2013.03.15</t>
  </si>
  <si>
    <t>2013.06.15</t>
  </si>
  <si>
    <t>BH0399276</t>
  </si>
  <si>
    <t>2013.09.15</t>
  </si>
  <si>
    <t>2013.12.15</t>
  </si>
  <si>
    <t>2014.03.15</t>
  </si>
  <si>
    <t>2014.06.15</t>
  </si>
  <si>
    <t>2014.09.15</t>
  </si>
  <si>
    <t>2012.11.22</t>
  </si>
  <si>
    <t>GD2901101</t>
  </si>
  <si>
    <t>2012.11.27</t>
  </si>
  <si>
    <t>YMA0719682</t>
  </si>
  <si>
    <t>2012.11.25</t>
  </si>
  <si>
    <t>2013.05.25</t>
  </si>
  <si>
    <t>2013.08.25</t>
  </si>
  <si>
    <t>2013.11.25</t>
  </si>
  <si>
    <t>2014.02.25</t>
  </si>
  <si>
    <t>2014.05.25</t>
  </si>
  <si>
    <t>2014.08.25</t>
  </si>
  <si>
    <t>HS0308899</t>
  </si>
  <si>
    <t>ada-2009/11,12月</t>
  </si>
  <si>
    <t>詩-電費漏付</t>
  </si>
  <si>
    <t>1194.100進項稅額</t>
  </si>
  <si>
    <t>JW37736635</t>
  </si>
  <si>
    <t>JW37737046</t>
  </si>
  <si>
    <t>JW37487073</t>
  </si>
  <si>
    <t>981117</t>
  </si>
  <si>
    <t>LAN</t>
  </si>
  <si>
    <t>小計</t>
  </si>
  <si>
    <t>合計</t>
  </si>
  <si>
    <t>東電CR6794855-2</t>
  </si>
  <si>
    <t>東電CR6794856-3</t>
  </si>
  <si>
    <t>東電CR6794857-4</t>
  </si>
  <si>
    <t>東電CR6794858-5</t>
  </si>
  <si>
    <t>東電CR6794859-6</t>
  </si>
  <si>
    <t>科目</t>
  </si>
  <si>
    <t>2011.5.10</t>
  </si>
  <si>
    <t>CN0084702</t>
  </si>
  <si>
    <t>2011.5.15</t>
  </si>
  <si>
    <t>CB0204522</t>
  </si>
  <si>
    <t>BO0443464</t>
  </si>
  <si>
    <t>2011.5.20</t>
  </si>
  <si>
    <t>CT1490687</t>
  </si>
  <si>
    <t>2011.5.25</t>
  </si>
  <si>
    <t>AU0517080</t>
  </si>
  <si>
    <t>2011.5.26</t>
  </si>
  <si>
    <t>FS0007069</t>
  </si>
  <si>
    <t>BI1217542</t>
  </si>
  <si>
    <t>2011.5.30</t>
  </si>
  <si>
    <t>AD7685370</t>
  </si>
  <si>
    <t>2011.6.1</t>
  </si>
  <si>
    <t>EA3724457</t>
  </si>
  <si>
    <t>CN0051149</t>
  </si>
  <si>
    <t>2011.6.15</t>
  </si>
  <si>
    <t>AA3419076</t>
  </si>
  <si>
    <t>CA0292290</t>
  </si>
  <si>
    <t>2011.6.20</t>
  </si>
  <si>
    <t>AD7773395</t>
  </si>
  <si>
    <t>2011.6.25</t>
  </si>
  <si>
    <t>DD6593336</t>
  </si>
  <si>
    <t>2011.7.1</t>
  </si>
  <si>
    <t>AD7325168</t>
  </si>
  <si>
    <t>AD8712616</t>
  </si>
  <si>
    <t>2011.7.5</t>
  </si>
  <si>
    <t>BA8300736</t>
  </si>
  <si>
    <t>AD7390123</t>
  </si>
  <si>
    <t>2011.7.18</t>
  </si>
  <si>
    <t>BC4853949</t>
  </si>
  <si>
    <t>2011.7.19</t>
  </si>
  <si>
    <t>AA3825082</t>
  </si>
  <si>
    <t>未收款</t>
  </si>
  <si>
    <t>匯費</t>
  </si>
  <si>
    <t>永馳</t>
  </si>
  <si>
    <t>威視</t>
  </si>
  <si>
    <t>裕恆</t>
  </si>
  <si>
    <t>邁拓</t>
  </si>
  <si>
    <t>LAN</t>
  </si>
  <si>
    <t>晨宇</t>
  </si>
  <si>
    <t>庭田FS0002736-6</t>
  </si>
  <si>
    <t>庭田FS0002737-7</t>
  </si>
  <si>
    <t>庭田FS0002738-8</t>
  </si>
  <si>
    <t>浩檀CI8154151-3</t>
  </si>
  <si>
    <t>浩檀CI8154152-4</t>
  </si>
  <si>
    <t>浩檀CI8154153-5</t>
  </si>
  <si>
    <t>浩檀CI8154154-6</t>
  </si>
  <si>
    <t>支票金額</t>
  </si>
  <si>
    <t>已收流水</t>
  </si>
  <si>
    <t>合計金額</t>
  </si>
  <si>
    <t>說明</t>
  </si>
  <si>
    <t>未兌金額</t>
  </si>
  <si>
    <t>折讓</t>
  </si>
  <si>
    <t>紡慶-5 950606</t>
  </si>
  <si>
    <t>紡慶-6 950906</t>
  </si>
  <si>
    <t>紡慶-7 951206</t>
  </si>
  <si>
    <t>紡慶-8 960306</t>
  </si>
  <si>
    <t>2131.100預收貨款</t>
  </si>
  <si>
    <t>晶元YU25892120-24(5Q)</t>
  </si>
  <si>
    <t>網域註冊費</t>
  </si>
  <si>
    <t>宇法健保-饒-9311</t>
  </si>
  <si>
    <t>D4020501</t>
  </si>
  <si>
    <t>機票(台北-LA)</t>
  </si>
  <si>
    <t>宇法健保-饒-9401</t>
  </si>
  <si>
    <t>代墊勞保-9402</t>
  </si>
  <si>
    <t>代墊健保-9402</t>
  </si>
  <si>
    <t>饒借支940302-1</t>
  </si>
  <si>
    <t>饒借支940304-1</t>
  </si>
  <si>
    <t>機票(台北-香港)-張</t>
  </si>
  <si>
    <t>機票(台北-香港)-饒</t>
  </si>
  <si>
    <t>饒借支940311-1</t>
  </si>
  <si>
    <t>饒借支940323-2</t>
  </si>
  <si>
    <t>饒借支940323-1</t>
  </si>
  <si>
    <t>饒借支940325-1</t>
  </si>
  <si>
    <t>代墊勞保-9403</t>
  </si>
  <si>
    <t>代墊健保-9403</t>
  </si>
  <si>
    <t>機票(台北-LA)-饒</t>
  </si>
  <si>
    <t>代墊保勞保-9404</t>
  </si>
  <si>
    <t>代墊健健保-9404</t>
  </si>
  <si>
    <t>饒借支940513-1</t>
  </si>
  <si>
    <t>饒借支940516-1</t>
  </si>
  <si>
    <t>饒借支940520-1</t>
  </si>
  <si>
    <t>饒借支940520-2</t>
  </si>
  <si>
    <t>饒借支940525-1</t>
  </si>
  <si>
    <t>代墊勞保-9405</t>
  </si>
  <si>
    <t>代墊健保-9405</t>
  </si>
  <si>
    <t>代扣健保-9407</t>
  </si>
  <si>
    <t>機票(台北-香港)-沈</t>
  </si>
  <si>
    <t>機票(台北-香港)</t>
  </si>
  <si>
    <t>代墊勞保-9404</t>
  </si>
  <si>
    <t>代墊健保-9404</t>
  </si>
  <si>
    <t>饒借支94061501</t>
  </si>
  <si>
    <t>1-6月利息收入扣繳</t>
  </si>
  <si>
    <t>饒借支940620-1</t>
  </si>
  <si>
    <t>代墊勞保-9406</t>
  </si>
  <si>
    <t>預付健保-9406/7</t>
  </si>
  <si>
    <t>饒借支940707-1</t>
  </si>
  <si>
    <t>代扣健保-9406/7</t>
  </si>
  <si>
    <t>預付健保-9408/9</t>
  </si>
  <si>
    <t>借支-9409</t>
  </si>
  <si>
    <t>饒借支-940808-1</t>
  </si>
  <si>
    <t>台胞證加簽-張</t>
  </si>
  <si>
    <t>代墊費-沈</t>
  </si>
  <si>
    <t>饒借支940907-1</t>
  </si>
  <si>
    <t>機票(台北-LA)-陳</t>
  </si>
  <si>
    <t>饒借支(花旗)</t>
  </si>
  <si>
    <t>饒借支(電話費)</t>
  </si>
  <si>
    <t>饒借支941013-1</t>
  </si>
  <si>
    <t>饒借支94102102(機票)</t>
  </si>
  <si>
    <t>機票(台北-LA)-王</t>
  </si>
  <si>
    <t>饒借支94102501(ebay)</t>
  </si>
  <si>
    <t>饒借支94102502(電話)</t>
  </si>
  <si>
    <t>2013.02.05</t>
  </si>
  <si>
    <t>101/12</t>
  </si>
  <si>
    <t>101/12</t>
  </si>
  <si>
    <t>101/12</t>
  </si>
  <si>
    <t>101/12</t>
  </si>
  <si>
    <t>楊博欽</t>
  </si>
  <si>
    <t>達信用卡2012/12月</t>
  </si>
  <si>
    <t>達信用卡2013/1月</t>
  </si>
  <si>
    <t>調整薪資DV</t>
  </si>
  <si>
    <t>2012/11~12</t>
  </si>
  <si>
    <t>20121108</t>
  </si>
  <si>
    <t>20121210</t>
  </si>
  <si>
    <t>邁拓XC2169678-6</t>
  </si>
  <si>
    <t>邁拓XC2169679-7</t>
  </si>
  <si>
    <t>邁拓XC2169680-8</t>
  </si>
  <si>
    <t>邁登GH3204548-3</t>
  </si>
  <si>
    <t>邁登GH3204549-4</t>
  </si>
  <si>
    <t>邁登GH3204550-5</t>
  </si>
  <si>
    <t>邁登GH3204551-6</t>
  </si>
  <si>
    <t>邁登GH3204552-7</t>
  </si>
  <si>
    <t>GM26847004</t>
  </si>
  <si>
    <t>GM26847005</t>
  </si>
  <si>
    <t>GM26847006</t>
  </si>
  <si>
    <t>GM26847007</t>
  </si>
  <si>
    <t>GM26847008</t>
  </si>
  <si>
    <t>GM26847009</t>
  </si>
  <si>
    <t>GM26847010</t>
  </si>
  <si>
    <t>GM26847011</t>
  </si>
  <si>
    <t>GM26847012</t>
  </si>
  <si>
    <t>GM26847013</t>
  </si>
  <si>
    <t>流水號</t>
  </si>
  <si>
    <t>2011年底未兌總計</t>
  </si>
  <si>
    <t>2011年收票</t>
  </si>
  <si>
    <t>浩檀CI8154155-7</t>
  </si>
  <si>
    <t>浩檀CI8154156-8</t>
  </si>
  <si>
    <t>紡慶FK9310444-4</t>
  </si>
  <si>
    <t>紡慶FK9310445-5</t>
  </si>
  <si>
    <t>紡慶FK9310446-6</t>
  </si>
  <si>
    <t>紡慶FK9310447-7</t>
  </si>
  <si>
    <t>紡慶FK9310448-8</t>
  </si>
  <si>
    <t>能昉UA6827005-5</t>
  </si>
  <si>
    <t>能昉UA6827006-6</t>
  </si>
  <si>
    <t>能昉UA6827007-7</t>
  </si>
  <si>
    <t>能昉UA6827008-8</t>
  </si>
  <si>
    <t>高昌PC0028972-4</t>
  </si>
  <si>
    <t>高昌PC0028973-5</t>
  </si>
  <si>
    <t>高昌PC0028974-6</t>
  </si>
  <si>
    <t>高昌PC0028975-7</t>
  </si>
  <si>
    <t>高昌PC0028976-8</t>
  </si>
  <si>
    <t>商裔0464081-2</t>
  </si>
  <si>
    <t>商裔0464082-3</t>
  </si>
  <si>
    <t>商裔0464083-4</t>
  </si>
  <si>
    <t>商裔0464084-5</t>
  </si>
  <si>
    <t>商裔0464085-6</t>
  </si>
  <si>
    <t>商裔0464086-7</t>
  </si>
  <si>
    <t>商裔0464087-8</t>
  </si>
  <si>
    <t>寂天CE0007763-3</t>
  </si>
  <si>
    <t>退回</t>
  </si>
  <si>
    <t>服收扣預收</t>
  </si>
  <si>
    <t>2011.11.25</t>
  </si>
  <si>
    <t>AU0517082</t>
  </si>
  <si>
    <t>2011.11.26</t>
  </si>
  <si>
    <t>FS0007071</t>
  </si>
  <si>
    <t>BI1217544</t>
  </si>
  <si>
    <t>2011.11.30</t>
  </si>
  <si>
    <t>AD7685372</t>
  </si>
  <si>
    <t>2011.12.1</t>
  </si>
  <si>
    <t>EA3724459</t>
  </si>
  <si>
    <t>CN0051151</t>
  </si>
  <si>
    <t>2011.12.15</t>
  </si>
  <si>
    <t>AA3419078</t>
  </si>
  <si>
    <t>CA0292292</t>
  </si>
  <si>
    <t>2011.12.20</t>
  </si>
  <si>
    <t>AD7773397</t>
  </si>
  <si>
    <t>鴻碩FAZ0001645-6</t>
  </si>
  <si>
    <t>鴻碩FAZ0001646-7</t>
  </si>
  <si>
    <t>鴻碩FAZ0001647-8</t>
  </si>
  <si>
    <t>穩迎AG8478412-2</t>
  </si>
  <si>
    <t>穩迎AG8478413-3</t>
  </si>
  <si>
    <t>穩迎AG8478415-4</t>
  </si>
  <si>
    <t>穩迎AG8478416-5</t>
  </si>
  <si>
    <t>穩迎AG8478417-6</t>
  </si>
  <si>
    <t>穩迎AG8478418-7</t>
  </si>
  <si>
    <t>穩迎AG8478419-8</t>
  </si>
  <si>
    <t>2121.100應付票據</t>
  </si>
  <si>
    <t>益衡AE7297841 12/31</t>
  </si>
  <si>
    <t>2123.100應付費用</t>
  </si>
  <si>
    <t>年終獎金</t>
  </si>
  <si>
    <t>健保費-9411</t>
  </si>
  <si>
    <t>健保費-9412</t>
  </si>
  <si>
    <t>勞保費-9411</t>
  </si>
  <si>
    <t>勞保費-9412</t>
  </si>
  <si>
    <t>新光保全 94110110</t>
  </si>
  <si>
    <t>新光保全 94120105</t>
  </si>
  <si>
    <t>薪資-9412</t>
  </si>
  <si>
    <t>代扣勞保-9411</t>
  </si>
  <si>
    <t>代扣勞保-9412</t>
  </si>
  <si>
    <t>代扣健保-9411</t>
  </si>
  <si>
    <t>代扣健保-9412</t>
  </si>
  <si>
    <t>代墊健保-9410</t>
  </si>
  <si>
    <t>代墊健保-9411</t>
  </si>
  <si>
    <t>代墊健保-9412</t>
  </si>
  <si>
    <r>
      <t>2195.400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代墊勞保費</t>
    </r>
  </si>
  <si>
    <r>
      <t>2195.500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代墊健保費</t>
    </r>
  </si>
  <si>
    <t>亞太BB8093272-6</t>
  </si>
  <si>
    <t>亞太BB8093273-7</t>
  </si>
  <si>
    <t>亞太BB8093274-8</t>
  </si>
  <si>
    <t>1123.100應收帳款</t>
  </si>
  <si>
    <t>三易JU25967115-7</t>
  </si>
  <si>
    <t>上鵬GU26187137-5</t>
  </si>
  <si>
    <t>上鵬HU25771752-5</t>
  </si>
  <si>
    <t>103/12</t>
  </si>
  <si>
    <t>DV</t>
  </si>
  <si>
    <t>SKYPE</t>
  </si>
  <si>
    <t>2014年華算進貨明細</t>
  </si>
  <si>
    <t>2014年收票</t>
  </si>
  <si>
    <t>合約+信封</t>
  </si>
  <si>
    <t>2014/11~12</t>
  </si>
  <si>
    <t>鉑德 2x20475</t>
  </si>
  <si>
    <t>鎔德二 7x16380</t>
  </si>
  <si>
    <t>泰聯(預開2年年繳)</t>
  </si>
  <si>
    <t>崴凌(預開2年季繳)</t>
  </si>
  <si>
    <t>依德車源追加款</t>
  </si>
  <si>
    <t>鎔德車源追加款</t>
  </si>
  <si>
    <t>2014/12達卡費富邦</t>
  </si>
  <si>
    <t>2014/12達卡費中信</t>
  </si>
  <si>
    <t>96120105</t>
  </si>
  <si>
    <t>96120107</t>
  </si>
  <si>
    <t>帆華AG6917858-7+8</t>
  </si>
  <si>
    <t>艾喜卡AA3518382-4</t>
  </si>
  <si>
    <t>艾喜卡AA3518383-5</t>
  </si>
  <si>
    <t>艾喜卡AA3518384-6</t>
  </si>
  <si>
    <t>艾喜卡AA3518385-7</t>
  </si>
  <si>
    <t>艾喜卡AA3518386-8</t>
  </si>
  <si>
    <t>利慧泰FAZ699302-2</t>
  </si>
  <si>
    <t>90年達算主機-新組裝</t>
  </si>
  <si>
    <t>90年達算主機-折舊</t>
  </si>
  <si>
    <t>=</t>
  </si>
  <si>
    <t>90年達算主機-殘值</t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</si>
  <si>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</t>
    </r>
    <r>
      <rPr>
        <sz val="12"/>
        <rFont val="新細明體"/>
        <family val="1"/>
        <charset val="136"/>
      </rPr>
      <t>-期初</t>
    </r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</si>
  <si>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</t>
    </r>
    <r>
      <rPr>
        <sz val="12"/>
        <rFont val="新細明體"/>
        <family val="1"/>
        <charset val="136"/>
      </rPr>
      <t>-</t>
    </r>
    <r>
      <rPr>
        <sz val="12"/>
        <rFont val="新細明體"/>
        <family val="1"/>
        <charset val="136"/>
      </rPr>
      <t>新組裝</t>
    </r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</si>
  <si>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</t>
    </r>
    <r>
      <rPr>
        <sz val="12"/>
        <rFont val="新細明體"/>
        <family val="1"/>
        <charset val="136"/>
      </rPr>
      <t>-</t>
    </r>
    <r>
      <rPr>
        <sz val="12"/>
        <rFont val="新細明體"/>
        <family val="1"/>
        <charset val="136"/>
      </rPr>
      <t>折舊</t>
    </r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</si>
  <si>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年華算主機-殘值</t>
    </r>
    <phoneticPr fontId="3" type="noConversion"/>
  </si>
  <si>
    <t>其他</t>
    <phoneticPr fontId="8" type="noConversion"/>
  </si>
  <si>
    <t>捷曠AA6460812-8</t>
  </si>
  <si>
    <t>統安DKA0225129-3</t>
  </si>
  <si>
    <t>統安DKA0225130-4</t>
  </si>
  <si>
    <t>統安DKA0225131-5</t>
  </si>
  <si>
    <t>統安DKA0225132-6</t>
  </si>
  <si>
    <t>統安DKA0225133-7</t>
  </si>
  <si>
    <t>2011.10.31</t>
  </si>
  <si>
    <t>BA4419098</t>
  </si>
  <si>
    <t>HS0131176</t>
  </si>
  <si>
    <t>2011.11.10</t>
  </si>
  <si>
    <t>CN0084704</t>
  </si>
  <si>
    <t>2011.11.15</t>
  </si>
  <si>
    <t>CB0204524</t>
  </si>
  <si>
    <t>2011.11.17</t>
  </si>
  <si>
    <t>BO0443466</t>
  </si>
  <si>
    <t>RU03167802</t>
  </si>
  <si>
    <t>2011.04.30</t>
  </si>
  <si>
    <t>2011.07.31</t>
  </si>
  <si>
    <t>2012.01.31</t>
  </si>
  <si>
    <t>2012.02.14</t>
  </si>
  <si>
    <t>2012.04.30</t>
  </si>
  <si>
    <t>2012.07.31</t>
  </si>
  <si>
    <t>2011.01.25</t>
  </si>
  <si>
    <t>2011.03.25</t>
  </si>
  <si>
    <t>2011.05.25</t>
  </si>
  <si>
    <t>2011.07.25</t>
  </si>
  <si>
    <t>2011.09.25</t>
  </si>
  <si>
    <t>2012.01.12</t>
  </si>
  <si>
    <t>2012.01.25</t>
  </si>
  <si>
    <t>沈大為車</t>
  </si>
  <si>
    <t>99/12/31庫存帳</t>
  </si>
  <si>
    <t>2011/12/31庫存帳</t>
  </si>
  <si>
    <t>2011華算主機-期初</t>
  </si>
  <si>
    <t>2011華算主機-新組裝</t>
  </si>
  <si>
    <t>2011華算主機-折舊</t>
  </si>
  <si>
    <t>2011華算主機-殘值</t>
  </si>
  <si>
    <t>2011科目明細</t>
  </si>
  <si>
    <t>發票號碼</t>
  </si>
  <si>
    <t>買受人</t>
  </si>
  <si>
    <t>銷售額</t>
  </si>
  <si>
    <t>稅額</t>
  </si>
  <si>
    <t>總計</t>
  </si>
  <si>
    <t xml:space="preserve"> 晶元</t>
  </si>
  <si>
    <t>杉坤</t>
  </si>
  <si>
    <t>道法</t>
  </si>
  <si>
    <t>鴻碩</t>
  </si>
  <si>
    <t>浩檀</t>
  </si>
  <si>
    <t>漢聯</t>
  </si>
  <si>
    <t>城乙</t>
  </si>
  <si>
    <t>愛浪</t>
  </si>
  <si>
    <t>庭田</t>
  </si>
  <si>
    <t>2010.12.31</t>
  </si>
  <si>
    <t>UB5810684</t>
  </si>
  <si>
    <t>2011.1.1</t>
  </si>
  <si>
    <t>CN1992960</t>
  </si>
  <si>
    <t>AD7325166</t>
  </si>
  <si>
    <t>AD8712614</t>
  </si>
  <si>
    <t>2011.1.5</t>
  </si>
  <si>
    <t>BA8300734</t>
  </si>
  <si>
    <t>AD7390121</t>
  </si>
  <si>
    <t>2011.1.18</t>
  </si>
  <si>
    <t>BC4853947</t>
  </si>
  <si>
    <t>2011.1.19</t>
  </si>
  <si>
    <t>AA3825080</t>
  </si>
  <si>
    <t>2011.1.31</t>
  </si>
  <si>
    <t>BA4419095</t>
  </si>
  <si>
    <t>HS0131173</t>
  </si>
  <si>
    <t>2011.2.1</t>
  </si>
  <si>
    <t>CN1992961</t>
  </si>
  <si>
    <t>2011.2.5</t>
  </si>
  <si>
    <t>AA4032040</t>
  </si>
  <si>
    <t>2011.2.10</t>
  </si>
  <si>
    <t>CN0084701</t>
  </si>
  <si>
    <t>2011.2.15</t>
  </si>
  <si>
    <t>CB0204521</t>
  </si>
  <si>
    <t>BO0443463</t>
  </si>
  <si>
    <t>2011.2.20</t>
  </si>
  <si>
    <t>CT1490686</t>
  </si>
  <si>
    <t>2011.2.25</t>
  </si>
  <si>
    <t>AU0517079</t>
  </si>
  <si>
    <t>2011.2.26</t>
  </si>
  <si>
    <t>FS0007068</t>
  </si>
  <si>
    <t>BI1217541</t>
  </si>
  <si>
    <t>2011.2.28</t>
  </si>
  <si>
    <t>AD7685369</t>
  </si>
  <si>
    <t>2011.3.1</t>
  </si>
  <si>
    <t>EA3724456</t>
  </si>
  <si>
    <t>CN1992962</t>
  </si>
  <si>
    <t>CN0051148</t>
  </si>
  <si>
    <t>2011.3.15</t>
  </si>
  <si>
    <t>AA3419075</t>
  </si>
  <si>
    <t>CA0292289</t>
  </si>
  <si>
    <t>2011.3.20</t>
  </si>
  <si>
    <t>AD7773394</t>
  </si>
  <si>
    <t>2011.3.25</t>
  </si>
  <si>
    <t>DD6593335</t>
  </si>
  <si>
    <t>汎輝</t>
  </si>
  <si>
    <t>預收帳款</t>
  </si>
  <si>
    <t>2011.03.23</t>
  </si>
  <si>
    <t>2011.03.28</t>
  </si>
  <si>
    <t>2011.01.31</t>
  </si>
  <si>
    <t>2011.05.03</t>
  </si>
  <si>
    <t>2011.05.04</t>
  </si>
  <si>
    <t>2011.08.30</t>
  </si>
  <si>
    <t>2011.08.31</t>
  </si>
  <si>
    <t>2011.02.01</t>
  </si>
  <si>
    <t>2011.03.29</t>
  </si>
  <si>
    <t>2011.03.30</t>
  </si>
  <si>
    <t>2011.05.30</t>
  </si>
  <si>
    <t>2011.05.31</t>
  </si>
  <si>
    <t>2011.07.29</t>
  </si>
  <si>
    <t>2011.08.01</t>
  </si>
  <si>
    <t>2011.09.30</t>
  </si>
  <si>
    <t>2011.03.01</t>
  </si>
  <si>
    <t>2011.03.02</t>
  </si>
  <si>
    <t>2011.06.27</t>
  </si>
  <si>
    <t>2011.06.28</t>
  </si>
  <si>
    <t>2011.09.29</t>
  </si>
  <si>
    <t>2011.04.06</t>
  </si>
  <si>
    <t>2011.04.26</t>
  </si>
  <si>
    <t>2011.04.27</t>
  </si>
  <si>
    <t>2012.03.25</t>
  </si>
  <si>
    <t>2011.05.15</t>
  </si>
  <si>
    <t>2011.08.15</t>
  </si>
  <si>
    <t>2012.02.15</t>
  </si>
  <si>
    <t>2012.03.12</t>
  </si>
  <si>
    <t>2012.05.15</t>
  </si>
  <si>
    <t>2012.08.15</t>
  </si>
  <si>
    <t>2013.02.15</t>
  </si>
  <si>
    <t>宇權</t>
    <phoneticPr fontId="3" type="noConversion"/>
  </si>
  <si>
    <t>2011.04.19</t>
  </si>
  <si>
    <t>2011.06.30</t>
  </si>
  <si>
    <t>2012.03.31</t>
  </si>
  <si>
    <t>2012.06.30</t>
  </si>
  <si>
    <t>2012.09.30</t>
  </si>
  <si>
    <t>2013.03.31</t>
  </si>
  <si>
    <t>2012科目明細</t>
  </si>
  <si>
    <t>3</t>
  </si>
  <si>
    <t>2012華算主機-期初</t>
  </si>
  <si>
    <t>2012華算主機-新組裝</t>
  </si>
  <si>
    <t>2012華算主機-折舊</t>
  </si>
  <si>
    <t>2012華算主機-殘值</t>
  </si>
  <si>
    <t>2012/12/31庫存帳</t>
  </si>
  <si>
    <t>台銀城中利息6月</t>
  </si>
  <si>
    <t xml:space="preserve">    利息收入</t>
  </si>
  <si>
    <t>台銀城中利息12月</t>
  </si>
  <si>
    <t>健保費</t>
  </si>
  <si>
    <t>勞保費</t>
  </si>
  <si>
    <t>其他保險費</t>
  </si>
  <si>
    <t>冼永誠</t>
  </si>
  <si>
    <t>100/12</t>
  </si>
  <si>
    <t>100年終</t>
  </si>
  <si>
    <t>宇權HTA1377785-6</t>
  </si>
  <si>
    <t>宇權HTA1377786-7</t>
  </si>
  <si>
    <t>宇權HTA1377787-8</t>
  </si>
  <si>
    <t>朱林JL9401355-2</t>
  </si>
  <si>
    <t>朱林JL9401356-3</t>
  </si>
  <si>
    <t>朱林JL9401357-4</t>
  </si>
  <si>
    <t>朱林JL9401358-5</t>
  </si>
  <si>
    <t>朱林JL9401359-6</t>
  </si>
  <si>
    <t>朱林JL9401360-7</t>
  </si>
  <si>
    <t>朱林JL9401361-8</t>
  </si>
  <si>
    <t>汎輝SC7393585-5</t>
  </si>
  <si>
    <t>汎輝SC7393586-6</t>
  </si>
  <si>
    <t>汎輝SC7393587-7</t>
  </si>
  <si>
    <t>汎輝SC7393588-8</t>
  </si>
  <si>
    <t>杉坤XC2610388-1</t>
  </si>
  <si>
    <t>杉坤XC2610389-2</t>
  </si>
  <si>
    <t>杉坤XC2610390-3</t>
  </si>
  <si>
    <t>杉坤XC2610391-4</t>
  </si>
  <si>
    <t>杉坤XC2610392-5</t>
  </si>
  <si>
    <t>杉坤XC2610393-6</t>
  </si>
  <si>
    <t>杉坤XC2610394-7</t>
  </si>
  <si>
    <t>杉坤XC2610395-8</t>
  </si>
  <si>
    <t>佳尼特RC6949720-2</t>
  </si>
  <si>
    <t>佳尼特RC6949721-3</t>
  </si>
  <si>
    <t>佳尼特RC6949722-4</t>
  </si>
  <si>
    <t>佳尼特RC6949723-5</t>
  </si>
  <si>
    <t>佳尼特RC6949724-6</t>
  </si>
  <si>
    <t>佳尼特RC6949725-7</t>
  </si>
  <si>
    <t>佳尼特RC6949726-8</t>
  </si>
  <si>
    <t>昌明LN1067585-4</t>
  </si>
  <si>
    <t>昌明LN1067586-5</t>
  </si>
  <si>
    <t>昌明LN1067587-6</t>
  </si>
  <si>
    <t>昌明LN1067588-7</t>
  </si>
  <si>
    <t>昌明LN1067589-8</t>
  </si>
  <si>
    <t>伙食-9812</t>
  </si>
  <si>
    <t>ada-2009/7/22,29漏付</t>
  </si>
  <si>
    <t>9811-12</t>
  </si>
  <si>
    <t>華王VA8199716-2</t>
  </si>
  <si>
    <t>華王VA8199717-3</t>
  </si>
  <si>
    <t>華王VA8199718-4</t>
  </si>
  <si>
    <t>華王VA8199719-5</t>
  </si>
  <si>
    <t>華王VA8199720-6</t>
  </si>
  <si>
    <t>華王VA8199721-7</t>
  </si>
  <si>
    <t>華王VA8199722-8</t>
  </si>
  <si>
    <t>愛浪PC0623043-3</t>
  </si>
  <si>
    <t>愛浪PC0623044-4</t>
  </si>
  <si>
    <t>愛浪PC0623045-5</t>
  </si>
  <si>
    <t>愛浪PC0623046-6</t>
  </si>
  <si>
    <t>愛浪PC0623047-7</t>
  </si>
  <si>
    <t>愛浪PC0623048-8</t>
  </si>
  <si>
    <t>瑞遠BA2365961-3</t>
  </si>
  <si>
    <t>瑞遠BA2365962-4</t>
  </si>
  <si>
    <t>瑞遠BA2365963-5</t>
  </si>
  <si>
    <t>瑞遠BA2365964-6</t>
  </si>
  <si>
    <t>瑞遠BA2365965-7</t>
  </si>
  <si>
    <t>瑞遠BA2365966-8</t>
  </si>
  <si>
    <t>裕恆WB9305724-1</t>
  </si>
  <si>
    <t>98年科目明細</t>
  </si>
  <si>
    <t>98年華算進貨明細</t>
  </si>
  <si>
    <t>98/12/31庫存帳</t>
  </si>
  <si>
    <t>裕恆WB9305725-2</t>
  </si>
  <si>
    <t>裕恆WB9305726-3</t>
  </si>
  <si>
    <t>裕恆WB9305727-4</t>
  </si>
  <si>
    <t>裕恆WB9305728-5</t>
  </si>
  <si>
    <t>裕恆WB9305729-6</t>
  </si>
  <si>
    <t>裕恆WB9305730-7</t>
  </si>
  <si>
    <t>裕恆WB930573-8</t>
  </si>
  <si>
    <t>道法TPA1021948-3</t>
  </si>
  <si>
    <t>道法TPA1021949-4</t>
  </si>
  <si>
    <t>道法TPA1021950-5</t>
  </si>
  <si>
    <t>道法TPA1021951-6</t>
  </si>
  <si>
    <t>道法TPA1021952-7</t>
  </si>
  <si>
    <t>道法TPA1021953-8</t>
  </si>
  <si>
    <t>達翌BA3962323-8/1</t>
  </si>
  <si>
    <t>達翌BA3962324-8/2</t>
  </si>
  <si>
    <t>鈺成CL7716681-2</t>
  </si>
  <si>
    <t>鈺成CL7716682-3</t>
  </si>
  <si>
    <t>鈺成CL7716683-4</t>
  </si>
  <si>
    <t>漢聯AG8178265-3</t>
  </si>
  <si>
    <t>漢聯AG8178266-4</t>
  </si>
  <si>
    <t>漢聯AG8178267-5</t>
  </si>
  <si>
    <t>漢聯AG8178268-6</t>
  </si>
  <si>
    <t>漢聯AG8178269-7</t>
  </si>
  <si>
    <t>漢聯AG8178270-8</t>
  </si>
  <si>
    <t>馹昇CK6565416-5</t>
  </si>
  <si>
    <t>馹昇CK6565417-6</t>
  </si>
  <si>
    <t>馹昇CK6565418-7</t>
  </si>
  <si>
    <t>馹昇CK6565419-8</t>
  </si>
  <si>
    <t>德利威CH8028268-8</t>
  </si>
  <si>
    <t>德利威CH8028269-5</t>
  </si>
  <si>
    <t>德利威CH8028270-2</t>
  </si>
  <si>
    <t>德利威CH8028271-4</t>
  </si>
  <si>
    <t>德利威CH8028273-3</t>
  </si>
  <si>
    <t>德利威CH8028275-6</t>
  </si>
  <si>
    <t>德利威CH8028276-7</t>
  </si>
  <si>
    <t>德政行AS0699437-3</t>
  </si>
  <si>
    <t>德政行AS0699438-4</t>
  </si>
  <si>
    <t>德政行AS0699441-5</t>
  </si>
  <si>
    <t>德政行AS0699442-6</t>
  </si>
  <si>
    <t>德政行AS0699443-7</t>
  </si>
  <si>
    <t>德政行AS0699444-8</t>
  </si>
  <si>
    <t>錞鐿CI5745527-5</t>
  </si>
  <si>
    <t>錞鐿CI5745528-6</t>
  </si>
  <si>
    <t>錞鐿CI5745529-7</t>
  </si>
  <si>
    <t>錞鐿CI5745530-8</t>
  </si>
  <si>
    <t>優而大HCS000403-5</t>
  </si>
  <si>
    <t>優而大HCS0004040-2</t>
  </si>
  <si>
    <t>優而大HCS0004041-3</t>
  </si>
  <si>
    <t>優而大HCS0004042-4</t>
  </si>
  <si>
    <t>優而大HCS000404-6</t>
  </si>
  <si>
    <t>優而大HCS000405-7</t>
  </si>
  <si>
    <t>優而大HCS000406-8</t>
  </si>
  <si>
    <t>邁拓NC2564649-2</t>
  </si>
  <si>
    <t>邁拓NC2564650-3</t>
  </si>
  <si>
    <t>邁拓NC2564651-4</t>
  </si>
  <si>
    <t>邁拓NC2564652-5</t>
  </si>
  <si>
    <t>邁拓NC2564653-6</t>
  </si>
  <si>
    <t>邁拓NC2564654-7</t>
  </si>
  <si>
    <t>邁拓NC2564655-8</t>
  </si>
  <si>
    <t>鴻碩FAZ0001642-3</t>
  </si>
  <si>
    <t>鴻碩FAZ0001643-4</t>
  </si>
  <si>
    <t>鴻碩FAZ0001644-5</t>
  </si>
  <si>
    <t>應收票據</t>
  </si>
  <si>
    <t>租金支出</t>
  </si>
  <si>
    <t>薪資</t>
  </si>
  <si>
    <t>伙食費</t>
  </si>
  <si>
    <t>吉而耐VB8512870-7</t>
  </si>
  <si>
    <t>吉而耐VB8512871-8</t>
  </si>
  <si>
    <t>宇權HTA1377781-2</t>
  </si>
  <si>
    <t>宇權HTA1377782-3</t>
  </si>
  <si>
    <t>宇權HTA1377783-4</t>
  </si>
  <si>
    <t>宇權HTA1377784-5</t>
  </si>
  <si>
    <t>951201056</t>
  </si>
  <si>
    <t>2011/11~12</t>
  </si>
  <si>
    <t>華敬4387018-24/8</t>
  </si>
  <si>
    <t>新昌TM3318093-24/7</t>
  </si>
  <si>
    <t>新昌TM3318094-24/8</t>
  </si>
  <si>
    <t>榮昌CD1419732-5</t>
  </si>
  <si>
    <t>榮昌CD1419733-6</t>
  </si>
  <si>
    <t>榮昌CD1419734-7</t>
  </si>
  <si>
    <t>榮昌CD1419735-8</t>
  </si>
  <si>
    <t>廣豪BC4614273-24/7</t>
  </si>
  <si>
    <t>廣豪BC4614274-24/8</t>
  </si>
  <si>
    <t>龍瞻AY0204179-6</t>
  </si>
  <si>
    <t>龍瞻AY0204180-7</t>
  </si>
  <si>
    <t>龍瞻AY0204181-8</t>
  </si>
  <si>
    <t>曜陽NTA0158654-8</t>
  </si>
  <si>
    <t>簡易CHA1231156-7</t>
  </si>
  <si>
    <t>簡易CHA1231157-8</t>
  </si>
  <si>
    <t>藝銘AA0178135-24/8</t>
  </si>
  <si>
    <t>天健WW40344356-6</t>
  </si>
  <si>
    <t>天健XW50444891-7</t>
  </si>
  <si>
    <t>日華SW40372270-24</t>
  </si>
  <si>
    <t>亞太CW50334518-24</t>
  </si>
  <si>
    <t>威武AW50198254</t>
  </si>
  <si>
    <t>華陽ZW50491357-12</t>
  </si>
  <si>
    <t>愛瑪XW50444886-4</t>
  </si>
  <si>
    <t>愛瑪ZW50491305-5</t>
  </si>
  <si>
    <t>醒兔ZW50491354-24</t>
  </si>
  <si>
    <r>
      <t>臺灣銀行</t>
    </r>
    <r>
      <rPr>
        <sz val="12"/>
        <rFont val="Times New Roman"/>
        <family val="1"/>
      </rPr>
      <t>#48802</t>
    </r>
  </si>
  <si>
    <r>
      <t>中興銀行</t>
    </r>
    <r>
      <rPr>
        <sz val="12"/>
        <rFont val="Times New Roman"/>
        <family val="1"/>
      </rPr>
      <t>#5095</t>
    </r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</si>
  <si>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甲</t>
    </r>
    <r>
      <rPr>
        <sz val="12"/>
        <rFont val="Times New Roman"/>
        <family val="1"/>
      </rPr>
      <t>)#51242</t>
    </r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</si>
  <si>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綜</t>
    </r>
    <r>
      <rPr>
        <sz val="12"/>
        <rFont val="Times New Roman"/>
        <family val="1"/>
      </rPr>
      <t>)#0352</t>
    </r>
  </si>
  <si>
    <r>
      <t>劃撥</t>
    </r>
    <r>
      <rPr>
        <sz val="12"/>
        <rFont val="Times New Roman"/>
        <family val="1"/>
      </rPr>
      <t>#19657594</t>
    </r>
  </si>
  <si>
    <r>
      <t>2195.100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勞保費</t>
    </r>
  </si>
  <si>
    <r>
      <t>2195.200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健保費</t>
    </r>
  </si>
  <si>
    <r>
      <t>2196.100</t>
    </r>
    <r>
      <rPr>
        <sz val="12"/>
        <rFont val="新細明體"/>
        <family val="1"/>
        <charset val="136"/>
      </rPr>
      <t>應納稅額</t>
    </r>
  </si>
  <si>
    <t>92/12/31庫存帳</t>
  </si>
  <si>
    <t>93/12/31庫存帳</t>
  </si>
  <si>
    <t>93年華算主機-殘值</t>
  </si>
  <si>
    <t>應收帳款結轉餘額$325744</t>
  </si>
  <si>
    <t>前期</t>
  </si>
  <si>
    <t>饒還款</t>
  </si>
  <si>
    <t>饒借支</t>
  </si>
  <si>
    <t>單價</t>
  </si>
  <si>
    <t>惟峰</t>
  </si>
  <si>
    <t>數據機</t>
  </si>
  <si>
    <t>93.6.9</t>
  </si>
  <si>
    <t>93.6.17</t>
  </si>
  <si>
    <t>93.7.1</t>
  </si>
  <si>
    <t>POWER</t>
  </si>
  <si>
    <t>93.7.30</t>
  </si>
  <si>
    <t>93.10.19</t>
  </si>
  <si>
    <t>server protect</t>
  </si>
  <si>
    <t>尚肯</t>
  </si>
  <si>
    <t>德坤</t>
  </si>
  <si>
    <t>全冠</t>
  </si>
  <si>
    <t>立歐</t>
  </si>
  <si>
    <t>硬碟</t>
  </si>
  <si>
    <t>LAN卡</t>
  </si>
  <si>
    <t>進貨合計========&gt;</t>
  </si>
  <si>
    <t>93.2.20</t>
  </si>
  <si>
    <t>93.2.19</t>
  </si>
  <si>
    <t>小計=</t>
  </si>
  <si>
    <r>
      <t>組裝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用料-金額</t>
    </r>
  </si>
  <si>
    <r>
      <t>組裝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用料-數量</t>
    </r>
  </si>
  <si>
    <t>存入</t>
  </si>
  <si>
    <t>發票</t>
  </si>
  <si>
    <t>展鑫KU25645169-3</t>
  </si>
  <si>
    <t>展鑫LU26061357-4</t>
  </si>
  <si>
    <t>紡慶LU26061360-4</t>
  </si>
  <si>
    <t>金仁豐-4 960301</t>
  </si>
  <si>
    <t>金仁豐-5 960601</t>
  </si>
  <si>
    <t>金仁豐-6 960901</t>
  </si>
  <si>
    <t>金仁豐-7 961231</t>
  </si>
  <si>
    <t>金仁豐-8 970301</t>
  </si>
  <si>
    <t>紡慶NU26355751-5</t>
  </si>
  <si>
    <t>展鑫NU26355753-5</t>
  </si>
  <si>
    <t>展鑫PU26365453-6+7+8</t>
  </si>
  <si>
    <t>紡慶PU26365493-6</t>
  </si>
  <si>
    <t>紡慶QU26049313-7</t>
  </si>
  <si>
    <t>一度禧BV0033076-3</t>
  </si>
  <si>
    <t>一度禧BV0033077-4</t>
  </si>
  <si>
    <t>一度禧BV0033078-5</t>
  </si>
  <si>
    <t>一度禧BV0033079-6</t>
  </si>
  <si>
    <t>一度禧BV0033080-7</t>
  </si>
  <si>
    <t>一度禧BV0033081-8</t>
  </si>
  <si>
    <t>八亨ZR7588359-4</t>
  </si>
  <si>
    <t>八亨ZR7588360-5</t>
  </si>
  <si>
    <t>八亨ZR7588361-6</t>
  </si>
  <si>
    <t>八亨ZR7588362-7</t>
  </si>
  <si>
    <t>八亨ZR7588363-8</t>
  </si>
  <si>
    <t>又禾興CP8164903-1</t>
  </si>
  <si>
    <t>又禾興CP8164904-2</t>
  </si>
  <si>
    <t>又禾興CP8164905-3</t>
  </si>
  <si>
    <t>又禾興CP8164906-4</t>
  </si>
  <si>
    <t>又禾興CP8164907-5</t>
  </si>
  <si>
    <t>又禾興CP8164908-6</t>
  </si>
  <si>
    <t>又禾興CP8164909-7</t>
  </si>
  <si>
    <t>又禾興CP8164910-8</t>
  </si>
  <si>
    <t>大成UC9773081-2</t>
  </si>
  <si>
    <t>大成UC9773082-3</t>
  </si>
  <si>
    <t>大成UC9773083-4</t>
  </si>
  <si>
    <t>大成UC9773084-5</t>
  </si>
  <si>
    <t>大成UC9773085-6</t>
  </si>
  <si>
    <t>大成UC9773086-7</t>
  </si>
  <si>
    <t>大成UC9773087-8</t>
  </si>
  <si>
    <t>大自然SC7663287-3</t>
  </si>
  <si>
    <t>大自然SC7663288-4</t>
  </si>
  <si>
    <t>大自然SC7663289-5</t>
  </si>
  <si>
    <t>大自然SC7663290-6</t>
  </si>
  <si>
    <t>大自然SC7663291-7</t>
  </si>
  <si>
    <t>大自然SC7663292-8</t>
  </si>
  <si>
    <t>大阪京ERA0087852-3</t>
  </si>
  <si>
    <t>大阪京ERA0087853-4</t>
  </si>
  <si>
    <t>757-764</t>
  </si>
  <si>
    <r>
      <t>2</t>
    </r>
    <r>
      <rPr>
        <sz val="12"/>
        <rFont val="新細明體"/>
        <family val="1"/>
        <charset val="136"/>
      </rPr>
      <t>014.1.15</t>
    </r>
  </si>
  <si>
    <t>2014.1.27</t>
  </si>
  <si>
    <t>2014.11.14</t>
  </si>
  <si>
    <t>2014年開出發票</t>
  </si>
  <si>
    <t>ZA26022750</t>
  </si>
  <si>
    <t>2014.03.11</t>
  </si>
  <si>
    <t>ZA26022751</t>
  </si>
  <si>
    <t>2014.2.25</t>
  </si>
  <si>
    <t>ZA26022752</t>
  </si>
  <si>
    <t>ZA26022753</t>
  </si>
  <si>
    <t>774-781</t>
  </si>
  <si>
    <t>ZA26022754</t>
  </si>
  <si>
    <t>766-773</t>
  </si>
  <si>
    <t>27763698</t>
  </si>
  <si>
    <t>6-8</t>
  </si>
  <si>
    <t>20121106發票,退回3季支票,開銷貨退回,銷貨折讓在3/24才報國稅局(已繳103-1,2月401-$12792後)</t>
  </si>
  <si>
    <t>ZA26022755</t>
  </si>
  <si>
    <t>ZA26022756</t>
  </si>
  <si>
    <t>ZA26022757</t>
  </si>
  <si>
    <t>ZA26022758</t>
  </si>
  <si>
    <t>ZV26136700</t>
  </si>
  <si>
    <t>ZV26136701</t>
  </si>
  <si>
    <r>
      <t>2</t>
    </r>
    <r>
      <rPr>
        <sz val="12"/>
        <rFont val="新細明體"/>
        <family val="1"/>
        <charset val="136"/>
      </rPr>
      <t>014.5.15</t>
    </r>
  </si>
  <si>
    <t>ZV26136702</t>
  </si>
  <si>
    <r>
      <t>2</t>
    </r>
    <r>
      <rPr>
        <sz val="12"/>
        <rFont val="新細明體"/>
        <family val="1"/>
        <charset val="136"/>
      </rPr>
      <t>014.4.21</t>
    </r>
  </si>
  <si>
    <t>ZV26136703</t>
  </si>
  <si>
    <r>
      <t>2</t>
    </r>
    <r>
      <rPr>
        <sz val="12"/>
        <rFont val="新細明體"/>
        <family val="1"/>
        <charset val="136"/>
      </rPr>
      <t>014.4.23</t>
    </r>
  </si>
  <si>
    <t>ZV26136704</t>
  </si>
  <si>
    <t>ZV26136705</t>
  </si>
  <si>
    <t>ZV26136706</t>
  </si>
  <si>
    <t>ZV26136707</t>
  </si>
  <si>
    <r>
      <t>2</t>
    </r>
    <r>
      <rPr>
        <sz val="12"/>
        <rFont val="新細明體"/>
        <family val="1"/>
        <charset val="136"/>
      </rPr>
      <t>014.4.25</t>
    </r>
  </si>
  <si>
    <t>ZV26136708</t>
  </si>
  <si>
    <t>2014.5.9</t>
  </si>
  <si>
    <t>ZV26136709</t>
  </si>
  <si>
    <t>2014.5.26</t>
  </si>
  <si>
    <t>ZV26136710</t>
  </si>
  <si>
    <t>2014.06.10</t>
  </si>
  <si>
    <t>AQ26076000</t>
  </si>
  <si>
    <r>
      <t>7</t>
    </r>
    <r>
      <rPr>
        <sz val="12"/>
        <rFont val="新細明體"/>
        <family val="1"/>
        <charset val="136"/>
      </rPr>
      <t>83-790</t>
    </r>
  </si>
  <si>
    <t>AQ26076001</t>
  </si>
  <si>
    <r>
      <t>1-</t>
    </r>
    <r>
      <rPr>
        <sz val="12"/>
        <rFont val="新細明體"/>
        <family val="1"/>
        <charset val="136"/>
      </rPr>
      <t>4</t>
    </r>
  </si>
  <si>
    <t>AQ26076002</t>
  </si>
  <si>
    <t>AQ26076003</t>
  </si>
  <si>
    <r>
      <t>7</t>
    </r>
    <r>
      <rPr>
        <sz val="12"/>
        <rFont val="新細明體"/>
        <family val="1"/>
        <charset val="136"/>
      </rPr>
      <t>99-806</t>
    </r>
  </si>
  <si>
    <t>AQ26076004</t>
  </si>
  <si>
    <t>AQ26076005</t>
  </si>
  <si>
    <t>AQ26076006</t>
  </si>
  <si>
    <t>AQ26076007</t>
  </si>
  <si>
    <t>AQ26076008</t>
  </si>
  <si>
    <t>AQ26076009</t>
  </si>
  <si>
    <r>
      <t>7</t>
    </r>
    <r>
      <rPr>
        <sz val="12"/>
        <rFont val="新細明體"/>
        <family val="1"/>
        <charset val="136"/>
      </rPr>
      <t>91-798</t>
    </r>
  </si>
  <si>
    <t>AQ26076010</t>
  </si>
  <si>
    <r>
      <t>8</t>
    </r>
    <r>
      <rPr>
        <sz val="12"/>
        <rFont val="新細明體"/>
        <family val="1"/>
        <charset val="136"/>
      </rPr>
      <t>08-815</t>
    </r>
  </si>
  <si>
    <t>AQ26076011</t>
  </si>
  <si>
    <r>
      <t>8</t>
    </r>
    <r>
      <rPr>
        <sz val="12"/>
        <rFont val="新細明體"/>
        <family val="1"/>
        <charset val="136"/>
      </rPr>
      <t>24-831</t>
    </r>
  </si>
  <si>
    <t>AQ26076012</t>
  </si>
  <si>
    <r>
      <t>8</t>
    </r>
    <r>
      <rPr>
        <sz val="12"/>
        <rFont val="新細明體"/>
        <family val="1"/>
        <charset val="136"/>
      </rPr>
      <t>16-823</t>
    </r>
  </si>
  <si>
    <t>AQ26076013</t>
  </si>
  <si>
    <r>
      <t>8</t>
    </r>
    <r>
      <rPr>
        <sz val="12"/>
        <rFont val="新細明體"/>
        <family val="1"/>
        <charset val="136"/>
      </rPr>
      <t>32-839</t>
    </r>
  </si>
  <si>
    <t>BK25905000</t>
  </si>
  <si>
    <t>BK25905001</t>
  </si>
  <si>
    <t>BK25905002</t>
  </si>
  <si>
    <t>BK25905003</t>
  </si>
  <si>
    <t>BK25905004</t>
  </si>
  <si>
    <r>
      <t>2</t>
    </r>
    <r>
      <rPr>
        <sz val="12"/>
        <rFont val="新細明體"/>
        <family val="1"/>
        <charset val="136"/>
      </rPr>
      <t>014.9.15</t>
    </r>
  </si>
  <si>
    <t>BK25905005</t>
  </si>
  <si>
    <t>2014.10.14</t>
  </si>
  <si>
    <t>BK25905006</t>
  </si>
  <si>
    <t>2014.9.25</t>
  </si>
  <si>
    <t>BK25905007</t>
  </si>
  <si>
    <t>2014.8.29</t>
  </si>
  <si>
    <t>BK25905008</t>
  </si>
  <si>
    <r>
      <t>8</t>
    </r>
    <r>
      <rPr>
        <sz val="12"/>
        <rFont val="新細明體"/>
        <family val="1"/>
        <charset val="136"/>
      </rPr>
      <t>40-847</t>
    </r>
  </si>
  <si>
    <t>12651800</t>
  </si>
  <si>
    <t>CE25871050</t>
  </si>
  <si>
    <r>
      <t>8</t>
    </r>
    <r>
      <rPr>
        <sz val="12"/>
        <rFont val="新細明體"/>
        <family val="1"/>
        <charset val="136"/>
      </rPr>
      <t>49-856</t>
    </r>
  </si>
  <si>
    <t>CE25871051</t>
  </si>
  <si>
    <r>
      <t>8</t>
    </r>
    <r>
      <rPr>
        <sz val="12"/>
        <rFont val="新細明體"/>
        <family val="1"/>
        <charset val="136"/>
      </rPr>
      <t>57-864</t>
    </r>
  </si>
  <si>
    <t>CE25871052</t>
  </si>
  <si>
    <t>CE25871053</t>
  </si>
  <si>
    <t>16796546</t>
  </si>
  <si>
    <t>CZ25989950</t>
  </si>
  <si>
    <t>878-885</t>
  </si>
  <si>
    <t>CZ25989951</t>
  </si>
  <si>
    <t>CZ25989952</t>
  </si>
  <si>
    <t>CZ25989953</t>
  </si>
  <si>
    <t>CZ25989954</t>
  </si>
  <si>
    <r>
      <t>2</t>
    </r>
    <r>
      <rPr>
        <sz val="12"/>
        <rFont val="新細明體"/>
        <family val="1"/>
        <charset val="136"/>
      </rPr>
      <t>014.12.15</t>
    </r>
  </si>
  <si>
    <t>CZ25989955</t>
  </si>
  <si>
    <t>CZ25989956</t>
  </si>
  <si>
    <t>CZ25989957</t>
  </si>
  <si>
    <t>CZ25989958</t>
  </si>
  <si>
    <t>1-12</t>
  </si>
  <si>
    <t>865-876</t>
  </si>
  <si>
    <t>CZ25989959</t>
  </si>
  <si>
    <t>2014.11.13</t>
  </si>
  <si>
    <t>CZ25989960</t>
  </si>
  <si>
    <t>2014.11.19</t>
  </si>
  <si>
    <t>CZ25989961</t>
  </si>
  <si>
    <t>CZ25989962</t>
  </si>
  <si>
    <t>CZ25989963</t>
  </si>
  <si>
    <t>CZ25989964</t>
  </si>
  <si>
    <t>CZ25989965</t>
  </si>
  <si>
    <t>CZ25989966</t>
  </si>
  <si>
    <t>CZ25989967</t>
  </si>
  <si>
    <t>CZ25989968</t>
  </si>
  <si>
    <t>CZ25989969</t>
  </si>
  <si>
    <t>CZ25989970</t>
  </si>
  <si>
    <t>CZ25989971</t>
  </si>
  <si>
    <t>CZ25989972</t>
  </si>
  <si>
    <t>CZ25989973</t>
  </si>
  <si>
    <t>CZ25989974</t>
  </si>
  <si>
    <t>890-897</t>
  </si>
  <si>
    <t>CZ25989975</t>
  </si>
  <si>
    <t>CZ25989976</t>
  </si>
  <si>
    <t>CZ25989977</t>
  </si>
  <si>
    <t>CZ25989978</t>
  </si>
  <si>
    <t>2014.04.28</t>
  </si>
  <si>
    <t>2014.04.29</t>
  </si>
  <si>
    <t>2014.06.03</t>
  </si>
  <si>
    <t>2014.06.04</t>
  </si>
  <si>
    <t>2014.07.02</t>
  </si>
  <si>
    <t>2014.07.29</t>
  </si>
  <si>
    <t>2014.10.22</t>
  </si>
  <si>
    <t>2014.10.23</t>
  </si>
  <si>
    <t>2014.08.26</t>
  </si>
  <si>
    <t>2014.08.27</t>
  </si>
  <si>
    <t>2014.11.28</t>
  </si>
  <si>
    <t>2014.12.01</t>
  </si>
  <si>
    <t>2014.12.31</t>
  </si>
  <si>
    <t>2015.01.05</t>
  </si>
  <si>
    <t>2014.8.26</t>
  </si>
  <si>
    <t>2014.8.27</t>
  </si>
  <si>
    <t>未開發票</t>
  </si>
  <si>
    <t>漢聯廈門</t>
  </si>
  <si>
    <t>2014.04.21</t>
  </si>
  <si>
    <t>2014.05.13</t>
  </si>
  <si>
    <t>2014.05.22</t>
  </si>
  <si>
    <t>2014.05.23</t>
  </si>
  <si>
    <t>CA0768147</t>
  </si>
  <si>
    <t>CA0768148</t>
  </si>
  <si>
    <t>CA0768149</t>
  </si>
  <si>
    <t>CA0768150</t>
  </si>
  <si>
    <t>CA0768151</t>
  </si>
  <si>
    <t>CA0768152</t>
  </si>
  <si>
    <t>2015.07.31</t>
  </si>
  <si>
    <t>CA0768153</t>
  </si>
  <si>
    <t>2015.10.31</t>
  </si>
  <si>
    <t>CA0768154</t>
  </si>
  <si>
    <t>2016.01.31</t>
  </si>
  <si>
    <t>2014.05.26</t>
  </si>
  <si>
    <t>2014.06.19</t>
  </si>
  <si>
    <t>CT1492731</t>
  </si>
  <si>
    <t>2014.06.20</t>
  </si>
  <si>
    <t>CT1492732</t>
  </si>
  <si>
    <t>2014.09.20</t>
  </si>
  <si>
    <t>CT1492733</t>
  </si>
  <si>
    <t>2014.12.20</t>
  </si>
  <si>
    <t>CT1492734</t>
  </si>
  <si>
    <t>2015.03.20</t>
  </si>
  <si>
    <t>CT1492735</t>
  </si>
  <si>
    <t>2015.06.20</t>
  </si>
  <si>
    <t>CT1492736</t>
  </si>
  <si>
    <t>2015.09.20</t>
  </si>
  <si>
    <t>CT1492737</t>
  </si>
  <si>
    <t>2015.12.20</t>
  </si>
  <si>
    <t>CT1492738</t>
  </si>
  <si>
    <t>2016.03.20</t>
  </si>
  <si>
    <t>LD1872126</t>
  </si>
  <si>
    <t>2014.06.27</t>
  </si>
  <si>
    <t>JN2149184</t>
  </si>
  <si>
    <t>JN2149185</t>
  </si>
  <si>
    <t>JN2149186</t>
  </si>
  <si>
    <t>JN2149187</t>
  </si>
  <si>
    <t>JN2149188</t>
  </si>
  <si>
    <t>JN2149189</t>
  </si>
  <si>
    <t>JN2149190</t>
  </si>
  <si>
    <t>2015.11.25</t>
  </si>
  <si>
    <t>JN2149191</t>
  </si>
  <si>
    <t>2016.02.25</t>
  </si>
  <si>
    <t>2014.07.04</t>
  </si>
  <si>
    <t>GD1702325</t>
  </si>
  <si>
    <t>2014.07.05</t>
  </si>
  <si>
    <t>GD1702326</t>
  </si>
  <si>
    <t>2014.10.05</t>
  </si>
  <si>
    <t>GD1702327</t>
  </si>
  <si>
    <t>GD1702328</t>
  </si>
  <si>
    <t>2015.04.05</t>
  </si>
  <si>
    <t>GD1702329</t>
  </si>
  <si>
    <t>2015.07.05</t>
  </si>
  <si>
    <t>GD1702330</t>
  </si>
  <si>
    <t>2015.10.05</t>
  </si>
  <si>
    <t>GD1702331</t>
  </si>
  <si>
    <t>2016.01.05</t>
  </si>
  <si>
    <t>GD1702332</t>
  </si>
  <si>
    <t>2016.04.05</t>
  </si>
  <si>
    <t>GA7996448</t>
  </si>
  <si>
    <t>GA7996449</t>
  </si>
  <si>
    <t>GA7996450</t>
  </si>
  <si>
    <t>GA7996451</t>
  </si>
  <si>
    <t>GA7996452</t>
  </si>
  <si>
    <t>GA7996453</t>
  </si>
  <si>
    <t>GA7996454</t>
  </si>
  <si>
    <t>GA7996455</t>
  </si>
  <si>
    <t>2014.07.28</t>
  </si>
  <si>
    <t>EA4089992</t>
  </si>
  <si>
    <t>2014.08.18</t>
  </si>
  <si>
    <t>EA4089993</t>
  </si>
  <si>
    <t>2014.11.18</t>
  </si>
  <si>
    <t>EA4089994</t>
  </si>
  <si>
    <t>2015.02.18</t>
  </si>
  <si>
    <t>EA4089995</t>
  </si>
  <si>
    <t>2015.05.18</t>
  </si>
  <si>
    <t>EA4089996</t>
  </si>
  <si>
    <t>2015.08.18</t>
  </si>
  <si>
    <t>EA4089997</t>
  </si>
  <si>
    <t>2015.11.18</t>
  </si>
  <si>
    <t>EA4089998</t>
  </si>
  <si>
    <t>2016.02.18</t>
  </si>
  <si>
    <t>EA4089999</t>
  </si>
  <si>
    <t>2016.05.18</t>
  </si>
  <si>
    <t>BC4855163</t>
  </si>
  <si>
    <t>2014.09.18</t>
  </si>
  <si>
    <t>BC4855164</t>
  </si>
  <si>
    <t>2014.12.18</t>
  </si>
  <si>
    <t>BC4855165</t>
  </si>
  <si>
    <t>2015.03.18</t>
  </si>
  <si>
    <t>BC4855166</t>
  </si>
  <si>
    <t>2015.06.18</t>
  </si>
  <si>
    <t>BC4855167</t>
  </si>
  <si>
    <t>2015.09.18</t>
  </si>
  <si>
    <t>BC4855168</t>
  </si>
  <si>
    <t>2015.12.18</t>
  </si>
  <si>
    <t>BC4855169</t>
  </si>
  <si>
    <t>2016.03.18</t>
  </si>
  <si>
    <t>BC4855170</t>
  </si>
  <si>
    <t>2016.06.18</t>
  </si>
  <si>
    <t>2014.09.23</t>
  </si>
  <si>
    <t>LD1888924</t>
  </si>
  <si>
    <t>2014.09.25</t>
  </si>
  <si>
    <t>CN0186540</t>
  </si>
  <si>
    <t>CN0186541</t>
  </si>
  <si>
    <t>CN0186542</t>
  </si>
  <si>
    <t>CN0186543</t>
  </si>
  <si>
    <t>CN0186544</t>
  </si>
  <si>
    <t>CN0186545</t>
  </si>
  <si>
    <t>CN0186546</t>
  </si>
  <si>
    <t>2016.04.10</t>
  </si>
  <si>
    <t>CN0186547</t>
  </si>
  <si>
    <t>2016.07.10</t>
  </si>
  <si>
    <t>FA5916112</t>
  </si>
  <si>
    <t>2014.10.09</t>
  </si>
  <si>
    <t>FA5916113</t>
  </si>
  <si>
    <t>FA5916114</t>
  </si>
  <si>
    <t>FA5916115</t>
  </si>
  <si>
    <t>FA5916116</t>
  </si>
  <si>
    <t>2015.10.15</t>
  </si>
  <si>
    <t>FA5916117</t>
  </si>
  <si>
    <t>2016.02.15</t>
  </si>
  <si>
    <t>FA5916118</t>
  </si>
  <si>
    <t>2016.05.15</t>
  </si>
  <si>
    <t>FA5916119</t>
  </si>
  <si>
    <t>2016.08.15</t>
  </si>
  <si>
    <t>2014.11.11</t>
  </si>
  <si>
    <t>HN1490898</t>
  </si>
  <si>
    <t>HN1490899</t>
  </si>
  <si>
    <t>2014.12.11</t>
  </si>
  <si>
    <t>HN1490900</t>
  </si>
  <si>
    <t>2015.01.11</t>
  </si>
  <si>
    <t>2015.02.11</t>
  </si>
  <si>
    <t>2015.03.11</t>
  </si>
  <si>
    <t>2015.04.11</t>
  </si>
  <si>
    <t>2015.05.11</t>
  </si>
  <si>
    <t>2015.06.11</t>
  </si>
  <si>
    <t>2015.07.11</t>
  </si>
  <si>
    <t>2015.08.11</t>
  </si>
  <si>
    <t>2015.09.11</t>
  </si>
  <si>
    <t>2015.10.11</t>
  </si>
  <si>
    <t>2014.11.12</t>
  </si>
  <si>
    <t>CB5187073</t>
  </si>
  <si>
    <t>2014.11.27</t>
  </si>
  <si>
    <t>GA0076103</t>
  </si>
  <si>
    <t>GA0076104</t>
  </si>
  <si>
    <t>GA0076105</t>
  </si>
  <si>
    <t>GA0076106</t>
  </si>
  <si>
    <t>GA0076107</t>
  </si>
  <si>
    <t>GA0076108</t>
  </si>
  <si>
    <t>GA0076109</t>
  </si>
  <si>
    <t>2016.05.25</t>
  </si>
  <si>
    <t>GA0076110</t>
  </si>
  <si>
    <t>2016.08.25</t>
  </si>
  <si>
    <t>2014.12.12</t>
  </si>
  <si>
    <t>BA1252571</t>
  </si>
  <si>
    <t>BA1252572</t>
  </si>
  <si>
    <t>BA1252573</t>
  </si>
  <si>
    <t>BA1252574</t>
  </si>
  <si>
    <t>2014.12.17</t>
  </si>
  <si>
    <t>HS0311281</t>
  </si>
  <si>
    <t>HS0311282</t>
  </si>
  <si>
    <t>2015.03.31</t>
  </si>
  <si>
    <t>HS0311283</t>
  </si>
  <si>
    <t>2015.06.30</t>
  </si>
  <si>
    <t>HS0311284</t>
  </si>
  <si>
    <t>2015.09.30</t>
  </si>
  <si>
    <t>HS0311285</t>
  </si>
  <si>
    <t>2015.12.31</t>
  </si>
  <si>
    <t>HS0311286</t>
  </si>
  <si>
    <t>2016.03.31</t>
  </si>
  <si>
    <t>HS0311287</t>
  </si>
  <si>
    <t>2016.06.30</t>
  </si>
  <si>
    <t>HS0311288</t>
  </si>
  <si>
    <t>2016.09.30</t>
  </si>
  <si>
    <t>JD1956256</t>
  </si>
  <si>
    <t>2014.12.24</t>
  </si>
  <si>
    <t>JD5238274</t>
  </si>
  <si>
    <t>2014.12.26</t>
  </si>
  <si>
    <t>JD1956157</t>
  </si>
  <si>
    <t>2014.12.19</t>
  </si>
  <si>
    <t>JD1956278</t>
  </si>
  <si>
    <t>2015.02.01</t>
  </si>
  <si>
    <t>JD1956272</t>
  </si>
  <si>
    <t>2015.05.01</t>
  </si>
  <si>
    <t>JD1956273</t>
  </si>
  <si>
    <t>2015.08.01</t>
  </si>
  <si>
    <t>JD1956274</t>
  </si>
  <si>
    <t>2015.11.01</t>
  </si>
  <si>
    <t>JD1956275</t>
  </si>
  <si>
    <t>2016.02.01</t>
  </si>
  <si>
    <t>JD1956276</t>
  </si>
  <si>
    <t>2016.05.01</t>
  </si>
  <si>
    <t>JD1956277</t>
  </si>
  <si>
    <t>2016.08.01</t>
  </si>
  <si>
    <t>KD5522661</t>
  </si>
  <si>
    <t>JD5238280</t>
  </si>
  <si>
    <t>JD5238281</t>
  </si>
  <si>
    <t>JD5238282</t>
  </si>
  <si>
    <t>JD5238283</t>
  </si>
  <si>
    <t>JD5238284</t>
  </si>
  <si>
    <t>JD5238285</t>
  </si>
  <si>
    <t>JD5238286</t>
  </si>
  <si>
    <t>JD1956156</t>
  </si>
  <si>
    <t>JD1956271</t>
  </si>
  <si>
    <t>2015.02.14</t>
  </si>
  <si>
    <t>JD1956265</t>
  </si>
  <si>
    <t>2015.05.14</t>
  </si>
  <si>
    <t>JD1956266</t>
  </si>
  <si>
    <t>2015.08.14</t>
  </si>
  <si>
    <t>JD1956267</t>
  </si>
  <si>
    <t>2015.11.14</t>
  </si>
  <si>
    <t>JD1956268</t>
  </si>
  <si>
    <t>2016.02.14</t>
  </si>
  <si>
    <t>JD1956269</t>
  </si>
  <si>
    <t>2016.05.14</t>
  </si>
  <si>
    <t>JD1956270</t>
  </si>
  <si>
    <t>2016.08.14</t>
  </si>
  <si>
    <t>94/12/31庫存帳</t>
  </si>
  <si>
    <t>93年華算進貨明細</t>
  </si>
  <si>
    <t>儲存媒體</t>
  </si>
  <si>
    <t>上鵬KU25645157-7</t>
  </si>
  <si>
    <t>上鵬KU25645186-8</t>
  </si>
  <si>
    <t>喜洋洋QU26049315-24</t>
  </si>
  <si>
    <t>德坤AF3650888 5/25</t>
  </si>
  <si>
    <t>新光AF3666693 12/31</t>
  </si>
  <si>
    <t>勞保費-9511</t>
  </si>
  <si>
    <t>勞保費-9512</t>
  </si>
  <si>
    <t>健保費-9511</t>
  </si>
  <si>
    <t>健保費-9512</t>
  </si>
  <si>
    <t>新光保全-9502</t>
  </si>
  <si>
    <t>零用金撥補</t>
  </si>
  <si>
    <t>薪資-9512</t>
  </si>
  <si>
    <t>代扣勞保-9511</t>
  </si>
  <si>
    <t>代扣勞保-9512</t>
  </si>
  <si>
    <t>代扣健保-9511</t>
  </si>
  <si>
    <t>代扣健保-9512</t>
  </si>
  <si>
    <t>代墊勞保費-9511</t>
  </si>
  <si>
    <t>代墊勞保費-9512</t>
  </si>
  <si>
    <t>代墊健保費-9511</t>
  </si>
  <si>
    <t>代墊健保費-9512</t>
  </si>
  <si>
    <t>1112.100銀行存款</t>
    <phoneticPr fontId="3" type="noConversion"/>
  </si>
  <si>
    <r>
      <t>臺灣銀行</t>
    </r>
    <r>
      <rPr>
        <sz val="12"/>
        <rFont val="Times New Roman"/>
        <family val="1"/>
      </rPr>
      <t>#48802</t>
    </r>
    <phoneticPr fontId="3" type="noConversion"/>
  </si>
  <si>
    <r>
      <t>中興銀行</t>
    </r>
    <r>
      <rPr>
        <sz val="12"/>
        <rFont val="Times New Roman"/>
        <family val="1"/>
      </rPr>
      <t>#5095</t>
    </r>
    <phoneticPr fontId="3" type="noConversion"/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</si>
  <si>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甲</t>
    </r>
    <r>
      <rPr>
        <sz val="12"/>
        <rFont val="Times New Roman"/>
        <family val="1"/>
      </rPr>
      <t>)#51242</t>
    </r>
    <phoneticPr fontId="3" type="noConversion"/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</si>
  <si>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綜</t>
    </r>
    <r>
      <rPr>
        <sz val="12"/>
        <rFont val="Times New Roman"/>
        <family val="1"/>
      </rPr>
      <t>)#0352</t>
    </r>
    <phoneticPr fontId="3" type="noConversion"/>
  </si>
  <si>
    <r>
      <t>劃撥</t>
    </r>
    <r>
      <rPr>
        <sz val="12"/>
        <rFont val="Times New Roman"/>
        <family val="1"/>
      </rPr>
      <t>#19657594</t>
    </r>
    <phoneticPr fontId="3" type="noConversion"/>
  </si>
  <si>
    <t>2139.100其他預收貨款</t>
    <phoneticPr fontId="3" type="noConversion"/>
  </si>
  <si>
    <t>1121.100應收票據</t>
    <phoneticPr fontId="3" type="noConversion"/>
  </si>
  <si>
    <t>戈采EA402694-5</t>
    <phoneticPr fontId="3" type="noConversion"/>
  </si>
  <si>
    <t>戈采EA402695-6</t>
    <phoneticPr fontId="3" type="noConversion"/>
  </si>
  <si>
    <t>戈采EA402696-7</t>
    <phoneticPr fontId="3" type="noConversion"/>
  </si>
  <si>
    <t>戈采EA402697-8</t>
    <phoneticPr fontId="3" type="noConversion"/>
  </si>
  <si>
    <t>倍群CL3316338-7</t>
    <phoneticPr fontId="3" type="noConversion"/>
  </si>
  <si>
    <t>倍群CL3316339-8</t>
    <phoneticPr fontId="3" type="noConversion"/>
  </si>
  <si>
    <t>松群SA6793760-4</t>
    <phoneticPr fontId="3" type="noConversion"/>
  </si>
  <si>
    <t>松群SA6793761-5</t>
    <phoneticPr fontId="3" type="noConversion"/>
  </si>
  <si>
    <t>松群SA6793762-6</t>
    <phoneticPr fontId="3" type="noConversion"/>
  </si>
  <si>
    <t>松群SA6793763-7</t>
    <phoneticPr fontId="3" type="noConversion"/>
  </si>
  <si>
    <t>松群SA6793764-8</t>
    <phoneticPr fontId="3" type="noConversion"/>
  </si>
  <si>
    <t>歐視CL2911835-3</t>
    <phoneticPr fontId="3" type="noConversion"/>
  </si>
  <si>
    <t>歐視CL2911836-4</t>
    <phoneticPr fontId="3" type="noConversion"/>
  </si>
  <si>
    <t>歐視CL2911837-5</t>
    <phoneticPr fontId="3" type="noConversion"/>
  </si>
  <si>
    <t>歐視CL2911838-6</t>
    <phoneticPr fontId="3" type="noConversion"/>
  </si>
  <si>
    <t>歐視CL2911839-7</t>
    <phoneticPr fontId="3" type="noConversion"/>
  </si>
  <si>
    <t>松星SC7864303-3</t>
  </si>
  <si>
    <t>松星SC7864304-4</t>
  </si>
  <si>
    <t>松星SC7864305-5</t>
  </si>
  <si>
    <t>松星SC7864306-6</t>
  </si>
  <si>
    <t>松星SC7864307-7</t>
  </si>
  <si>
    <t>松星SC7864308-8</t>
  </si>
  <si>
    <t>金瑞特NC5309377-5</t>
  </si>
  <si>
    <t>金瑞特NC5309378-6</t>
  </si>
  <si>
    <t>金瑞特NC5309379-7</t>
  </si>
  <si>
    <t>金瑞特NC5309380-8</t>
  </si>
  <si>
    <t>金憶達TC0974789-12</t>
  </si>
  <si>
    <t>青山CL1215274-3+4</t>
  </si>
  <si>
    <t>青山CL1215275-5+6</t>
  </si>
  <si>
    <t>青山CL1215276-7+8</t>
  </si>
  <si>
    <t>城乙AS0422875-2</t>
  </si>
  <si>
    <t>城乙AS0422876-3</t>
  </si>
  <si>
    <t>城乙AS0422877-4</t>
  </si>
  <si>
    <t>城乙AS0422878-5</t>
  </si>
  <si>
    <t>城乙AS0422879-6</t>
  </si>
  <si>
    <t>城乙AS0422880-7</t>
  </si>
  <si>
    <t>城乙AS0422881-8</t>
  </si>
  <si>
    <t>威視AA2153481-24/1</t>
  </si>
  <si>
    <t>威視AA2153482-24/2</t>
  </si>
  <si>
    <t>威視AA2153483-24/3</t>
  </si>
  <si>
    <t>威視AA2153484-24/4</t>
  </si>
  <si>
    <t>威視AA2153485-24/5</t>
  </si>
  <si>
    <t>威視AA2153486-24/6</t>
  </si>
  <si>
    <t>威視AA2153487-24/7</t>
  </si>
  <si>
    <t>威視AA2153489-24/8</t>
  </si>
  <si>
    <t>威視AA2153490-24/9</t>
  </si>
  <si>
    <t>威視AA2153491-24/10</t>
  </si>
  <si>
    <t>威視AA2153492-24/11</t>
  </si>
  <si>
    <t>威視AA2153493-24/12</t>
  </si>
  <si>
    <t>威視AA2153494-24/13</t>
  </si>
  <si>
    <t>威視AA2153495-24/14</t>
  </si>
  <si>
    <t>威視AA2153496-24/15</t>
  </si>
  <si>
    <t>威視AA2153497-24/16</t>
  </si>
  <si>
    <t>威視AA2153498-24/17</t>
  </si>
  <si>
    <t>威視AA2153499-24/18</t>
  </si>
  <si>
    <t>存息</t>
  </si>
  <si>
    <t>歐視CL2911840-8</t>
    <phoneticPr fontId="3" type="noConversion"/>
  </si>
  <si>
    <t>艾喜卡AA3518386-8</t>
    <phoneticPr fontId="3" type="noConversion"/>
  </si>
  <si>
    <t>新日AF0935551-2</t>
    <phoneticPr fontId="3" type="noConversion"/>
  </si>
  <si>
    <r>
      <t>1</t>
    </r>
    <r>
      <rPr>
        <sz val="12"/>
        <rFont val="新細明體"/>
        <family val="1"/>
        <charset val="136"/>
      </rPr>
      <t>123.100應收帳款</t>
    </r>
    <phoneticPr fontId="3" type="noConversion"/>
  </si>
  <si>
    <t>同皇QU26049310-2</t>
    <phoneticPr fontId="3" type="noConversion"/>
  </si>
  <si>
    <t>信彰QU26049307-4</t>
    <phoneticPr fontId="3" type="noConversion"/>
  </si>
  <si>
    <t>施舒雅QU26049308-4</t>
    <phoneticPr fontId="3" type="noConversion"/>
  </si>
  <si>
    <t>新豐QU26049302-5</t>
    <phoneticPr fontId="3" type="noConversion"/>
  </si>
  <si>
    <r>
      <t>2</t>
    </r>
    <r>
      <rPr>
        <sz val="12"/>
        <rFont val="新細明體"/>
        <family val="1"/>
        <charset val="136"/>
      </rPr>
      <t>121.100應付票據</t>
    </r>
    <phoneticPr fontId="3" type="noConversion"/>
  </si>
  <si>
    <r>
      <t>2</t>
    </r>
    <r>
      <rPr>
        <sz val="12"/>
        <rFont val="新細明體"/>
        <family val="1"/>
        <charset val="136"/>
      </rPr>
      <t>123.100應付費用</t>
    </r>
    <phoneticPr fontId="3" type="noConversion"/>
  </si>
  <si>
    <t>新光保全-9512</t>
    <phoneticPr fontId="3" type="noConversion"/>
  </si>
  <si>
    <t>2195.100代扣勞保</t>
    <phoneticPr fontId="3" type="noConversion"/>
  </si>
  <si>
    <r>
      <t>2</t>
    </r>
    <r>
      <rPr>
        <sz val="12"/>
        <rFont val="新細明體"/>
        <family val="1"/>
        <charset val="136"/>
      </rPr>
      <t>195.200代扣健保</t>
    </r>
    <phoneticPr fontId="3" type="noConversion"/>
  </si>
  <si>
    <t>RU03167803</t>
  </si>
  <si>
    <t>RU03167804</t>
  </si>
  <si>
    <t>RU03167805</t>
  </si>
  <si>
    <t>RU03167806</t>
  </si>
  <si>
    <t>RU03167807</t>
  </si>
  <si>
    <t>RU03167808</t>
  </si>
  <si>
    <t>RU03167809</t>
  </si>
  <si>
    <t>SY03173051</t>
  </si>
  <si>
    <t>SY03173052</t>
  </si>
  <si>
    <t>SY03173053</t>
  </si>
  <si>
    <t>SY03173054</t>
  </si>
  <si>
    <t>SY03173055</t>
  </si>
  <si>
    <t>SY03173056</t>
  </si>
  <si>
    <t>益睿AU8568562-3</t>
  </si>
  <si>
    <t>益睿AU8568563-4</t>
  </si>
  <si>
    <t>益睿AU8568564-5</t>
  </si>
  <si>
    <t>益睿AU8568565-6</t>
  </si>
  <si>
    <t>益睿AU8568566-7</t>
  </si>
  <si>
    <t>益睿AU8568567-8</t>
  </si>
  <si>
    <t>健雅UA3337581-2</t>
  </si>
  <si>
    <t>健雅UA3337582-3</t>
  </si>
  <si>
    <t>健雅UA3337583-4</t>
  </si>
  <si>
    <t>健雅UA3337584-5</t>
  </si>
  <si>
    <t>健雅UA3337585-6</t>
  </si>
  <si>
    <t>健雅UA3337586-7</t>
  </si>
  <si>
    <t>健雅UA3337587-8</t>
  </si>
  <si>
    <t>祥和AN0664851-4</t>
  </si>
  <si>
    <t>祥和AN0664852-5</t>
  </si>
  <si>
    <t>祥和AN0664853-6</t>
  </si>
  <si>
    <t>祥和AN0664854-7</t>
  </si>
  <si>
    <t>祥和AN0664855-8</t>
  </si>
  <si>
    <t>莉高DC0051274-4</t>
  </si>
  <si>
    <t>莉高DC0051275-5</t>
  </si>
  <si>
    <t>莉高DC0064826-6</t>
  </si>
  <si>
    <t>莉高DC0064827-7</t>
  </si>
  <si>
    <t>莉高DC0064828-8</t>
  </si>
  <si>
    <t>富甲AU8163849-3</t>
  </si>
  <si>
    <t>富甲AU8163850-4</t>
  </si>
  <si>
    <t>富甲AU8163851-5</t>
  </si>
  <si>
    <t>富甲AU8163852-6</t>
  </si>
  <si>
    <t>富甲AU8163853-7</t>
  </si>
  <si>
    <t>富甲AU8163854-8</t>
  </si>
  <si>
    <t>富擎天AC8415688-5</t>
  </si>
  <si>
    <t>富擎天AC8415689-6</t>
  </si>
  <si>
    <t>富擎天AC8415690-7</t>
  </si>
  <si>
    <t>富擎天AC8415691-8</t>
  </si>
  <si>
    <t>富擎天AC8415692-9</t>
  </si>
  <si>
    <t>富擎天AC8415693-10</t>
  </si>
  <si>
    <t>華邁TC1287108-3</t>
  </si>
  <si>
    <t>華邁TC1287109-4</t>
  </si>
  <si>
    <t>華邁TC1287110-5</t>
  </si>
  <si>
    <t>華邁TC1287111-6</t>
  </si>
  <si>
    <t>華邁TC1287112-7</t>
  </si>
  <si>
    <t>華邁TC1287113-8</t>
  </si>
  <si>
    <t>勤發CA3545310-5</t>
  </si>
  <si>
    <t>勤發QJ1673237-4</t>
  </si>
  <si>
    <t>勤發QJ1673238-8</t>
  </si>
  <si>
    <t>勤發QL4057693-6</t>
  </si>
  <si>
    <t>勤發TC1119225-7</t>
  </si>
  <si>
    <t>勤業CL2800474-3</t>
  </si>
  <si>
    <t>勤業CL2800475-4</t>
  </si>
  <si>
    <t>勤業CL2800476-5</t>
  </si>
  <si>
    <t>勤業CL2800477-6</t>
  </si>
  <si>
    <t>勤業CL2800478-7</t>
  </si>
  <si>
    <t>勤業CL2800479-8</t>
  </si>
  <si>
    <t>誠全BI1175317-4</t>
  </si>
  <si>
    <t>誠全BI1175318-5</t>
  </si>
  <si>
    <t>誠全BI1175319-6</t>
  </si>
  <si>
    <t>誠全BI1175320-7</t>
  </si>
  <si>
    <t>誠全BI1175321-8</t>
  </si>
  <si>
    <t>鼎堅AA1975419-5</t>
  </si>
  <si>
    <t>鼎堅AA1975420-6</t>
  </si>
  <si>
    <t>鼎堅AA1975421-7</t>
  </si>
  <si>
    <t>鼎堅AA1975422-8</t>
  </si>
  <si>
    <t>鈺成CL9124191-7</t>
  </si>
  <si>
    <t>鈺成CL9124192-8</t>
  </si>
  <si>
    <t>漢富AE4869705-4</t>
  </si>
  <si>
    <t>漢富AE4869706-5</t>
  </si>
  <si>
    <t>漢富AE4869707-6</t>
  </si>
  <si>
    <t>漢富AE4869708-7</t>
  </si>
  <si>
    <t>漢富AE4869709-8</t>
  </si>
  <si>
    <t>廣鑫ZS7613972-3</t>
  </si>
  <si>
    <t>廣鑫ZS7613973-4</t>
  </si>
  <si>
    <t>廣鑫ZS7613974-5</t>
  </si>
  <si>
    <t>廣鑫ZS7613975-6</t>
  </si>
  <si>
    <t>廣鑫ZS7613976-7</t>
  </si>
  <si>
    <t>廣鑫ZS7613977-8</t>
  </si>
  <si>
    <t>邁登CH3111788-3</t>
  </si>
  <si>
    <t>邁登CH3111789-4</t>
  </si>
  <si>
    <t>邁登CH3111790-5</t>
  </si>
  <si>
    <t>邁登CH3111791-6</t>
  </si>
  <si>
    <t>邁登CH3111792-7</t>
  </si>
  <si>
    <t>邁登CH3111793-8</t>
  </si>
  <si>
    <t>雙安VA7711959-4</t>
  </si>
  <si>
    <t>雙安VA7711960-5</t>
  </si>
  <si>
    <t>雙安VA7711961-6</t>
  </si>
  <si>
    <t>實收金額</t>
  </si>
  <si>
    <t>JU22478453</t>
  </si>
  <si>
    <t>17,18</t>
  </si>
  <si>
    <t>33,45</t>
  </si>
  <si>
    <t>寂天CE0007764-4</t>
  </si>
  <si>
    <t>寂天CE0007765-5</t>
  </si>
  <si>
    <t>寂天CE0007766-6</t>
  </si>
  <si>
    <t>寂天CE0007767-7</t>
  </si>
  <si>
    <t>寂天CE0007768-8</t>
  </si>
  <si>
    <t>海特CL3072454-3</t>
  </si>
  <si>
    <t>海特CL3072455-4</t>
  </si>
  <si>
    <t>海特CL3072456-5</t>
  </si>
  <si>
    <t>海特CL3072457-6</t>
  </si>
  <si>
    <t>海特CL3072458-7</t>
  </si>
  <si>
    <t>海特CL3072459-8</t>
  </si>
  <si>
    <t>祥晨WB9395131-3</t>
  </si>
  <si>
    <t>祥晨WB9395132-4</t>
  </si>
  <si>
    <t>太陽SC7713687-8</t>
  </si>
  <si>
    <t>台一GU0666767-5</t>
  </si>
  <si>
    <t>台一GU0666768-6</t>
  </si>
  <si>
    <t>台一GU0666769-7</t>
  </si>
  <si>
    <t>台一GU0666770-8</t>
  </si>
  <si>
    <t>甲品AU0533884-2</t>
  </si>
  <si>
    <t>甲品AU0533885-3</t>
  </si>
  <si>
    <t>甲品AU0533886-4</t>
  </si>
  <si>
    <t>甲品AU0533887-5</t>
  </si>
  <si>
    <t>甲品AU0533888-6</t>
  </si>
  <si>
    <t>甲品AU0533889-7</t>
  </si>
  <si>
    <t>甲品AU0533890-8</t>
  </si>
  <si>
    <t>伊士肯BL3118339-4</t>
  </si>
  <si>
    <t>伊士肯BL3118340-5</t>
  </si>
  <si>
    <t>伊士肯BL3118341-6</t>
  </si>
  <si>
    <t>伊士肯BL3118342-7</t>
  </si>
  <si>
    <t>伊士肯BL3118343-8</t>
  </si>
  <si>
    <t>合碩HN1711509-3</t>
  </si>
  <si>
    <t>合碩HN1711510-4</t>
  </si>
  <si>
    <t>合碩HN1711511-5</t>
  </si>
  <si>
    <t>合碩HN1711512-6</t>
  </si>
  <si>
    <t>合碩HN1711513-7</t>
  </si>
  <si>
    <t>合碩HN1711514-8</t>
  </si>
  <si>
    <t>好慶ZY8022715-7</t>
  </si>
  <si>
    <t>好慶ZY8022716-8</t>
  </si>
  <si>
    <t>安口AU7723076-5</t>
  </si>
  <si>
    <t>安口AU7723077-6</t>
  </si>
  <si>
    <t>99年科目明細</t>
  </si>
  <si>
    <t>應收帳款</t>
  </si>
  <si>
    <t>安口AU7723078-7</t>
  </si>
  <si>
    <t>安口AU7723079-8</t>
  </si>
  <si>
    <t>西拓WA2394444-1</t>
  </si>
  <si>
    <t>西拓WA2394445-2</t>
  </si>
  <si>
    <t>西拓WA2394446-3</t>
  </si>
  <si>
    <t>AC5129877</t>
  </si>
  <si>
    <t>AC5129878</t>
  </si>
  <si>
    <t>2015.07.30</t>
  </si>
  <si>
    <t>AC5129879</t>
  </si>
  <si>
    <t>2015.10.30</t>
  </si>
  <si>
    <t>AC5129880</t>
  </si>
  <si>
    <t>2016.01.30</t>
  </si>
  <si>
    <t>2013年開出發票</t>
  </si>
  <si>
    <t>KN26674500</t>
  </si>
  <si>
    <t>31111902</t>
  </si>
  <si>
    <r>
      <t>K</t>
    </r>
    <r>
      <rPr>
        <sz val="12"/>
        <rFont val="新細明體"/>
        <family val="1"/>
        <charset val="136"/>
      </rPr>
      <t>N26674501</t>
    </r>
  </si>
  <si>
    <t>KN26674502</t>
  </si>
  <si>
    <t>KN26674503</t>
  </si>
  <si>
    <t>KN26674504</t>
  </si>
  <si>
    <t>20921362</t>
  </si>
  <si>
    <r>
      <t>K</t>
    </r>
    <r>
      <rPr>
        <sz val="12"/>
        <rFont val="新細明體"/>
        <family val="1"/>
        <charset val="136"/>
      </rPr>
      <t>N26674505</t>
    </r>
  </si>
  <si>
    <r>
      <t>8</t>
    </r>
    <r>
      <rPr>
        <sz val="12"/>
        <rFont val="新細明體"/>
        <family val="1"/>
        <charset val="136"/>
      </rPr>
      <t>6887365</t>
    </r>
  </si>
  <si>
    <r>
      <t>K</t>
    </r>
    <r>
      <rPr>
        <sz val="12"/>
        <rFont val="新細明體"/>
        <family val="1"/>
        <charset val="136"/>
      </rPr>
      <t>N26674507</t>
    </r>
  </si>
  <si>
    <t>LL27228650</t>
  </si>
  <si>
    <t>13-24</t>
  </si>
  <si>
    <t>663-674</t>
  </si>
  <si>
    <t>LL27228651</t>
  </si>
  <si>
    <t>LL27228652</t>
  </si>
  <si>
    <t>LL27228653</t>
  </si>
  <si>
    <t>LL27228654</t>
  </si>
  <si>
    <t>LL27228655</t>
  </si>
  <si>
    <t>LL27228656</t>
  </si>
  <si>
    <t>LL27228657</t>
  </si>
  <si>
    <t>LL27228658</t>
  </si>
  <si>
    <t>MJ26316700</t>
  </si>
  <si>
    <t>MJ26316701</t>
  </si>
  <si>
    <t>MJ26316702</t>
  </si>
  <si>
    <t>9</t>
  </si>
  <si>
    <t>MJ26316703</t>
  </si>
  <si>
    <t>MJ26316704</t>
  </si>
  <si>
    <t>MJ26316705</t>
  </si>
  <si>
    <t>MJ26316706</t>
  </si>
  <si>
    <t>MJ26316707</t>
  </si>
  <si>
    <t>MJ26316708</t>
  </si>
  <si>
    <t>MJ26316709</t>
  </si>
  <si>
    <t>NG26086450</t>
  </si>
  <si>
    <t>NG26086451</t>
  </si>
  <si>
    <t>NG26086452</t>
  </si>
  <si>
    <t>NG26086453</t>
  </si>
  <si>
    <t>22449539</t>
  </si>
  <si>
    <t>NG26086454</t>
  </si>
  <si>
    <t>NG26086455</t>
  </si>
  <si>
    <t>NG26086456</t>
  </si>
  <si>
    <t>NG26086457</t>
  </si>
  <si>
    <t>10</t>
  </si>
  <si>
    <t>NG26086458</t>
  </si>
  <si>
    <t>54337826</t>
  </si>
  <si>
    <t>PE25884150</t>
  </si>
  <si>
    <t>PE25884151</t>
  </si>
  <si>
    <r>
      <t>3</t>
    </r>
    <r>
      <rPr>
        <sz val="12"/>
        <rFont val="新細明體"/>
        <family val="1"/>
        <charset val="136"/>
      </rPr>
      <t>6025531</t>
    </r>
  </si>
  <si>
    <t>PE25884152</t>
  </si>
  <si>
    <t>PE25884153</t>
  </si>
  <si>
    <t>PE25884154</t>
  </si>
  <si>
    <t>PE25884155</t>
  </si>
  <si>
    <t>PE25884156</t>
  </si>
  <si>
    <t>PE25884157</t>
  </si>
  <si>
    <t>PE25884158</t>
  </si>
  <si>
    <t>PE25884159</t>
  </si>
  <si>
    <t>PE25884160</t>
  </si>
  <si>
    <t>PE25884161</t>
  </si>
  <si>
    <t>29086879</t>
  </si>
  <si>
    <t>PE25884162</t>
  </si>
  <si>
    <t>QC25987200</t>
  </si>
  <si>
    <t>QC25987201</t>
  </si>
  <si>
    <t>QC25987202</t>
  </si>
  <si>
    <t>QC25987203</t>
  </si>
  <si>
    <t>11</t>
  </si>
  <si>
    <t>QC25987204</t>
  </si>
  <si>
    <t>QC25987205</t>
  </si>
  <si>
    <t>QC25987206</t>
  </si>
  <si>
    <t>QC25987207</t>
  </si>
  <si>
    <t>QC25987208</t>
  </si>
  <si>
    <t>QC25987209</t>
  </si>
  <si>
    <t>QC25987210</t>
  </si>
  <si>
    <t>QC25987211</t>
  </si>
  <si>
    <t>2013應收</t>
    <phoneticPr fontId="3" type="noConversion"/>
  </si>
  <si>
    <t>2012未收</t>
    <phoneticPr fontId="3" type="noConversion"/>
  </si>
  <si>
    <t>2014預收</t>
    <phoneticPr fontId="3" type="noConversion"/>
  </si>
  <si>
    <t>2013預收</t>
    <phoneticPr fontId="3" type="noConversion"/>
  </si>
  <si>
    <t>跨年未兌</t>
  </si>
  <si>
    <t>2013收未兌票x14</t>
  </si>
  <si>
    <t>2013收跨年銀行未兌x3</t>
  </si>
  <si>
    <t>2014收未兌票x119</t>
  </si>
  <si>
    <t>2014收跨年銀行未兌x15</t>
  </si>
  <si>
    <t>2014.04.23</t>
  </si>
  <si>
    <t>102/12</t>
  </si>
  <si>
    <t>2014應收</t>
  </si>
  <si>
    <t>2013未收</t>
  </si>
  <si>
    <t>2013.10.25</t>
  </si>
  <si>
    <t>2014.04.25</t>
  </si>
  <si>
    <t>2014.06.25</t>
  </si>
  <si>
    <t>本期支票</t>
  </si>
  <si>
    <t>本期匯款</t>
  </si>
  <si>
    <t>1-4,5-8</t>
  </si>
  <si>
    <t>491-494,659-662</t>
  </si>
  <si>
    <t>632-639</t>
  </si>
  <si>
    <t>640-647</t>
  </si>
  <si>
    <t>648-655</t>
  </si>
  <si>
    <t>675-682</t>
  </si>
  <si>
    <t>683-690</t>
  </si>
  <si>
    <t>693-700</t>
  </si>
  <si>
    <t>709-716</t>
  </si>
  <si>
    <t>701-708</t>
  </si>
  <si>
    <t>717-724</t>
  </si>
  <si>
    <t>725-732</t>
  </si>
  <si>
    <t>742-749</t>
  </si>
  <si>
    <t>零件</t>
  </si>
  <si>
    <t>利息6月+12月</t>
  </si>
  <si>
    <t>2013/11~12</t>
  </si>
  <si>
    <t>庭田FS0005340-7</t>
  </si>
  <si>
    <t>庭田FS0005341-8</t>
  </si>
  <si>
    <t>恩豪AL7938418-2</t>
  </si>
  <si>
    <t>恩豪AL7938419-3</t>
  </si>
  <si>
    <t>恩豪AL7938420-4</t>
  </si>
  <si>
    <t>浩檀CM4969309-5</t>
  </si>
  <si>
    <t>浩檀CM4969310-6</t>
  </si>
  <si>
    <t>浩檀CM4969311-7</t>
  </si>
  <si>
    <t>浩檀CM4969312-8</t>
  </si>
  <si>
    <t>益睿AW1743252-1</t>
  </si>
  <si>
    <t>益睿AW1743253-2</t>
  </si>
  <si>
    <t>益睿AW1743254-3</t>
  </si>
  <si>
    <t>益睿AW1743255-4</t>
  </si>
  <si>
    <t>益睿AW1743256-5</t>
  </si>
  <si>
    <t>益睿AW1743257-6</t>
  </si>
  <si>
    <t>益睿AW1743258-7</t>
  </si>
  <si>
    <t>益睿AW1743259-8</t>
  </si>
  <si>
    <t>益睿AW1743260-9</t>
  </si>
  <si>
    <t>益睿AW1743261-10</t>
  </si>
  <si>
    <t>毛利</t>
  </si>
  <si>
    <t>99年華算主機-期初</t>
  </si>
  <si>
    <t>99年華算主機-新組裝</t>
  </si>
  <si>
    <t>99年華算主機-折舊</t>
  </si>
  <si>
    <t>99年華算主機-殘值</t>
  </si>
  <si>
    <t>津河EU25778499-24/7</t>
  </si>
  <si>
    <t>凡捷FU26080761-7</t>
  </si>
  <si>
    <t>惠安FU26080762-4</t>
  </si>
  <si>
    <t>金仁豐FU26080778-6</t>
  </si>
  <si>
    <t>凡捷GU26187410-8</t>
  </si>
  <si>
    <t>金仁豐HU25771769-7</t>
  </si>
  <si>
    <t>金仁豐JU25967140-8</t>
  </si>
  <si>
    <t>展鑫-3 940925</t>
  </si>
  <si>
    <t>展鑫-4 941225</t>
  </si>
  <si>
    <t>展鑫-5 950325</t>
  </si>
  <si>
    <t>展鑫-6 950625</t>
  </si>
  <si>
    <t>展鑫-7 950925</t>
  </si>
  <si>
    <t>展鑫-8 951225</t>
  </si>
  <si>
    <t>紡慶-4 950306</t>
  </si>
  <si>
    <t>數量</t>
  </si>
  <si>
    <t>進項金額</t>
  </si>
  <si>
    <t>進項稅額</t>
  </si>
  <si>
    <t>主機板</t>
  </si>
  <si>
    <t>代購</t>
  </si>
  <si>
    <t>前程</t>
  </si>
  <si>
    <t>進貨金額</t>
    <phoneticPr fontId="8" type="noConversion"/>
  </si>
  <si>
    <t>主機</t>
    <phoneticPr fontId="8" type="noConversion"/>
  </si>
  <si>
    <t>北平辦公室押金2個月</t>
    <phoneticPr fontId="3" type="noConversion"/>
  </si>
  <si>
    <t>2910.100存入保證金</t>
    <phoneticPr fontId="3" type="noConversion"/>
  </si>
  <si>
    <t>上鵬-抵押金</t>
    <phoneticPr fontId="3" type="noConversion"/>
  </si>
  <si>
    <t>英貿-到期退租</t>
  </si>
  <si>
    <t>世洋RU26116110</t>
  </si>
  <si>
    <t>捷超-到期退押金</t>
  </si>
  <si>
    <t>沛倫-到期退租</t>
  </si>
  <si>
    <t>瑞強-抵押金</t>
    <phoneticPr fontId="3" type="noConversion"/>
  </si>
  <si>
    <t>漢業-押金抵8期款</t>
  </si>
  <si>
    <t>玄懋-到期退租</t>
  </si>
  <si>
    <t>達昌-到期退租</t>
  </si>
  <si>
    <t>漢業-到期退租</t>
  </si>
  <si>
    <t>世豐-到期退租</t>
  </si>
  <si>
    <t>旅東-到期退租</t>
  </si>
  <si>
    <t>利明-到期退租</t>
  </si>
  <si>
    <t>96年科目明細</t>
    <phoneticPr fontId="3" type="noConversion"/>
  </si>
  <si>
    <t>FAN</t>
  </si>
  <si>
    <t>PWER</t>
  </si>
  <si>
    <t>42</t>
  </si>
  <si>
    <t>Hub</t>
  </si>
  <si>
    <t>富甲</t>
  </si>
  <si>
    <t>同皇</t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</si>
  <si>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/12/31庫存帳</t>
    </r>
    <phoneticPr fontId="8" type="noConversion"/>
  </si>
  <si>
    <t>CASE</t>
    <phoneticPr fontId="8" type="noConversion"/>
  </si>
  <si>
    <t>統安DKA0225134-8</t>
  </si>
  <si>
    <t>喜可AU1006375-24/7</t>
  </si>
  <si>
    <t>喜可AU1006376-24/8</t>
  </si>
  <si>
    <t>喜可AU1006377-24/9</t>
  </si>
  <si>
    <t>喜可AU1006378-24/10</t>
  </si>
  <si>
    <t>喜可AU1006379-24/11</t>
  </si>
  <si>
    <t>喜可AU1006380-24/12</t>
  </si>
  <si>
    <t>喜可AU1006381-24/13</t>
  </si>
  <si>
    <t>喜可AU1006382-24/14</t>
  </si>
  <si>
    <t>喜可AU1006383-24/15</t>
  </si>
  <si>
    <t>喜可AU1006384-24/16</t>
  </si>
  <si>
    <t>喜可AU1006385-24/17</t>
  </si>
  <si>
    <t>喜可AU1006386-24/18</t>
    <phoneticPr fontId="3" type="noConversion"/>
  </si>
  <si>
    <t>喜可AU1006387-24/19</t>
  </si>
  <si>
    <t>喜可AU1006388-24/20</t>
  </si>
  <si>
    <t>喜可AU1006389-24/21</t>
  </si>
  <si>
    <t>喜可AU1006390-24/22</t>
  </si>
  <si>
    <t>喜可AU1006391-24/23</t>
  </si>
  <si>
    <t>喜可AU1006392-24/24</t>
  </si>
  <si>
    <t>喜洋洋CN1411628-5</t>
  </si>
  <si>
    <t>喜洋洋CN1411629-6</t>
  </si>
  <si>
    <t>喜洋洋CN1411630-7</t>
  </si>
  <si>
    <t>喜洋洋CN1411631-8</t>
  </si>
  <si>
    <t>港岱A0049931-2</t>
  </si>
  <si>
    <t>港岱A0049932-3</t>
  </si>
  <si>
    <t>港岱A0049933-4</t>
  </si>
  <si>
    <t>港岱A0049934-5</t>
  </si>
  <si>
    <t>港岱A0049935-6</t>
  </si>
  <si>
    <t>港岱A0049936-7</t>
  </si>
  <si>
    <t>港岱A0049937-8</t>
  </si>
  <si>
    <t>愛浪UC9357721-3</t>
  </si>
  <si>
    <t>愛浪UC9357722-4</t>
  </si>
  <si>
    <t>愛浪UC9357723-5</t>
  </si>
  <si>
    <t>愛浪UC9357724-6</t>
  </si>
  <si>
    <t>愛浪UC9357725-7</t>
  </si>
  <si>
    <t>愛浪UC9357726-8</t>
  </si>
  <si>
    <t>道法MC0780488-2</t>
  </si>
  <si>
    <t>道法MC0780489-3</t>
  </si>
  <si>
    <t>道法MC0780490-4</t>
  </si>
  <si>
    <t>2011.4.1</t>
  </si>
  <si>
    <t>CN1992963</t>
  </si>
  <si>
    <t>AD7325167</t>
  </si>
  <si>
    <t>AD8712615</t>
  </si>
  <si>
    <t>2011.4.5</t>
  </si>
  <si>
    <t>BA8300735</t>
  </si>
  <si>
    <t>AD7390122</t>
  </si>
  <si>
    <t>2011.4.18</t>
  </si>
  <si>
    <t>BC4853948</t>
  </si>
  <si>
    <t>2011.4.19</t>
  </si>
  <si>
    <t>AA3825081</t>
  </si>
  <si>
    <t>2011.4.30</t>
  </si>
  <si>
    <t>BA4419096</t>
  </si>
  <si>
    <t>HS0131174</t>
  </si>
  <si>
    <t>2011.5.1</t>
  </si>
  <si>
    <t>CN1992964</t>
  </si>
  <si>
    <t>2011.5.5</t>
  </si>
  <si>
    <t>AA4032041</t>
  </si>
  <si>
    <t>2195.600代墊勞保-李</t>
    <phoneticPr fontId="3" type="noConversion"/>
  </si>
  <si>
    <t>2195.700代墊健保-李</t>
    <phoneticPr fontId="3" type="noConversion"/>
  </si>
  <si>
    <t>2195.800代墊健保-李-其他</t>
    <phoneticPr fontId="3" type="noConversion"/>
  </si>
  <si>
    <t>代墊勞退-9407-9412</t>
    <phoneticPr fontId="3" type="noConversion"/>
  </si>
  <si>
    <t>存貨</t>
  </si>
  <si>
    <t>期末庫存-電腦零件</t>
  </si>
  <si>
    <t>存貨-主機</t>
  </si>
  <si>
    <t xml:space="preserve">    存貨</t>
  </si>
  <si>
    <t>期初庫存-電腦零件</t>
  </si>
  <si>
    <t>主機用料-電腦零件</t>
  </si>
  <si>
    <t>其他成本-主機</t>
  </si>
  <si>
    <t xml:space="preserve">    存貨-主機</t>
  </si>
  <si>
    <t>威視AA2153500-24/19</t>
  </si>
  <si>
    <t>威視AA2153501-24/20</t>
  </si>
  <si>
    <t>威視AA2153502-24/21</t>
  </si>
  <si>
    <t>威視AA2175303-24/22</t>
  </si>
  <si>
    <t>威視AA2175304-24/23</t>
  </si>
  <si>
    <t>威視AA2175305-24/24</t>
  </si>
  <si>
    <t>美桀UI0236557-1</t>
  </si>
  <si>
    <t>美桀UI0236558-2</t>
  </si>
  <si>
    <t>美桀UI0236559-3</t>
  </si>
  <si>
    <t>美桀UI0236560-5</t>
  </si>
  <si>
    <t>美桀UI0236561-6</t>
  </si>
  <si>
    <t>美桀UI0236562-7</t>
  </si>
  <si>
    <t>美桀UI0236563-8</t>
  </si>
  <si>
    <t>美桀UI0236564-4</t>
  </si>
  <si>
    <t>英貿CHA1262358-7</t>
  </si>
  <si>
    <t>倍群CL3316333-3</t>
  </si>
  <si>
    <t>倍群CL3316334-4</t>
  </si>
  <si>
    <t>倍群CL3316335-5</t>
  </si>
  <si>
    <t>倍群CL3316336-6</t>
  </si>
  <si>
    <t>倍群CL3316337-7</t>
  </si>
  <si>
    <t>倍群CL3316338-8</t>
  </si>
  <si>
    <t>展元NC4944829-4</t>
  </si>
  <si>
    <t>展元NC4944830-5</t>
  </si>
  <si>
    <t>展元NC4944831-6</t>
  </si>
  <si>
    <t>展元NC4944832-7</t>
  </si>
  <si>
    <t>展元NC4944833-8</t>
  </si>
  <si>
    <t>展鑫QC1195193-5</t>
  </si>
  <si>
    <t>展鑫QC1195194-6</t>
  </si>
  <si>
    <t>展鑫QC1195195-7</t>
  </si>
  <si>
    <t>展鑫QC1195196-8</t>
  </si>
  <si>
    <t>庭田FS0002732-2</t>
  </si>
  <si>
    <t>庭田FS0002733-3</t>
  </si>
  <si>
    <t>庭田FS0002734-4</t>
  </si>
  <si>
    <t>庭田FS0002735-5</t>
  </si>
  <si>
    <t>楊博欽</t>
    <phoneticPr fontId="23" type="noConversion"/>
  </si>
  <si>
    <t>104/12</t>
    <phoneticPr fontId="3" type="noConversion"/>
  </si>
  <si>
    <t>2015科目明細</t>
    <phoneticPr fontId="3" type="noConversion"/>
  </si>
  <si>
    <t>2015.03.03</t>
    <phoneticPr fontId="3" type="noConversion"/>
  </si>
  <si>
    <t>2015.03.04</t>
    <phoneticPr fontId="3" type="noConversion"/>
  </si>
  <si>
    <t>2015.03.30</t>
    <phoneticPr fontId="3" type="noConversion"/>
  </si>
  <si>
    <t>2015.03.31</t>
    <phoneticPr fontId="3" type="noConversion"/>
  </si>
  <si>
    <t>2015.02.05</t>
    <phoneticPr fontId="3" type="noConversion"/>
  </si>
  <si>
    <t>2015.02.06</t>
    <phoneticPr fontId="3" type="noConversion"/>
  </si>
  <si>
    <t>2015.05.08</t>
    <phoneticPr fontId="3" type="noConversion"/>
  </si>
  <si>
    <t>2015.05.11</t>
    <phoneticPr fontId="3" type="noConversion"/>
  </si>
  <si>
    <t>2015.01.07</t>
    <phoneticPr fontId="3" type="noConversion"/>
  </si>
  <si>
    <t>2015.01.08</t>
    <phoneticPr fontId="3" type="noConversion"/>
  </si>
  <si>
    <t>2015.04.24</t>
    <phoneticPr fontId="3" type="noConversion"/>
  </si>
  <si>
    <t>2015.04.27</t>
    <phoneticPr fontId="3" type="noConversion"/>
  </si>
  <si>
    <t>2015.05.28</t>
    <phoneticPr fontId="3" type="noConversion"/>
  </si>
  <si>
    <t>2015.05.29</t>
    <phoneticPr fontId="3" type="noConversion"/>
  </si>
  <si>
    <t>2015.08.19</t>
    <phoneticPr fontId="3" type="noConversion"/>
  </si>
  <si>
    <t>2015.08.20</t>
    <phoneticPr fontId="3" type="noConversion"/>
  </si>
  <si>
    <t>2015.06.05</t>
    <phoneticPr fontId="3" type="noConversion"/>
  </si>
  <si>
    <t>2015.06.08</t>
    <phoneticPr fontId="3" type="noConversion"/>
  </si>
  <si>
    <t>2015.07.28</t>
    <phoneticPr fontId="3" type="noConversion"/>
  </si>
  <si>
    <t>2015.07.29</t>
    <phoneticPr fontId="3" type="noConversion"/>
  </si>
  <si>
    <t>品固SJ</t>
    <phoneticPr fontId="3" type="noConversion"/>
  </si>
  <si>
    <t>2015.09.01</t>
    <phoneticPr fontId="3" type="noConversion"/>
  </si>
  <si>
    <t>2015.09.02</t>
    <phoneticPr fontId="3" type="noConversion"/>
  </si>
  <si>
    <t>2015.12.01</t>
    <phoneticPr fontId="3" type="noConversion"/>
  </si>
  <si>
    <t>2015.12.02</t>
    <phoneticPr fontId="3" type="noConversion"/>
  </si>
  <si>
    <t>2015.06.06</t>
    <phoneticPr fontId="3" type="noConversion"/>
  </si>
  <si>
    <t>2015.06.29</t>
    <phoneticPr fontId="3" type="noConversion"/>
  </si>
  <si>
    <t>2015.09.17</t>
    <phoneticPr fontId="3" type="noConversion"/>
  </si>
  <si>
    <t>2015.09.18</t>
    <phoneticPr fontId="3" type="noConversion"/>
  </si>
  <si>
    <t>2015.12.16</t>
    <phoneticPr fontId="3" type="noConversion"/>
  </si>
  <si>
    <t>2015.12.17</t>
    <phoneticPr fontId="3" type="noConversion"/>
  </si>
  <si>
    <t>2015.10.23</t>
    <phoneticPr fontId="3" type="noConversion"/>
  </si>
  <si>
    <t>2015.10.26</t>
    <phoneticPr fontId="3" type="noConversion"/>
  </si>
  <si>
    <t>2015.11.02</t>
    <phoneticPr fontId="3" type="noConversion"/>
  </si>
  <si>
    <t>2015.11.03</t>
    <phoneticPr fontId="3" type="noConversion"/>
  </si>
  <si>
    <t>2015.06.20</t>
    <phoneticPr fontId="3" type="noConversion"/>
  </si>
  <si>
    <t>2015.09.23</t>
    <phoneticPr fontId="3" type="noConversion"/>
  </si>
  <si>
    <t>2015.09.24</t>
    <phoneticPr fontId="3" type="noConversion"/>
  </si>
  <si>
    <t>2015.12.29</t>
    <phoneticPr fontId="3" type="noConversion"/>
  </si>
  <si>
    <t>2015.12.30</t>
    <phoneticPr fontId="3" type="noConversion"/>
  </si>
  <si>
    <t>2015.06.18</t>
    <phoneticPr fontId="3" type="noConversion"/>
  </si>
  <si>
    <t>2015.11.15</t>
    <phoneticPr fontId="3" type="noConversion"/>
  </si>
  <si>
    <t>HN1495801</t>
    <phoneticPr fontId="3" type="noConversion"/>
  </si>
  <si>
    <t>HN1495802</t>
    <phoneticPr fontId="3" type="noConversion"/>
  </si>
  <si>
    <t>HN1495803</t>
    <phoneticPr fontId="3" type="noConversion"/>
  </si>
  <si>
    <t>HN1495804</t>
    <phoneticPr fontId="3" type="noConversion"/>
  </si>
  <si>
    <t>HN1495805</t>
    <phoneticPr fontId="3" type="noConversion"/>
  </si>
  <si>
    <t>2015.06.11</t>
    <phoneticPr fontId="3" type="noConversion"/>
  </si>
  <si>
    <t>HN1495806</t>
    <phoneticPr fontId="3" type="noConversion"/>
  </si>
  <si>
    <t>HN1495807</t>
    <phoneticPr fontId="3" type="noConversion"/>
  </si>
  <si>
    <t>HN1495808</t>
    <phoneticPr fontId="3" type="noConversion"/>
  </si>
  <si>
    <t>HN1495809</t>
    <phoneticPr fontId="3" type="noConversion"/>
  </si>
  <si>
    <t>2015.10.01</t>
    <phoneticPr fontId="3" type="noConversion"/>
  </si>
  <si>
    <t>2015.10.02</t>
    <phoneticPr fontId="3" type="noConversion"/>
  </si>
  <si>
    <t>2015.12.31</t>
    <phoneticPr fontId="3" type="noConversion"/>
  </si>
  <si>
    <t>2015.11.14</t>
    <phoneticPr fontId="3" type="noConversion"/>
  </si>
  <si>
    <t>2015年收票</t>
    <phoneticPr fontId="3" type="noConversion"/>
  </si>
  <si>
    <t>2015兌現</t>
    <phoneticPr fontId="3" type="noConversion"/>
  </si>
  <si>
    <t>2014.12.23</t>
    <phoneticPr fontId="3" type="noConversion"/>
  </si>
  <si>
    <t>LD1906407</t>
    <phoneticPr fontId="3" type="noConversion"/>
  </si>
  <si>
    <t>2015.01.20</t>
    <phoneticPr fontId="3" type="noConversion"/>
  </si>
  <si>
    <t>2015.01.09</t>
    <phoneticPr fontId="3" type="noConversion"/>
  </si>
  <si>
    <t>KD5525720</t>
    <phoneticPr fontId="3" type="noConversion"/>
  </si>
  <si>
    <t>財務系統開發追加試乘車款</t>
    <phoneticPr fontId="3" type="noConversion"/>
  </si>
  <si>
    <t>2015.01.12</t>
    <phoneticPr fontId="3" type="noConversion"/>
  </si>
  <si>
    <t>2015.01.22</t>
    <phoneticPr fontId="3" type="noConversion"/>
  </si>
  <si>
    <t>鎔德</t>
    <phoneticPr fontId="3" type="noConversion"/>
  </si>
  <si>
    <t>JD1956334</t>
    <phoneticPr fontId="3" type="noConversion"/>
  </si>
  <si>
    <t>2015.01.27</t>
    <phoneticPr fontId="3" type="noConversion"/>
  </si>
  <si>
    <t>BA4719610</t>
    <phoneticPr fontId="3" type="noConversion"/>
  </si>
  <si>
    <t>2015.01.31</t>
    <phoneticPr fontId="3" type="noConversion"/>
  </si>
  <si>
    <t>BA4719611</t>
  </si>
  <si>
    <t>2015.02.28</t>
    <phoneticPr fontId="3" type="noConversion"/>
  </si>
  <si>
    <t>BA4719612</t>
    <phoneticPr fontId="3" type="noConversion"/>
  </si>
  <si>
    <t>2015.05.31</t>
    <phoneticPr fontId="3" type="noConversion"/>
  </si>
  <si>
    <t>BA4719613</t>
    <phoneticPr fontId="3" type="noConversion"/>
  </si>
  <si>
    <t>2015.08.31</t>
    <phoneticPr fontId="3" type="noConversion"/>
  </si>
  <si>
    <t>BA4719614</t>
    <phoneticPr fontId="3" type="noConversion"/>
  </si>
  <si>
    <t>2015.11.31</t>
    <phoneticPr fontId="3" type="noConversion"/>
  </si>
  <si>
    <t>BA4719615</t>
    <phoneticPr fontId="3" type="noConversion"/>
  </si>
  <si>
    <t>2016.02.28</t>
    <phoneticPr fontId="3" type="noConversion"/>
  </si>
  <si>
    <t>BA4719616</t>
    <phoneticPr fontId="3" type="noConversion"/>
  </si>
  <si>
    <t>2016.05.31</t>
    <phoneticPr fontId="3" type="noConversion"/>
  </si>
  <si>
    <t>BA4719617</t>
    <phoneticPr fontId="3" type="noConversion"/>
  </si>
  <si>
    <t>2016.08.31</t>
    <phoneticPr fontId="3" type="noConversion"/>
  </si>
  <si>
    <t>2015.02.12</t>
    <phoneticPr fontId="3" type="noConversion"/>
  </si>
  <si>
    <t>LD3254314</t>
    <phoneticPr fontId="3" type="noConversion"/>
  </si>
  <si>
    <t>2015.03.01</t>
    <phoneticPr fontId="3" type="noConversion"/>
  </si>
  <si>
    <t>LD3254315</t>
    <phoneticPr fontId="3" type="noConversion"/>
  </si>
  <si>
    <t>2015.06.01</t>
    <phoneticPr fontId="3" type="noConversion"/>
  </si>
  <si>
    <t>LD3254316</t>
    <phoneticPr fontId="3" type="noConversion"/>
  </si>
  <si>
    <t>LD3254317</t>
    <phoneticPr fontId="3" type="noConversion"/>
  </si>
  <si>
    <t>LD3254318</t>
    <phoneticPr fontId="3" type="noConversion"/>
  </si>
  <si>
    <t>2016.03.01</t>
    <phoneticPr fontId="3" type="noConversion"/>
  </si>
  <si>
    <t>LD3254319</t>
    <phoneticPr fontId="3" type="noConversion"/>
  </si>
  <si>
    <t>2016.06.01</t>
    <phoneticPr fontId="3" type="noConversion"/>
  </si>
  <si>
    <t>LD3254320</t>
    <phoneticPr fontId="3" type="noConversion"/>
  </si>
  <si>
    <t>2016.09.01</t>
    <phoneticPr fontId="3" type="noConversion"/>
  </si>
  <si>
    <t>LD3254321</t>
    <phoneticPr fontId="3" type="noConversion"/>
  </si>
  <si>
    <t>2016.12.01</t>
    <phoneticPr fontId="3" type="noConversion"/>
  </si>
  <si>
    <t>2015.02.17</t>
    <phoneticPr fontId="3" type="noConversion"/>
  </si>
  <si>
    <t>CB5245658</t>
    <phoneticPr fontId="3" type="noConversion"/>
  </si>
  <si>
    <t>2015.03.15</t>
    <phoneticPr fontId="3" type="noConversion"/>
  </si>
  <si>
    <t>2015.03.10</t>
    <phoneticPr fontId="3" type="noConversion"/>
  </si>
  <si>
    <t>裕恆</t>
    <phoneticPr fontId="3" type="noConversion"/>
  </si>
  <si>
    <t>GA7341892</t>
    <phoneticPr fontId="3" type="noConversion"/>
  </si>
  <si>
    <t>2015.04.15</t>
    <phoneticPr fontId="3" type="noConversion"/>
  </si>
  <si>
    <t>GA7341893</t>
    <phoneticPr fontId="3" type="noConversion"/>
  </si>
  <si>
    <t>2015.07.15</t>
    <phoneticPr fontId="3" type="noConversion"/>
  </si>
  <si>
    <t>GA7341894</t>
    <phoneticPr fontId="3" type="noConversion"/>
  </si>
  <si>
    <t>2015.10.15</t>
    <phoneticPr fontId="3" type="noConversion"/>
  </si>
  <si>
    <t>GA7341895</t>
    <phoneticPr fontId="3" type="noConversion"/>
  </si>
  <si>
    <t>2016.01.15</t>
    <phoneticPr fontId="3" type="noConversion"/>
  </si>
  <si>
    <t>GA7341896</t>
  </si>
  <si>
    <t>2016.04.15</t>
    <phoneticPr fontId="3" type="noConversion"/>
  </si>
  <si>
    <t>GA7341897</t>
  </si>
  <si>
    <t>2016.07.15</t>
    <phoneticPr fontId="3" type="noConversion"/>
  </si>
  <si>
    <t>GA7341898</t>
  </si>
  <si>
    <t>2016.10.15</t>
    <phoneticPr fontId="3" type="noConversion"/>
  </si>
  <si>
    <t>GA7341899</t>
  </si>
  <si>
    <t>2017.01.15</t>
    <phoneticPr fontId="3" type="noConversion"/>
  </si>
  <si>
    <t>2015.03.19</t>
    <phoneticPr fontId="3" type="noConversion"/>
  </si>
  <si>
    <t>安力</t>
    <phoneticPr fontId="3" type="noConversion"/>
  </si>
  <si>
    <t>KD4476141</t>
    <phoneticPr fontId="3" type="noConversion"/>
  </si>
  <si>
    <t>2015.05.05</t>
    <phoneticPr fontId="3" type="noConversion"/>
  </si>
  <si>
    <t>KD4476142</t>
    <phoneticPr fontId="3" type="noConversion"/>
  </si>
  <si>
    <t>2015.07.05</t>
    <phoneticPr fontId="3" type="noConversion"/>
  </si>
  <si>
    <t>KD4476143</t>
    <phoneticPr fontId="3" type="noConversion"/>
  </si>
  <si>
    <t>2015.10.05</t>
    <phoneticPr fontId="3" type="noConversion"/>
  </si>
  <si>
    <t>KD4476144</t>
    <phoneticPr fontId="3" type="noConversion"/>
  </si>
  <si>
    <t>2016.01.05</t>
    <phoneticPr fontId="3" type="noConversion"/>
  </si>
  <si>
    <t>KD4476150</t>
    <phoneticPr fontId="3" type="noConversion"/>
  </si>
  <si>
    <t>2016.04.05</t>
    <phoneticPr fontId="3" type="noConversion"/>
  </si>
  <si>
    <t>KD4476147</t>
    <phoneticPr fontId="3" type="noConversion"/>
  </si>
  <si>
    <t>2016.07.05</t>
    <phoneticPr fontId="3" type="noConversion"/>
  </si>
  <si>
    <t>LD2562703</t>
    <phoneticPr fontId="3" type="noConversion"/>
  </si>
  <si>
    <t>2016.10.05</t>
    <phoneticPr fontId="3" type="noConversion"/>
  </si>
  <si>
    <t>KD4476149</t>
    <phoneticPr fontId="3" type="noConversion"/>
  </si>
  <si>
    <t>2017.01.05</t>
    <phoneticPr fontId="3" type="noConversion"/>
  </si>
  <si>
    <t>2015.03.25</t>
    <phoneticPr fontId="3" type="noConversion"/>
  </si>
  <si>
    <t>2015.03.26</t>
    <phoneticPr fontId="3" type="noConversion"/>
  </si>
  <si>
    <t>旺旺達</t>
    <phoneticPr fontId="3" type="noConversion"/>
  </si>
  <si>
    <t>BA7422334</t>
    <phoneticPr fontId="3" type="noConversion"/>
  </si>
  <si>
    <t>BA7422335</t>
    <phoneticPr fontId="3" type="noConversion"/>
  </si>
  <si>
    <t>2015.06.30</t>
    <phoneticPr fontId="3" type="noConversion"/>
  </si>
  <si>
    <t>2015.07.08</t>
    <phoneticPr fontId="3" type="noConversion"/>
  </si>
  <si>
    <t>BA7422336</t>
    <phoneticPr fontId="3" type="noConversion"/>
  </si>
  <si>
    <t>2015.09.30</t>
    <phoneticPr fontId="3" type="noConversion"/>
  </si>
  <si>
    <t>BA7422337</t>
    <phoneticPr fontId="3" type="noConversion"/>
  </si>
  <si>
    <t>BA7422338</t>
  </si>
  <si>
    <t>2016.03.30</t>
    <phoneticPr fontId="3" type="noConversion"/>
  </si>
  <si>
    <t>BA7422339</t>
  </si>
  <si>
    <t>2016.06.30</t>
    <phoneticPr fontId="3" type="noConversion"/>
  </si>
  <si>
    <t>BA7422340</t>
  </si>
  <si>
    <t>2016.09.30</t>
    <phoneticPr fontId="3" type="noConversion"/>
  </si>
  <si>
    <t>BA7422341</t>
  </si>
  <si>
    <t>2016.12.30</t>
    <phoneticPr fontId="3" type="noConversion"/>
  </si>
  <si>
    <t>2015.03.27</t>
    <phoneticPr fontId="3" type="noConversion"/>
  </si>
  <si>
    <t>FD3994406</t>
    <phoneticPr fontId="3" type="noConversion"/>
  </si>
  <si>
    <t>2015.04.25</t>
    <phoneticPr fontId="3" type="noConversion"/>
  </si>
  <si>
    <t>威視</t>
    <phoneticPr fontId="3" type="noConversion"/>
  </si>
  <si>
    <t>UW1495502</t>
    <phoneticPr fontId="3" type="noConversion"/>
  </si>
  <si>
    <t>2015.05.25</t>
    <phoneticPr fontId="3" type="noConversion"/>
  </si>
  <si>
    <t>UW1495503</t>
    <phoneticPr fontId="3" type="noConversion"/>
  </si>
  <si>
    <t>2015.08.25</t>
    <phoneticPr fontId="3" type="noConversion"/>
  </si>
  <si>
    <t>UW1495504</t>
    <phoneticPr fontId="3" type="noConversion"/>
  </si>
  <si>
    <t>2015.11.25</t>
    <phoneticPr fontId="3" type="noConversion"/>
  </si>
  <si>
    <t>UW1495505</t>
    <phoneticPr fontId="3" type="noConversion"/>
  </si>
  <si>
    <t>2016.02.25</t>
    <phoneticPr fontId="3" type="noConversion"/>
  </si>
  <si>
    <t>UW1495506</t>
  </si>
  <si>
    <t>2016.05.25</t>
    <phoneticPr fontId="3" type="noConversion"/>
  </si>
  <si>
    <t>UW1495507</t>
  </si>
  <si>
    <t>2016.08.25</t>
    <phoneticPr fontId="3" type="noConversion"/>
  </si>
  <si>
    <t>UW1495508</t>
  </si>
  <si>
    <t>2016.11.25</t>
    <phoneticPr fontId="3" type="noConversion"/>
  </si>
  <si>
    <t>UW1495510</t>
    <phoneticPr fontId="3" type="noConversion"/>
  </si>
  <si>
    <t>2017.02.25</t>
    <phoneticPr fontId="3" type="noConversion"/>
  </si>
  <si>
    <t>5-8</t>
    <phoneticPr fontId="3" type="noConversion"/>
  </si>
  <si>
    <t>2015.05.12</t>
    <phoneticPr fontId="3" type="noConversion"/>
  </si>
  <si>
    <t>大成</t>
    <phoneticPr fontId="3" type="noConversion"/>
  </si>
  <si>
    <t>LD3444835</t>
    <phoneticPr fontId="3" type="noConversion"/>
  </si>
  <si>
    <t>2015.04.30</t>
    <phoneticPr fontId="3" type="noConversion"/>
  </si>
  <si>
    <t>LD3444836</t>
    <phoneticPr fontId="3" type="noConversion"/>
  </si>
  <si>
    <t>2015.07.31</t>
    <phoneticPr fontId="3" type="noConversion"/>
  </si>
  <si>
    <t>LD3444837</t>
    <phoneticPr fontId="3" type="noConversion"/>
  </si>
  <si>
    <t>2015.10.31</t>
    <phoneticPr fontId="3" type="noConversion"/>
  </si>
  <si>
    <t>LD3444838</t>
    <phoneticPr fontId="3" type="noConversion"/>
  </si>
  <si>
    <t>2016.01.31</t>
    <phoneticPr fontId="3" type="noConversion"/>
  </si>
  <si>
    <t>LD3444839</t>
  </si>
  <si>
    <t>2016.04.30</t>
    <phoneticPr fontId="3" type="noConversion"/>
  </si>
  <si>
    <t>LD3444840</t>
  </si>
  <si>
    <t>2016.07.31</t>
    <phoneticPr fontId="3" type="noConversion"/>
  </si>
  <si>
    <t>LD3444841</t>
  </si>
  <si>
    <t>2016.10.31</t>
    <phoneticPr fontId="3" type="noConversion"/>
  </si>
  <si>
    <t>LD3444842</t>
  </si>
  <si>
    <t>2017.01.31</t>
    <phoneticPr fontId="3" type="noConversion"/>
  </si>
  <si>
    <t>2015.05.14</t>
    <phoneticPr fontId="3" type="noConversion"/>
  </si>
  <si>
    <t>道法</t>
    <phoneticPr fontId="3" type="noConversion"/>
  </si>
  <si>
    <t>MC1034945</t>
    <phoneticPr fontId="3" type="noConversion"/>
  </si>
  <si>
    <t>2015.06.25</t>
    <phoneticPr fontId="3" type="noConversion"/>
  </si>
  <si>
    <t>2015.06.26</t>
    <phoneticPr fontId="3" type="noConversion"/>
  </si>
  <si>
    <t>MC1034947</t>
    <phoneticPr fontId="3" type="noConversion"/>
  </si>
  <si>
    <t>2015.09.25</t>
    <phoneticPr fontId="3" type="noConversion"/>
  </si>
  <si>
    <t>MC1034948</t>
    <phoneticPr fontId="3" type="noConversion"/>
  </si>
  <si>
    <t>2015.12.25</t>
    <phoneticPr fontId="3" type="noConversion"/>
  </si>
  <si>
    <t>MC1034949</t>
  </si>
  <si>
    <t>MC1034950</t>
  </si>
  <si>
    <t>2016.06.25</t>
    <phoneticPr fontId="3" type="noConversion"/>
  </si>
  <si>
    <t>MC1034951</t>
  </si>
  <si>
    <t>2016.09.25</t>
    <phoneticPr fontId="3" type="noConversion"/>
  </si>
  <si>
    <t>MC1034952</t>
  </si>
  <si>
    <t>2016.12.25</t>
    <phoneticPr fontId="3" type="noConversion"/>
  </si>
  <si>
    <t>MC1034954</t>
    <phoneticPr fontId="3" type="noConversion"/>
  </si>
  <si>
    <t>2017.03.25</t>
    <phoneticPr fontId="3" type="noConversion"/>
  </si>
  <si>
    <t>2015.05.20</t>
    <phoneticPr fontId="3" type="noConversion"/>
  </si>
  <si>
    <t>太暘</t>
    <phoneticPr fontId="3" type="noConversion"/>
  </si>
  <si>
    <t>LD2476906</t>
    <phoneticPr fontId="3" type="noConversion"/>
  </si>
  <si>
    <t>LD2476907</t>
    <phoneticPr fontId="3" type="noConversion"/>
  </si>
  <si>
    <t>LD2476908</t>
    <phoneticPr fontId="3" type="noConversion"/>
  </si>
  <si>
    <t>2015.10.34</t>
    <phoneticPr fontId="3" type="noConversion"/>
  </si>
  <si>
    <t>LD2476909</t>
    <phoneticPr fontId="3" type="noConversion"/>
  </si>
  <si>
    <t>LD2476910</t>
  </si>
  <si>
    <t>LD2476911</t>
  </si>
  <si>
    <t>LD2476912</t>
  </si>
  <si>
    <t>LD2476913</t>
  </si>
  <si>
    <t>2015.06.02</t>
    <phoneticPr fontId="3" type="noConversion"/>
  </si>
  <si>
    <t>CB5257081</t>
    <phoneticPr fontId="3" type="noConversion"/>
  </si>
  <si>
    <t>2015.06.15</t>
    <phoneticPr fontId="3" type="noConversion"/>
  </si>
  <si>
    <t>庭田</t>
    <phoneticPr fontId="3" type="noConversion"/>
  </si>
  <si>
    <t>FS0010748</t>
    <phoneticPr fontId="3" type="noConversion"/>
  </si>
  <si>
    <t>2015.02.08</t>
    <phoneticPr fontId="3" type="noConversion"/>
  </si>
  <si>
    <t>FD0010749</t>
    <phoneticPr fontId="3" type="noConversion"/>
  </si>
  <si>
    <t>FS0010750</t>
    <phoneticPr fontId="3" type="noConversion"/>
  </si>
  <si>
    <t>2015.08.08</t>
    <phoneticPr fontId="3" type="noConversion"/>
  </si>
  <si>
    <t>FS0010751</t>
    <phoneticPr fontId="3" type="noConversion"/>
  </si>
  <si>
    <t>2015.11.08</t>
    <phoneticPr fontId="3" type="noConversion"/>
  </si>
  <si>
    <t>FS0010752</t>
    <phoneticPr fontId="3" type="noConversion"/>
  </si>
  <si>
    <t>2016.02.08</t>
    <phoneticPr fontId="3" type="noConversion"/>
  </si>
  <si>
    <t>FS0010753</t>
  </si>
  <si>
    <t>2016.05.08</t>
    <phoneticPr fontId="3" type="noConversion"/>
  </si>
  <si>
    <t>FS0010754</t>
  </si>
  <si>
    <t>2016.08.08</t>
    <phoneticPr fontId="3" type="noConversion"/>
  </si>
  <si>
    <t>FS0010755</t>
  </si>
  <si>
    <t>2016.11.08</t>
    <phoneticPr fontId="3" type="noConversion"/>
  </si>
  <si>
    <t>2015.06.23</t>
    <phoneticPr fontId="3" type="noConversion"/>
  </si>
  <si>
    <t>MD0674014</t>
    <phoneticPr fontId="3" type="noConversion"/>
  </si>
  <si>
    <t>2015.07.25</t>
    <phoneticPr fontId="3" type="noConversion"/>
  </si>
  <si>
    <t>2015.08.03</t>
    <phoneticPr fontId="3" type="noConversion"/>
  </si>
  <si>
    <t>汎輝</t>
    <phoneticPr fontId="3" type="noConversion"/>
  </si>
  <si>
    <t>KD4121893</t>
    <phoneticPr fontId="3" type="noConversion"/>
  </si>
  <si>
    <t>KD4121894</t>
    <phoneticPr fontId="3" type="noConversion"/>
  </si>
  <si>
    <t>2015.11.30</t>
    <phoneticPr fontId="3" type="noConversion"/>
  </si>
  <si>
    <t>KD4121895</t>
    <phoneticPr fontId="3" type="noConversion"/>
  </si>
  <si>
    <t>KD4121896</t>
  </si>
  <si>
    <t>KD4121897</t>
  </si>
  <si>
    <t>KD4121898</t>
  </si>
  <si>
    <t>2016.11.30</t>
    <phoneticPr fontId="3" type="noConversion"/>
  </si>
  <si>
    <t>KD4121899</t>
  </si>
  <si>
    <t>2017.02.28</t>
    <phoneticPr fontId="3" type="noConversion"/>
  </si>
  <si>
    <t>KD4121900</t>
  </si>
  <si>
    <t>2017.05.31</t>
    <phoneticPr fontId="3" type="noConversion"/>
  </si>
  <si>
    <t>2015.08.12</t>
    <phoneticPr fontId="3" type="noConversion"/>
  </si>
  <si>
    <t>CB5269454</t>
    <phoneticPr fontId="3" type="noConversion"/>
  </si>
  <si>
    <t>2015.09.15</t>
    <phoneticPr fontId="3" type="noConversion"/>
  </si>
  <si>
    <t>MD0690616</t>
    <phoneticPr fontId="3" type="noConversion"/>
  </si>
  <si>
    <t>鎔德軟体系統維護費(104-105年)</t>
    <phoneticPr fontId="3" type="noConversion"/>
  </si>
  <si>
    <t>2015.10.28</t>
    <phoneticPr fontId="3" type="noConversion"/>
  </si>
  <si>
    <t>依德</t>
    <phoneticPr fontId="3" type="noConversion"/>
  </si>
  <si>
    <t>依德軟体系統維護費(104-105年)</t>
    <phoneticPr fontId="3" type="noConversion"/>
  </si>
  <si>
    <t>2015.10.29</t>
    <phoneticPr fontId="3" type="noConversion"/>
  </si>
  <si>
    <t>鉑德</t>
    <phoneticPr fontId="3" type="noConversion"/>
  </si>
  <si>
    <t>CA5403954</t>
    <phoneticPr fontId="3" type="noConversion"/>
  </si>
  <si>
    <t>CA5403955</t>
    <phoneticPr fontId="3" type="noConversion"/>
  </si>
  <si>
    <t>CA5403956</t>
    <phoneticPr fontId="3" type="noConversion"/>
  </si>
  <si>
    <t>CA5403957</t>
  </si>
  <si>
    <t>CA5403958</t>
  </si>
  <si>
    <t>CA5403959</t>
  </si>
  <si>
    <t>CA5403960</t>
  </si>
  <si>
    <t>CA5403961</t>
  </si>
  <si>
    <t>2017.05.25</t>
    <phoneticPr fontId="3" type="noConversion"/>
  </si>
  <si>
    <t>2015.11.11</t>
    <phoneticPr fontId="3" type="noConversion"/>
  </si>
  <si>
    <t>2015.11.16</t>
    <phoneticPr fontId="3" type="noConversion"/>
  </si>
  <si>
    <t>2015.11.26</t>
    <phoneticPr fontId="3" type="noConversion"/>
  </si>
  <si>
    <t>FA6808681</t>
    <phoneticPr fontId="3" type="noConversion"/>
  </si>
  <si>
    <t>FA6808682</t>
    <phoneticPr fontId="3" type="noConversion"/>
  </si>
  <si>
    <t>2016.02.29</t>
    <phoneticPr fontId="3" type="noConversion"/>
  </si>
  <si>
    <t>FA6808683</t>
  </si>
  <si>
    <t>FA6808684</t>
  </si>
  <si>
    <t>FA6808685</t>
  </si>
  <si>
    <t>FA6808686</t>
  </si>
  <si>
    <t>FA6808687</t>
  </si>
  <si>
    <t>FA6808688</t>
  </si>
  <si>
    <t>2017.08.31</t>
    <phoneticPr fontId="3" type="noConversion"/>
  </si>
  <si>
    <t>CB5277382</t>
    <phoneticPr fontId="3" type="noConversion"/>
  </si>
  <si>
    <t>215.12.15</t>
    <phoneticPr fontId="3" type="noConversion"/>
  </si>
  <si>
    <t>2015.12.08</t>
    <phoneticPr fontId="3" type="noConversion"/>
  </si>
  <si>
    <t>勤業</t>
    <phoneticPr fontId="3" type="noConversion"/>
  </si>
  <si>
    <t>KN7618808</t>
    <phoneticPr fontId="3" type="noConversion"/>
  </si>
  <si>
    <t>2015.12.03</t>
    <phoneticPr fontId="3" type="noConversion"/>
  </si>
  <si>
    <t>KN7609588</t>
    <phoneticPr fontId="3" type="noConversion"/>
  </si>
  <si>
    <t>2015.12.11</t>
    <phoneticPr fontId="3" type="noConversion"/>
  </si>
  <si>
    <t>KN7609589</t>
    <phoneticPr fontId="3" type="noConversion"/>
  </si>
  <si>
    <t>2016.01.11</t>
    <phoneticPr fontId="3" type="noConversion"/>
  </si>
  <si>
    <t>KN7609591</t>
    <phoneticPr fontId="3" type="noConversion"/>
  </si>
  <si>
    <t>2016.20.11</t>
    <phoneticPr fontId="3" type="noConversion"/>
  </si>
  <si>
    <t>KN7609592</t>
    <phoneticPr fontId="3" type="noConversion"/>
  </si>
  <si>
    <t>KN7609593</t>
  </si>
  <si>
    <t>2016.04.11</t>
    <phoneticPr fontId="3" type="noConversion"/>
  </si>
  <si>
    <t>KN7609594</t>
  </si>
  <si>
    <t>2016.05.11</t>
    <phoneticPr fontId="3" type="noConversion"/>
  </si>
  <si>
    <t>KN7609595</t>
  </si>
  <si>
    <t>2016.06.11</t>
    <phoneticPr fontId="3" type="noConversion"/>
  </si>
  <si>
    <t>KN7609596</t>
  </si>
  <si>
    <t>2016.07.11</t>
    <phoneticPr fontId="3" type="noConversion"/>
  </si>
  <si>
    <t>KN7609597</t>
  </si>
  <si>
    <t>2016.08.11</t>
    <phoneticPr fontId="3" type="noConversion"/>
  </si>
  <si>
    <t>KN7609598</t>
  </si>
  <si>
    <t>2016.09.11</t>
    <phoneticPr fontId="3" type="noConversion"/>
  </si>
  <si>
    <t>KN7609599</t>
  </si>
  <si>
    <t>2016.10.11</t>
    <phoneticPr fontId="3" type="noConversion"/>
  </si>
  <si>
    <t>2015.12.10</t>
    <phoneticPr fontId="3" type="noConversion"/>
  </si>
  <si>
    <t>祥和</t>
    <phoneticPr fontId="3" type="noConversion"/>
  </si>
  <si>
    <t>KN0943304</t>
    <phoneticPr fontId="3" type="noConversion"/>
  </si>
  <si>
    <t>KN0943305</t>
    <phoneticPr fontId="3" type="noConversion"/>
  </si>
  <si>
    <t>2016.02.15</t>
    <phoneticPr fontId="3" type="noConversion"/>
  </si>
  <si>
    <t>KN0943306</t>
  </si>
  <si>
    <t>2016.05.15</t>
    <phoneticPr fontId="3" type="noConversion"/>
  </si>
  <si>
    <t>KN0943307</t>
  </si>
  <si>
    <t>2016.08.15</t>
    <phoneticPr fontId="3" type="noConversion"/>
  </si>
  <si>
    <t>KN0943308</t>
  </si>
  <si>
    <t>2016.11.15</t>
    <phoneticPr fontId="3" type="noConversion"/>
  </si>
  <si>
    <t>KN0943309</t>
  </si>
  <si>
    <t>2017.02.15</t>
    <phoneticPr fontId="3" type="noConversion"/>
  </si>
  <si>
    <t>KN0943310</t>
  </si>
  <si>
    <t>2017.05.15</t>
    <phoneticPr fontId="3" type="noConversion"/>
  </si>
  <si>
    <t>KN0943311</t>
  </si>
  <si>
    <t>2017.08.15</t>
    <phoneticPr fontId="3" type="noConversion"/>
  </si>
  <si>
    <t>恩豪</t>
    <phoneticPr fontId="3" type="noConversion"/>
  </si>
  <si>
    <t>BA1252590</t>
    <phoneticPr fontId="3" type="noConversion"/>
  </si>
  <si>
    <t>2015.12.20</t>
    <phoneticPr fontId="3" type="noConversion"/>
  </si>
  <si>
    <t>2015.12.21</t>
    <phoneticPr fontId="3" type="noConversion"/>
  </si>
  <si>
    <t>BA1252591</t>
  </si>
  <si>
    <t>2016.03.20</t>
    <phoneticPr fontId="3" type="noConversion"/>
  </si>
  <si>
    <t>BA1252592</t>
  </si>
  <si>
    <t>2016.06.20</t>
    <phoneticPr fontId="3" type="noConversion"/>
  </si>
  <si>
    <t>BA1252593</t>
  </si>
  <si>
    <t>2016.09.20</t>
    <phoneticPr fontId="3" type="noConversion"/>
  </si>
  <si>
    <t>2015.12.15</t>
    <phoneticPr fontId="3" type="noConversion"/>
  </si>
  <si>
    <t>佳尼特</t>
    <phoneticPr fontId="3" type="noConversion"/>
  </si>
  <si>
    <t>JD3730396</t>
    <phoneticPr fontId="3" type="noConversion"/>
  </si>
  <si>
    <t>JD3730397</t>
  </si>
  <si>
    <t>JD3730398</t>
  </si>
  <si>
    <t>JD3730399</t>
  </si>
  <si>
    <t>JD3730400</t>
  </si>
  <si>
    <t>JD3730401</t>
  </si>
  <si>
    <t>2017.04.30</t>
    <phoneticPr fontId="3" type="noConversion"/>
  </si>
  <si>
    <t>JD3730402</t>
  </si>
  <si>
    <t>2017.07.31</t>
    <phoneticPr fontId="3" type="noConversion"/>
  </si>
  <si>
    <t>JD3730403</t>
  </si>
  <si>
    <t>2017.10.31</t>
    <phoneticPr fontId="3" type="noConversion"/>
  </si>
  <si>
    <t>MD0706933</t>
    <phoneticPr fontId="3" type="noConversion"/>
  </si>
  <si>
    <t>依德財務+業務-尾款</t>
    <phoneticPr fontId="3" type="noConversion"/>
  </si>
  <si>
    <t>廣豪</t>
    <phoneticPr fontId="3" type="noConversion"/>
  </si>
  <si>
    <t>2014收跨年銀行未兌</t>
    <phoneticPr fontId="3" type="noConversion"/>
  </si>
  <si>
    <r>
      <t>K</t>
    </r>
    <r>
      <rPr>
        <sz val="12"/>
        <rFont val="新細明體"/>
        <family val="1"/>
        <charset val="136"/>
      </rPr>
      <t>N26674506</t>
    </r>
    <r>
      <rPr>
        <sz val="12"/>
        <rFont val="新細明體"/>
        <family val="1"/>
        <charset val="136"/>
      </rPr>
      <t/>
    </r>
  </si>
  <si>
    <r>
      <t>K</t>
    </r>
    <r>
      <rPr>
        <sz val="12"/>
        <rFont val="新細明體"/>
        <family val="1"/>
        <charset val="136"/>
      </rPr>
      <t>N26674508</t>
    </r>
    <r>
      <rPr>
        <sz val="12"/>
        <rFont val="新細明體"/>
        <family val="1"/>
        <charset val="136"/>
      </rPr>
      <t/>
    </r>
  </si>
  <si>
    <r>
      <t>K</t>
    </r>
    <r>
      <rPr>
        <sz val="12"/>
        <rFont val="新細明體"/>
        <family val="1"/>
        <charset val="136"/>
      </rPr>
      <t>N26674509</t>
    </r>
    <r>
      <rPr>
        <sz val="12"/>
        <rFont val="新細明體"/>
        <family val="1"/>
        <charset val="136"/>
      </rPr>
      <t/>
    </r>
  </si>
  <si>
    <r>
      <t>K</t>
    </r>
    <r>
      <rPr>
        <sz val="12"/>
        <rFont val="新細明體"/>
        <family val="1"/>
        <charset val="136"/>
      </rPr>
      <t>N26674510</t>
    </r>
    <r>
      <rPr>
        <sz val="12"/>
        <rFont val="新細明體"/>
        <family val="1"/>
        <charset val="136"/>
      </rPr>
      <t/>
    </r>
  </si>
  <si>
    <t>1-8</t>
    <phoneticPr fontId="3" type="noConversion"/>
  </si>
  <si>
    <t>927-934</t>
    <phoneticPr fontId="3" type="noConversion"/>
  </si>
  <si>
    <t>原$3600/月改$4500/月</t>
    <phoneticPr fontId="3" type="noConversion"/>
  </si>
  <si>
    <t>原$3600/月改$4500/月,補差額</t>
    <phoneticPr fontId="3" type="noConversion"/>
  </si>
  <si>
    <t>2015年開出發票</t>
    <phoneticPr fontId="3" type="noConversion"/>
  </si>
  <si>
    <t>NN25775200</t>
    <phoneticPr fontId="3" type="noConversion"/>
  </si>
  <si>
    <t>07656431</t>
    <phoneticPr fontId="3" type="noConversion"/>
  </si>
  <si>
    <r>
      <t>N</t>
    </r>
    <r>
      <rPr>
        <sz val="12"/>
        <rFont val="新細明體"/>
        <family val="1"/>
        <charset val="136"/>
      </rPr>
      <t>N25775201</t>
    </r>
    <phoneticPr fontId="3" type="noConversion"/>
  </si>
  <si>
    <t>53456020</t>
    <phoneticPr fontId="3" type="noConversion"/>
  </si>
  <si>
    <r>
      <t>N</t>
    </r>
    <r>
      <rPr>
        <sz val="12"/>
        <rFont val="新細明體"/>
        <family val="1"/>
        <charset val="136"/>
      </rPr>
      <t>N25775202</t>
    </r>
    <r>
      <rPr>
        <sz val="12"/>
        <rFont val="新細明體"/>
        <family val="1"/>
        <charset val="136"/>
      </rPr>
      <t/>
    </r>
  </si>
  <si>
    <r>
      <t>N</t>
    </r>
    <r>
      <rPr>
        <sz val="12"/>
        <rFont val="新細明體"/>
        <family val="1"/>
        <charset val="136"/>
      </rPr>
      <t>N25775203</t>
    </r>
    <r>
      <rPr>
        <sz val="12"/>
        <rFont val="新細明體"/>
        <family val="1"/>
        <charset val="136"/>
      </rPr>
      <t/>
    </r>
  </si>
  <si>
    <t>54337826</t>
    <phoneticPr fontId="3" type="noConversion"/>
  </si>
  <si>
    <r>
      <t>N</t>
    </r>
    <r>
      <rPr>
        <sz val="12"/>
        <rFont val="新細明體"/>
        <family val="1"/>
        <charset val="136"/>
      </rPr>
      <t>N25775204</t>
    </r>
    <r>
      <rPr>
        <sz val="12"/>
        <rFont val="新細明體"/>
        <family val="1"/>
        <charset val="136"/>
      </rPr>
      <t/>
    </r>
  </si>
  <si>
    <t>友士</t>
    <phoneticPr fontId="3" type="noConversion"/>
  </si>
  <si>
    <t>04242698</t>
    <phoneticPr fontId="3" type="noConversion"/>
  </si>
  <si>
    <r>
      <t>N</t>
    </r>
    <r>
      <rPr>
        <sz val="12"/>
        <rFont val="新細明體"/>
        <family val="1"/>
        <charset val="136"/>
      </rPr>
      <t>N25775205</t>
    </r>
    <r>
      <rPr>
        <sz val="12"/>
        <rFont val="新細明體"/>
        <family val="1"/>
        <charset val="136"/>
      </rPr>
      <t/>
    </r>
  </si>
  <si>
    <t>八亨</t>
    <phoneticPr fontId="3" type="noConversion"/>
  </si>
  <si>
    <t>23674533</t>
    <phoneticPr fontId="3" type="noConversion"/>
  </si>
  <si>
    <r>
      <t>N</t>
    </r>
    <r>
      <rPr>
        <sz val="12"/>
        <rFont val="新細明體"/>
        <family val="1"/>
        <charset val="136"/>
      </rPr>
      <t>N25775206</t>
    </r>
    <r>
      <rPr>
        <sz val="12"/>
        <rFont val="新細明體"/>
        <family val="1"/>
        <charset val="136"/>
      </rPr>
      <t/>
    </r>
  </si>
  <si>
    <t>04825440</t>
    <phoneticPr fontId="3" type="noConversion"/>
  </si>
  <si>
    <r>
      <t>N</t>
    </r>
    <r>
      <rPr>
        <sz val="12"/>
        <rFont val="新細明體"/>
        <family val="1"/>
        <charset val="136"/>
      </rPr>
      <t>N25775207</t>
    </r>
    <r>
      <rPr>
        <sz val="12"/>
        <rFont val="新細明體"/>
        <family val="1"/>
        <charset val="136"/>
      </rPr>
      <t/>
    </r>
  </si>
  <si>
    <t>22663002</t>
    <phoneticPr fontId="3" type="noConversion"/>
  </si>
  <si>
    <r>
      <t>N</t>
    </r>
    <r>
      <rPr>
        <sz val="12"/>
        <rFont val="新細明體"/>
        <family val="1"/>
        <charset val="136"/>
      </rPr>
      <t>N25775208</t>
    </r>
    <r>
      <rPr>
        <sz val="12"/>
        <rFont val="新細明體"/>
        <family val="1"/>
        <charset val="136"/>
      </rPr>
      <t/>
    </r>
  </si>
  <si>
    <r>
      <t>N</t>
    </r>
    <r>
      <rPr>
        <sz val="12"/>
        <rFont val="新細明體"/>
        <family val="1"/>
        <charset val="136"/>
      </rPr>
      <t>N25775209</t>
    </r>
    <r>
      <rPr>
        <sz val="12"/>
        <rFont val="新細明體"/>
        <family val="1"/>
        <charset val="136"/>
      </rPr>
      <t/>
    </r>
  </si>
  <si>
    <r>
      <t>N</t>
    </r>
    <r>
      <rPr>
        <sz val="12"/>
        <rFont val="新細明體"/>
        <family val="1"/>
        <charset val="136"/>
      </rPr>
      <t>N25775210</t>
    </r>
    <r>
      <rPr>
        <sz val="12"/>
        <rFont val="新細明體"/>
        <family val="1"/>
        <charset val="136"/>
      </rPr>
      <t/>
    </r>
  </si>
  <si>
    <t>935-942</t>
    <phoneticPr fontId="3" type="noConversion"/>
  </si>
  <si>
    <t>33858898</t>
    <phoneticPr fontId="3" type="noConversion"/>
  </si>
  <si>
    <t>PG25829050</t>
    <phoneticPr fontId="3" type="noConversion"/>
  </si>
  <si>
    <t>1</t>
    <phoneticPr fontId="3" type="noConversion"/>
  </si>
  <si>
    <t>24772483</t>
    <phoneticPr fontId="3" type="noConversion"/>
  </si>
  <si>
    <t>PG25829051</t>
  </si>
  <si>
    <t>944-951</t>
    <phoneticPr fontId="3" type="noConversion"/>
  </si>
  <si>
    <t>86887365</t>
    <phoneticPr fontId="3" type="noConversion"/>
  </si>
  <si>
    <t>PG25829052</t>
  </si>
  <si>
    <t>960-967</t>
    <phoneticPr fontId="3" type="noConversion"/>
  </si>
  <si>
    <t>97077763</t>
    <phoneticPr fontId="3" type="noConversion"/>
  </si>
  <si>
    <t>PG25829053</t>
  </si>
  <si>
    <t>同皇</t>
    <phoneticPr fontId="3" type="noConversion"/>
  </si>
  <si>
    <t>23306799</t>
    <phoneticPr fontId="3" type="noConversion"/>
  </si>
  <si>
    <t>QA26026900</t>
    <phoneticPr fontId="3" type="noConversion"/>
  </si>
  <si>
    <t>977-984</t>
    <phoneticPr fontId="3" type="noConversion"/>
  </si>
  <si>
    <t>22283501</t>
    <phoneticPr fontId="3" type="noConversion"/>
  </si>
  <si>
    <t>QA26026901</t>
  </si>
  <si>
    <t>969-976</t>
    <phoneticPr fontId="3" type="noConversion"/>
  </si>
  <si>
    <t>96967079</t>
    <phoneticPr fontId="3" type="noConversion"/>
  </si>
  <si>
    <t>QA26026902</t>
  </si>
  <si>
    <t>QA26026903</t>
  </si>
  <si>
    <t>QA26026904</t>
  </si>
  <si>
    <t>QA26026905</t>
  </si>
  <si>
    <t>QA26026906</t>
  </si>
  <si>
    <t>QA26026907</t>
  </si>
  <si>
    <t>QA26026908</t>
  </si>
  <si>
    <t>QA26026909</t>
  </si>
  <si>
    <t>QA26026910</t>
  </si>
  <si>
    <t>QA26026911</t>
  </si>
  <si>
    <t>993-1000</t>
    <phoneticPr fontId="3" type="noConversion"/>
  </si>
  <si>
    <t>20921362</t>
    <phoneticPr fontId="3" type="noConversion"/>
  </si>
  <si>
    <t>QA26026912</t>
  </si>
  <si>
    <t>985-992</t>
    <phoneticPr fontId="3" type="noConversion"/>
  </si>
  <si>
    <t>01014093</t>
    <phoneticPr fontId="3" type="noConversion"/>
  </si>
  <si>
    <t>QA26026913</t>
  </si>
  <si>
    <t>1002-1009</t>
    <phoneticPr fontId="3" type="noConversion"/>
  </si>
  <si>
    <t>31111902</t>
    <phoneticPr fontId="3" type="noConversion"/>
  </si>
  <si>
    <t>QA26026914</t>
  </si>
  <si>
    <t>QU25994900</t>
    <phoneticPr fontId="3" type="noConversion"/>
  </si>
  <si>
    <t>QU25994901</t>
  </si>
  <si>
    <t>1011-1018</t>
    <phoneticPr fontId="3" type="noConversion"/>
  </si>
  <si>
    <t>20867509</t>
    <phoneticPr fontId="3" type="noConversion"/>
  </si>
  <si>
    <t>QU25994902</t>
  </si>
  <si>
    <t>QU25994903</t>
  </si>
  <si>
    <t>QU25994904</t>
  </si>
  <si>
    <t>QU25994905</t>
  </si>
  <si>
    <t>QU25994906</t>
  </si>
  <si>
    <t>QU25994907</t>
  </si>
  <si>
    <t>RN26072350</t>
    <phoneticPr fontId="3" type="noConversion"/>
  </si>
  <si>
    <t>RN26072351</t>
  </si>
  <si>
    <t>RN26072352</t>
  </si>
  <si>
    <t>RN26072353</t>
  </si>
  <si>
    <t>RN26072354</t>
  </si>
  <si>
    <t>RN26072355</t>
  </si>
  <si>
    <t>SG27517800</t>
    <phoneticPr fontId="3" type="noConversion"/>
  </si>
  <si>
    <t>1029-1036</t>
    <phoneticPr fontId="3" type="noConversion"/>
  </si>
  <si>
    <t>89935670</t>
    <phoneticPr fontId="3" type="noConversion"/>
  </si>
  <si>
    <t>SG27517801</t>
  </si>
  <si>
    <t>SG27517802</t>
  </si>
  <si>
    <t>SG27517803</t>
  </si>
  <si>
    <t>SG27517804</t>
  </si>
  <si>
    <t>SG27517805</t>
  </si>
  <si>
    <t>SG27517806</t>
  </si>
  <si>
    <t>SG27517807</t>
  </si>
  <si>
    <t>13-24</t>
    <phoneticPr fontId="3" type="noConversion"/>
  </si>
  <si>
    <t>1038-1049</t>
    <phoneticPr fontId="3" type="noConversion"/>
  </si>
  <si>
    <t>00965968</t>
    <phoneticPr fontId="3" type="noConversion"/>
  </si>
  <si>
    <t>SG27517808</t>
  </si>
  <si>
    <t>23913400</t>
    <phoneticPr fontId="3" type="noConversion"/>
  </si>
  <si>
    <t>SG27517809</t>
  </si>
  <si>
    <t>SG27517810</t>
  </si>
  <si>
    <t>SG27517811</t>
  </si>
  <si>
    <t>SG27517812</t>
  </si>
  <si>
    <t>SG27517813</t>
  </si>
  <si>
    <t>SG27517814</t>
  </si>
  <si>
    <t>1050-1057</t>
    <phoneticPr fontId="3" type="noConversion"/>
  </si>
  <si>
    <t>22650392</t>
    <phoneticPr fontId="3" type="noConversion"/>
  </si>
  <si>
    <t>SG27517815</t>
  </si>
  <si>
    <t>1062-1069</t>
    <phoneticPr fontId="3" type="noConversion"/>
  </si>
  <si>
    <t>89478300</t>
    <phoneticPr fontId="3" type="noConversion"/>
  </si>
  <si>
    <t>SG27517816</t>
  </si>
  <si>
    <t>品固</t>
    <phoneticPr fontId="3" type="noConversion"/>
  </si>
  <si>
    <t>20928581</t>
    <phoneticPr fontId="3" type="noConversion"/>
  </si>
  <si>
    <t>SG27517817</t>
  </si>
  <si>
    <t>SG27517818</t>
  </si>
  <si>
    <t>SG27517819</t>
  </si>
  <si>
    <t>SG27517820</t>
  </si>
  <si>
    <t>SG27517821</t>
  </si>
  <si>
    <t>2015發票</t>
    <phoneticPr fontId="3" type="noConversion"/>
  </si>
  <si>
    <t>2015收跨年銀行未兌</t>
    <phoneticPr fontId="3" type="noConversion"/>
  </si>
  <si>
    <t>崴凌</t>
    <phoneticPr fontId="3" type="noConversion"/>
  </si>
  <si>
    <t>品固蘇州</t>
    <phoneticPr fontId="3" type="noConversion"/>
  </si>
  <si>
    <t>鉑德(尾款)</t>
    <phoneticPr fontId="3" type="noConversion"/>
  </si>
  <si>
    <t>鎔德(財務管理-尾款)</t>
    <phoneticPr fontId="3" type="noConversion"/>
  </si>
  <si>
    <t>鎔德(業務管理-尾款)</t>
    <phoneticPr fontId="3" type="noConversion"/>
  </si>
  <si>
    <t>REGISTER</t>
    <phoneticPr fontId="3" type="noConversion"/>
  </si>
  <si>
    <t>日期</t>
    <phoneticPr fontId="3" type="noConversion"/>
  </si>
  <si>
    <t>銀行-入</t>
    <phoneticPr fontId="3" type="noConversion"/>
  </si>
  <si>
    <t>銀行-出</t>
    <phoneticPr fontId="3" type="noConversion"/>
  </si>
  <si>
    <t>零用金-入</t>
    <phoneticPr fontId="3" type="noConversion"/>
  </si>
  <si>
    <t>零用金-出</t>
    <phoneticPr fontId="3" type="noConversion"/>
  </si>
  <si>
    <t>零用金餘</t>
    <phoneticPr fontId="3" type="noConversion"/>
  </si>
  <si>
    <t>科目</t>
    <phoneticPr fontId="3" type="noConversion"/>
  </si>
  <si>
    <t>說明</t>
    <phoneticPr fontId="3" type="noConversion"/>
  </si>
  <si>
    <t>2016.01.06</t>
  </si>
  <si>
    <t>2016.01.29</t>
    <phoneticPr fontId="3" type="noConversion"/>
  </si>
  <si>
    <t>2016.02.23</t>
    <phoneticPr fontId="3" type="noConversion"/>
  </si>
  <si>
    <t>2016.02.24</t>
    <phoneticPr fontId="3" type="noConversion"/>
  </si>
  <si>
    <t>2016.04.08</t>
    <phoneticPr fontId="3" type="noConversion"/>
  </si>
  <si>
    <t>2016.04.22</t>
    <phoneticPr fontId="3" type="noConversion"/>
  </si>
  <si>
    <t>2016.04.25</t>
    <phoneticPr fontId="3" type="noConversion"/>
  </si>
  <si>
    <t>2016.05.03</t>
    <phoneticPr fontId="3" type="noConversion"/>
  </si>
  <si>
    <t>2015年華算進貨明細</t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</si>
  <si>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年華算進貨明細</t>
    </r>
  </si>
  <si>
    <r>
      <t>9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年華算進貨明細</t>
    </r>
  </si>
  <si>
    <r>
      <t>長鐵筒鐵件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後窗</t>
    </r>
  </si>
  <si>
    <t>鉑德 6x20475</t>
    <phoneticPr fontId="3" type="noConversion"/>
  </si>
  <si>
    <t>鎔德二 3x16380</t>
    <phoneticPr fontId="3" type="noConversion"/>
  </si>
  <si>
    <t>安力 4x20475</t>
    <phoneticPr fontId="3" type="noConversion"/>
  </si>
  <si>
    <t>未開預收</t>
    <phoneticPr fontId="3" type="noConversion"/>
  </si>
  <si>
    <r>
      <t>收支票(未開發票預收)</t>
    </r>
    <r>
      <rPr>
        <sz val="12"/>
        <rFont val="新細明體"/>
        <family val="1"/>
        <charset val="136"/>
      </rPr>
      <t/>
    </r>
    <phoneticPr fontId="3" type="noConversion"/>
  </si>
  <si>
    <t>99123108</t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</si>
  <si>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/12/31庫存帳</t>
    </r>
    <phoneticPr fontId="8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</si>
  <si>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華算主機-期初</t>
    </r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</si>
  <si>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華算主機-新組裝</t>
    </r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</si>
  <si>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華算主機-折舊</t>
    </r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</si>
  <si>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華算主機-殘值</t>
    </r>
    <phoneticPr fontId="3" type="noConversion"/>
  </si>
  <si>
    <t>應付費用</t>
    <phoneticPr fontId="3" type="noConversion"/>
  </si>
  <si>
    <r>
      <t>1</t>
    </r>
    <r>
      <rPr>
        <sz val="12"/>
        <rFont val="新細明體"/>
        <family val="1"/>
        <charset val="136"/>
      </rPr>
      <t>2</t>
    </r>
    <r>
      <rPr>
        <sz val="12"/>
        <rFont val="新細明體"/>
        <family val="1"/>
        <charset val="136"/>
      </rPr>
      <t>/</t>
    </r>
    <r>
      <rPr>
        <sz val="12"/>
        <rFont val="新細明體"/>
        <family val="1"/>
        <charset val="136"/>
      </rPr>
      <t>18匯PT-</t>
    </r>
    <r>
      <rPr>
        <sz val="12"/>
        <rFont val="新細明體"/>
        <family val="1"/>
        <charset val="136"/>
      </rPr>
      <t>富邦</t>
    </r>
    <phoneticPr fontId="3" type="noConversion"/>
  </si>
  <si>
    <r>
      <t xml:space="preserve"> </t>
    </r>
    <r>
      <rPr>
        <sz val="12"/>
        <rFont val="新細明體"/>
        <family val="1"/>
        <charset val="136"/>
      </rPr>
      <t xml:space="preserve">   </t>
    </r>
    <r>
      <rPr>
        <sz val="12"/>
        <rFont val="新細明體"/>
        <family val="1"/>
        <charset val="136"/>
      </rPr>
      <t>股東往來</t>
    </r>
    <phoneticPr fontId="3" type="noConversion"/>
  </si>
  <si>
    <t>阿達年底墊款</t>
    <phoneticPr fontId="3" type="noConversion"/>
  </si>
  <si>
    <r>
      <t xml:space="preserve"> </t>
    </r>
    <r>
      <rPr>
        <sz val="12"/>
        <rFont val="新細明體"/>
        <family val="1"/>
        <charset val="136"/>
      </rPr>
      <t xml:space="preserve">   </t>
    </r>
    <r>
      <rPr>
        <sz val="12"/>
        <rFont val="新細明體"/>
        <family val="1"/>
        <charset val="136"/>
      </rPr>
      <t>台灣銀行#48802</t>
    </r>
    <phoneticPr fontId="3" type="noConversion"/>
  </si>
  <si>
    <t xml:space="preserve">    台灣銀行#27487</t>
    <phoneticPr fontId="3" type="noConversion"/>
  </si>
  <si>
    <t>台銀信義 - (004) 054-001-04873-8</t>
    <phoneticPr fontId="3" type="noConversion"/>
  </si>
  <si>
    <t>漏計</t>
    <phoneticPr fontId="3" type="noConversion"/>
  </si>
  <si>
    <t>2015/11~12</t>
    <phoneticPr fontId="3" type="noConversion"/>
  </si>
  <si>
    <t>調整伙食費DV+張</t>
    <phoneticPr fontId="3" type="noConversion"/>
  </si>
  <si>
    <r>
      <t xml:space="preserve"> </t>
    </r>
    <r>
      <rPr>
        <sz val="12"/>
        <rFont val="新細明體"/>
        <family val="1"/>
        <charset val="136"/>
      </rPr>
      <t xml:space="preserve">   </t>
    </r>
    <r>
      <rPr>
        <sz val="12"/>
        <rFont val="新細明體"/>
        <family val="1"/>
        <charset val="136"/>
      </rPr>
      <t>應付費用</t>
    </r>
    <phoneticPr fontId="3" type="noConversion"/>
  </si>
  <si>
    <t>調整2015達薪低報</t>
    <phoneticPr fontId="3" type="noConversion"/>
  </si>
  <si>
    <t>預收支票</t>
    <phoneticPr fontId="3" type="noConversion"/>
  </si>
  <si>
    <t>已開發票</t>
    <phoneticPr fontId="3" type="noConversion"/>
  </si>
  <si>
    <t>2014收未兌票x32</t>
    <phoneticPr fontId="3" type="noConversion"/>
  </si>
  <si>
    <t>2016兌現</t>
    <phoneticPr fontId="3" type="noConversion"/>
  </si>
  <si>
    <t>2017兌現</t>
    <phoneticPr fontId="3" type="noConversion"/>
  </si>
  <si>
    <t>2016.01.10</t>
    <phoneticPr fontId="3" type="noConversion"/>
  </si>
  <si>
    <t>2015收未兌票x93</t>
    <phoneticPr fontId="3" type="noConversion"/>
  </si>
  <si>
    <t>SKYPE</t>
    <phoneticPr fontId="3" type="noConversion"/>
  </si>
  <si>
    <t>2015/12達卡費富邦</t>
    <phoneticPr fontId="3" type="noConversion"/>
  </si>
  <si>
    <t>2015/12達卡費中信</t>
    <phoneticPr fontId="3" type="noConversion"/>
  </si>
  <si>
    <t>2015/12達卡費玉山</t>
    <phoneticPr fontId="3" type="noConversion"/>
  </si>
  <si>
    <t>台銀城中 - (004) 045-001-12748-7</t>
    <phoneticPr fontId="3" type="noConversion"/>
  </si>
  <si>
    <t>rayman3t: 官網 12萬以下免徵</t>
  </si>
  <si>
    <t>(2)P×12/營業月</t>
  </si>
  <si>
    <t>(1)P×12/營業月數，在181,818元以下者，T=【(P×12/營業月數)-120,000元】×1/2×營業月數/12】</t>
  </si>
  <si>
    <t>2.營業期間不滿1年者，換算全年所得核課：</t>
  </si>
  <si>
    <t>(2)P超過181,818元者，T=P×17﹪</t>
  </si>
  <si>
    <t>(1)P在181,818元以下者，T=(P-120,000元)×1/2</t>
  </si>
  <si>
    <t>1.營業期間滿1年者：</t>
  </si>
  <si>
    <t xml:space="preserve">2.課稅所得額超過12萬元者，就其全部課稅所得額課徵17%，但其應納稅額不得超過課稅所得額超過12萬元部分之半數。    </t>
  </si>
  <si>
    <t>1.T=稅額，P=課稅所得額。</t>
  </si>
  <si>
    <t>附註：</t>
  </si>
  <si>
    <t>第2級   超過12萬元             17﹪</t>
  </si>
  <si>
    <t xml:space="preserve">第1級   12萬元以下             免徵    </t>
  </si>
  <si>
    <t xml:space="preserve">級距    全年課稅所得額級距    稅率    </t>
  </si>
  <si>
    <t>99年度起營利事業所得稅起徵額、稅率及應納稅額計算公式說明如下：</t>
  </si>
  <si>
    <t>營利事業所得稅的稅率規定如何？(2014)</t>
  </si>
  <si>
    <t>財政部稅務入口網</t>
    <phoneticPr fontId="5" type="noConversion"/>
  </si>
  <si>
    <t>二、標準扣除額：納稅義務人個人扣除90,000元；有配偶者扣除180,000元。</t>
    <phoneticPr fontId="5" type="noConversion"/>
  </si>
  <si>
    <t>105年</t>
  </si>
  <si>
    <t>楊博欽</t>
    <phoneticPr fontId="29" type="noConversion"/>
  </si>
  <si>
    <t>保留低報</t>
  </si>
  <si>
    <t>105/12</t>
    <phoneticPr fontId="5" type="noConversion"/>
  </si>
  <si>
    <t>華算城中</t>
    <phoneticPr fontId="3" type="noConversion"/>
  </si>
  <si>
    <t>2016年收票</t>
    <phoneticPr fontId="3" type="noConversion"/>
  </si>
  <si>
    <t>2016發票</t>
    <phoneticPr fontId="3" type="noConversion"/>
  </si>
  <si>
    <t>2016年開出發票</t>
    <phoneticPr fontId="3" type="noConversion"/>
  </si>
  <si>
    <t>AU27415900</t>
    <phoneticPr fontId="3" type="noConversion"/>
  </si>
  <si>
    <t>AU27415901</t>
  </si>
  <si>
    <t>AU27415902</t>
  </si>
  <si>
    <t>AU27415903</t>
  </si>
  <si>
    <t>AU27415905</t>
  </si>
  <si>
    <t>AU27415906</t>
  </si>
  <si>
    <t>AU27415907</t>
  </si>
  <si>
    <t>BM27278700</t>
    <phoneticPr fontId="3" type="noConversion"/>
  </si>
  <si>
    <t>BM27278702</t>
  </si>
  <si>
    <t>西拓</t>
    <phoneticPr fontId="3" type="noConversion"/>
  </si>
  <si>
    <t>BM27278703</t>
  </si>
  <si>
    <t>BM27278704</t>
  </si>
  <si>
    <t>BM27278706</t>
  </si>
  <si>
    <t>展鑫</t>
    <phoneticPr fontId="3" type="noConversion"/>
  </si>
  <si>
    <t>BM27278707</t>
  </si>
  <si>
    <t>70489361</t>
    <phoneticPr fontId="3" type="noConversion"/>
  </si>
  <si>
    <t>27763698</t>
    <phoneticPr fontId="3" type="noConversion"/>
  </si>
  <si>
    <t>CD27301350</t>
    <phoneticPr fontId="3" type="noConversion"/>
  </si>
  <si>
    <t>CD27301351</t>
    <phoneticPr fontId="3" type="noConversion"/>
  </si>
  <si>
    <t>CD27301352</t>
    <phoneticPr fontId="3" type="noConversion"/>
  </si>
  <si>
    <t>CD27301353</t>
    <phoneticPr fontId="3" type="noConversion"/>
  </si>
  <si>
    <t>CD27301354</t>
    <phoneticPr fontId="3" type="noConversion"/>
  </si>
  <si>
    <t>CD27301355</t>
    <phoneticPr fontId="3" type="noConversion"/>
  </si>
  <si>
    <t>CD27301356</t>
    <phoneticPr fontId="3" type="noConversion"/>
  </si>
  <si>
    <t>漢聯</t>
    <phoneticPr fontId="3" type="noConversion"/>
  </si>
  <si>
    <t>CD27301357</t>
    <phoneticPr fontId="3" type="noConversion"/>
  </si>
  <si>
    <t>威倫</t>
    <phoneticPr fontId="3" type="noConversion"/>
  </si>
  <si>
    <t>CD27301358</t>
    <phoneticPr fontId="3" type="noConversion"/>
  </si>
  <si>
    <t>CD27301359</t>
    <phoneticPr fontId="3" type="noConversion"/>
  </si>
  <si>
    <t>CD27301360</t>
    <phoneticPr fontId="3" type="noConversion"/>
  </si>
  <si>
    <t>CD27301361</t>
    <phoneticPr fontId="3" type="noConversion"/>
  </si>
  <si>
    <t>CD27301363</t>
    <phoneticPr fontId="3" type="noConversion"/>
  </si>
  <si>
    <t>CD27301364</t>
    <phoneticPr fontId="3" type="noConversion"/>
  </si>
  <si>
    <t>合碩</t>
    <phoneticPr fontId="3" type="noConversion"/>
  </si>
  <si>
    <t>CD27301365</t>
    <phoneticPr fontId="3" type="noConversion"/>
  </si>
  <si>
    <t>喜可</t>
    <phoneticPr fontId="3" type="noConversion"/>
  </si>
  <si>
    <t>12659198</t>
    <phoneticPr fontId="3" type="noConversion"/>
  </si>
  <si>
    <t>20930144</t>
    <phoneticPr fontId="3" type="noConversion"/>
  </si>
  <si>
    <t>22449539</t>
    <phoneticPr fontId="3" type="noConversion"/>
  </si>
  <si>
    <t>39604416</t>
    <phoneticPr fontId="3" type="noConversion"/>
  </si>
  <si>
    <t>CV27140100</t>
    <phoneticPr fontId="3" type="noConversion"/>
  </si>
  <si>
    <t>CV27140102</t>
    <phoneticPr fontId="3" type="noConversion"/>
  </si>
  <si>
    <t>CV27140103</t>
    <phoneticPr fontId="3" type="noConversion"/>
  </si>
  <si>
    <t>CV27140104</t>
    <phoneticPr fontId="3" type="noConversion"/>
  </si>
  <si>
    <t>CV27140105</t>
    <phoneticPr fontId="3" type="noConversion"/>
  </si>
  <si>
    <t>CV27140106</t>
    <phoneticPr fontId="3" type="noConversion"/>
  </si>
  <si>
    <t>CV27140107</t>
    <phoneticPr fontId="3" type="noConversion"/>
  </si>
  <si>
    <t>CV27140108</t>
    <phoneticPr fontId="3" type="noConversion"/>
  </si>
  <si>
    <t>CV27140109</t>
    <phoneticPr fontId="3" type="noConversion"/>
  </si>
  <si>
    <t>54378277</t>
    <phoneticPr fontId="3" type="noConversion"/>
  </si>
  <si>
    <t>DM27132900</t>
    <phoneticPr fontId="3" type="noConversion"/>
  </si>
  <si>
    <t>邁拓</t>
    <phoneticPr fontId="3" type="noConversion"/>
  </si>
  <si>
    <t>DM27132901</t>
    <phoneticPr fontId="3" type="noConversion"/>
  </si>
  <si>
    <t>DM27132902</t>
    <phoneticPr fontId="3" type="noConversion"/>
  </si>
  <si>
    <t>DM27132903</t>
    <phoneticPr fontId="3" type="noConversion"/>
  </si>
  <si>
    <t>DM27132904</t>
    <phoneticPr fontId="3" type="noConversion"/>
  </si>
  <si>
    <t>09485687</t>
    <phoneticPr fontId="3" type="noConversion"/>
  </si>
  <si>
    <t>ED27309150</t>
    <phoneticPr fontId="3" type="noConversion"/>
  </si>
  <si>
    <t>ED27309151</t>
  </si>
  <si>
    <t>ED27309152</t>
  </si>
  <si>
    <t>ED27309153</t>
  </si>
  <si>
    <t>ED27309154</t>
  </si>
  <si>
    <t>ED27309155</t>
  </si>
  <si>
    <t>台一</t>
    <phoneticPr fontId="3" type="noConversion"/>
  </si>
  <si>
    <t>ED27309156</t>
  </si>
  <si>
    <t>ED27309158</t>
  </si>
  <si>
    <t>ED27309159</t>
  </si>
  <si>
    <t>ED27309160</t>
  </si>
  <si>
    <t>ED27309161</t>
  </si>
  <si>
    <t>ED27309162</t>
  </si>
  <si>
    <t>ED27309163</t>
  </si>
  <si>
    <t>EJ20706901</t>
  </si>
  <si>
    <t>22863276</t>
    <phoneticPr fontId="3" type="noConversion"/>
  </si>
  <si>
    <t>97417777</t>
    <phoneticPr fontId="3" type="noConversion"/>
  </si>
  <si>
    <t>HA1163156</t>
    <phoneticPr fontId="3" type="noConversion"/>
  </si>
  <si>
    <t>2016.02.20</t>
    <phoneticPr fontId="3" type="noConversion"/>
  </si>
  <si>
    <t>2016.01.30</t>
    <phoneticPr fontId="3" type="noConversion"/>
  </si>
  <si>
    <t>HA1163157</t>
  </si>
  <si>
    <t>HA1163158</t>
  </si>
  <si>
    <t>HA1163159</t>
  </si>
  <si>
    <t>HA1163160</t>
  </si>
  <si>
    <t>HA1163161</t>
  </si>
  <si>
    <t>HA1163162</t>
  </si>
  <si>
    <t>HA1163163</t>
  </si>
  <si>
    <t>2016.05.20</t>
    <phoneticPr fontId="3" type="noConversion"/>
  </si>
  <si>
    <t>2016.08.20</t>
    <phoneticPr fontId="3" type="noConversion"/>
  </si>
  <si>
    <t>2016.11.20</t>
    <phoneticPr fontId="3" type="noConversion"/>
  </si>
  <si>
    <t>2017.02.20</t>
    <phoneticPr fontId="3" type="noConversion"/>
  </si>
  <si>
    <t>2017.05.20</t>
    <phoneticPr fontId="3" type="noConversion"/>
  </si>
  <si>
    <t>2017.08.20</t>
    <phoneticPr fontId="3" type="noConversion"/>
  </si>
  <si>
    <t>2017.11.20</t>
    <phoneticPr fontId="3" type="noConversion"/>
  </si>
  <si>
    <t>2016.03.22</t>
    <phoneticPr fontId="3" type="noConversion"/>
  </si>
  <si>
    <t>MD0728198</t>
    <phoneticPr fontId="3" type="noConversion"/>
  </si>
  <si>
    <t>CB5337906</t>
    <phoneticPr fontId="3" type="noConversion"/>
  </si>
  <si>
    <t>2016.03.15</t>
    <phoneticPr fontId="3" type="noConversion"/>
  </si>
  <si>
    <t>EG0651500</t>
    <phoneticPr fontId="3" type="noConversion"/>
  </si>
  <si>
    <t>2016.06.10</t>
    <phoneticPr fontId="3" type="noConversion"/>
  </si>
  <si>
    <t>FA6452301</t>
    <phoneticPr fontId="3" type="noConversion"/>
  </si>
  <si>
    <t>2016.09.10</t>
    <phoneticPr fontId="3" type="noConversion"/>
  </si>
  <si>
    <t>FA6452302</t>
  </si>
  <si>
    <t>FA6452303</t>
  </si>
  <si>
    <t>FA6452304</t>
  </si>
  <si>
    <t>FA6452305</t>
  </si>
  <si>
    <t>FA6452306</t>
  </si>
  <si>
    <t>FA6452307</t>
  </si>
  <si>
    <t>2016.12.10</t>
    <phoneticPr fontId="3" type="noConversion"/>
  </si>
  <si>
    <t>2017.03.10</t>
    <phoneticPr fontId="3" type="noConversion"/>
  </si>
  <si>
    <t>2017.06.10</t>
    <phoneticPr fontId="3" type="noConversion"/>
  </si>
  <si>
    <t>2017.09.10</t>
    <phoneticPr fontId="3" type="noConversion"/>
  </si>
  <si>
    <t>2017.12.10</t>
    <phoneticPr fontId="3" type="noConversion"/>
  </si>
  <si>
    <t>2018.03.10</t>
    <phoneticPr fontId="3" type="noConversion"/>
  </si>
  <si>
    <t>2016.05.30</t>
    <phoneticPr fontId="3" type="noConversion"/>
  </si>
  <si>
    <t>CA8851473</t>
    <phoneticPr fontId="3" type="noConversion"/>
  </si>
  <si>
    <t>CA8851474</t>
  </si>
  <si>
    <t>CA8851475</t>
  </si>
  <si>
    <t>CA8851476</t>
  </si>
  <si>
    <t>CA8851478</t>
    <phoneticPr fontId="3" type="noConversion"/>
  </si>
  <si>
    <t>CA8851479</t>
  </si>
  <si>
    <t>CA8851480</t>
  </si>
  <si>
    <t>CA8851481</t>
  </si>
  <si>
    <t>2017.11.30</t>
    <phoneticPr fontId="3" type="noConversion"/>
  </si>
  <si>
    <t>2018.02.28</t>
    <phoneticPr fontId="3" type="noConversion"/>
  </si>
  <si>
    <t>2016.06.13</t>
    <phoneticPr fontId="3" type="noConversion"/>
  </si>
  <si>
    <t>AD5321608</t>
    <phoneticPr fontId="3" type="noConversion"/>
  </si>
  <si>
    <t>2016.07.30</t>
    <phoneticPr fontId="3" type="noConversion"/>
  </si>
  <si>
    <t>AD5321609</t>
  </si>
  <si>
    <t>AD5321610</t>
  </si>
  <si>
    <t>AD5321611</t>
  </si>
  <si>
    <t>AD5321612</t>
  </si>
  <si>
    <t>AD5321613</t>
  </si>
  <si>
    <t>AD5321614</t>
  </si>
  <si>
    <t>AD5321615</t>
  </si>
  <si>
    <t>2016.10.30</t>
    <phoneticPr fontId="3" type="noConversion"/>
  </si>
  <si>
    <t>2017.01.30</t>
    <phoneticPr fontId="3" type="noConversion"/>
  </si>
  <si>
    <t>2017.07.30</t>
    <phoneticPr fontId="3" type="noConversion"/>
  </si>
  <si>
    <t>2017.10.30</t>
    <phoneticPr fontId="3" type="noConversion"/>
  </si>
  <si>
    <t>2018.01.30</t>
    <phoneticPr fontId="3" type="noConversion"/>
  </si>
  <si>
    <t>2018.04.30</t>
    <phoneticPr fontId="3" type="noConversion"/>
  </si>
  <si>
    <t>2016.06.16</t>
    <phoneticPr fontId="3" type="noConversion"/>
  </si>
  <si>
    <t>BN7506933</t>
    <phoneticPr fontId="3" type="noConversion"/>
  </si>
  <si>
    <t>BN7506934</t>
  </si>
  <si>
    <t>BN7506935</t>
  </si>
  <si>
    <t>BN7506936</t>
  </si>
  <si>
    <t>BN7506937</t>
  </si>
  <si>
    <t>BN7506938</t>
  </si>
  <si>
    <t>BN7506939</t>
  </si>
  <si>
    <t>BN7506940</t>
  </si>
  <si>
    <t>2017.03.01</t>
    <phoneticPr fontId="3" type="noConversion"/>
  </si>
  <si>
    <t>2017.06.01</t>
    <phoneticPr fontId="3" type="noConversion"/>
  </si>
  <si>
    <t>2017.09.01</t>
    <phoneticPr fontId="3" type="noConversion"/>
  </si>
  <si>
    <t>2017.12.01</t>
    <phoneticPr fontId="3" type="noConversion"/>
  </si>
  <si>
    <t>2018.03.01</t>
    <phoneticPr fontId="3" type="noConversion"/>
  </si>
  <si>
    <t>2018.06.01</t>
    <phoneticPr fontId="3" type="noConversion"/>
  </si>
  <si>
    <t>2016.06.17</t>
    <phoneticPr fontId="3" type="noConversion"/>
  </si>
  <si>
    <t>CT1555753</t>
    <phoneticPr fontId="3" type="noConversion"/>
  </si>
  <si>
    <t>CT1555754</t>
  </si>
  <si>
    <t>CT1555755</t>
  </si>
  <si>
    <t>CT1555756</t>
  </si>
  <si>
    <t>CT1555757</t>
  </si>
  <si>
    <t>CT1555758</t>
  </si>
  <si>
    <t>CT1555759</t>
  </si>
  <si>
    <t>CT1555760</t>
  </si>
  <si>
    <t>2016.12.20</t>
    <phoneticPr fontId="3" type="noConversion"/>
  </si>
  <si>
    <t>2017.03.20</t>
    <phoneticPr fontId="3" type="noConversion"/>
  </si>
  <si>
    <t>2017.06.20</t>
    <phoneticPr fontId="3" type="noConversion"/>
  </si>
  <si>
    <t>2017.09.20</t>
    <phoneticPr fontId="3" type="noConversion"/>
  </si>
  <si>
    <t>2017.12.20</t>
    <phoneticPr fontId="3" type="noConversion"/>
  </si>
  <si>
    <t>2018.03.20</t>
    <phoneticPr fontId="3" type="noConversion"/>
  </si>
  <si>
    <t>CB5349630</t>
    <phoneticPr fontId="3" type="noConversion"/>
  </si>
  <si>
    <t>2016.06.15</t>
    <phoneticPr fontId="3" type="noConversion"/>
  </si>
  <si>
    <t>2016.06.27</t>
    <phoneticPr fontId="3" type="noConversion"/>
  </si>
  <si>
    <t>MD0748519</t>
    <phoneticPr fontId="3" type="noConversion"/>
  </si>
  <si>
    <t>2016.07.10</t>
    <phoneticPr fontId="3" type="noConversion"/>
  </si>
  <si>
    <t>2016.07.07</t>
    <phoneticPr fontId="3" type="noConversion"/>
  </si>
  <si>
    <t>品固CN</t>
    <phoneticPr fontId="3" type="noConversion"/>
  </si>
  <si>
    <t>MD1533145</t>
    <phoneticPr fontId="3" type="noConversion"/>
  </si>
  <si>
    <t>2016.08.05</t>
    <phoneticPr fontId="3" type="noConversion"/>
  </si>
  <si>
    <t>MD1533146</t>
  </si>
  <si>
    <t>MD1533147</t>
  </si>
  <si>
    <t>MD1533148</t>
  </si>
  <si>
    <t>MD1533149</t>
  </si>
  <si>
    <t>MD1533150</t>
  </si>
  <si>
    <t>MD1533151</t>
  </si>
  <si>
    <t>MD1533152</t>
  </si>
  <si>
    <t>2016.11.05</t>
    <phoneticPr fontId="3" type="noConversion"/>
  </si>
  <si>
    <t>2017.05.05</t>
    <phoneticPr fontId="3" type="noConversion"/>
  </si>
  <si>
    <t>2017.08.05</t>
    <phoneticPr fontId="3" type="noConversion"/>
  </si>
  <si>
    <t>2017.11.05</t>
    <phoneticPr fontId="3" type="noConversion"/>
  </si>
  <si>
    <t>2017.02.05</t>
    <phoneticPr fontId="3" type="noConversion"/>
  </si>
  <si>
    <t>2018.05.05</t>
    <phoneticPr fontId="3" type="noConversion"/>
  </si>
  <si>
    <t>2018.02.05</t>
    <phoneticPr fontId="3" type="noConversion"/>
  </si>
  <si>
    <t>品固TW</t>
    <phoneticPr fontId="3" type="noConversion"/>
  </si>
  <si>
    <t>MD1537902</t>
    <phoneticPr fontId="3" type="noConversion"/>
  </si>
  <si>
    <t>MD1537903</t>
  </si>
  <si>
    <t>MD1537904</t>
  </si>
  <si>
    <t>MD1537905</t>
  </si>
  <si>
    <t>MD1537906</t>
  </si>
  <si>
    <t>MD1537907</t>
  </si>
  <si>
    <t>MD1537908</t>
  </si>
  <si>
    <t>MD1537909</t>
  </si>
  <si>
    <t>2016.09.09</t>
    <phoneticPr fontId="3" type="noConversion"/>
  </si>
  <si>
    <t>LN6152751</t>
    <phoneticPr fontId="3" type="noConversion"/>
  </si>
  <si>
    <t>LN6152752</t>
  </si>
  <si>
    <t>LN6152753</t>
  </si>
  <si>
    <t>LN6152754</t>
  </si>
  <si>
    <t>LN6152755</t>
  </si>
  <si>
    <t>LN6152756</t>
  </si>
  <si>
    <t>LN6152757</t>
  </si>
  <si>
    <t>LN6152758</t>
  </si>
  <si>
    <t>JD9420162</t>
    <phoneticPr fontId="3" type="noConversion"/>
  </si>
  <si>
    <t>2016.11.29</t>
    <phoneticPr fontId="3" type="noConversion"/>
  </si>
  <si>
    <t>2016.09.05</t>
    <phoneticPr fontId="3" type="noConversion"/>
  </si>
  <si>
    <t>2016.12.08</t>
    <phoneticPr fontId="3" type="noConversion"/>
  </si>
  <si>
    <t>2016.12.02</t>
    <phoneticPr fontId="3" type="noConversion"/>
  </si>
  <si>
    <t>LD3377506</t>
    <phoneticPr fontId="3" type="noConversion"/>
  </si>
  <si>
    <t>LD3377507</t>
  </si>
  <si>
    <t>LD3377508</t>
  </si>
  <si>
    <t>LD3377509</t>
  </si>
  <si>
    <t>LD3377510</t>
  </si>
  <si>
    <t>LD3377511</t>
  </si>
  <si>
    <t>LD3377512</t>
  </si>
  <si>
    <t>LD3377513</t>
  </si>
  <si>
    <t>2018.08.05</t>
    <phoneticPr fontId="3" type="noConversion"/>
  </si>
  <si>
    <t>JD8522870</t>
    <phoneticPr fontId="3" type="noConversion"/>
  </si>
  <si>
    <t>JD8522871</t>
  </si>
  <si>
    <t>JD8522872</t>
  </si>
  <si>
    <t>JD8522873</t>
  </si>
  <si>
    <t>JD8522874</t>
  </si>
  <si>
    <t>JD8522875</t>
  </si>
  <si>
    <t>JD8522876</t>
  </si>
  <si>
    <t>JD8522877</t>
  </si>
  <si>
    <t>2017.08.25</t>
    <phoneticPr fontId="3" type="noConversion"/>
  </si>
  <si>
    <t>2017.11.25</t>
    <phoneticPr fontId="3" type="noConversion"/>
  </si>
  <si>
    <t>2018.05.25</t>
    <phoneticPr fontId="3" type="noConversion"/>
  </si>
  <si>
    <t>2018.08.25</t>
    <phoneticPr fontId="3" type="noConversion"/>
  </si>
  <si>
    <t>鎔保</t>
    <phoneticPr fontId="3" type="noConversion"/>
  </si>
  <si>
    <t>JD8522878</t>
    <phoneticPr fontId="3" type="noConversion"/>
  </si>
  <si>
    <t>JD8522879</t>
  </si>
  <si>
    <t>JD8522880</t>
  </si>
  <si>
    <t>JD8522881</t>
  </si>
  <si>
    <t>JD8522882</t>
  </si>
  <si>
    <t>JD8522883</t>
  </si>
  <si>
    <t>JD8522884</t>
  </si>
  <si>
    <t>JD8522885</t>
  </si>
  <si>
    <t>JD8522869</t>
    <phoneticPr fontId="3" type="noConversion"/>
  </si>
  <si>
    <t>GF1296608</t>
    <phoneticPr fontId="3" type="noConversion"/>
  </si>
  <si>
    <t>2016.05.10</t>
    <phoneticPr fontId="3" type="noConversion"/>
  </si>
  <si>
    <t>2016.11.23</t>
    <phoneticPr fontId="3" type="noConversion"/>
  </si>
  <si>
    <t>2016.01.12</t>
    <phoneticPr fontId="3" type="noConversion"/>
  </si>
  <si>
    <t>2016.01.19</t>
    <phoneticPr fontId="3" type="noConversion"/>
  </si>
  <si>
    <t>鎔德財務+業務-尾款</t>
    <phoneticPr fontId="3" type="noConversion"/>
  </si>
  <si>
    <t>鉑德車源-尾款</t>
    <phoneticPr fontId="3" type="noConversion"/>
  </si>
  <si>
    <t>2016.03.31</t>
    <phoneticPr fontId="3" type="noConversion"/>
  </si>
  <si>
    <t>2016.05.13</t>
    <phoneticPr fontId="3" type="noConversion"/>
  </si>
  <si>
    <t>2016.05.16</t>
    <phoneticPr fontId="3" type="noConversion"/>
  </si>
  <si>
    <t>2016.07.25</t>
    <phoneticPr fontId="3" type="noConversion"/>
  </si>
  <si>
    <t>發票開一年</t>
    <phoneticPr fontId="3" type="noConversion"/>
  </si>
  <si>
    <t>2016.08.30</t>
    <phoneticPr fontId="3" type="noConversion"/>
  </si>
  <si>
    <t>鉑德軟維</t>
    <phoneticPr fontId="3" type="noConversion"/>
  </si>
  <si>
    <t>2</t>
    <phoneticPr fontId="3" type="noConversion"/>
  </si>
  <si>
    <t>2016.10.25</t>
    <phoneticPr fontId="3" type="noConversion"/>
  </si>
  <si>
    <t>2016.11.10</t>
    <phoneticPr fontId="3" type="noConversion"/>
  </si>
  <si>
    <t>2016.03.21</t>
    <phoneticPr fontId="3" type="noConversion"/>
  </si>
  <si>
    <t>2016.06.21</t>
    <phoneticPr fontId="3" type="noConversion"/>
  </si>
  <si>
    <t>2016.07.06</t>
    <phoneticPr fontId="3" type="noConversion"/>
  </si>
  <si>
    <t>2016.07.19</t>
    <phoneticPr fontId="3" type="noConversion"/>
  </si>
  <si>
    <t>2016.08.01</t>
    <phoneticPr fontId="3" type="noConversion"/>
  </si>
  <si>
    <t>2016.08.19</t>
    <phoneticPr fontId="3" type="noConversion"/>
  </si>
  <si>
    <t>2016.09.29</t>
    <phoneticPr fontId="3" type="noConversion"/>
  </si>
  <si>
    <t>2016.08.26</t>
    <phoneticPr fontId="3" type="noConversion"/>
  </si>
  <si>
    <t>JD9419410</t>
    <phoneticPr fontId="3" type="noConversion"/>
  </si>
  <si>
    <t>CB5349650</t>
    <phoneticPr fontId="3" type="noConversion"/>
  </si>
  <si>
    <t>2016.09.15</t>
    <phoneticPr fontId="3" type="noConversion"/>
  </si>
  <si>
    <t>2016.10.28</t>
    <phoneticPr fontId="3" type="noConversion"/>
  </si>
  <si>
    <t>依德軟維</t>
    <phoneticPr fontId="3" type="noConversion"/>
  </si>
  <si>
    <t>2016.02.01</t>
    <phoneticPr fontId="3" type="noConversion"/>
  </si>
  <si>
    <t>2016.05.04</t>
    <phoneticPr fontId="3" type="noConversion"/>
  </si>
  <si>
    <t>2016.05.23</t>
    <phoneticPr fontId="3" type="noConversion"/>
  </si>
  <si>
    <t>2016.06.22</t>
    <phoneticPr fontId="3" type="noConversion"/>
  </si>
  <si>
    <t>2016.07.20</t>
    <phoneticPr fontId="3" type="noConversion"/>
  </si>
  <si>
    <t>2016.08.02</t>
    <phoneticPr fontId="3" type="noConversion"/>
  </si>
  <si>
    <t>2016.08.22</t>
    <phoneticPr fontId="3" type="noConversion"/>
  </si>
  <si>
    <t>2016.09.06</t>
    <phoneticPr fontId="3" type="noConversion"/>
  </si>
  <si>
    <t>2016.12.09</t>
    <phoneticPr fontId="3" type="noConversion"/>
  </si>
  <si>
    <t>2017.01.04</t>
    <phoneticPr fontId="3" type="noConversion"/>
  </si>
  <si>
    <t>2017.02.06</t>
    <phoneticPr fontId="3" type="noConversion"/>
  </si>
  <si>
    <t>2017.01.25</t>
    <phoneticPr fontId="3" type="noConversion"/>
  </si>
  <si>
    <t>2017.02.02</t>
    <phoneticPr fontId="3" type="noConversion"/>
  </si>
  <si>
    <t>2017.02.22</t>
  </si>
  <si>
    <t>2017.03.02</t>
    <phoneticPr fontId="3" type="noConversion"/>
  </si>
  <si>
    <t>2017.03.22</t>
  </si>
  <si>
    <t>2017.03.30</t>
    <phoneticPr fontId="3" type="noConversion"/>
  </si>
  <si>
    <t>2017.04.07</t>
    <phoneticPr fontId="3" type="noConversion"/>
  </si>
  <si>
    <t>2017.04.10</t>
    <phoneticPr fontId="3" type="noConversion"/>
  </si>
  <si>
    <t>2017.04.11</t>
    <phoneticPr fontId="3" type="noConversion"/>
  </si>
  <si>
    <t>2017.04.12</t>
  </si>
  <si>
    <t>2017.04.13</t>
  </si>
  <si>
    <t>2017.04.20</t>
    <phoneticPr fontId="3" type="noConversion"/>
  </si>
  <si>
    <t>2017.04.25</t>
    <phoneticPr fontId="3" type="noConversion"/>
  </si>
  <si>
    <t>2017.04.27</t>
    <phoneticPr fontId="3" type="noConversion"/>
  </si>
  <si>
    <t>2017.05.02</t>
    <phoneticPr fontId="3" type="noConversion"/>
  </si>
  <si>
    <t>2017.05.03</t>
    <phoneticPr fontId="3" type="noConversion"/>
  </si>
  <si>
    <t>2017.05.08</t>
    <phoneticPr fontId="3" type="noConversion"/>
  </si>
  <si>
    <t>2017.05.10</t>
    <phoneticPr fontId="3" type="noConversion"/>
  </si>
  <si>
    <t>2017.05.11</t>
    <phoneticPr fontId="3" type="noConversion"/>
  </si>
  <si>
    <t>1071-1078</t>
    <phoneticPr fontId="3" type="noConversion"/>
  </si>
  <si>
    <t>4</t>
    <phoneticPr fontId="3" type="noConversion"/>
  </si>
  <si>
    <t>5</t>
    <phoneticPr fontId="3" type="noConversion"/>
  </si>
  <si>
    <t>7</t>
    <phoneticPr fontId="3" type="noConversion"/>
  </si>
  <si>
    <t>6</t>
    <phoneticPr fontId="3" type="noConversion"/>
  </si>
  <si>
    <t>9</t>
    <phoneticPr fontId="3" type="noConversion"/>
  </si>
  <si>
    <t>10</t>
    <phoneticPr fontId="3" type="noConversion"/>
  </si>
  <si>
    <t>11</t>
    <phoneticPr fontId="3" type="noConversion"/>
  </si>
  <si>
    <t>1089-1096</t>
    <phoneticPr fontId="3" type="noConversion"/>
  </si>
  <si>
    <t>1113-1120</t>
    <phoneticPr fontId="3" type="noConversion"/>
  </si>
  <si>
    <t>1123-1130</t>
    <phoneticPr fontId="3" type="noConversion"/>
  </si>
  <si>
    <t>877,943,1001,1019,1037,1080,1121,1140</t>
    <phoneticPr fontId="3" type="noConversion"/>
  </si>
  <si>
    <t>2014.5.13,2015.05.08</t>
    <phoneticPr fontId="3" type="noConversion"/>
  </si>
  <si>
    <t>1131-1138</t>
    <phoneticPr fontId="3" type="noConversion"/>
  </si>
  <si>
    <t>8</t>
    <phoneticPr fontId="3" type="noConversion"/>
  </si>
  <si>
    <t>3</t>
    <phoneticPr fontId="3" type="noConversion"/>
  </si>
  <si>
    <t>1105-1112</t>
    <phoneticPr fontId="3" type="noConversion"/>
  </si>
  <si>
    <t>1097-1104</t>
    <phoneticPr fontId="3" type="noConversion"/>
  </si>
  <si>
    <t>1141-1148</t>
    <phoneticPr fontId="3" type="noConversion"/>
  </si>
  <si>
    <t>GODADDY</t>
    <phoneticPr fontId="3" type="noConversion"/>
  </si>
  <si>
    <t>2016年華算進貨明細</t>
    <phoneticPr fontId="3" type="noConversion"/>
  </si>
  <si>
    <r>
      <t>2016</t>
    </r>
    <r>
      <rPr>
        <sz val="12"/>
        <rFont val="新細明體"/>
        <family val="1"/>
        <charset val="136"/>
      </rPr>
      <t>/12/31庫存帳</t>
    </r>
  </si>
  <si>
    <r>
      <t>2016</t>
    </r>
    <r>
      <rPr>
        <sz val="12"/>
        <rFont val="新細明體"/>
        <family val="1"/>
        <charset val="136"/>
      </rPr>
      <t>華算主機-期初</t>
    </r>
  </si>
  <si>
    <r>
      <t>2016</t>
    </r>
    <r>
      <rPr>
        <sz val="12"/>
        <rFont val="新細明體"/>
        <family val="1"/>
        <charset val="136"/>
      </rPr>
      <t>華算主機-新組裝</t>
    </r>
  </si>
  <si>
    <r>
      <t>2016</t>
    </r>
    <r>
      <rPr>
        <sz val="12"/>
        <rFont val="新細明體"/>
        <family val="1"/>
        <charset val="136"/>
      </rPr>
      <t>華算主機-折舊</t>
    </r>
  </si>
  <si>
    <r>
      <t>2016</t>
    </r>
    <r>
      <rPr>
        <sz val="12"/>
        <rFont val="新細明體"/>
        <family val="1"/>
        <charset val="136"/>
      </rPr>
      <t>華算主機-殘值</t>
    </r>
  </si>
  <si>
    <t>2016科目明細</t>
  </si>
  <si>
    <t>永昌(泰聯)</t>
  </si>
  <si>
    <t>永昌(泰聯)(2)</t>
  </si>
  <si>
    <t>馬桶增高器</t>
  </si>
  <si>
    <t>2015收跨年銀行未兌x2</t>
  </si>
  <si>
    <t>2015收未兌票x20</t>
  </si>
  <si>
    <t>期票未兌</t>
  </si>
  <si>
    <t>2016收未兌票x69</t>
  </si>
  <si>
    <t>2016收跨年銀行未兌x5</t>
  </si>
  <si>
    <t>105/12</t>
  </si>
  <si>
    <t>鎔保 7x16380</t>
  </si>
  <si>
    <r>
      <t>2016</t>
    </r>
    <r>
      <rPr>
        <sz val="12"/>
        <rFont val="新細明體"/>
        <family val="1"/>
        <charset val="136"/>
      </rPr>
      <t>收入總計</t>
    </r>
  </si>
  <si>
    <r>
      <rPr>
        <sz val="12"/>
        <rFont val="新細明體"/>
        <family val="1"/>
        <charset val="136"/>
      </rPr>
      <t>收支票</t>
    </r>
    <r>
      <rPr>
        <sz val="12"/>
        <rFont val="新細明體"/>
        <family val="1"/>
        <charset val="136"/>
      </rPr>
      <t>(2016發票)</t>
    </r>
  </si>
  <si>
    <r>
      <t>沖依/鎔/鎔保/鉑</t>
    </r>
    <r>
      <rPr>
        <sz val="12"/>
        <rFont val="新細明體"/>
        <family val="1"/>
        <charset val="136"/>
      </rPr>
      <t>預收</t>
    </r>
  </si>
  <si>
    <r>
      <t>依/鎔/鎔保/鉑/安</t>
    </r>
    <r>
      <rPr>
        <sz val="12"/>
        <rFont val="新細明體"/>
        <family val="1"/>
        <charset val="136"/>
      </rPr>
      <t>預收</t>
    </r>
  </si>
  <si>
    <t>2016兌現總計</t>
  </si>
  <si>
    <t>2016收票(開發票本期)</t>
  </si>
  <si>
    <t>2016收票(開發票預收)</t>
  </si>
  <si>
    <r>
      <t>收支票(開發票前期未收)</t>
    </r>
    <r>
      <rPr>
        <sz val="12"/>
        <rFont val="新細明體"/>
        <family val="1"/>
        <charset val="136"/>
      </rPr>
      <t/>
    </r>
  </si>
  <si>
    <t>2016收票(前期已開發票)</t>
  </si>
  <si>
    <t>銀行存款</t>
  </si>
  <si>
    <t>存出保證金</t>
  </si>
  <si>
    <t>股本</t>
  </si>
  <si>
    <t>累積虧損</t>
  </si>
  <si>
    <t>1112</t>
  </si>
  <si>
    <t>1121</t>
  </si>
  <si>
    <t>本期損益</t>
  </si>
  <si>
    <t>薪資支出</t>
  </si>
  <si>
    <t>旅費</t>
  </si>
  <si>
    <t>郵電費</t>
  </si>
  <si>
    <t>廣告費</t>
  </si>
  <si>
    <t>水電瓦斯費</t>
  </si>
  <si>
    <t>保險費</t>
  </si>
  <si>
    <t>其他費用</t>
  </si>
  <si>
    <t>營業費用</t>
  </si>
  <si>
    <t>銷貨退回</t>
  </si>
  <si>
    <t>銷貨折讓</t>
  </si>
  <si>
    <t>營業收入淨額</t>
  </si>
  <si>
    <t>營業成本</t>
  </si>
  <si>
    <t>營業毛利</t>
  </si>
  <si>
    <t>毛利率</t>
  </si>
  <si>
    <t>費用率</t>
  </si>
  <si>
    <t>營業淨利</t>
  </si>
  <si>
    <t>利息收入</t>
  </si>
  <si>
    <t>全年所得額</t>
  </si>
  <si>
    <t>純益率</t>
  </si>
  <si>
    <t>淨利率</t>
  </si>
  <si>
    <t xml:space="preserve">    股本</t>
  </si>
  <si>
    <t xml:space="preserve">    累積虧損</t>
  </si>
  <si>
    <t>科目名稱</t>
  </si>
  <si>
    <t>貸方金額</t>
  </si>
  <si>
    <t>借方金額</t>
  </si>
  <si>
    <t>預收貸款</t>
  </si>
  <si>
    <t>期初庫存</t>
  </si>
  <si>
    <t>期末庫存</t>
  </si>
  <si>
    <t>本期進貨</t>
  </si>
  <si>
    <t>進銷成本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</si>
  <si>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</si>
  <si>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</si>
  <si>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</si>
  <si>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</si>
  <si>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</si>
  <si>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</si>
  <si>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</si>
  <si>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</si>
  <si>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</si>
  <si>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</si>
  <si>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</si>
  <si>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</si>
  <si>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傳票</t>
  </si>
  <si>
    <t>2015餘額</t>
  </si>
  <si>
    <t>2016匯款總計</t>
  </si>
  <si>
    <t>2016/1-12租金</t>
  </si>
  <si>
    <t>2016房租匯款手續費</t>
  </si>
  <si>
    <t>健保2015/11-2016/10</t>
  </si>
  <si>
    <t>勞保2015/11-2016/10</t>
  </si>
  <si>
    <t>勞退2015/10-2016/9</t>
  </si>
  <si>
    <t>電話費2016/1-12</t>
  </si>
  <si>
    <t>電費2016/1-12</t>
  </si>
  <si>
    <t>2016年12月</t>
  </si>
  <si>
    <t>2015年12月</t>
  </si>
  <si>
    <t>2016薪資總計</t>
  </si>
  <si>
    <t>2016伙食實付</t>
  </si>
  <si>
    <t>2016伙食DV+張</t>
  </si>
  <si>
    <t>支付2016薪資總計</t>
  </si>
  <si>
    <t>申報2015/12-2016/11</t>
  </si>
  <si>
    <t>2016/1-12</t>
  </si>
  <si>
    <t>2016/1,3,5,7,9,11</t>
  </si>
  <si>
    <t>2016水費</t>
  </si>
  <si>
    <t>水費免稅2016/1-12</t>
  </si>
  <si>
    <t>電話遙控電源,電池</t>
  </si>
  <si>
    <t>2016進貨總計</t>
  </si>
  <si>
    <t>2015/12達卡費富邦</t>
  </si>
  <si>
    <t>2015/12達卡費中信</t>
  </si>
  <si>
    <t>2016/12達卡費富邦</t>
  </si>
  <si>
    <t>2016/12達卡費中信</t>
  </si>
  <si>
    <t>2016/12達卡費玉山</t>
  </si>
  <si>
    <t>2016進貨+達代刷卡</t>
  </si>
  <si>
    <t>2016國內外域名</t>
  </si>
  <si>
    <t>風扇連接線,雲插座,工具</t>
  </si>
  <si>
    <t>2015/12達卡費玉山</t>
  </si>
  <si>
    <t>1/5還ADA-104.12.18</t>
  </si>
  <si>
    <r>
      <t>2/22</t>
    </r>
    <r>
      <rPr>
        <sz val="12"/>
        <rFont val="新細明體"/>
        <family val="1"/>
        <charset val="136"/>
      </rPr>
      <t>DV-MA-7-9</t>
    </r>
  </si>
  <si>
    <t>4/8DV-MA-10-12</t>
  </si>
  <si>
    <t>3/23阿明匯入</t>
  </si>
  <si>
    <r>
      <t>5/20</t>
    </r>
    <r>
      <rPr>
        <sz val="12"/>
        <rFont val="新細明體"/>
        <family val="1"/>
        <charset val="136"/>
      </rPr>
      <t>匯</t>
    </r>
    <r>
      <rPr>
        <sz val="12"/>
        <rFont val="新細明體"/>
        <family val="1"/>
        <charset val="136"/>
      </rPr>
      <t>PT-</t>
    </r>
    <r>
      <rPr>
        <sz val="12"/>
        <rFont val="新細明體"/>
        <family val="1"/>
        <charset val="136"/>
      </rPr>
      <t>陽信蘇政仁</t>
    </r>
  </si>
  <si>
    <t>5/21DV-MA-中秋</t>
  </si>
  <si>
    <t>9/2DV-MA-9~12</t>
  </si>
  <si>
    <r>
      <t>8/19</t>
    </r>
    <r>
      <rPr>
        <sz val="12"/>
        <rFont val="新細明體"/>
        <family val="1"/>
        <charset val="136"/>
      </rPr>
      <t>退押金(邁拓)</t>
    </r>
  </si>
  <si>
    <r>
      <t>9/19</t>
    </r>
    <r>
      <rPr>
        <sz val="12"/>
        <rFont val="新細明體"/>
        <family val="1"/>
        <charset val="136"/>
      </rPr>
      <t>匯</t>
    </r>
    <r>
      <rPr>
        <sz val="12"/>
        <rFont val="新細明體"/>
        <family val="1"/>
        <charset val="136"/>
      </rPr>
      <t>PT-</t>
    </r>
    <r>
      <rPr>
        <sz val="12"/>
        <rFont val="新細明體"/>
        <family val="1"/>
        <charset val="136"/>
      </rPr>
      <t>鉑德軟維</t>
    </r>
  </si>
  <si>
    <t>補充健保費</t>
  </si>
  <si>
    <t>12/1DV-MA-家電</t>
  </si>
  <si>
    <t>12/12阿明匯入</t>
  </si>
  <si>
    <t>還應付費用</t>
  </si>
  <si>
    <t>401-2016/9-2016/10</t>
  </si>
  <si>
    <t>401-2015/11-2016/8</t>
  </si>
  <si>
    <t>支付2016/7達薪資</t>
  </si>
  <si>
    <t>2016-00</t>
  </si>
  <si>
    <r>
      <t xml:space="preserve">    </t>
    </r>
    <r>
      <rPr>
        <sz val="12"/>
        <rFont val="新細明體"/>
        <family val="1"/>
        <charset val="136"/>
      </rPr>
      <t>預收貨款</t>
    </r>
  </si>
  <si>
    <t xml:space="preserve">    電腦零件</t>
  </si>
  <si>
    <r>
      <t>2016</t>
    </r>
    <r>
      <rPr>
        <sz val="12"/>
        <rFont val="新細明體"/>
        <family val="1"/>
        <charset val="136"/>
      </rPr>
      <t>預收轉為服務收入</t>
    </r>
  </si>
  <si>
    <t>沖2015預收轉為服務收入</t>
  </si>
  <si>
    <r>
      <t>2017</t>
    </r>
    <r>
      <rPr>
        <sz val="12"/>
        <rFont val="新細明體"/>
        <family val="1"/>
        <charset val="136"/>
      </rPr>
      <t>應收轉為服務收入</t>
    </r>
  </si>
  <si>
    <t>銀行存款-其他</t>
  </si>
  <si>
    <t>回沖2015調整應收票據</t>
  </si>
  <si>
    <t>1112 銀行存款</t>
  </si>
  <si>
    <t>1121 應收票據</t>
  </si>
  <si>
    <t>1123 應收帳款</t>
  </si>
  <si>
    <t>1910 存出保證金</t>
  </si>
  <si>
    <t>2123 應付費用</t>
  </si>
  <si>
    <t>2131 預收貨款</t>
  </si>
  <si>
    <t>2016匯款手續費9x</t>
  </si>
  <si>
    <t>2015應收款匯款手續費4x</t>
  </si>
  <si>
    <t>達卡費中信</t>
  </si>
  <si>
    <t>達卡費玉山</t>
  </si>
  <si>
    <t>調整2016薪資差額</t>
  </si>
  <si>
    <t>2016/11~12</t>
  </si>
  <si>
    <t>2016調整應收票據</t>
  </si>
  <si>
    <t>預收少報</t>
  </si>
  <si>
    <t>1/20 GODADDY</t>
  </si>
  <si>
    <t>6/3進貨退出</t>
  </si>
  <si>
    <t>2016進項稅額抵扣</t>
  </si>
  <si>
    <t>漏報進項稅額3x</t>
  </si>
  <si>
    <t>調整2016保留年底薪低報</t>
  </si>
  <si>
    <t>106/01</t>
    <phoneticPr fontId="5" type="noConversion"/>
  </si>
  <si>
    <t>106/02</t>
    <phoneticPr fontId="5" type="noConversion"/>
  </si>
  <si>
    <t>106/03</t>
    <phoneticPr fontId="5" type="noConversion"/>
  </si>
  <si>
    <t>106/04</t>
    <phoneticPr fontId="5" type="noConversion"/>
  </si>
  <si>
    <t>106/05</t>
    <phoneticPr fontId="5" type="noConversion"/>
  </si>
  <si>
    <t>106/06</t>
    <phoneticPr fontId="5" type="noConversion"/>
  </si>
  <si>
    <t>106/07</t>
    <phoneticPr fontId="5" type="noConversion"/>
  </si>
  <si>
    <t>106/08</t>
    <phoneticPr fontId="5" type="noConversion"/>
  </si>
  <si>
    <t>106/09</t>
    <phoneticPr fontId="5" type="noConversion"/>
  </si>
  <si>
    <t>楊博欽</t>
    <phoneticPr fontId="29" type="noConversion"/>
  </si>
  <si>
    <t>106/10</t>
    <phoneticPr fontId="5" type="noConversion"/>
  </si>
  <si>
    <t>106/11</t>
    <phoneticPr fontId="5" type="noConversion"/>
  </si>
  <si>
    <t>106/12</t>
    <phoneticPr fontId="5" type="noConversion"/>
  </si>
  <si>
    <t>106年終</t>
    <phoneticPr fontId="5" type="noConversion"/>
  </si>
  <si>
    <t>106年實付薪資(小計)</t>
    <phoneticPr fontId="5" type="noConversion"/>
  </si>
  <si>
    <t>106全年</t>
    <phoneticPr fontId="5" type="noConversion"/>
  </si>
  <si>
    <t>106年其他應申報(應加項目)</t>
    <phoneticPr fontId="5" type="noConversion"/>
  </si>
  <si>
    <t>106/01~106/12</t>
    <phoneticPr fontId="5" type="noConversion"/>
  </si>
  <si>
    <t>105年保留未申報(應加項目)</t>
  </si>
  <si>
    <t>105年應付</t>
    <phoneticPr fontId="3" type="noConversion"/>
  </si>
  <si>
    <t>106年保留不申報(應減項目)</t>
    <phoneticPr fontId="5" type="noConversion"/>
  </si>
  <si>
    <t>106/12</t>
    <phoneticPr fontId="5" type="noConversion"/>
  </si>
  <si>
    <t>106年應付</t>
    <phoneticPr fontId="3" type="noConversion"/>
  </si>
  <si>
    <t>106年其他不申報(應減項目)</t>
    <phoneticPr fontId="5" type="noConversion"/>
  </si>
  <si>
    <t>106低報</t>
    <phoneticPr fontId="5" type="noConversion"/>
  </si>
  <si>
    <t>106年應申報金額(合計)</t>
    <phoneticPr fontId="5" type="noConversion"/>
  </si>
  <si>
    <t>保留差額</t>
  </si>
  <si>
    <t>http://www.dot.gov.tw/dot/home.jsp?mserno=200912140005&amp;serno=200912140018&amp;menudata=DotMenu&amp;contlink=ap/news_view.jsp&amp;dataserno=201412150000</t>
    <phoneticPr fontId="3" type="noConversion"/>
  </si>
  <si>
    <t>一、免稅額：每人88,000元；年滿70歲之納稅義務人本人、配偶及受納稅義務人扶養之直系尊親屬其免稅額為132000元。</t>
  </si>
  <si>
    <t>三、薪資所得特別扣除額：每人每年扣除數額以128,000元為限</t>
  </si>
  <si>
    <t>財政部稅務入口網</t>
    <phoneticPr fontId="5" type="noConversion"/>
  </si>
  <si>
    <t>https://www.etax.nat.gov.tw/etwmain/front/ETW118W/CON/526/8834575894388476791?tagCode=</t>
    <phoneticPr fontId="3" type="noConversion"/>
  </si>
  <si>
    <t>匯款</t>
    <phoneticPr fontId="3" type="noConversion"/>
  </si>
  <si>
    <t>旺旺達---8</t>
    <phoneticPr fontId="3" type="noConversion"/>
  </si>
  <si>
    <t>DV-MA</t>
    <phoneticPr fontId="3" type="noConversion"/>
  </si>
  <si>
    <t>大成---8</t>
    <phoneticPr fontId="3" type="noConversion"/>
  </si>
  <si>
    <t>太暘---8</t>
    <phoneticPr fontId="3" type="noConversion"/>
  </si>
  <si>
    <t>依德---2</t>
    <phoneticPr fontId="3" type="noConversion"/>
  </si>
  <si>
    <t>中信</t>
    <phoneticPr fontId="3" type="noConversion"/>
  </si>
  <si>
    <t>玉山</t>
    <phoneticPr fontId="3" type="noConversion"/>
  </si>
  <si>
    <t>同皇---8</t>
    <phoneticPr fontId="3" type="noConversion"/>
  </si>
  <si>
    <t>八亨---7</t>
    <phoneticPr fontId="3" type="noConversion"/>
  </si>
  <si>
    <t>品固SJ---5</t>
    <phoneticPr fontId="3" type="noConversion"/>
  </si>
  <si>
    <t>鉑德---7</t>
    <phoneticPr fontId="3" type="noConversion"/>
  </si>
  <si>
    <t>鎔德---2</t>
    <phoneticPr fontId="3" type="noConversion"/>
  </si>
  <si>
    <t>威視---8</t>
    <phoneticPr fontId="3" type="noConversion"/>
  </si>
  <si>
    <t>松群---6</t>
    <phoneticPr fontId="3" type="noConversion"/>
  </si>
  <si>
    <t>威倫---4</t>
    <phoneticPr fontId="3" type="noConversion"/>
  </si>
  <si>
    <t>道法---8</t>
    <phoneticPr fontId="3" type="noConversion"/>
  </si>
  <si>
    <t>八亨---8</t>
    <phoneticPr fontId="3" type="noConversion"/>
  </si>
  <si>
    <t>永馳---5</t>
    <phoneticPr fontId="3" type="noConversion"/>
  </si>
  <si>
    <t>威視---1</t>
    <phoneticPr fontId="3" type="noConversion"/>
  </si>
  <si>
    <t>喜可---4</t>
    <phoneticPr fontId="3" type="noConversion"/>
  </si>
  <si>
    <t>佳尼特---6</t>
    <phoneticPr fontId="3" type="noConversion"/>
  </si>
  <si>
    <t>旺旺達---1</t>
    <phoneticPr fontId="3" type="noConversion"/>
  </si>
  <si>
    <t>依德---3</t>
    <phoneticPr fontId="3" type="noConversion"/>
  </si>
  <si>
    <t>品固CN---4</t>
    <phoneticPr fontId="3" type="noConversion"/>
  </si>
  <si>
    <t>威視---2</t>
    <phoneticPr fontId="3" type="noConversion"/>
  </si>
  <si>
    <t>裕恆---1</t>
    <phoneticPr fontId="3" type="noConversion"/>
  </si>
  <si>
    <t>鎔德---3</t>
    <phoneticPr fontId="3" type="noConversion"/>
  </si>
  <si>
    <t>鉑德---8</t>
    <phoneticPr fontId="3" type="noConversion"/>
  </si>
  <si>
    <t>松群---7</t>
    <phoneticPr fontId="3" type="noConversion"/>
  </si>
  <si>
    <t>威視---3</t>
    <phoneticPr fontId="3" type="noConversion"/>
  </si>
  <si>
    <t>大桐---1</t>
    <phoneticPr fontId="3" type="noConversion"/>
  </si>
  <si>
    <t>威倫---5</t>
    <phoneticPr fontId="3" type="noConversion"/>
  </si>
  <si>
    <t>愛浪---1</t>
    <phoneticPr fontId="3" type="noConversion"/>
  </si>
  <si>
    <t>恩豪---3</t>
    <phoneticPr fontId="3" type="noConversion"/>
  </si>
  <si>
    <t>協億通---3</t>
    <phoneticPr fontId="3" type="noConversion"/>
  </si>
  <si>
    <t>佳尼特---7</t>
    <phoneticPr fontId="3" type="noConversion"/>
  </si>
  <si>
    <t>威視---5</t>
    <phoneticPr fontId="3" type="noConversion"/>
  </si>
  <si>
    <t>同皇---1</t>
    <phoneticPr fontId="3" type="noConversion"/>
  </si>
  <si>
    <t>裕恆---2</t>
    <phoneticPr fontId="3" type="noConversion"/>
  </si>
  <si>
    <t>祥和---8</t>
    <phoneticPr fontId="3" type="noConversion"/>
  </si>
  <si>
    <t>鎔德---4</t>
    <phoneticPr fontId="3" type="noConversion"/>
  </si>
  <si>
    <t>達翌---3</t>
    <phoneticPr fontId="3" type="noConversion"/>
  </si>
  <si>
    <t>大成---2</t>
    <phoneticPr fontId="3" type="noConversion"/>
  </si>
  <si>
    <t>太暘---1</t>
    <phoneticPr fontId="3" type="noConversion"/>
  </si>
  <si>
    <t>同皇---2</t>
    <phoneticPr fontId="3" type="noConversion"/>
  </si>
  <si>
    <t>愛浪---2</t>
    <phoneticPr fontId="3" type="noConversion"/>
  </si>
  <si>
    <t>恩豪---4</t>
    <phoneticPr fontId="3" type="noConversion"/>
  </si>
  <si>
    <t>協億通---4</t>
    <phoneticPr fontId="3" type="noConversion"/>
  </si>
  <si>
    <t>威視---7</t>
    <phoneticPr fontId="3" type="noConversion"/>
  </si>
  <si>
    <t>依德---5</t>
    <phoneticPr fontId="3" type="noConversion"/>
  </si>
  <si>
    <t>鎔德---5</t>
    <phoneticPr fontId="3" type="noConversion"/>
  </si>
  <si>
    <t>威視---9</t>
    <phoneticPr fontId="3" type="noConversion"/>
  </si>
  <si>
    <t>大桐---3</t>
    <phoneticPr fontId="3" type="noConversion"/>
  </si>
  <si>
    <t>[2017]</t>
    <phoneticPr fontId="3" type="noConversion"/>
  </si>
  <si>
    <t>QU29018152</t>
    <phoneticPr fontId="3" type="noConversion"/>
  </si>
  <si>
    <t>原價屋</t>
    <phoneticPr fontId="3" type="noConversion"/>
  </si>
  <si>
    <t>YC79721264</t>
    <phoneticPr fontId="3" type="noConversion"/>
  </si>
  <si>
    <t>PH</t>
    <phoneticPr fontId="3" type="noConversion"/>
  </si>
  <si>
    <t>QU29024273</t>
    <phoneticPr fontId="3" type="noConversion"/>
  </si>
  <si>
    <t>YC80229908</t>
    <phoneticPr fontId="3" type="noConversion"/>
  </si>
  <si>
    <t>TWNIC</t>
    <phoneticPr fontId="3" type="noConversion"/>
  </si>
  <si>
    <t>2351-8799-201712</t>
    <phoneticPr fontId="3" type="noConversion"/>
  </si>
  <si>
    <t>2351-8799-201711</t>
    <phoneticPr fontId="3" type="noConversion"/>
  </si>
  <si>
    <t>2351-8805-201711</t>
    <phoneticPr fontId="3" type="noConversion"/>
  </si>
  <si>
    <t>2351-8805-201712</t>
    <phoneticPr fontId="3" type="noConversion"/>
  </si>
  <si>
    <t>2351-8546-201711</t>
    <phoneticPr fontId="3" type="noConversion"/>
  </si>
  <si>
    <t>2351-8546-201712</t>
    <phoneticPr fontId="3" type="noConversion"/>
  </si>
  <si>
    <t>水費-201711</t>
    <phoneticPr fontId="3" type="noConversion"/>
  </si>
  <si>
    <t>電費-201711</t>
    <phoneticPr fontId="3" type="noConversion"/>
  </si>
  <si>
    <t>WX80142491</t>
    <phoneticPr fontId="3" type="noConversion"/>
  </si>
  <si>
    <t>QD29024298</t>
    <phoneticPr fontId="3" type="noConversion"/>
  </si>
  <si>
    <t>WX80547939</t>
    <phoneticPr fontId="3" type="noConversion"/>
  </si>
  <si>
    <t>電費-201709</t>
    <phoneticPr fontId="3" type="noConversion"/>
  </si>
  <si>
    <t>水費-201709</t>
    <phoneticPr fontId="3" type="noConversion"/>
  </si>
  <si>
    <t>2351-8799-201709</t>
    <phoneticPr fontId="3" type="noConversion"/>
  </si>
  <si>
    <t>2351-8799-201710</t>
    <phoneticPr fontId="3" type="noConversion"/>
  </si>
  <si>
    <t>2351-8805-201709</t>
    <phoneticPr fontId="3" type="noConversion"/>
  </si>
  <si>
    <t>2351-8805-201710</t>
    <phoneticPr fontId="3" type="noConversion"/>
  </si>
  <si>
    <t>2351-8546-201709</t>
    <phoneticPr fontId="3" type="noConversion"/>
  </si>
  <si>
    <t>2351-8546-201710</t>
    <phoneticPr fontId="3" type="noConversion"/>
  </si>
  <si>
    <t>VS79322201</t>
    <phoneticPr fontId="3" type="noConversion"/>
  </si>
  <si>
    <t>PN29020895</t>
    <phoneticPr fontId="3" type="noConversion"/>
  </si>
  <si>
    <t>VS79478582</t>
    <phoneticPr fontId="3" type="noConversion"/>
  </si>
  <si>
    <t>VS79931601</t>
    <phoneticPr fontId="3" type="noConversion"/>
  </si>
  <si>
    <t>VS80559075</t>
    <phoneticPr fontId="3" type="noConversion"/>
  </si>
  <si>
    <t>電費-201707</t>
    <phoneticPr fontId="3" type="noConversion"/>
  </si>
  <si>
    <t>水費-201707</t>
    <phoneticPr fontId="3" type="noConversion"/>
  </si>
  <si>
    <t>2351-8799-201707</t>
    <phoneticPr fontId="3" type="noConversion"/>
  </si>
  <si>
    <t>2351-8799-201708</t>
    <phoneticPr fontId="3" type="noConversion"/>
  </si>
  <si>
    <t>2351-8805-201707</t>
    <phoneticPr fontId="3" type="noConversion"/>
  </si>
  <si>
    <t>2351-8805-201708</t>
    <phoneticPr fontId="3" type="noConversion"/>
  </si>
  <si>
    <t>2351-8546-201707</t>
    <phoneticPr fontId="3" type="noConversion"/>
  </si>
  <si>
    <t>2351-8546-201708</t>
    <phoneticPr fontId="3" type="noConversion"/>
  </si>
  <si>
    <t>UM78985785</t>
    <phoneticPr fontId="3" type="noConversion"/>
  </si>
  <si>
    <t>UM79023314</t>
    <phoneticPr fontId="3" type="noConversion"/>
  </si>
  <si>
    <t>TZ49903112</t>
    <phoneticPr fontId="3" type="noConversion"/>
  </si>
  <si>
    <t>順發</t>
    <phoneticPr fontId="3" type="noConversion"/>
  </si>
  <si>
    <t>NX29019201</t>
    <phoneticPr fontId="3" type="noConversion"/>
  </si>
  <si>
    <t>UM79058545</t>
    <phoneticPr fontId="3" type="noConversion"/>
  </si>
  <si>
    <t>UM79893148</t>
    <phoneticPr fontId="3" type="noConversion"/>
  </si>
  <si>
    <t>UM79930616</t>
    <phoneticPr fontId="3" type="noConversion"/>
  </si>
  <si>
    <t>電費-201705</t>
    <phoneticPr fontId="3" type="noConversion"/>
  </si>
  <si>
    <t>水費-201705</t>
    <phoneticPr fontId="3" type="noConversion"/>
  </si>
  <si>
    <t>2351-8799-201705</t>
    <phoneticPr fontId="3" type="noConversion"/>
  </si>
  <si>
    <t>2351-8799-201706</t>
    <phoneticPr fontId="3" type="noConversion"/>
  </si>
  <si>
    <t>2351-8805-201705</t>
    <phoneticPr fontId="3" type="noConversion"/>
  </si>
  <si>
    <t>2351-8805-201706</t>
    <phoneticPr fontId="3" type="noConversion"/>
  </si>
  <si>
    <t>2351-8546-201705</t>
    <phoneticPr fontId="3" type="noConversion"/>
  </si>
  <si>
    <t>2351-8546-201706</t>
    <phoneticPr fontId="3" type="noConversion"/>
  </si>
  <si>
    <t>TG78826120</t>
    <phoneticPr fontId="3" type="noConversion"/>
  </si>
  <si>
    <t>NF21220154</t>
    <phoneticPr fontId="3" type="noConversion"/>
  </si>
  <si>
    <t>紐頓</t>
    <phoneticPr fontId="3" type="noConversion"/>
  </si>
  <si>
    <t>SU49928934</t>
    <phoneticPr fontId="3" type="noConversion"/>
  </si>
  <si>
    <t>SU49929029</t>
    <phoneticPr fontId="3" type="noConversion"/>
  </si>
  <si>
    <t>TG79525642</t>
    <phoneticPr fontId="3" type="noConversion"/>
  </si>
  <si>
    <t>NG29021422</t>
    <phoneticPr fontId="3" type="noConversion"/>
  </si>
  <si>
    <t>TG79613481</t>
    <phoneticPr fontId="3" type="noConversion"/>
  </si>
  <si>
    <t>TG79829433</t>
    <phoneticPr fontId="3" type="noConversion"/>
  </si>
  <si>
    <t>TG80119199</t>
    <phoneticPr fontId="3" type="noConversion"/>
  </si>
  <si>
    <t>TG80172217</t>
    <phoneticPr fontId="3" type="noConversion"/>
  </si>
  <si>
    <t>電費-201703</t>
    <phoneticPr fontId="3" type="noConversion"/>
  </si>
  <si>
    <t>水費-201703</t>
    <phoneticPr fontId="3" type="noConversion"/>
  </si>
  <si>
    <t>2351-8799-201702</t>
    <phoneticPr fontId="3" type="noConversion"/>
  </si>
  <si>
    <t>2351-8799-201703</t>
    <phoneticPr fontId="3" type="noConversion"/>
  </si>
  <si>
    <t>2351-8799-201704</t>
    <phoneticPr fontId="3" type="noConversion"/>
  </si>
  <si>
    <t>2351-8805-201702</t>
    <phoneticPr fontId="3" type="noConversion"/>
  </si>
  <si>
    <t>2351-8805-201703</t>
    <phoneticPr fontId="3" type="noConversion"/>
  </si>
  <si>
    <t>2351-8805-201704</t>
    <phoneticPr fontId="3" type="noConversion"/>
  </si>
  <si>
    <t>2351-8546-201702</t>
    <phoneticPr fontId="3" type="noConversion"/>
  </si>
  <si>
    <t>2351-8546-201703</t>
    <phoneticPr fontId="3" type="noConversion"/>
  </si>
  <si>
    <t>2351-8546-201704</t>
    <phoneticPr fontId="3" type="noConversion"/>
  </si>
  <si>
    <t>SB79922444</t>
    <phoneticPr fontId="3" type="noConversion"/>
  </si>
  <si>
    <t>SB89671457</t>
    <phoneticPr fontId="3" type="noConversion"/>
  </si>
  <si>
    <t>東森</t>
    <phoneticPr fontId="3" type="noConversion"/>
  </si>
  <si>
    <t>SB89671458</t>
    <phoneticPr fontId="3" type="noConversion"/>
  </si>
  <si>
    <t>SB89671459</t>
    <phoneticPr fontId="3" type="noConversion"/>
  </si>
  <si>
    <t>SKYPE</t>
    <phoneticPr fontId="3" type="noConversion"/>
  </si>
  <si>
    <t>電費-201701</t>
    <phoneticPr fontId="3" type="noConversion"/>
  </si>
  <si>
    <t>水費-201701</t>
    <phoneticPr fontId="3" type="noConversion"/>
  </si>
  <si>
    <t>2351-8799-201701</t>
    <phoneticPr fontId="3" type="noConversion"/>
  </si>
  <si>
    <t>2351-8805-201701</t>
    <phoneticPr fontId="3" type="noConversion"/>
  </si>
  <si>
    <t>2351-8546-201701</t>
    <phoneticPr fontId="3" type="noConversion"/>
  </si>
  <si>
    <t>207/2/6</t>
    <phoneticPr fontId="3" type="noConversion"/>
  </si>
  <si>
    <t>106.01 卡費</t>
    <phoneticPr fontId="3" type="noConversion"/>
  </si>
  <si>
    <t>207/3/9</t>
    <phoneticPr fontId="3" type="noConversion"/>
  </si>
  <si>
    <t>106.02 卡費</t>
    <phoneticPr fontId="3" type="noConversion"/>
  </si>
  <si>
    <t>2017/412</t>
    <phoneticPr fontId="3" type="noConversion"/>
  </si>
  <si>
    <r>
      <t>106</t>
    </r>
    <r>
      <rPr>
        <sz val="12"/>
        <rFont val="新細明體"/>
        <family val="1"/>
        <charset val="136"/>
      </rPr>
      <t>.05 卡費</t>
    </r>
    <phoneticPr fontId="3" type="noConversion"/>
  </si>
  <si>
    <r>
      <t>106</t>
    </r>
    <r>
      <rPr>
        <sz val="12"/>
        <rFont val="新細明體"/>
        <family val="1"/>
        <charset val="136"/>
      </rPr>
      <t>.04 卡費</t>
    </r>
    <phoneticPr fontId="3" type="noConversion"/>
  </si>
  <si>
    <r>
      <t>106</t>
    </r>
    <r>
      <rPr>
        <sz val="12"/>
        <rFont val="新細明體"/>
        <family val="1"/>
        <charset val="136"/>
      </rPr>
      <t>.06 卡費</t>
    </r>
    <phoneticPr fontId="3" type="noConversion"/>
  </si>
  <si>
    <r>
      <t>106</t>
    </r>
    <r>
      <rPr>
        <sz val="12"/>
        <rFont val="新細明體"/>
        <family val="1"/>
        <charset val="136"/>
      </rPr>
      <t>.03 卡費</t>
    </r>
    <phoneticPr fontId="3" type="noConversion"/>
  </si>
  <si>
    <t>2017/510</t>
    <phoneticPr fontId="3" type="noConversion"/>
  </si>
  <si>
    <t>106.07 卡費</t>
    <phoneticPr fontId="3" type="noConversion"/>
  </si>
  <si>
    <t>106.09 卡費</t>
    <phoneticPr fontId="3" type="noConversion"/>
  </si>
  <si>
    <t>106.08 卡費</t>
    <phoneticPr fontId="3" type="noConversion"/>
  </si>
  <si>
    <t>106.11 卡費</t>
    <phoneticPr fontId="3" type="noConversion"/>
  </si>
  <si>
    <t>106.12 卡費(玉山未還)</t>
    <phoneticPr fontId="3" type="noConversion"/>
  </si>
  <si>
    <r>
      <t>2017</t>
    </r>
    <r>
      <rPr>
        <sz val="12"/>
        <rFont val="新細明體"/>
        <family val="1"/>
        <charset val="136"/>
      </rPr>
      <t>進項</t>
    </r>
    <phoneticPr fontId="3" type="noConversion"/>
  </si>
  <si>
    <t>2017年收票</t>
    <phoneticPr fontId="3" type="noConversion"/>
  </si>
  <si>
    <t>2017年開出發票</t>
    <phoneticPr fontId="3" type="noConversion"/>
  </si>
  <si>
    <t>MP27105450</t>
    <phoneticPr fontId="3" type="noConversion"/>
  </si>
  <si>
    <t>MP27105451</t>
  </si>
  <si>
    <t>MP27105452</t>
  </si>
  <si>
    <t>MP27105453</t>
  </si>
  <si>
    <t>MP27105454</t>
  </si>
  <si>
    <t>MP27105455</t>
  </si>
  <si>
    <t>MP27105456</t>
  </si>
  <si>
    <t>MP27105457</t>
  </si>
  <si>
    <t>MP27105458</t>
  </si>
  <si>
    <t>MP27105459</t>
  </si>
  <si>
    <t>MP27105460</t>
  </si>
  <si>
    <t>MP27105461</t>
  </si>
  <si>
    <t>協億通</t>
    <phoneticPr fontId="3" type="noConversion"/>
  </si>
  <si>
    <t>12946360</t>
    <phoneticPr fontId="3" type="noConversion"/>
  </si>
  <si>
    <t>NE27031150</t>
    <phoneticPr fontId="3" type="noConversion"/>
  </si>
  <si>
    <t>NE27031151</t>
  </si>
  <si>
    <t>NE27031152</t>
  </si>
  <si>
    <t>達翌</t>
    <phoneticPr fontId="3" type="noConversion"/>
  </si>
  <si>
    <t>NE27031153</t>
  </si>
  <si>
    <t>元超</t>
    <phoneticPr fontId="3" type="noConversion"/>
  </si>
  <si>
    <t>NE27031154</t>
  </si>
  <si>
    <t>NE27031155</t>
  </si>
  <si>
    <t>雙安</t>
    <phoneticPr fontId="3" type="noConversion"/>
  </si>
  <si>
    <t>NE27031156</t>
  </si>
  <si>
    <t>NE27031157</t>
  </si>
  <si>
    <t>NE27031158</t>
  </si>
  <si>
    <t>NE27031159</t>
  </si>
  <si>
    <t>NE27031160</t>
  </si>
  <si>
    <t>NE27031161</t>
  </si>
  <si>
    <t>宇陽</t>
    <phoneticPr fontId="3" type="noConversion"/>
  </si>
  <si>
    <t>27355335</t>
    <phoneticPr fontId="3" type="noConversion"/>
  </si>
  <si>
    <t>12946185</t>
    <phoneticPr fontId="3" type="noConversion"/>
  </si>
  <si>
    <t>04427533</t>
    <phoneticPr fontId="3" type="noConversion"/>
  </si>
  <si>
    <t>22909456</t>
    <phoneticPr fontId="3" type="noConversion"/>
  </si>
  <si>
    <t>27847682</t>
    <phoneticPr fontId="3" type="noConversion"/>
  </si>
  <si>
    <t>NV27061600</t>
    <phoneticPr fontId="3" type="noConversion"/>
  </si>
  <si>
    <t>大桐</t>
    <phoneticPr fontId="3" type="noConversion"/>
  </si>
  <si>
    <t>NV27061601</t>
  </si>
  <si>
    <t>NV27061602</t>
  </si>
  <si>
    <t>NV27061603</t>
  </si>
  <si>
    <t>NV27061604</t>
  </si>
  <si>
    <t>NV27061605</t>
  </si>
  <si>
    <t>NV27061606</t>
  </si>
  <si>
    <t>NV27061607</t>
  </si>
  <si>
    <t>NV27061608</t>
  </si>
  <si>
    <t>作廢</t>
    <phoneticPr fontId="3" type="noConversion"/>
  </si>
  <si>
    <t>NV27061609</t>
  </si>
  <si>
    <t>NV27061610</t>
  </si>
  <si>
    <t>NV27061611</t>
    <phoneticPr fontId="3" type="noConversion"/>
  </si>
  <si>
    <t>NV27061612</t>
  </si>
  <si>
    <t>43871955</t>
    <phoneticPr fontId="3" type="noConversion"/>
  </si>
  <si>
    <t>PL26935000</t>
    <phoneticPr fontId="3" type="noConversion"/>
  </si>
  <si>
    <t>PL26935001</t>
  </si>
  <si>
    <t>PL26935002</t>
  </si>
  <si>
    <t>PL26935003</t>
  </si>
  <si>
    <t>PL26935004</t>
  </si>
  <si>
    <t>PL26935005</t>
  </si>
  <si>
    <t>PL26935006</t>
  </si>
  <si>
    <t>PL26935007</t>
  </si>
  <si>
    <t>PL26935008</t>
  </si>
  <si>
    <t>PL26935009</t>
  </si>
  <si>
    <t>PL26935010</t>
  </si>
  <si>
    <t>PL26935011</t>
  </si>
  <si>
    <t>永昌(泰聯)</t>
    <phoneticPr fontId="3" type="noConversion"/>
  </si>
  <si>
    <t>PL26935012</t>
  </si>
  <si>
    <t>QB27037400</t>
    <phoneticPr fontId="3" type="noConversion"/>
  </si>
  <si>
    <t>QB27037401</t>
  </si>
  <si>
    <t>QB27037402</t>
  </si>
  <si>
    <t>QB27037403</t>
  </si>
  <si>
    <t>QB27037404</t>
  </si>
  <si>
    <t>QB27037405</t>
  </si>
  <si>
    <t>QB27037406</t>
  </si>
  <si>
    <t>QS27220900</t>
    <phoneticPr fontId="3" type="noConversion"/>
  </si>
  <si>
    <t>QS27220901</t>
  </si>
  <si>
    <t>QS27220902</t>
  </si>
  <si>
    <t>QS27220903</t>
  </si>
  <si>
    <t>QS27220904</t>
  </si>
  <si>
    <t>QS27220905</t>
  </si>
  <si>
    <t>QS27220906</t>
  </si>
  <si>
    <t>QS27220907</t>
  </si>
  <si>
    <t>QS27220908</t>
  </si>
  <si>
    <t>QS27220909</t>
  </si>
  <si>
    <t>QS27220910</t>
  </si>
  <si>
    <t>QS27220911</t>
  </si>
  <si>
    <t>QS27220912</t>
  </si>
  <si>
    <t>QS27220913</t>
  </si>
  <si>
    <t>QS27220914</t>
  </si>
  <si>
    <t>REGISTER</t>
    <phoneticPr fontId="3" type="noConversion"/>
  </si>
  <si>
    <t>106.10 卡費</t>
    <phoneticPr fontId="3" type="noConversion"/>
  </si>
  <si>
    <t>2017.02.10</t>
    <phoneticPr fontId="3" type="noConversion"/>
  </si>
  <si>
    <t>2017.06.09</t>
    <phoneticPr fontId="3" type="noConversion"/>
  </si>
  <si>
    <t>2017.10.11</t>
    <phoneticPr fontId="3" type="noConversion"/>
  </si>
  <si>
    <t>1,2,3,4</t>
    <phoneticPr fontId="3" type="noConversion"/>
  </si>
  <si>
    <t>2016.08.15,2016.11.08,2017.01.04,2017.03.10</t>
    <phoneticPr fontId="3" type="noConversion"/>
  </si>
  <si>
    <t>2017.04.17</t>
    <phoneticPr fontId="3" type="noConversion"/>
  </si>
  <si>
    <t>2017.07.25</t>
    <phoneticPr fontId="3" type="noConversion"/>
  </si>
  <si>
    <t>2017.08.11</t>
    <phoneticPr fontId="3" type="noConversion"/>
  </si>
  <si>
    <r>
      <t>5</t>
    </r>
    <r>
      <rPr>
        <sz val="12"/>
        <rFont val="新細明體"/>
        <family val="1"/>
        <charset val="136"/>
      </rPr>
      <t>,6,7,8</t>
    </r>
    <phoneticPr fontId="3" type="noConversion"/>
  </si>
  <si>
    <t>2017.08.22</t>
    <phoneticPr fontId="3" type="noConversion"/>
  </si>
  <si>
    <r>
      <t>2</t>
    </r>
    <r>
      <rPr>
        <sz val="12"/>
        <rFont val="新細明體"/>
        <family val="1"/>
        <charset val="136"/>
      </rPr>
      <t>017.09.05</t>
    </r>
    <phoneticPr fontId="3" type="noConversion"/>
  </si>
  <si>
    <r>
      <t>2</t>
    </r>
    <r>
      <rPr>
        <sz val="12"/>
        <rFont val="新細明體"/>
        <family val="1"/>
        <charset val="136"/>
      </rPr>
      <t>017.01.25</t>
    </r>
    <phoneticPr fontId="3" type="noConversion"/>
  </si>
  <si>
    <r>
      <t>2</t>
    </r>
    <r>
      <rPr>
        <sz val="12"/>
        <rFont val="新細明體"/>
        <family val="1"/>
        <charset val="136"/>
      </rPr>
      <t>017.02.10</t>
    </r>
    <phoneticPr fontId="3" type="noConversion"/>
  </si>
  <si>
    <r>
      <t>2</t>
    </r>
    <r>
      <rPr>
        <sz val="12"/>
        <rFont val="新細明體"/>
        <family val="1"/>
        <charset val="136"/>
      </rPr>
      <t>017.02.15</t>
    </r>
    <phoneticPr fontId="3" type="noConversion"/>
  </si>
  <si>
    <r>
      <t>2</t>
    </r>
    <r>
      <rPr>
        <sz val="12"/>
        <rFont val="新細明體"/>
        <family val="1"/>
        <charset val="136"/>
      </rPr>
      <t>017.04.17</t>
    </r>
    <phoneticPr fontId="3" type="noConversion"/>
  </si>
  <si>
    <r>
      <t>2</t>
    </r>
    <r>
      <rPr>
        <sz val="12"/>
        <rFont val="新細明體"/>
        <family val="1"/>
        <charset val="136"/>
      </rPr>
      <t>017.04.25</t>
    </r>
    <phoneticPr fontId="3" type="noConversion"/>
  </si>
  <si>
    <r>
      <t>2</t>
    </r>
    <r>
      <rPr>
        <sz val="12"/>
        <rFont val="新細明體"/>
        <family val="1"/>
        <charset val="136"/>
      </rPr>
      <t>017.06.09</t>
    </r>
    <phoneticPr fontId="3" type="noConversion"/>
  </si>
  <si>
    <r>
      <t>2</t>
    </r>
    <r>
      <rPr>
        <sz val="12"/>
        <rFont val="新細明體"/>
        <family val="1"/>
        <charset val="136"/>
      </rPr>
      <t>017.07.25</t>
    </r>
    <phoneticPr fontId="3" type="noConversion"/>
  </si>
  <si>
    <r>
      <t>2</t>
    </r>
    <r>
      <rPr>
        <sz val="12"/>
        <rFont val="新細明體"/>
        <family val="1"/>
        <charset val="136"/>
      </rPr>
      <t>017.08.11</t>
    </r>
    <phoneticPr fontId="3" type="noConversion"/>
  </si>
  <si>
    <r>
      <t>2</t>
    </r>
    <r>
      <rPr>
        <sz val="12"/>
        <rFont val="新細明體"/>
        <family val="1"/>
        <charset val="136"/>
      </rPr>
      <t>017.08.22</t>
    </r>
    <phoneticPr fontId="3" type="noConversion"/>
  </si>
  <si>
    <t>2017.09.05</t>
    <phoneticPr fontId="3" type="noConversion"/>
  </si>
  <si>
    <r>
      <t>2</t>
    </r>
    <r>
      <rPr>
        <sz val="12"/>
        <rFont val="新細明體"/>
        <family val="1"/>
        <charset val="136"/>
      </rPr>
      <t>017.10.11</t>
    </r>
    <phoneticPr fontId="3" type="noConversion"/>
  </si>
  <si>
    <r>
      <t>2</t>
    </r>
    <r>
      <rPr>
        <sz val="12"/>
        <rFont val="新細明體"/>
        <family val="1"/>
        <charset val="136"/>
      </rPr>
      <t>017.09.12</t>
    </r>
    <phoneticPr fontId="3" type="noConversion"/>
  </si>
  <si>
    <t>2017.09.12</t>
    <phoneticPr fontId="3" type="noConversion"/>
  </si>
  <si>
    <t>2017.10.13</t>
    <phoneticPr fontId="3" type="noConversion"/>
  </si>
  <si>
    <t>發票二年,2季支票餘每月匯款</t>
    <phoneticPr fontId="3" type="noConversion"/>
  </si>
  <si>
    <t>2017.10.25</t>
    <phoneticPr fontId="3" type="noConversion"/>
  </si>
  <si>
    <t>2017.11.10</t>
    <phoneticPr fontId="3" type="noConversion"/>
  </si>
  <si>
    <t>2017.12.06</t>
    <phoneticPr fontId="3" type="noConversion"/>
  </si>
  <si>
    <t>2017.12.11</t>
    <phoneticPr fontId="3" type="noConversion"/>
  </si>
  <si>
    <t>鎔德軟維</t>
    <phoneticPr fontId="3" type="noConversion"/>
  </si>
  <si>
    <t>2017.12.08</t>
    <phoneticPr fontId="3" type="noConversion"/>
  </si>
  <si>
    <t>2017.12.14</t>
    <phoneticPr fontId="3" type="noConversion"/>
  </si>
  <si>
    <t>2017.01.03</t>
    <phoneticPr fontId="3" type="noConversion"/>
  </si>
  <si>
    <t>單次維護</t>
    <phoneticPr fontId="3" type="noConversion"/>
  </si>
  <si>
    <t>2017.01.10</t>
    <phoneticPr fontId="3" type="noConversion"/>
  </si>
  <si>
    <t>CA5867414</t>
    <phoneticPr fontId="3" type="noConversion"/>
  </si>
  <si>
    <t>2017.01.13</t>
    <phoneticPr fontId="3" type="noConversion"/>
  </si>
  <si>
    <t>2017.01.16</t>
    <phoneticPr fontId="3" type="noConversion"/>
  </si>
  <si>
    <t>CA5867415</t>
  </si>
  <si>
    <t>CA5867416</t>
  </si>
  <si>
    <t>CA5867417</t>
  </si>
  <si>
    <t>2017.07.10</t>
    <phoneticPr fontId="3" type="noConversion"/>
  </si>
  <si>
    <t>2017.10.10</t>
    <phoneticPr fontId="3" type="noConversion"/>
  </si>
  <si>
    <t>CN0272171</t>
    <phoneticPr fontId="3" type="noConversion"/>
  </si>
  <si>
    <t>CN0272172</t>
  </si>
  <si>
    <t>CN0272173</t>
  </si>
  <si>
    <t>CN0272174</t>
  </si>
  <si>
    <t>CN0272175</t>
  </si>
  <si>
    <t>CN0272176</t>
  </si>
  <si>
    <t>CN0272177</t>
  </si>
  <si>
    <t>CN0272178</t>
  </si>
  <si>
    <t>2018.10.10</t>
    <phoneticPr fontId="3" type="noConversion"/>
  </si>
  <si>
    <t>2018.07.10</t>
    <phoneticPr fontId="3" type="noConversion"/>
  </si>
  <si>
    <t>2018.04.10</t>
    <phoneticPr fontId="3" type="noConversion"/>
  </si>
  <si>
    <t>2018.01.10</t>
    <phoneticPr fontId="3" type="noConversion"/>
  </si>
  <si>
    <t>2017.02.03</t>
    <phoneticPr fontId="3" type="noConversion"/>
  </si>
  <si>
    <t>2016.11.03</t>
    <phoneticPr fontId="3" type="noConversion"/>
  </si>
  <si>
    <t>2017.02.18</t>
    <phoneticPr fontId="3" type="noConversion"/>
  </si>
  <si>
    <t>城乙</t>
    <phoneticPr fontId="3" type="noConversion"/>
  </si>
  <si>
    <t>GA0076487</t>
    <phoneticPr fontId="3" type="noConversion"/>
  </si>
  <si>
    <t>GA0076488</t>
  </si>
  <si>
    <t>2017.03.2</t>
    <phoneticPr fontId="3" type="noConversion"/>
  </si>
  <si>
    <t>MD1765274</t>
    <phoneticPr fontId="3" type="noConversion"/>
  </si>
  <si>
    <t>2018.11.25</t>
    <phoneticPr fontId="3" type="noConversion"/>
  </si>
  <si>
    <t>MD1765275</t>
  </si>
  <si>
    <t>MD1765276</t>
  </si>
  <si>
    <t>MD1765277</t>
  </si>
  <si>
    <t>MD1765278</t>
  </si>
  <si>
    <t>MD1765279</t>
  </si>
  <si>
    <t>MD1765280</t>
  </si>
  <si>
    <t>MD1765281</t>
  </si>
  <si>
    <t>2017.03.27</t>
    <phoneticPr fontId="3" type="noConversion"/>
  </si>
  <si>
    <t>BA4811951</t>
    <phoneticPr fontId="3" type="noConversion"/>
  </si>
  <si>
    <t>2017.03.31</t>
    <phoneticPr fontId="3" type="noConversion"/>
  </si>
  <si>
    <t>BA4811952</t>
  </si>
  <si>
    <t>BA4811953</t>
  </si>
  <si>
    <t>BA4811954</t>
  </si>
  <si>
    <t>BA4811955</t>
  </si>
  <si>
    <t>BA4811956</t>
  </si>
  <si>
    <t>BA4811957</t>
  </si>
  <si>
    <t>BA4811958</t>
  </si>
  <si>
    <t>2017.09.30</t>
    <phoneticPr fontId="3" type="noConversion"/>
  </si>
  <si>
    <t>2018.03.31</t>
    <phoneticPr fontId="3" type="noConversion"/>
  </si>
  <si>
    <t>2018.09.30</t>
    <phoneticPr fontId="3" type="noConversion"/>
  </si>
  <si>
    <t>2018.12.31</t>
    <phoneticPr fontId="3" type="noConversion"/>
  </si>
  <si>
    <t>2018.05.31</t>
    <phoneticPr fontId="3" type="noConversion"/>
  </si>
  <si>
    <t>2018.08.31</t>
    <phoneticPr fontId="3" type="noConversion"/>
  </si>
  <si>
    <t>2018.11.30</t>
    <phoneticPr fontId="3" type="noConversion"/>
  </si>
  <si>
    <t>2017.03.28</t>
    <phoneticPr fontId="3" type="noConversion"/>
  </si>
  <si>
    <t>JD9421170</t>
    <phoneticPr fontId="3" type="noConversion"/>
  </si>
  <si>
    <t>20170.4.10</t>
    <phoneticPr fontId="3" type="noConversion"/>
  </si>
  <si>
    <t>GF1296647</t>
    <phoneticPr fontId="3" type="noConversion"/>
  </si>
  <si>
    <t>GF1296648</t>
  </si>
  <si>
    <t>GF1296649</t>
  </si>
  <si>
    <t>GF1296650</t>
  </si>
  <si>
    <t>GF1296651</t>
  </si>
  <si>
    <t>GF1296652</t>
  </si>
  <si>
    <t>GF1296653</t>
  </si>
  <si>
    <t>GF1296654</t>
  </si>
  <si>
    <t>2017.07.20</t>
    <phoneticPr fontId="3" type="noConversion"/>
  </si>
  <si>
    <t>2017.10.20</t>
    <phoneticPr fontId="3" type="noConversion"/>
  </si>
  <si>
    <t>2018.01.20</t>
    <phoneticPr fontId="3" type="noConversion"/>
  </si>
  <si>
    <t>2018.04.20</t>
    <phoneticPr fontId="3" type="noConversion"/>
  </si>
  <si>
    <t>2018.07.20</t>
    <phoneticPr fontId="3" type="noConversion"/>
  </si>
  <si>
    <t>2018.10.20</t>
    <phoneticPr fontId="3" type="noConversion"/>
  </si>
  <si>
    <t>2019.01.20</t>
    <phoneticPr fontId="3" type="noConversion"/>
  </si>
  <si>
    <t>UW2011299</t>
    <phoneticPr fontId="3" type="noConversion"/>
  </si>
  <si>
    <t>2017.04.18</t>
    <phoneticPr fontId="3" type="noConversion"/>
  </si>
  <si>
    <t>UW2011300</t>
  </si>
  <si>
    <t>UW2011301</t>
  </si>
  <si>
    <t>UW2011302</t>
  </si>
  <si>
    <t>UW2011303</t>
  </si>
  <si>
    <t>UW2011304</t>
  </si>
  <si>
    <t>2017.08.10</t>
    <phoneticPr fontId="3" type="noConversion"/>
  </si>
  <si>
    <t>1-6,7,8,9</t>
    <phoneticPr fontId="3" type="noConversion"/>
  </si>
  <si>
    <t>鴻碩</t>
    <phoneticPr fontId="3" type="noConversion"/>
  </si>
  <si>
    <t>HS0570820</t>
    <phoneticPr fontId="3" type="noConversion"/>
  </si>
  <si>
    <t>HS0570821</t>
  </si>
  <si>
    <t>HS0570814</t>
    <phoneticPr fontId="3" type="noConversion"/>
  </si>
  <si>
    <t>HS0570815</t>
  </si>
  <si>
    <t>HS0570816</t>
  </si>
  <si>
    <t>HS0570817</t>
  </si>
  <si>
    <t>HS0570818</t>
  </si>
  <si>
    <t>HS0570819</t>
  </si>
  <si>
    <t>2018.01.31</t>
    <phoneticPr fontId="3" type="noConversion"/>
  </si>
  <si>
    <t>2018.07.31</t>
    <phoneticPr fontId="3" type="noConversion"/>
  </si>
  <si>
    <t>2018.10.31</t>
    <phoneticPr fontId="3" type="noConversion"/>
  </si>
  <si>
    <t>2019.01.31</t>
    <phoneticPr fontId="3" type="noConversion"/>
  </si>
  <si>
    <t>2017.04.19</t>
    <phoneticPr fontId="3" type="noConversion"/>
  </si>
  <si>
    <t>FD2053386</t>
    <phoneticPr fontId="3" type="noConversion"/>
  </si>
  <si>
    <t>FD2053387</t>
  </si>
  <si>
    <t>FD2053388</t>
  </si>
  <si>
    <t>FD2053389</t>
  </si>
  <si>
    <t>FD2053390</t>
  </si>
  <si>
    <t>FD2053391</t>
  </si>
  <si>
    <t>FD2053392</t>
  </si>
  <si>
    <t>FD2053393</t>
  </si>
  <si>
    <t>2018.07.30</t>
    <phoneticPr fontId="3" type="noConversion"/>
  </si>
  <si>
    <t>2018.10.30</t>
    <phoneticPr fontId="3" type="noConversion"/>
  </si>
  <si>
    <t>2019.01.30</t>
    <phoneticPr fontId="3" type="noConversion"/>
  </si>
  <si>
    <t>2017.04.26</t>
    <phoneticPr fontId="3" type="noConversion"/>
  </si>
  <si>
    <t>JA4780704</t>
    <phoneticPr fontId="3" type="noConversion"/>
  </si>
  <si>
    <t>2017.05.18</t>
    <phoneticPr fontId="3" type="noConversion"/>
  </si>
  <si>
    <t>JA4780705</t>
  </si>
  <si>
    <t>JA4780707</t>
    <phoneticPr fontId="3" type="noConversion"/>
  </si>
  <si>
    <t>2017.08.18</t>
    <phoneticPr fontId="3" type="noConversion"/>
  </si>
  <si>
    <t>2017.11.18</t>
    <phoneticPr fontId="3" type="noConversion"/>
  </si>
  <si>
    <t>JA4780708</t>
  </si>
  <si>
    <t>JA4780709</t>
  </si>
  <si>
    <t>JA4780710</t>
  </si>
  <si>
    <t>JA4780711</t>
  </si>
  <si>
    <t>JA4780712</t>
  </si>
  <si>
    <t>2018.02.18</t>
    <phoneticPr fontId="3" type="noConversion"/>
  </si>
  <si>
    <t>2018.05.18</t>
    <phoneticPr fontId="3" type="noConversion"/>
  </si>
  <si>
    <t>2018.08.18</t>
    <phoneticPr fontId="3" type="noConversion"/>
  </si>
  <si>
    <t>2018.11.18</t>
    <phoneticPr fontId="3" type="noConversion"/>
  </si>
  <si>
    <t>2017.04.14</t>
    <phoneticPr fontId="3" type="noConversion"/>
  </si>
  <si>
    <t>HA0809195</t>
    <phoneticPr fontId="3" type="noConversion"/>
  </si>
  <si>
    <t>2017.05.01</t>
    <phoneticPr fontId="3" type="noConversion"/>
  </si>
  <si>
    <t>HA0809196</t>
  </si>
  <si>
    <t>HA0809197</t>
  </si>
  <si>
    <t>HA0809198</t>
  </si>
  <si>
    <t>HA0809199</t>
  </si>
  <si>
    <t>HA0809200</t>
  </si>
  <si>
    <t>HA0809201</t>
  </si>
  <si>
    <t>HA0809202</t>
  </si>
  <si>
    <t>2017.08.01</t>
    <phoneticPr fontId="3" type="noConversion"/>
  </si>
  <si>
    <t>2017.11.01</t>
    <phoneticPr fontId="3" type="noConversion"/>
  </si>
  <si>
    <t>2018.02.01</t>
    <phoneticPr fontId="3" type="noConversion"/>
  </si>
  <si>
    <t>2018.05.01</t>
    <phoneticPr fontId="3" type="noConversion"/>
  </si>
  <si>
    <t>2018.08.01</t>
    <phoneticPr fontId="3" type="noConversion"/>
  </si>
  <si>
    <t>2018.11.01</t>
    <phoneticPr fontId="3" type="noConversion"/>
  </si>
  <si>
    <t>2019.02.01</t>
    <phoneticPr fontId="3" type="noConversion"/>
  </si>
  <si>
    <t>2017.04.7票到8張,稅金給現金$4320</t>
  </si>
  <si>
    <t>2017.05.22</t>
    <phoneticPr fontId="3" type="noConversion"/>
  </si>
  <si>
    <t>JA2858199</t>
    <phoneticPr fontId="3" type="noConversion"/>
  </si>
  <si>
    <t>JA2858200</t>
  </si>
  <si>
    <t>JA2884901</t>
    <phoneticPr fontId="3" type="noConversion"/>
  </si>
  <si>
    <t>2017.11.15</t>
    <phoneticPr fontId="3" type="noConversion"/>
  </si>
  <si>
    <t>JA2884902</t>
  </si>
  <si>
    <t>JA2884903</t>
  </si>
  <si>
    <t>JA2884904</t>
  </si>
  <si>
    <t>JA2884905</t>
  </si>
  <si>
    <t>JA2884906</t>
  </si>
  <si>
    <t>2018.02.15</t>
    <phoneticPr fontId="3" type="noConversion"/>
  </si>
  <si>
    <t>2018.05.15</t>
    <phoneticPr fontId="3" type="noConversion"/>
  </si>
  <si>
    <t>2018.08.15</t>
    <phoneticPr fontId="3" type="noConversion"/>
  </si>
  <si>
    <t>2018.11.15</t>
    <phoneticPr fontId="3" type="noConversion"/>
  </si>
  <si>
    <t>2019.02.15</t>
    <phoneticPr fontId="3" type="noConversion"/>
  </si>
  <si>
    <t>2017.05.25</t>
  </si>
  <si>
    <t>ND7383239</t>
    <phoneticPr fontId="3" type="noConversion"/>
  </si>
  <si>
    <t>2017.06.05</t>
    <phoneticPr fontId="3" type="noConversion"/>
  </si>
  <si>
    <t>2017.06.06</t>
    <phoneticPr fontId="3" type="noConversion"/>
  </si>
  <si>
    <t>ND7383240</t>
  </si>
  <si>
    <t>ND7383241</t>
  </si>
  <si>
    <t>ND7383242</t>
  </si>
  <si>
    <t>ND7383244</t>
    <phoneticPr fontId="3" type="noConversion"/>
  </si>
  <si>
    <t>ND7383245</t>
  </si>
  <si>
    <t>ND7383246</t>
  </si>
  <si>
    <t>ND7383247</t>
  </si>
  <si>
    <t>2017.11.31</t>
    <phoneticPr fontId="3" type="noConversion"/>
  </si>
  <si>
    <t>2019.02.28</t>
    <phoneticPr fontId="3" type="noConversion"/>
  </si>
  <si>
    <t>2018.11.31</t>
    <phoneticPr fontId="3" type="noConversion"/>
  </si>
  <si>
    <t>2017.06.12</t>
    <phoneticPr fontId="3" type="noConversion"/>
  </si>
  <si>
    <t>2017.06.14</t>
    <phoneticPr fontId="3" type="noConversion"/>
  </si>
  <si>
    <t>PTA1003283</t>
    <phoneticPr fontId="3" type="noConversion"/>
  </si>
  <si>
    <t>2017.06.15</t>
    <phoneticPr fontId="3" type="noConversion"/>
  </si>
  <si>
    <t>2017.06.13</t>
    <phoneticPr fontId="3" type="noConversion"/>
  </si>
  <si>
    <t>PTA1003282</t>
    <phoneticPr fontId="3" type="noConversion"/>
  </si>
  <si>
    <t>車源首次款</t>
    <phoneticPr fontId="3" type="noConversion"/>
  </si>
  <si>
    <t>PTA1003284</t>
  </si>
  <si>
    <t>PTA1003285</t>
  </si>
  <si>
    <t>PTA1003286</t>
  </si>
  <si>
    <t>PTA1003287</t>
  </si>
  <si>
    <t>PTA1003288</t>
  </si>
  <si>
    <t>PTA1003289</t>
  </si>
  <si>
    <t>PTA1003290</t>
  </si>
  <si>
    <t>2017.09.15</t>
    <phoneticPr fontId="3" type="noConversion"/>
  </si>
  <si>
    <t>2017.12.15</t>
    <phoneticPr fontId="3" type="noConversion"/>
  </si>
  <si>
    <t>2018.03.15</t>
    <phoneticPr fontId="3" type="noConversion"/>
  </si>
  <si>
    <t>2018.06.15</t>
    <phoneticPr fontId="3" type="noConversion"/>
  </si>
  <si>
    <t>2018.09.15</t>
    <phoneticPr fontId="3" type="noConversion"/>
  </si>
  <si>
    <t>2018.12.15</t>
    <phoneticPr fontId="3" type="noConversion"/>
  </si>
  <si>
    <t>2019.03.15</t>
    <phoneticPr fontId="3" type="noConversion"/>
  </si>
  <si>
    <t>2017.06.28</t>
    <phoneticPr fontId="3" type="noConversion"/>
  </si>
  <si>
    <t>ND7096466</t>
    <phoneticPr fontId="3" type="noConversion"/>
  </si>
  <si>
    <t>2017.07.03</t>
    <phoneticPr fontId="3" type="noConversion"/>
  </si>
  <si>
    <t>2017.07.04</t>
    <phoneticPr fontId="3" type="noConversion"/>
  </si>
  <si>
    <t>ND7096467</t>
  </si>
  <si>
    <t>ND7096468</t>
  </si>
  <si>
    <t>ND7096469</t>
  </si>
  <si>
    <t>ND7096470</t>
  </si>
  <si>
    <t>ND7096471</t>
  </si>
  <si>
    <t>ND7096472</t>
  </si>
  <si>
    <t>ND7096473</t>
  </si>
  <si>
    <t>2017.06.26</t>
    <phoneticPr fontId="3" type="noConversion"/>
  </si>
  <si>
    <t>JD9422059</t>
    <phoneticPr fontId="3" type="noConversion"/>
  </si>
  <si>
    <t>2017.08.07</t>
    <phoneticPr fontId="3" type="noConversion"/>
  </si>
  <si>
    <t>2017.08.08</t>
    <phoneticPr fontId="3" type="noConversion"/>
  </si>
  <si>
    <t>2017.08.21</t>
    <phoneticPr fontId="3" type="noConversion"/>
  </si>
  <si>
    <t>2017.08.30</t>
    <phoneticPr fontId="3" type="noConversion"/>
  </si>
  <si>
    <t>GN6646341</t>
    <phoneticPr fontId="3" type="noConversion"/>
  </si>
  <si>
    <t>2017.09.07</t>
    <phoneticPr fontId="3" type="noConversion"/>
  </si>
  <si>
    <t>2017.09.08</t>
    <phoneticPr fontId="3" type="noConversion"/>
  </si>
  <si>
    <t>2017.10.01</t>
    <phoneticPr fontId="3" type="noConversion"/>
  </si>
  <si>
    <t>2018.01.01</t>
    <phoneticPr fontId="3" type="noConversion"/>
  </si>
  <si>
    <t>2018.04.01</t>
    <phoneticPr fontId="3" type="noConversion"/>
  </si>
  <si>
    <t>2018.07.01</t>
    <phoneticPr fontId="3" type="noConversion"/>
  </si>
  <si>
    <t>GN6646342</t>
  </si>
  <si>
    <t>GN6646343</t>
  </si>
  <si>
    <t>GN6646344</t>
  </si>
  <si>
    <t>GN6646345</t>
  </si>
  <si>
    <t>GN6646346</t>
  </si>
  <si>
    <t>GN6646347</t>
  </si>
  <si>
    <t>GN6646348</t>
  </si>
  <si>
    <t>GN6646349</t>
  </si>
  <si>
    <t>GN6646350</t>
  </si>
  <si>
    <t>GN6646351</t>
  </si>
  <si>
    <t>GN6646352</t>
  </si>
  <si>
    <t>1-12</t>
    <phoneticPr fontId="3" type="noConversion"/>
  </si>
  <si>
    <t>ND5992952</t>
    <phoneticPr fontId="3" type="noConversion"/>
  </si>
  <si>
    <t>ND5992953</t>
  </si>
  <si>
    <t>ND5992954</t>
  </si>
  <si>
    <t>ND5992955</t>
  </si>
  <si>
    <t>ND5992956</t>
  </si>
  <si>
    <t>ND5992957</t>
  </si>
  <si>
    <t>ND5992958</t>
  </si>
  <si>
    <t>ND5992959</t>
  </si>
  <si>
    <t>2019.05.31</t>
    <phoneticPr fontId="3" type="noConversion"/>
  </si>
  <si>
    <t>2017.09.11</t>
    <phoneticPr fontId="3" type="noConversion"/>
  </si>
  <si>
    <t>JE0546981</t>
    <phoneticPr fontId="3" type="noConversion"/>
  </si>
  <si>
    <t>2017.09.13</t>
    <phoneticPr fontId="3" type="noConversion"/>
  </si>
  <si>
    <t>JE0546982</t>
  </si>
  <si>
    <t>JE0546983</t>
  </si>
  <si>
    <t>JE0546984</t>
  </si>
  <si>
    <t>JE0546985</t>
  </si>
  <si>
    <t>JE0546986</t>
  </si>
  <si>
    <t>JE0546987</t>
  </si>
  <si>
    <t>JE0546988</t>
  </si>
  <si>
    <t>2018.02.25</t>
    <phoneticPr fontId="3" type="noConversion"/>
  </si>
  <si>
    <t>2019.02.25</t>
    <phoneticPr fontId="3" type="noConversion"/>
  </si>
  <si>
    <t>2019.05.25</t>
    <phoneticPr fontId="3" type="noConversion"/>
  </si>
  <si>
    <t>MD1315130</t>
  </si>
  <si>
    <t>誤把2018.09.30當成2017.09.30存入,尚未兌現</t>
    <phoneticPr fontId="3" type="noConversion"/>
  </si>
  <si>
    <t>2017.10.02</t>
    <phoneticPr fontId="3" type="noConversion"/>
  </si>
  <si>
    <t>2017.09.27</t>
    <phoneticPr fontId="3" type="noConversion"/>
  </si>
  <si>
    <t>JD9422954</t>
    <phoneticPr fontId="3" type="noConversion"/>
  </si>
  <si>
    <t>2017.10.12</t>
    <phoneticPr fontId="3" type="noConversion"/>
  </si>
  <si>
    <t>2017.11.06</t>
    <phoneticPr fontId="3" type="noConversion"/>
  </si>
  <si>
    <t>2017.11.07</t>
    <phoneticPr fontId="3" type="noConversion"/>
  </si>
  <si>
    <t>2017.11.27</t>
    <phoneticPr fontId="3" type="noConversion"/>
  </si>
  <si>
    <t>HA1880955</t>
    <phoneticPr fontId="3" type="noConversion"/>
  </si>
  <si>
    <t>HA1880956</t>
  </si>
  <si>
    <t>HA1880957</t>
  </si>
  <si>
    <t>HA1880958</t>
  </si>
  <si>
    <t>HA1880959</t>
  </si>
  <si>
    <t>HA1880960</t>
  </si>
  <si>
    <t>HA1880961</t>
  </si>
  <si>
    <t>HA1880962</t>
  </si>
  <si>
    <t>2018.05.30</t>
    <phoneticPr fontId="3" type="noConversion"/>
  </si>
  <si>
    <t>2019.05.30</t>
    <phoneticPr fontId="3" type="noConversion"/>
  </si>
  <si>
    <t>2019.08.31</t>
    <phoneticPr fontId="3" type="noConversion"/>
  </si>
  <si>
    <t>MC1055061</t>
    <phoneticPr fontId="3" type="noConversion"/>
  </si>
  <si>
    <t>2017.12.25</t>
    <phoneticPr fontId="3" type="noConversion"/>
  </si>
  <si>
    <t>MC1055062</t>
  </si>
  <si>
    <t>MC1055063</t>
  </si>
  <si>
    <t>MC1055064</t>
  </si>
  <si>
    <t>MC1055065</t>
  </si>
  <si>
    <t>MC1055066</t>
  </si>
  <si>
    <t>MC1055067</t>
  </si>
  <si>
    <t>MC1055068</t>
  </si>
  <si>
    <t>2018.03.25</t>
    <phoneticPr fontId="3" type="noConversion"/>
  </si>
  <si>
    <t>2018.06.25</t>
    <phoneticPr fontId="3" type="noConversion"/>
  </si>
  <si>
    <t>2018.09.25</t>
    <phoneticPr fontId="3" type="noConversion"/>
  </si>
  <si>
    <t>2018.12.25</t>
    <phoneticPr fontId="3" type="noConversion"/>
  </si>
  <si>
    <t>2019.03.25</t>
    <phoneticPr fontId="3" type="noConversion"/>
  </si>
  <si>
    <t>2019.06.25</t>
    <phoneticPr fontId="3" type="noConversion"/>
  </si>
  <si>
    <t>2019.09.25</t>
    <phoneticPr fontId="3" type="noConversion"/>
  </si>
  <si>
    <t>原城乙物流關廠,維護約,後續城乙公司不認帳</t>
    <phoneticPr fontId="3" type="noConversion"/>
  </si>
  <si>
    <t>MD1315126</t>
    <phoneticPr fontId="3" type="noConversion"/>
  </si>
  <si>
    <t>MD1315127</t>
  </si>
  <si>
    <t>MD1315128</t>
  </si>
  <si>
    <t>MD1315129</t>
  </si>
  <si>
    <t>MD1315131</t>
  </si>
  <si>
    <t>MD1315132</t>
  </si>
  <si>
    <t>MD1315133</t>
  </si>
  <si>
    <t>2017.12.31</t>
    <phoneticPr fontId="3" type="noConversion"/>
  </si>
  <si>
    <t>2018.06.30</t>
    <phoneticPr fontId="3" type="noConversion"/>
  </si>
  <si>
    <t>2019.03.31</t>
    <phoneticPr fontId="3" type="noConversion"/>
  </si>
  <si>
    <t>2019.06.30</t>
    <phoneticPr fontId="3" type="noConversion"/>
  </si>
  <si>
    <t>99.7 達</t>
    <phoneticPr fontId="3" type="noConversion"/>
  </si>
  <si>
    <t>滙費</t>
    <phoneticPr fontId="3" type="noConversion"/>
  </si>
  <si>
    <t>太暘裝機計程車資</t>
    <phoneticPr fontId="3" type="noConversion"/>
  </si>
  <si>
    <t>2010.8.24</t>
    <phoneticPr fontId="3" type="noConversion"/>
  </si>
  <si>
    <t>怡和保全退保証金</t>
    <phoneticPr fontId="3" type="noConversion"/>
  </si>
  <si>
    <t>DV借</t>
    <phoneticPr fontId="3" type="noConversion"/>
  </si>
  <si>
    <t>掛號-浩檀合約發票</t>
    <phoneticPr fontId="3" type="noConversion"/>
  </si>
  <si>
    <t>99.10 北平房租-台銀網銀轉帳</t>
    <phoneticPr fontId="3" type="noConversion"/>
  </si>
  <si>
    <t>2010.10.5</t>
    <phoneticPr fontId="3" type="noConversion"/>
  </si>
  <si>
    <t>2010.10.6</t>
    <phoneticPr fontId="3" type="noConversion"/>
  </si>
  <si>
    <t>2010.10.14</t>
    <phoneticPr fontId="3" type="noConversion"/>
  </si>
  <si>
    <t>2017.11.02</t>
  </si>
  <si>
    <t>2017.11.14</t>
  </si>
  <si>
    <t>2018.01.11</t>
    <phoneticPr fontId="3" type="noConversion"/>
  </si>
  <si>
    <t>2018.01.24</t>
  </si>
  <si>
    <t>2018.01.25</t>
    <phoneticPr fontId="3" type="noConversion"/>
  </si>
  <si>
    <t>2018.02.06</t>
    <phoneticPr fontId="3" type="noConversion"/>
  </si>
  <si>
    <t>2018.02.07</t>
    <phoneticPr fontId="3" type="noConversion"/>
  </si>
  <si>
    <t>2018.02.09</t>
  </si>
  <si>
    <t>2018.02.13</t>
    <phoneticPr fontId="3" type="noConversion"/>
  </si>
  <si>
    <t>2018.02.26</t>
    <phoneticPr fontId="3" type="noConversion"/>
  </si>
  <si>
    <t>2018.02.27</t>
  </si>
  <si>
    <t>2018.03.09</t>
    <phoneticPr fontId="3" type="noConversion"/>
  </si>
  <si>
    <t>2018.03.12</t>
    <phoneticPr fontId="3" type="noConversion"/>
  </si>
  <si>
    <t>2018.03.22</t>
    <phoneticPr fontId="3" type="noConversion"/>
  </si>
  <si>
    <t>2018.05.07</t>
    <phoneticPr fontId="3" type="noConversion"/>
  </si>
  <si>
    <t>2018.05.08</t>
    <phoneticPr fontId="3" type="noConversion"/>
  </si>
  <si>
    <t>2017年華算進貨明細</t>
    <phoneticPr fontId="3" type="noConversion"/>
  </si>
  <si>
    <t>1-2</t>
    <phoneticPr fontId="3" type="noConversion"/>
  </si>
  <si>
    <t>1196-1197</t>
    <phoneticPr fontId="3" type="noConversion"/>
  </si>
  <si>
    <t>1180-1187</t>
    <phoneticPr fontId="3" type="noConversion"/>
  </si>
  <si>
    <t>1199-1206</t>
    <phoneticPr fontId="3" type="noConversion"/>
  </si>
  <si>
    <t>1253-1260</t>
    <phoneticPr fontId="3" type="noConversion"/>
  </si>
  <si>
    <t>1207-1214</t>
    <phoneticPr fontId="3" type="noConversion"/>
  </si>
  <si>
    <t>1231-1238</t>
    <phoneticPr fontId="3" type="noConversion"/>
  </si>
  <si>
    <t>1215-1222</t>
    <phoneticPr fontId="3" type="noConversion"/>
  </si>
  <si>
    <t>1223-1230</t>
    <phoneticPr fontId="3" type="noConversion"/>
  </si>
  <si>
    <t>1239-1246</t>
    <phoneticPr fontId="3" type="noConversion"/>
  </si>
  <si>
    <t>1261-1268</t>
    <phoneticPr fontId="3" type="noConversion"/>
  </si>
  <si>
    <t>1279-1286</t>
    <phoneticPr fontId="3" type="noConversion"/>
  </si>
  <si>
    <t>1295-1302</t>
    <phoneticPr fontId="3" type="noConversion"/>
  </si>
  <si>
    <t>1287-1294</t>
    <phoneticPr fontId="3" type="noConversion"/>
  </si>
  <si>
    <t>1303-1314</t>
    <phoneticPr fontId="3" type="noConversion"/>
  </si>
  <si>
    <t>1324-1331</t>
    <phoneticPr fontId="3" type="noConversion"/>
  </si>
  <si>
    <t>1332-1339</t>
    <phoneticPr fontId="3" type="noConversion"/>
  </si>
  <si>
    <t>資產負債表</t>
  </si>
  <si>
    <t>損益表</t>
  </si>
  <si>
    <t>庫存進銷成本表</t>
  </si>
  <si>
    <t>其他費用明細表</t>
  </si>
  <si>
    <t>2017-00</t>
  </si>
  <si>
    <t>2017科目明細</t>
  </si>
  <si>
    <t>2017-01</t>
  </si>
  <si>
    <r>
      <t>2017</t>
    </r>
    <r>
      <rPr>
        <sz val="12"/>
        <rFont val="新細明體"/>
        <family val="1"/>
        <charset val="136"/>
      </rPr>
      <t>發票401總計</t>
    </r>
  </si>
  <si>
    <r>
      <t>2017</t>
    </r>
    <r>
      <rPr>
        <sz val="12"/>
        <rFont val="新細明體"/>
        <family val="1"/>
        <charset val="136"/>
      </rPr>
      <t>預收轉為服務收入</t>
    </r>
  </si>
  <si>
    <t>沖2016預收轉為服務收入</t>
  </si>
  <si>
    <t>依德 3x20475</t>
  </si>
  <si>
    <t>鎔德 3x20475</t>
  </si>
  <si>
    <t>鎔保 3x16380</t>
  </si>
  <si>
    <r>
      <rPr>
        <sz val="12"/>
        <rFont val="新細明體"/>
        <family val="1"/>
        <charset val="136"/>
      </rPr>
      <t>收支票</t>
    </r>
    <r>
      <rPr>
        <sz val="12"/>
        <rFont val="新細明體"/>
        <family val="1"/>
        <charset val="136"/>
      </rPr>
      <t>(2017發票)</t>
    </r>
  </si>
  <si>
    <t>2016收未兌票x22</t>
  </si>
  <si>
    <t>2016收跨年銀行未兌x0</t>
  </si>
  <si>
    <t>2017收未兌票x98</t>
  </si>
  <si>
    <t>2017收跨年銀行未兌x1</t>
  </si>
  <si>
    <t>安力 4x20475</t>
  </si>
  <si>
    <t>2017收票(前期已開發票)</t>
  </si>
  <si>
    <t>2017收票(開發票本期)</t>
  </si>
  <si>
    <t>2017收票(開發票預收)</t>
  </si>
  <si>
    <t>大桐 5x20475</t>
  </si>
  <si>
    <r>
      <t>依/鎔/鎔保/鉑/安/桐</t>
    </r>
    <r>
      <rPr>
        <sz val="12"/>
        <rFont val="新細明體"/>
        <family val="1"/>
        <charset val="136"/>
      </rPr>
      <t>預收</t>
    </r>
  </si>
  <si>
    <t>2017兌現總計</t>
  </si>
  <si>
    <t>大桐</t>
  </si>
  <si>
    <t>2017-02</t>
  </si>
  <si>
    <t>2017匯款總計</t>
  </si>
  <si>
    <t>2016應收款匯款手續費3x</t>
  </si>
  <si>
    <t>2017匯款手續費10x</t>
  </si>
  <si>
    <t>DNS-5年PT收現金</t>
  </si>
  <si>
    <t>大桐DNS-5年PT收現金</t>
  </si>
  <si>
    <t>宇陽單次維護$25000(未)裝機費$3000(未)$2017.04.27 收現 $29400, 2017.05.05 繳401</t>
  </si>
  <si>
    <t>宇陽單次維護+裝機費</t>
  </si>
  <si>
    <t>鴻碩發票稅金</t>
  </si>
  <si>
    <t xml:space="preserve">401進項 </t>
  </si>
  <si>
    <r>
      <t>2017</t>
    </r>
    <r>
      <rPr>
        <sz val="12"/>
        <rFont val="新細明體"/>
        <family val="1"/>
        <charset val="136"/>
      </rPr>
      <t>/12/31庫存帳</t>
    </r>
  </si>
  <si>
    <t>未報401</t>
  </si>
  <si>
    <r>
      <t>2017</t>
    </r>
    <r>
      <rPr>
        <sz val="12"/>
        <rFont val="新細明體"/>
        <family val="1"/>
        <charset val="136"/>
      </rPr>
      <t>華算主機-期初</t>
    </r>
  </si>
  <si>
    <r>
      <t>2017</t>
    </r>
    <r>
      <rPr>
        <sz val="12"/>
        <rFont val="新細明體"/>
        <family val="1"/>
        <charset val="136"/>
      </rPr>
      <t>華算主機-新組裝</t>
    </r>
  </si>
  <si>
    <r>
      <t>2017</t>
    </r>
    <r>
      <rPr>
        <sz val="12"/>
        <rFont val="新細明體"/>
        <family val="1"/>
        <charset val="136"/>
      </rPr>
      <t>華算主機-折舊</t>
    </r>
  </si>
  <si>
    <r>
      <t>2017</t>
    </r>
    <r>
      <rPr>
        <sz val="12"/>
        <rFont val="新細明體"/>
        <family val="1"/>
        <charset val="136"/>
      </rPr>
      <t>華算主機-殘值</t>
    </r>
  </si>
  <si>
    <t>2017-03</t>
  </si>
  <si>
    <t>2017-04</t>
  </si>
  <si>
    <r>
      <t>主機折舊*42</t>
    </r>
    <r>
      <rPr>
        <sz val="12"/>
        <rFont val="新細明體"/>
        <family val="1"/>
        <charset val="136"/>
      </rPr>
      <t>0月台</t>
    </r>
  </si>
  <si>
    <r>
      <t>主機折舊*48</t>
    </r>
    <r>
      <rPr>
        <sz val="12"/>
        <rFont val="新細明體"/>
        <family val="1"/>
        <charset val="136"/>
      </rPr>
      <t>0月台</t>
    </r>
  </si>
  <si>
    <r>
      <t>主機成本*16</t>
    </r>
    <r>
      <rPr>
        <sz val="12"/>
        <rFont val="新細明體"/>
        <family val="1"/>
        <charset val="136"/>
      </rPr>
      <t>台</t>
    </r>
  </si>
  <si>
    <t>2017/1-12租金</t>
  </si>
  <si>
    <t>2017房租匯款手續費</t>
  </si>
  <si>
    <t>利息6月</t>
  </si>
  <si>
    <t>利息12月</t>
  </si>
  <si>
    <t>健保2016/11-2017/10</t>
  </si>
  <si>
    <t>勞保2016/11-2017/10</t>
  </si>
  <si>
    <t>勞退2016/10-2017/9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</si>
  <si>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</si>
  <si>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</si>
  <si>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</si>
  <si>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</si>
  <si>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</si>
  <si>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</si>
  <si>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</si>
  <si>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</si>
  <si>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2017-13</t>
  </si>
  <si>
    <t>電話費2017/1-12</t>
  </si>
  <si>
    <t>電費2017/1-12</t>
  </si>
  <si>
    <t>申報2016/12-2017/11</t>
  </si>
  <si>
    <t>2017年12月</t>
  </si>
  <si>
    <t>2017薪資總計</t>
  </si>
  <si>
    <t>106/12</t>
  </si>
  <si>
    <t>蔡定達獎金</t>
  </si>
  <si>
    <t>2017伙食實付</t>
  </si>
  <si>
    <t>2017伙食DV+張</t>
  </si>
  <si>
    <t>支付2017薪資總計</t>
  </si>
  <si>
    <t>2017進項稅額抵扣</t>
  </si>
  <si>
    <t>進貨退出</t>
  </si>
  <si>
    <t>2017/1-12</t>
  </si>
  <si>
    <t>401-2016/11-2017/10</t>
  </si>
  <si>
    <t>2017進貨總計</t>
  </si>
  <si>
    <t>水費免稅2017/1-12</t>
  </si>
  <si>
    <t>水費2017/1,3,5,7,9,11</t>
  </si>
  <si>
    <t>垃圾袋+買發票+衛生紙</t>
  </si>
  <si>
    <t>2017國內域名</t>
  </si>
  <si>
    <t>2017國外域名+稅</t>
  </si>
  <si>
    <t>SKYPE+稅</t>
  </si>
  <si>
    <t>2017/12達卡費富邦</t>
  </si>
  <si>
    <t>2017/12達卡費中信</t>
  </si>
  <si>
    <t>2017/12達卡費玉山</t>
  </si>
  <si>
    <t>達卡費富邦</t>
  </si>
  <si>
    <t>2017進貨+達代刷卡</t>
  </si>
  <si>
    <t>2016/12+2017/10達信卡</t>
  </si>
  <si>
    <r>
      <t xml:space="preserve">1/25 </t>
    </r>
    <r>
      <rPr>
        <sz val="12"/>
        <rFont val="新細明體"/>
        <family val="1"/>
        <charset val="136"/>
      </rPr>
      <t>DV-MA</t>
    </r>
  </si>
  <si>
    <t>3/21 PT-安力-KO佣金</t>
  </si>
  <si>
    <r>
      <t xml:space="preserve">6/19 </t>
    </r>
    <r>
      <rPr>
        <sz val="12"/>
        <rFont val="新細明體"/>
        <family val="1"/>
        <charset val="136"/>
      </rPr>
      <t>DV-MA</t>
    </r>
  </si>
  <si>
    <t>6/19 PT-大桐+KO-健保</t>
  </si>
  <si>
    <t>9/12 PT-</t>
  </si>
  <si>
    <t>9/28 DV-MA</t>
  </si>
  <si>
    <t>2017/11~12</t>
  </si>
  <si>
    <t>薪資扣繳申報明細</t>
  </si>
  <si>
    <t>薪資扣繳</t>
  </si>
  <si>
    <t>營業收入調查明細表</t>
  </si>
  <si>
    <t>401收入</t>
  </si>
  <si>
    <t>補開上期</t>
  </si>
  <si>
    <t>預收下期</t>
  </si>
  <si>
    <t>加</t>
  </si>
  <si>
    <t>減</t>
  </si>
  <si>
    <t>上期預收</t>
  </si>
  <si>
    <t>下期補開</t>
  </si>
  <si>
    <t xml:space="preserve">    預收貸款</t>
  </si>
  <si>
    <t>2017預存未開發票</t>
  </si>
  <si>
    <t>取用2016未開發票</t>
  </si>
  <si>
    <t>扣繳申報</t>
  </si>
  <si>
    <t xml:space="preserve">    現金</t>
  </si>
  <si>
    <t>1111 現金</t>
  </si>
  <si>
    <t>電池+起子+網卡</t>
  </si>
  <si>
    <t>預收貨款少報</t>
  </si>
  <si>
    <t>f01 服務收入</t>
  </si>
  <si>
    <t>f02 銷貨退回</t>
  </si>
  <si>
    <t>f03 銷貨折讓</t>
  </si>
  <si>
    <t>f04 營業收入淨額</t>
  </si>
  <si>
    <t>f01 營業收入</t>
  </si>
  <si>
    <t>f68 401收入</t>
  </si>
  <si>
    <t>f70 上期預收</t>
  </si>
  <si>
    <t>f71 下期補開</t>
  </si>
  <si>
    <t>f76 預收下期</t>
  </si>
  <si>
    <t>f77 補開上期</t>
  </si>
  <si>
    <t>f05 營業成本</t>
  </si>
  <si>
    <t>f06 營業毛利</t>
  </si>
  <si>
    <t>f07 毛利率</t>
  </si>
  <si>
    <t>f08 營業費用</t>
  </si>
  <si>
    <t>f09 費用率</t>
  </si>
  <si>
    <t>f10 薪資支出</t>
  </si>
  <si>
    <t>f11 租金支出</t>
  </si>
  <si>
    <t>f12 文具用品</t>
  </si>
  <si>
    <t>f13 旅費</t>
  </si>
  <si>
    <t>f15 郵電費</t>
  </si>
  <si>
    <t>f17 廣告費</t>
  </si>
  <si>
    <t>f18 水電瓦斯費</t>
  </si>
  <si>
    <t>f19 保險費</t>
  </si>
  <si>
    <t>f27 伙食費</t>
  </si>
  <si>
    <t>f32 其他費用</t>
  </si>
  <si>
    <t>f33 營業淨利</t>
  </si>
  <si>
    <t>f104 營業淨利率</t>
  </si>
  <si>
    <t>f38 利息收入</t>
  </si>
  <si>
    <t>f53 全年所得額</t>
  </si>
  <si>
    <t>f54 純益率</t>
  </si>
  <si>
    <t>p1-左 損益表</t>
  </si>
  <si>
    <t>p1-右 營業收入調節</t>
  </si>
  <si>
    <t>f69 相差</t>
  </si>
  <si>
    <t>p3 資產負債表</t>
  </si>
  <si>
    <t>資產總額</t>
  </si>
  <si>
    <t>87-98虧損</t>
  </si>
  <si>
    <t>99以後虧損</t>
  </si>
  <si>
    <t>負債權益總額</t>
  </si>
  <si>
    <t>p4 營業成本明細表</t>
  </si>
  <si>
    <t>f01 期初存貨</t>
  </si>
  <si>
    <t>f02 本期進貨</t>
  </si>
  <si>
    <t>f03 期末庫存</t>
  </si>
  <si>
    <t>f09 進銷成本</t>
  </si>
  <si>
    <t>查88 全年人月</t>
  </si>
  <si>
    <t>f33 伙食費</t>
  </si>
  <si>
    <t>p5 其他費用明細表</t>
  </si>
  <si>
    <t>p7 伙食費列支限額表</t>
  </si>
  <si>
    <t>本期薪資支出</t>
  </si>
  <si>
    <t>p8-第1行 薪資扣繳申報調節表</t>
  </si>
  <si>
    <t>p8-第4行 租賃扣繳申報調節表</t>
  </si>
  <si>
    <t>本期租賃支出</t>
  </si>
  <si>
    <t>回沖2016少報預收貸款</t>
  </si>
  <si>
    <t>2017少報預收貸款</t>
  </si>
  <si>
    <t>回沖2016暫轉應收票據</t>
  </si>
  <si>
    <t>2017暫轉應收票據</t>
  </si>
  <si>
    <t>吸收2017薪資差額</t>
  </si>
  <si>
    <t>回沖2016年底扣繳薪資低報</t>
  </si>
  <si>
    <t>2017保留年底扣繳薪資低報</t>
  </si>
  <si>
    <t>股東往來-DV-PT</t>
  </si>
  <si>
    <t>2016年底餘額</t>
  </si>
  <si>
    <t>2018年開出發票</t>
    <phoneticPr fontId="3" type="noConversion"/>
  </si>
  <si>
    <t>YR27122550</t>
    <phoneticPr fontId="3" type="noConversion"/>
  </si>
  <si>
    <t>施舒雅</t>
    <phoneticPr fontId="3" type="noConversion"/>
  </si>
  <si>
    <t>YR27122551</t>
  </si>
  <si>
    <t>永馳</t>
    <phoneticPr fontId="3" type="noConversion"/>
  </si>
  <si>
    <t>YR27122552</t>
  </si>
  <si>
    <t>八亨</t>
    <phoneticPr fontId="3" type="noConversion"/>
  </si>
  <si>
    <t>YR27122553</t>
  </si>
  <si>
    <t>品固</t>
    <phoneticPr fontId="3" type="noConversion"/>
  </si>
  <si>
    <t>YR27122554</t>
  </si>
  <si>
    <t>展鑫</t>
    <phoneticPr fontId="3" type="noConversion"/>
  </si>
  <si>
    <t>YR27122555</t>
  </si>
  <si>
    <t>佳尼特</t>
    <phoneticPr fontId="3" type="noConversion"/>
  </si>
  <si>
    <t>YR27122556</t>
  </si>
  <si>
    <t>恩豪</t>
    <phoneticPr fontId="3" type="noConversion"/>
  </si>
  <si>
    <t>YR27122557</t>
  </si>
  <si>
    <t>YR27122558</t>
  </si>
  <si>
    <t>YR27122559</t>
  </si>
  <si>
    <t>YR27122560</t>
  </si>
  <si>
    <t>依德</t>
    <phoneticPr fontId="3" type="noConversion"/>
  </si>
  <si>
    <t>YR27122561</t>
  </si>
  <si>
    <t>鎔德</t>
    <phoneticPr fontId="3" type="noConversion"/>
  </si>
  <si>
    <t>YR27122562</t>
  </si>
  <si>
    <t>YR27122563</t>
  </si>
  <si>
    <t>鉑德</t>
    <phoneticPr fontId="3" type="noConversion"/>
  </si>
  <si>
    <t>YR27122564</t>
  </si>
  <si>
    <t>安力</t>
    <phoneticPr fontId="3" type="noConversion"/>
  </si>
  <si>
    <t>YR27122565</t>
  </si>
  <si>
    <t>大桐</t>
    <phoneticPr fontId="3" type="noConversion"/>
  </si>
  <si>
    <t>YR27122566</t>
  </si>
  <si>
    <t>友士</t>
    <phoneticPr fontId="3" type="noConversion"/>
  </si>
  <si>
    <t>YR27122567</t>
  </si>
  <si>
    <t>同皇</t>
    <phoneticPr fontId="3" type="noConversion"/>
  </si>
  <si>
    <t>22663002</t>
    <phoneticPr fontId="3" type="noConversion"/>
  </si>
  <si>
    <t>04825440</t>
    <phoneticPr fontId="3" type="noConversion"/>
  </si>
  <si>
    <t>23674533</t>
    <phoneticPr fontId="3" type="noConversion"/>
  </si>
  <si>
    <t>20928581</t>
    <phoneticPr fontId="3" type="noConversion"/>
  </si>
  <si>
    <t>27763698</t>
    <phoneticPr fontId="3" type="noConversion"/>
  </si>
  <si>
    <t>89478300</t>
    <phoneticPr fontId="3" type="noConversion"/>
  </si>
  <si>
    <t>23913400</t>
    <phoneticPr fontId="3" type="noConversion"/>
  </si>
  <si>
    <t>07656431</t>
    <phoneticPr fontId="3" type="noConversion"/>
  </si>
  <si>
    <t>53456020</t>
    <phoneticPr fontId="3" type="noConversion"/>
  </si>
  <si>
    <t>54337826</t>
    <phoneticPr fontId="3" type="noConversion"/>
  </si>
  <si>
    <t>24772483</t>
    <phoneticPr fontId="3" type="noConversion"/>
  </si>
  <si>
    <t>43871955</t>
    <phoneticPr fontId="3" type="noConversion"/>
  </si>
  <si>
    <t>04242698</t>
    <phoneticPr fontId="3" type="noConversion"/>
  </si>
  <si>
    <t>23306799</t>
    <phoneticPr fontId="3" type="noConversion"/>
  </si>
  <si>
    <t>AN27091150</t>
    <phoneticPr fontId="3" type="noConversion"/>
  </si>
  <si>
    <t>AN27091151</t>
  </si>
  <si>
    <t>AN27091152</t>
  </si>
  <si>
    <t>祥和</t>
    <phoneticPr fontId="3" type="noConversion"/>
  </si>
  <si>
    <t>AN27091153</t>
  </si>
  <si>
    <t>八亨</t>
    <phoneticPr fontId="3" type="noConversion"/>
  </si>
  <si>
    <t>16796546</t>
    <phoneticPr fontId="3" type="noConversion"/>
  </si>
  <si>
    <t>22650392</t>
    <phoneticPr fontId="3" type="noConversion"/>
  </si>
  <si>
    <t>CL27212600</t>
    <phoneticPr fontId="3" type="noConversion"/>
  </si>
  <si>
    <t>CL27212601</t>
  </si>
  <si>
    <t>鎔德</t>
    <phoneticPr fontId="3" type="noConversion"/>
  </si>
  <si>
    <t>CL27212602</t>
  </si>
  <si>
    <t>CL27212603</t>
  </si>
  <si>
    <t>鉑德</t>
    <phoneticPr fontId="3" type="noConversion"/>
  </si>
  <si>
    <t>CL27212604</t>
  </si>
  <si>
    <t>安力</t>
    <phoneticPr fontId="3" type="noConversion"/>
  </si>
  <si>
    <t>CL27212605</t>
  </si>
  <si>
    <t>大桐</t>
    <phoneticPr fontId="3" type="noConversion"/>
  </si>
  <si>
    <t>CL27212606</t>
  </si>
  <si>
    <t>友士</t>
    <phoneticPr fontId="3" type="noConversion"/>
  </si>
  <si>
    <t>CL27212607</t>
  </si>
  <si>
    <t>同皇</t>
    <phoneticPr fontId="3" type="noConversion"/>
  </si>
  <si>
    <t>CL27212608</t>
  </si>
  <si>
    <t>威倫</t>
    <phoneticPr fontId="3" type="noConversion"/>
  </si>
  <si>
    <t>CL27212609</t>
  </si>
  <si>
    <t>施舒雅</t>
    <phoneticPr fontId="3" type="noConversion"/>
  </si>
  <si>
    <t>CL27212610</t>
  </si>
  <si>
    <t>八亨</t>
    <phoneticPr fontId="3" type="noConversion"/>
  </si>
  <si>
    <t>07656431</t>
    <phoneticPr fontId="3" type="noConversion"/>
  </si>
  <si>
    <t>53456020</t>
    <phoneticPr fontId="3" type="noConversion"/>
  </si>
  <si>
    <t>54337826</t>
    <phoneticPr fontId="3" type="noConversion"/>
  </si>
  <si>
    <t>24772483</t>
    <phoneticPr fontId="3" type="noConversion"/>
  </si>
  <si>
    <t>43871955</t>
    <phoneticPr fontId="3" type="noConversion"/>
  </si>
  <si>
    <t>04242698</t>
    <phoneticPr fontId="3" type="noConversion"/>
  </si>
  <si>
    <t>23306799</t>
    <phoneticPr fontId="3" type="noConversion"/>
  </si>
  <si>
    <t>20930144</t>
    <phoneticPr fontId="3" type="noConversion"/>
  </si>
  <si>
    <t>22663002</t>
    <phoneticPr fontId="3" type="noConversion"/>
  </si>
  <si>
    <t>23674533</t>
    <phoneticPr fontId="3" type="noConversion"/>
  </si>
  <si>
    <t>EH27259050</t>
    <phoneticPr fontId="3" type="noConversion"/>
  </si>
  <si>
    <t>品固CN</t>
    <phoneticPr fontId="3" type="noConversion"/>
  </si>
  <si>
    <t>EH27259051</t>
    <phoneticPr fontId="3" type="noConversion"/>
  </si>
  <si>
    <t>漢聯</t>
    <phoneticPr fontId="3" type="noConversion"/>
  </si>
  <si>
    <t>EH27259052</t>
    <phoneticPr fontId="3" type="noConversion"/>
  </si>
  <si>
    <t>品固TW</t>
    <phoneticPr fontId="3" type="noConversion"/>
  </si>
  <si>
    <t>EH27259053</t>
    <phoneticPr fontId="3" type="noConversion"/>
  </si>
  <si>
    <t>西拓</t>
    <phoneticPr fontId="3" type="noConversion"/>
  </si>
  <si>
    <t>EH27259054</t>
    <phoneticPr fontId="3" type="noConversion"/>
  </si>
  <si>
    <t>依德</t>
    <phoneticPr fontId="3" type="noConversion"/>
  </si>
  <si>
    <t>鎔德</t>
    <phoneticPr fontId="3" type="noConversion"/>
  </si>
  <si>
    <t>EH27259056</t>
    <phoneticPr fontId="3" type="noConversion"/>
  </si>
  <si>
    <t>EH27259057</t>
    <phoneticPr fontId="3" type="noConversion"/>
  </si>
  <si>
    <t>鉑德</t>
    <phoneticPr fontId="3" type="noConversion"/>
  </si>
  <si>
    <t>EH27259058</t>
    <phoneticPr fontId="3" type="noConversion"/>
  </si>
  <si>
    <t>安力</t>
    <phoneticPr fontId="3" type="noConversion"/>
  </si>
  <si>
    <t>EH27259059</t>
    <phoneticPr fontId="3" type="noConversion"/>
  </si>
  <si>
    <t>大桐</t>
    <phoneticPr fontId="3" type="noConversion"/>
  </si>
  <si>
    <t>EH27259060</t>
    <phoneticPr fontId="3" type="noConversion"/>
  </si>
  <si>
    <t>作廢</t>
    <phoneticPr fontId="3" type="noConversion"/>
  </si>
  <si>
    <t>EH27259061</t>
    <phoneticPr fontId="3" type="noConversion"/>
  </si>
  <si>
    <t>友士</t>
    <phoneticPr fontId="3" type="noConversion"/>
  </si>
  <si>
    <t>同皇</t>
    <phoneticPr fontId="3" type="noConversion"/>
  </si>
  <si>
    <t>20928581</t>
    <phoneticPr fontId="3" type="noConversion"/>
  </si>
  <si>
    <t>12659198</t>
    <phoneticPr fontId="3" type="noConversion"/>
  </si>
  <si>
    <t>70489361</t>
    <phoneticPr fontId="3" type="noConversion"/>
  </si>
  <si>
    <t>07656431</t>
    <phoneticPr fontId="3" type="noConversion"/>
  </si>
  <si>
    <t>53456020</t>
    <phoneticPr fontId="3" type="noConversion"/>
  </si>
  <si>
    <t>54337826</t>
    <phoneticPr fontId="3" type="noConversion"/>
  </si>
  <si>
    <t>24772483</t>
    <phoneticPr fontId="3" type="noConversion"/>
  </si>
  <si>
    <t>43871955</t>
    <phoneticPr fontId="3" type="noConversion"/>
  </si>
  <si>
    <t>04242698</t>
    <phoneticPr fontId="3" type="noConversion"/>
  </si>
  <si>
    <t>23306799</t>
    <phoneticPr fontId="3" type="noConversion"/>
  </si>
  <si>
    <t>GE27131800</t>
    <phoneticPr fontId="3" type="noConversion"/>
  </si>
  <si>
    <t>GE27131801</t>
  </si>
  <si>
    <t>作廢</t>
    <phoneticPr fontId="3" type="noConversion"/>
  </si>
  <si>
    <t>GE27131802</t>
  </si>
  <si>
    <t>永昌泰聯</t>
    <phoneticPr fontId="3" type="noConversion"/>
  </si>
  <si>
    <t>GE27131803</t>
  </si>
  <si>
    <t>喜可</t>
    <phoneticPr fontId="3" type="noConversion"/>
  </si>
  <si>
    <t>GE27131804</t>
  </si>
  <si>
    <t>施舒雅</t>
    <phoneticPr fontId="3" type="noConversion"/>
  </si>
  <si>
    <t>GE27131805</t>
  </si>
  <si>
    <t>勤業</t>
    <phoneticPr fontId="3" type="noConversion"/>
  </si>
  <si>
    <t>GE27131806</t>
  </si>
  <si>
    <t>八亨</t>
    <phoneticPr fontId="3" type="noConversion"/>
  </si>
  <si>
    <t>04825440</t>
    <phoneticPr fontId="3" type="noConversion"/>
  </si>
  <si>
    <t>54378277</t>
    <phoneticPr fontId="3" type="noConversion"/>
  </si>
  <si>
    <t>39604416</t>
    <phoneticPr fontId="3" type="noConversion"/>
  </si>
  <si>
    <t>00965968</t>
    <phoneticPr fontId="3" type="noConversion"/>
  </si>
  <si>
    <t>JB27304100</t>
    <phoneticPr fontId="3" type="noConversion"/>
  </si>
  <si>
    <t>JB27304101</t>
    <phoneticPr fontId="3" type="noConversion"/>
  </si>
  <si>
    <t>JB27304102</t>
    <phoneticPr fontId="3" type="noConversion"/>
  </si>
  <si>
    <t>JB27304103</t>
    <phoneticPr fontId="3" type="noConversion"/>
  </si>
  <si>
    <t>依德</t>
    <phoneticPr fontId="3" type="noConversion"/>
  </si>
  <si>
    <t>JB27304104</t>
    <phoneticPr fontId="3" type="noConversion"/>
  </si>
  <si>
    <t>JB27304105</t>
    <phoneticPr fontId="3" type="noConversion"/>
  </si>
  <si>
    <t>JB27304106</t>
    <phoneticPr fontId="3" type="noConversion"/>
  </si>
  <si>
    <t>JB27304107</t>
    <phoneticPr fontId="3" type="noConversion"/>
  </si>
  <si>
    <t>JB27304108</t>
    <phoneticPr fontId="3" type="noConversion"/>
  </si>
  <si>
    <t>JB27304109</t>
    <phoneticPr fontId="3" type="noConversion"/>
  </si>
  <si>
    <t>JB27304110</t>
    <phoneticPr fontId="3" type="noConversion"/>
  </si>
  <si>
    <t>JB27304111</t>
    <phoneticPr fontId="3" type="noConversion"/>
  </si>
  <si>
    <t>JB27304112</t>
    <phoneticPr fontId="3" type="noConversion"/>
  </si>
  <si>
    <t>友士</t>
    <phoneticPr fontId="3" type="noConversion"/>
  </si>
  <si>
    <t>JB27304113</t>
    <phoneticPr fontId="3" type="noConversion"/>
  </si>
  <si>
    <t>同皇</t>
    <phoneticPr fontId="3" type="noConversion"/>
  </si>
  <si>
    <t>JB27304114</t>
    <phoneticPr fontId="3" type="noConversion"/>
  </si>
  <si>
    <t>永馳</t>
    <phoneticPr fontId="3" type="noConversion"/>
  </si>
  <si>
    <t>JB27304115</t>
    <phoneticPr fontId="3" type="noConversion"/>
  </si>
  <si>
    <t>八亨</t>
    <phoneticPr fontId="3" type="noConversion"/>
  </si>
  <si>
    <t>JB27304116</t>
    <phoneticPr fontId="3" type="noConversion"/>
  </si>
  <si>
    <t>施舒雅</t>
    <phoneticPr fontId="3" type="noConversion"/>
  </si>
  <si>
    <t>JB27304117</t>
    <phoneticPr fontId="3" type="noConversion"/>
  </si>
  <si>
    <t>協億通</t>
    <phoneticPr fontId="3" type="noConversion"/>
  </si>
  <si>
    <t>JB27304118</t>
  </si>
  <si>
    <t>12946360</t>
    <phoneticPr fontId="3" type="noConversion"/>
  </si>
  <si>
    <t>43871955</t>
    <phoneticPr fontId="3" type="noConversion"/>
  </si>
  <si>
    <t>107/01</t>
    <phoneticPr fontId="5" type="noConversion"/>
  </si>
  <si>
    <t>楊博欽</t>
    <phoneticPr fontId="29" type="noConversion"/>
  </si>
  <si>
    <t>107/02</t>
    <phoneticPr fontId="5" type="noConversion"/>
  </si>
  <si>
    <t>107/03</t>
    <phoneticPr fontId="5" type="noConversion"/>
  </si>
  <si>
    <t>107/04</t>
    <phoneticPr fontId="5" type="noConversion"/>
  </si>
  <si>
    <t>107/05</t>
    <phoneticPr fontId="5" type="noConversion"/>
  </si>
  <si>
    <t>107/06</t>
    <phoneticPr fontId="5" type="noConversion"/>
  </si>
  <si>
    <t>107/07</t>
    <phoneticPr fontId="5" type="noConversion"/>
  </si>
  <si>
    <t>107/08</t>
    <phoneticPr fontId="5" type="noConversion"/>
  </si>
  <si>
    <t>107/09</t>
    <phoneticPr fontId="5" type="noConversion"/>
  </si>
  <si>
    <t>楊博欽</t>
    <phoneticPr fontId="29" type="noConversion"/>
  </si>
  <si>
    <t>107/10</t>
    <phoneticPr fontId="5" type="noConversion"/>
  </si>
  <si>
    <t>107/11</t>
    <phoneticPr fontId="5" type="noConversion"/>
  </si>
  <si>
    <t>107/12</t>
    <phoneticPr fontId="5" type="noConversion"/>
  </si>
  <si>
    <t>107年終</t>
    <phoneticPr fontId="5" type="noConversion"/>
  </si>
  <si>
    <t>107年實付薪資(小計)</t>
    <phoneticPr fontId="5" type="noConversion"/>
  </si>
  <si>
    <t>107全年</t>
    <phoneticPr fontId="5" type="noConversion"/>
  </si>
  <si>
    <t>107年其他應申報(應加項目)</t>
    <phoneticPr fontId="5" type="noConversion"/>
  </si>
  <si>
    <t>107/01~107/12</t>
    <phoneticPr fontId="5" type="noConversion"/>
  </si>
  <si>
    <t>106年保留未申報(應加項目)</t>
    <phoneticPr fontId="3" type="noConversion"/>
  </si>
  <si>
    <t>106/12</t>
    <phoneticPr fontId="5" type="noConversion"/>
  </si>
  <si>
    <t>保留低報</t>
    <phoneticPr fontId="3" type="noConversion"/>
  </si>
  <si>
    <t>107年保留不申報(應減項目)</t>
    <phoneticPr fontId="5" type="noConversion"/>
  </si>
  <si>
    <t>107/12</t>
    <phoneticPr fontId="5" type="noConversion"/>
  </si>
  <si>
    <t>107年應付</t>
    <phoneticPr fontId="3" type="noConversion"/>
  </si>
  <si>
    <t>107年其他不申報(應減項目)</t>
    <phoneticPr fontId="5" type="noConversion"/>
  </si>
  <si>
    <t>107低報</t>
    <phoneticPr fontId="5" type="noConversion"/>
  </si>
  <si>
    <t>107年應申報金額(合計)</t>
    <phoneticPr fontId="5" type="noConversion"/>
  </si>
  <si>
    <t>楊博欽</t>
    <phoneticPr fontId="29" type="noConversion"/>
  </si>
  <si>
    <r>
      <t>10</t>
    </r>
    <r>
      <rPr>
        <sz val="12"/>
        <rFont val="新細明體"/>
        <family val="1"/>
        <charset val="136"/>
      </rPr>
      <t>7</t>
    </r>
    <r>
      <rPr>
        <sz val="12"/>
        <rFont val="新細明體"/>
        <family val="1"/>
        <charset val="136"/>
      </rPr>
      <t>年</t>
    </r>
    <phoneticPr fontId="3" type="noConversion"/>
  </si>
  <si>
    <t>https://www.ntbt.gov.tw/etwmain/web/ETW118W/CON/2102/5814642093583102744</t>
    <phoneticPr fontId="3" type="noConversion"/>
  </si>
  <si>
    <t>免稅額</t>
    <phoneticPr fontId="3" type="noConversion"/>
  </si>
  <si>
    <t>一、免稅額：每人88,000元；年滿70歲之納稅義務人本人、配偶及受納稅義務人扶養之直系尊親屬其免稅額為132000元。</t>
    <phoneticPr fontId="3" type="noConversion"/>
  </si>
  <si>
    <t>標準扣除額</t>
    <phoneticPr fontId="3" type="noConversion"/>
  </si>
  <si>
    <t>二、標準扣除額：納稅義務人個人扣除120,000元；有配偶者扣除240,000元。</t>
    <phoneticPr fontId="5" type="noConversion"/>
  </si>
  <si>
    <t>薪資所得特別扣除額</t>
    <phoneticPr fontId="3" type="noConversion"/>
  </si>
  <si>
    <t>三、薪資所得特別扣除額：每人每年扣除數額以200,000元為限</t>
    <phoneticPr fontId="3" type="noConversion"/>
  </si>
  <si>
    <t>財政部稅務入口網</t>
    <phoneticPr fontId="5" type="noConversion"/>
  </si>
  <si>
    <t>https://www.etax.nat.gov.tw/etwmain/front/ETW118W/CON/526/8834575894388476791?tagCode=</t>
    <phoneticPr fontId="3" type="noConversion"/>
  </si>
  <si>
    <t>銀行-入</t>
    <phoneticPr fontId="3" type="noConversion"/>
  </si>
  <si>
    <t>銀行-出</t>
    <phoneticPr fontId="3" type="noConversion"/>
  </si>
  <si>
    <t>零用金-入</t>
    <phoneticPr fontId="3" type="noConversion"/>
  </si>
  <si>
    <t>零用金-出</t>
    <phoneticPr fontId="3" type="noConversion"/>
  </si>
  <si>
    <t>零用金餘</t>
    <phoneticPr fontId="3" type="noConversion"/>
  </si>
  <si>
    <t>科目</t>
    <phoneticPr fontId="3" type="noConversion"/>
  </si>
  <si>
    <t>說明</t>
    <phoneticPr fontId="3" type="noConversion"/>
  </si>
  <si>
    <t>6月餘現金</t>
    <phoneticPr fontId="3" type="noConversion"/>
  </si>
  <si>
    <t>2009.7.13</t>
    <phoneticPr fontId="3" type="noConversion"/>
  </si>
  <si>
    <t>雙安裝機車資</t>
    <phoneticPr fontId="3" type="noConversion"/>
  </si>
  <si>
    <t>(餘 131)</t>
    <phoneticPr fontId="3" type="noConversion"/>
  </si>
  <si>
    <t>2009.7.15</t>
    <phoneticPr fontId="3" type="noConversion"/>
  </si>
  <si>
    <t>台銀</t>
    <phoneticPr fontId="3" type="noConversion"/>
  </si>
  <si>
    <t>98.5~6 401繳款</t>
    <phoneticPr fontId="3" type="noConversion"/>
  </si>
  <si>
    <t>98.7 管理費</t>
    <phoneticPr fontId="3" type="noConversion"/>
  </si>
  <si>
    <t>98.7 水費</t>
    <phoneticPr fontId="3" type="noConversion"/>
  </si>
  <si>
    <t>98.7 SONET</t>
    <phoneticPr fontId="3" type="noConversion"/>
  </si>
  <si>
    <t>詩留現金</t>
    <phoneticPr fontId="3" type="noConversion"/>
  </si>
  <si>
    <t>98.7~8 購買發票</t>
    <phoneticPr fontId="3" type="noConversion"/>
  </si>
  <si>
    <t>2009.7.23</t>
    <phoneticPr fontId="3" type="noConversion"/>
  </si>
  <si>
    <t>訊泰退押金</t>
    <phoneticPr fontId="3" type="noConversion"/>
  </si>
  <si>
    <t>2009.7.29</t>
    <phoneticPr fontId="3" type="noConversion"/>
  </si>
  <si>
    <t>匯李佳臨-045004018766</t>
    <phoneticPr fontId="3" type="noConversion"/>
  </si>
  <si>
    <t>大成車資</t>
    <phoneticPr fontId="3" type="noConversion"/>
  </si>
  <si>
    <t>(餘 2091)</t>
    <phoneticPr fontId="3" type="noConversion"/>
  </si>
  <si>
    <t>2009.8.3</t>
    <phoneticPr fontId="3" type="noConversion"/>
  </si>
  <si>
    <t>陳媽種子郵票</t>
    <phoneticPr fontId="3" type="noConversion"/>
  </si>
  <si>
    <t>(餘 1895)</t>
    <phoneticPr fontId="3" type="noConversion"/>
  </si>
  <si>
    <t>2009.8.13</t>
    <phoneticPr fontId="3" type="noConversion"/>
  </si>
  <si>
    <t>5公升垃圾袋</t>
    <phoneticPr fontId="3" type="noConversion"/>
  </si>
  <si>
    <t>(餘 1850)</t>
    <phoneticPr fontId="3" type="noConversion"/>
  </si>
  <si>
    <t>2009.8.</t>
    <phoneticPr fontId="3" type="noConversion"/>
  </si>
  <si>
    <t>8月管理費</t>
    <phoneticPr fontId="3" type="noConversion"/>
  </si>
  <si>
    <t>(餘 645)</t>
    <phoneticPr fontId="3" type="noConversion"/>
  </si>
  <si>
    <t>2009.8.19</t>
    <phoneticPr fontId="3" type="noConversion"/>
  </si>
  <si>
    <t>SO-NET 8月帳單</t>
    <phoneticPr fontId="3" type="noConversion"/>
  </si>
  <si>
    <t>(餘 246)</t>
    <phoneticPr fontId="3" type="noConversion"/>
  </si>
  <si>
    <t>2009.8.27</t>
    <phoneticPr fontId="3" type="noConversion"/>
  </si>
  <si>
    <t>9-10月發票</t>
    <phoneticPr fontId="3" type="noConversion"/>
  </si>
  <si>
    <t>詩預付</t>
    <phoneticPr fontId="3" type="noConversion"/>
  </si>
  <si>
    <t>2009.8.31</t>
    <phoneticPr fontId="3" type="noConversion"/>
  </si>
  <si>
    <t>台一車資</t>
    <phoneticPr fontId="3" type="noConversion"/>
  </si>
  <si>
    <t>(餘 46)</t>
    <phoneticPr fontId="3" type="noConversion"/>
  </si>
  <si>
    <t>2009.9.1</t>
    <phoneticPr fontId="3" type="noConversion"/>
  </si>
  <si>
    <t>郵寄5份發票附回郵, 1份台一合約</t>
    <phoneticPr fontId="3" type="noConversion"/>
  </si>
  <si>
    <t>郵寄台一合約補差額</t>
    <phoneticPr fontId="3" type="noConversion"/>
  </si>
  <si>
    <t>(餘 1736)</t>
    <phoneticPr fontId="3" type="noConversion"/>
  </si>
  <si>
    <t>2009.9.7</t>
    <phoneticPr fontId="3" type="noConversion"/>
  </si>
  <si>
    <t>台灣企銀HK開戶印章</t>
    <phoneticPr fontId="3" type="noConversion"/>
  </si>
  <si>
    <t>(餘 1686)</t>
    <phoneticPr fontId="3" type="noConversion"/>
  </si>
  <si>
    <t>2009.9.9</t>
    <phoneticPr fontId="3" type="noConversion"/>
  </si>
  <si>
    <t>利泰慧車資-張車</t>
    <phoneticPr fontId="3" type="noConversion"/>
  </si>
  <si>
    <t>(餘 886)</t>
    <phoneticPr fontId="3" type="noConversion"/>
  </si>
  <si>
    <t>2009.9.11</t>
    <phoneticPr fontId="3" type="noConversion"/>
  </si>
  <si>
    <t>公司悠遊卡儲值</t>
    <phoneticPr fontId="3" type="noConversion"/>
  </si>
  <si>
    <t>(餘 786)</t>
    <phoneticPr fontId="3" type="noConversion"/>
  </si>
  <si>
    <t>2009.9.14</t>
    <phoneticPr fontId="3" type="noConversion"/>
  </si>
  <si>
    <t>98.7~8 401繳款</t>
    <phoneticPr fontId="3" type="noConversion"/>
  </si>
  <si>
    <t>(餘 2786)</t>
    <phoneticPr fontId="3" type="noConversion"/>
  </si>
  <si>
    <t>2009.9.16</t>
    <phoneticPr fontId="3" type="noConversion"/>
  </si>
  <si>
    <t>98.8 水費</t>
    <phoneticPr fontId="3" type="noConversion"/>
  </si>
  <si>
    <t>98.9 SONET</t>
    <phoneticPr fontId="3" type="noConversion"/>
  </si>
  <si>
    <t>(餘 2213)</t>
    <phoneticPr fontId="3" type="noConversion"/>
  </si>
  <si>
    <t>HK台企開戶匯款 HKD$1850 (1HKD=4.23NT, 合計NT$7826), 實際匯款 HKD$1800, HK台企郵電費HKD$50</t>
    <phoneticPr fontId="3" type="noConversion"/>
  </si>
  <si>
    <t>台企忠孝郵電費(手續費$100免收)</t>
    <phoneticPr fontId="3" type="noConversion"/>
  </si>
  <si>
    <t>(餘 2667)</t>
    <phoneticPr fontId="3" type="noConversion"/>
  </si>
  <si>
    <t>9月管理費</t>
    <phoneticPr fontId="3" type="noConversion"/>
  </si>
  <si>
    <t>(餘 1462)</t>
    <phoneticPr fontId="3" type="noConversion"/>
  </si>
  <si>
    <t>2009.9.21</t>
    <phoneticPr fontId="3" type="noConversion"/>
  </si>
  <si>
    <t>寄格百維護合約-限時</t>
    <phoneticPr fontId="3" type="noConversion"/>
  </si>
  <si>
    <t>(餘 1425)</t>
    <phoneticPr fontId="3" type="noConversion"/>
  </si>
  <si>
    <t>2009.9.22</t>
    <phoneticPr fontId="3" type="noConversion"/>
  </si>
  <si>
    <t>饒媽</t>
    <phoneticPr fontId="3" type="noConversion"/>
  </si>
  <si>
    <t>2009.9.24</t>
    <phoneticPr fontId="3" type="noConversion"/>
  </si>
  <si>
    <t>寄HK台企-ADA提款FAX正本</t>
    <phoneticPr fontId="3" type="noConversion"/>
  </si>
  <si>
    <t>(餘 1416)</t>
    <phoneticPr fontId="3" type="noConversion"/>
  </si>
  <si>
    <t>2009.9.28</t>
    <phoneticPr fontId="3" type="noConversion"/>
  </si>
  <si>
    <t>補悠遊卡(寂天維修)</t>
    <phoneticPr fontId="3" type="noConversion"/>
  </si>
  <si>
    <t>(餘 1316)</t>
    <phoneticPr fontId="3" type="noConversion"/>
  </si>
  <si>
    <t>2009.9.30</t>
    <phoneticPr fontId="3" type="noConversion"/>
  </si>
  <si>
    <t>香皂</t>
    <phoneticPr fontId="3" type="noConversion"/>
  </si>
  <si>
    <t>EMS-陳媽中藥</t>
    <phoneticPr fontId="3" type="noConversion"/>
  </si>
  <si>
    <t>(餘 549)</t>
    <phoneticPr fontId="3" type="noConversion"/>
  </si>
  <si>
    <t>2009.10.9</t>
    <phoneticPr fontId="3" type="noConversion"/>
  </si>
  <si>
    <t>格百退押金</t>
    <phoneticPr fontId="3" type="noConversion"/>
  </si>
  <si>
    <t>格百退押金手續費</t>
    <phoneticPr fontId="3" type="noConversion"/>
  </si>
  <si>
    <t>2009.10.15</t>
    <phoneticPr fontId="3" type="noConversion"/>
  </si>
  <si>
    <t>補悠遊卡(邁登維修)</t>
    <phoneticPr fontId="3" type="noConversion"/>
  </si>
  <si>
    <t>(餘 349)</t>
    <phoneticPr fontId="3" type="noConversion"/>
  </si>
  <si>
    <t>2009.10.19</t>
    <phoneticPr fontId="3" type="noConversion"/>
  </si>
  <si>
    <t>10月管理費</t>
    <phoneticPr fontId="3" type="noConversion"/>
  </si>
  <si>
    <t>掛號費(喜可合約)</t>
    <phoneticPr fontId="3" type="noConversion"/>
  </si>
  <si>
    <t>掛號費(施舒雅帳單)</t>
    <phoneticPr fontId="3" type="noConversion"/>
  </si>
  <si>
    <t>車資(喜可裝機</t>
    <phoneticPr fontId="3" type="noConversion"/>
  </si>
  <si>
    <t>(餘 2084)</t>
    <phoneticPr fontId="3" type="noConversion"/>
  </si>
  <si>
    <t>2009.10.29</t>
    <phoneticPr fontId="3" type="noConversion"/>
  </si>
  <si>
    <t>$25郵票*20張</t>
    <phoneticPr fontId="3" type="noConversion"/>
  </si>
  <si>
    <t>(餘 1584)</t>
    <phoneticPr fontId="3" type="noConversion"/>
  </si>
  <si>
    <t>2009.11.04</t>
    <phoneticPr fontId="3" type="noConversion"/>
  </si>
  <si>
    <t>讀卡機</t>
    <phoneticPr fontId="3" type="noConversion"/>
  </si>
  <si>
    <t>(餘 1334)</t>
    <phoneticPr fontId="3" type="noConversion"/>
  </si>
  <si>
    <t>2009.11.06</t>
    <phoneticPr fontId="3" type="noConversion"/>
  </si>
  <si>
    <t>華三聯發票</t>
    <phoneticPr fontId="3" type="noConversion"/>
  </si>
  <si>
    <t>自然人憑証工本費</t>
    <phoneticPr fontId="3" type="noConversion"/>
  </si>
  <si>
    <t>11月水費</t>
    <phoneticPr fontId="3" type="noConversion"/>
  </si>
  <si>
    <t>(餘 872)</t>
    <phoneticPr fontId="3" type="noConversion"/>
  </si>
  <si>
    <t>2009.11.09</t>
    <phoneticPr fontId="3" type="noConversion"/>
  </si>
  <si>
    <t>台銀網銀-達中信9810代刷</t>
    <phoneticPr fontId="3" type="noConversion"/>
  </si>
  <si>
    <t>歐視票-CN 2143981-981030</t>
    <phoneticPr fontId="3" type="noConversion"/>
  </si>
  <si>
    <t>401-10月稅</t>
    <phoneticPr fontId="3" type="noConversion"/>
  </si>
  <si>
    <t>(餘 2502)</t>
    <phoneticPr fontId="3" type="noConversion"/>
  </si>
  <si>
    <t>2009.11.10</t>
    <phoneticPr fontId="3" type="noConversion"/>
  </si>
  <si>
    <t>衛生紙</t>
    <phoneticPr fontId="3" type="noConversion"/>
  </si>
  <si>
    <t>(餘 2393)</t>
    <phoneticPr fontId="3" type="noConversion"/>
  </si>
  <si>
    <t>2009.11.11</t>
    <phoneticPr fontId="3" type="noConversion"/>
  </si>
  <si>
    <t>台企印章-順豐快遞</t>
    <phoneticPr fontId="3" type="noConversion"/>
  </si>
  <si>
    <t>(餘 2263)</t>
    <phoneticPr fontId="3" type="noConversion"/>
  </si>
  <si>
    <t>合約用紙</t>
    <phoneticPr fontId="3" type="noConversion"/>
  </si>
  <si>
    <t>11月管理費</t>
    <phoneticPr fontId="3" type="noConversion"/>
  </si>
  <si>
    <t>98.10 98.11 SONET</t>
    <phoneticPr fontId="3" type="noConversion"/>
  </si>
  <si>
    <t>(餘 101)</t>
    <phoneticPr fontId="3" type="noConversion"/>
  </si>
  <si>
    <t>2009.11.18</t>
    <phoneticPr fontId="3" type="noConversion"/>
  </si>
  <si>
    <t>展鑫裝機</t>
    <phoneticPr fontId="3" type="noConversion"/>
  </si>
  <si>
    <t>2009.11.20</t>
    <phoneticPr fontId="3" type="noConversion"/>
  </si>
  <si>
    <t>海特裝機</t>
    <phoneticPr fontId="3" type="noConversion"/>
  </si>
  <si>
    <t>2009.11.23</t>
    <phoneticPr fontId="3" type="noConversion"/>
  </si>
  <si>
    <t>掛號費-海特發票重開郵寄</t>
    <phoneticPr fontId="3" type="noConversion"/>
  </si>
  <si>
    <t>(餘 76)</t>
    <phoneticPr fontId="3" type="noConversion"/>
  </si>
  <si>
    <t>3號/4號 電池</t>
    <phoneticPr fontId="3" type="noConversion"/>
  </si>
  <si>
    <t>2009.11.30</t>
    <phoneticPr fontId="3" type="noConversion"/>
  </si>
  <si>
    <t>PT快遞-寄PT哥東西至TW恩豪</t>
    <phoneticPr fontId="3" type="noConversion"/>
  </si>
  <si>
    <t>2009.12.4</t>
    <phoneticPr fontId="3" type="noConversion"/>
  </si>
  <si>
    <t>98.11思</t>
    <phoneticPr fontId="3" type="noConversion"/>
  </si>
  <si>
    <t>98.11明</t>
    <phoneticPr fontId="3" type="noConversion"/>
  </si>
  <si>
    <t>98.11達</t>
    <phoneticPr fontId="3" type="noConversion"/>
  </si>
  <si>
    <t>2009.12.7</t>
    <phoneticPr fontId="3" type="noConversion"/>
  </si>
  <si>
    <t>新力美退押金匯款
第一銀行內科園區分行-資訊部李先生
158-10005682</t>
    <phoneticPr fontId="3" type="noConversion"/>
  </si>
  <si>
    <t>新力美退押金手續費</t>
    <phoneticPr fontId="3" type="noConversion"/>
  </si>
  <si>
    <t>ada中信代刷款
10/28 PCHOME 2050
11/10 宏積科技有限公司(HD對拷機) 8400
11/11 良興電子資訊廣場台北市 3176
11/16 PCHOME 2050
11/16 PCHOME 2390
11/16 PCHOME 7756
11/18 PCHOME 2050
11/18 PCHOME 2390
11/18 PCHOME 2619
11/17 104人力銀行 2800
11/18 良興電子 700
11/20 PCHOME 3180</t>
    <phoneticPr fontId="3" type="noConversion"/>
  </si>
  <si>
    <t>(餘 5485)</t>
    <phoneticPr fontId="3" type="noConversion"/>
  </si>
  <si>
    <t>2009.12.9</t>
    <phoneticPr fontId="3" type="noConversion"/>
  </si>
  <si>
    <t>98.12 北平房租-台銀網銀轉帳</t>
    <phoneticPr fontId="3" type="noConversion"/>
  </si>
  <si>
    <r>
      <t xml:space="preserve">48094-4000(饒當初有說一人2000)-30(匯費)=
</t>
    </r>
    <r>
      <rPr>
        <sz val="12"/>
        <color indexed="10"/>
        <rFont val="新細明體"/>
        <family val="1"/>
        <charset val="136"/>
      </rPr>
      <t>44064</t>
    </r>
    <phoneticPr fontId="3" type="noConversion"/>
  </si>
  <si>
    <t>ebay輔助款-詩轉入</t>
    <phoneticPr fontId="3" type="noConversion"/>
  </si>
  <si>
    <t>2009.12.11</t>
    <phoneticPr fontId="3" type="noConversion"/>
  </si>
  <si>
    <t>12月管理費</t>
    <phoneticPr fontId="3" type="noConversion"/>
  </si>
  <si>
    <t>(餘 4280)</t>
    <phoneticPr fontId="3" type="noConversion"/>
  </si>
  <si>
    <t>(餘 4094)</t>
    <phoneticPr fontId="3" type="noConversion"/>
  </si>
  <si>
    <t>扣 11/23, 11/30 $186</t>
    <phoneticPr fontId="3" type="noConversion"/>
  </si>
  <si>
    <t>2009.12.14</t>
    <phoneticPr fontId="3" type="noConversion"/>
  </si>
  <si>
    <t>張預領獎金-(11月裝 海特, 喜可, 展鑫)</t>
    <phoneticPr fontId="3" type="noConversion"/>
  </si>
  <si>
    <t>SO-NET 12月帳單</t>
    <phoneticPr fontId="3" type="noConversion"/>
  </si>
  <si>
    <t>計程車費-愛浪裝機</t>
    <phoneticPr fontId="3" type="noConversion"/>
  </si>
  <si>
    <t>(餘 3330)</t>
    <phoneticPr fontId="3" type="noConversion"/>
  </si>
  <si>
    <t>(餘 2665)</t>
    <phoneticPr fontId="3" type="noConversion"/>
  </si>
  <si>
    <t>扣 11/18, 11/20 $665</t>
    <phoneticPr fontId="3" type="noConversion"/>
  </si>
  <si>
    <t>2009.12.29</t>
    <phoneticPr fontId="3" type="noConversion"/>
  </si>
  <si>
    <t>計程車費-崴凌裝機</t>
    <phoneticPr fontId="3" type="noConversion"/>
  </si>
  <si>
    <t>(餘 2370)</t>
    <phoneticPr fontId="3" type="noConversion"/>
  </si>
  <si>
    <t>2009.12.30</t>
    <phoneticPr fontId="3" type="noConversion"/>
  </si>
  <si>
    <t>2010.1~2月發票</t>
    <phoneticPr fontId="3" type="noConversion"/>
  </si>
  <si>
    <t>悠遊卡儲值</t>
    <phoneticPr fontId="3" type="noConversion"/>
  </si>
  <si>
    <t>易付卡</t>
    <phoneticPr fontId="3" type="noConversion"/>
  </si>
  <si>
    <t>(餘1552)</t>
    <phoneticPr fontId="3" type="noConversion"/>
  </si>
  <si>
    <t>ADA要還500</t>
    <phoneticPr fontId="3" type="noConversion"/>
  </si>
  <si>
    <t>2009.12.31</t>
    <phoneticPr fontId="3" type="noConversion"/>
  </si>
  <si>
    <t>邁登維修車資</t>
    <phoneticPr fontId="3" type="noConversion"/>
  </si>
  <si>
    <t>(餘1092)</t>
    <phoneticPr fontId="3" type="noConversion"/>
  </si>
  <si>
    <t>DV--&gt;正航(2010-05-19)</t>
    <phoneticPr fontId="3" type="noConversion"/>
  </si>
  <si>
    <t>2010.1.4</t>
    <phoneticPr fontId="3" type="noConversion"/>
  </si>
  <si>
    <t>99.1 北平房租-台銀網銀轉帳</t>
    <phoneticPr fontId="3" type="noConversion"/>
  </si>
  <si>
    <t>2010.1.5</t>
    <phoneticPr fontId="3" type="noConversion"/>
  </si>
  <si>
    <t>邁拓車資</t>
    <phoneticPr fontId="3" type="noConversion"/>
  </si>
  <si>
    <t>(餘567)</t>
    <phoneticPr fontId="3" type="noConversion"/>
  </si>
  <si>
    <t>2010.1.7</t>
    <phoneticPr fontId="3" type="noConversion"/>
  </si>
  <si>
    <t>ADA-EBAY獎金</t>
    <phoneticPr fontId="3" type="noConversion"/>
  </si>
  <si>
    <t>(餘5567)</t>
    <phoneticPr fontId="3" type="noConversion"/>
  </si>
  <si>
    <t>2010.1.11</t>
    <phoneticPr fontId="3" type="noConversion"/>
  </si>
  <si>
    <t>晉偉-12月薪</t>
    <phoneticPr fontId="3" type="noConversion"/>
  </si>
  <si>
    <t>401-98.11/98.12</t>
    <phoneticPr fontId="3" type="noConversion"/>
  </si>
  <si>
    <t>ADA中信代刷-98.12</t>
    <phoneticPr fontId="3" type="noConversion"/>
  </si>
  <si>
    <t>(餘5961)</t>
    <phoneticPr fontId="3" type="noConversion"/>
  </si>
  <si>
    <t>2010.1.13</t>
    <phoneticPr fontId="3" type="noConversion"/>
  </si>
  <si>
    <t>偉力-98.11 健保補繳</t>
    <phoneticPr fontId="3" type="noConversion"/>
  </si>
  <si>
    <t>SO-NET 1月帳單</t>
    <phoneticPr fontId="3" type="noConversion"/>
  </si>
  <si>
    <t>(餘3750)</t>
    <phoneticPr fontId="3" type="noConversion"/>
  </si>
  <si>
    <t>2010.1.14</t>
    <phoneticPr fontId="3" type="noConversion"/>
  </si>
  <si>
    <t>一月水費</t>
    <phoneticPr fontId="3" type="noConversion"/>
  </si>
  <si>
    <t>(餘3576)</t>
    <phoneticPr fontId="3" type="noConversion"/>
  </si>
  <si>
    <t>2010.1.15</t>
    <phoneticPr fontId="3" type="noConversion"/>
  </si>
  <si>
    <t>電池</t>
    <phoneticPr fontId="3" type="noConversion"/>
  </si>
  <si>
    <t>(餘3446)</t>
    <phoneticPr fontId="3" type="noConversion"/>
  </si>
  <si>
    <t>2010.1.19</t>
    <phoneticPr fontId="3" type="noConversion"/>
  </si>
  <si>
    <t>漢聯裝機車資</t>
    <phoneticPr fontId="3" type="noConversion"/>
  </si>
  <si>
    <t>(餘3176)</t>
    <phoneticPr fontId="3" type="noConversion"/>
  </si>
  <si>
    <t>2010.1.25</t>
    <phoneticPr fontId="3" type="noConversion"/>
  </si>
  <si>
    <t>1月管理費</t>
    <phoneticPr fontId="3" type="noConversion"/>
  </si>
  <si>
    <t>(餘1971)</t>
    <phoneticPr fontId="3" type="noConversion"/>
  </si>
  <si>
    <t>2010.1.26</t>
    <phoneticPr fontId="3" type="noConversion"/>
  </si>
  <si>
    <t>SKYPE通話費</t>
    <phoneticPr fontId="3" type="noConversion"/>
  </si>
  <si>
    <t>2010.2.1</t>
    <phoneticPr fontId="3" type="noConversion"/>
  </si>
  <si>
    <t>99.2 北平房租-台銀網銀轉帳</t>
    <phoneticPr fontId="3" type="noConversion"/>
  </si>
  <si>
    <t>2010.2.2</t>
    <phoneticPr fontId="3" type="noConversion"/>
  </si>
  <si>
    <t>達算 98/11 健保</t>
    <phoneticPr fontId="3" type="noConversion"/>
  </si>
  <si>
    <t>(餘388)</t>
    <phoneticPr fontId="3" type="noConversion"/>
  </si>
  <si>
    <t>2010.2.6</t>
    <phoneticPr fontId="3" type="noConversion"/>
  </si>
  <si>
    <t>晉偉-薪-99.01</t>
    <phoneticPr fontId="3" type="noConversion"/>
  </si>
  <si>
    <t>零用金</t>
    <phoneticPr fontId="3" type="noConversion"/>
  </si>
  <si>
    <t>(餘5388)</t>
    <phoneticPr fontId="3" type="noConversion"/>
  </si>
  <si>
    <t>2010.2.9</t>
    <phoneticPr fontId="3" type="noConversion"/>
  </si>
  <si>
    <t>裝機車資-杉坤</t>
    <phoneticPr fontId="3" type="noConversion"/>
  </si>
  <si>
    <t>(餘4888)</t>
    <phoneticPr fontId="3" type="noConversion"/>
  </si>
  <si>
    <t>2010.2.10</t>
    <phoneticPr fontId="3" type="noConversion"/>
  </si>
  <si>
    <t>中信卡款-9901, 達代付</t>
    <phoneticPr fontId="3" type="noConversion"/>
  </si>
  <si>
    <t>2010.3.1</t>
    <phoneticPr fontId="3" type="noConversion"/>
  </si>
  <si>
    <t>99.3 北平房租-台銀網銀轉帳</t>
    <phoneticPr fontId="3" type="noConversion"/>
  </si>
  <si>
    <t>2月管理費</t>
    <phoneticPr fontId="3" type="noConversion"/>
  </si>
  <si>
    <t>3月管理費</t>
    <phoneticPr fontId="3" type="noConversion"/>
  </si>
  <si>
    <t>(餘2478)</t>
    <phoneticPr fontId="3" type="noConversion"/>
  </si>
  <si>
    <t>(餘2278)</t>
    <phoneticPr fontId="3" type="noConversion"/>
  </si>
  <si>
    <t>(2010.1.26 skype點數)</t>
    <phoneticPr fontId="3" type="noConversion"/>
  </si>
  <si>
    <t>2010.3.5</t>
    <phoneticPr fontId="3" type="noConversion"/>
  </si>
  <si>
    <t>繳 401 - 99.01 / 99.02</t>
    <phoneticPr fontId="3" type="noConversion"/>
  </si>
  <si>
    <t>2010.3.8</t>
    <phoneticPr fontId="3" type="noConversion"/>
  </si>
  <si>
    <t>EBAY-郵資禮券</t>
    <phoneticPr fontId="3" type="noConversion"/>
  </si>
  <si>
    <t>(餘11878)</t>
    <phoneticPr fontId="3" type="noConversion"/>
  </si>
  <si>
    <t>達算-饒 98.12 保險費</t>
    <phoneticPr fontId="3" type="noConversion"/>
  </si>
  <si>
    <t>7-11繳款手續費</t>
    <phoneticPr fontId="3" type="noConversion"/>
  </si>
  <si>
    <t>(餘10292)</t>
    <phoneticPr fontId="3" type="noConversion"/>
  </si>
  <si>
    <t>2010.3.10</t>
    <phoneticPr fontId="3" type="noConversion"/>
  </si>
  <si>
    <t>信封</t>
    <phoneticPr fontId="3" type="noConversion"/>
  </si>
  <si>
    <t>5元郵票*14</t>
    <phoneticPr fontId="3" type="noConversion"/>
  </si>
  <si>
    <t>(餘10172)</t>
    <phoneticPr fontId="3" type="noConversion"/>
  </si>
  <si>
    <t>2010.3.11</t>
    <phoneticPr fontId="3" type="noConversion"/>
  </si>
  <si>
    <t>配鎖匙 2* @25</t>
    <phoneticPr fontId="3" type="noConversion"/>
  </si>
  <si>
    <t>SO-NET 2月/3月帳單</t>
    <phoneticPr fontId="3" type="noConversion"/>
  </si>
  <si>
    <t>(餘9324)</t>
    <phoneticPr fontId="3" type="noConversion"/>
  </si>
  <si>
    <t>2010.3.12</t>
    <phoneticPr fontId="3" type="noConversion"/>
  </si>
  <si>
    <t>DV還KV (網銀)</t>
    <phoneticPr fontId="3" type="noConversion"/>
  </si>
  <si>
    <t>DV借用</t>
    <phoneticPr fontId="3" type="noConversion"/>
  </si>
  <si>
    <t>(餘4324)</t>
    <phoneticPr fontId="3" type="noConversion"/>
  </si>
  <si>
    <t>光興裝機(去-$750,回-$250 同一台計程車)</t>
    <phoneticPr fontId="3" type="noConversion"/>
  </si>
  <si>
    <t>(餘3324)</t>
    <phoneticPr fontId="3" type="noConversion"/>
  </si>
  <si>
    <t>2010.3.13</t>
    <phoneticPr fontId="3" type="noConversion"/>
  </si>
  <si>
    <t>甦活謝卡 (張代拿)</t>
    <phoneticPr fontId="3" type="noConversion"/>
  </si>
  <si>
    <t>(餘2925)</t>
    <phoneticPr fontId="3" type="noConversion"/>
  </si>
  <si>
    <t>2010.3.25</t>
    <phoneticPr fontId="3" type="noConversion"/>
  </si>
  <si>
    <t>垃圾袋</t>
    <phoneticPr fontId="3" type="noConversion"/>
  </si>
  <si>
    <t>(餘2835)</t>
    <phoneticPr fontId="3" type="noConversion"/>
  </si>
  <si>
    <t>2010.3.31</t>
    <phoneticPr fontId="3" type="noConversion"/>
  </si>
  <si>
    <t>(餘2559)</t>
    <phoneticPr fontId="3" type="noConversion"/>
  </si>
  <si>
    <t>2010.4.1</t>
    <phoneticPr fontId="3" type="noConversion"/>
  </si>
  <si>
    <t>99.4 北平房租-台銀網銀轉帳</t>
    <phoneticPr fontId="3" type="noConversion"/>
  </si>
  <si>
    <t>DV媽 9901~9906(@6000) + 4000紅包</t>
    <phoneticPr fontId="3" type="noConversion"/>
  </si>
  <si>
    <t>99.3.25 愛浪-2 AD9472092 $14175
99.3.10 展鑫-2 AD8667467 $13500
99.3.20 台一-3 GY0961228 $13500
99.3.30 汎輝 UC7098520 $16500
99.3.31 大成-6 AD9924022 $13230
99.3.31 利泰慧-3 EJ0018295 $13500
99.3.15 光興-1 AA3419071 $13500</t>
    <phoneticPr fontId="3" type="noConversion"/>
  </si>
  <si>
    <t>2010.4.6</t>
    <phoneticPr fontId="3" type="noConversion"/>
  </si>
  <si>
    <t>99.3 達 $63796</t>
    <phoneticPr fontId="3" type="noConversion"/>
  </si>
  <si>
    <t>99.3 張 $29000</t>
    <phoneticPr fontId="3" type="noConversion"/>
  </si>
  <si>
    <t>99.3 偉 $23536 (網轉ADA-&gt;4/6 ATM)</t>
    <phoneticPr fontId="3" type="noConversion"/>
  </si>
  <si>
    <t>DMT AFAN0409F (網轉ADA-&gt;4/7 ATM)</t>
    <phoneticPr fontId="3" type="noConversion"/>
  </si>
  <si>
    <t>2010.4.7</t>
    <phoneticPr fontId="3" type="noConversion"/>
  </si>
  <si>
    <t>(華城中-&gt;ADA城中)付健保*3, 餘轉零用金)</t>
    <phoneticPr fontId="3" type="noConversion"/>
  </si>
  <si>
    <t>99年2月追繳補繳中斷投保保費-胡漢玲</t>
    <phoneticPr fontId="3" type="noConversion"/>
  </si>
  <si>
    <t>達算 98/12 健保  (重覆繳抵 99/03 健保)</t>
    <phoneticPr fontId="3" type="noConversion"/>
  </si>
  <si>
    <t>達算 99/01 健保</t>
    <phoneticPr fontId="3" type="noConversion"/>
  </si>
  <si>
    <t>手續費---便利商店繳款</t>
    <phoneticPr fontId="3" type="noConversion"/>
  </si>
  <si>
    <t>手續費---DMT AFAN0409F (網轉ADA-&gt;4/7 ATM)</t>
    <phoneticPr fontId="3" type="noConversion"/>
  </si>
  <si>
    <t>(餘5523)</t>
    <phoneticPr fontId="3" type="noConversion"/>
  </si>
  <si>
    <t>2010.4.9</t>
    <phoneticPr fontId="3" type="noConversion"/>
  </si>
  <si>
    <t>庭田計程車資</t>
    <phoneticPr fontId="3" type="noConversion"/>
  </si>
  <si>
    <t>(餘5323)</t>
    <phoneticPr fontId="3" type="noConversion"/>
  </si>
  <si>
    <t>2010.4.12</t>
    <phoneticPr fontId="3" type="noConversion"/>
  </si>
  <si>
    <t>邁登換RAM-油資</t>
    <phoneticPr fontId="3" type="noConversion"/>
  </si>
  <si>
    <t>(餘5209)</t>
    <phoneticPr fontId="3" type="noConversion"/>
  </si>
  <si>
    <t>2010.4.13</t>
    <phoneticPr fontId="3" type="noConversion"/>
  </si>
  <si>
    <t>4月管理費</t>
    <phoneticPr fontId="3" type="noConversion"/>
  </si>
  <si>
    <t>(餘4004)</t>
    <phoneticPr fontId="3" type="noConversion"/>
  </si>
  <si>
    <t>台銀城中-&gt;ADA,中信代刷 3/2 13328, 3/9 10439</t>
    <phoneticPr fontId="3" type="noConversion"/>
  </si>
  <si>
    <t>2010.4.20</t>
    <phoneticPr fontId="3" type="noConversion"/>
  </si>
  <si>
    <t>楊梅鴻碩裝機-來回各$1300折扣$200(未拿收據)</t>
    <phoneticPr fontId="3" type="noConversion"/>
  </si>
  <si>
    <t>(餘1604)</t>
    <phoneticPr fontId="3" type="noConversion"/>
  </si>
  <si>
    <t>2010.4.22</t>
    <phoneticPr fontId="3" type="noConversion"/>
  </si>
  <si>
    <t>協憶通裝機車資 $75+$95</t>
    <phoneticPr fontId="3" type="noConversion"/>
  </si>
  <si>
    <t>(餘1434)</t>
    <phoneticPr fontId="3" type="noConversion"/>
  </si>
  <si>
    <t>2010.4.26</t>
    <phoneticPr fontId="3" type="noConversion"/>
  </si>
  <si>
    <t>友士-AD6284641-2010.4.26-16380-2010.4.23收</t>
    <phoneticPr fontId="3" type="noConversion"/>
  </si>
  <si>
    <t>威視-UW1130322-2010.4.1-4725-14</t>
    <phoneticPr fontId="3" type="noConversion"/>
  </si>
  <si>
    <t>益睿-AW1743257-2010.4.15-11340-6</t>
    <phoneticPr fontId="3" type="noConversion"/>
  </si>
  <si>
    <t>廣豪-BC4853944-2010.4.18-9450-1</t>
    <phoneticPr fontId="3" type="noConversion"/>
  </si>
  <si>
    <t>漢聯-AA3825077-2010.4.19-14175-2</t>
    <phoneticPr fontId="3" type="noConversion"/>
  </si>
  <si>
    <t>邁拓-AD7325163-2010.4.1-14175-2</t>
    <phoneticPr fontId="3" type="noConversion"/>
  </si>
  <si>
    <t>2010.4.29</t>
    <phoneticPr fontId="3" type="noConversion"/>
  </si>
  <si>
    <t>威倫裝機車資-155/165(未裝成)</t>
    <phoneticPr fontId="3" type="noConversion"/>
  </si>
  <si>
    <t>(餘1114)</t>
    <phoneticPr fontId="3" type="noConversion"/>
  </si>
  <si>
    <t>2010.4.30</t>
    <phoneticPr fontId="3" type="noConversion"/>
  </si>
  <si>
    <t>西拓-XA4812373-2010.4.30-12600-4</t>
    <phoneticPr fontId="3" type="noConversion"/>
  </si>
  <si>
    <t>歐視-CN2143983-2010.4.30-11340-3</t>
    <phoneticPr fontId="3" type="noConversion"/>
  </si>
  <si>
    <t>達翌-BA4419092-2010.4.30-10800-1</t>
    <phoneticPr fontId="3" type="noConversion"/>
  </si>
  <si>
    <t>鴻碩-HS0131170-2010.4.30-14175-1 20100420-0719</t>
    <phoneticPr fontId="3" type="noConversion"/>
  </si>
  <si>
    <t>喜可-AA1156112-2010.4.30-14175-3</t>
    <phoneticPr fontId="3" type="noConversion"/>
  </si>
  <si>
    <t>2010.5.3</t>
    <phoneticPr fontId="3" type="noConversion"/>
  </si>
  <si>
    <t>99.5 北平房租-台銀網銀轉帳</t>
    <phoneticPr fontId="3" type="noConversion"/>
  </si>
  <si>
    <t>99.5~6月發票</t>
    <phoneticPr fontId="3" type="noConversion"/>
  </si>
  <si>
    <t>(餘1096)</t>
    <phoneticPr fontId="3" type="noConversion"/>
  </si>
  <si>
    <t>2010.5.4</t>
    <phoneticPr fontId="3" type="noConversion"/>
  </si>
  <si>
    <t>寄接頭/膠帶/修正帶給詩貨運費</t>
    <phoneticPr fontId="3" type="noConversion"/>
  </si>
  <si>
    <t>(餘986)</t>
    <phoneticPr fontId="3" type="noConversion"/>
  </si>
  <si>
    <t>2010.5.5</t>
    <phoneticPr fontId="3" type="noConversion"/>
  </si>
  <si>
    <t>99.4 張</t>
    <phoneticPr fontId="3" type="noConversion"/>
  </si>
  <si>
    <t>99.4 達</t>
    <phoneticPr fontId="3" type="noConversion"/>
  </si>
  <si>
    <t>99.4 晉</t>
    <phoneticPr fontId="3" type="noConversion"/>
  </si>
  <si>
    <t>(餘5986)</t>
    <phoneticPr fontId="3" type="noConversion"/>
  </si>
  <si>
    <t>2010.5.6</t>
    <phoneticPr fontId="3" type="noConversion"/>
  </si>
  <si>
    <t>威倫裝機車資-165/185</t>
    <phoneticPr fontId="3" type="noConversion"/>
  </si>
  <si>
    <t>(餘5636)</t>
    <phoneticPr fontId="3" type="noConversion"/>
  </si>
  <si>
    <t>99.4-401費用轉達</t>
    <phoneticPr fontId="3" type="noConversion"/>
  </si>
  <si>
    <t>2010.5.10</t>
    <phoneticPr fontId="3" type="noConversion"/>
  </si>
  <si>
    <t>99.4-401費用繳款</t>
    <phoneticPr fontId="3" type="noConversion"/>
  </si>
  <si>
    <t>25元郵票*8張</t>
    <phoneticPr fontId="3" type="noConversion"/>
  </si>
  <si>
    <t>(餘5436)</t>
    <phoneticPr fontId="3" type="noConversion"/>
  </si>
  <si>
    <t>5月管理費</t>
    <phoneticPr fontId="3" type="noConversion"/>
  </si>
  <si>
    <t>(餘4231)</t>
    <phoneticPr fontId="3" type="noConversion"/>
  </si>
  <si>
    <t>2010.5.11</t>
    <phoneticPr fontId="3" type="noConversion"/>
  </si>
  <si>
    <t>DV-媽紅包,台銀城中-&gt;達領現</t>
    <phoneticPr fontId="3" type="noConversion"/>
  </si>
  <si>
    <t>skype 帳號 koofficecn 點數 - 張用</t>
    <phoneticPr fontId="3" type="noConversion"/>
  </si>
  <si>
    <t>(餘4132)</t>
    <phoneticPr fontId="3" type="noConversion"/>
  </si>
  <si>
    <t>達算 99/02 健保</t>
    <phoneticPr fontId="3" type="noConversion"/>
  </si>
  <si>
    <t>(餘2549)</t>
    <phoneticPr fontId="3" type="noConversion"/>
  </si>
  <si>
    <t>2010.5.13</t>
    <phoneticPr fontId="3" type="noConversion"/>
  </si>
  <si>
    <t>SO-NET 4月帳單</t>
    <phoneticPr fontId="3" type="noConversion"/>
  </si>
  <si>
    <t>SO-NET 5月帳單</t>
    <phoneticPr fontId="3" type="noConversion"/>
  </si>
  <si>
    <t>(餘1751)</t>
    <phoneticPr fontId="3" type="noConversion"/>
  </si>
  <si>
    <t>2010.5.19</t>
    <phoneticPr fontId="3" type="noConversion"/>
  </si>
  <si>
    <t>(餘1642)</t>
    <phoneticPr fontId="3" type="noConversion"/>
  </si>
  <si>
    <t>2010.5.24</t>
    <phoneticPr fontId="3" type="noConversion"/>
  </si>
  <si>
    <t>98.2 房租稅金2600 + 利息 $39</t>
    <phoneticPr fontId="3" type="noConversion"/>
  </si>
  <si>
    <t>大阪京維護油資</t>
    <phoneticPr fontId="3" type="noConversion"/>
  </si>
  <si>
    <t>大阪京維護機車停車費</t>
    <phoneticPr fontId="3" type="noConversion"/>
  </si>
  <si>
    <t>(餘1518)</t>
    <phoneticPr fontId="3" type="noConversion"/>
  </si>
  <si>
    <t>2010.5.25</t>
    <phoneticPr fontId="3" type="noConversion"/>
  </si>
  <si>
    <t>文具</t>
    <phoneticPr fontId="3" type="noConversion"/>
  </si>
  <si>
    <t>(餘1453)</t>
    <phoneticPr fontId="3" type="noConversion"/>
  </si>
  <si>
    <t>2010.5.26</t>
    <phoneticPr fontId="3" type="noConversion"/>
  </si>
  <si>
    <t>報稅影印</t>
    <phoneticPr fontId="3" type="noConversion"/>
  </si>
  <si>
    <t>(餘1370)</t>
    <phoneticPr fontId="3" type="noConversion"/>
  </si>
  <si>
    <t>品固裝機計程車車資</t>
    <phoneticPr fontId="3" type="noConversion"/>
  </si>
  <si>
    <t>(餘990)</t>
    <phoneticPr fontId="3" type="noConversion"/>
  </si>
  <si>
    <t>2010.5.27</t>
    <phoneticPr fontId="3" type="noConversion"/>
  </si>
  <si>
    <t>報稅計程車資</t>
    <phoneticPr fontId="3" type="noConversion"/>
  </si>
  <si>
    <t>(餘805)</t>
    <phoneticPr fontId="3" type="noConversion"/>
  </si>
  <si>
    <t>2010.6.1</t>
    <phoneticPr fontId="3" type="noConversion"/>
  </si>
  <si>
    <t>99.6 北平房租-台銀網銀轉帳</t>
    <phoneticPr fontId="3" type="noConversion"/>
  </si>
  <si>
    <t>2010.6.3</t>
    <phoneticPr fontId="3" type="noConversion"/>
  </si>
  <si>
    <t>道法裝機計程車車資</t>
    <phoneticPr fontId="3" type="noConversion"/>
  </si>
  <si>
    <t>(餘575)</t>
    <phoneticPr fontId="3" type="noConversion"/>
  </si>
  <si>
    <t>(餘5575)</t>
    <phoneticPr fontId="3" type="noConversion"/>
  </si>
  <si>
    <t>2010.6.7</t>
    <phoneticPr fontId="3" type="noConversion"/>
  </si>
  <si>
    <t>99.5 張</t>
    <phoneticPr fontId="3" type="noConversion"/>
  </si>
  <si>
    <t>99.5 達</t>
    <phoneticPr fontId="3" type="noConversion"/>
  </si>
  <si>
    <t>99.5 晉</t>
    <phoneticPr fontId="3" type="noConversion"/>
  </si>
  <si>
    <t>2010.6.8</t>
    <phoneticPr fontId="3" type="noConversion"/>
  </si>
  <si>
    <t>3月水費逾期補繳</t>
    <phoneticPr fontId="3" type="noConversion"/>
  </si>
  <si>
    <t>(餘5238)</t>
    <phoneticPr fontId="3" type="noConversion"/>
  </si>
  <si>
    <t>2010.6.9</t>
    <phoneticPr fontId="3" type="noConversion"/>
  </si>
  <si>
    <t>FAX傳真紙</t>
    <phoneticPr fontId="3" type="noConversion"/>
  </si>
  <si>
    <t>(餘5168)</t>
    <phoneticPr fontId="3" type="noConversion"/>
  </si>
  <si>
    <t>2010.6.10</t>
    <phoneticPr fontId="3" type="noConversion"/>
  </si>
  <si>
    <t>中信卡款-9905, 達代付 ($26533欠達$6533) 7.30 己還</t>
    <phoneticPr fontId="3" type="noConversion"/>
  </si>
  <si>
    <t>2010.6.15</t>
    <phoneticPr fontId="3" type="noConversion"/>
  </si>
  <si>
    <t>愛浪II裝機計程車車資</t>
    <phoneticPr fontId="3" type="noConversion"/>
  </si>
  <si>
    <t>(餘4803)</t>
    <phoneticPr fontId="3" type="noConversion"/>
  </si>
  <si>
    <t>2010.6.14</t>
    <phoneticPr fontId="3" type="noConversion"/>
  </si>
  <si>
    <t>饒媽 99.7-99.12 零用</t>
    <phoneticPr fontId="3" type="noConversion"/>
  </si>
  <si>
    <t>2010.6.18</t>
    <phoneticPr fontId="3" type="noConversion"/>
  </si>
  <si>
    <t>6月管理費</t>
    <phoneticPr fontId="3" type="noConversion"/>
  </si>
  <si>
    <t>(餘3598)</t>
    <phoneticPr fontId="3" type="noConversion"/>
  </si>
  <si>
    <t>2010.6.22</t>
    <phoneticPr fontId="3" type="noConversion"/>
  </si>
  <si>
    <t>庭田合約發票掛號</t>
    <phoneticPr fontId="3" type="noConversion"/>
  </si>
  <si>
    <t>(餘3563)</t>
    <phoneticPr fontId="3" type="noConversion"/>
  </si>
  <si>
    <t>2010.6.23</t>
    <phoneticPr fontId="3" type="noConversion"/>
  </si>
  <si>
    <t>方還DV錢(6/3借 2千RMB還一萬NT)</t>
    <phoneticPr fontId="3" type="noConversion"/>
  </si>
  <si>
    <t>(餘13563)</t>
    <phoneticPr fontId="3" type="noConversion"/>
  </si>
  <si>
    <t>2010.6.28</t>
    <phoneticPr fontId="3" type="noConversion"/>
  </si>
  <si>
    <t>殺蟲劑</t>
    <phoneticPr fontId="3" type="noConversion"/>
  </si>
  <si>
    <t>白膠帶</t>
    <phoneticPr fontId="3" type="noConversion"/>
  </si>
  <si>
    <t>(餘13386)</t>
    <phoneticPr fontId="3" type="noConversion"/>
  </si>
  <si>
    <t>2010.7.1</t>
    <phoneticPr fontId="3" type="noConversion"/>
  </si>
  <si>
    <t>99.7 北平房租-台銀網銀轉帳</t>
    <phoneticPr fontId="3" type="noConversion"/>
  </si>
  <si>
    <t>客服台灣大哥大補充卡儲存延長半年至2011.1.2</t>
    <phoneticPr fontId="3" type="noConversion"/>
  </si>
  <si>
    <t>(餘13086)</t>
    <phoneticPr fontId="3" type="noConversion"/>
  </si>
  <si>
    <t>(補回$125)</t>
    <phoneticPr fontId="3" type="noConversion"/>
  </si>
  <si>
    <t>2010.7.5</t>
    <phoneticPr fontId="3" type="noConversion"/>
  </si>
  <si>
    <t>99.6 張</t>
    <phoneticPr fontId="3" type="noConversion"/>
  </si>
  <si>
    <t>99.6 達</t>
    <phoneticPr fontId="3" type="noConversion"/>
  </si>
  <si>
    <t>99.6 晉</t>
    <phoneticPr fontId="3" type="noConversion"/>
  </si>
  <si>
    <t>2010.7.6</t>
    <phoneticPr fontId="3" type="noConversion"/>
  </si>
  <si>
    <t>99.5.22 dv 拍賣</t>
    <phoneticPr fontId="3" type="noConversion"/>
  </si>
  <si>
    <t>99.6.14 dv 拍賣</t>
    <phoneticPr fontId="3" type="noConversion"/>
  </si>
  <si>
    <t>(餘23061)</t>
    <phoneticPr fontId="3" type="noConversion"/>
  </si>
  <si>
    <t>2010.7.8</t>
    <phoneticPr fontId="3" type="noConversion"/>
  </si>
  <si>
    <t>99.7水費</t>
    <phoneticPr fontId="3" type="noConversion"/>
  </si>
  <si>
    <t>(餘22882)</t>
    <phoneticPr fontId="3" type="noConversion"/>
  </si>
  <si>
    <t>中信卡款-9906, 達代付</t>
    <phoneticPr fontId="3" type="noConversion"/>
  </si>
  <si>
    <t>2010.7.9</t>
    <phoneticPr fontId="3" type="noConversion"/>
  </si>
  <si>
    <t>99.6-401費用繳款, 達代付 (欠達$37020) 7.30 己還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</si>
  <si>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$6000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</si>
  <si>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7月管理費</t>
    <phoneticPr fontId="3" type="noConversion"/>
  </si>
  <si>
    <t>(餘21677)</t>
    <phoneticPr fontId="3" type="noConversion"/>
  </si>
  <si>
    <t>2010.7.14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</si>
  <si>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$150000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</si>
  <si>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2010.7.15</t>
    <phoneticPr fontId="3" type="noConversion"/>
  </si>
  <si>
    <t>99.7-8月發票</t>
    <phoneticPr fontId="3" type="noConversion"/>
  </si>
  <si>
    <t>(餘21659)</t>
    <phoneticPr fontId="3" type="noConversion"/>
  </si>
  <si>
    <t>2010.7.21</t>
    <phoneticPr fontId="3" type="noConversion"/>
  </si>
  <si>
    <t>SO-NET 6月帳單</t>
    <phoneticPr fontId="3" type="noConversion"/>
  </si>
  <si>
    <t>SO-NET 7月帳單</t>
    <phoneticPr fontId="3" type="noConversion"/>
  </si>
  <si>
    <t>(餘20861)</t>
    <phoneticPr fontId="3" type="noConversion"/>
  </si>
  <si>
    <t>2010.7.23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</si>
  <si>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$162016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</si>
  <si>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2010.7.27</t>
    <phoneticPr fontId="3" type="noConversion"/>
  </si>
  <si>
    <t>台一換網線機車油資</t>
    <phoneticPr fontId="3" type="noConversion"/>
  </si>
  <si>
    <t>(餘20776)</t>
    <phoneticPr fontId="3" type="noConversion"/>
  </si>
  <si>
    <t>2010.7.30</t>
    <phoneticPr fontId="3" type="noConversion"/>
  </si>
  <si>
    <t>NU.PP -&gt; 達台銀 -&gt; 華台銀</t>
    <phoneticPr fontId="3" type="noConversion"/>
  </si>
  <si>
    <r>
      <rPr>
        <strike/>
        <sz val="12"/>
        <rFont val="新細明體"/>
        <family val="1"/>
        <charset val="136"/>
      </rPr>
      <t>162016</t>
    </r>
    <r>
      <rPr>
        <sz val="12"/>
        <rFont val="新細明體"/>
        <family val="1"/>
        <charset val="136"/>
      </rPr>
      <t xml:space="preserve">
118463</t>
    </r>
    <phoneticPr fontId="3" type="noConversion"/>
  </si>
  <si>
    <t>NU.PP -&gt; 達台銀 -&gt; 華台銀(扣 6.10 $6533, 7.9 $37020)</t>
    <phoneticPr fontId="3" type="noConversion"/>
  </si>
  <si>
    <t>2010.8.2</t>
    <phoneticPr fontId="3" type="noConversion"/>
  </si>
  <si>
    <t>99.8 北平房租-台銀網銀轉帳</t>
    <phoneticPr fontId="3" type="noConversion"/>
  </si>
  <si>
    <t>2010.8.5</t>
    <phoneticPr fontId="3" type="noConversion"/>
  </si>
  <si>
    <t>99.7 達</t>
    <phoneticPr fontId="3" type="noConversion"/>
  </si>
  <si>
    <t>99.7 永</t>
    <phoneticPr fontId="3" type="noConversion"/>
  </si>
  <si>
    <t>2010.8.9</t>
    <phoneticPr fontId="3" type="noConversion"/>
  </si>
  <si>
    <t>歐視維修油資</t>
    <phoneticPr fontId="3" type="noConversion"/>
  </si>
  <si>
    <t>A4報表紙</t>
    <phoneticPr fontId="3" type="noConversion"/>
  </si>
  <si>
    <t>(餘20546)</t>
    <phoneticPr fontId="3" type="noConversion"/>
  </si>
  <si>
    <t>2010.8.10</t>
    <phoneticPr fontId="3" type="noConversion"/>
  </si>
  <si>
    <t>賣偉力HD-320G</t>
    <phoneticPr fontId="3" type="noConversion"/>
  </si>
  <si>
    <t>(餘22105)</t>
    <phoneticPr fontId="3" type="noConversion"/>
  </si>
  <si>
    <t>2010.8.12</t>
    <phoneticPr fontId="3" type="noConversion"/>
  </si>
  <si>
    <t>(餘20900)</t>
    <phoneticPr fontId="3" type="noConversion"/>
  </si>
  <si>
    <t>垃圾袋*2</t>
    <phoneticPr fontId="3" type="noConversion"/>
  </si>
  <si>
    <t>(餘20810)</t>
    <phoneticPr fontId="3" type="noConversion"/>
  </si>
  <si>
    <t>2010.8.16</t>
    <phoneticPr fontId="3" type="noConversion"/>
  </si>
  <si>
    <t>中信卡款-9907, 達代付</t>
    <phoneticPr fontId="3" type="noConversion"/>
  </si>
  <si>
    <t>2010.8.17</t>
    <phoneticPr fontId="3" type="noConversion"/>
  </si>
  <si>
    <t>台銀-華 -&gt; 郵局饒</t>
    <phoneticPr fontId="3" type="noConversion"/>
  </si>
  <si>
    <t>(實際為318016)</t>
    <phoneticPr fontId="3" type="noConversion"/>
  </si>
  <si>
    <t>滙費</t>
    <phoneticPr fontId="3" type="noConversion"/>
  </si>
  <si>
    <t>(餘20780)</t>
    <phoneticPr fontId="3" type="noConversion"/>
  </si>
  <si>
    <t>戈采裝機計程車資</t>
    <phoneticPr fontId="3" type="noConversion"/>
  </si>
  <si>
    <t>(餘20570)</t>
    <phoneticPr fontId="3" type="noConversion"/>
  </si>
  <si>
    <t>2010.8.18</t>
    <phoneticPr fontId="3" type="noConversion"/>
  </si>
  <si>
    <t>太暘裝機計程車資</t>
    <phoneticPr fontId="3" type="noConversion"/>
  </si>
  <si>
    <t>(餘19830)</t>
    <phoneticPr fontId="3" type="noConversion"/>
  </si>
  <si>
    <t>2010.8.24</t>
    <phoneticPr fontId="3" type="noConversion"/>
  </si>
  <si>
    <t>庭田裝機計程車資</t>
    <phoneticPr fontId="3" type="noConversion"/>
  </si>
  <si>
    <t>(餘19440)</t>
    <phoneticPr fontId="3" type="noConversion"/>
  </si>
  <si>
    <t>2010.8.25</t>
    <phoneticPr fontId="3" type="noConversion"/>
  </si>
  <si>
    <t>詩寄DV行李</t>
    <phoneticPr fontId="3" type="noConversion"/>
  </si>
  <si>
    <t>(餘19320)</t>
    <phoneticPr fontId="3" type="noConversion"/>
  </si>
  <si>
    <t>2010.8.26</t>
    <phoneticPr fontId="3" type="noConversion"/>
  </si>
  <si>
    <t>寄誠全合約.發票限掛</t>
    <phoneticPr fontId="3" type="noConversion"/>
  </si>
  <si>
    <t>25元郵票20張</t>
    <phoneticPr fontId="3" type="noConversion"/>
  </si>
  <si>
    <t>(餘18778)</t>
    <phoneticPr fontId="3" type="noConversion"/>
  </si>
  <si>
    <t>2010.8.30</t>
    <phoneticPr fontId="3" type="noConversion"/>
  </si>
  <si>
    <t>寄泰聯合約.發票限掛</t>
    <phoneticPr fontId="3" type="noConversion"/>
  </si>
  <si>
    <t>(餘18736)</t>
    <phoneticPr fontId="3" type="noConversion"/>
  </si>
  <si>
    <t>2010.9.1</t>
    <phoneticPr fontId="3" type="noConversion"/>
  </si>
  <si>
    <t>99.9 北平房租-台銀網銀轉帳</t>
    <phoneticPr fontId="3" type="noConversion"/>
  </si>
  <si>
    <t>怡和保全退保証金</t>
    <phoneticPr fontId="3" type="noConversion"/>
  </si>
  <si>
    <t>匯怡和保全手續費</t>
    <phoneticPr fontId="3" type="noConversion"/>
  </si>
  <si>
    <t>(餘18706)</t>
    <phoneticPr fontId="3" type="noConversion"/>
  </si>
  <si>
    <t>2010.9.6</t>
    <phoneticPr fontId="3" type="noConversion"/>
  </si>
  <si>
    <t>99.8 達</t>
    <phoneticPr fontId="3" type="noConversion"/>
  </si>
  <si>
    <t>99.8 永</t>
    <phoneticPr fontId="3" type="noConversion"/>
  </si>
  <si>
    <t>99.8 証</t>
    <phoneticPr fontId="3" type="noConversion"/>
  </si>
  <si>
    <t>DV借</t>
    <phoneticPr fontId="3" type="noConversion"/>
  </si>
  <si>
    <t>掛號-浩檀合約發票</t>
    <phoneticPr fontId="3" type="noConversion"/>
  </si>
  <si>
    <t>橡皮章-達算支票背書</t>
    <phoneticPr fontId="3" type="noConversion"/>
  </si>
  <si>
    <t>(餘8496)</t>
    <phoneticPr fontId="3" type="noConversion"/>
  </si>
  <si>
    <t>99.9.8 $8520 多24</t>
    <phoneticPr fontId="3" type="noConversion"/>
  </si>
  <si>
    <t>$17420---401-7/8月 ADA代墊-2010/09/20己還</t>
    <phoneticPr fontId="3" type="noConversion"/>
  </si>
  <si>
    <t>2010.9.8</t>
    <phoneticPr fontId="3" type="noConversion"/>
  </si>
  <si>
    <t>掛號費-恩豪合約發票</t>
    <phoneticPr fontId="3" type="noConversion"/>
  </si>
  <si>
    <t>(餘8451)</t>
    <phoneticPr fontId="3" type="noConversion"/>
  </si>
  <si>
    <t>2010.9.15</t>
    <phoneticPr fontId="3" type="noConversion"/>
  </si>
  <si>
    <t>SO-NET 9月帳單</t>
    <phoneticPr fontId="3" type="noConversion"/>
  </si>
  <si>
    <t>回收塑膠袋</t>
    <phoneticPr fontId="3" type="noConversion"/>
  </si>
  <si>
    <t>(餘6271)</t>
    <phoneticPr fontId="3" type="noConversion"/>
  </si>
  <si>
    <t>2010.9.20</t>
    <phoneticPr fontId="3" type="noConversion"/>
  </si>
  <si>
    <t>401-99-7/8月 還ADA0906代墊</t>
    <phoneticPr fontId="3" type="noConversion"/>
  </si>
  <si>
    <t>中信卡款-9908, 達代付</t>
    <phoneticPr fontId="3" type="noConversion"/>
  </si>
  <si>
    <t>2010.9.21</t>
    <phoneticPr fontId="3" type="noConversion"/>
  </si>
  <si>
    <t>99.9 中秋禮券-永誠</t>
    <phoneticPr fontId="3" type="noConversion"/>
  </si>
  <si>
    <t>(餘5771)</t>
    <phoneticPr fontId="3" type="noConversion"/>
  </si>
  <si>
    <t>2010.9.29</t>
    <phoneticPr fontId="3" type="noConversion"/>
  </si>
  <si>
    <t>限掛-城乙合約發票</t>
    <phoneticPr fontId="3" type="noConversion"/>
  </si>
  <si>
    <t>(餘5729)</t>
    <phoneticPr fontId="3" type="noConversion"/>
  </si>
  <si>
    <t>2010.10.1</t>
    <phoneticPr fontId="3" type="noConversion"/>
  </si>
  <si>
    <t>99.10 北平房租-台銀網銀轉帳</t>
    <phoneticPr fontId="3" type="noConversion"/>
  </si>
  <si>
    <t>2010.10.4</t>
    <phoneticPr fontId="3" type="noConversion"/>
  </si>
  <si>
    <t>旺旺達裝機計程車資-去到舊地址板橋</t>
    <phoneticPr fontId="3" type="noConversion"/>
  </si>
  <si>
    <t>旺旺達裝機計程車資-新地址中和</t>
    <phoneticPr fontId="3" type="noConversion"/>
  </si>
  <si>
    <t>旺旺達裝機計程車資</t>
    <phoneticPr fontId="3" type="noConversion"/>
  </si>
  <si>
    <t>(餘5034)</t>
    <phoneticPr fontId="3" type="noConversion"/>
  </si>
  <si>
    <t>2010.10.5</t>
    <phoneticPr fontId="3" type="noConversion"/>
  </si>
  <si>
    <t>掛號-恩豪合約</t>
    <phoneticPr fontId="3" type="noConversion"/>
  </si>
  <si>
    <t>(餘4929)</t>
    <phoneticPr fontId="3" type="noConversion"/>
  </si>
  <si>
    <t>99.9 証</t>
    <phoneticPr fontId="3" type="noConversion"/>
  </si>
  <si>
    <t>99.9 永</t>
    <phoneticPr fontId="3" type="noConversion"/>
  </si>
  <si>
    <t>2010.10.6</t>
    <phoneticPr fontId="3" type="noConversion"/>
  </si>
  <si>
    <t>99.9 達</t>
    <phoneticPr fontId="3" type="noConversion"/>
  </si>
  <si>
    <t>2010.10.9</t>
    <phoneticPr fontId="3" type="noConversion"/>
  </si>
  <si>
    <t>99.9 card ada代刷 (含代PT刷uni-case.com NT$371 +8)</t>
    <phoneticPr fontId="3" type="noConversion"/>
  </si>
  <si>
    <t>2010.10.14</t>
    <phoneticPr fontId="3" type="noConversion"/>
  </si>
  <si>
    <t>(餘3724)</t>
    <phoneticPr fontId="3" type="noConversion"/>
  </si>
  <si>
    <t>2010.11.1</t>
    <phoneticPr fontId="3" type="noConversion"/>
  </si>
  <si>
    <t>99.11 北平房租-台銀網銀轉帳</t>
    <phoneticPr fontId="3" type="noConversion"/>
  </si>
  <si>
    <t>2010.11.2</t>
    <phoneticPr fontId="3" type="noConversion"/>
  </si>
  <si>
    <t>99.11~12 購買發票</t>
    <phoneticPr fontId="3" type="noConversion"/>
  </si>
  <si>
    <t>(餘3706)</t>
    <phoneticPr fontId="3" type="noConversion"/>
  </si>
  <si>
    <t>2010.11.3</t>
    <phoneticPr fontId="3" type="noConversion"/>
  </si>
  <si>
    <t>401.9909.9910 先轉ADA繳便利商店</t>
    <phoneticPr fontId="3" type="noConversion"/>
  </si>
  <si>
    <t xml:space="preserve"> </t>
    <phoneticPr fontId="3" type="noConversion"/>
  </si>
  <si>
    <t>2010.11.4</t>
    <phoneticPr fontId="3" type="noConversion"/>
  </si>
  <si>
    <t>9月水費</t>
    <phoneticPr fontId="3" type="noConversion"/>
  </si>
  <si>
    <t>(餘3549)</t>
    <phoneticPr fontId="3" type="noConversion"/>
  </si>
  <si>
    <t>2010.11.5</t>
    <phoneticPr fontId="3" type="noConversion"/>
  </si>
  <si>
    <t>99.10 証</t>
    <phoneticPr fontId="3" type="noConversion"/>
  </si>
  <si>
    <t>99.10 永</t>
    <phoneticPr fontId="3" type="noConversion"/>
  </si>
  <si>
    <t>99.10 達</t>
    <phoneticPr fontId="3" type="noConversion"/>
  </si>
  <si>
    <t>2010.11.9</t>
    <phoneticPr fontId="3" type="noConversion"/>
  </si>
  <si>
    <t>利明裝機計程車資</t>
    <phoneticPr fontId="3" type="noConversion"/>
  </si>
  <si>
    <t>(餘3064)</t>
    <phoneticPr fontId="3" type="noConversion"/>
  </si>
  <si>
    <t>2010.11.10</t>
    <phoneticPr fontId="3" type="noConversion"/>
  </si>
  <si>
    <t>99.10 card ada代刷</t>
    <phoneticPr fontId="3" type="noConversion"/>
  </si>
  <si>
    <t>2010.11.11</t>
    <phoneticPr fontId="3" type="noConversion"/>
  </si>
  <si>
    <t>裕恆裝機計程車資</t>
    <phoneticPr fontId="3" type="noConversion"/>
  </si>
  <si>
    <t>(餘2819)</t>
    <phoneticPr fontId="3" type="noConversion"/>
  </si>
  <si>
    <t>2010.11.16</t>
    <phoneticPr fontId="3" type="noConversion"/>
  </si>
  <si>
    <t>八亨裝機計程車資</t>
    <phoneticPr fontId="3" type="noConversion"/>
  </si>
  <si>
    <t>(餘2159)</t>
    <phoneticPr fontId="3" type="noConversion"/>
  </si>
  <si>
    <t>2010.11.19</t>
    <phoneticPr fontId="3" type="noConversion"/>
  </si>
  <si>
    <t>零用金轉ada</t>
    <phoneticPr fontId="3" type="noConversion"/>
  </si>
  <si>
    <t>99.11 水費(含99.10已繳 157算溢繳)</t>
    <phoneticPr fontId="3" type="noConversion"/>
  </si>
  <si>
    <t>99.10 99.11 SONET月費</t>
    <phoneticPr fontId="3" type="noConversion"/>
  </si>
  <si>
    <t>(餘5872)</t>
    <phoneticPr fontId="3" type="noConversion"/>
  </si>
  <si>
    <t>2010.11.22</t>
    <phoneticPr fontId="3" type="noConversion"/>
  </si>
  <si>
    <t>(餘4667)</t>
    <phoneticPr fontId="3" type="noConversion"/>
  </si>
  <si>
    <t>轉饒媽零用金 (2011.3.16 記紅包)</t>
    <phoneticPr fontId="3" type="noConversion"/>
  </si>
  <si>
    <t>2010.12.1</t>
    <phoneticPr fontId="3" type="noConversion"/>
  </si>
  <si>
    <t>99.12 北平房租-台銀網銀轉帳</t>
    <phoneticPr fontId="3" type="noConversion"/>
  </si>
  <si>
    <t>2010.12.2</t>
    <phoneticPr fontId="3" type="noConversion"/>
  </si>
  <si>
    <t>邁登換機計程車資</t>
    <phoneticPr fontId="3" type="noConversion"/>
  </si>
  <si>
    <t>(餘4222)</t>
    <phoneticPr fontId="3" type="noConversion"/>
  </si>
  <si>
    <t>2010.12.3</t>
    <phoneticPr fontId="3" type="noConversion"/>
  </si>
  <si>
    <t>邁登掛號郵資</t>
    <phoneticPr fontId="3" type="noConversion"/>
  </si>
  <si>
    <t>(餘4177)</t>
    <phoneticPr fontId="3" type="noConversion"/>
  </si>
  <si>
    <t>2010.12.6</t>
    <phoneticPr fontId="3" type="noConversion"/>
  </si>
  <si>
    <t>台銀.信義 領現給方 (方在cn給我一萬人民幣
DV1: 所以我要換給他台幣)</t>
    <phoneticPr fontId="3" type="noConversion"/>
  </si>
  <si>
    <t>99.11 証</t>
    <phoneticPr fontId="3" type="noConversion"/>
  </si>
  <si>
    <t>99.11 永</t>
    <phoneticPr fontId="3" type="noConversion"/>
  </si>
  <si>
    <t>99.11 達</t>
    <phoneticPr fontId="3" type="noConversion"/>
  </si>
  <si>
    <t>2010.12.9</t>
    <phoneticPr fontId="3" type="noConversion"/>
  </si>
  <si>
    <t>永馳換機計程車資</t>
    <phoneticPr fontId="3" type="noConversion"/>
  </si>
  <si>
    <t>(餘3452)</t>
    <phoneticPr fontId="3" type="noConversion"/>
  </si>
  <si>
    <t>(2010.12.10 OK)</t>
    <phoneticPr fontId="3" type="noConversion"/>
  </si>
  <si>
    <t>2010.12.10</t>
    <phoneticPr fontId="3" type="noConversion"/>
  </si>
  <si>
    <t>99.11 card ada代刷</t>
    <phoneticPr fontId="3" type="noConversion"/>
  </si>
  <si>
    <t>2010.12.13</t>
    <phoneticPr fontId="3" type="noConversion"/>
  </si>
  <si>
    <t>DV-&gt;PT 大眾銀行 (814-0324) 內湖分行 ; 帳號：168-1229361-17 ; 戶名：章挺憲</t>
    <phoneticPr fontId="3" type="noConversion"/>
  </si>
  <si>
    <t>匯費</t>
    <phoneticPr fontId="3" type="noConversion"/>
  </si>
  <si>
    <t>(餘3422)</t>
    <phoneticPr fontId="3" type="noConversion"/>
  </si>
  <si>
    <t>2010.12.11</t>
    <phoneticPr fontId="3" type="noConversion"/>
  </si>
  <si>
    <t>機車油資 宇權</t>
    <phoneticPr fontId="3" type="noConversion"/>
  </si>
  <si>
    <t>(餘3298)</t>
    <phoneticPr fontId="3" type="noConversion"/>
  </si>
  <si>
    <t>機車油資 展鑫三趟</t>
    <phoneticPr fontId="3" type="noConversion"/>
  </si>
  <si>
    <t>(餘3228)</t>
    <phoneticPr fontId="3" type="noConversion"/>
  </si>
  <si>
    <t>2010.12.20</t>
    <phoneticPr fontId="3" type="noConversion"/>
  </si>
  <si>
    <t>利泰慧維修搭國光林口來回</t>
    <phoneticPr fontId="3" type="noConversion"/>
  </si>
  <si>
    <t>(餘3158)</t>
    <phoneticPr fontId="3" type="noConversion"/>
  </si>
  <si>
    <t>2010.12.22</t>
    <phoneticPr fontId="3" type="noConversion"/>
  </si>
  <si>
    <t>吹球</t>
    <phoneticPr fontId="3" type="noConversion"/>
  </si>
  <si>
    <t>(餘3063)</t>
    <phoneticPr fontId="3" type="noConversion"/>
  </si>
  <si>
    <t>2010.12.23</t>
    <phoneticPr fontId="3" type="noConversion"/>
  </si>
  <si>
    <t>郵資 SONET限掛</t>
    <phoneticPr fontId="3" type="noConversion"/>
  </si>
  <si>
    <t>(餘3031)</t>
    <phoneticPr fontId="3" type="noConversion"/>
  </si>
  <si>
    <t>2010.12.24</t>
    <phoneticPr fontId="3" type="noConversion"/>
  </si>
  <si>
    <t>(餘1826)</t>
    <phoneticPr fontId="3" type="noConversion"/>
  </si>
  <si>
    <t>2010.12.28</t>
    <phoneticPr fontId="3" type="noConversion"/>
  </si>
  <si>
    <t>掛號-友士/宇權</t>
    <phoneticPr fontId="3" type="noConversion"/>
  </si>
  <si>
    <t>(餘1762)</t>
    <phoneticPr fontId="3" type="noConversion"/>
  </si>
  <si>
    <t>2010.12.29</t>
    <phoneticPr fontId="3" type="noConversion"/>
  </si>
  <si>
    <t>99.12 card ada代刷</t>
    <phoneticPr fontId="3" type="noConversion"/>
  </si>
  <si>
    <t>2011.1.3</t>
    <phoneticPr fontId="3" type="noConversion"/>
  </si>
  <si>
    <t>100.1 北平房租-台銀網銀轉帳</t>
    <phoneticPr fontId="3" type="noConversion"/>
  </si>
  <si>
    <t>饒媽紅包-轉ADA</t>
    <phoneticPr fontId="3" type="noConversion"/>
  </si>
  <si>
    <t>客服易付卡儲值</t>
    <phoneticPr fontId="3" type="noConversion"/>
  </si>
  <si>
    <t>(餘1462)</t>
    <phoneticPr fontId="3" type="noConversion"/>
  </si>
  <si>
    <t>99.12 証</t>
    <phoneticPr fontId="3" type="noConversion"/>
  </si>
  <si>
    <t>99.12 永</t>
    <phoneticPr fontId="3" type="noConversion"/>
  </si>
  <si>
    <t>99.12 達</t>
    <phoneticPr fontId="3" type="noConversion"/>
  </si>
  <si>
    <t>401.99.11/99.12</t>
    <phoneticPr fontId="3" type="noConversion"/>
  </si>
  <si>
    <t>2011.1.11</t>
    <phoneticPr fontId="3" type="noConversion"/>
  </si>
  <si>
    <t>限掛---大成合約/發票</t>
    <phoneticPr fontId="3" type="noConversion"/>
  </si>
  <si>
    <t>(餘1410)</t>
    <phoneticPr fontId="3" type="noConversion"/>
  </si>
  <si>
    <t>2011.1.19</t>
    <phoneticPr fontId="3" type="noConversion"/>
  </si>
  <si>
    <t>水費-100.1月</t>
    <phoneticPr fontId="3" type="noConversion"/>
  </si>
  <si>
    <t>(餘1389)</t>
    <phoneticPr fontId="3" type="noConversion"/>
  </si>
  <si>
    <t>計程車資-同皇裝機</t>
    <phoneticPr fontId="3" type="noConversion"/>
  </si>
  <si>
    <t>(餘919)</t>
    <phoneticPr fontId="3" type="noConversion"/>
  </si>
  <si>
    <t>2011.1.20</t>
    <phoneticPr fontId="3" type="noConversion"/>
  </si>
  <si>
    <t>零用金-轉ADA</t>
    <phoneticPr fontId="3" type="noConversion"/>
  </si>
  <si>
    <t>(餘5919)</t>
    <phoneticPr fontId="3" type="noConversion"/>
  </si>
  <si>
    <t>計程車資-大碩裝機</t>
    <phoneticPr fontId="3" type="noConversion"/>
  </si>
  <si>
    <t>(餘5154)</t>
    <phoneticPr fontId="3" type="noConversion"/>
  </si>
  <si>
    <t>2011.1.21</t>
    <phoneticPr fontId="3" type="noConversion"/>
  </si>
  <si>
    <t>管理費-2011.1</t>
    <phoneticPr fontId="3" type="noConversion"/>
  </si>
  <si>
    <t>(餘3949)</t>
    <phoneticPr fontId="3" type="noConversion"/>
  </si>
  <si>
    <t>2011.1.31</t>
    <phoneticPr fontId="3" type="noConversion"/>
  </si>
  <si>
    <t>台銀信義提款</t>
    <phoneticPr fontId="3" type="noConversion"/>
  </si>
  <si>
    <t>台銀城中存款</t>
    <phoneticPr fontId="3" type="noConversion"/>
  </si>
  <si>
    <t>2011.2.1</t>
    <phoneticPr fontId="3" type="noConversion"/>
  </si>
  <si>
    <t>2011.2 北平房租-台銀網銀轉帳</t>
    <phoneticPr fontId="3" type="noConversion"/>
  </si>
  <si>
    <t>100.1 証</t>
    <phoneticPr fontId="3" type="noConversion"/>
  </si>
  <si>
    <t>100.1 永</t>
    <phoneticPr fontId="3" type="noConversion"/>
  </si>
  <si>
    <t>100.1 達</t>
    <phoneticPr fontId="3" type="noConversion"/>
  </si>
  <si>
    <t>2011.2.8</t>
    <phoneticPr fontId="3" type="noConversion"/>
  </si>
  <si>
    <t>100.1 card ada代刷</t>
    <phoneticPr fontId="3" type="noConversion"/>
  </si>
  <si>
    <t>2011.2.10</t>
    <phoneticPr fontId="3" type="noConversion"/>
  </si>
  <si>
    <t>計程車資-威視裝機</t>
    <phoneticPr fontId="3" type="noConversion"/>
  </si>
  <si>
    <t>(餘3749)</t>
    <phoneticPr fontId="3" type="noConversion"/>
  </si>
  <si>
    <t>2011.2.14</t>
    <phoneticPr fontId="3" type="noConversion"/>
  </si>
  <si>
    <t>掛號-利明/宇權 請款單</t>
    <phoneticPr fontId="3" type="noConversion"/>
  </si>
  <si>
    <t>郵票-$25 * 20</t>
    <phoneticPr fontId="3" type="noConversion"/>
  </si>
  <si>
    <t>航空郵資-小包陳接頭</t>
    <phoneticPr fontId="3" type="noConversion"/>
  </si>
  <si>
    <t>文具-合約用紙/信封/膠水</t>
    <phoneticPr fontId="3" type="noConversion"/>
  </si>
  <si>
    <t>(餘2576)</t>
    <phoneticPr fontId="3" type="noConversion"/>
  </si>
  <si>
    <t>2011.2.16</t>
    <phoneticPr fontId="3" type="noConversion"/>
  </si>
  <si>
    <t>計程車資-合碩裝機</t>
    <phoneticPr fontId="3" type="noConversion"/>
  </si>
  <si>
    <t>(餘2336)</t>
    <phoneticPr fontId="3" type="noConversion"/>
  </si>
  <si>
    <t>2011.2.21</t>
    <phoneticPr fontId="3" type="noConversion"/>
  </si>
  <si>
    <t>管理費-2011.2</t>
    <phoneticPr fontId="3" type="noConversion"/>
  </si>
  <si>
    <t>(餘1131)</t>
    <phoneticPr fontId="3" type="noConversion"/>
  </si>
  <si>
    <t>2011.2.23</t>
    <phoneticPr fontId="3" type="noConversion"/>
  </si>
  <si>
    <t>計程車資-甲品裝機</t>
    <phoneticPr fontId="3" type="noConversion"/>
  </si>
  <si>
    <t>(餘611)</t>
    <phoneticPr fontId="3" type="noConversion"/>
  </si>
  <si>
    <t>(與帳相符)</t>
    <phoneticPr fontId="3" type="noConversion"/>
  </si>
  <si>
    <t>2011.3.1</t>
    <phoneticPr fontId="3" type="noConversion"/>
  </si>
  <si>
    <t>2011.3 北平房租-台銀網銀轉帳</t>
    <phoneticPr fontId="3" type="noConversion"/>
  </si>
  <si>
    <t>2011.3.4</t>
    <phoneticPr fontId="3" type="noConversion"/>
  </si>
  <si>
    <t>CF轉IDE轉卡</t>
    <phoneticPr fontId="3" type="noConversion"/>
  </si>
  <si>
    <t>KINGSTON CF卡-4G</t>
    <phoneticPr fontId="3" type="noConversion"/>
  </si>
  <si>
    <t>(餘46)</t>
    <phoneticPr fontId="3" type="noConversion"/>
  </si>
  <si>
    <t>2011.3.7</t>
    <phoneticPr fontId="3" type="noConversion"/>
  </si>
  <si>
    <t>(餘5046)</t>
    <phoneticPr fontId="3" type="noConversion"/>
  </si>
  <si>
    <t>2011.3.9</t>
    <phoneticPr fontId="3" type="noConversion"/>
  </si>
  <si>
    <t>2011.2 card ada代刷</t>
    <phoneticPr fontId="3" type="noConversion"/>
  </si>
  <si>
    <t>2011.3.14</t>
    <phoneticPr fontId="3" type="noConversion"/>
  </si>
  <si>
    <t>401.2011.1/2011.2</t>
    <phoneticPr fontId="3" type="noConversion"/>
  </si>
  <si>
    <t>2011.3.16</t>
    <phoneticPr fontId="3" type="noConversion"/>
  </si>
  <si>
    <t>饒媽 2011.1-2011.6 零用 (2010.11.22另有一筆$6000,(2011.3.16 記紅包))</t>
    <phoneticPr fontId="3" type="noConversion"/>
  </si>
  <si>
    <t>2011.1.6</t>
    <phoneticPr fontId="3" type="noConversion"/>
  </si>
  <si>
    <t>雷射印表機填充碳粉($250+$17ADA台銀轉帳)</t>
    <phoneticPr fontId="3" type="noConversion"/>
  </si>
  <si>
    <t>(餘4779)</t>
    <phoneticPr fontId="3" type="noConversion"/>
  </si>
  <si>
    <t>2011.3.21</t>
    <phoneticPr fontId="3" type="noConversion"/>
  </si>
  <si>
    <t>廣豪維護油資</t>
    <phoneticPr fontId="3" type="noConversion"/>
  </si>
  <si>
    <t>(餘4674)</t>
    <phoneticPr fontId="3" type="noConversion"/>
  </si>
  <si>
    <t>2011.3.22</t>
    <phoneticPr fontId="3" type="noConversion"/>
  </si>
  <si>
    <t>航空郵資-小包陳接頭(1893G)</t>
    <phoneticPr fontId="3" type="noConversion"/>
  </si>
  <si>
    <t>水費-100.3月</t>
    <phoneticPr fontId="3" type="noConversion"/>
  </si>
  <si>
    <t>(餘3498)</t>
    <phoneticPr fontId="3" type="noConversion"/>
  </si>
  <si>
    <t>2011.3.28</t>
    <phoneticPr fontId="3" type="noConversion"/>
  </si>
  <si>
    <t>管理費-2011.3</t>
    <phoneticPr fontId="3" type="noConversion"/>
  </si>
  <si>
    <t>(餘2293)</t>
    <phoneticPr fontId="3" type="noConversion"/>
  </si>
  <si>
    <t>2011.4.1</t>
    <phoneticPr fontId="3" type="noConversion"/>
  </si>
  <si>
    <t>2011.4 北平房租-台銀網銀轉帳</t>
    <phoneticPr fontId="3" type="noConversion"/>
  </si>
  <si>
    <t>2011.4.6</t>
    <phoneticPr fontId="3" type="noConversion"/>
  </si>
  <si>
    <t>饒媽-桃園機場接機</t>
    <phoneticPr fontId="3" type="noConversion"/>
  </si>
  <si>
    <t>(餘1293)</t>
    <phoneticPr fontId="3" type="noConversion"/>
  </si>
  <si>
    <t>100.3 証</t>
    <phoneticPr fontId="3" type="noConversion"/>
  </si>
  <si>
    <t>100.3 永</t>
    <phoneticPr fontId="3" type="noConversion"/>
  </si>
  <si>
    <t>2011.4.7</t>
    <phoneticPr fontId="3" type="noConversion"/>
  </si>
  <si>
    <t>100.3 達</t>
    <phoneticPr fontId="3" type="noConversion"/>
  </si>
  <si>
    <t>2011.4.14</t>
    <phoneticPr fontId="3" type="noConversion"/>
  </si>
  <si>
    <t>管理費-2011.4</t>
    <phoneticPr fontId="3" type="noConversion"/>
  </si>
  <si>
    <t>(餘88)</t>
    <phoneticPr fontId="3" type="noConversion"/>
  </si>
  <si>
    <t>(餘5088)</t>
    <phoneticPr fontId="3" type="noConversion"/>
  </si>
  <si>
    <t>2011.4.19</t>
    <phoneticPr fontId="3" type="noConversion"/>
  </si>
  <si>
    <t>計程車資-松群裝機</t>
    <phoneticPr fontId="3" type="noConversion"/>
  </si>
  <si>
    <t>(餘4598)</t>
    <phoneticPr fontId="3" type="noConversion"/>
  </si>
  <si>
    <t>2011.4.26</t>
    <phoneticPr fontId="3" type="noConversion"/>
  </si>
  <si>
    <t>掛號-汎輝 發票合約</t>
    <phoneticPr fontId="3" type="noConversion"/>
  </si>
  <si>
    <t>郵票-$25 * 10 + $10 *5</t>
    <phoneticPr fontId="3" type="noConversion"/>
  </si>
  <si>
    <t>航空郵資-EMS陳接頭(1610G)</t>
    <phoneticPr fontId="3" type="noConversion"/>
  </si>
  <si>
    <t>(餘3247)</t>
    <phoneticPr fontId="3" type="noConversion"/>
  </si>
  <si>
    <t>2011.4.12</t>
    <phoneticPr fontId="3" type="noConversion"/>
  </si>
  <si>
    <t>清潔袋</t>
    <phoneticPr fontId="3" type="noConversion"/>
  </si>
  <si>
    <t>(餘3172)</t>
    <phoneticPr fontId="3" type="noConversion"/>
  </si>
  <si>
    <t>2011.5.4</t>
    <phoneticPr fontId="3" type="noConversion"/>
  </si>
  <si>
    <t>計程車資-柏周裝機</t>
    <phoneticPr fontId="3" type="noConversion"/>
  </si>
  <si>
    <t>(餘2732)</t>
    <phoneticPr fontId="3" type="noConversion"/>
  </si>
  <si>
    <t>2011.5.5</t>
    <phoneticPr fontId="3" type="noConversion"/>
  </si>
  <si>
    <t>100.4 証</t>
    <phoneticPr fontId="3" type="noConversion"/>
  </si>
  <si>
    <t>100.4 永</t>
    <phoneticPr fontId="3" type="noConversion"/>
  </si>
  <si>
    <t>100.4 達</t>
    <phoneticPr fontId="3" type="noConversion"/>
  </si>
  <si>
    <t>饒媽 2011.7-2011.12 零用 (另 $3000 母親節紅包))</t>
    <phoneticPr fontId="3" type="noConversion"/>
  </si>
  <si>
    <t>2011.5.9</t>
    <phoneticPr fontId="3" type="noConversion"/>
  </si>
  <si>
    <t>順豐申報書寄東莞</t>
    <phoneticPr fontId="3" type="noConversion"/>
  </si>
  <si>
    <t>(餘2642)</t>
    <phoneticPr fontId="3" type="noConversion"/>
  </si>
  <si>
    <t>2011.4 card ada代刷</t>
    <phoneticPr fontId="3" type="noConversion"/>
  </si>
  <si>
    <t>水費-100.4月</t>
    <phoneticPr fontId="3" type="noConversion"/>
  </si>
  <si>
    <t>(餘2475)</t>
    <phoneticPr fontId="3" type="noConversion"/>
  </si>
  <si>
    <t>2011.5.10</t>
    <phoneticPr fontId="3" type="noConversion"/>
  </si>
  <si>
    <t>401.2011.3/2011.4</t>
    <phoneticPr fontId="3" type="noConversion"/>
  </si>
  <si>
    <t>2011.5.20</t>
    <phoneticPr fontId="3" type="noConversion"/>
  </si>
  <si>
    <t>順豐XEON S3420 CN-&gt;TW 運費</t>
    <phoneticPr fontId="3" type="noConversion"/>
  </si>
  <si>
    <t>(餘2342)</t>
    <phoneticPr fontId="3" type="noConversion"/>
  </si>
  <si>
    <t>2011.5.26</t>
    <phoneticPr fontId="3" type="noConversion"/>
  </si>
  <si>
    <t>預付張名片費用</t>
    <phoneticPr fontId="3" type="noConversion"/>
  </si>
  <si>
    <t>(餘2242)</t>
    <phoneticPr fontId="3" type="noConversion"/>
  </si>
  <si>
    <t>管理費-2011.5</t>
    <phoneticPr fontId="3" type="noConversion"/>
  </si>
  <si>
    <t>(餘1037)</t>
    <phoneticPr fontId="3" type="noConversion"/>
  </si>
  <si>
    <t>2011.6.1</t>
    <phoneticPr fontId="3" type="noConversion"/>
  </si>
  <si>
    <t>2011.6 北平房租-台銀網銀轉帳</t>
    <phoneticPr fontId="3" type="noConversion"/>
  </si>
  <si>
    <t>2011.5.18</t>
    <phoneticPr fontId="3" type="noConversion"/>
  </si>
  <si>
    <t>水管</t>
    <phoneticPr fontId="3" type="noConversion"/>
  </si>
  <si>
    <t>饒/陳駕照費@200</t>
    <phoneticPr fontId="3" type="noConversion"/>
  </si>
  <si>
    <t>(餘397)</t>
    <phoneticPr fontId="3" type="noConversion"/>
  </si>
  <si>
    <t>2011.6.2</t>
    <phoneticPr fontId="3" type="noConversion"/>
  </si>
  <si>
    <t>(餘307)</t>
    <phoneticPr fontId="3" type="noConversion"/>
  </si>
  <si>
    <t>2011.6.3</t>
    <phoneticPr fontId="3" type="noConversion"/>
  </si>
  <si>
    <t>零用金轉達</t>
    <phoneticPr fontId="3" type="noConversion"/>
  </si>
  <si>
    <t>端午獎金-永</t>
    <phoneticPr fontId="3" type="noConversion"/>
  </si>
  <si>
    <t>(餘4807)</t>
    <phoneticPr fontId="3" type="noConversion"/>
  </si>
  <si>
    <t>宅急便大嘴鳥寄中正機場</t>
    <phoneticPr fontId="3" type="noConversion"/>
  </si>
  <si>
    <t>(餘4387)</t>
    <phoneticPr fontId="3" type="noConversion"/>
  </si>
  <si>
    <t>2011.6.6</t>
    <phoneticPr fontId="3" type="noConversion"/>
  </si>
  <si>
    <t>100.5 永</t>
    <phoneticPr fontId="3" type="noConversion"/>
  </si>
  <si>
    <t>100.5 達</t>
    <phoneticPr fontId="3" type="noConversion"/>
  </si>
  <si>
    <t>2011.6.7</t>
    <phoneticPr fontId="3" type="noConversion"/>
  </si>
  <si>
    <t>2011.5 card ada代刷</t>
    <phoneticPr fontId="3" type="noConversion"/>
  </si>
  <si>
    <t>2011.6.16</t>
    <phoneticPr fontId="3" type="noConversion"/>
  </si>
  <si>
    <t>計程車資-施舒雅裝機</t>
    <phoneticPr fontId="3" type="noConversion"/>
  </si>
  <si>
    <t>(餘4142)</t>
    <phoneticPr fontId="3" type="noConversion"/>
  </si>
  <si>
    <t>2011.6.20</t>
    <phoneticPr fontId="3" type="noConversion"/>
  </si>
  <si>
    <t>計程車資-祥和裝機</t>
    <phoneticPr fontId="3" type="noConversion"/>
  </si>
  <si>
    <t>(餘3812)</t>
    <phoneticPr fontId="3" type="noConversion"/>
  </si>
  <si>
    <t>2011.6.13</t>
    <phoneticPr fontId="3" type="noConversion"/>
  </si>
  <si>
    <t>掛號-友士</t>
    <phoneticPr fontId="3" type="noConversion"/>
  </si>
  <si>
    <t>源達轉接頭</t>
    <phoneticPr fontId="3" type="noConversion"/>
  </si>
  <si>
    <t>(餘3740)</t>
    <phoneticPr fontId="3" type="noConversion"/>
  </si>
  <si>
    <t>2011.6.21</t>
    <phoneticPr fontId="3" type="noConversion"/>
  </si>
  <si>
    <t>管理費-2011.6</t>
    <phoneticPr fontId="3" type="noConversion"/>
  </si>
  <si>
    <t>(餘2535)</t>
    <phoneticPr fontId="3" type="noConversion"/>
  </si>
  <si>
    <t>2011.6.21與現金符合</t>
    <phoneticPr fontId="3" type="noConversion"/>
  </si>
  <si>
    <t>2011.7.1</t>
    <phoneticPr fontId="3" type="noConversion"/>
  </si>
  <si>
    <t>2011.7 北平房租-台銀網銀轉帳</t>
    <phoneticPr fontId="3" type="noConversion"/>
  </si>
  <si>
    <t>計程車資-益睿裝機</t>
    <phoneticPr fontId="3" type="noConversion"/>
  </si>
  <si>
    <t>(餘1870)</t>
    <phoneticPr fontId="3" type="noConversion"/>
  </si>
  <si>
    <t>2011.7.4</t>
    <phoneticPr fontId="3" type="noConversion"/>
  </si>
  <si>
    <t>油資-太暘維護</t>
    <phoneticPr fontId="3" type="noConversion"/>
  </si>
  <si>
    <t>(餘1765)</t>
    <phoneticPr fontId="3" type="noConversion"/>
  </si>
  <si>
    <t>2011.7.5</t>
    <phoneticPr fontId="3" type="noConversion"/>
  </si>
  <si>
    <t>掛號-益睿</t>
    <phoneticPr fontId="3" type="noConversion"/>
  </si>
  <si>
    <t>(餘1720)</t>
    <phoneticPr fontId="3" type="noConversion"/>
  </si>
  <si>
    <t>100.6 証</t>
    <phoneticPr fontId="3" type="noConversion"/>
  </si>
  <si>
    <t>100.6 永</t>
    <phoneticPr fontId="3" type="noConversion"/>
  </si>
  <si>
    <t>100.6 達</t>
    <phoneticPr fontId="3" type="noConversion"/>
  </si>
  <si>
    <t>2011.7.8</t>
    <phoneticPr fontId="3" type="noConversion"/>
  </si>
  <si>
    <t>401.2011.5/2011.6</t>
    <phoneticPr fontId="3" type="noConversion"/>
  </si>
  <si>
    <t>2011.6 card ada代刷</t>
    <phoneticPr fontId="3" type="noConversion"/>
  </si>
  <si>
    <t>2011.7.11</t>
    <phoneticPr fontId="3" type="noConversion"/>
  </si>
  <si>
    <t>水費-100.7月</t>
    <phoneticPr fontId="3" type="noConversion"/>
  </si>
  <si>
    <t>管理費-2011.7</t>
    <phoneticPr fontId="3" type="noConversion"/>
  </si>
  <si>
    <t>(餘327)</t>
    <phoneticPr fontId="3" type="noConversion"/>
  </si>
  <si>
    <t>2011.7.27</t>
    <phoneticPr fontId="3" type="noConversion"/>
  </si>
  <si>
    <t>油資-威倫/廣豪維護</t>
    <phoneticPr fontId="3" type="noConversion"/>
  </si>
  <si>
    <t>(餘239)</t>
    <phoneticPr fontId="3" type="noConversion"/>
  </si>
  <si>
    <t>2011.7.29</t>
    <phoneticPr fontId="3" type="noConversion"/>
  </si>
  <si>
    <t>DV郵局$33000, 2011.6.30已先拿$5000給DV媽</t>
    <phoneticPr fontId="3" type="noConversion"/>
  </si>
  <si>
    <t>(餘5239)</t>
    <phoneticPr fontId="3" type="noConversion"/>
  </si>
  <si>
    <t>2011.8.1</t>
    <phoneticPr fontId="3" type="noConversion"/>
  </si>
  <si>
    <t>2011.8 北平房租-台銀網銀轉帳</t>
    <phoneticPr fontId="3" type="noConversion"/>
  </si>
  <si>
    <t>25元郵票*10張</t>
    <phoneticPr fontId="3" type="noConversion"/>
  </si>
  <si>
    <t>DDR3 2G 良興</t>
    <phoneticPr fontId="3" type="noConversion"/>
  </si>
  <si>
    <t>2011.7.25</t>
    <phoneticPr fontId="3" type="noConversion"/>
  </si>
  <si>
    <t>衛生紙*2袋</t>
    <phoneticPr fontId="3" type="noConversion"/>
  </si>
  <si>
    <t>(餘4080)</t>
    <phoneticPr fontId="3" type="noConversion"/>
  </si>
  <si>
    <t>2011.8.1與現金符合</t>
    <phoneticPr fontId="3" type="noConversion"/>
  </si>
  <si>
    <t>2011.8.5</t>
    <phoneticPr fontId="3" type="noConversion"/>
  </si>
  <si>
    <t>100.7 証</t>
    <phoneticPr fontId="3" type="noConversion"/>
  </si>
  <si>
    <t>100.7 永</t>
    <phoneticPr fontId="3" type="noConversion"/>
  </si>
  <si>
    <t>100.7 達</t>
    <phoneticPr fontId="3" type="noConversion"/>
  </si>
  <si>
    <t>2011.8.8</t>
    <phoneticPr fontId="3" type="noConversion"/>
  </si>
  <si>
    <t>饒媽 DV1: 聽說他現在申請強制執行贓款退回 有50多萬
DV1: 好像有點希望
DV1: 所以他心情很好</t>
    <phoneticPr fontId="3" type="noConversion"/>
  </si>
  <si>
    <t>2011.8.9</t>
    <phoneticPr fontId="3" type="noConversion"/>
  </si>
  <si>
    <t>計程車資-元超裝機</t>
    <phoneticPr fontId="3" type="noConversion"/>
  </si>
  <si>
    <t>(餘3530)</t>
    <phoneticPr fontId="3" type="noConversion"/>
  </si>
  <si>
    <t>2011.8.10</t>
    <phoneticPr fontId="3" type="noConversion"/>
  </si>
  <si>
    <t>2011.7 card ada代刷</t>
    <phoneticPr fontId="3" type="noConversion"/>
  </si>
  <si>
    <t>2011.8.16</t>
    <phoneticPr fontId="3" type="noConversion"/>
  </si>
  <si>
    <t>管理費-2011.8</t>
    <phoneticPr fontId="3" type="noConversion"/>
  </si>
  <si>
    <t>(餘2325)</t>
    <phoneticPr fontId="3" type="noConversion"/>
  </si>
  <si>
    <t>2011.8.30</t>
    <phoneticPr fontId="3" type="noConversion"/>
  </si>
  <si>
    <t>匯梅海</t>
    <phoneticPr fontId="3" type="noConversion"/>
  </si>
  <si>
    <t>匯梅海手續費</t>
    <phoneticPr fontId="3" type="noConversion"/>
  </si>
  <si>
    <t>(餘2295)</t>
    <phoneticPr fontId="3" type="noConversion"/>
  </si>
  <si>
    <t>2011.9.1</t>
    <phoneticPr fontId="3" type="noConversion"/>
  </si>
  <si>
    <t>2011.9 北平房租-台銀網銀轉帳</t>
    <phoneticPr fontId="3" type="noConversion"/>
  </si>
  <si>
    <t>2011.9.5</t>
    <phoneticPr fontId="3" type="noConversion"/>
  </si>
  <si>
    <t>100.8 証</t>
    <phoneticPr fontId="3" type="noConversion"/>
  </si>
  <si>
    <t>100.8 永</t>
    <phoneticPr fontId="3" type="noConversion"/>
  </si>
  <si>
    <t>100.8 達</t>
    <phoneticPr fontId="3" type="noConversion"/>
  </si>
  <si>
    <t>2011.9.9</t>
    <phoneticPr fontId="3" type="noConversion"/>
  </si>
  <si>
    <t>2011.8 card ada代刷</t>
    <phoneticPr fontId="3" type="noConversion"/>
  </si>
  <si>
    <t>99.9 中秋禮券-達</t>
    <phoneticPr fontId="3" type="noConversion"/>
  </si>
  <si>
    <t>99.9 中秋禮券-永誠</t>
    <phoneticPr fontId="3" type="noConversion"/>
  </si>
  <si>
    <t>(餘1295)</t>
    <phoneticPr fontId="3" type="noConversion"/>
  </si>
  <si>
    <t>2011.9.13</t>
    <phoneticPr fontId="3" type="noConversion"/>
  </si>
  <si>
    <t>401.2011.7/2011.8</t>
    <phoneticPr fontId="3" type="noConversion"/>
  </si>
  <si>
    <t>零用金轉達</t>
    <phoneticPr fontId="3" type="noConversion"/>
  </si>
  <si>
    <t>零用金</t>
    <phoneticPr fontId="3" type="noConversion"/>
  </si>
  <si>
    <t>(餘6295)</t>
    <phoneticPr fontId="3" type="noConversion"/>
  </si>
  <si>
    <t>2011.9.26</t>
    <phoneticPr fontId="3" type="noConversion"/>
  </si>
  <si>
    <t>管理費-2011.9</t>
    <phoneticPr fontId="3" type="noConversion"/>
  </si>
  <si>
    <t>水費-100.9月</t>
    <phoneticPr fontId="3" type="noConversion"/>
  </si>
  <si>
    <t>(餘4912)</t>
    <phoneticPr fontId="3" type="noConversion"/>
  </si>
  <si>
    <t>2011.9.28</t>
    <phoneticPr fontId="3" type="noConversion"/>
  </si>
  <si>
    <t>DV藥膏-饒媽代買</t>
    <phoneticPr fontId="3" type="noConversion"/>
  </si>
  <si>
    <t>(餘4712)</t>
    <phoneticPr fontId="3" type="noConversion"/>
  </si>
  <si>
    <t>2011.10.1</t>
    <phoneticPr fontId="3" type="noConversion"/>
  </si>
  <si>
    <t>2011.10 北平房租-台銀網銀轉帳</t>
    <phoneticPr fontId="3" type="noConversion"/>
  </si>
  <si>
    <t>2011.10.3</t>
    <phoneticPr fontId="3" type="noConversion"/>
  </si>
  <si>
    <t>計程車資-西拓裝機</t>
    <phoneticPr fontId="3" type="noConversion"/>
  </si>
  <si>
    <t>(餘4242)</t>
    <phoneticPr fontId="3" type="noConversion"/>
  </si>
  <si>
    <t>2011.10.5</t>
    <phoneticPr fontId="3" type="noConversion"/>
  </si>
  <si>
    <t>100.9 証</t>
    <phoneticPr fontId="3" type="noConversion"/>
  </si>
  <si>
    <t>100.9 永</t>
    <phoneticPr fontId="3" type="noConversion"/>
  </si>
  <si>
    <t>100.9 達</t>
    <phoneticPr fontId="3" type="noConversion"/>
  </si>
  <si>
    <t>2011.10.11</t>
    <phoneticPr fontId="3" type="noConversion"/>
  </si>
  <si>
    <t>2011.9 card ada代刷</t>
    <phoneticPr fontId="3" type="noConversion"/>
  </si>
  <si>
    <t>2011.10.20</t>
    <phoneticPr fontId="3" type="noConversion"/>
  </si>
  <si>
    <t>管理費-2011.10</t>
    <phoneticPr fontId="3" type="noConversion"/>
  </si>
  <si>
    <t>詩貨運行李箱</t>
    <phoneticPr fontId="3" type="noConversion"/>
  </si>
  <si>
    <t>(餘2897)</t>
    <phoneticPr fontId="3" type="noConversion"/>
  </si>
  <si>
    <t>2011.10.31</t>
    <phoneticPr fontId="3" type="noConversion"/>
  </si>
  <si>
    <t>悠遊卡儲值</t>
    <phoneticPr fontId="3" type="noConversion"/>
  </si>
  <si>
    <t>華算100.11-12三聯式發票</t>
    <phoneticPr fontId="3" type="noConversion"/>
  </si>
  <si>
    <t>(餘2779)</t>
    <phoneticPr fontId="3" type="noConversion"/>
  </si>
  <si>
    <t>2011.11.1</t>
    <phoneticPr fontId="3" type="noConversion"/>
  </si>
  <si>
    <t>2011.11 北平房租-台銀網銀轉帳</t>
    <phoneticPr fontId="3" type="noConversion"/>
  </si>
  <si>
    <t>2011.11.7</t>
    <phoneticPr fontId="3" type="noConversion"/>
  </si>
  <si>
    <t>100.10 永(已轉ADA但金融卡晶片失效,沒有轉給永, 改給ADA)</t>
    <phoneticPr fontId="3" type="noConversion"/>
  </si>
  <si>
    <t>2011.10 card ada代刷</t>
    <phoneticPr fontId="3" type="noConversion"/>
  </si>
  <si>
    <t>401.2011.9/2011.10</t>
    <phoneticPr fontId="3" type="noConversion"/>
  </si>
  <si>
    <t>100.10 永(用公司存摺提款, 無摺存入永)</t>
    <phoneticPr fontId="3" type="noConversion"/>
  </si>
  <si>
    <t>100.10 達(加另一筆原轉永沒匯出的$25670合計$63516)</t>
    <phoneticPr fontId="3" type="noConversion"/>
  </si>
  <si>
    <t>2011.11.8</t>
    <phoneticPr fontId="3" type="noConversion"/>
  </si>
  <si>
    <t>信封袋$15*4</t>
    <phoneticPr fontId="3" type="noConversion"/>
  </si>
  <si>
    <t>25元郵票*20張</t>
    <phoneticPr fontId="3" type="noConversion"/>
  </si>
  <si>
    <t>請款25元掛號郵資*4</t>
    <phoneticPr fontId="3" type="noConversion"/>
  </si>
  <si>
    <t>(餘2119)</t>
    <phoneticPr fontId="3" type="noConversion"/>
  </si>
  <si>
    <t>2011.11.10</t>
    <phoneticPr fontId="3" type="noConversion"/>
  </si>
  <si>
    <t>油資-利明/恩豪維護</t>
    <phoneticPr fontId="3" type="noConversion"/>
  </si>
  <si>
    <t>(餘1999)</t>
    <phoneticPr fontId="3" type="noConversion"/>
  </si>
  <si>
    <t>2011.11.21</t>
    <phoneticPr fontId="3" type="noConversion"/>
  </si>
  <si>
    <t>管理費-2011.11</t>
    <phoneticPr fontId="3" type="noConversion"/>
  </si>
  <si>
    <t>水費-100.11月</t>
    <phoneticPr fontId="3" type="noConversion"/>
  </si>
  <si>
    <t>(餘616)</t>
    <phoneticPr fontId="3" type="noConversion"/>
  </si>
  <si>
    <t>2011.11.25</t>
    <phoneticPr fontId="3" type="noConversion"/>
  </si>
  <si>
    <t>饒媽 2011.7-2011.12 零用 (餘 年節紅包))</t>
    <phoneticPr fontId="3" type="noConversion"/>
  </si>
  <si>
    <t>2011.12.1</t>
    <phoneticPr fontId="3" type="noConversion"/>
  </si>
  <si>
    <t>2011.12 北平房租-台銀網銀轉帳</t>
    <phoneticPr fontId="3" type="noConversion"/>
  </si>
  <si>
    <t>2011.12.5</t>
    <phoneticPr fontId="3" type="noConversion"/>
  </si>
  <si>
    <t>100.11 永</t>
    <phoneticPr fontId="3" type="noConversion"/>
  </si>
  <si>
    <t>100.11 達</t>
    <phoneticPr fontId="3" type="noConversion"/>
  </si>
  <si>
    <t>100.11 証</t>
    <phoneticPr fontId="3" type="noConversion"/>
  </si>
  <si>
    <t>2011.11 card ada代刷</t>
    <phoneticPr fontId="3" type="noConversion"/>
  </si>
  <si>
    <t>(餘5616)</t>
    <phoneticPr fontId="3" type="noConversion"/>
  </si>
  <si>
    <t>2011.12.14</t>
    <phoneticPr fontId="3" type="noConversion"/>
  </si>
  <si>
    <t>管理費-2011.12</t>
    <phoneticPr fontId="3" type="noConversion"/>
  </si>
  <si>
    <t>展鑫合約發票修改附回郵掛號郵資</t>
    <phoneticPr fontId="3" type="noConversion"/>
  </si>
  <si>
    <t>(餘4366)</t>
    <phoneticPr fontId="3" type="noConversion"/>
  </si>
  <si>
    <t>2011.12.14 與現金符合</t>
    <phoneticPr fontId="3" type="noConversion"/>
  </si>
  <si>
    <t>2011.12.16</t>
    <phoneticPr fontId="3" type="noConversion"/>
  </si>
  <si>
    <t>車資-展鑫裝機, 威倫維修</t>
    <phoneticPr fontId="3" type="noConversion"/>
  </si>
  <si>
    <t>(餘4274)</t>
    <phoneticPr fontId="3" type="noConversion"/>
  </si>
  <si>
    <t>2011.12.28</t>
    <phoneticPr fontId="3" type="noConversion"/>
  </si>
  <si>
    <t>資源回收垃圾袋</t>
    <phoneticPr fontId="3" type="noConversion"/>
  </si>
  <si>
    <t>(餘4199)</t>
    <phoneticPr fontId="3" type="noConversion"/>
  </si>
  <si>
    <t>2011.12.29</t>
    <phoneticPr fontId="3" type="noConversion"/>
  </si>
  <si>
    <t>DV回TW取現金</t>
    <phoneticPr fontId="3" type="noConversion"/>
  </si>
  <si>
    <t>(餘2199)</t>
    <phoneticPr fontId="3" type="noConversion"/>
  </si>
  <si>
    <t>2011.12.30</t>
    <phoneticPr fontId="3" type="noConversion"/>
  </si>
  <si>
    <t>饒媽 小孩紅包 (應轉3000聽錯轉了30000當作預付)</t>
    <phoneticPr fontId="3" type="noConversion"/>
  </si>
  <si>
    <t>2012.1.1</t>
    <phoneticPr fontId="3" type="noConversion"/>
  </si>
  <si>
    <t>2012.1 北平房租-台銀網銀轉帳</t>
    <phoneticPr fontId="3" type="noConversion"/>
  </si>
  <si>
    <t>2012.1.3</t>
    <phoneticPr fontId="3" type="noConversion"/>
  </si>
  <si>
    <t>雜費</t>
    <phoneticPr fontId="3" type="noConversion"/>
  </si>
  <si>
    <t>華算101.1-2三聯式發票</t>
    <phoneticPr fontId="3" type="noConversion"/>
  </si>
  <si>
    <t>(餘2181)</t>
    <phoneticPr fontId="3" type="noConversion"/>
  </si>
  <si>
    <t>2012.1.5</t>
    <phoneticPr fontId="3" type="noConversion"/>
  </si>
  <si>
    <t>100.12 永</t>
    <phoneticPr fontId="3" type="noConversion"/>
  </si>
  <si>
    <t>100.12 達</t>
    <phoneticPr fontId="3" type="noConversion"/>
  </si>
  <si>
    <t>100.12 証</t>
    <phoneticPr fontId="3" type="noConversion"/>
  </si>
  <si>
    <t>2012.1.9</t>
    <phoneticPr fontId="3" type="noConversion"/>
  </si>
  <si>
    <t>2011.12 card ada代刷</t>
    <phoneticPr fontId="3" type="noConversion"/>
  </si>
  <si>
    <t>2012.1.9 改由此表 ada-source-2012010901.xls 繼續</t>
    <phoneticPr fontId="3" type="noConversion"/>
  </si>
  <si>
    <t>2012.1.10</t>
    <phoneticPr fontId="3" type="noConversion"/>
  </si>
  <si>
    <t>交通費</t>
    <phoneticPr fontId="3" type="noConversion"/>
  </si>
  <si>
    <t>悠遊卡加值 愛浪維護</t>
    <phoneticPr fontId="3" type="noConversion"/>
  </si>
  <si>
    <t>(餘2081)</t>
    <phoneticPr fontId="3" type="noConversion"/>
  </si>
  <si>
    <t>401.2011.11/2011.12</t>
    <phoneticPr fontId="3" type="noConversion"/>
  </si>
  <si>
    <t>2012.1.12</t>
    <phoneticPr fontId="3" type="noConversion"/>
  </si>
  <si>
    <t>DV回TW舊百元鈔換新百元鈔,入帳</t>
    <phoneticPr fontId="3" type="noConversion"/>
  </si>
  <si>
    <t>2012.1.19</t>
    <phoneticPr fontId="3" type="noConversion"/>
  </si>
  <si>
    <t>管理費</t>
    <phoneticPr fontId="3" type="noConversion"/>
  </si>
  <si>
    <t>管理費-2012.1</t>
    <phoneticPr fontId="3" type="noConversion"/>
  </si>
  <si>
    <t>(餘976)</t>
    <phoneticPr fontId="3" type="noConversion"/>
  </si>
  <si>
    <t>2012.1.20</t>
    <phoneticPr fontId="3" type="noConversion"/>
  </si>
  <si>
    <t>永誠年終</t>
    <phoneticPr fontId="3" type="noConversion"/>
  </si>
  <si>
    <t>2012.1.31</t>
    <phoneticPr fontId="3" type="noConversion"/>
  </si>
  <si>
    <t>水費</t>
    <phoneticPr fontId="3" type="noConversion"/>
  </si>
  <si>
    <t>水費-101.1月</t>
    <phoneticPr fontId="3" type="noConversion"/>
  </si>
  <si>
    <t>(餘788)</t>
    <phoneticPr fontId="3" type="noConversion"/>
  </si>
  <si>
    <t>2012.1.31 與現金符合</t>
    <phoneticPr fontId="3" type="noConversion"/>
  </si>
  <si>
    <t>2012.2.1</t>
    <phoneticPr fontId="3" type="noConversion"/>
  </si>
  <si>
    <t>2012.2 北平房租-台銀網銀轉帳</t>
    <phoneticPr fontId="3" type="noConversion"/>
  </si>
  <si>
    <t>郵費</t>
    <phoneticPr fontId="3" type="noConversion"/>
  </si>
  <si>
    <t>郵票 @5*2</t>
    <phoneticPr fontId="3" type="noConversion"/>
  </si>
  <si>
    <t>(餘778)</t>
    <phoneticPr fontId="3" type="noConversion"/>
  </si>
  <si>
    <t>2012.2.2</t>
    <phoneticPr fontId="3" type="noConversion"/>
  </si>
  <si>
    <t>(餘5778)</t>
    <phoneticPr fontId="3" type="noConversion"/>
  </si>
  <si>
    <t>2012.2.6</t>
    <phoneticPr fontId="3" type="noConversion"/>
  </si>
  <si>
    <t>101.1 永</t>
    <phoneticPr fontId="3" type="noConversion"/>
  </si>
  <si>
    <t>101.1 達</t>
    <phoneticPr fontId="3" type="noConversion"/>
  </si>
  <si>
    <t>2012.2.10</t>
    <phoneticPr fontId="3" type="noConversion"/>
  </si>
  <si>
    <t>2012.1 card ada代刷</t>
    <phoneticPr fontId="3" type="noConversion"/>
  </si>
  <si>
    <t>2012.2.17</t>
    <phoneticPr fontId="3" type="noConversion"/>
  </si>
  <si>
    <t>AOPEN送修郵局包裹費</t>
    <phoneticPr fontId="3" type="noConversion"/>
  </si>
  <si>
    <t>(餘5708)</t>
    <phoneticPr fontId="3" type="noConversion"/>
  </si>
  <si>
    <t>2012.2.20</t>
    <phoneticPr fontId="3" type="noConversion"/>
  </si>
  <si>
    <t>管理費-2012.2</t>
    <phoneticPr fontId="3" type="noConversion"/>
  </si>
  <si>
    <t>(餘4503)</t>
    <phoneticPr fontId="3" type="noConversion"/>
  </si>
  <si>
    <t>2012.2.23</t>
    <phoneticPr fontId="3" type="noConversion"/>
  </si>
  <si>
    <t>雜項購置</t>
    <phoneticPr fontId="3" type="noConversion"/>
  </si>
  <si>
    <t>SATA2USB 傳輸線</t>
    <phoneticPr fontId="3" type="noConversion"/>
  </si>
  <si>
    <t>(餘4083)</t>
    <phoneticPr fontId="3" type="noConversion"/>
  </si>
  <si>
    <t>2012.2.23 與現金符合</t>
    <phoneticPr fontId="3" type="noConversion"/>
  </si>
  <si>
    <t>2012.2.24</t>
    <phoneticPr fontId="3" type="noConversion"/>
  </si>
  <si>
    <t>5公升垃圾袋 @45*4</t>
    <phoneticPr fontId="3" type="noConversion"/>
  </si>
  <si>
    <t>(餘3903)</t>
    <phoneticPr fontId="3" type="noConversion"/>
  </si>
  <si>
    <t>2012.3.1</t>
    <phoneticPr fontId="3" type="noConversion"/>
  </si>
  <si>
    <t>2012.3 北平房租-台銀網銀轉帳</t>
    <phoneticPr fontId="3" type="noConversion"/>
  </si>
  <si>
    <t>2012.3.5</t>
    <phoneticPr fontId="3" type="noConversion"/>
  </si>
  <si>
    <t>101.2 永</t>
    <phoneticPr fontId="3" type="noConversion"/>
  </si>
  <si>
    <t>101.2 達</t>
    <phoneticPr fontId="3" type="noConversion"/>
  </si>
  <si>
    <t>文具費</t>
    <phoneticPr fontId="3" type="noConversion"/>
  </si>
  <si>
    <t>A4紙</t>
    <phoneticPr fontId="3" type="noConversion"/>
  </si>
  <si>
    <t>(餘3783)</t>
    <phoneticPr fontId="3" type="noConversion"/>
  </si>
  <si>
    <t>2012.3.6</t>
    <phoneticPr fontId="3" type="noConversion"/>
  </si>
  <si>
    <t>進貨-電腦零件</t>
    <phoneticPr fontId="3" type="noConversion"/>
  </si>
  <si>
    <t>紐頓-金士頓DDR3-2G@350*3</t>
    <phoneticPr fontId="3" type="noConversion"/>
  </si>
  <si>
    <t>(餘2733)</t>
    <phoneticPr fontId="3" type="noConversion"/>
  </si>
  <si>
    <t>華算101.3-4三聯式發票</t>
    <phoneticPr fontId="3" type="noConversion"/>
  </si>
  <si>
    <t>(餘2715)</t>
    <phoneticPr fontId="3" type="noConversion"/>
  </si>
  <si>
    <t>2012.3.7</t>
    <phoneticPr fontId="3" type="noConversion"/>
  </si>
  <si>
    <t>計程車資-勤業裝機</t>
    <phoneticPr fontId="3" type="noConversion"/>
  </si>
  <si>
    <t>(餘2480)</t>
    <phoneticPr fontId="3" type="noConversion"/>
  </si>
  <si>
    <t>2012.3.9</t>
    <phoneticPr fontId="3" type="noConversion"/>
  </si>
  <si>
    <t>順豐運貨-E3400 CPU 5顆</t>
    <phoneticPr fontId="3" type="noConversion"/>
  </si>
  <si>
    <t>(餘2339)</t>
    <phoneticPr fontId="3" type="noConversion"/>
  </si>
  <si>
    <t>2012.3.12</t>
    <phoneticPr fontId="3" type="noConversion"/>
  </si>
  <si>
    <t>順豐運貨-E3400 CPU FAN 5個</t>
    <phoneticPr fontId="3" type="noConversion"/>
  </si>
  <si>
    <t>(餘2198)</t>
    <phoneticPr fontId="3" type="noConversion"/>
  </si>
  <si>
    <t>饒媽申請債權証明</t>
    <phoneticPr fontId="3" type="noConversion"/>
  </si>
  <si>
    <t>401.2012.1/2012.2</t>
    <phoneticPr fontId="3" type="noConversion"/>
  </si>
  <si>
    <t>水費-101.3月</t>
    <phoneticPr fontId="3" type="noConversion"/>
  </si>
  <si>
    <t>文具-合約封面紙@39*2</t>
    <phoneticPr fontId="3" type="noConversion"/>
  </si>
  <si>
    <t>掛號-愛浪合約發票回郵信封</t>
    <phoneticPr fontId="3" type="noConversion"/>
  </si>
  <si>
    <t>零用金轉ADA</t>
    <phoneticPr fontId="3" type="noConversion"/>
  </si>
  <si>
    <t>(餘6887)</t>
    <phoneticPr fontId="3" type="noConversion"/>
  </si>
  <si>
    <t>2012.3.12 與現金符合</t>
    <phoneticPr fontId="3" type="noConversion"/>
  </si>
  <si>
    <t>2012.3.13</t>
    <phoneticPr fontId="3" type="noConversion"/>
  </si>
  <si>
    <t>計程車資-雙安裝機</t>
    <phoneticPr fontId="3" type="noConversion"/>
  </si>
  <si>
    <t>(餘6742)</t>
    <phoneticPr fontId="3" type="noConversion"/>
  </si>
  <si>
    <t>2012.3.14</t>
    <phoneticPr fontId="3" type="noConversion"/>
  </si>
  <si>
    <t>新竹貨運-划板車</t>
    <phoneticPr fontId="3" type="noConversion"/>
  </si>
  <si>
    <t>(餘6632)</t>
    <phoneticPr fontId="3" type="noConversion"/>
  </si>
  <si>
    <t>紐頓-金士頓DDR3-2G@350*5</t>
    <phoneticPr fontId="3" type="noConversion"/>
  </si>
  <si>
    <t>管理費-2012.3</t>
    <phoneticPr fontId="3" type="noConversion"/>
  </si>
  <si>
    <t>(餘3677)</t>
    <phoneticPr fontId="3" type="noConversion"/>
  </si>
  <si>
    <t>2012.3.19</t>
    <phoneticPr fontId="3" type="noConversion"/>
  </si>
  <si>
    <t>計程車資-喜可裝機</t>
    <phoneticPr fontId="3" type="noConversion"/>
  </si>
  <si>
    <t xml:space="preserve"> </t>
    <phoneticPr fontId="3" type="noConversion"/>
  </si>
  <si>
    <t>(餘2957)</t>
    <phoneticPr fontId="3" type="noConversion"/>
  </si>
  <si>
    <t>2012.3.21</t>
    <phoneticPr fontId="3" type="noConversion"/>
  </si>
  <si>
    <t>合約紙內頁 @48*2</t>
    <phoneticPr fontId="3" type="noConversion"/>
  </si>
  <si>
    <t>廁所清潔劑</t>
    <phoneticPr fontId="3" type="noConversion"/>
  </si>
  <si>
    <t>(餘2802)</t>
    <phoneticPr fontId="3" type="noConversion"/>
  </si>
  <si>
    <t>2012.3.23</t>
    <phoneticPr fontId="3" type="noConversion"/>
  </si>
  <si>
    <t>去漬油-清潔機箱外瞉</t>
    <phoneticPr fontId="3" type="noConversion"/>
  </si>
  <si>
    <t>(餘2757)</t>
    <phoneticPr fontId="3" type="noConversion"/>
  </si>
  <si>
    <t>2012.3.27</t>
    <phoneticPr fontId="3" type="noConversion"/>
  </si>
  <si>
    <t>計程車資-愛浪裝機</t>
    <phoneticPr fontId="3" type="noConversion"/>
  </si>
  <si>
    <t>(餘2407)</t>
    <phoneticPr fontId="3" type="noConversion"/>
  </si>
  <si>
    <t>2012.3.28</t>
    <phoneticPr fontId="3" type="noConversion"/>
  </si>
  <si>
    <t>股東往來</t>
    <phoneticPr fontId="3" type="noConversion"/>
  </si>
  <si>
    <t>現金存入饒郵局, 原郵局存款$280247, 匯出 $281010 
給梅陳滿蕙 TEL:02-23912433 
台北青田郵局 #700 000 1071 0654 698</t>
    <phoneticPr fontId="3" type="noConversion"/>
  </si>
  <si>
    <t>郵局匯款手續費付現</t>
    <phoneticPr fontId="3" type="noConversion"/>
  </si>
  <si>
    <t>(餘1577)</t>
    <phoneticPr fontId="3" type="noConversion"/>
  </si>
  <si>
    <t>2012.3.28 與現金符合</t>
    <phoneticPr fontId="3" type="noConversion"/>
  </si>
  <si>
    <t>2012.3.29</t>
    <phoneticPr fontId="3" type="noConversion"/>
  </si>
  <si>
    <t>計程車資-漢聯裝機</t>
    <phoneticPr fontId="3" type="noConversion"/>
  </si>
  <si>
    <t>(餘1322)</t>
    <phoneticPr fontId="3" type="noConversion"/>
  </si>
  <si>
    <t>2012.3.30</t>
    <phoneticPr fontId="3" type="noConversion"/>
  </si>
  <si>
    <t>計程車資-台一裝機</t>
    <phoneticPr fontId="3" type="noConversion"/>
  </si>
  <si>
    <t>(餘1162)</t>
    <phoneticPr fontId="3" type="noConversion"/>
  </si>
  <si>
    <t>2012.4.2</t>
    <phoneticPr fontId="3" type="noConversion"/>
  </si>
  <si>
    <t>2012.4 北平房租-台銀網銀轉帳</t>
    <phoneticPr fontId="3" type="noConversion"/>
  </si>
  <si>
    <t>掛號郵資-宇權合約(附回郵信封)</t>
    <phoneticPr fontId="3" type="noConversion"/>
  </si>
  <si>
    <t>(餘1127)</t>
    <phoneticPr fontId="3" type="noConversion"/>
  </si>
  <si>
    <t>2012.4.3</t>
    <phoneticPr fontId="3" type="noConversion"/>
  </si>
  <si>
    <t>計程車資-邁拓裝機</t>
    <phoneticPr fontId="3" type="noConversion"/>
  </si>
  <si>
    <t>計程車資-邁拓裝機拿票</t>
    <phoneticPr fontId="3" type="noConversion"/>
  </si>
  <si>
    <t>(餘552)</t>
    <phoneticPr fontId="3" type="noConversion"/>
  </si>
  <si>
    <t>2012.4.5</t>
    <phoneticPr fontId="3" type="noConversion"/>
  </si>
  <si>
    <t>順豐運貨-E3400 CPU 3顆 E6600 CPU 2顆</t>
    <phoneticPr fontId="3" type="noConversion"/>
  </si>
  <si>
    <t>(餘411)</t>
    <phoneticPr fontId="3" type="noConversion"/>
  </si>
  <si>
    <t>2012.3 card ada代刷</t>
    <phoneticPr fontId="3" type="noConversion"/>
  </si>
  <si>
    <t>101.3 証</t>
    <phoneticPr fontId="3" type="noConversion"/>
  </si>
  <si>
    <t>101.3 欽</t>
    <phoneticPr fontId="3" type="noConversion"/>
  </si>
  <si>
    <t>101.3 永</t>
    <phoneticPr fontId="3" type="noConversion"/>
  </si>
  <si>
    <t>101.3 達</t>
    <phoneticPr fontId="3" type="noConversion"/>
  </si>
  <si>
    <t>(餘5411)</t>
    <phoneticPr fontId="3" type="noConversion"/>
  </si>
  <si>
    <t>2012.4.6</t>
    <phoneticPr fontId="3" type="noConversion"/>
  </si>
  <si>
    <t>順豐運貨-E3400 CPU 風扇 5顆</t>
    <phoneticPr fontId="3" type="noConversion"/>
  </si>
  <si>
    <t>(餘5270)</t>
    <phoneticPr fontId="3" type="noConversion"/>
  </si>
  <si>
    <t>2012.4.18</t>
    <phoneticPr fontId="3" type="noConversion"/>
  </si>
  <si>
    <t>博欽油資-愛浪/台一/漢聯</t>
    <phoneticPr fontId="3" type="noConversion"/>
  </si>
  <si>
    <t>(餘5170)</t>
    <phoneticPr fontId="3" type="noConversion"/>
  </si>
  <si>
    <t>2012.4.24</t>
    <phoneticPr fontId="3" type="noConversion"/>
  </si>
  <si>
    <t>管理費-2012.4</t>
    <phoneticPr fontId="3" type="noConversion"/>
  </si>
  <si>
    <t>(餘3965)</t>
    <phoneticPr fontId="3" type="noConversion"/>
  </si>
  <si>
    <t>2012.4.25</t>
    <phoneticPr fontId="3" type="noConversion"/>
  </si>
  <si>
    <t>饒媽生日+母親節的錢</t>
    <phoneticPr fontId="3" type="noConversion"/>
  </si>
  <si>
    <t>2012.5.1</t>
    <phoneticPr fontId="3" type="noConversion"/>
  </si>
  <si>
    <t>2012.5 北平房租-台銀網銀轉帳</t>
    <phoneticPr fontId="3" type="noConversion"/>
  </si>
  <si>
    <t>2012.5.2</t>
    <phoneticPr fontId="3" type="noConversion"/>
  </si>
  <si>
    <t>華算101.5-6三聯式發票</t>
    <phoneticPr fontId="3" type="noConversion"/>
  </si>
  <si>
    <t>中正國稅局悠遊車資</t>
    <phoneticPr fontId="3" type="noConversion"/>
  </si>
  <si>
    <t>(餘3917)</t>
    <phoneticPr fontId="3" type="noConversion"/>
  </si>
  <si>
    <t>2012.5.7</t>
    <phoneticPr fontId="3" type="noConversion"/>
  </si>
  <si>
    <t>101.4 証</t>
    <phoneticPr fontId="3" type="noConversion"/>
  </si>
  <si>
    <t>101.4 欽</t>
    <phoneticPr fontId="3" type="noConversion"/>
  </si>
  <si>
    <t>101.4 欽---補勞保多扣</t>
    <phoneticPr fontId="3" type="noConversion"/>
  </si>
  <si>
    <t>101.4 達</t>
    <phoneticPr fontId="3" type="noConversion"/>
  </si>
  <si>
    <t>2012.5.8</t>
    <phoneticPr fontId="3" type="noConversion"/>
  </si>
  <si>
    <t>2012.4 card ada代刷</t>
    <phoneticPr fontId="3" type="noConversion"/>
  </si>
  <si>
    <t>計程車資-利泰慧裝機</t>
    <phoneticPr fontId="3" type="noConversion"/>
  </si>
  <si>
    <t>(餘2867)</t>
    <phoneticPr fontId="3" type="noConversion"/>
  </si>
  <si>
    <t>2012.5.11</t>
    <phoneticPr fontId="3" type="noConversion"/>
  </si>
  <si>
    <t>401.2012.3/2012.4</t>
    <phoneticPr fontId="3" type="noConversion"/>
  </si>
  <si>
    <t>附郵掛號信封 $26*20</t>
    <phoneticPr fontId="3" type="noConversion"/>
  </si>
  <si>
    <t>(餘2347)</t>
    <phoneticPr fontId="3" type="noConversion"/>
  </si>
  <si>
    <t>2012.5.16</t>
    <phoneticPr fontId="3" type="noConversion"/>
  </si>
  <si>
    <t>計程車資-威倫裝機(主機異常未裝成)</t>
    <phoneticPr fontId="3" type="noConversion"/>
  </si>
  <si>
    <t>(餘2002)</t>
    <phoneticPr fontId="3" type="noConversion"/>
  </si>
  <si>
    <t>2012.5.17</t>
    <phoneticPr fontId="3" type="noConversion"/>
  </si>
  <si>
    <t>計程車資-威倫裝機</t>
    <phoneticPr fontId="3" type="noConversion"/>
  </si>
  <si>
    <t>(餘1657)</t>
    <phoneticPr fontId="3" type="noConversion"/>
  </si>
  <si>
    <t>2012.5.18</t>
    <phoneticPr fontId="3" type="noConversion"/>
  </si>
  <si>
    <t>管理費-2012.5</t>
    <phoneticPr fontId="3" type="noConversion"/>
  </si>
  <si>
    <t>(餘452)</t>
    <phoneticPr fontId="3" type="noConversion"/>
  </si>
  <si>
    <t>2012.5.21</t>
    <phoneticPr fontId="3" type="noConversion"/>
  </si>
  <si>
    <t>包裹-利泰慧分享器-寄回</t>
    <phoneticPr fontId="3" type="noConversion"/>
  </si>
  <si>
    <t>包裹-海特故障硬碟-寄回</t>
    <phoneticPr fontId="3" type="noConversion"/>
  </si>
  <si>
    <t>水費-101.5月</t>
    <phoneticPr fontId="3" type="noConversion"/>
  </si>
  <si>
    <t>(餘5103)</t>
    <phoneticPr fontId="3" type="noConversion"/>
  </si>
  <si>
    <t>2012.5.21 與現金符合</t>
    <phoneticPr fontId="3" type="noConversion"/>
  </si>
  <si>
    <t>2012.5.22</t>
    <phoneticPr fontId="3" type="noConversion"/>
  </si>
  <si>
    <t>文具---合約封面紙 @39*4</t>
    <phoneticPr fontId="3" type="noConversion"/>
  </si>
  <si>
    <t>電池9V---測線器用</t>
    <phoneticPr fontId="3" type="noConversion"/>
  </si>
  <si>
    <t>計程車資-品固裝機</t>
    <phoneticPr fontId="3" type="noConversion"/>
  </si>
  <si>
    <t>(餘4478)</t>
    <phoneticPr fontId="3" type="noConversion"/>
  </si>
  <si>
    <t>2012.5.24</t>
    <phoneticPr fontId="3" type="noConversion"/>
  </si>
  <si>
    <t>饒媽 2012.1-2012.12 零用
麻煩你付給饒媽 6000 *12 + 上次的3000 - 已付的30000 = 39000</t>
    <phoneticPr fontId="3" type="noConversion"/>
  </si>
  <si>
    <t>2012.5.28</t>
    <phoneticPr fontId="3" type="noConversion"/>
  </si>
  <si>
    <t>文具---合約膠帶 @48+@45</t>
    <phoneticPr fontId="3" type="noConversion"/>
  </si>
  <si>
    <t>掛號費---泰聯合約/發票</t>
    <phoneticPr fontId="3" type="noConversion"/>
  </si>
  <si>
    <t>(餘4350)</t>
    <phoneticPr fontId="3" type="noConversion"/>
  </si>
  <si>
    <t>2012.5.31</t>
    <phoneticPr fontId="3" type="noConversion"/>
  </si>
  <si>
    <t>計程車資-協億通裝機</t>
    <phoneticPr fontId="3" type="noConversion"/>
  </si>
  <si>
    <t>(餘4180)</t>
    <phoneticPr fontId="3" type="noConversion"/>
  </si>
  <si>
    <t>2012.6.1</t>
    <phoneticPr fontId="3" type="noConversion"/>
  </si>
  <si>
    <t>2012.6 北平房租-台銀網銀轉帳(開始漲兩千)</t>
    <phoneticPr fontId="3" type="noConversion"/>
  </si>
  <si>
    <t>2012.6.5</t>
    <phoneticPr fontId="3" type="noConversion"/>
  </si>
  <si>
    <t>101.5 証</t>
    <phoneticPr fontId="3" type="noConversion"/>
  </si>
  <si>
    <t>101.5 欽</t>
    <phoneticPr fontId="3" type="noConversion"/>
  </si>
  <si>
    <t>101.5 達</t>
    <phoneticPr fontId="3" type="noConversion"/>
  </si>
  <si>
    <t>2012.5 card ada代刷</t>
    <phoneticPr fontId="3" type="noConversion"/>
  </si>
  <si>
    <t>掛號費---勞健保申訴</t>
    <phoneticPr fontId="3" type="noConversion"/>
  </si>
  <si>
    <t>(餘4175)</t>
    <phoneticPr fontId="3" type="noConversion"/>
  </si>
  <si>
    <t>2012.6.5 與現金符合</t>
    <phoneticPr fontId="3" type="noConversion"/>
  </si>
  <si>
    <t>2012.6.18</t>
    <phoneticPr fontId="3" type="noConversion"/>
  </si>
  <si>
    <t>管理費-2012.6</t>
    <phoneticPr fontId="3" type="noConversion"/>
  </si>
  <si>
    <t>掛號費---廣豪合約 (無發票)</t>
    <phoneticPr fontId="3" type="noConversion"/>
  </si>
  <si>
    <t>$25郵票*20張</t>
    <phoneticPr fontId="3" type="noConversion"/>
  </si>
  <si>
    <t>(餘2435)</t>
    <phoneticPr fontId="3" type="noConversion"/>
  </si>
  <si>
    <t>2012.6.25</t>
    <phoneticPr fontId="3" type="noConversion"/>
  </si>
  <si>
    <t>華算101.7-8三聯式發票</t>
    <phoneticPr fontId="3" type="noConversion"/>
  </si>
  <si>
    <t>衛生紙</t>
    <phoneticPr fontId="3" type="noConversion"/>
  </si>
  <si>
    <t>(餘2258)</t>
    <phoneticPr fontId="3" type="noConversion"/>
  </si>
  <si>
    <t>2012.6.25 達算延長停業-2012.07.01 ~ 2013.06.30</t>
    <phoneticPr fontId="3" type="noConversion"/>
  </si>
  <si>
    <t>2012.07.01</t>
    <phoneticPr fontId="3" type="noConversion"/>
  </si>
  <si>
    <t>2012.07 北平房租-台銀網銀轉帳(2012.06開始漲兩千)</t>
    <phoneticPr fontId="3" type="noConversion"/>
  </si>
  <si>
    <t>2012.7.5</t>
    <phoneticPr fontId="3" type="noConversion"/>
  </si>
  <si>
    <t>101.6 証</t>
    <phoneticPr fontId="3" type="noConversion"/>
  </si>
  <si>
    <t>101.6 欽</t>
    <phoneticPr fontId="3" type="noConversion"/>
  </si>
  <si>
    <t>101.6 達</t>
    <phoneticPr fontId="3" type="noConversion"/>
  </si>
  <si>
    <t>2012.07.09</t>
    <phoneticPr fontId="3" type="noConversion"/>
  </si>
  <si>
    <t>401.2012.05~06</t>
    <phoneticPr fontId="3" type="noConversion"/>
  </si>
  <si>
    <t>2012.6 card ada代刷</t>
    <phoneticPr fontId="3" type="noConversion"/>
  </si>
  <si>
    <t>鴻碩維護車資-台鐵</t>
    <phoneticPr fontId="3" type="noConversion"/>
  </si>
  <si>
    <t>鴻碩維護車資-計程車</t>
    <phoneticPr fontId="3" type="noConversion"/>
  </si>
  <si>
    <t>鴻碩維護車資-台鐵(另加$6元月台票)</t>
    <phoneticPr fontId="3" type="noConversion"/>
  </si>
  <si>
    <t>(餘2022)</t>
    <phoneticPr fontId="3" type="noConversion"/>
  </si>
  <si>
    <t>2012.07.10</t>
    <phoneticPr fontId="3" type="noConversion"/>
  </si>
  <si>
    <t>水費-101.7月</t>
    <phoneticPr fontId="3" type="noConversion"/>
  </si>
  <si>
    <t>(餘1813)</t>
    <phoneticPr fontId="3" type="noConversion"/>
  </si>
  <si>
    <t>2012.07.11</t>
    <phoneticPr fontId="3" type="noConversion"/>
  </si>
  <si>
    <t>維護油資</t>
    <phoneticPr fontId="3" type="noConversion"/>
  </si>
  <si>
    <t>(餘1713)</t>
    <phoneticPr fontId="3" type="noConversion"/>
  </si>
  <si>
    <t>2012.07.12</t>
    <phoneticPr fontId="3" type="noConversion"/>
  </si>
  <si>
    <t>掛號費---DV健保請款(補牙)</t>
    <phoneticPr fontId="3" type="noConversion"/>
  </si>
  <si>
    <t>(餘1683)</t>
    <phoneticPr fontId="3" type="noConversion"/>
  </si>
  <si>
    <t>2012.7.23</t>
    <phoneticPr fontId="3" type="noConversion"/>
  </si>
  <si>
    <t>管理費-2012.07</t>
    <phoneticPr fontId="3" type="noConversion"/>
  </si>
  <si>
    <t>(餘478)</t>
    <phoneticPr fontId="3" type="noConversion"/>
  </si>
  <si>
    <t>2012.8.1</t>
    <phoneticPr fontId="3" type="noConversion"/>
  </si>
  <si>
    <t>2012.08 北平房租-台銀網銀轉帳(2012.06開始漲兩千)</t>
    <phoneticPr fontId="3" type="noConversion"/>
  </si>
  <si>
    <t>2012.8.6</t>
    <phoneticPr fontId="3" type="noConversion"/>
  </si>
  <si>
    <t>101.6 欽 (台銀櫃台轉)</t>
    <phoneticPr fontId="3" type="noConversion"/>
  </si>
  <si>
    <t>2012.8.7</t>
    <phoneticPr fontId="3" type="noConversion"/>
  </si>
  <si>
    <t>掛號費-杉坤合約/發票</t>
    <phoneticPr fontId="3" type="noConversion"/>
  </si>
  <si>
    <t>郵票 @10 * 5張</t>
    <phoneticPr fontId="3" type="noConversion"/>
  </si>
  <si>
    <t>(餘393)</t>
    <phoneticPr fontId="3" type="noConversion"/>
  </si>
  <si>
    <t>2012.8.8</t>
    <phoneticPr fontId="3" type="noConversion"/>
  </si>
  <si>
    <t>電話費</t>
    <phoneticPr fontId="3" type="noConversion"/>
  </si>
  <si>
    <t>客服易付卡儲值</t>
    <phoneticPr fontId="3" type="noConversion"/>
  </si>
  <si>
    <t>(餘5093)</t>
    <phoneticPr fontId="3" type="noConversion"/>
  </si>
  <si>
    <t>2012.8.14</t>
    <phoneticPr fontId="3" type="noConversion"/>
  </si>
  <si>
    <t>影印-合約封面 @2 * 12</t>
    <phoneticPr fontId="3" type="noConversion"/>
  </si>
  <si>
    <t>(餘5069)</t>
    <phoneticPr fontId="3" type="noConversion"/>
  </si>
  <si>
    <t>2012.8.16</t>
    <phoneticPr fontId="3" type="noConversion"/>
  </si>
  <si>
    <t>掛號費-達翌合約 (無發票)</t>
    <phoneticPr fontId="3" type="noConversion"/>
  </si>
  <si>
    <t>(餘5034)</t>
    <phoneticPr fontId="3" type="noConversion"/>
  </si>
  <si>
    <t>2012.8.21</t>
    <phoneticPr fontId="3" type="noConversion"/>
  </si>
  <si>
    <t>管理費-2012.08</t>
    <phoneticPr fontId="3" type="noConversion"/>
  </si>
  <si>
    <t>(餘3829)</t>
    <phoneticPr fontId="3" type="noConversion"/>
  </si>
  <si>
    <t>2012.8.28</t>
    <phoneticPr fontId="3" type="noConversion"/>
  </si>
  <si>
    <t>華算101.9-10三聯式發票</t>
    <phoneticPr fontId="3" type="noConversion"/>
  </si>
  <si>
    <t>掛號費-光興合約/發票</t>
    <phoneticPr fontId="3" type="noConversion"/>
  </si>
  <si>
    <t>(餘3776)</t>
    <phoneticPr fontId="3" type="noConversion"/>
  </si>
  <si>
    <t>2012.9.1</t>
    <phoneticPr fontId="3" type="noConversion"/>
  </si>
  <si>
    <t>2012.09 北平房租-台銀網銀轉帳(2012.06開始漲兩千)</t>
    <phoneticPr fontId="3" type="noConversion"/>
  </si>
  <si>
    <t>2012.09.03</t>
    <phoneticPr fontId="3" type="noConversion"/>
  </si>
  <si>
    <t>401.2012.07~08</t>
    <phoneticPr fontId="3" type="noConversion"/>
  </si>
  <si>
    <t>掛號費-鴻碩合約(無發票)</t>
    <phoneticPr fontId="3" type="noConversion"/>
  </si>
  <si>
    <t>(餘3731)</t>
    <phoneticPr fontId="3" type="noConversion"/>
  </si>
  <si>
    <t>2012.9.5</t>
    <phoneticPr fontId="3" type="noConversion"/>
  </si>
  <si>
    <t>101.8 欽</t>
    <phoneticPr fontId="3" type="noConversion"/>
  </si>
  <si>
    <t>2012.9.6</t>
    <phoneticPr fontId="3" type="noConversion"/>
  </si>
  <si>
    <t>101.8 証</t>
    <phoneticPr fontId="3" type="noConversion"/>
  </si>
  <si>
    <t>101.8 達</t>
    <phoneticPr fontId="3" type="noConversion"/>
  </si>
  <si>
    <t>2012.9.17</t>
    <phoneticPr fontId="3" type="noConversion"/>
  </si>
  <si>
    <t>松群維護PW臨時掛掉博欽附近先買</t>
    <phoneticPr fontId="3" type="noConversion"/>
  </si>
  <si>
    <t>(餘2786)</t>
    <phoneticPr fontId="3" type="noConversion"/>
  </si>
  <si>
    <t>2012.9.18</t>
    <phoneticPr fontId="3" type="noConversion"/>
  </si>
  <si>
    <t>(餘2617)</t>
    <phoneticPr fontId="3" type="noConversion"/>
  </si>
  <si>
    <t>2012.9.20</t>
    <phoneticPr fontId="3" type="noConversion"/>
  </si>
  <si>
    <t>管理費-2012.09</t>
    <phoneticPr fontId="3" type="noConversion"/>
  </si>
  <si>
    <t>(餘1412)</t>
    <phoneticPr fontId="3" type="noConversion"/>
  </si>
  <si>
    <t>2012.9.24</t>
    <phoneticPr fontId="3" type="noConversion"/>
  </si>
  <si>
    <t>水費-101.9月</t>
    <phoneticPr fontId="3" type="noConversion"/>
  </si>
  <si>
    <t>(餘6224)</t>
    <phoneticPr fontId="3" type="noConversion"/>
  </si>
  <si>
    <t>2012.10.1</t>
    <phoneticPr fontId="3" type="noConversion"/>
  </si>
  <si>
    <t>2012.10 北平房租-台銀網銀轉帳(2012.06開始漲兩千)</t>
    <phoneticPr fontId="3" type="noConversion"/>
  </si>
  <si>
    <t>DV1: 可以麻煩你給饒媽6千嗎? 本來上星期就想要給了, 因為太忙,忘了</t>
    <phoneticPr fontId="3" type="noConversion"/>
  </si>
  <si>
    <t>2012.10.3</t>
    <phoneticPr fontId="3" type="noConversion"/>
  </si>
  <si>
    <t>維護油資-大碩</t>
    <phoneticPr fontId="3" type="noConversion"/>
  </si>
  <si>
    <t>維護油資-同皇-松群</t>
    <phoneticPr fontId="3" type="noConversion"/>
  </si>
  <si>
    <t>(餘6024)</t>
    <phoneticPr fontId="3" type="noConversion"/>
  </si>
  <si>
    <t>2012.10.04</t>
    <phoneticPr fontId="3" type="noConversion"/>
  </si>
  <si>
    <t>2012.09 card ada代刷</t>
    <phoneticPr fontId="3" type="noConversion"/>
  </si>
  <si>
    <t>2012.10.5</t>
    <phoneticPr fontId="3" type="noConversion"/>
  </si>
  <si>
    <t>101.9 欽</t>
    <phoneticPr fontId="3" type="noConversion"/>
  </si>
  <si>
    <t>101.9 証</t>
    <phoneticPr fontId="3" type="noConversion"/>
  </si>
  <si>
    <t>101.9 達</t>
    <phoneticPr fontId="3" type="noConversion"/>
  </si>
  <si>
    <t>2012.10.9</t>
    <phoneticPr fontId="3" type="noConversion"/>
  </si>
  <si>
    <t>依德洽談計程車資</t>
    <phoneticPr fontId="3" type="noConversion"/>
  </si>
  <si>
    <t>UNI-CASE網址續約年費-代PT申請還款 (2012.07.09 101.06卡費)</t>
    <phoneticPr fontId="3" type="noConversion"/>
  </si>
  <si>
    <t>(餘6047)</t>
    <phoneticPr fontId="3" type="noConversion"/>
  </si>
  <si>
    <t>2012.10.11 與現金符合</t>
    <phoneticPr fontId="3" type="noConversion"/>
  </si>
  <si>
    <t>2012.10.24</t>
    <phoneticPr fontId="3" type="noConversion"/>
  </si>
  <si>
    <t>依德裝機計程車資</t>
    <phoneticPr fontId="3" type="noConversion"/>
  </si>
  <si>
    <t>管理費-2012.10</t>
    <phoneticPr fontId="3" type="noConversion"/>
  </si>
  <si>
    <t>(餘4382)</t>
    <phoneticPr fontId="3" type="noConversion"/>
  </si>
  <si>
    <t>2012.10.25</t>
    <phoneticPr fontId="3" type="noConversion"/>
  </si>
  <si>
    <t>依德維護車資去程</t>
    <phoneticPr fontId="3" type="noConversion"/>
  </si>
  <si>
    <t>依德維護車資回程</t>
    <phoneticPr fontId="3" type="noConversion"/>
  </si>
  <si>
    <t>(餘4318)</t>
    <phoneticPr fontId="3" type="noConversion"/>
  </si>
  <si>
    <t>2012.10.29</t>
    <phoneticPr fontId="3" type="noConversion"/>
  </si>
  <si>
    <t>買發票悠遊卡車資</t>
    <phoneticPr fontId="3" type="noConversion"/>
  </si>
  <si>
    <t>華算101.11-12三聯式發票</t>
    <phoneticPr fontId="3" type="noConversion"/>
  </si>
  <si>
    <t>公司悠遊卡儲值</t>
    <phoneticPr fontId="3" type="noConversion"/>
  </si>
  <si>
    <t>(餘4184)</t>
    <phoneticPr fontId="3" type="noConversion"/>
  </si>
  <si>
    <t>2012.11.1</t>
    <phoneticPr fontId="3" type="noConversion"/>
  </si>
  <si>
    <t>2012.11 北平房租-台銀網銀轉帳(2012.06開始漲兩千)</t>
    <phoneticPr fontId="3" type="noConversion"/>
  </si>
  <si>
    <t>依德維護計程車資去程</t>
    <phoneticPr fontId="3" type="noConversion"/>
  </si>
  <si>
    <t>(餘4013)</t>
    <phoneticPr fontId="3" type="noConversion"/>
  </si>
  <si>
    <t>2012.11.5</t>
    <phoneticPr fontId="3" type="noConversion"/>
  </si>
  <si>
    <t>101.10 欽</t>
    <phoneticPr fontId="3" type="noConversion"/>
  </si>
  <si>
    <t>101.10 達</t>
    <phoneticPr fontId="3" type="noConversion"/>
  </si>
  <si>
    <t>2012.11.6</t>
    <phoneticPr fontId="3" type="noConversion"/>
  </si>
  <si>
    <t>依/鎔KO獎金</t>
    <phoneticPr fontId="3" type="noConversion"/>
  </si>
  <si>
    <t>rayman3t: [2012/11/5 下午 05:37:50] Peter Chang: Hello....麻煩你明天幫我匯款，帳號資料如下：
[2012年11月5日 下午 05:34] MAGA Kelvin: 
&lt;&lt;&lt; 第一銀行(007) 大安分行
戶名: 陳相雄
帳號: 16150441793陳相雄 0932-894-331
DV1: 那就算ko的獎金抵好了
rayman3t: 是要把PT列進薪水支出嗎?
DV1: 不用
rayman3t: 是要把PT列進薪水的獎金支出嗎? 要開扣繳憑單
DV1: 只是請你注明一下</t>
    <phoneticPr fontId="3" type="noConversion"/>
  </si>
  <si>
    <t>PT匯款手續費</t>
    <phoneticPr fontId="3" type="noConversion"/>
  </si>
  <si>
    <t>(餘3983)</t>
    <phoneticPr fontId="3" type="noConversion"/>
  </si>
  <si>
    <t>2012.11.7</t>
    <phoneticPr fontId="3" type="noConversion"/>
  </si>
  <si>
    <t>道法維護計程車資去程</t>
    <phoneticPr fontId="3" type="noConversion"/>
  </si>
  <si>
    <t>道法維護車資回程</t>
    <phoneticPr fontId="3" type="noConversion"/>
  </si>
  <si>
    <t>(餘3863)</t>
    <phoneticPr fontId="3" type="noConversion"/>
  </si>
  <si>
    <t>2012.11.07</t>
    <phoneticPr fontId="3" type="noConversion"/>
  </si>
  <si>
    <t>2012.10 card ada代刷 (另一筆在 2012.11.28)</t>
    <phoneticPr fontId="3" type="noConversion"/>
  </si>
  <si>
    <t>2012.11.08</t>
    <phoneticPr fontId="3" type="noConversion"/>
  </si>
  <si>
    <t>傳真紙</t>
    <phoneticPr fontId="3" type="noConversion"/>
  </si>
  <si>
    <t>合約用紙</t>
    <phoneticPr fontId="3" type="noConversion"/>
  </si>
  <si>
    <t>合約封面影印</t>
    <phoneticPr fontId="3" type="noConversion"/>
  </si>
  <si>
    <t>(餘3627)</t>
    <phoneticPr fontId="3" type="noConversion"/>
  </si>
  <si>
    <t>2012.11.08 與現金符合</t>
    <phoneticPr fontId="3" type="noConversion"/>
  </si>
  <si>
    <t>2012.11.09</t>
    <phoneticPr fontId="3" type="noConversion"/>
  </si>
  <si>
    <t>掛號費-愛浪合約/發票</t>
    <phoneticPr fontId="3" type="noConversion"/>
  </si>
  <si>
    <t>掛號費-恩豪合約/發票</t>
    <phoneticPr fontId="3" type="noConversion"/>
  </si>
  <si>
    <t>郵票  @25 * 20張 @10 * 20張</t>
    <phoneticPr fontId="3" type="noConversion"/>
  </si>
  <si>
    <t>(餘2837)</t>
    <phoneticPr fontId="3" type="noConversion"/>
  </si>
  <si>
    <t>2012.11.12</t>
    <phoneticPr fontId="3" type="noConversion"/>
  </si>
  <si>
    <t>饒媽 2013.1-2013.06 零用
DV1: 不然先給明年上半年的
DV1: 36000有嗎
rayman3t: 有
DV1: 就是2013-01-06月</t>
    <phoneticPr fontId="3" type="noConversion"/>
  </si>
  <si>
    <t>2012.11.14</t>
    <phoneticPr fontId="3" type="noConversion"/>
  </si>
  <si>
    <t>掛號費-城乙合約/發票</t>
    <phoneticPr fontId="3" type="noConversion"/>
  </si>
  <si>
    <t>(餘2792)</t>
    <phoneticPr fontId="3" type="noConversion"/>
  </si>
  <si>
    <t>2012.11.16</t>
    <phoneticPr fontId="3" type="noConversion"/>
  </si>
  <si>
    <t>道法裝機計程車資</t>
    <phoneticPr fontId="3" type="noConversion"/>
  </si>
  <si>
    <t>(餘2547)</t>
    <phoneticPr fontId="3" type="noConversion"/>
  </si>
  <si>
    <t>2012.11.20</t>
    <phoneticPr fontId="3" type="noConversion"/>
  </si>
  <si>
    <t>水費.101-11</t>
    <phoneticPr fontId="3" type="noConversion"/>
  </si>
  <si>
    <t>管理費-2012.11</t>
    <phoneticPr fontId="3" type="noConversion"/>
  </si>
  <si>
    <t>掛號費-鴻碩合約/發票</t>
    <phoneticPr fontId="3" type="noConversion"/>
  </si>
  <si>
    <t>掛號費-恩豪合約</t>
    <phoneticPr fontId="3" type="noConversion"/>
  </si>
  <si>
    <t>文具---標準信封100入</t>
    <phoneticPr fontId="3" type="noConversion"/>
  </si>
  <si>
    <t>2012.11.28</t>
    <phoneticPr fontId="3" type="noConversion"/>
  </si>
  <si>
    <t>2012.10 card ada代刷補ADA少算 (另一筆在 2012.11.07)</t>
    <phoneticPr fontId="3" type="noConversion"/>
  </si>
  <si>
    <t>旺旺達裝機計程車資</t>
    <phoneticPr fontId="3" type="noConversion"/>
  </si>
  <si>
    <t>2012.11.30</t>
    <phoneticPr fontId="3" type="noConversion"/>
  </si>
  <si>
    <t>2012.12.03</t>
    <phoneticPr fontId="3" type="noConversion"/>
  </si>
  <si>
    <t>2012.12 北平房租-台銀網銀轉帳(2012.06開始漲兩千)</t>
    <phoneticPr fontId="3" type="noConversion"/>
  </si>
  <si>
    <t>限時掛號費-城乙支票寄回重蓋公司章</t>
    <phoneticPr fontId="3" type="noConversion"/>
  </si>
  <si>
    <t>2012.12.5</t>
    <phoneticPr fontId="3" type="noConversion"/>
  </si>
  <si>
    <t>101.11 欽</t>
    <phoneticPr fontId="3" type="noConversion"/>
  </si>
  <si>
    <t>101.11 証</t>
    <phoneticPr fontId="3" type="noConversion"/>
  </si>
  <si>
    <t>101.11 達</t>
    <phoneticPr fontId="3" type="noConversion"/>
  </si>
  <si>
    <t>2012.12.07</t>
    <phoneticPr fontId="3" type="noConversion"/>
  </si>
  <si>
    <t>鴻碩裝機計程車資</t>
    <phoneticPr fontId="3" type="noConversion"/>
  </si>
  <si>
    <t>鴻碩裝機火車車資</t>
    <phoneticPr fontId="3" type="noConversion"/>
  </si>
  <si>
    <t>鴻碩裝機計程車資(單程,回程客戶便車)</t>
    <phoneticPr fontId="3" type="noConversion"/>
  </si>
  <si>
    <t>2012.12.10</t>
    <phoneticPr fontId="3" type="noConversion"/>
  </si>
  <si>
    <t>2012.11 card ada代刷</t>
    <phoneticPr fontId="3" type="noConversion"/>
  </si>
  <si>
    <t>2012.12.11</t>
    <phoneticPr fontId="3" type="noConversion"/>
  </si>
  <si>
    <t>鴻碩裝機計程車資(換HW重裝機)</t>
    <phoneticPr fontId="3" type="noConversion"/>
  </si>
  <si>
    <t>2012.12.12</t>
    <phoneticPr fontId="3" type="noConversion"/>
  </si>
  <si>
    <t>依德請款車資去程</t>
    <phoneticPr fontId="3" type="noConversion"/>
  </si>
  <si>
    <t>依德請款車資回程</t>
    <phoneticPr fontId="3" type="noConversion"/>
  </si>
  <si>
    <t>2012.12.12 與現金符合</t>
    <phoneticPr fontId="3" type="noConversion"/>
  </si>
  <si>
    <t>2012.12.17</t>
    <phoneticPr fontId="3" type="noConversion"/>
  </si>
  <si>
    <t>環保垃圾袋</t>
    <phoneticPr fontId="3" type="noConversion"/>
  </si>
  <si>
    <t>2012.12.18</t>
    <phoneticPr fontId="3" type="noConversion"/>
  </si>
  <si>
    <t>合約封面影印-依德</t>
    <phoneticPr fontId="3" type="noConversion"/>
  </si>
  <si>
    <t>掛號費-依德軟體合約*2限掛</t>
    <phoneticPr fontId="3" type="noConversion"/>
  </si>
  <si>
    <t>合約用紙@39*2</t>
    <phoneticPr fontId="3" type="noConversion"/>
  </si>
  <si>
    <t>2012.12.20</t>
    <phoneticPr fontId="3" type="noConversion"/>
  </si>
  <si>
    <t>管理費-2012.12</t>
    <phoneticPr fontId="3" type="noConversion"/>
  </si>
  <si>
    <t>2012.12.21</t>
    <phoneticPr fontId="3" type="noConversion"/>
  </si>
  <si>
    <t>DV1: 可以麻煩你查一下去年過年紅包多少錢嗎
rayman3t: 2011.11.25 $50000 饒媽 2011.7-2011.12 零用 (餘 年節紅包))
2011.12.30 $30000 饒媽 小孩紅包 (應轉3000聽錯轉了30000當作預付)
DV1: 所以是14000
DV1: 是嗎
DV1: 50000-36000=14000
rayman3t: 應該是吧
DV1: 麻煩轉16000 給他
DV1: 公司有錢
DV1: 嗎
rayman3t: 有
DV1: 好,3Q
DV1: 請轉
rayman3t: 已轉
DV1: 3Q
DV1: 麻煩通知一下
rayman3t: 16000紅包?
DV1: 是</t>
    <phoneticPr fontId="3" type="noConversion"/>
  </si>
  <si>
    <t>2012.12.25</t>
    <phoneticPr fontId="3" type="noConversion"/>
  </si>
  <si>
    <t>維護油資-台一/雙安</t>
    <phoneticPr fontId="3" type="noConversion"/>
  </si>
  <si>
    <t>維護油資-庭田</t>
    <phoneticPr fontId="3" type="noConversion"/>
  </si>
  <si>
    <t>鎔德移機車資</t>
    <phoneticPr fontId="3" type="noConversion"/>
  </si>
  <si>
    <t>2012.12.26</t>
    <phoneticPr fontId="3" type="noConversion"/>
  </si>
  <si>
    <t>華算102.01-02三聯式發票</t>
    <phoneticPr fontId="3" type="noConversion"/>
  </si>
  <si>
    <t>2013.1.2</t>
    <phoneticPr fontId="3" type="noConversion"/>
  </si>
  <si>
    <t>2013.01 北平房租-台銀網銀轉帳(2012.06開始漲兩千)</t>
    <phoneticPr fontId="3" type="noConversion"/>
  </si>
  <si>
    <t>2013.1.7</t>
    <phoneticPr fontId="3" type="noConversion"/>
  </si>
  <si>
    <t>101.12 欽</t>
    <phoneticPr fontId="3" type="noConversion"/>
  </si>
  <si>
    <t>101.12 証</t>
    <phoneticPr fontId="3" type="noConversion"/>
  </si>
  <si>
    <t>101.12 達</t>
    <phoneticPr fontId="3" type="noConversion"/>
  </si>
  <si>
    <t>2013.1.9</t>
    <phoneticPr fontId="3" type="noConversion"/>
  </si>
  <si>
    <t>2012.12 card ada代刷</t>
    <phoneticPr fontId="3" type="noConversion"/>
  </si>
  <si>
    <t>2013.1.8</t>
    <phoneticPr fontId="3" type="noConversion"/>
  </si>
  <si>
    <t>庭田裝機計程車資</t>
    <phoneticPr fontId="3" type="noConversion"/>
  </si>
  <si>
    <t>2013.1.14</t>
    <phoneticPr fontId="3" type="noConversion"/>
  </si>
  <si>
    <t>太暘裝機計程車資</t>
    <phoneticPr fontId="3" type="noConversion"/>
  </si>
  <si>
    <t>2013.1.17</t>
    <phoneticPr fontId="3" type="noConversion"/>
  </si>
  <si>
    <t>裕恆裝機計程車資</t>
    <phoneticPr fontId="3" type="noConversion"/>
  </si>
  <si>
    <t>2013.1.21</t>
    <phoneticPr fontId="3" type="noConversion"/>
  </si>
  <si>
    <t>電池9V---電話搖控器用</t>
    <phoneticPr fontId="3" type="noConversion"/>
  </si>
  <si>
    <t>庭田取回舊機停車費</t>
    <phoneticPr fontId="3" type="noConversion"/>
  </si>
  <si>
    <t>2013.1.23</t>
    <phoneticPr fontId="3" type="noConversion"/>
  </si>
  <si>
    <t>同皇裝機計程車資</t>
    <phoneticPr fontId="3" type="noConversion"/>
  </si>
  <si>
    <t>2013.01.24</t>
    <phoneticPr fontId="3" type="noConversion"/>
  </si>
  <si>
    <t>合約用紙@48*2, A4紙@120</t>
    <phoneticPr fontId="3" type="noConversion"/>
  </si>
  <si>
    <t>DV1: 我在想要如何給pt
DV1: 最好是可以換成人民幣
DV1: PT 欠我一萬人民幣 所以240000 - 46700 = 193300 
DV1: 帳上仍算是24萬都給他了
下午 1:03:29  DV1: 我現在可能要少付給PT4萬下午 1:03:42  rayman3t: OK下午 1:04:02  DV1: 193300 - 40000 = 153300</t>
    <phoneticPr fontId="3" type="noConversion"/>
  </si>
  <si>
    <t>管理費-2013.01</t>
    <phoneticPr fontId="3" type="noConversion"/>
  </si>
  <si>
    <t>2013.01.25</t>
    <phoneticPr fontId="3" type="noConversion"/>
  </si>
  <si>
    <t>水費.102-01</t>
    <phoneticPr fontId="3" type="noConversion"/>
  </si>
  <si>
    <t>2013.02.01</t>
    <phoneticPr fontId="3" type="noConversion"/>
  </si>
  <si>
    <t>Peter Chang: 你幫我問一下阿達...何時可以領到錢及轉帳
dvonsky: 所以直接轉 200000 扣 10000 * 4.75 = 152500 給梅海是嗎
dvonsky: 請給我梅海的台灣帳號
Peter Chang: 不是...直接將二十萬轉給梅海
Peter Chang: 我這裏幫你付運費，我還差你一萬人民幣，付人運費剩下的等你回來再算
dvonsky: 好
DV1: 開戶銀行：聯邦銀行 安康分行
開戶名： 黃亞嬌
帳號： 0815 080 12066
DV1: 請問可以網上轉嗎
rayman3t: 不行
DV1: 那你有空去嗎
rayman3t: OK
rayman3t: 轉20萬嗎?
DV1: 是</t>
    <phoneticPr fontId="3" type="noConversion"/>
  </si>
  <si>
    <t>2013.02 北平房租-台銀網銀轉帳(2012.06開始漲兩千)</t>
    <phoneticPr fontId="3" type="noConversion"/>
  </si>
  <si>
    <t>2013.02.05</t>
    <phoneticPr fontId="3" type="noConversion"/>
  </si>
  <si>
    <t>102.01 欽</t>
    <phoneticPr fontId="3" type="noConversion"/>
  </si>
  <si>
    <t>102.01 欽-年終</t>
    <phoneticPr fontId="3" type="noConversion"/>
  </si>
  <si>
    <t>102.01 証</t>
    <phoneticPr fontId="3" type="noConversion"/>
  </si>
  <si>
    <t>102.01 達</t>
    <phoneticPr fontId="3" type="noConversion"/>
  </si>
  <si>
    <t>102.01 達-年終</t>
    <phoneticPr fontId="3" type="noConversion"/>
  </si>
  <si>
    <t>2013.02.06</t>
    <phoneticPr fontId="3" type="noConversion"/>
  </si>
  <si>
    <t>2013.01 card ada代刷</t>
    <phoneticPr fontId="3" type="noConversion"/>
  </si>
  <si>
    <t>透明膠布</t>
    <phoneticPr fontId="3" type="noConversion"/>
  </si>
  <si>
    <t>PT20萬匯費</t>
    <phoneticPr fontId="3" type="noConversion"/>
  </si>
  <si>
    <t>鎔德領支票車資</t>
    <phoneticPr fontId="3" type="noConversion"/>
  </si>
  <si>
    <t>(與現金相符)</t>
    <phoneticPr fontId="3" type="noConversion"/>
  </si>
  <si>
    <t>2013.02.21</t>
    <phoneticPr fontId="3" type="noConversion"/>
  </si>
  <si>
    <t>管理費-2013.02</t>
    <phoneticPr fontId="3" type="noConversion"/>
  </si>
  <si>
    <t>2013.02.25</t>
    <phoneticPr fontId="3" type="noConversion"/>
  </si>
  <si>
    <t>rayman3t: 梅海 024186629388 匯豐銀行 永和分行
匯 NT$19萬嗎
DV1: 請匯40000 x 4.76=190400</t>
    <phoneticPr fontId="3" type="noConversion"/>
  </si>
  <si>
    <t>2013.02.26</t>
    <phoneticPr fontId="3" type="noConversion"/>
  </si>
  <si>
    <t>詩菁抽屜零錢</t>
    <phoneticPr fontId="3" type="noConversion"/>
  </si>
  <si>
    <t>購買發票車資-改聯邦銀行代售</t>
    <phoneticPr fontId="3" type="noConversion"/>
  </si>
  <si>
    <t>華算102.03-04三聯式發票</t>
    <phoneticPr fontId="3" type="noConversion"/>
  </si>
  <si>
    <t>2013.3.1</t>
    <phoneticPr fontId="3" type="noConversion"/>
  </si>
  <si>
    <t>2013.03 北平房租-台銀網銀轉帳(2012.06開始漲兩千)</t>
    <phoneticPr fontId="3" type="noConversion"/>
  </si>
  <si>
    <t>郵票 @5 * 10張</t>
    <phoneticPr fontId="3" type="noConversion"/>
  </si>
  <si>
    <t>2013.03.05</t>
    <phoneticPr fontId="3" type="noConversion"/>
  </si>
  <si>
    <t>(達先轉$33248餘$3萬待轉)</t>
    <phoneticPr fontId="3" type="noConversion"/>
  </si>
  <si>
    <t>2013.2 card ada代刷</t>
    <phoneticPr fontId="3" type="noConversion"/>
  </si>
  <si>
    <t>2013.03.08</t>
    <phoneticPr fontId="3" type="noConversion"/>
  </si>
  <si>
    <t>鏍絲起子/斜口鉗/尖嘴鉗</t>
    <phoneticPr fontId="3" type="noConversion"/>
  </si>
  <si>
    <t>(達先轉$15000餘$1萬5待轉)</t>
    <phoneticPr fontId="3" type="noConversion"/>
  </si>
  <si>
    <t>2013.03.12</t>
    <phoneticPr fontId="3" type="noConversion"/>
  </si>
  <si>
    <t>掛號費-八亨合約*2發票</t>
    <phoneticPr fontId="3" type="noConversion"/>
  </si>
  <si>
    <t>2013.03.13</t>
    <phoneticPr fontId="3" type="noConversion"/>
  </si>
  <si>
    <t>401.2013.01~02</t>
    <phoneticPr fontId="3" type="noConversion"/>
  </si>
  <si>
    <t>(達轉餘額$15000)</t>
    <phoneticPr fontId="3" type="noConversion"/>
  </si>
  <si>
    <t>水費.102-03</t>
    <phoneticPr fontId="3" type="noConversion"/>
  </si>
  <si>
    <t>管理費-2013.03</t>
    <phoneticPr fontId="3" type="noConversion"/>
  </si>
  <si>
    <t>2013.03.27</t>
    <phoneticPr fontId="3" type="noConversion"/>
  </si>
  <si>
    <t>掛號費-大成合約*2發票</t>
    <phoneticPr fontId="3" type="noConversion"/>
  </si>
  <si>
    <t>2013.4.1</t>
    <phoneticPr fontId="3" type="noConversion"/>
  </si>
  <si>
    <t>2013.04 北平房租-台銀網銀轉帳(2012.06開始漲兩千)</t>
    <phoneticPr fontId="3" type="noConversion"/>
  </si>
  <si>
    <t>維護油資-宏觀/達翌/合碩</t>
    <phoneticPr fontId="3" type="noConversion"/>
  </si>
  <si>
    <t>2013.04.08</t>
    <phoneticPr fontId="3" type="noConversion"/>
  </si>
  <si>
    <t>102.03 欽</t>
    <phoneticPr fontId="3" type="noConversion"/>
  </si>
  <si>
    <t>102.03 張</t>
    <phoneticPr fontId="3" type="noConversion"/>
  </si>
  <si>
    <t>102.03 達</t>
    <phoneticPr fontId="3" type="noConversion"/>
  </si>
  <si>
    <t>2013.4.10</t>
    <phoneticPr fontId="3" type="noConversion"/>
  </si>
  <si>
    <t>威視裝機計程車資</t>
    <phoneticPr fontId="3" type="noConversion"/>
  </si>
  <si>
    <t>2013.4.17</t>
    <phoneticPr fontId="3" type="noConversion"/>
  </si>
  <si>
    <t>郵票 @25 * 20張</t>
    <phoneticPr fontId="3" type="noConversion"/>
  </si>
  <si>
    <t>掛號費-邁登合約*2發票</t>
    <phoneticPr fontId="3" type="noConversion"/>
  </si>
  <si>
    <t>2013.4.19</t>
    <phoneticPr fontId="3" type="noConversion"/>
  </si>
  <si>
    <t>八亨換機悠遊卡車資</t>
    <phoneticPr fontId="3" type="noConversion"/>
  </si>
  <si>
    <t>八亨換機計程車資</t>
    <phoneticPr fontId="3" type="noConversion"/>
  </si>
  <si>
    <t>2013.04.25</t>
    <phoneticPr fontId="3" type="noConversion"/>
  </si>
  <si>
    <t>管理費-2013.04</t>
    <phoneticPr fontId="3" type="noConversion"/>
  </si>
  <si>
    <t>2013.4.26</t>
    <phoneticPr fontId="3" type="noConversion"/>
  </si>
  <si>
    <t>悠遊卡加值</t>
    <phoneticPr fontId="3" type="noConversion"/>
  </si>
  <si>
    <t>2013.4.29</t>
    <phoneticPr fontId="3" type="noConversion"/>
  </si>
  <si>
    <t>順豐寄101年度營所稅申報書一份</t>
    <phoneticPr fontId="3" type="noConversion"/>
  </si>
  <si>
    <t>2013.4.30</t>
    <phoneticPr fontId="3" type="noConversion"/>
  </si>
  <si>
    <t>悠遊卡加值西拓</t>
    <phoneticPr fontId="3" type="noConversion"/>
  </si>
  <si>
    <t>2013.5.1</t>
    <phoneticPr fontId="3" type="noConversion"/>
  </si>
  <si>
    <t>2013.05 北平房租-台銀網銀轉帳(2012.06開始漲兩千)</t>
    <phoneticPr fontId="3" type="noConversion"/>
  </si>
  <si>
    <t>401.2013.03~04</t>
    <phoneticPr fontId="3" type="noConversion"/>
  </si>
  <si>
    <t>2013.5.2</t>
    <phoneticPr fontId="3" type="noConversion"/>
  </si>
  <si>
    <t>饒媽
DV1: 請匯 6000 * 6 (2013/7 - 12月)+3000 母親節
DV1: 39000</t>
    <phoneticPr fontId="3" type="noConversion"/>
  </si>
  <si>
    <t>2013.05.06</t>
    <phoneticPr fontId="3" type="noConversion"/>
  </si>
  <si>
    <t>102.04 欽</t>
    <phoneticPr fontId="3" type="noConversion"/>
  </si>
  <si>
    <t>102.04 張</t>
    <phoneticPr fontId="3" type="noConversion"/>
  </si>
  <si>
    <t>102.04 達 (餘額不足先轉, 餘$30000)</t>
    <phoneticPr fontId="3" type="noConversion"/>
  </si>
  <si>
    <t>悠遊卡加值依德</t>
    <phoneticPr fontId="3" type="noConversion"/>
  </si>
  <si>
    <t>2013.05.07</t>
    <phoneticPr fontId="3" type="noConversion"/>
  </si>
  <si>
    <t>102.04 達 (薪餘額不足-補)</t>
    <phoneticPr fontId="3" type="noConversion"/>
  </si>
  <si>
    <t>2013.4 card ada代刷</t>
    <phoneticPr fontId="3" type="noConversion"/>
  </si>
  <si>
    <t>2013.05.08</t>
    <phoneticPr fontId="3" type="noConversion"/>
  </si>
  <si>
    <t>車源二次款
[上午 10:19:16] Peter Chang: 你再注意一下...二筆都入帳後，要麻煩你轉匯....資料如下：
戶名：黃亞嬌
銀行：聯邦銀行安康分行
帳號：024 186629 388</t>
    <phoneticPr fontId="3" type="noConversion"/>
  </si>
  <si>
    <t>2013.05.09</t>
    <phoneticPr fontId="3" type="noConversion"/>
  </si>
  <si>
    <t>文具筆</t>
    <phoneticPr fontId="3" type="noConversion"/>
  </si>
  <si>
    <t>2013.05.15</t>
    <phoneticPr fontId="3" type="noConversion"/>
  </si>
  <si>
    <t>2013.05.23</t>
    <phoneticPr fontId="3" type="noConversion"/>
  </si>
  <si>
    <t>管理費-2013.05</t>
    <phoneticPr fontId="3" type="noConversion"/>
  </si>
  <si>
    <t>2013.05.31</t>
    <phoneticPr fontId="3" type="noConversion"/>
  </si>
  <si>
    <t>水費.102-05</t>
    <phoneticPr fontId="3" type="noConversion"/>
  </si>
  <si>
    <t>2013.6.1</t>
    <phoneticPr fontId="3" type="noConversion"/>
  </si>
  <si>
    <t>2013.06 北平房租-台銀網銀轉帳(2012.06開始漲兩千)</t>
    <phoneticPr fontId="3" type="noConversion"/>
  </si>
  <si>
    <t>2013.06.5</t>
    <phoneticPr fontId="3" type="noConversion"/>
  </si>
  <si>
    <t>102.05 欽</t>
    <phoneticPr fontId="3" type="noConversion"/>
  </si>
  <si>
    <t>102.05 達</t>
    <phoneticPr fontId="3" type="noConversion"/>
  </si>
  <si>
    <t>白膠布,矽利康</t>
    <phoneticPr fontId="3" type="noConversion"/>
  </si>
  <si>
    <t>2013.06.6</t>
    <phoneticPr fontId="3" type="noConversion"/>
  </si>
  <si>
    <t>國稅局辦達算停業車資</t>
    <phoneticPr fontId="3" type="noConversion"/>
  </si>
  <si>
    <t>2013.6.10</t>
    <phoneticPr fontId="3" type="noConversion"/>
  </si>
  <si>
    <t>掛號費-國稅局營所稅網路申報,紙本寄送</t>
    <phoneticPr fontId="3" type="noConversion"/>
  </si>
  <si>
    <t>2013.6.14</t>
    <phoneticPr fontId="3" type="noConversion"/>
  </si>
  <si>
    <t>2013.6.17</t>
    <phoneticPr fontId="3" type="noConversion"/>
  </si>
  <si>
    <t>松群換機計程車資</t>
    <phoneticPr fontId="3" type="noConversion"/>
  </si>
  <si>
    <t>2013.6.18</t>
    <phoneticPr fontId="3" type="noConversion"/>
  </si>
  <si>
    <t>掛號費-依德車源發票第三次款限掛</t>
    <phoneticPr fontId="3" type="noConversion"/>
  </si>
  <si>
    <t>2013.6.24</t>
    <phoneticPr fontId="3" type="noConversion"/>
  </si>
  <si>
    <t>掛號費-汎輝維護約/發票/回郵</t>
    <phoneticPr fontId="3" type="noConversion"/>
  </si>
  <si>
    <t>2013.6.25</t>
    <phoneticPr fontId="3" type="noConversion"/>
  </si>
  <si>
    <t>2013.6 card ada代刷</t>
    <phoneticPr fontId="3" type="noConversion"/>
  </si>
  <si>
    <t>華算102.07-08三聯式發票</t>
    <phoneticPr fontId="3" type="noConversion"/>
  </si>
  <si>
    <t>2013.6.26</t>
    <phoneticPr fontId="3" type="noConversion"/>
  </si>
  <si>
    <t>大碩換機計程車資</t>
    <phoneticPr fontId="3" type="noConversion"/>
  </si>
  <si>
    <t>2013.07.01</t>
    <phoneticPr fontId="3" type="noConversion"/>
  </si>
  <si>
    <t>2013.07 北平房租-台銀網銀轉帳(2012.06開始漲兩千)</t>
    <phoneticPr fontId="3" type="noConversion"/>
  </si>
  <si>
    <t>2013.07.02</t>
    <phoneticPr fontId="3" type="noConversion"/>
  </si>
  <si>
    <t>車源三次款
戶名：黃亞嬌
銀行：聯邦銀行安康分行
帳號：024 186629 388</t>
    <phoneticPr fontId="3" type="noConversion"/>
  </si>
  <si>
    <t>2013.07.03</t>
    <phoneticPr fontId="3" type="noConversion"/>
  </si>
  <si>
    <t>喜可查內網車資</t>
    <phoneticPr fontId="3" type="noConversion"/>
  </si>
  <si>
    <t>2013.07.05</t>
    <phoneticPr fontId="3" type="noConversion"/>
  </si>
  <si>
    <t>102.06 欽</t>
    <phoneticPr fontId="3" type="noConversion"/>
  </si>
  <si>
    <t>102.06 張</t>
    <phoneticPr fontId="3" type="noConversion"/>
  </si>
  <si>
    <t>102.06 達</t>
    <phoneticPr fontId="3" type="noConversion"/>
  </si>
  <si>
    <t>2013.07.08</t>
    <phoneticPr fontId="3" type="noConversion"/>
  </si>
  <si>
    <t>SKYPE 儲值 koofficecn(刷澳盛卡 2013.6.6)</t>
    <phoneticPr fontId="3" type="noConversion"/>
  </si>
  <si>
    <t>掛號費-施舒雅續約/回郵</t>
    <phoneticPr fontId="3" type="noConversion"/>
  </si>
  <si>
    <t>管理費-2013.06</t>
    <phoneticPr fontId="3" type="noConversion"/>
  </si>
  <si>
    <t>2013.07.11</t>
    <phoneticPr fontId="3" type="noConversion"/>
  </si>
  <si>
    <t>401.2013.05~06</t>
    <phoneticPr fontId="3" type="noConversion"/>
  </si>
  <si>
    <t>2013.07.16</t>
    <phoneticPr fontId="3" type="noConversion"/>
  </si>
  <si>
    <t>刻阿達印章-變股東持股變動</t>
    <phoneticPr fontId="3" type="noConversion"/>
  </si>
  <si>
    <t>2013.7.23</t>
    <phoneticPr fontId="3" type="noConversion"/>
  </si>
  <si>
    <t>祥和換機計程車資</t>
    <phoneticPr fontId="3" type="noConversion"/>
  </si>
  <si>
    <t>2013.7.24</t>
    <phoneticPr fontId="3" type="noConversion"/>
  </si>
  <si>
    <t>永馳換機計程車資</t>
    <phoneticPr fontId="3" type="noConversion"/>
  </si>
  <si>
    <t>2013.7.25</t>
    <phoneticPr fontId="3" type="noConversion"/>
  </si>
  <si>
    <t>2013.7.26</t>
    <phoneticPr fontId="3" type="noConversion"/>
  </si>
  <si>
    <t>管理費-2013.07</t>
    <phoneticPr fontId="3" type="noConversion"/>
  </si>
  <si>
    <t>2013.7.29</t>
    <phoneticPr fontId="3" type="noConversion"/>
  </si>
  <si>
    <t>城乙維護火車車資</t>
    <phoneticPr fontId="3" type="noConversion"/>
  </si>
  <si>
    <t>城乙維護計程車資</t>
    <phoneticPr fontId="3" type="noConversion"/>
  </si>
  <si>
    <t>水費.102-07</t>
    <phoneticPr fontId="3" type="noConversion"/>
  </si>
  <si>
    <t>2013.7.31</t>
    <phoneticPr fontId="3" type="noConversion"/>
  </si>
  <si>
    <t>鉑德裝機計程車車資</t>
    <phoneticPr fontId="3" type="noConversion"/>
  </si>
  <si>
    <t>光華捷運車資</t>
    <phoneticPr fontId="3" type="noConversion"/>
  </si>
  <si>
    <t>六角扳手</t>
    <phoneticPr fontId="3" type="noConversion"/>
  </si>
  <si>
    <t>2013.08.01</t>
    <phoneticPr fontId="3" type="noConversion"/>
  </si>
  <si>
    <t>2013.08 北平房租-台銀網銀轉帳(2012.06開始漲兩千)</t>
    <phoneticPr fontId="3" type="noConversion"/>
  </si>
  <si>
    <t>2013.08.02</t>
    <phoneticPr fontId="3" type="noConversion"/>
  </si>
  <si>
    <t>鉑德配電計程車車資</t>
    <phoneticPr fontId="3" type="noConversion"/>
  </si>
  <si>
    <t>鉑德愛浪維護計程車車資</t>
    <phoneticPr fontId="3" type="noConversion"/>
  </si>
  <si>
    <t>愛浪維護捷運車資</t>
    <phoneticPr fontId="3" type="noConversion"/>
  </si>
  <si>
    <t>2013.08.05</t>
    <phoneticPr fontId="3" type="noConversion"/>
  </si>
  <si>
    <t>102.07 欽</t>
    <phoneticPr fontId="3" type="noConversion"/>
  </si>
  <si>
    <t>102.07 張</t>
    <phoneticPr fontId="3" type="noConversion"/>
  </si>
  <si>
    <t>102.07 達</t>
    <phoneticPr fontId="3" type="noConversion"/>
  </si>
  <si>
    <t>鉑德上架計程車車資</t>
    <phoneticPr fontId="3" type="noConversion"/>
  </si>
  <si>
    <t>鉑德上架捷運車資</t>
    <phoneticPr fontId="3" type="noConversion"/>
  </si>
  <si>
    <t>2013.08.07</t>
    <phoneticPr fontId="3" type="noConversion"/>
  </si>
  <si>
    <t>2013.7 card ada代刷</t>
    <phoneticPr fontId="3" type="noConversion"/>
  </si>
  <si>
    <t>2013.08.10</t>
    <phoneticPr fontId="3" type="noConversion"/>
  </si>
  <si>
    <t>掛號費-合碩合約*2,發票</t>
    <phoneticPr fontId="3" type="noConversion"/>
  </si>
  <si>
    <t>2013.08.12</t>
    <phoneticPr fontId="3" type="noConversion"/>
  </si>
  <si>
    <t>掛號費-依德/ 鎔德/ 友士/ 同皇發票</t>
    <phoneticPr fontId="3" type="noConversion"/>
  </si>
  <si>
    <t>2013.08.13</t>
    <phoneticPr fontId="3" type="noConversion"/>
  </si>
  <si>
    <t>機箱風扇電源3轉5轉接頭*2</t>
    <phoneticPr fontId="3" type="noConversion"/>
  </si>
  <si>
    <t>2013.08.14</t>
    <phoneticPr fontId="3" type="noConversion"/>
  </si>
  <si>
    <t>掛號費-益睿報價,合約*2未押日期,鉑德第一期發票 依-葉收</t>
    <phoneticPr fontId="3" type="noConversion"/>
  </si>
  <si>
    <t>2013.08.15</t>
    <phoneticPr fontId="3" type="noConversion"/>
  </si>
  <si>
    <t>合碩換機計程車資</t>
    <phoneticPr fontId="3" type="noConversion"/>
  </si>
  <si>
    <t>2013.08.23</t>
    <phoneticPr fontId="3" type="noConversion"/>
  </si>
  <si>
    <t>牛皮紙A4信封套</t>
    <phoneticPr fontId="3" type="noConversion"/>
  </si>
  <si>
    <t>利明押金及匯款手續費</t>
    <phoneticPr fontId="3" type="noConversion"/>
  </si>
  <si>
    <t>2013.08.26</t>
    <phoneticPr fontId="3" type="noConversion"/>
  </si>
  <si>
    <t>2013.08.27</t>
    <phoneticPr fontId="3" type="noConversion"/>
  </si>
  <si>
    <t>管理費-2013.08</t>
    <phoneticPr fontId="3" type="noConversion"/>
  </si>
  <si>
    <t>2013.08.30</t>
    <phoneticPr fontId="3" type="noConversion"/>
  </si>
  <si>
    <t>購買發票車資</t>
    <phoneticPr fontId="3" type="noConversion"/>
  </si>
  <si>
    <t>華算102.09-10三聯式發票</t>
    <phoneticPr fontId="3" type="noConversion"/>
  </si>
  <si>
    <t>2013.09.01</t>
    <phoneticPr fontId="3" type="noConversion"/>
  </si>
  <si>
    <t>2013.09 北平房租-台銀網銀轉帳(2012.06開始漲兩千)</t>
    <phoneticPr fontId="3" type="noConversion"/>
  </si>
  <si>
    <t>2013.09.02</t>
    <phoneticPr fontId="3" type="noConversion"/>
  </si>
  <si>
    <t>2013.8 card ada代刷-富邦</t>
    <phoneticPr fontId="3" type="noConversion"/>
  </si>
  <si>
    <t>2013.09.05</t>
    <phoneticPr fontId="3" type="noConversion"/>
  </si>
  <si>
    <t>102.08 欽 華算-台銀信義</t>
    <phoneticPr fontId="3" type="noConversion"/>
  </si>
  <si>
    <t>102.08 達</t>
    <phoneticPr fontId="3" type="noConversion"/>
  </si>
  <si>
    <t>102.08 張</t>
    <phoneticPr fontId="3" type="noConversion"/>
  </si>
  <si>
    <t>2013.8 card ada代刷-中信</t>
    <phoneticPr fontId="3" type="noConversion"/>
  </si>
  <si>
    <t>2013.09.10</t>
    <phoneticPr fontId="3" type="noConversion"/>
  </si>
  <si>
    <t>401.2013.07~08</t>
    <phoneticPr fontId="3" type="noConversion"/>
  </si>
  <si>
    <t>2013.09.13</t>
    <phoneticPr fontId="3" type="noConversion"/>
  </si>
  <si>
    <t>依德領鉑德票</t>
    <phoneticPr fontId="3" type="noConversion"/>
  </si>
  <si>
    <t>起子</t>
    <phoneticPr fontId="3" type="noConversion"/>
  </si>
  <si>
    <t>2013.09.17</t>
    <phoneticPr fontId="3" type="noConversion"/>
  </si>
  <si>
    <t>鉑德領票(重開未稅票)</t>
    <phoneticPr fontId="3" type="noConversion"/>
  </si>
  <si>
    <t>2013.09.23</t>
    <phoneticPr fontId="3" type="noConversion"/>
  </si>
  <si>
    <t>管理費-2013.09</t>
    <phoneticPr fontId="3" type="noConversion"/>
  </si>
  <si>
    <t>尖嘴鉗</t>
    <phoneticPr fontId="3" type="noConversion"/>
  </si>
  <si>
    <t>風扇電源轉接線 @45*2</t>
    <phoneticPr fontId="3" type="noConversion"/>
  </si>
  <si>
    <t>2013.9.30</t>
    <phoneticPr fontId="3" type="noConversion"/>
  </si>
  <si>
    <t>5公升垃圾袋 @36*4</t>
    <phoneticPr fontId="3" type="noConversion"/>
  </si>
  <si>
    <t>2013.10.01</t>
    <phoneticPr fontId="3" type="noConversion"/>
  </si>
  <si>
    <t>2013.10 北平房租-台銀網銀轉帳(2012.06開始漲兩千)</t>
    <phoneticPr fontId="3" type="noConversion"/>
  </si>
  <si>
    <t>2013.9 card ada代刷-富邦</t>
    <phoneticPr fontId="3" type="noConversion"/>
  </si>
  <si>
    <t>文具紙</t>
    <phoneticPr fontId="3" type="noConversion"/>
  </si>
  <si>
    <t>2013.10.03</t>
    <phoneticPr fontId="3" type="noConversion"/>
  </si>
  <si>
    <t>益睿續約換機計程車資</t>
    <phoneticPr fontId="3" type="noConversion"/>
  </si>
  <si>
    <t>2013.10.07</t>
    <phoneticPr fontId="3" type="noConversion"/>
  </si>
  <si>
    <t>102.09 欽</t>
    <phoneticPr fontId="3" type="noConversion"/>
  </si>
  <si>
    <t>102.09 達</t>
    <phoneticPr fontId="3" type="noConversion"/>
  </si>
  <si>
    <t>2013.10.8</t>
    <phoneticPr fontId="3" type="noConversion"/>
  </si>
  <si>
    <t>蟑螂藥/馬桶清潔劑</t>
    <phoneticPr fontId="3" type="noConversion"/>
  </si>
  <si>
    <t>掛號費-依德/ 鎔德/ 鉑德網址發票寄葉</t>
    <phoneticPr fontId="3" type="noConversion"/>
  </si>
  <si>
    <t>2013.10.9</t>
    <phoneticPr fontId="3" type="noConversion"/>
  </si>
  <si>
    <t>合約封面</t>
    <phoneticPr fontId="3" type="noConversion"/>
  </si>
  <si>
    <t>2013.10.11</t>
    <phoneticPr fontId="3" type="noConversion"/>
  </si>
  <si>
    <t>掛號費-同皇/施舒雅/永馳發票</t>
    <phoneticPr fontId="3" type="noConversion"/>
  </si>
  <si>
    <t>2013.10.14</t>
    <phoneticPr fontId="3" type="noConversion"/>
  </si>
  <si>
    <t>掛號費-依德/鎔德/德鎔/鉑德 合約/發票 寄吳美玲協理</t>
    <phoneticPr fontId="3" type="noConversion"/>
  </si>
  <si>
    <t>2013.10.15</t>
    <phoneticPr fontId="3" type="noConversion"/>
  </si>
  <si>
    <t>饒媽 要請你匯 6 * 6000 (1-6月) + 14000 紅包 = 50000</t>
    <phoneticPr fontId="3" type="noConversion"/>
  </si>
  <si>
    <t>2013.10.30</t>
    <phoneticPr fontId="3" type="noConversion"/>
  </si>
  <si>
    <t>管理費-2013.10</t>
    <phoneticPr fontId="3" type="noConversion"/>
  </si>
  <si>
    <t>2013.10.31</t>
    <phoneticPr fontId="3" type="noConversion"/>
  </si>
  <si>
    <t>華算102.11-12三聯式發票</t>
    <phoneticPr fontId="3" type="noConversion"/>
  </si>
  <si>
    <t>2013.11.01</t>
    <phoneticPr fontId="3" type="noConversion"/>
  </si>
  <si>
    <t>2013.11 北平房租-台銀網銀轉帳(2012.06開始漲兩千)</t>
    <phoneticPr fontId="3" type="noConversion"/>
  </si>
  <si>
    <t>2013.11.05</t>
    <phoneticPr fontId="3" type="noConversion"/>
  </si>
  <si>
    <t>102.10 欽</t>
    <phoneticPr fontId="3" type="noConversion"/>
  </si>
  <si>
    <t>102.10 達</t>
    <phoneticPr fontId="3" type="noConversion"/>
  </si>
  <si>
    <t>40W燈管 $70*4</t>
    <phoneticPr fontId="3" type="noConversion"/>
  </si>
  <si>
    <t>2013.11.06</t>
    <phoneticPr fontId="3" type="noConversion"/>
  </si>
  <si>
    <t>401.2013.09~10</t>
    <phoneticPr fontId="3" type="noConversion"/>
  </si>
  <si>
    <t>掛號費-依德/鎔德/鉑德KO發票,友士/恩豪回郵請款發票</t>
    <phoneticPr fontId="3" type="noConversion"/>
  </si>
  <si>
    <t>2013.11.20</t>
    <phoneticPr fontId="3" type="noConversion"/>
  </si>
  <si>
    <t>PETER-匯豐銀行-永和分行-梅華-024190266388</t>
    <phoneticPr fontId="3" type="noConversion"/>
  </si>
  <si>
    <t>PETER-大眾銀行-內湖分行-章挺憲-168122936117</t>
    <phoneticPr fontId="3" type="noConversion"/>
  </si>
  <si>
    <t>2013.11.27</t>
    <phoneticPr fontId="3" type="noConversion"/>
  </si>
  <si>
    <t>水費.102-11</t>
    <phoneticPr fontId="3" type="noConversion"/>
  </si>
  <si>
    <t>管理費-2013.11</t>
    <phoneticPr fontId="3" type="noConversion"/>
  </si>
  <si>
    <t>2013.11.29</t>
    <phoneticPr fontId="3" type="noConversion"/>
  </si>
  <si>
    <t>風扇電源轉接線 @55*4</t>
    <phoneticPr fontId="3" type="noConversion"/>
  </si>
  <si>
    <t>2013.12.01</t>
    <phoneticPr fontId="3" type="noConversion"/>
  </si>
  <si>
    <t>2013.12 北平房租-台銀網銀轉帳(2012.06開始漲兩千)</t>
    <phoneticPr fontId="3" type="noConversion"/>
  </si>
  <si>
    <t>2013.11 card ada代刷-中信</t>
    <phoneticPr fontId="3" type="noConversion"/>
  </si>
  <si>
    <t>2013.12.04</t>
    <phoneticPr fontId="3" type="noConversion"/>
  </si>
  <si>
    <t>2013.12.06</t>
    <phoneticPr fontId="3" type="noConversion"/>
  </si>
  <si>
    <t>代刷PT-UNI-CASE網址1YEAR</t>
    <phoneticPr fontId="3" type="noConversion"/>
  </si>
  <si>
    <t>2013.12.23</t>
    <phoneticPr fontId="3" type="noConversion"/>
  </si>
  <si>
    <t>掛號費-依德合約回郵信封</t>
    <phoneticPr fontId="3" type="noConversion"/>
  </si>
  <si>
    <t>2013.12.25</t>
    <phoneticPr fontId="3" type="noConversion"/>
  </si>
  <si>
    <t>2013.12.26</t>
    <phoneticPr fontId="3" type="noConversion"/>
  </si>
  <si>
    <t>掛號費-依德發票/品固合約</t>
    <phoneticPr fontId="3" type="noConversion"/>
  </si>
  <si>
    <t>2013.12.27</t>
    <phoneticPr fontId="3" type="noConversion"/>
  </si>
  <si>
    <t>管理費-2013.12</t>
    <phoneticPr fontId="3" type="noConversion"/>
  </si>
  <si>
    <t>雷凌RT3070 150M無線USB-WIFI模組無線網卡</t>
    <phoneticPr fontId="3" type="noConversion"/>
  </si>
  <si>
    <t>2013.12.31</t>
    <phoneticPr fontId="3" type="noConversion"/>
  </si>
  <si>
    <t>華算103.01-02三聯式發票</t>
    <phoneticPr fontId="3" type="noConversion"/>
  </si>
  <si>
    <t>2014.01.01</t>
    <phoneticPr fontId="3" type="noConversion"/>
  </si>
  <si>
    <t>2014.01 北平房租-台銀網銀轉帳(2012.06開始漲兩千)</t>
    <phoneticPr fontId="3" type="noConversion"/>
  </si>
  <si>
    <t>2013.12 card ada代刷-中信</t>
    <phoneticPr fontId="3" type="noConversion"/>
  </si>
  <si>
    <t>2014.01.06</t>
    <phoneticPr fontId="3" type="noConversion"/>
  </si>
  <si>
    <t>資源回收袋</t>
    <phoneticPr fontId="3" type="noConversion"/>
  </si>
  <si>
    <t>102.12 欽</t>
    <phoneticPr fontId="3" type="noConversion"/>
  </si>
  <si>
    <t>102.12 達</t>
    <phoneticPr fontId="3" type="noConversion"/>
  </si>
  <si>
    <t>401.2013.11~12</t>
    <phoneticPr fontId="3" type="noConversion"/>
  </si>
  <si>
    <t>2014.01.08</t>
    <phoneticPr fontId="3" type="noConversion"/>
  </si>
  <si>
    <t>西拓換機計程車資</t>
    <phoneticPr fontId="3" type="noConversion"/>
  </si>
  <si>
    <t>2014.01.09</t>
    <phoneticPr fontId="3" type="noConversion"/>
  </si>
  <si>
    <t>展鑫換機計程車資</t>
    <phoneticPr fontId="3" type="noConversion"/>
  </si>
  <si>
    <t>2014.01.10</t>
    <phoneticPr fontId="3" type="noConversion"/>
  </si>
  <si>
    <t>掛號費-西拓合約</t>
    <phoneticPr fontId="3" type="noConversion"/>
  </si>
  <si>
    <t>2014.01.13</t>
    <phoneticPr fontId="3" type="noConversion"/>
  </si>
  <si>
    <t>掛號費-展鑫主機鎖匙</t>
    <phoneticPr fontId="3" type="noConversion"/>
  </si>
  <si>
    <t>2014.01.21</t>
    <phoneticPr fontId="3" type="noConversion"/>
  </si>
  <si>
    <t>管理費-2014.01</t>
    <phoneticPr fontId="3" type="noConversion"/>
  </si>
  <si>
    <t>2014.01.23</t>
    <phoneticPr fontId="3" type="noConversion"/>
  </si>
  <si>
    <t>水費.103-01</t>
    <phoneticPr fontId="3" type="noConversion"/>
  </si>
  <si>
    <t>2014.01.28</t>
    <phoneticPr fontId="3" type="noConversion"/>
  </si>
  <si>
    <t>2014.02 北平房租-台銀網銀轉帳(2012.06開始漲兩千)</t>
    <phoneticPr fontId="3" type="noConversion"/>
  </si>
  <si>
    <t>103.1 欽</t>
    <phoneticPr fontId="3" type="noConversion"/>
  </si>
  <si>
    <t>103.1 達</t>
    <phoneticPr fontId="3" type="noConversion"/>
  </si>
  <si>
    <t>103.1 証</t>
    <phoneticPr fontId="3" type="noConversion"/>
  </si>
  <si>
    <t>2014.01.29</t>
    <phoneticPr fontId="3" type="noConversion"/>
  </si>
  <si>
    <t>2014.02.06</t>
    <phoneticPr fontId="3" type="noConversion"/>
  </si>
  <si>
    <t>風扇電源轉接線 @55*4/WIFI-RT@499</t>
    <phoneticPr fontId="3" type="noConversion"/>
  </si>
  <si>
    <t>掛號費-展鑫支票/友士/依德/鎔德/鉑德發票</t>
    <phoneticPr fontId="3" type="noConversion"/>
  </si>
  <si>
    <t>26473(32071-5598),存摺為32071</t>
    <phoneticPr fontId="3" type="noConversion"/>
  </si>
  <si>
    <t>2014.1 card ada代刷-中信 $19335 富邦 $12736
2013.12.29 $5598 (包含在中信 $19335內)
rayman3t: DV1: 5598 我不確定, 銀行也沒支出--&gt;不作就不平衡了 -&gt; 昨天說的那筆 2013.12 刷卡 $5598, 是在2014.2 銀行支出ADA代刷
rayman3t: 因為那筆是 2013.12.29, 在2014.2 才付帳單
rayman3t: 昨天已作2013零用金
DV1: 沒關係,請你在帳上註明就好
DV1: 然後改作補零用金
rayman3t: 作在零用金, 那筆2月刷卡改補零用金嗎
DV1: 等於我是在2013年已經用零用金付了你的卡費
DV1: 然後2014年2月你又從銀行把錢領出來
DV1: 補回零用金</t>
    <phoneticPr fontId="3" type="noConversion"/>
  </si>
  <si>
    <t>2013零用金支付2013.12.29 刷卡</t>
    <phoneticPr fontId="3" type="noConversion"/>
  </si>
  <si>
    <t>2014補回零用金</t>
    <phoneticPr fontId="3" type="noConversion"/>
  </si>
  <si>
    <t>2014.02.11</t>
    <phoneticPr fontId="3" type="noConversion"/>
  </si>
  <si>
    <t>2014.02.18</t>
    <phoneticPr fontId="3" type="noConversion"/>
  </si>
  <si>
    <t>DV身駕健影印</t>
    <phoneticPr fontId="3" type="noConversion"/>
  </si>
  <si>
    <t>2014.02.19</t>
    <phoneticPr fontId="3" type="noConversion"/>
  </si>
  <si>
    <t>下午 2:50:33  DV1: 請問轉3100至 台銀城中分行 張彩玲 045 ０047 11607 要不要手續費
下午 3:10:30  DV1: 是幫美國那個小嘉付錢給旅行社辦台胞證</t>
    <phoneticPr fontId="3" type="noConversion"/>
  </si>
  <si>
    <t>2014.02.20</t>
    <phoneticPr fontId="3" type="noConversion"/>
  </si>
  <si>
    <t>管理費-2014.02</t>
    <phoneticPr fontId="3" type="noConversion"/>
  </si>
  <si>
    <t>2014.02.21</t>
    <phoneticPr fontId="3" type="noConversion"/>
  </si>
  <si>
    <t>2014.03.3</t>
    <phoneticPr fontId="3" type="noConversion"/>
  </si>
  <si>
    <t>2014.03 北平房租-台銀網銀轉帳(2012.06開始漲兩千)</t>
    <phoneticPr fontId="3" type="noConversion"/>
  </si>
  <si>
    <t>2014.03.04</t>
    <phoneticPr fontId="3" type="noConversion"/>
  </si>
  <si>
    <t>華算103.03-04三聯式發票</t>
    <phoneticPr fontId="3" type="noConversion"/>
  </si>
  <si>
    <t>購發票悠遊卡車資</t>
    <phoneticPr fontId="3" type="noConversion"/>
  </si>
  <si>
    <t>2014.03.05</t>
    <phoneticPr fontId="3" type="noConversion"/>
  </si>
  <si>
    <t>2014.02 card ada代刷-中信</t>
    <phoneticPr fontId="3" type="noConversion"/>
  </si>
  <si>
    <t>103.2 欽 (103.02 開始調$25500)</t>
    <phoneticPr fontId="3" type="noConversion"/>
  </si>
  <si>
    <t>103.2 達</t>
    <phoneticPr fontId="3" type="noConversion"/>
  </si>
  <si>
    <t>103.2 証</t>
    <phoneticPr fontId="3" type="noConversion"/>
  </si>
  <si>
    <t>2014.03.10</t>
    <phoneticPr fontId="3" type="noConversion"/>
  </si>
  <si>
    <t>DV1: 麻煩幫我轉3萬台幣到我郵局好嗎</t>
    <phoneticPr fontId="3" type="noConversion"/>
  </si>
  <si>
    <t>ATM轉郵局手續費</t>
    <phoneticPr fontId="3" type="noConversion"/>
  </si>
  <si>
    <t>網卡PCI-E交通費</t>
    <phoneticPr fontId="3" type="noConversion"/>
  </si>
  <si>
    <t>2014.03.13</t>
    <phoneticPr fontId="3" type="noConversion"/>
  </si>
  <si>
    <t>鎔德行銷裝機計程車資</t>
    <phoneticPr fontId="3" type="noConversion"/>
  </si>
  <si>
    <t>鎔德行銷裝機捷運車資</t>
    <phoneticPr fontId="3" type="noConversion"/>
  </si>
  <si>
    <t>2014.03.21</t>
    <phoneticPr fontId="3" type="noConversion"/>
  </si>
  <si>
    <t>管理費-2014.03</t>
    <phoneticPr fontId="3" type="noConversion"/>
  </si>
  <si>
    <t>2014.03.28</t>
    <phoneticPr fontId="3" type="noConversion"/>
  </si>
  <si>
    <t>合約內頁</t>
    <phoneticPr fontId="3" type="noConversion"/>
  </si>
  <si>
    <t>掛號費-依鎔德財務業務軟體開發合約*4,發票*4,附1回郵</t>
    <phoneticPr fontId="3" type="noConversion"/>
  </si>
  <si>
    <t>2014.04.01</t>
    <phoneticPr fontId="3" type="noConversion"/>
  </si>
  <si>
    <t>掛號費-八亨請款</t>
    <phoneticPr fontId="3" type="noConversion"/>
  </si>
  <si>
    <t>掛號費-鎔德行銷VPN合約*2,發票,附1回郵</t>
    <phoneticPr fontId="3" type="noConversion"/>
  </si>
  <si>
    <t>水費.103-03</t>
    <phoneticPr fontId="3" type="noConversion"/>
  </si>
  <si>
    <t>2014.04 北平房租-台銀網銀轉帳(2012.06開始漲兩千)</t>
    <phoneticPr fontId="3" type="noConversion"/>
  </si>
  <si>
    <t>2014.04.03</t>
    <phoneticPr fontId="3" type="noConversion"/>
  </si>
  <si>
    <t>2014.03 card ada代刷-中信</t>
    <phoneticPr fontId="3" type="noConversion"/>
  </si>
  <si>
    <t>2014.03 card ada代刷-富邦</t>
    <phoneticPr fontId="3" type="noConversion"/>
  </si>
  <si>
    <t>2014.04.07</t>
    <phoneticPr fontId="3" type="noConversion"/>
  </si>
  <si>
    <t>2014.04.10</t>
    <phoneticPr fontId="3" type="noConversion"/>
  </si>
  <si>
    <t>2014.04.16</t>
    <phoneticPr fontId="3" type="noConversion"/>
  </si>
  <si>
    <t>文具---標準信封100入/封面膠帶/A4紙包</t>
    <phoneticPr fontId="3" type="noConversion"/>
  </si>
  <si>
    <t>2014.04.17</t>
    <phoneticPr fontId="3" type="noConversion"/>
  </si>
  <si>
    <t>掛號費-泰聯報價/維護合約2份-無回郵無發票</t>
    <phoneticPr fontId="3" type="noConversion"/>
  </si>
  <si>
    <t>2014.04.23</t>
    <phoneticPr fontId="3" type="noConversion"/>
  </si>
  <si>
    <t>請給 6 * 6000 (7-12月) + 6000 母親節紅包 = 42000</t>
    <phoneticPr fontId="3" type="noConversion"/>
  </si>
  <si>
    <t>2014.04.24</t>
    <phoneticPr fontId="3" type="noConversion"/>
  </si>
  <si>
    <t>掛號費-同皇/永馳/施舒雅請款發票</t>
    <phoneticPr fontId="3" type="noConversion"/>
  </si>
  <si>
    <t>管理費-2014.04</t>
    <phoneticPr fontId="3" type="noConversion"/>
  </si>
  <si>
    <t>領營所稅申報書,友士網卡,悠遊卡車資</t>
    <phoneticPr fontId="3" type="noConversion"/>
  </si>
  <si>
    <t>2014.4.28</t>
    <phoneticPr fontId="3" type="noConversion"/>
  </si>
  <si>
    <t>華算103.05-06三聯式發票</t>
    <phoneticPr fontId="3" type="noConversion"/>
  </si>
  <si>
    <t>郵局EMS-品固東莞FD16-HD*2,TOP LINK PCIE-LAN CARD*2,申報書*2</t>
    <phoneticPr fontId="3" type="noConversion"/>
  </si>
  <si>
    <t>2014.5.1</t>
    <phoneticPr fontId="3" type="noConversion"/>
  </si>
  <si>
    <t>2014.05 北平房租-台銀網銀轉帳(2012.06開始漲兩千)</t>
    <phoneticPr fontId="3" type="noConversion"/>
  </si>
  <si>
    <t>2014.05.02</t>
    <phoneticPr fontId="3" type="noConversion"/>
  </si>
  <si>
    <t>喜可裝機計程車資</t>
    <phoneticPr fontId="3" type="noConversion"/>
  </si>
  <si>
    <t>切WORK報稅</t>
    <phoneticPr fontId="3" type="noConversion"/>
  </si>
  <si>
    <t>2014.05.05</t>
    <phoneticPr fontId="3" type="noConversion"/>
  </si>
  <si>
    <t>2014.04 card ada代刷-中信</t>
    <phoneticPr fontId="3" type="noConversion"/>
  </si>
  <si>
    <t>2014.05.07</t>
    <phoneticPr fontId="3" type="noConversion"/>
  </si>
  <si>
    <t>複寫紙</t>
    <phoneticPr fontId="3" type="noConversion"/>
  </si>
  <si>
    <t>中華易付卡儲值(含3G-1G$180已扣, 餘NT$120)</t>
    <phoneticPr fontId="3" type="noConversion"/>
  </si>
  <si>
    <t>2014.05.12</t>
    <phoneticPr fontId="3" type="noConversion"/>
  </si>
  <si>
    <t>401.2014.03~04</t>
    <phoneticPr fontId="3" type="noConversion"/>
  </si>
  <si>
    <t>2014.05.13</t>
    <phoneticPr fontId="3" type="noConversion"/>
  </si>
  <si>
    <t>威倫裝機計程車資</t>
    <phoneticPr fontId="3" type="noConversion"/>
  </si>
  <si>
    <t>現金相符</t>
    <phoneticPr fontId="3" type="noConversion"/>
  </si>
  <si>
    <t>2014.05.16</t>
    <phoneticPr fontId="3" type="noConversion"/>
  </si>
  <si>
    <t>順豐貨運HD一顆 (ATOM-FD19)</t>
    <phoneticPr fontId="3" type="noConversion"/>
  </si>
  <si>
    <t>2014.05.20</t>
    <phoneticPr fontId="3" type="noConversion"/>
  </si>
  <si>
    <t>管理費-2014.05</t>
    <phoneticPr fontId="3" type="noConversion"/>
  </si>
  <si>
    <t>水費.103-05</t>
    <phoneticPr fontId="3" type="noConversion"/>
  </si>
  <si>
    <t>電池3號</t>
    <phoneticPr fontId="3" type="noConversion"/>
  </si>
  <si>
    <t>2014.05.21</t>
    <phoneticPr fontId="3" type="noConversion"/>
  </si>
  <si>
    <t>漢聯裝機計程車資</t>
    <phoneticPr fontId="3" type="noConversion"/>
  </si>
  <si>
    <t>2014.05.22</t>
    <phoneticPr fontId="3" type="noConversion"/>
  </si>
  <si>
    <t>邁拓裝機計程車資</t>
    <phoneticPr fontId="3" type="noConversion"/>
  </si>
  <si>
    <t>2014.05.23</t>
    <phoneticPr fontId="3" type="noConversion"/>
  </si>
  <si>
    <t>悠遊卡車資</t>
    <phoneticPr fontId="3" type="noConversion"/>
  </si>
  <si>
    <t>鏍絲起子</t>
    <phoneticPr fontId="3" type="noConversion"/>
  </si>
  <si>
    <t>2014.05.28</t>
    <phoneticPr fontId="3" type="noConversion"/>
  </si>
  <si>
    <t>品固裝機計程車資</t>
    <phoneticPr fontId="3" type="noConversion"/>
  </si>
  <si>
    <t>2014.06.03</t>
    <phoneticPr fontId="3" type="noConversion"/>
  </si>
  <si>
    <t>2014.06 北平房租-台銀網銀轉帳(2012.06開始漲兩千)</t>
    <phoneticPr fontId="3" type="noConversion"/>
  </si>
  <si>
    <t>2014.06.04</t>
    <phoneticPr fontId="3" type="noConversion"/>
  </si>
  <si>
    <t>宅急便貨運HD二顆寄恩豪AMY (ATOM-FD19)</t>
    <phoneticPr fontId="3" type="noConversion"/>
  </si>
  <si>
    <t>2014.06.05</t>
    <phoneticPr fontId="3" type="noConversion"/>
  </si>
  <si>
    <t>2014.05 card ada代刷-中信</t>
    <phoneticPr fontId="3" type="noConversion"/>
  </si>
  <si>
    <t>103.2 欽</t>
    <phoneticPr fontId="3" type="noConversion"/>
  </si>
  <si>
    <t>2014.06.06</t>
    <phoneticPr fontId="3" type="noConversion"/>
  </si>
  <si>
    <t>103.2 証-漢聯廈門補$2000,泰聯補$1000</t>
    <phoneticPr fontId="3" type="noConversion"/>
  </si>
  <si>
    <t>2014.06.13</t>
    <phoneticPr fontId="3" type="noConversion"/>
  </si>
  <si>
    <t>掛號費-元超合約*2/發票 回郵信封*2</t>
    <phoneticPr fontId="3" type="noConversion"/>
  </si>
  <si>
    <t>2014.06.18</t>
    <phoneticPr fontId="3" type="noConversion"/>
  </si>
  <si>
    <t>冷氣機</t>
    <phoneticPr fontId="3" type="noConversion"/>
  </si>
  <si>
    <t>2014.06.19</t>
    <phoneticPr fontId="3" type="noConversion"/>
  </si>
  <si>
    <t>冷氣機稅金</t>
    <phoneticPr fontId="3" type="noConversion"/>
  </si>
  <si>
    <t>2014.06.23</t>
    <phoneticPr fontId="3" type="noConversion"/>
  </si>
  <si>
    <t>管理費-2014.06</t>
    <phoneticPr fontId="3" type="noConversion"/>
  </si>
  <si>
    <t>2014.06.26</t>
    <phoneticPr fontId="3" type="noConversion"/>
  </si>
  <si>
    <t>華算103.07-08三聯式發票</t>
    <phoneticPr fontId="3" type="noConversion"/>
  </si>
  <si>
    <t>2014.06.30</t>
    <phoneticPr fontId="3" type="noConversion"/>
  </si>
  <si>
    <t>饒媽冷氣也壞了, 她裝分離式的, 4萬5, 要請你補貼
rayman3t: 一點
DV1: 出一半
DV1: 2萬5</t>
    <phoneticPr fontId="3" type="noConversion"/>
  </si>
  <si>
    <t>2014.07.01</t>
    <phoneticPr fontId="3" type="noConversion"/>
  </si>
  <si>
    <t>2014.07 北平房租-台銀網銀轉帳(2012.06開始漲兩千)</t>
    <phoneticPr fontId="3" type="noConversion"/>
  </si>
  <si>
    <t>2014.07.03</t>
    <phoneticPr fontId="3" type="noConversion"/>
  </si>
  <si>
    <t>2014.06 card ada代刷-中信</t>
    <phoneticPr fontId="3" type="noConversion"/>
  </si>
  <si>
    <t>城乙維護車資-博欽</t>
    <phoneticPr fontId="3" type="noConversion"/>
  </si>
  <si>
    <t>2014.07.04</t>
    <phoneticPr fontId="3" type="noConversion"/>
  </si>
  <si>
    <t>城乙維護車資-達</t>
    <phoneticPr fontId="3" type="noConversion"/>
  </si>
  <si>
    <t>2014.07.07</t>
    <phoneticPr fontId="3" type="noConversion"/>
  </si>
  <si>
    <t>103.6 欽</t>
    <phoneticPr fontId="3" type="noConversion"/>
  </si>
  <si>
    <t>103.6 達</t>
    <phoneticPr fontId="3" type="noConversion"/>
  </si>
  <si>
    <t>103.6 証</t>
    <phoneticPr fontId="3" type="noConversion"/>
  </si>
  <si>
    <t>2014.07.10</t>
    <phoneticPr fontId="3" type="noConversion"/>
  </si>
  <si>
    <t>401.2014.05~06</t>
    <phoneticPr fontId="3" type="noConversion"/>
  </si>
  <si>
    <t>2014.07.24</t>
    <phoneticPr fontId="3" type="noConversion"/>
  </si>
  <si>
    <t>水費.103-07</t>
    <phoneticPr fontId="3" type="noConversion"/>
  </si>
  <si>
    <t>管理費-2014.07</t>
    <phoneticPr fontId="3" type="noConversion"/>
  </si>
  <si>
    <t>2014.08.01</t>
    <phoneticPr fontId="3" type="noConversion"/>
  </si>
  <si>
    <t>2014.08 北平房租-台銀網銀轉帳(2012.06開始漲兩千)</t>
    <phoneticPr fontId="3" type="noConversion"/>
  </si>
  <si>
    <t>2014.08.04</t>
    <phoneticPr fontId="3" type="noConversion"/>
  </si>
  <si>
    <t>2014.07 card ada代刷-中信</t>
    <phoneticPr fontId="3" type="noConversion"/>
  </si>
  <si>
    <t>2014.08.05</t>
    <phoneticPr fontId="3" type="noConversion"/>
  </si>
  <si>
    <t>103.7 欽</t>
    <phoneticPr fontId="3" type="noConversion"/>
  </si>
  <si>
    <t>2014.08.05</t>
    <phoneticPr fontId="3" type="noConversion"/>
  </si>
  <si>
    <t>103.7 達</t>
    <phoneticPr fontId="3" type="noConversion"/>
  </si>
  <si>
    <t>103.7 証</t>
    <phoneticPr fontId="3" type="noConversion"/>
  </si>
  <si>
    <t>2014.08.11</t>
    <phoneticPr fontId="3" type="noConversion"/>
  </si>
  <si>
    <t>郵費</t>
    <phoneticPr fontId="3" type="noConversion"/>
  </si>
  <si>
    <t>掛號費-依德/鎔德/鉑德/友士/同皇/八亨/施舒雅/永馳發票</t>
    <phoneticPr fontId="3" type="noConversion"/>
  </si>
  <si>
    <t>2014.08.20</t>
    <phoneticPr fontId="3" type="noConversion"/>
  </si>
  <si>
    <t>掛號費-廣豪合約*2附大回郵, 無日期無發票</t>
    <phoneticPr fontId="3" type="noConversion"/>
  </si>
  <si>
    <t>文具費</t>
    <phoneticPr fontId="3" type="noConversion"/>
  </si>
  <si>
    <t>合約封面影印</t>
    <phoneticPr fontId="3" type="noConversion"/>
  </si>
  <si>
    <t>合約封面紙</t>
    <phoneticPr fontId="3" type="noConversion"/>
  </si>
  <si>
    <t>2014.08.25</t>
    <phoneticPr fontId="3" type="noConversion"/>
  </si>
  <si>
    <t>管理費</t>
    <phoneticPr fontId="3" type="noConversion"/>
  </si>
  <si>
    <t>管理費-2014.08</t>
    <phoneticPr fontId="3" type="noConversion"/>
  </si>
  <si>
    <t>2014.08.26</t>
    <phoneticPr fontId="3" type="noConversion"/>
  </si>
  <si>
    <t>零用金</t>
    <phoneticPr fontId="3" type="noConversion"/>
  </si>
  <si>
    <t>雜費</t>
    <phoneticPr fontId="3" type="noConversion"/>
  </si>
  <si>
    <t>華算103.09-10三聯式發票</t>
    <phoneticPr fontId="3" type="noConversion"/>
  </si>
  <si>
    <t>2014.09.01</t>
    <phoneticPr fontId="3" type="noConversion"/>
  </si>
  <si>
    <t>2014.09 北平房租-台銀網銀轉帳(2012.06開始漲兩千)</t>
    <phoneticPr fontId="3" type="noConversion"/>
  </si>
  <si>
    <t>2014.09.03</t>
    <phoneticPr fontId="3" type="noConversion"/>
  </si>
  <si>
    <t>401.2014.07~08</t>
    <phoneticPr fontId="3" type="noConversion"/>
  </si>
  <si>
    <t>2014.09.15</t>
    <phoneticPr fontId="3" type="noConversion"/>
  </si>
  <si>
    <t>雜項購置</t>
    <phoneticPr fontId="3" type="noConversion"/>
  </si>
  <si>
    <t>水管清潔條</t>
    <phoneticPr fontId="3" type="noConversion"/>
  </si>
  <si>
    <t>交通費</t>
    <phoneticPr fontId="3" type="noConversion"/>
  </si>
  <si>
    <t>裕恆維護車資</t>
    <phoneticPr fontId="3" type="noConversion"/>
  </si>
  <si>
    <t>2014.09.22</t>
    <phoneticPr fontId="3" type="noConversion"/>
  </si>
  <si>
    <t>水費</t>
    <phoneticPr fontId="3" type="noConversion"/>
  </si>
  <si>
    <t>水費.103-09</t>
    <phoneticPr fontId="3" type="noConversion"/>
  </si>
  <si>
    <t>管理費-2014.09</t>
    <phoneticPr fontId="3" type="noConversion"/>
  </si>
  <si>
    <t>2014.09.25</t>
    <phoneticPr fontId="3" type="noConversion"/>
  </si>
  <si>
    <t>協億通裝機計程車資</t>
    <phoneticPr fontId="3" type="noConversion"/>
  </si>
  <si>
    <t>2014.09.30</t>
    <phoneticPr fontId="3" type="noConversion"/>
  </si>
  <si>
    <t>雙安裝機計程車資</t>
    <phoneticPr fontId="3" type="noConversion"/>
  </si>
  <si>
    <t>維護油資</t>
    <phoneticPr fontId="3" type="noConversion"/>
  </si>
  <si>
    <t>2014.10.01</t>
    <phoneticPr fontId="3" type="noConversion"/>
  </si>
  <si>
    <t>2014.10 北平房租-台銀網銀轉帳(2012.06開始漲兩千)</t>
    <phoneticPr fontId="3" type="noConversion"/>
  </si>
  <si>
    <t>2014.10.02</t>
    <phoneticPr fontId="3" type="noConversion"/>
  </si>
  <si>
    <t>2014.09 card ada代刷-中信</t>
    <phoneticPr fontId="3" type="noConversion"/>
  </si>
  <si>
    <t>2014.10.15</t>
    <phoneticPr fontId="3" type="noConversion"/>
  </si>
  <si>
    <t>燈泡</t>
    <phoneticPr fontId="3" type="noConversion"/>
  </si>
  <si>
    <t>2014.10.17</t>
    <phoneticPr fontId="3" type="noConversion"/>
  </si>
  <si>
    <t>掛號費-城乙合約*2附大回郵, 發票</t>
    <phoneticPr fontId="3" type="noConversion"/>
  </si>
  <si>
    <t>2014.10.24</t>
    <phoneticPr fontId="3" type="noConversion"/>
  </si>
  <si>
    <t>管理費-2014.10</t>
    <phoneticPr fontId="3" type="noConversion"/>
  </si>
  <si>
    <t>2014.10.27</t>
    <phoneticPr fontId="3" type="noConversion"/>
  </si>
  <si>
    <t>轉接線</t>
    <phoneticPr fontId="3" type="noConversion"/>
  </si>
  <si>
    <t>起子.轉接線</t>
    <phoneticPr fontId="3" type="noConversion"/>
  </si>
  <si>
    <t>華算103.11-12三聯式發票</t>
    <phoneticPr fontId="3" type="noConversion"/>
  </si>
  <si>
    <t>2014.10.28</t>
    <phoneticPr fontId="3" type="noConversion"/>
  </si>
  <si>
    <t>崴凌裝機計程車資</t>
    <phoneticPr fontId="3" type="noConversion"/>
  </si>
  <si>
    <t>崴凌裝機計程車資第二趟</t>
    <phoneticPr fontId="3" type="noConversion"/>
  </si>
  <si>
    <t>2014.10.29</t>
    <phoneticPr fontId="3" type="noConversion"/>
  </si>
  <si>
    <t>衛生紙</t>
    <phoneticPr fontId="3" type="noConversion"/>
  </si>
  <si>
    <t>2014.11.03</t>
    <phoneticPr fontId="3" type="noConversion"/>
  </si>
  <si>
    <t>2014.11 北平房租-台銀網銀轉帳(2012.06開始漲兩千)</t>
    <phoneticPr fontId="3" type="noConversion"/>
  </si>
  <si>
    <t>2014.10 card ada代刷-中信</t>
    <phoneticPr fontId="3" type="noConversion"/>
  </si>
  <si>
    <t>掛號費-城乙回郵, 發票重開</t>
    <phoneticPr fontId="3" type="noConversion"/>
  </si>
  <si>
    <t>2014.11.04</t>
    <phoneticPr fontId="3" type="noConversion"/>
  </si>
  <si>
    <t>掛號費-友士,鉑德,永馳,同皇,八亨,施舒雅,PCHOME,掛號信封*20</t>
    <phoneticPr fontId="3" type="noConversion"/>
  </si>
  <si>
    <t>合約紙,筆,膠水</t>
    <phoneticPr fontId="3" type="noConversion"/>
  </si>
  <si>
    <t>2014.11.05</t>
    <phoneticPr fontId="3" type="noConversion"/>
  </si>
  <si>
    <t>103.10 欽</t>
    <phoneticPr fontId="3" type="noConversion"/>
  </si>
  <si>
    <t>103.10 達</t>
    <phoneticPr fontId="3" type="noConversion"/>
  </si>
  <si>
    <t>103.10 証</t>
    <phoneticPr fontId="3" type="noConversion"/>
  </si>
  <si>
    <t>掛號費-勤業合約*2/發票 ,依德發票*5</t>
    <phoneticPr fontId="3" type="noConversion"/>
  </si>
  <si>
    <t>光華車資</t>
    <phoneticPr fontId="3" type="noConversion"/>
  </si>
  <si>
    <t>維護合約封面影印</t>
    <phoneticPr fontId="3" type="noConversion"/>
  </si>
  <si>
    <t>2014.11.11</t>
    <phoneticPr fontId="3" type="noConversion"/>
  </si>
  <si>
    <t>401.2014.09~10</t>
    <phoneticPr fontId="3" type="noConversion"/>
  </si>
  <si>
    <t>勤業裝機計程車資</t>
    <phoneticPr fontId="3" type="noConversion"/>
  </si>
  <si>
    <t>2014.11.14</t>
    <phoneticPr fontId="3" type="noConversion"/>
  </si>
  <si>
    <t>掛號費-元超保密</t>
    <phoneticPr fontId="3" type="noConversion"/>
  </si>
  <si>
    <t>鎔德保養廠裝機計程車資</t>
    <phoneticPr fontId="3" type="noConversion"/>
  </si>
  <si>
    <t>2014.11.20</t>
    <phoneticPr fontId="3" type="noConversion"/>
  </si>
  <si>
    <t>管理費-2014.11</t>
    <phoneticPr fontId="3" type="noConversion"/>
  </si>
  <si>
    <t>掛號費達翌合約發票回郵</t>
    <phoneticPr fontId="3" type="noConversion"/>
  </si>
  <si>
    <t>郵票10/25 各20張</t>
    <phoneticPr fontId="3" type="noConversion"/>
  </si>
  <si>
    <t>水費.103-11</t>
    <phoneticPr fontId="3" type="noConversion"/>
  </si>
  <si>
    <t>2014.11.25</t>
    <phoneticPr fontId="3" type="noConversion"/>
  </si>
  <si>
    <t>掛號費恩豪合約發票回郵</t>
    <phoneticPr fontId="3" type="noConversion"/>
  </si>
  <si>
    <t>2014.11.26</t>
    <phoneticPr fontId="3" type="noConversion"/>
  </si>
  <si>
    <t>工商憑証費用@420*2</t>
    <phoneticPr fontId="3" type="noConversion"/>
  </si>
  <si>
    <t>2014.12.01</t>
    <phoneticPr fontId="3" type="noConversion"/>
  </si>
  <si>
    <t>2014.12 北平房租-台銀網銀轉帳(2012.06開始漲兩千)</t>
    <phoneticPr fontId="3" type="noConversion"/>
  </si>
  <si>
    <t>2014.12.09</t>
    <phoneticPr fontId="3" type="noConversion"/>
  </si>
  <si>
    <t>掛號費依德/鎔德/鎔保合約*6發票*3請款單回郵大信封-張育碩</t>
    <phoneticPr fontId="3" type="noConversion"/>
  </si>
  <si>
    <t>2014.12.11</t>
    <phoneticPr fontId="3" type="noConversion"/>
  </si>
  <si>
    <t>掛號費鴻碩合約*2發票*1</t>
    <phoneticPr fontId="3" type="noConversion"/>
  </si>
  <si>
    <t>2014.12.12</t>
    <phoneticPr fontId="3" type="noConversion"/>
  </si>
  <si>
    <t>2014.12.16</t>
    <phoneticPr fontId="3" type="noConversion"/>
  </si>
  <si>
    <t>掛號費依鎔軟維合約*2發票*2回郵信封*1</t>
    <phoneticPr fontId="3" type="noConversion"/>
  </si>
  <si>
    <t>2014.12.17</t>
    <phoneticPr fontId="3" type="noConversion"/>
  </si>
  <si>
    <t>鴻碩裝機車資過路費</t>
    <phoneticPr fontId="3" type="noConversion"/>
  </si>
  <si>
    <t>2014.12.18</t>
    <phoneticPr fontId="3" type="noConversion"/>
  </si>
  <si>
    <t>管理費-2014.12</t>
    <phoneticPr fontId="3" type="noConversion"/>
  </si>
  <si>
    <t>饒媽(2015,1-6月)
請給他6000*6+14000=50000,並祝他冬至快樂</t>
    <phoneticPr fontId="3" type="noConversion"/>
  </si>
  <si>
    <t>2014.12.29</t>
    <phoneticPr fontId="3" type="noConversion"/>
  </si>
  <si>
    <t>華算104.01-02三聯式發票</t>
    <phoneticPr fontId="3" type="noConversion"/>
  </si>
  <si>
    <t>2014.12.31</t>
    <phoneticPr fontId="3" type="noConversion"/>
  </si>
  <si>
    <t>掛號費依鎔支票簽回聯</t>
    <phoneticPr fontId="3" type="noConversion"/>
  </si>
  <si>
    <t>2015.01.05</t>
    <phoneticPr fontId="3" type="noConversion"/>
  </si>
  <si>
    <t>2015.01 北平房租-台銀網銀轉帳(2012.06開始漲兩千)</t>
    <phoneticPr fontId="3" type="noConversion"/>
  </si>
  <si>
    <t>103.12 欽</t>
    <phoneticPr fontId="3" type="noConversion"/>
  </si>
  <si>
    <t>103.12 達</t>
    <phoneticPr fontId="3" type="noConversion"/>
  </si>
  <si>
    <t>103.12 証</t>
    <phoneticPr fontId="3" type="noConversion"/>
  </si>
  <si>
    <t>2014.12 card ada代刷-富邦</t>
    <phoneticPr fontId="3" type="noConversion"/>
  </si>
  <si>
    <t>2014.12 card ada代刷-中信</t>
    <phoneticPr fontId="3" type="noConversion"/>
  </si>
  <si>
    <t>電話費</t>
    <phoneticPr fontId="3" type="noConversion"/>
  </si>
  <si>
    <t>客服易付卡儲值-中華</t>
    <phoneticPr fontId="3" type="noConversion"/>
  </si>
  <si>
    <t>2015.01.07</t>
    <phoneticPr fontId="3" type="noConversion"/>
  </si>
  <si>
    <t>2015.01.08</t>
    <phoneticPr fontId="3" type="noConversion"/>
  </si>
  <si>
    <t>PETER:
NT$493951 (匯率 4.150845) HK$119000
匯費NT$247, 郵電費NT$300
總計NT$494498
中國銀行(香港)有限公司
BANK OF CHINA(HONE KONG)LIMITED
陳達強
CHEN DAQIANG
0123-54-0000-7355
SWIFT CODE: BKCH HKHH
銀行地址: 香港九龍土瓜灣北帝街4-6號</t>
    <phoneticPr fontId="3" type="noConversion"/>
  </si>
  <si>
    <t>2015.01.09</t>
    <phoneticPr fontId="3" type="noConversion"/>
  </si>
  <si>
    <t>401.2014.11~12</t>
    <phoneticPr fontId="3" type="noConversion"/>
  </si>
  <si>
    <t>2015.01.20</t>
    <phoneticPr fontId="3" type="noConversion"/>
  </si>
  <si>
    <t>管理費-2015.01</t>
    <phoneticPr fontId="3" type="noConversion"/>
  </si>
  <si>
    <t>2015.01.23</t>
    <phoneticPr fontId="3" type="noConversion"/>
  </si>
  <si>
    <t>PETER: 姐
匯款資料：
台灣中小企業銀行
10262087161
050-1024 世貿分行
陳相雄
金額：NT59,000</t>
    <phoneticPr fontId="3" type="noConversion"/>
  </si>
  <si>
    <t>2015.01.30</t>
    <phoneticPr fontId="3" type="noConversion"/>
  </si>
  <si>
    <t>水費.104-01</t>
    <phoneticPr fontId="3" type="noConversion"/>
  </si>
  <si>
    <t>2015.02.02</t>
    <phoneticPr fontId="3" type="noConversion"/>
  </si>
  <si>
    <t>2015.02 北平房租-台銀網銀轉帳(2012.06開始漲兩千)</t>
    <phoneticPr fontId="3" type="noConversion"/>
  </si>
  <si>
    <t>2015.02.03</t>
    <phoneticPr fontId="3" type="noConversion"/>
  </si>
  <si>
    <t>悠遊卡儲值</t>
    <phoneticPr fontId="3" type="noConversion"/>
  </si>
  <si>
    <t>2015.02.05</t>
    <phoneticPr fontId="3" type="noConversion"/>
  </si>
  <si>
    <t>104.01 欽</t>
    <phoneticPr fontId="3" type="noConversion"/>
  </si>
  <si>
    <t>104.01 達--達算信義</t>
    <phoneticPr fontId="3" type="noConversion"/>
  </si>
  <si>
    <t>104.01 証</t>
    <phoneticPr fontId="3" type="noConversion"/>
  </si>
  <si>
    <t>2015.02.09</t>
    <phoneticPr fontId="3" type="noConversion"/>
  </si>
  <si>
    <t>2015.01 card ada代刷-中信</t>
    <phoneticPr fontId="3" type="noConversion"/>
  </si>
  <si>
    <t>2015.02.12</t>
    <phoneticPr fontId="3" type="noConversion"/>
  </si>
  <si>
    <t>愛浪裝機計程車資</t>
    <phoneticPr fontId="3" type="noConversion"/>
  </si>
  <si>
    <t>2015.02.16</t>
    <phoneticPr fontId="3" type="noConversion"/>
  </si>
  <si>
    <t>安力裝機計程車資</t>
    <phoneticPr fontId="3" type="noConversion"/>
  </si>
  <si>
    <t>安力裝機捷運車資</t>
    <phoneticPr fontId="3" type="noConversion"/>
  </si>
  <si>
    <t>2015.02.25</t>
    <phoneticPr fontId="3" type="noConversion"/>
  </si>
  <si>
    <t>管理費-2015.02</t>
    <phoneticPr fontId="3" type="noConversion"/>
  </si>
  <si>
    <t>2015.03.01</t>
    <phoneticPr fontId="3" type="noConversion"/>
  </si>
  <si>
    <t>2015.03 北平房租-台銀網銀轉帳(2012.06開始漲兩千)</t>
    <phoneticPr fontId="3" type="noConversion"/>
  </si>
  <si>
    <t>2015.03.02</t>
    <phoneticPr fontId="3" type="noConversion"/>
  </si>
  <si>
    <t>華算104.03-04三聯式發票</t>
    <phoneticPr fontId="3" type="noConversion"/>
  </si>
  <si>
    <t>合約紙</t>
    <phoneticPr fontId="3" type="noConversion"/>
  </si>
  <si>
    <t>2015.03.05</t>
    <phoneticPr fontId="3" type="noConversion"/>
  </si>
  <si>
    <t>104.02 欽</t>
    <phoneticPr fontId="3" type="noConversion"/>
  </si>
  <si>
    <t>104.02 達</t>
    <phoneticPr fontId="3" type="noConversion"/>
  </si>
  <si>
    <t>104.02 証</t>
    <phoneticPr fontId="3" type="noConversion"/>
  </si>
  <si>
    <t>2015.02 card ada代刷-富邦</t>
    <phoneticPr fontId="3" type="noConversion"/>
  </si>
  <si>
    <t>2015.02 card ada代刷-中信</t>
    <phoneticPr fontId="3" type="noConversion"/>
  </si>
  <si>
    <t>2015.03.09</t>
    <phoneticPr fontId="3" type="noConversion"/>
  </si>
  <si>
    <t>掛號費安力合約*2發票回郵信封*1</t>
    <phoneticPr fontId="3" type="noConversion"/>
  </si>
  <si>
    <t>2015.03.10</t>
    <phoneticPr fontId="3" type="noConversion"/>
  </si>
  <si>
    <t>401.2015.01~02</t>
    <phoneticPr fontId="3" type="noConversion"/>
  </si>
  <si>
    <t>2015.03.11</t>
    <phoneticPr fontId="3" type="noConversion"/>
  </si>
  <si>
    <t>2015.03.18</t>
    <phoneticPr fontId="3" type="noConversion"/>
  </si>
  <si>
    <t>裕恆裝機計程車資</t>
    <phoneticPr fontId="3" type="noConversion"/>
  </si>
  <si>
    <t>2015.03.26</t>
    <phoneticPr fontId="3" type="noConversion"/>
  </si>
  <si>
    <t>旺旺達裝機計程車資</t>
    <phoneticPr fontId="3" type="noConversion"/>
  </si>
  <si>
    <t>管理費-2015.03</t>
    <phoneticPr fontId="3" type="noConversion"/>
  </si>
  <si>
    <t>2015.03.27</t>
    <phoneticPr fontId="3" type="noConversion"/>
  </si>
  <si>
    <t>2015.03.30</t>
    <phoneticPr fontId="3" type="noConversion"/>
  </si>
  <si>
    <t>水費.104-03</t>
    <phoneticPr fontId="3" type="noConversion"/>
  </si>
  <si>
    <t>2015.03.31</t>
    <phoneticPr fontId="3" type="noConversion"/>
  </si>
  <si>
    <t>掛號費</t>
    <phoneticPr fontId="3" type="noConversion"/>
  </si>
  <si>
    <t>2015.04.01</t>
    <phoneticPr fontId="3" type="noConversion"/>
  </si>
  <si>
    <t>2015.04 北平房租-台銀網銀轉帳(2012.06開始漲兩千)</t>
    <phoneticPr fontId="3" type="noConversion"/>
  </si>
  <si>
    <t>2015.04.07</t>
    <phoneticPr fontId="3" type="noConversion"/>
  </si>
  <si>
    <t>104.03 欽</t>
    <phoneticPr fontId="3" type="noConversion"/>
  </si>
  <si>
    <t>104.03 達</t>
    <phoneticPr fontId="3" type="noConversion"/>
  </si>
  <si>
    <t>104.03 証 (實轉$31000, 另外$5000還PT)</t>
    <phoneticPr fontId="3" type="noConversion"/>
  </si>
  <si>
    <t>2015.03 card ada代刷-富邦</t>
    <phoneticPr fontId="3" type="noConversion"/>
  </si>
  <si>
    <t>2015.03 card ada代刷-中信</t>
    <phoneticPr fontId="3" type="noConversion"/>
  </si>
  <si>
    <t>PETER
匯款資料：
大眾銀行：814-內湖分行
活儲：168-1229361-17
章挺憲
金額：NT35,000
安力佣金 $30000
代張還款 $5000</t>
    <phoneticPr fontId="3" type="noConversion"/>
  </si>
  <si>
    <t>2015.04.15</t>
    <phoneticPr fontId="3" type="noConversion"/>
  </si>
  <si>
    <t>品固維修計程車資</t>
    <phoneticPr fontId="3" type="noConversion"/>
  </si>
  <si>
    <t>2015.04.20</t>
    <phoneticPr fontId="3" type="noConversion"/>
  </si>
  <si>
    <t>5公升垃圾袋 @45*4</t>
    <phoneticPr fontId="3" type="noConversion"/>
  </si>
  <si>
    <t>2015.04.21</t>
    <phoneticPr fontId="3" type="noConversion"/>
  </si>
  <si>
    <t>管理費-2015.04</t>
    <phoneticPr fontId="3" type="noConversion"/>
  </si>
  <si>
    <t>2015.04.24</t>
    <phoneticPr fontId="3" type="noConversion"/>
  </si>
  <si>
    <t>掛號費太暘合約*2回郵*1無發票</t>
    <phoneticPr fontId="3" type="noConversion"/>
  </si>
  <si>
    <t>2015.04.29</t>
    <phoneticPr fontId="3" type="noConversion"/>
  </si>
  <si>
    <t>華算104.05-06三聯式發票</t>
    <phoneticPr fontId="3" type="noConversion"/>
  </si>
  <si>
    <t>2015.05.01</t>
    <phoneticPr fontId="3" type="noConversion"/>
  </si>
  <si>
    <t>2015.05 北平房租-台銀網銀轉帳(2012.06開始漲兩千)</t>
    <phoneticPr fontId="3" type="noConversion"/>
  </si>
  <si>
    <t>2015.05.04</t>
    <phoneticPr fontId="3" type="noConversion"/>
  </si>
  <si>
    <t>掛號費大成維護合約*2回郵*2發票*1</t>
    <phoneticPr fontId="3" type="noConversion"/>
  </si>
  <si>
    <t>2015.05.05</t>
    <phoneticPr fontId="3" type="noConversion"/>
  </si>
  <si>
    <t>104.04 欽</t>
    <phoneticPr fontId="3" type="noConversion"/>
  </si>
  <si>
    <t>104.04 達</t>
    <phoneticPr fontId="3" type="noConversion"/>
  </si>
  <si>
    <t>2015.04 card ada代刷-中信</t>
    <phoneticPr fontId="3" type="noConversion"/>
  </si>
  <si>
    <t>威視裝機計程車資</t>
    <phoneticPr fontId="3" type="noConversion"/>
  </si>
  <si>
    <t>2015.05.07</t>
    <phoneticPr fontId="3" type="noConversion"/>
  </si>
  <si>
    <t>401.2015.03~04</t>
    <phoneticPr fontId="3" type="noConversion"/>
  </si>
  <si>
    <t>2015.05.11</t>
    <phoneticPr fontId="3" type="noConversion"/>
  </si>
  <si>
    <t>順豐申報書</t>
    <phoneticPr fontId="3" type="noConversion"/>
  </si>
  <si>
    <t>掛號信封*20,郵票*20</t>
    <phoneticPr fontId="3" type="noConversion"/>
  </si>
  <si>
    <t>2015.05.12</t>
    <phoneticPr fontId="3" type="noConversion"/>
  </si>
  <si>
    <t>太暘裝機計程車資</t>
    <phoneticPr fontId="3" type="noConversion"/>
  </si>
  <si>
    <t>2015.05.14</t>
    <phoneticPr fontId="3" type="noConversion"/>
  </si>
  <si>
    <t>道法裝機計程車資</t>
    <phoneticPr fontId="3" type="noConversion"/>
  </si>
  <si>
    <t>道法裝機計程車資(回公司拿東西)</t>
    <phoneticPr fontId="3" type="noConversion"/>
  </si>
  <si>
    <t>轉WORK</t>
    <phoneticPr fontId="3" type="noConversion"/>
  </si>
  <si>
    <t>2015.05.18</t>
    <phoneticPr fontId="3" type="noConversion"/>
  </si>
  <si>
    <t>管理費-2015.05</t>
    <phoneticPr fontId="3" type="noConversion"/>
  </si>
  <si>
    <t>水費.104-05</t>
    <phoneticPr fontId="3" type="noConversion"/>
  </si>
  <si>
    <t>2015.05.20</t>
    <phoneticPr fontId="3" type="noConversion"/>
  </si>
  <si>
    <t>2015.05.21</t>
    <phoneticPr fontId="3" type="noConversion"/>
  </si>
  <si>
    <t>同皇掛號回郵</t>
    <phoneticPr fontId="3" type="noConversion"/>
  </si>
  <si>
    <t>2015.05.29</t>
    <phoneticPr fontId="3" type="noConversion"/>
  </si>
  <si>
    <t>庭田掛號回郵.發票</t>
    <phoneticPr fontId="3" type="noConversion"/>
  </si>
  <si>
    <t>饒媽(2015,7-12月)
DV1: 好,麻煩請給5萬=6*6000+端午節+補母親節</t>
    <phoneticPr fontId="3" type="noConversion"/>
  </si>
  <si>
    <t>2015.06.01</t>
    <phoneticPr fontId="3" type="noConversion"/>
  </si>
  <si>
    <t>2015.06 北平房租-台銀網銀轉帳(2012.06開始漲兩千)</t>
    <phoneticPr fontId="3" type="noConversion"/>
  </si>
  <si>
    <t>2015.06.02</t>
    <phoneticPr fontId="3" type="noConversion"/>
  </si>
  <si>
    <t>2015.06.03</t>
    <phoneticPr fontId="3" type="noConversion"/>
  </si>
  <si>
    <t>零用金ATM手續費</t>
    <phoneticPr fontId="3" type="noConversion"/>
  </si>
  <si>
    <t>護照續辦費用</t>
    <phoneticPr fontId="3" type="noConversion"/>
  </si>
  <si>
    <t>護照續辦加速件費用</t>
    <phoneticPr fontId="3" type="noConversion"/>
  </si>
  <si>
    <t>護照照片翻拍費用</t>
    <phoneticPr fontId="3" type="noConversion"/>
  </si>
  <si>
    <t>護照順豐取件計程車資</t>
    <phoneticPr fontId="3" type="noConversion"/>
  </si>
  <si>
    <t>護照外交部送件計程車資</t>
    <phoneticPr fontId="3" type="noConversion"/>
  </si>
  <si>
    <t>2015.06.04</t>
    <phoneticPr fontId="3" type="noConversion"/>
  </si>
  <si>
    <t>護照順豐送件計程車資</t>
    <phoneticPr fontId="3" type="noConversion"/>
  </si>
  <si>
    <t>順豐申報書夾護照</t>
    <phoneticPr fontId="3" type="noConversion"/>
  </si>
  <si>
    <t>2015.06.05</t>
    <phoneticPr fontId="3" type="noConversion"/>
  </si>
  <si>
    <t>2015.05 card ada代刷-中信</t>
    <phoneticPr fontId="3" type="noConversion"/>
  </si>
  <si>
    <t>2015.06.17</t>
    <phoneticPr fontId="3" type="noConversion"/>
  </si>
  <si>
    <t>A4紙/合約紙</t>
    <phoneticPr fontId="3" type="noConversion"/>
  </si>
  <si>
    <t>2015.06.18</t>
    <phoneticPr fontId="3" type="noConversion"/>
  </si>
  <si>
    <t>2015.06.22</t>
    <phoneticPr fontId="3" type="noConversion"/>
  </si>
  <si>
    <t>依德維護計程車資</t>
    <phoneticPr fontId="3" type="noConversion"/>
  </si>
  <si>
    <t>管理費-2015.06</t>
    <phoneticPr fontId="3" type="noConversion"/>
  </si>
  <si>
    <t>2015.06.26</t>
    <phoneticPr fontId="3" type="noConversion"/>
  </si>
  <si>
    <t>華算104.07-08三聯式發票</t>
    <phoneticPr fontId="3" type="noConversion"/>
  </si>
  <si>
    <t>銀行領發票車資</t>
    <phoneticPr fontId="3" type="noConversion"/>
  </si>
  <si>
    <t>2015.07.01</t>
    <phoneticPr fontId="3" type="noConversion"/>
  </si>
  <si>
    <t>2015.07 北平房租-台銀網銀轉帳(2012.06開始漲兩千)</t>
    <phoneticPr fontId="3" type="noConversion"/>
  </si>
  <si>
    <t>2015.07.03</t>
    <phoneticPr fontId="3" type="noConversion"/>
  </si>
  <si>
    <t>2015.06 card ada代刷-中信</t>
    <phoneticPr fontId="3" type="noConversion"/>
  </si>
  <si>
    <t>2015.07.06</t>
    <phoneticPr fontId="3" type="noConversion"/>
  </si>
  <si>
    <t>401.2015.05~06-達算信義</t>
    <phoneticPr fontId="3" type="noConversion"/>
  </si>
  <si>
    <t>104.06 欽-達算信義</t>
    <phoneticPr fontId="3" type="noConversion"/>
  </si>
  <si>
    <t>104.06 達</t>
    <phoneticPr fontId="3" type="noConversion"/>
  </si>
  <si>
    <t>104.06 張</t>
    <phoneticPr fontId="3" type="noConversion"/>
  </si>
  <si>
    <t>2015.07.08</t>
    <phoneticPr fontId="3" type="noConversion"/>
  </si>
  <si>
    <t>名片-張</t>
    <phoneticPr fontId="3" type="noConversion"/>
  </si>
  <si>
    <t>2015.07.09</t>
    <phoneticPr fontId="3" type="noConversion"/>
  </si>
  <si>
    <t>八亨掛號回郵合約*2,發票*1,大信封*1</t>
    <phoneticPr fontId="3" type="noConversion"/>
  </si>
  <si>
    <t>2015.07.20</t>
    <phoneticPr fontId="3" type="noConversion"/>
  </si>
  <si>
    <t>汎輝掛號回郵,發票*1,改限掛</t>
    <phoneticPr fontId="3" type="noConversion"/>
  </si>
  <si>
    <t>2015.07.23</t>
    <phoneticPr fontId="3" type="noConversion"/>
  </si>
  <si>
    <t>管理費-2015.07</t>
    <phoneticPr fontId="3" type="noConversion"/>
  </si>
  <si>
    <t>2015.07.24</t>
    <phoneticPr fontId="3" type="noConversion"/>
  </si>
  <si>
    <t>配電箱上方水管止漏</t>
    <phoneticPr fontId="3" type="noConversion"/>
  </si>
  <si>
    <t>施舒雅維護合約*2,掛號回郵,發票*1</t>
    <phoneticPr fontId="3" type="noConversion"/>
  </si>
  <si>
    <t>2015.07.27</t>
    <phoneticPr fontId="3" type="noConversion"/>
  </si>
  <si>
    <t>汎輝掛號回郵,合約*2</t>
    <phoneticPr fontId="3" type="noConversion"/>
  </si>
  <si>
    <t>水費.104-07</t>
    <phoneticPr fontId="3" type="noConversion"/>
  </si>
  <si>
    <t>合約紙/筆/合約膠帶</t>
    <phoneticPr fontId="3" type="noConversion"/>
  </si>
  <si>
    <t>2015.07.31</t>
    <phoneticPr fontId="3" type="noConversion"/>
  </si>
  <si>
    <t>掛號費DV綜所稅補件</t>
    <phoneticPr fontId="3" type="noConversion"/>
  </si>
  <si>
    <t>2015.08.01</t>
    <phoneticPr fontId="3" type="noConversion"/>
  </si>
  <si>
    <t>2015.08 北平房租-台銀網銀轉帳(2012.06開始漲兩千)</t>
    <phoneticPr fontId="3" type="noConversion"/>
  </si>
  <si>
    <t>2015.08.04</t>
    <phoneticPr fontId="3" type="noConversion"/>
  </si>
  <si>
    <t>庭田裝機計程車資</t>
    <phoneticPr fontId="3" type="noConversion"/>
  </si>
  <si>
    <t>庭田裝機車資</t>
    <phoneticPr fontId="3" type="noConversion"/>
  </si>
  <si>
    <t>2015.08.05</t>
    <phoneticPr fontId="3" type="noConversion"/>
  </si>
  <si>
    <t>104.07 欽</t>
    <phoneticPr fontId="3" type="noConversion"/>
  </si>
  <si>
    <t>104.07 達</t>
    <phoneticPr fontId="3" type="noConversion"/>
  </si>
  <si>
    <t>104.07 張</t>
    <phoneticPr fontId="3" type="noConversion"/>
  </si>
  <si>
    <t>2015.07 card ada代刷-中信</t>
    <phoneticPr fontId="3" type="noConversion"/>
  </si>
  <si>
    <t>2015.07 card ada代刷-富邦</t>
    <phoneticPr fontId="3" type="noConversion"/>
  </si>
  <si>
    <t>2015.08.07</t>
    <phoneticPr fontId="3" type="noConversion"/>
  </si>
  <si>
    <t>汎費維護車資</t>
    <phoneticPr fontId="3" type="noConversion"/>
  </si>
  <si>
    <t>4號充電電池</t>
    <phoneticPr fontId="3" type="noConversion"/>
  </si>
  <si>
    <t>4號電池</t>
    <phoneticPr fontId="3" type="noConversion"/>
  </si>
  <si>
    <t>2015.08.10</t>
    <phoneticPr fontId="3" type="noConversion"/>
  </si>
  <si>
    <t>泰聯維護油資</t>
    <phoneticPr fontId="3" type="noConversion"/>
  </si>
  <si>
    <t>2015.08.14</t>
    <phoneticPr fontId="3" type="noConversion"/>
  </si>
  <si>
    <t>東訊電話總機(未開發票)</t>
    <phoneticPr fontId="3" type="noConversion"/>
  </si>
  <si>
    <t>2015.08.18</t>
    <phoneticPr fontId="3" type="noConversion"/>
  </si>
  <si>
    <t>庭田維護換機計程車資</t>
    <phoneticPr fontId="3" type="noConversion"/>
  </si>
  <si>
    <t>2015.08.23</t>
    <phoneticPr fontId="3" type="noConversion"/>
  </si>
  <si>
    <t>管理費-2015.08</t>
    <phoneticPr fontId="3" type="noConversion"/>
  </si>
  <si>
    <t>2015.08.26</t>
    <phoneticPr fontId="3" type="noConversion"/>
  </si>
  <si>
    <t>PETER-匯豐銀行-永和分行-梅華-024190266388</t>
    <phoneticPr fontId="3" type="noConversion"/>
  </si>
  <si>
    <t>華算104.09-10三聯式發票</t>
    <phoneticPr fontId="3" type="noConversion"/>
  </si>
  <si>
    <t>悠遊卡儲值車資</t>
    <phoneticPr fontId="3" type="noConversion"/>
  </si>
  <si>
    <t>2015.09.01</t>
    <phoneticPr fontId="3" type="noConversion"/>
  </si>
  <si>
    <t>2015.09 北平房租-台銀網銀轉帳(2012.06開始漲兩千)</t>
    <phoneticPr fontId="3" type="noConversion"/>
  </si>
  <si>
    <t>鎔德行善掛號查詢費</t>
    <phoneticPr fontId="3" type="noConversion"/>
  </si>
  <si>
    <t>2015.09.03</t>
    <phoneticPr fontId="3" type="noConversion"/>
  </si>
  <si>
    <t>八亨裝機計程車資</t>
    <phoneticPr fontId="3" type="noConversion"/>
  </si>
  <si>
    <t>2015.09.07</t>
    <phoneticPr fontId="3" type="noConversion"/>
  </si>
  <si>
    <t>104.08 欽</t>
    <phoneticPr fontId="3" type="noConversion"/>
  </si>
  <si>
    <t>104.08 達</t>
    <phoneticPr fontId="3" type="noConversion"/>
  </si>
  <si>
    <t>2015.09.10</t>
    <phoneticPr fontId="3" type="noConversion"/>
  </si>
  <si>
    <t>401.2015.07~08</t>
    <phoneticPr fontId="3" type="noConversion"/>
  </si>
  <si>
    <t>2015.09.17</t>
    <phoneticPr fontId="3" type="noConversion"/>
  </si>
  <si>
    <t>104年度查核102年度補充保費</t>
    <phoneticPr fontId="3" type="noConversion"/>
  </si>
  <si>
    <t>八亨/同皇掛號費</t>
    <phoneticPr fontId="3" type="noConversion"/>
  </si>
  <si>
    <t>2015.09.23</t>
    <phoneticPr fontId="3" type="noConversion"/>
  </si>
  <si>
    <t>饒媽(2016,1-3月)
DV1: 6千x3=1萬8
rayman3t: 報告一下,公司9/28 下周一會放一天中秋
rayman3t: 那沒有要多給饒媽?
DV1: 不然就2萬,2千是中秋</t>
    <phoneticPr fontId="3" type="noConversion"/>
  </si>
  <si>
    <t>2015.09.24</t>
    <phoneticPr fontId="3" type="noConversion"/>
  </si>
  <si>
    <t>2015.09.25</t>
    <phoneticPr fontId="3" type="noConversion"/>
  </si>
  <si>
    <t>水費.104-09</t>
    <phoneticPr fontId="3" type="noConversion"/>
  </si>
  <si>
    <t>2015.10.01</t>
    <phoneticPr fontId="3" type="noConversion"/>
  </si>
  <si>
    <t>管理費-2015.09</t>
    <phoneticPr fontId="3" type="noConversion"/>
  </si>
  <si>
    <t>2015.10.02</t>
    <phoneticPr fontId="3" type="noConversion"/>
  </si>
  <si>
    <t>元超換機計程車資</t>
    <phoneticPr fontId="3" type="noConversion"/>
  </si>
  <si>
    <t>2015.10.05</t>
    <phoneticPr fontId="3" type="noConversion"/>
  </si>
  <si>
    <t>2015.09 card ada代刷-中信</t>
    <phoneticPr fontId="3" type="noConversion"/>
  </si>
  <si>
    <t>2015.09 card ada代刷-玉山</t>
    <phoneticPr fontId="3" type="noConversion"/>
  </si>
  <si>
    <t>2015.10.13</t>
    <phoneticPr fontId="3" type="noConversion"/>
  </si>
  <si>
    <t>車源合約封面影印</t>
    <phoneticPr fontId="3" type="noConversion"/>
  </si>
  <si>
    <t>2015.10.14</t>
    <phoneticPr fontId="3" type="noConversion"/>
  </si>
  <si>
    <t>掛號費-依/鎔車源維護合約</t>
    <phoneticPr fontId="3" type="noConversion"/>
  </si>
  <si>
    <t>國際牌電話交換機檢修費</t>
    <phoneticPr fontId="3" type="noConversion"/>
  </si>
  <si>
    <t>2015.10.20</t>
    <phoneticPr fontId="3" type="noConversion"/>
  </si>
  <si>
    <t>掛號費-房租合約回郵</t>
    <phoneticPr fontId="3" type="noConversion"/>
  </si>
  <si>
    <t>2015.10.21</t>
    <phoneticPr fontId="3" type="noConversion"/>
  </si>
  <si>
    <t>管理費-2015.10</t>
    <phoneticPr fontId="3" type="noConversion"/>
  </si>
  <si>
    <t>2015.10.23</t>
    <phoneticPr fontId="3" type="noConversion"/>
  </si>
  <si>
    <t>黑筆</t>
    <phoneticPr fontId="3" type="noConversion"/>
  </si>
  <si>
    <t>掛號費-鉑德KO維護合約發票回郵</t>
    <phoneticPr fontId="3" type="noConversion"/>
  </si>
  <si>
    <t>掛號郵票</t>
    <phoneticPr fontId="3" type="noConversion"/>
  </si>
  <si>
    <t>2015.10.27</t>
    <phoneticPr fontId="3" type="noConversion"/>
  </si>
  <si>
    <t>掛號費-房租合約</t>
    <phoneticPr fontId="3" type="noConversion"/>
  </si>
  <si>
    <t>華算104.11-12三聯式發票</t>
    <phoneticPr fontId="3" type="noConversion"/>
  </si>
  <si>
    <t>2015.11.02</t>
    <phoneticPr fontId="3" type="noConversion"/>
  </si>
  <si>
    <t>2015.11 北平房租-台銀網銀轉帳(2012.06開始漲兩千)</t>
    <phoneticPr fontId="3" type="noConversion"/>
  </si>
  <si>
    <t>2015.11.05</t>
    <phoneticPr fontId="3" type="noConversion"/>
  </si>
  <si>
    <t>2015.10 card ada代刷-玉山</t>
    <phoneticPr fontId="3" type="noConversion"/>
  </si>
  <si>
    <t>掛號費-松群維護合約發票回郵</t>
    <phoneticPr fontId="3" type="noConversion"/>
  </si>
  <si>
    <t>2015.11.11</t>
    <phoneticPr fontId="3" type="noConversion"/>
  </si>
  <si>
    <t>401.2015.9~10</t>
    <phoneticPr fontId="3" type="noConversion"/>
  </si>
  <si>
    <t>2015.11.19</t>
    <phoneticPr fontId="3" type="noConversion"/>
  </si>
  <si>
    <t>鉑德續約換機計程車資</t>
    <phoneticPr fontId="3" type="noConversion"/>
  </si>
  <si>
    <t>2015.11.20</t>
    <phoneticPr fontId="3" type="noConversion"/>
  </si>
  <si>
    <t>DV1: 那麻煩再給他6千x3 (2016,4-6月)+ 過年1萬2千=3萬</t>
    <phoneticPr fontId="3" type="noConversion"/>
  </si>
  <si>
    <t>順豐品固SJ-HD*2-LAN*2</t>
    <phoneticPr fontId="3" type="noConversion"/>
  </si>
  <si>
    <t>2015.11.22</t>
    <phoneticPr fontId="3" type="noConversion"/>
  </si>
  <si>
    <t>2015.11.24</t>
    <phoneticPr fontId="3" type="noConversion"/>
  </si>
  <si>
    <t>管理費-2015.11</t>
    <phoneticPr fontId="3" type="noConversion"/>
  </si>
  <si>
    <t>2015.11.25</t>
    <phoneticPr fontId="3" type="noConversion"/>
  </si>
  <si>
    <t>水費.104-11</t>
    <phoneticPr fontId="3" type="noConversion"/>
  </si>
  <si>
    <t>2015.11.26</t>
    <phoneticPr fontId="3" type="noConversion"/>
  </si>
  <si>
    <t>2015.12.01</t>
    <phoneticPr fontId="3" type="noConversion"/>
  </si>
  <si>
    <t>2015.12 北平房租-台銀網銀轉帳(2012.06開始漲兩千)</t>
    <phoneticPr fontId="3" type="noConversion"/>
  </si>
  <si>
    <t>2015.12.02</t>
    <phoneticPr fontId="3" type="noConversion"/>
  </si>
  <si>
    <t>2015.12.07</t>
    <phoneticPr fontId="3" type="noConversion"/>
  </si>
  <si>
    <t>2015.11 card ada代刷-玉山</t>
    <phoneticPr fontId="3" type="noConversion"/>
  </si>
  <si>
    <t>2015.11 card ada代刷-中信</t>
    <phoneticPr fontId="3" type="noConversion"/>
  </si>
  <si>
    <t>104.11 欽</t>
    <phoneticPr fontId="3" type="noConversion"/>
  </si>
  <si>
    <t>104.11 達</t>
    <phoneticPr fontId="3" type="noConversion"/>
  </si>
  <si>
    <t>104.11 張</t>
    <phoneticPr fontId="3" type="noConversion"/>
  </si>
  <si>
    <t>2015.12.10</t>
    <phoneticPr fontId="3" type="noConversion"/>
  </si>
  <si>
    <t>祥和裝機計程車資</t>
    <phoneticPr fontId="3" type="noConversion"/>
  </si>
  <si>
    <t>2015.12.14</t>
    <phoneticPr fontId="3" type="noConversion"/>
  </si>
  <si>
    <t>掛號費-品固蘇州合約發票回郵</t>
    <phoneticPr fontId="3" type="noConversion"/>
  </si>
  <si>
    <t>2015.12.15</t>
    <phoneticPr fontId="3" type="noConversion"/>
  </si>
  <si>
    <t>佳尼特裝機計程車資</t>
    <phoneticPr fontId="3" type="noConversion"/>
  </si>
  <si>
    <t>2015.12.16</t>
    <phoneticPr fontId="3" type="noConversion"/>
  </si>
  <si>
    <t>掛號費-威凌發票補大小章回郵</t>
    <phoneticPr fontId="3" type="noConversion"/>
  </si>
  <si>
    <t>限時掛號費-鉑依鎔車源財務業務尾款發票</t>
    <phoneticPr fontId="3" type="noConversion"/>
  </si>
  <si>
    <t>2015.12.18</t>
    <phoneticPr fontId="3" type="noConversion"/>
  </si>
  <si>
    <t>ADA借給公司</t>
    <phoneticPr fontId="3" type="noConversion"/>
  </si>
  <si>
    <t>PETER-台北富邦玉成分行-章挺憲-303168146496</t>
    <phoneticPr fontId="3" type="noConversion"/>
  </si>
  <si>
    <t>2015.12.23</t>
    <phoneticPr fontId="3" type="noConversion"/>
  </si>
  <si>
    <t>阿明匯入</t>
    <phoneticPr fontId="3" type="noConversion"/>
  </si>
  <si>
    <t>2015.12.24</t>
    <phoneticPr fontId="3" type="noConversion"/>
  </si>
  <si>
    <t>管理費-2015.12</t>
    <phoneticPr fontId="3" type="noConversion"/>
  </si>
  <si>
    <t>2016.01.04</t>
    <phoneticPr fontId="3" type="noConversion"/>
  </si>
  <si>
    <t>2016.01 北平房租-台銀網銀轉帳(2012.06開始漲兩千)</t>
    <phoneticPr fontId="3" type="noConversion"/>
  </si>
  <si>
    <t>104.12 欽</t>
    <phoneticPr fontId="3" type="noConversion"/>
  </si>
  <si>
    <t>104.12 達</t>
    <phoneticPr fontId="3" type="noConversion"/>
  </si>
  <si>
    <t>104.12 張</t>
    <phoneticPr fontId="3" type="noConversion"/>
  </si>
  <si>
    <t>ADA借給公司-還</t>
    <phoneticPr fontId="3" type="noConversion"/>
  </si>
  <si>
    <t>2015.12 card ada代刷-富邦</t>
    <phoneticPr fontId="3" type="noConversion"/>
  </si>
  <si>
    <t>2015.12 card ada代刷-中信</t>
    <phoneticPr fontId="3" type="noConversion"/>
  </si>
  <si>
    <t>華算105.01-02三聯式發票</t>
    <phoneticPr fontId="3" type="noConversion"/>
  </si>
  <si>
    <t>2016.01.11</t>
    <phoneticPr fontId="3" type="noConversion"/>
  </si>
  <si>
    <t>2015.12 card ada代刷-玉山</t>
    <phoneticPr fontId="3" type="noConversion"/>
  </si>
  <si>
    <t>401.2015.11~12</t>
    <phoneticPr fontId="3" type="noConversion"/>
  </si>
  <si>
    <t>2016.01.14</t>
    <phoneticPr fontId="3" type="noConversion"/>
  </si>
  <si>
    <t>2016.01.25</t>
    <phoneticPr fontId="3" type="noConversion"/>
  </si>
  <si>
    <t>包裹-電源維修</t>
    <phoneticPr fontId="3" type="noConversion"/>
  </si>
  <si>
    <t>電池9V---電話遙控電源用</t>
    <phoneticPr fontId="3" type="noConversion"/>
  </si>
  <si>
    <t>2016.01.27</t>
    <phoneticPr fontId="3" type="noConversion"/>
  </si>
  <si>
    <t>2016.01.28</t>
    <phoneticPr fontId="3" type="noConversion"/>
  </si>
  <si>
    <t>管理費-2016.01</t>
    <phoneticPr fontId="3" type="noConversion"/>
  </si>
  <si>
    <t>掛號費-漢聯廈門INVOICE</t>
    <phoneticPr fontId="3" type="noConversion"/>
  </si>
  <si>
    <t>2016.01.29</t>
    <phoneticPr fontId="3" type="noConversion"/>
  </si>
  <si>
    <t>現金相符</t>
    <phoneticPr fontId="3" type="noConversion"/>
  </si>
  <si>
    <t>2016.02.02</t>
    <phoneticPr fontId="3" type="noConversion"/>
  </si>
  <si>
    <t>電話遙控器TEL-1202A</t>
    <phoneticPr fontId="3" type="noConversion"/>
  </si>
  <si>
    <t>廣華電子轉帳費</t>
    <phoneticPr fontId="3" type="noConversion"/>
  </si>
  <si>
    <t>2016.02.05</t>
    <phoneticPr fontId="3" type="noConversion"/>
  </si>
  <si>
    <t>105.01 欽</t>
    <phoneticPr fontId="3" type="noConversion"/>
  </si>
  <si>
    <t>105.01 達</t>
    <phoneticPr fontId="3" type="noConversion"/>
  </si>
  <si>
    <t>105.01 張</t>
    <phoneticPr fontId="3" type="noConversion"/>
  </si>
  <si>
    <t>2016.01 card ada代刷-中信</t>
    <phoneticPr fontId="3" type="noConversion"/>
  </si>
  <si>
    <t>2016.02.22</t>
    <phoneticPr fontId="3" type="noConversion"/>
  </si>
  <si>
    <t>請問上周提到饒媽要$, 只有講說掛號費貴, 要你給她些$
DV1: 那請給他7-9月生活費18000</t>
    <phoneticPr fontId="3" type="noConversion"/>
  </si>
  <si>
    <t>2016.02.23</t>
    <phoneticPr fontId="3" type="noConversion"/>
  </si>
  <si>
    <t>華算105.03-04三聯式發票</t>
    <phoneticPr fontId="3" type="noConversion"/>
  </si>
  <si>
    <t>管理費-2016.02</t>
    <phoneticPr fontId="3" type="noConversion"/>
  </si>
  <si>
    <t>2016.02.24</t>
    <phoneticPr fontId="3" type="noConversion"/>
  </si>
  <si>
    <t>掛號費-限掛-依德/鎔德/鉑德/安力-發票</t>
    <phoneticPr fontId="3" type="noConversion"/>
  </si>
  <si>
    <t>掛號回郵信封*20</t>
    <phoneticPr fontId="3" type="noConversion"/>
  </si>
  <si>
    <t>2016.03.01</t>
    <phoneticPr fontId="3" type="noConversion"/>
  </si>
  <si>
    <t>2016.03 北平房租-台銀網銀轉帳(2012.06開始漲兩千)</t>
    <phoneticPr fontId="3" type="noConversion"/>
  </si>
  <si>
    <t>2016.03.07</t>
    <phoneticPr fontId="3" type="noConversion"/>
  </si>
  <si>
    <t>105.02 欽</t>
    <phoneticPr fontId="3" type="noConversion"/>
  </si>
  <si>
    <t>105.02 達</t>
    <phoneticPr fontId="3" type="noConversion"/>
  </si>
  <si>
    <t>2016.03.08</t>
    <phoneticPr fontId="3" type="noConversion"/>
  </si>
  <si>
    <t>2016.02 card ada代刷-玉山</t>
    <phoneticPr fontId="3" type="noConversion"/>
  </si>
  <si>
    <t>2016.02 card ada代刷-中信</t>
    <phoneticPr fontId="3" type="noConversion"/>
  </si>
  <si>
    <t>2016.03.11</t>
    <phoneticPr fontId="3" type="noConversion"/>
  </si>
  <si>
    <t>401.2016.01~02</t>
    <phoneticPr fontId="3" type="noConversion"/>
  </si>
  <si>
    <t>永馳裝機計程車資</t>
    <phoneticPr fontId="3" type="noConversion"/>
  </si>
  <si>
    <t>2016.03.14</t>
    <phoneticPr fontId="3" type="noConversion"/>
  </si>
  <si>
    <t>環保袋/清潔劑</t>
    <phoneticPr fontId="3" type="noConversion"/>
  </si>
  <si>
    <t>2016.03.16</t>
    <phoneticPr fontId="3" type="noConversion"/>
  </si>
  <si>
    <t>西拓裝機計程車資</t>
    <phoneticPr fontId="3" type="noConversion"/>
  </si>
  <si>
    <t>2016.03.23</t>
    <phoneticPr fontId="3" type="noConversion"/>
  </si>
  <si>
    <t>2016.04.01</t>
    <phoneticPr fontId="3" type="noConversion"/>
  </si>
  <si>
    <t>2016.04 北平房租-台銀網銀轉帳(2012.06開始漲兩千)</t>
    <phoneticPr fontId="3" type="noConversion"/>
  </si>
  <si>
    <t>105.03 欽</t>
    <phoneticPr fontId="3" type="noConversion"/>
  </si>
  <si>
    <t>105.03 達</t>
    <phoneticPr fontId="3" type="noConversion"/>
  </si>
  <si>
    <t>105.03 張</t>
    <phoneticPr fontId="3" type="noConversion"/>
  </si>
  <si>
    <t>2016.04.06</t>
    <phoneticPr fontId="3" type="noConversion"/>
  </si>
  <si>
    <t>2016.03 card ada代刷-玉山</t>
    <phoneticPr fontId="3" type="noConversion"/>
  </si>
  <si>
    <t>水費.105-03</t>
    <phoneticPr fontId="3" type="noConversion"/>
  </si>
  <si>
    <t>2016.04.07</t>
    <phoneticPr fontId="3" type="noConversion"/>
  </si>
  <si>
    <t>105.03 張---展鑫一次匯入8張票金額, 多給獎金一千</t>
    <phoneticPr fontId="3" type="noConversion"/>
  </si>
  <si>
    <t>2016.04.08</t>
    <phoneticPr fontId="3" type="noConversion"/>
  </si>
  <si>
    <t>rayman3t: 說你4/3有打給她, 講4/7要匯$給她
DV1: 嗯,我是請問上次給是給幾月的生活費
DV1: 請匯給他18000 算3個月生活費
10-12</t>
    <phoneticPr fontId="3" type="noConversion"/>
  </si>
  <si>
    <t>2016.04.13</t>
    <phoneticPr fontId="3" type="noConversion"/>
  </si>
  <si>
    <t>展鑫裝機計程車資</t>
    <phoneticPr fontId="3" type="noConversion"/>
  </si>
  <si>
    <t>2016.04.22</t>
    <phoneticPr fontId="3" type="noConversion"/>
  </si>
  <si>
    <t>永馳維護換機車資</t>
    <phoneticPr fontId="3" type="noConversion"/>
  </si>
  <si>
    <t>2016.04.25</t>
    <phoneticPr fontId="3" type="noConversion"/>
  </si>
  <si>
    <t>華算105.05-06三聯式發票</t>
    <phoneticPr fontId="3" type="noConversion"/>
  </si>
  <si>
    <t>2016.04.27</t>
    <phoneticPr fontId="3" type="noConversion"/>
  </si>
  <si>
    <t>管理費-2016.04</t>
    <phoneticPr fontId="3" type="noConversion"/>
  </si>
  <si>
    <t>2016.05.03</t>
    <phoneticPr fontId="3" type="noConversion"/>
  </si>
  <si>
    <t>2016.05 北平房租-台銀網銀轉帳(2012.06開始漲兩千)</t>
    <phoneticPr fontId="3" type="noConversion"/>
  </si>
  <si>
    <t>401.2016.03~04</t>
    <phoneticPr fontId="3" type="noConversion"/>
  </si>
  <si>
    <t>2015.05.03</t>
    <phoneticPr fontId="3" type="noConversion"/>
  </si>
  <si>
    <t>KO合約封面影印</t>
    <phoneticPr fontId="3" type="noConversion"/>
  </si>
  <si>
    <t>合約封面紙,文具</t>
    <phoneticPr fontId="3" type="noConversion"/>
  </si>
  <si>
    <t>2015.05.05轉WORK</t>
    <phoneticPr fontId="3" type="noConversion"/>
  </si>
  <si>
    <t>2016.05.05</t>
    <phoneticPr fontId="3" type="noConversion"/>
  </si>
  <si>
    <t>2016.04 card ada代刷-中信$4224,玉山$12064</t>
    <phoneticPr fontId="3" type="noConversion"/>
  </si>
  <si>
    <t>105.04 欽</t>
    <phoneticPr fontId="3" type="noConversion"/>
  </si>
  <si>
    <t>105.04 達</t>
    <phoneticPr fontId="3" type="noConversion"/>
  </si>
  <si>
    <t>105.04 張</t>
    <phoneticPr fontId="3" type="noConversion"/>
  </si>
  <si>
    <t>2016.05.06</t>
    <phoneticPr fontId="3" type="noConversion"/>
  </si>
  <si>
    <t>掛號漢聯合約*2回郵*1</t>
    <phoneticPr fontId="3" type="noConversion"/>
  </si>
  <si>
    <t>2016.05.16</t>
    <phoneticPr fontId="3" type="noConversion"/>
  </si>
  <si>
    <t>大成維護車資</t>
    <phoneticPr fontId="3" type="noConversion"/>
  </si>
  <si>
    <t>2016.05.20</t>
    <phoneticPr fontId="3" type="noConversion"/>
  </si>
  <si>
    <t>陽信銀行大屯分行 006020060615 蘇政仁-PT 25萬</t>
    <phoneticPr fontId="3" type="noConversion"/>
  </si>
  <si>
    <t>2016.05.18</t>
    <phoneticPr fontId="3" type="noConversion"/>
  </si>
  <si>
    <t>威倫續約換機車資</t>
    <phoneticPr fontId="3" type="noConversion"/>
  </si>
  <si>
    <t>2016.05.19</t>
    <phoneticPr fontId="3" type="noConversion"/>
  </si>
  <si>
    <t>威倫續約換機車資-取回舊機</t>
    <phoneticPr fontId="3" type="noConversion"/>
  </si>
  <si>
    <t>管理費-2016.05</t>
    <phoneticPr fontId="3" type="noConversion"/>
  </si>
  <si>
    <t>2016.05.26</t>
    <phoneticPr fontId="3" type="noConversion"/>
  </si>
  <si>
    <t>名片-PT,ksoffice ; kkman1234,華彩</t>
    <phoneticPr fontId="3" type="noConversion"/>
  </si>
  <si>
    <t>2016.06.04</t>
    <phoneticPr fontId="3" type="noConversion"/>
  </si>
  <si>
    <t>水費.105-05</t>
    <phoneticPr fontId="3" type="noConversion"/>
  </si>
  <si>
    <t>2016.06.01</t>
    <phoneticPr fontId="3" type="noConversion"/>
  </si>
  <si>
    <t>2016.06 北平房租-台銀網銀轉帳(2012.06開始漲兩千)</t>
    <phoneticPr fontId="3" type="noConversion"/>
  </si>
  <si>
    <t>2016.06.02</t>
    <phoneticPr fontId="3" type="noConversion"/>
  </si>
  <si>
    <t>品固續約換機車資</t>
    <phoneticPr fontId="3" type="noConversion"/>
  </si>
  <si>
    <t>2016.06.06</t>
    <phoneticPr fontId="3" type="noConversion"/>
  </si>
  <si>
    <t>105.05 欽</t>
    <phoneticPr fontId="3" type="noConversion"/>
  </si>
  <si>
    <t>105.05 達</t>
    <phoneticPr fontId="3" type="noConversion"/>
  </si>
  <si>
    <t>105.05 張</t>
    <phoneticPr fontId="3" type="noConversion"/>
  </si>
  <si>
    <t>2016.05 card ada代刷-玉山</t>
    <phoneticPr fontId="3" type="noConversion"/>
  </si>
  <si>
    <t>2016.05 card ada代刷-中信</t>
    <phoneticPr fontId="3" type="noConversion"/>
  </si>
  <si>
    <t>2016.06.21</t>
    <phoneticPr fontId="3" type="noConversion"/>
  </si>
  <si>
    <t>DV1: 啊,已經給到年底了哦
DV1: 不然請給12000,祝他中秋節快樂
DV1 正在輸入...
DV1: 請再加3000,一共15000,算上次去機場的車費</t>
    <phoneticPr fontId="3" type="noConversion"/>
  </si>
  <si>
    <t>2016.06.22</t>
    <phoneticPr fontId="3" type="noConversion"/>
  </si>
  <si>
    <t>品固續約換機車資-取回舊機, 泰聯維護</t>
    <phoneticPr fontId="3" type="noConversion"/>
  </si>
  <si>
    <t>2016.06.27</t>
    <phoneticPr fontId="3" type="noConversion"/>
  </si>
  <si>
    <t>管理費-2016.06</t>
    <phoneticPr fontId="3" type="noConversion"/>
  </si>
  <si>
    <t>2016.06.29</t>
    <phoneticPr fontId="3" type="noConversion"/>
  </si>
  <si>
    <t>喜可續約換機車資</t>
    <phoneticPr fontId="3" type="noConversion"/>
  </si>
  <si>
    <t>2016.06.30</t>
    <phoneticPr fontId="3" type="noConversion"/>
  </si>
  <si>
    <t>漢聯續約換機車資</t>
    <phoneticPr fontId="3" type="noConversion"/>
  </si>
  <si>
    <t>2016.07.01</t>
    <phoneticPr fontId="3" type="noConversion"/>
  </si>
  <si>
    <t>2016.07 北平房租-台銀網銀轉帳(2012.06開始漲兩千)</t>
    <phoneticPr fontId="3" type="noConversion"/>
  </si>
  <si>
    <t>2016.07.05</t>
    <phoneticPr fontId="3" type="noConversion"/>
  </si>
  <si>
    <t>105.06 欽</t>
    <phoneticPr fontId="3" type="noConversion"/>
  </si>
  <si>
    <t>105.06 達</t>
    <phoneticPr fontId="3" type="noConversion"/>
  </si>
  <si>
    <t>105.06 張</t>
    <phoneticPr fontId="3" type="noConversion"/>
  </si>
  <si>
    <t>2016.07.06</t>
    <phoneticPr fontId="3" type="noConversion"/>
  </si>
  <si>
    <t>合碩續約換機車資</t>
    <phoneticPr fontId="3" type="noConversion"/>
  </si>
  <si>
    <t>2016.07.13</t>
    <phoneticPr fontId="3" type="noConversion"/>
  </si>
  <si>
    <t>西拓悠遊卡儲值</t>
    <phoneticPr fontId="3" type="noConversion"/>
  </si>
  <si>
    <t>順發風扇轉接線</t>
    <phoneticPr fontId="3" type="noConversion"/>
  </si>
  <si>
    <t>源達束線-黑</t>
    <phoneticPr fontId="3" type="noConversion"/>
  </si>
  <si>
    <t>2016.06 card ada代刷-玉山</t>
    <phoneticPr fontId="3" type="noConversion"/>
  </si>
  <si>
    <t>401.2016.05~06</t>
    <phoneticPr fontId="3" type="noConversion"/>
  </si>
  <si>
    <t>2016.07.29</t>
    <phoneticPr fontId="3" type="noConversion"/>
  </si>
  <si>
    <t>水費.105-07</t>
    <phoneticPr fontId="3" type="noConversion"/>
  </si>
  <si>
    <t>管理費-2016.07</t>
    <phoneticPr fontId="3" type="noConversion"/>
  </si>
  <si>
    <t>2016.08.01</t>
    <phoneticPr fontId="3" type="noConversion"/>
  </si>
  <si>
    <t>2016.08 北平房租-台銀網銀轉帳(2012.06開始漲兩千)</t>
    <phoneticPr fontId="3" type="noConversion"/>
  </si>
  <si>
    <t>2016.05 健保費銀行不足扣款,改自己臨櫃繳</t>
    <phoneticPr fontId="3" type="noConversion"/>
  </si>
  <si>
    <t>2016.08.02</t>
    <phoneticPr fontId="3" type="noConversion"/>
  </si>
  <si>
    <t>掛號泰聯-永昌合約*2發票回郵*1,25郵票,10郵票,依/鎔/鉑/安力/友士掛號</t>
    <phoneticPr fontId="3" type="noConversion"/>
  </si>
  <si>
    <t>2016.08.05</t>
    <phoneticPr fontId="3" type="noConversion"/>
  </si>
  <si>
    <t>105.07 欽</t>
    <phoneticPr fontId="3" type="noConversion"/>
  </si>
  <si>
    <t>105.07 達-台銀城中-華算</t>
    <phoneticPr fontId="3" type="noConversion"/>
  </si>
  <si>
    <t>105.07 達-台銀信義-華算</t>
    <phoneticPr fontId="3" type="noConversion"/>
  </si>
  <si>
    <t>105.07 張</t>
    <phoneticPr fontId="3" type="noConversion"/>
  </si>
  <si>
    <t>2016.07 card ada代刷-中信</t>
    <phoneticPr fontId="3" type="noConversion"/>
  </si>
  <si>
    <t>掛號鉑德車源維護合約*2發票大回郵信封*1寄鎔德葉</t>
    <phoneticPr fontId="3" type="noConversion"/>
  </si>
  <si>
    <t>2016.08.08</t>
    <phoneticPr fontId="3" type="noConversion"/>
  </si>
  <si>
    <t>2016.07 card ada代刷-玉山</t>
    <phoneticPr fontId="3" type="noConversion"/>
  </si>
  <si>
    <t>掛號大同稽徵所-邱承志-饒韻-饒樂-學生証-繳費証明-更正申請書</t>
    <phoneticPr fontId="3" type="noConversion"/>
  </si>
  <si>
    <t>2016.08.23</t>
    <phoneticPr fontId="3" type="noConversion"/>
  </si>
  <si>
    <t>2016.08.24</t>
    <phoneticPr fontId="3" type="noConversion"/>
  </si>
  <si>
    <t>華算105.09-10三聯式發票,車資</t>
    <phoneticPr fontId="3" type="noConversion"/>
  </si>
  <si>
    <t>2016.08.29</t>
    <phoneticPr fontId="3" type="noConversion"/>
  </si>
  <si>
    <t>管理費-2016.08</t>
    <phoneticPr fontId="3" type="noConversion"/>
  </si>
  <si>
    <t>2016.08.31</t>
    <phoneticPr fontId="3" type="noConversion"/>
  </si>
  <si>
    <t>2016.09.01</t>
    <phoneticPr fontId="3" type="noConversion"/>
  </si>
  <si>
    <t>邁拓續約換機車資</t>
    <phoneticPr fontId="3" type="noConversion"/>
  </si>
  <si>
    <t>2016.09.02</t>
    <phoneticPr fontId="3" type="noConversion"/>
  </si>
  <si>
    <t>2016.09 北平房租-台銀網銀轉帳(2012.06開始漲兩千)</t>
    <phoneticPr fontId="3" type="noConversion"/>
  </si>
  <si>
    <t>麻煩轉給饒媽補薪水3000元 x 4(9月-12月) = 12000元</t>
    <phoneticPr fontId="3" type="noConversion"/>
  </si>
  <si>
    <t>2016.09.05</t>
    <phoneticPr fontId="3" type="noConversion"/>
  </si>
  <si>
    <t>105.08 欽</t>
    <phoneticPr fontId="3" type="noConversion"/>
  </si>
  <si>
    <t>105.08 達</t>
    <phoneticPr fontId="3" type="noConversion"/>
  </si>
  <si>
    <t>105.08 張</t>
    <phoneticPr fontId="3" type="noConversion"/>
  </si>
  <si>
    <t>2016.09.07</t>
    <phoneticPr fontId="3" type="noConversion"/>
  </si>
  <si>
    <t>401.2016.07~08</t>
    <phoneticPr fontId="3" type="noConversion"/>
  </si>
  <si>
    <t>2016.09.19</t>
    <phoneticPr fontId="3" type="noConversion"/>
  </si>
  <si>
    <t>PETER 今天打給我, 說明天下午要去找我拿鉑德車源軟體的維護費, 那我要給他多少$
未稅是72000 PT,我各34000
那是要給PT NT$34000?
是的</t>
    <phoneticPr fontId="3" type="noConversion"/>
  </si>
  <si>
    <t>2016.09.23</t>
    <phoneticPr fontId="3" type="noConversion"/>
  </si>
  <si>
    <t>管理費-2016.09</t>
    <phoneticPr fontId="3" type="noConversion"/>
  </si>
  <si>
    <t>2016.09.26</t>
    <phoneticPr fontId="3" type="noConversion"/>
  </si>
  <si>
    <t>水費.105-09</t>
    <phoneticPr fontId="3" type="noConversion"/>
  </si>
  <si>
    <t>2016.10.05</t>
    <phoneticPr fontId="3" type="noConversion"/>
  </si>
  <si>
    <t>105.09 欽</t>
    <phoneticPr fontId="3" type="noConversion"/>
  </si>
  <si>
    <t>105.09 達</t>
    <phoneticPr fontId="3" type="noConversion"/>
  </si>
  <si>
    <t>105.09 張</t>
    <phoneticPr fontId="3" type="noConversion"/>
  </si>
  <si>
    <t>2016.09 card ada代刷-中信</t>
    <phoneticPr fontId="3" type="noConversion"/>
  </si>
  <si>
    <t>2016.10.11</t>
    <phoneticPr fontId="3" type="noConversion"/>
  </si>
  <si>
    <t>殺蟲劑</t>
    <phoneticPr fontId="3" type="noConversion"/>
  </si>
  <si>
    <t>2016.10.17</t>
    <phoneticPr fontId="3" type="noConversion"/>
  </si>
  <si>
    <t>國稅局換新購票証車資</t>
    <phoneticPr fontId="3" type="noConversion"/>
  </si>
  <si>
    <t>2016.10.26</t>
    <phoneticPr fontId="3" type="noConversion"/>
  </si>
  <si>
    <t>華算105.11-12三聯式發票及車資</t>
    <phoneticPr fontId="3" type="noConversion"/>
  </si>
  <si>
    <t>管理費-2016.10</t>
    <phoneticPr fontId="3" type="noConversion"/>
  </si>
  <si>
    <t>2016.10.27</t>
    <phoneticPr fontId="3" type="noConversion"/>
  </si>
  <si>
    <t>限掛依德車源/KO合約發票*2大回郵信封*1寄依德育碩,限掛鎔德車源/KO合約*2發票*3大回郵信封*1寄鎔德葉</t>
    <phoneticPr fontId="3" type="noConversion"/>
  </si>
  <si>
    <t>2016.11.01</t>
    <phoneticPr fontId="3" type="noConversion"/>
  </si>
  <si>
    <t>2016.11 北平房租-台銀網銀轉帳(2012.06開始漲兩千)</t>
    <phoneticPr fontId="3" type="noConversion"/>
  </si>
  <si>
    <t>2016.11.07</t>
    <phoneticPr fontId="3" type="noConversion"/>
  </si>
  <si>
    <t>105.10 欽</t>
    <phoneticPr fontId="3" type="noConversion"/>
  </si>
  <si>
    <t>105.10 達</t>
    <phoneticPr fontId="3" type="noConversion"/>
  </si>
  <si>
    <t>2016.11.08</t>
    <phoneticPr fontId="3" type="noConversion"/>
  </si>
  <si>
    <t>401.2016.09~10</t>
    <phoneticPr fontId="3" type="noConversion"/>
  </si>
  <si>
    <t>2016.11.16</t>
    <phoneticPr fontId="3" type="noConversion"/>
  </si>
  <si>
    <t>限掛 依/鎔/鎔行善 改合約</t>
    <phoneticPr fontId="3" type="noConversion"/>
  </si>
  <si>
    <t>2016.11.17</t>
    <phoneticPr fontId="3" type="noConversion"/>
  </si>
  <si>
    <t>汎輝悠遊卡儲值</t>
    <phoneticPr fontId="3" type="noConversion"/>
  </si>
  <si>
    <t>2016.11.22</t>
    <phoneticPr fontId="3" type="noConversion"/>
  </si>
  <si>
    <t>掛號改限掛 依/鎔/鎔行善 再改合約</t>
    <phoneticPr fontId="3" type="noConversion"/>
  </si>
  <si>
    <t>2016.11.24</t>
    <phoneticPr fontId="3" type="noConversion"/>
  </si>
  <si>
    <t>城乙續約換機車資</t>
    <phoneticPr fontId="3" type="noConversion"/>
  </si>
  <si>
    <t>2016.10.28</t>
    <phoneticPr fontId="3" type="noConversion"/>
  </si>
  <si>
    <t>華算105.11-12二聯式發票</t>
    <phoneticPr fontId="3" type="noConversion"/>
  </si>
  <si>
    <t>2016.11.29</t>
    <phoneticPr fontId="3" type="noConversion"/>
  </si>
  <si>
    <t>管理費-2016.11</t>
    <phoneticPr fontId="3" type="noConversion"/>
  </si>
  <si>
    <t xml:space="preserve">限掛 鉑德/安力發票 </t>
    <phoneticPr fontId="3" type="noConversion"/>
  </si>
  <si>
    <t>2016.12.01</t>
    <phoneticPr fontId="3" type="noConversion"/>
  </si>
  <si>
    <t>水費.105-11</t>
    <phoneticPr fontId="3" type="noConversion"/>
  </si>
  <si>
    <t>我要出2萬買家電的錢,請幫我轉饒媽帳戶,</t>
    <phoneticPr fontId="3" type="noConversion"/>
  </si>
  <si>
    <t>2016.12.02</t>
    <phoneticPr fontId="3" type="noConversion"/>
  </si>
  <si>
    <t>2016.12.05</t>
    <phoneticPr fontId="3" type="noConversion"/>
  </si>
  <si>
    <t>2016.12 北平房租-台銀網銀轉帳(2012.06開始漲兩千)</t>
    <phoneticPr fontId="3" type="noConversion"/>
  </si>
  <si>
    <t>105.11 欽</t>
    <phoneticPr fontId="3" type="noConversion"/>
  </si>
  <si>
    <t>105.11 達</t>
    <phoneticPr fontId="3" type="noConversion"/>
  </si>
  <si>
    <t>105.11 張</t>
    <phoneticPr fontId="3" type="noConversion"/>
  </si>
  <si>
    <t>2016.12.06</t>
    <phoneticPr fontId="3" type="noConversion"/>
  </si>
  <si>
    <t>2016.11 card ada代刷-玉山</t>
    <phoneticPr fontId="3" type="noConversion"/>
  </si>
  <si>
    <t>掛號 永馳/同皇/八亨 發票</t>
    <phoneticPr fontId="3" type="noConversion"/>
  </si>
  <si>
    <t>2016.12.07</t>
    <phoneticPr fontId="3" type="noConversion"/>
  </si>
  <si>
    <t>合約紙/膠帶</t>
    <phoneticPr fontId="3" type="noConversion"/>
  </si>
  <si>
    <t>信封</t>
    <phoneticPr fontId="3" type="noConversion"/>
  </si>
  <si>
    <t>2016.12.12</t>
    <phoneticPr fontId="3" type="noConversion"/>
  </si>
  <si>
    <t>2016.12.13</t>
    <phoneticPr fontId="3" type="noConversion"/>
  </si>
  <si>
    <t>PT富邦 012 玉成分行, 303168146496 NT$40萬
所以是不含恩豪, 要匯NT$40萬嗎
david 
是
1.) 依德軟体系統維護費(105-106年) 50,000 
2.) 鎔德軟体系統維護費(105-106年) 50,000 
3.) 依德KO佣金 30,000 
4.) 鎔德KO佣金 30,000 
5.) 鎔德行善KO佣金 24,000 
6.) 恩豪KO佣金(第一年) 11,000 
195,000 
7) 健保補充費1364000 @2%(103-105年) -27,280 
167,720</t>
    <phoneticPr fontId="3" type="noConversion"/>
  </si>
  <si>
    <t>2016.12.31</t>
    <phoneticPr fontId="3" type="noConversion"/>
  </si>
  <si>
    <t>管理費-2016.12</t>
    <phoneticPr fontId="3" type="noConversion"/>
  </si>
  <si>
    <t>華算106.1-2三聯式發票及車資</t>
    <phoneticPr fontId="3" type="noConversion"/>
  </si>
  <si>
    <t>2017.01.02</t>
    <phoneticPr fontId="3" type="noConversion"/>
  </si>
  <si>
    <t>2017.01 北平房租-台銀網銀轉帳(2012.06開始漲兩千)</t>
    <phoneticPr fontId="3" type="noConversion"/>
  </si>
  <si>
    <t>2017.01.04</t>
    <phoneticPr fontId="3" type="noConversion"/>
  </si>
  <si>
    <t>協億通續約換機車資</t>
    <phoneticPr fontId="3" type="noConversion"/>
  </si>
  <si>
    <t>2017.01.05</t>
    <phoneticPr fontId="3" type="noConversion"/>
  </si>
  <si>
    <t>掛號 恩豪 合約/發票</t>
    <phoneticPr fontId="3" type="noConversion"/>
  </si>
  <si>
    <t>105.12 欽</t>
    <phoneticPr fontId="3" type="noConversion"/>
  </si>
  <si>
    <t>105.12 達</t>
    <phoneticPr fontId="3" type="noConversion"/>
  </si>
  <si>
    <t>2017.01.09</t>
    <phoneticPr fontId="3" type="noConversion"/>
  </si>
  <si>
    <t>2017.02.06</t>
    <phoneticPr fontId="3" type="noConversion"/>
  </si>
  <si>
    <t>105.12 達-二月才領</t>
    <phoneticPr fontId="3" type="noConversion"/>
  </si>
  <si>
    <t>105.12 張</t>
    <phoneticPr fontId="3" type="noConversion"/>
  </si>
  <si>
    <t>2016.12 card ada代刷-中信</t>
    <phoneticPr fontId="3" type="noConversion"/>
  </si>
  <si>
    <t>2016.12 card ada代刷-玉山</t>
    <phoneticPr fontId="3" type="noConversion"/>
  </si>
  <si>
    <t>2017.01.25</t>
    <phoneticPr fontId="3" type="noConversion"/>
  </si>
  <si>
    <t>dv-ma</t>
    <phoneticPr fontId="3" type="noConversion"/>
  </si>
  <si>
    <t>106.01 欽</t>
    <phoneticPr fontId="3" type="noConversion"/>
  </si>
  <si>
    <t>2017.01.26</t>
    <phoneticPr fontId="3" type="noConversion"/>
  </si>
  <si>
    <t>2017.02.02</t>
    <phoneticPr fontId="3" type="noConversion"/>
  </si>
  <si>
    <t>水費.106-01</t>
    <phoneticPr fontId="3" type="noConversion"/>
  </si>
  <si>
    <t>管理費-2017.01</t>
    <phoneticPr fontId="3" type="noConversion"/>
  </si>
  <si>
    <t>郵票 $25 * 20</t>
    <phoneticPr fontId="3" type="noConversion"/>
  </si>
  <si>
    <t>2017.01 card ada代刷-中信</t>
    <phoneticPr fontId="3" type="noConversion"/>
  </si>
  <si>
    <t>2017.01 card ada代刷-玉山</t>
    <phoneticPr fontId="3" type="noConversion"/>
  </si>
  <si>
    <t>2017.02.07</t>
    <phoneticPr fontId="3" type="noConversion"/>
  </si>
  <si>
    <t>106.01 達</t>
    <phoneticPr fontId="3" type="noConversion"/>
  </si>
  <si>
    <t>信封,A4紙</t>
    <phoneticPr fontId="3" type="noConversion"/>
  </si>
  <si>
    <t>2017.02.08</t>
    <phoneticPr fontId="3" type="noConversion"/>
  </si>
  <si>
    <t>樺仔電腦INTEL-PCI-E網卡 $740 *2</t>
    <phoneticPr fontId="3" type="noConversion"/>
  </si>
  <si>
    <t>掛號 安力 合約/發票</t>
    <phoneticPr fontId="3" type="noConversion"/>
  </si>
  <si>
    <t>順豐 品固東莞第三張網卡 INTEL</t>
    <phoneticPr fontId="3" type="noConversion"/>
  </si>
  <si>
    <t>2017.02.14</t>
    <phoneticPr fontId="3" type="noConversion"/>
  </si>
  <si>
    <t>限掛 協億通補發票, 5元郵票*10</t>
    <phoneticPr fontId="3" type="noConversion"/>
  </si>
  <si>
    <t>2017.02.21</t>
    <phoneticPr fontId="3" type="noConversion"/>
  </si>
  <si>
    <t>華算106.3-4三聯式發票及車資</t>
    <phoneticPr fontId="3" type="noConversion"/>
  </si>
  <si>
    <t>安力續約換機車資</t>
    <phoneticPr fontId="3" type="noConversion"/>
  </si>
  <si>
    <t>2017.02.28</t>
    <phoneticPr fontId="3" type="noConversion"/>
  </si>
  <si>
    <t>2017.03.01</t>
    <phoneticPr fontId="3" type="noConversion"/>
  </si>
  <si>
    <t>電源維修包裹</t>
    <phoneticPr fontId="3" type="noConversion"/>
  </si>
  <si>
    <t>2017.03.02</t>
    <phoneticPr fontId="3" type="noConversion"/>
  </si>
  <si>
    <t>鎔德舊宗續約換機車資</t>
    <phoneticPr fontId="3" type="noConversion"/>
  </si>
  <si>
    <t>2017.03.09</t>
    <phoneticPr fontId="3" type="noConversion"/>
  </si>
  <si>
    <t>依德續約換機車資</t>
    <phoneticPr fontId="3" type="noConversion"/>
  </si>
  <si>
    <t>限掛 達翌 發票</t>
    <phoneticPr fontId="3" type="noConversion"/>
  </si>
  <si>
    <t>2017.02 card ada代刷-玉山</t>
    <phoneticPr fontId="3" type="noConversion"/>
  </si>
  <si>
    <t>2017.03.13</t>
    <phoneticPr fontId="3" type="noConversion"/>
  </si>
  <si>
    <t>401.2017.01~02</t>
    <phoneticPr fontId="3" type="noConversion"/>
  </si>
  <si>
    <t>2017.03.15</t>
    <phoneticPr fontId="3" type="noConversion"/>
  </si>
  <si>
    <t>2017.03.21</t>
    <phoneticPr fontId="3" type="noConversion"/>
  </si>
  <si>
    <t>麻煩給他3萬…安力
11000不用…恩豪第一年</t>
    <phoneticPr fontId="3" type="noConversion"/>
  </si>
  <si>
    <t>源達起子</t>
    <phoneticPr fontId="3" type="noConversion"/>
  </si>
  <si>
    <t>管理費-2017.03</t>
    <phoneticPr fontId="3" type="noConversion"/>
  </si>
  <si>
    <t>2017.03.23</t>
    <phoneticPr fontId="3" type="noConversion"/>
  </si>
  <si>
    <t>限掛 元超 合約,發票,回郵</t>
    <phoneticPr fontId="3" type="noConversion"/>
  </si>
  <si>
    <t>2017.03.29</t>
    <phoneticPr fontId="3" type="noConversion"/>
  </si>
  <si>
    <t>台一續約換機車資</t>
    <phoneticPr fontId="3" type="noConversion"/>
  </si>
  <si>
    <t>2017.03.30</t>
    <phoneticPr fontId="3" type="noConversion"/>
  </si>
  <si>
    <t>2017.04.01</t>
    <phoneticPr fontId="3" type="noConversion"/>
  </si>
  <si>
    <t>2017.04 北平房租-台銀網銀轉帳(2012.06開始漲兩千)</t>
    <phoneticPr fontId="3" type="noConversion"/>
  </si>
  <si>
    <t>2017.04.05</t>
    <phoneticPr fontId="3" type="noConversion"/>
  </si>
  <si>
    <t>106.03 達-1</t>
    <phoneticPr fontId="3" type="noConversion"/>
  </si>
  <si>
    <t>106.03 欽</t>
    <phoneticPr fontId="3" type="noConversion"/>
  </si>
  <si>
    <t>106.03 張</t>
    <phoneticPr fontId="3" type="noConversion"/>
  </si>
  <si>
    <t>水費.106-03</t>
    <phoneticPr fontId="3" type="noConversion"/>
  </si>
  <si>
    <t>2017.04.06</t>
    <phoneticPr fontId="3" type="noConversion"/>
  </si>
  <si>
    <t>雙安續約換機車資</t>
    <phoneticPr fontId="3" type="noConversion"/>
  </si>
  <si>
    <t>2017.04.07</t>
    <phoneticPr fontId="3" type="noConversion"/>
  </si>
  <si>
    <t>源碩續約換機車資</t>
    <phoneticPr fontId="3" type="noConversion"/>
  </si>
  <si>
    <t>2017.04.10</t>
    <phoneticPr fontId="3" type="noConversion"/>
  </si>
  <si>
    <t>106.03 達-2-華算信義</t>
    <phoneticPr fontId="3" type="noConversion"/>
  </si>
  <si>
    <t>裕恆續約換機車資</t>
    <phoneticPr fontId="3" type="noConversion"/>
  </si>
  <si>
    <t>鴻碩 2017.04.7票到8張,稅金給現金$4320</t>
    <phoneticPr fontId="3" type="noConversion"/>
  </si>
  <si>
    <t>2017.04.11</t>
    <phoneticPr fontId="3" type="noConversion"/>
  </si>
  <si>
    <t>差1萬</t>
    <phoneticPr fontId="3" type="noConversion"/>
  </si>
  <si>
    <t>106.03 達-3</t>
    <phoneticPr fontId="3" type="noConversion"/>
  </si>
  <si>
    <t>2017.03 card ada代刷-玉山</t>
    <phoneticPr fontId="3" type="noConversion"/>
  </si>
  <si>
    <t>旺旺達續約換機車資</t>
    <phoneticPr fontId="3" type="noConversion"/>
  </si>
  <si>
    <t>2017.04.20</t>
    <phoneticPr fontId="3" type="noConversion"/>
  </si>
  <si>
    <t>威視續約換機車資</t>
    <phoneticPr fontId="3" type="noConversion"/>
  </si>
  <si>
    <t>2017.04.24</t>
    <phoneticPr fontId="3" type="noConversion"/>
  </si>
  <si>
    <t>華算106.5-6三聯式發票及車資</t>
    <phoneticPr fontId="3" type="noConversion"/>
  </si>
  <si>
    <t>2017.04.25</t>
    <phoneticPr fontId="3" type="noConversion"/>
  </si>
  <si>
    <t>管理費-2017.04</t>
    <phoneticPr fontId="3" type="noConversion"/>
  </si>
  <si>
    <t>106.03 達-4</t>
    <phoneticPr fontId="3" type="noConversion"/>
  </si>
  <si>
    <t>2017.04.27</t>
    <phoneticPr fontId="3" type="noConversion"/>
  </si>
  <si>
    <t>宇陽單次維護$25000(未)裝機費$3000(未)</t>
    <phoneticPr fontId="3" type="noConversion"/>
  </si>
  <si>
    <t>宇陽單次維護換機車資</t>
    <phoneticPr fontId="3" type="noConversion"/>
  </si>
  <si>
    <t>2017.05.02</t>
    <phoneticPr fontId="3" type="noConversion"/>
  </si>
  <si>
    <t>2017.05.03</t>
    <phoneticPr fontId="3" type="noConversion"/>
  </si>
  <si>
    <t>BMW大桐裝機車資,永馳維修車資</t>
    <phoneticPr fontId="3" type="noConversion"/>
  </si>
  <si>
    <t>2017.05.05</t>
    <phoneticPr fontId="3" type="noConversion"/>
  </si>
  <si>
    <t>106.04 欽</t>
    <phoneticPr fontId="3" type="noConversion"/>
  </si>
  <si>
    <t>餘50000</t>
    <phoneticPr fontId="3" type="noConversion"/>
  </si>
  <si>
    <t>106.04 張</t>
    <phoneticPr fontId="3" type="noConversion"/>
  </si>
  <si>
    <t>餘61454</t>
    <phoneticPr fontId="3" type="noConversion"/>
  </si>
  <si>
    <t>106.04 達</t>
    <phoneticPr fontId="3" type="noConversion"/>
  </si>
  <si>
    <t>401.2017.03~04 $36703 宇陽單次維護$25000(未)裝機費$3000(未)</t>
    <phoneticPr fontId="3" type="noConversion"/>
  </si>
  <si>
    <t>2017.05.08</t>
    <phoneticPr fontId="3" type="noConversion"/>
  </si>
  <si>
    <t>掛號 依,鎔,鎔保,鉑,安力 發票</t>
    <phoneticPr fontId="3" type="noConversion"/>
  </si>
  <si>
    <t>3公升垃圾袋 @21*4</t>
    <phoneticPr fontId="3" type="noConversion"/>
  </si>
  <si>
    <t>2017.05.10</t>
    <phoneticPr fontId="3" type="noConversion"/>
  </si>
  <si>
    <t>2017.04 card ada代刷-中信</t>
    <phoneticPr fontId="3" type="noConversion"/>
  </si>
  <si>
    <t>2017.05.11</t>
    <phoneticPr fontId="3" type="noConversion"/>
  </si>
  <si>
    <t>BMW大桐-DNS-tatung-motor.com-5年, PT代收現金</t>
    <phoneticPr fontId="3" type="noConversion"/>
  </si>
  <si>
    <t>2017.05.15</t>
    <phoneticPr fontId="3" type="noConversion"/>
  </si>
  <si>
    <t>2017.04 card ada代刷-玉山 應$72658</t>
    <phoneticPr fontId="3" type="noConversion"/>
  </si>
  <si>
    <t>2017.05.16</t>
    <phoneticPr fontId="3" type="noConversion"/>
  </si>
  <si>
    <t>2017.05.19</t>
    <phoneticPr fontId="3" type="noConversion"/>
  </si>
  <si>
    <t>掛號 大成 合約發票</t>
    <phoneticPr fontId="3" type="noConversion"/>
  </si>
  <si>
    <t>2017.05.23</t>
    <phoneticPr fontId="3" type="noConversion"/>
  </si>
  <si>
    <t>管理費-2017.05</t>
    <phoneticPr fontId="3" type="noConversion"/>
  </si>
  <si>
    <t>2017.05.24</t>
    <phoneticPr fontId="3" type="noConversion"/>
  </si>
  <si>
    <t>友士裝機車資</t>
    <phoneticPr fontId="3" type="noConversion"/>
  </si>
  <si>
    <t>電池9V---電話搖控器用</t>
    <phoneticPr fontId="3" type="noConversion"/>
  </si>
  <si>
    <t>2017.06.01</t>
    <phoneticPr fontId="3" type="noConversion"/>
  </si>
  <si>
    <t>2017.06 北平房租-台銀網銀轉帳(2012.06開始漲兩千)</t>
    <phoneticPr fontId="3" type="noConversion"/>
  </si>
  <si>
    <t>2017.06.05</t>
    <phoneticPr fontId="3" type="noConversion"/>
  </si>
  <si>
    <t>106.05 欽</t>
    <phoneticPr fontId="3" type="noConversion"/>
  </si>
  <si>
    <t>106.04 張-補上月餘款</t>
    <phoneticPr fontId="3" type="noConversion"/>
  </si>
  <si>
    <t>餘 33000</t>
    <phoneticPr fontId="3" type="noConversion"/>
  </si>
  <si>
    <t>106.05 張</t>
    <phoneticPr fontId="3" type="noConversion"/>
  </si>
  <si>
    <t>餘 20000</t>
    <phoneticPr fontId="3" type="noConversion"/>
  </si>
  <si>
    <t>106.04 達--補上月餘款, 尚餘20000</t>
    <phoneticPr fontId="3" type="noConversion"/>
  </si>
  <si>
    <t>餘 61454</t>
    <phoneticPr fontId="3" type="noConversion"/>
  </si>
  <si>
    <t>合計 $ 81454</t>
    <phoneticPr fontId="3" type="noConversion"/>
  </si>
  <si>
    <t>106.05 達</t>
    <phoneticPr fontId="3" type="noConversion"/>
  </si>
  <si>
    <t>2017.05 card ada代刷-玉山</t>
    <phoneticPr fontId="3" type="noConversion"/>
  </si>
  <si>
    <t>2017.05 card ada代刷-中信</t>
    <phoneticPr fontId="3" type="noConversion"/>
  </si>
  <si>
    <t>達算停業車資</t>
    <phoneticPr fontId="3" type="noConversion"/>
  </si>
  <si>
    <t>水費.106-05</t>
    <phoneticPr fontId="3" type="noConversion"/>
  </si>
  <si>
    <t>2017.06.13</t>
    <phoneticPr fontId="3" type="noConversion"/>
  </si>
  <si>
    <t>愛浪續約換機車資</t>
    <phoneticPr fontId="3" type="noConversion"/>
  </si>
  <si>
    <t>2017.06.19</t>
    <phoneticPr fontId="3" type="noConversion"/>
  </si>
  <si>
    <t>dv-ma
DV 2017/6/15 下午 01:43:38
到時再麻煩轉饒媽2萬 母親節+端午節</t>
    <phoneticPr fontId="3" type="noConversion"/>
  </si>
  <si>
    <t>106.04 達--補上月餘款</t>
    <phoneticPr fontId="3" type="noConversion"/>
  </si>
  <si>
    <t>106.05 達--補</t>
    <phoneticPr fontId="3" type="noConversion"/>
  </si>
  <si>
    <t>106.05 張--補</t>
    <phoneticPr fontId="3" type="noConversion"/>
  </si>
  <si>
    <t>PETER
匯款資料：
大眾銀行：814-內湖分行
活儲：168-1229361-17
章挺憲
金額：NT175800
車源首次$150000,大桐佣金 $30000,扣二代健103-105$42000</t>
    <phoneticPr fontId="3" type="noConversion"/>
  </si>
  <si>
    <t>2017.06.22</t>
    <phoneticPr fontId="3" type="noConversion"/>
  </si>
  <si>
    <r>
      <t xml:space="preserve">Standard SSL Renewal 
www.purewaterclub.com
Item Number: 13604 
Quantity: 1
Term: 1
List Price: $2,479.00
Purchase Price: $2,479.00
ICANN Fee: $0.00
Discount: $0.00
Subtotal: $2,479.00
Taxes: $0.00
</t>
    </r>
    <r>
      <rPr>
        <sz val="12"/>
        <color indexed="10"/>
        <rFont val="新細明體"/>
        <family val="1"/>
        <charset val="136"/>
      </rPr>
      <t>Total: $2,479.00</t>
    </r>
    <r>
      <rPr>
        <sz val="12"/>
        <rFont val="新細明體"/>
        <family val="1"/>
        <charset val="136"/>
      </rPr>
      <t xml:space="preserve">
中信代刷</t>
    </r>
    <phoneticPr fontId="3" type="noConversion"/>
  </si>
  <si>
    <t>2017.06.23</t>
    <phoneticPr fontId="3" type="noConversion"/>
  </si>
  <si>
    <t>2017.06.30</t>
    <phoneticPr fontId="3" type="noConversion"/>
  </si>
  <si>
    <t>華算106.7-8三聯式發票及車資</t>
    <phoneticPr fontId="3" type="noConversion"/>
  </si>
  <si>
    <t>2017.07 北平房租-台銀網銀轉帳(2012.06開始漲兩千)</t>
    <phoneticPr fontId="3" type="noConversion"/>
  </si>
  <si>
    <t>2017.07.04</t>
    <phoneticPr fontId="3" type="noConversion"/>
  </si>
  <si>
    <t>掛號 同皇 發票</t>
    <phoneticPr fontId="3" type="noConversion"/>
  </si>
  <si>
    <t>2017.07.05</t>
    <phoneticPr fontId="3" type="noConversion"/>
  </si>
  <si>
    <t>106.06 欽</t>
    <phoneticPr fontId="3" type="noConversion"/>
  </si>
  <si>
    <t>106.06 張</t>
    <phoneticPr fontId="3" type="noConversion"/>
  </si>
  <si>
    <t>2017.07.07</t>
    <phoneticPr fontId="3" type="noConversion"/>
  </si>
  <si>
    <t>餘 46454</t>
    <phoneticPr fontId="3" type="noConversion"/>
  </si>
  <si>
    <t>106.06 達-1-信義華算</t>
    <phoneticPr fontId="3" type="noConversion"/>
  </si>
  <si>
    <t>2017.06 card ada代刷-玉山</t>
    <phoneticPr fontId="3" type="noConversion"/>
  </si>
  <si>
    <t>2017.07.14</t>
    <phoneticPr fontId="3" type="noConversion"/>
  </si>
  <si>
    <t>401.2017.05~06</t>
    <phoneticPr fontId="3" type="noConversion"/>
  </si>
  <si>
    <t>2017.07.20</t>
    <phoneticPr fontId="3" type="noConversion"/>
  </si>
  <si>
    <t>鉑德KO/車源合約影印</t>
    <phoneticPr fontId="3" type="noConversion"/>
  </si>
  <si>
    <t>2017.07.21</t>
    <phoneticPr fontId="3" type="noConversion"/>
  </si>
  <si>
    <t>管理費-2017.07</t>
    <phoneticPr fontId="3" type="noConversion"/>
  </si>
  <si>
    <t>2017.07.24</t>
    <phoneticPr fontId="3" type="noConversion"/>
  </si>
  <si>
    <t>2017.07.26</t>
    <phoneticPr fontId="3" type="noConversion"/>
  </si>
  <si>
    <t>水費.106-07</t>
    <phoneticPr fontId="3" type="noConversion"/>
  </si>
  <si>
    <t>郵票 $25 * 16, $10 * 10, 汎輝合約發票掛號</t>
    <phoneticPr fontId="3" type="noConversion"/>
  </si>
  <si>
    <t>合約大信封</t>
    <phoneticPr fontId="3" type="noConversion"/>
  </si>
  <si>
    <t>2017.08.01</t>
    <phoneticPr fontId="3" type="noConversion"/>
  </si>
  <si>
    <t>2017.08 北平房租-台銀網銀轉帳(2012.06開始漲兩千)</t>
    <phoneticPr fontId="3" type="noConversion"/>
  </si>
  <si>
    <t>2017.08.07</t>
    <phoneticPr fontId="3" type="noConversion"/>
  </si>
  <si>
    <t>依德/鎔德/安力/大桐/友士/同皇/泰聯發票掛號 (掛號漲$28)</t>
    <phoneticPr fontId="3" type="noConversion"/>
  </si>
  <si>
    <t>106.07 欽</t>
    <phoneticPr fontId="3" type="noConversion"/>
  </si>
  <si>
    <t>106.07 張</t>
    <phoneticPr fontId="3" type="noConversion"/>
  </si>
  <si>
    <t>2017.08.08</t>
    <phoneticPr fontId="3" type="noConversion"/>
  </si>
  <si>
    <t>106.06 達-2-信義華算</t>
    <phoneticPr fontId="3" type="noConversion"/>
  </si>
  <si>
    <t>2017.07 card ada代刷-中信</t>
    <phoneticPr fontId="3" type="noConversion"/>
  </si>
  <si>
    <t>2017.07 card ada代刷-玉山</t>
    <phoneticPr fontId="3" type="noConversion"/>
  </si>
  <si>
    <t>掛號</t>
    <phoneticPr fontId="3" type="noConversion"/>
  </si>
  <si>
    <t>2017.08.10</t>
    <phoneticPr fontId="3" type="noConversion"/>
  </si>
  <si>
    <t>太暘續約換機車資</t>
    <phoneticPr fontId="3" type="noConversion"/>
  </si>
  <si>
    <t>2017.08.14</t>
    <phoneticPr fontId="3" type="noConversion"/>
  </si>
  <si>
    <t>太暘發票掛號</t>
    <phoneticPr fontId="3" type="noConversion"/>
  </si>
  <si>
    <t>2017.08.17</t>
    <phoneticPr fontId="3" type="noConversion"/>
  </si>
  <si>
    <t>順豐 DV-ID</t>
    <phoneticPr fontId="3" type="noConversion"/>
  </si>
  <si>
    <t>2017.08.24</t>
    <phoneticPr fontId="3" type="noConversion"/>
  </si>
  <si>
    <t>華算106.9-10三聯式發票及車資</t>
    <phoneticPr fontId="3" type="noConversion"/>
  </si>
  <si>
    <t>管理費-2017.08 106.8月開始調漲$20, (原$95+$20=$115/坪) * 12.68坪=$1458</t>
    <phoneticPr fontId="3" type="noConversion"/>
  </si>
  <si>
    <t>2017.08.25</t>
    <phoneticPr fontId="3" type="noConversion"/>
  </si>
  <si>
    <t>鉑德KO/車源發票掛號</t>
    <phoneticPr fontId="3" type="noConversion"/>
  </si>
  <si>
    <t>2017.08.29</t>
    <phoneticPr fontId="3" type="noConversion"/>
  </si>
  <si>
    <t>106.07 達-信義華算</t>
    <phoneticPr fontId="3" type="noConversion"/>
  </si>
  <si>
    <t>2017.08.30</t>
    <phoneticPr fontId="3" type="noConversion"/>
  </si>
  <si>
    <t>勤業續約換機車資</t>
    <phoneticPr fontId="3" type="noConversion"/>
  </si>
  <si>
    <t>2017.09.01</t>
    <phoneticPr fontId="3" type="noConversion"/>
  </si>
  <si>
    <t>2017.09 北平房租-台銀網銀轉帳(2012.06開始漲兩千)</t>
    <phoneticPr fontId="3" type="noConversion"/>
  </si>
  <si>
    <t>2017.09.05</t>
    <phoneticPr fontId="3" type="noConversion"/>
  </si>
  <si>
    <t>dacomputing.com 1 year $10.00
Total: $10.00
Card Type: MasterCard
Card Number: xxxxxxxxxxxx9652</t>
    <phoneticPr fontId="3" type="noConversion"/>
  </si>
  <si>
    <t>106.08 欽</t>
    <phoneticPr fontId="3" type="noConversion"/>
  </si>
  <si>
    <t>106.08 張</t>
    <phoneticPr fontId="3" type="noConversion"/>
  </si>
  <si>
    <t>2017.09.07</t>
    <phoneticPr fontId="3" type="noConversion"/>
  </si>
  <si>
    <t>2017.08 card ada代刷-富邦</t>
    <phoneticPr fontId="3" type="noConversion"/>
  </si>
  <si>
    <t>2017.09.11</t>
    <phoneticPr fontId="3" type="noConversion"/>
  </si>
  <si>
    <t>八亨合約發票掛號</t>
    <phoneticPr fontId="3" type="noConversion"/>
  </si>
  <si>
    <t>2017.09.12</t>
    <phoneticPr fontId="3" type="noConversion"/>
  </si>
  <si>
    <t>(62211匯款+509現金)</t>
    <phoneticPr fontId="3" type="noConversion"/>
  </si>
  <si>
    <t>PETER
匯款資料：
大眾銀行：814-內湖分行
活儲：168-1229361-17
章挺憲
20170912 鉑德 PT 佣金
鉑德軟体系統維護費(106-107年)-&gt;72000?-?4000(名義上扣4千給你)/2=34000
鉑德KO-佣金(106-108年)-&gt;30000
合計?64000
健保補充費64000@2%---&gt;PT要再減1280
抵106度的補充保費嗎
DV??上午?08:55:14
106年1-6月上次已扣
1280是扣這次的
以後都每次扣
才不會漏了
總計 $62720 (還ADA - UNI-CASE.COM 續約)</t>
    <phoneticPr fontId="3" type="noConversion"/>
  </si>
  <si>
    <t>2017.09.13</t>
    <phoneticPr fontId="3" type="noConversion"/>
  </si>
  <si>
    <t>401.2017.07~08</t>
    <phoneticPr fontId="3" type="noConversion"/>
  </si>
  <si>
    <t>2017.09.14</t>
    <phoneticPr fontId="3" type="noConversion"/>
  </si>
  <si>
    <t>施舒雅合約發票掛號</t>
    <phoneticPr fontId="3" type="noConversion"/>
  </si>
  <si>
    <t>2017.09.18</t>
    <phoneticPr fontId="3" type="noConversion"/>
  </si>
  <si>
    <t>鉑德支票簽收回條掛號</t>
    <phoneticPr fontId="3" type="noConversion"/>
  </si>
  <si>
    <t>2017.09.20</t>
    <phoneticPr fontId="3" type="noConversion"/>
  </si>
  <si>
    <t>悠遊卡儲值恩豪</t>
    <phoneticPr fontId="3" type="noConversion"/>
  </si>
  <si>
    <t>2017.09.21</t>
    <phoneticPr fontId="3" type="noConversion"/>
  </si>
  <si>
    <t>106.08 達</t>
    <phoneticPr fontId="3" type="noConversion"/>
  </si>
  <si>
    <t>2017.09.25</t>
    <phoneticPr fontId="3" type="noConversion"/>
  </si>
  <si>
    <t>水費.106-09</t>
    <phoneticPr fontId="3" type="noConversion"/>
  </si>
  <si>
    <t>2017.09.28</t>
    <phoneticPr fontId="3" type="noConversion"/>
  </si>
  <si>
    <t>DV  上午 10:14:30
OK
中秋要麻煩轉饒媽12000,請問有錢嗎</t>
    <phoneticPr fontId="3" type="noConversion"/>
  </si>
  <si>
    <t>106年度查核104年度補充保費</t>
    <phoneticPr fontId="3" type="noConversion"/>
  </si>
  <si>
    <t>管理費-2017.09 106.8月開始調漲$20, (原$95+$20=$115/坪) * 12.68坪=$1458</t>
    <phoneticPr fontId="3" type="noConversion"/>
  </si>
  <si>
    <t>永馳發票掛號</t>
    <phoneticPr fontId="3" type="noConversion"/>
  </si>
  <si>
    <t>2017.10.05</t>
    <phoneticPr fontId="3" type="noConversion"/>
  </si>
  <si>
    <t>悠遊卡儲值依德</t>
    <phoneticPr fontId="3" type="noConversion"/>
  </si>
  <si>
    <t>106.09 欽</t>
    <phoneticPr fontId="3" type="noConversion"/>
  </si>
  <si>
    <t>106.09 張</t>
    <phoneticPr fontId="3" type="noConversion"/>
  </si>
  <si>
    <t>2017.10.18</t>
    <phoneticPr fontId="3" type="noConversion"/>
  </si>
  <si>
    <t>源達起子WD40</t>
    <phoneticPr fontId="3" type="noConversion"/>
  </si>
  <si>
    <t>2017.10.24</t>
    <phoneticPr fontId="3" type="noConversion"/>
  </si>
  <si>
    <t>華算106.11-12三聯式發票及車資</t>
    <phoneticPr fontId="3" type="noConversion"/>
  </si>
  <si>
    <t>松群續約換機車資</t>
    <phoneticPr fontId="3" type="noConversion"/>
  </si>
  <si>
    <t>恩豪維修油資</t>
    <phoneticPr fontId="3" type="noConversion"/>
  </si>
  <si>
    <t>恩豪維修第二趟計程車資</t>
    <phoneticPr fontId="3" type="noConversion"/>
  </si>
  <si>
    <t>2017.10.27</t>
    <phoneticPr fontId="3" type="noConversion"/>
  </si>
  <si>
    <t>管理費-2017.10 106.8月開始調漲$20, (原$95+$20=$115/坪) * 12.68坪=$1458</t>
    <phoneticPr fontId="3" type="noConversion"/>
  </si>
  <si>
    <t>2017.10.31</t>
    <phoneticPr fontId="3" type="noConversion"/>
  </si>
  <si>
    <t>依鎔德車源合約發票掛號</t>
    <phoneticPr fontId="3" type="noConversion"/>
  </si>
  <si>
    <t>郵票 $28 * 3</t>
    <phoneticPr fontId="3" type="noConversion"/>
  </si>
  <si>
    <t>2017.11.01</t>
    <phoneticPr fontId="3" type="noConversion"/>
  </si>
  <si>
    <t>2017.11 北平房租-台銀網銀轉帳(2012.06開始漲兩千)</t>
    <phoneticPr fontId="3" type="noConversion"/>
  </si>
  <si>
    <t>106.09 達</t>
    <phoneticPr fontId="3" type="noConversion"/>
  </si>
  <si>
    <t>2017.11.06</t>
    <phoneticPr fontId="3" type="noConversion"/>
  </si>
  <si>
    <t>106.10 張</t>
    <phoneticPr fontId="3" type="noConversion"/>
  </si>
  <si>
    <t>106.10 欽</t>
    <phoneticPr fontId="3" type="noConversion"/>
  </si>
  <si>
    <t>2017.11.09</t>
    <phoneticPr fontId="3" type="noConversion"/>
  </si>
  <si>
    <t>恩豪移機車資</t>
    <phoneticPr fontId="3" type="noConversion"/>
  </si>
  <si>
    <t>2017.11.13</t>
    <phoneticPr fontId="3" type="noConversion"/>
  </si>
  <si>
    <t>401.2017.09~10</t>
    <phoneticPr fontId="3" type="noConversion"/>
  </si>
  <si>
    <t>106.10 達</t>
    <phoneticPr fontId="3" type="noConversion"/>
  </si>
  <si>
    <t>依/鎔/鉑/安力/大桐/友士/同皇發票掛號, 郵票$28 *10</t>
    <phoneticPr fontId="3" type="noConversion"/>
  </si>
  <si>
    <t>2017.11.27</t>
    <phoneticPr fontId="3" type="noConversion"/>
  </si>
  <si>
    <t>水費.106-11</t>
    <phoneticPr fontId="3" type="noConversion"/>
  </si>
  <si>
    <t>2017.11.29</t>
    <phoneticPr fontId="3" type="noConversion"/>
  </si>
  <si>
    <t>2017.11.30</t>
    <phoneticPr fontId="3" type="noConversion"/>
  </si>
  <si>
    <t>道法續約換機車資</t>
    <phoneticPr fontId="3" type="noConversion"/>
  </si>
  <si>
    <t>2017.12.01</t>
    <phoneticPr fontId="3" type="noConversion"/>
  </si>
  <si>
    <t>2017.12 北平房租-台銀網銀轉帳(2012.06開始漲兩千)</t>
    <phoneticPr fontId="3" type="noConversion"/>
  </si>
  <si>
    <t>2017.12.05</t>
    <phoneticPr fontId="3" type="noConversion"/>
  </si>
  <si>
    <t>106.11 達</t>
    <phoneticPr fontId="3" type="noConversion"/>
  </si>
  <si>
    <t>106.11 張</t>
    <phoneticPr fontId="3" type="noConversion"/>
  </si>
  <si>
    <t>106.11 欽</t>
    <phoneticPr fontId="3" type="noConversion"/>
  </si>
  <si>
    <t>2017.12.12</t>
    <phoneticPr fontId="3" type="noConversion"/>
  </si>
  <si>
    <t>2017.11 card ada代刷-玉山</t>
    <phoneticPr fontId="3" type="noConversion"/>
  </si>
  <si>
    <t>2017.12.13</t>
    <phoneticPr fontId="3" type="noConversion"/>
  </si>
  <si>
    <t>PETER
匯款資料：
大眾銀行：814-內湖分行
活儲：168-1229361-17
章挺憲
koofficecn 2017/12/11 下午 05:09:43
依和鎔都已各匯 $113390 車源維護費, 我跟PT講了
DV 2017/12/11 下午 05:15:01
ok3q
koofficecn 2017/12/11 下午 05:15:48
他在問你要不要人民幣, 或後續, 請再跟他說
DV 2017/12/11 下午 05:16:34
好的我跟他说
DV 2017/12/12 上午 11:40:07
PT剛才跟我說好了,所以請匯20萬台幣到PT的帳戶,我和他一起換人民幣
DV 2017/12/12 上午 11:42:52
歹勢
是19萬6千
因為要扣2%的健保補充費</t>
    <phoneticPr fontId="3" type="noConversion"/>
  </si>
  <si>
    <t>2017.12.14</t>
    <phoneticPr fontId="3" type="noConversion"/>
  </si>
  <si>
    <t>鉑德續約換機車資</t>
    <phoneticPr fontId="3" type="noConversion"/>
  </si>
  <si>
    <t>2017.12.25</t>
    <phoneticPr fontId="3" type="noConversion"/>
  </si>
  <si>
    <t>大桐車源二次款發票*4限掛</t>
    <phoneticPr fontId="3" type="noConversion"/>
  </si>
  <si>
    <t>管理費-2017.12 106.8月開始調漲$20, (原$95+$20=$115/坪) * 12.68坪=$1458</t>
    <phoneticPr fontId="3" type="noConversion"/>
  </si>
  <si>
    <t>2018.01.05</t>
    <phoneticPr fontId="3" type="noConversion"/>
  </si>
  <si>
    <t>106.12 張</t>
    <phoneticPr fontId="3" type="noConversion"/>
  </si>
  <si>
    <t>106.12 欽</t>
    <phoneticPr fontId="3" type="noConversion"/>
  </si>
  <si>
    <t>2017.12 card ada代刷-玉山</t>
    <phoneticPr fontId="3" type="noConversion"/>
  </si>
  <si>
    <t>DV 2018/1/5 上午 09:11:07
麻煩有空轉給饒媽3000*6(1-6月)+12000過年紅包=30000</t>
    <phoneticPr fontId="3" type="noConversion"/>
  </si>
  <si>
    <t>2018.01.10</t>
    <phoneticPr fontId="3" type="noConversion"/>
  </si>
  <si>
    <t>華算107.01-02三聯式發票</t>
    <phoneticPr fontId="3" type="noConversion"/>
  </si>
  <si>
    <t>領發票車資</t>
    <phoneticPr fontId="3" type="noConversion"/>
  </si>
  <si>
    <t>2018.01.11</t>
    <phoneticPr fontId="3" type="noConversion"/>
  </si>
  <si>
    <t>永馳/施舒雅/八亨發票掛號</t>
    <phoneticPr fontId="3" type="noConversion"/>
  </si>
  <si>
    <t>2018.01.17</t>
    <phoneticPr fontId="3" type="noConversion"/>
  </si>
  <si>
    <t>106.12 達</t>
    <phoneticPr fontId="3" type="noConversion"/>
  </si>
  <si>
    <t>品固合約發票掛號</t>
    <phoneticPr fontId="3" type="noConversion"/>
  </si>
  <si>
    <t>2018.01.18</t>
    <phoneticPr fontId="3" type="noConversion"/>
  </si>
  <si>
    <t>展鑫合約發票掛號</t>
    <phoneticPr fontId="3" type="noConversion"/>
  </si>
  <si>
    <t>合約封面,合約用紙,合約膠帶,膠水</t>
    <phoneticPr fontId="3" type="noConversion"/>
  </si>
  <si>
    <t>2018.01.23</t>
    <phoneticPr fontId="3" type="noConversion"/>
  </si>
  <si>
    <t>106.12 達---年終-1</t>
    <phoneticPr fontId="3" type="noConversion"/>
  </si>
  <si>
    <t>管理費-2018.1 106.8月開始調漲$20, (原$95+$20=$115/坪) * 12.68坪=$1458</t>
    <phoneticPr fontId="3" type="noConversion"/>
  </si>
  <si>
    <t>2018.01.25</t>
    <phoneticPr fontId="3" type="noConversion"/>
  </si>
  <si>
    <t>佳尼特續約換機車資</t>
    <phoneticPr fontId="3" type="noConversion"/>
  </si>
  <si>
    <t>2018.01.30</t>
    <phoneticPr fontId="3" type="noConversion"/>
  </si>
  <si>
    <t>水費.107-01</t>
    <phoneticPr fontId="3" type="noConversion"/>
  </si>
  <si>
    <t>2018.02.01</t>
    <phoneticPr fontId="3" type="noConversion"/>
  </si>
  <si>
    <t>2018.02 北平房租-台銀網銀轉帳(2012.06開始漲兩千)</t>
    <phoneticPr fontId="3" type="noConversion"/>
  </si>
  <si>
    <t>2018.02.02</t>
    <phoneticPr fontId="3" type="noConversion"/>
  </si>
  <si>
    <t>郵費</t>
    <phoneticPr fontId="3" type="noConversion"/>
  </si>
  <si>
    <t>恩豪第二年發票四張掛號</t>
    <phoneticPr fontId="3" type="noConversion"/>
  </si>
  <si>
    <t>2018.02.05</t>
    <phoneticPr fontId="3" type="noConversion"/>
  </si>
  <si>
    <t>107.01 張</t>
    <phoneticPr fontId="3" type="noConversion"/>
  </si>
  <si>
    <t>107.01 欽 (2018.1月 調薪 $30150)</t>
    <phoneticPr fontId="3" type="noConversion"/>
  </si>
  <si>
    <t>2018.02.06</t>
    <phoneticPr fontId="3" type="noConversion"/>
  </si>
  <si>
    <t>2018.01 card ada代刷-玉山</t>
    <phoneticPr fontId="3" type="noConversion"/>
  </si>
  <si>
    <t>2018.02.07</t>
    <phoneticPr fontId="3" type="noConversion"/>
  </si>
  <si>
    <t>PETER
匯款資料：
元大銀行：806-瑞光分行
活儲：00168122936117
章挺憲
koofficecn 2018/2/6 下午 12:41:33
大桐車源管理系統-二次款(40%)：NT 331800.元(含稅)
他寄支票來, $331800 票期 2018.02.15
koofficecn  上午 09:48:54
PT問, 今天可不可以先轉兩萬給他</t>
    <phoneticPr fontId="3" type="noConversion"/>
  </si>
  <si>
    <t>2018.02.08</t>
    <phoneticPr fontId="3" type="noConversion"/>
  </si>
  <si>
    <t>七家發票掛號</t>
    <phoneticPr fontId="3" type="noConversion"/>
  </si>
  <si>
    <t>雜費</t>
    <phoneticPr fontId="3" type="noConversion"/>
  </si>
  <si>
    <t>衛生紙</t>
    <phoneticPr fontId="3" type="noConversion"/>
  </si>
  <si>
    <t>2018.02.12</t>
    <phoneticPr fontId="3" type="noConversion"/>
  </si>
  <si>
    <t>106.12 達---年終-2</t>
    <phoneticPr fontId="3" type="noConversion"/>
  </si>
  <si>
    <t>2018.02.13</t>
    <phoneticPr fontId="3" type="noConversion"/>
  </si>
  <si>
    <t>雜項購置</t>
    <phoneticPr fontId="3" type="noConversion"/>
  </si>
  <si>
    <t>源達鍵盤電池</t>
    <phoneticPr fontId="3" type="noConversion"/>
  </si>
  <si>
    <t>2018.02.15</t>
    <phoneticPr fontId="3" type="noConversion"/>
  </si>
  <si>
    <t>106.12 達---年終-3</t>
    <phoneticPr fontId="3" type="noConversion"/>
  </si>
  <si>
    <t>2018.02.22</t>
    <phoneticPr fontId="3" type="noConversion"/>
  </si>
  <si>
    <t>DV 2018/2/21 上午 10:46:39
如果公司有錢的時侯,麻煩轉給饒媽追加新年紅包-16000元</t>
    <phoneticPr fontId="3" type="noConversion"/>
  </si>
  <si>
    <t>2018.02.23</t>
    <phoneticPr fontId="3" type="noConversion"/>
  </si>
  <si>
    <t>管理費</t>
    <phoneticPr fontId="3" type="noConversion"/>
  </si>
  <si>
    <t>管理費-2018.2 106.8月開始調漲$20, (原$95+$20=$115/坪) * 12.68坪=$1458</t>
    <phoneticPr fontId="3" type="noConversion"/>
  </si>
  <si>
    <t>2018.02.26</t>
    <phoneticPr fontId="3" type="noConversion"/>
  </si>
  <si>
    <t>PT $200,000
陽信銀行-大屯分行 006020060615
蘇政仁
PT $77,000 
元大銀行：806-瑞光分行
活儲：00168122936117
章挺憲
DV  上午 09:17:49
另外要麻煩你這次PT的大桐二次款是15萬-3000(健保)-2萬(借支)=127000
koofficecn  上午 09:18:22
OK
DV  上午 09:18:52
再加上我要請他換人民幣的15萬</t>
    <phoneticPr fontId="3" type="noConversion"/>
  </si>
  <si>
    <t>華算107.03-04三聯式發票</t>
    <phoneticPr fontId="3" type="noConversion"/>
  </si>
  <si>
    <t>交通費</t>
    <phoneticPr fontId="3" type="noConversion"/>
  </si>
  <si>
    <t>領發票車資</t>
    <phoneticPr fontId="3" type="noConversion"/>
  </si>
  <si>
    <t>環保垃圾袋</t>
    <phoneticPr fontId="3" type="noConversion"/>
  </si>
  <si>
    <t>106.12 達---年終-4</t>
    <phoneticPr fontId="3" type="noConversion"/>
  </si>
  <si>
    <t>107.1 達</t>
    <phoneticPr fontId="3" type="noConversion"/>
  </si>
  <si>
    <t>2018.03.01</t>
    <phoneticPr fontId="3" type="noConversion"/>
  </si>
  <si>
    <t>領發票悠遊卡儲值</t>
    <phoneticPr fontId="3" type="noConversion"/>
  </si>
  <si>
    <t>2018.03 北平房租-台銀網銀轉帳(2012.06開始漲兩千)</t>
    <phoneticPr fontId="3" type="noConversion"/>
  </si>
  <si>
    <t>2018.03.05</t>
    <phoneticPr fontId="3" type="noConversion"/>
  </si>
  <si>
    <t>107.02 張</t>
    <phoneticPr fontId="3" type="noConversion"/>
  </si>
  <si>
    <t>107.02 欽 (2018.1月 調薪 $30150)</t>
    <phoneticPr fontId="3" type="noConversion"/>
  </si>
  <si>
    <t>電費</t>
    <phoneticPr fontId="3" type="noConversion"/>
  </si>
  <si>
    <t>電費.107-01區間 106.11.15~107.01.15, 銀行存款不足扣款失敗, 改零用金繳款</t>
    <phoneticPr fontId="3" type="noConversion"/>
  </si>
  <si>
    <t>2018.03.09</t>
    <phoneticPr fontId="3" type="noConversion"/>
  </si>
  <si>
    <t>401.2018.01~02</t>
    <phoneticPr fontId="3" type="noConversion"/>
  </si>
  <si>
    <t>2018.03.12</t>
    <phoneticPr fontId="3" type="noConversion"/>
  </si>
  <si>
    <t>107.02 達</t>
    <phoneticPr fontId="3" type="noConversion"/>
  </si>
  <si>
    <t>2018.03.22</t>
    <phoneticPr fontId="3" type="noConversion"/>
  </si>
  <si>
    <t>零用金</t>
    <phoneticPr fontId="3" type="noConversion"/>
  </si>
  <si>
    <t>祥和續約換機車資</t>
    <phoneticPr fontId="3" type="noConversion"/>
  </si>
  <si>
    <t>2018.03.23</t>
    <phoneticPr fontId="3" type="noConversion"/>
  </si>
  <si>
    <t>管理費-2018.3 106.8月開始調漲$20, (原$95+$20=$115/坪) * 12.68坪=$1458</t>
    <phoneticPr fontId="3" type="noConversion"/>
  </si>
  <si>
    <t>2018.03.28</t>
    <phoneticPr fontId="3" type="noConversion"/>
  </si>
  <si>
    <t>DV  上午 10:28:42
麻煩有空幫我轉帳饒媽6000元母親節紅包</t>
    <phoneticPr fontId="3" type="noConversion"/>
  </si>
  <si>
    <t>2018.03.30</t>
    <phoneticPr fontId="3" type="noConversion"/>
  </si>
  <si>
    <t>香皂</t>
    <phoneticPr fontId="3" type="noConversion"/>
  </si>
  <si>
    <t>2018.04.01</t>
    <phoneticPr fontId="3" type="noConversion"/>
  </si>
  <si>
    <t>2018.04 北平房租-台銀網銀轉帳(2012.06開始漲兩千)</t>
    <phoneticPr fontId="3" type="noConversion"/>
  </si>
  <si>
    <t>2018.04.09</t>
    <phoneticPr fontId="3" type="noConversion"/>
  </si>
  <si>
    <t>107.03 張</t>
    <phoneticPr fontId="3" type="noConversion"/>
  </si>
  <si>
    <t>107.03 欽 (2018.1月 調薪 $30150)</t>
    <phoneticPr fontId="3" type="noConversion"/>
  </si>
  <si>
    <t>107.03 達</t>
    <phoneticPr fontId="3" type="noConversion"/>
  </si>
  <si>
    <t>水費</t>
    <phoneticPr fontId="3" type="noConversion"/>
  </si>
  <si>
    <t>水費.107-03</t>
    <phoneticPr fontId="3" type="noConversion"/>
  </si>
  <si>
    <t>2018.04.18</t>
    <phoneticPr fontId="3" type="noConversion"/>
  </si>
  <si>
    <t>展鑫續約換機車資</t>
    <phoneticPr fontId="3" type="noConversion"/>
  </si>
  <si>
    <t>2018.04.24</t>
    <phoneticPr fontId="3" type="noConversion"/>
  </si>
  <si>
    <t>管理費-2018.4 106.8月開始調漲$20, (原$95+$20=$115/坪) * 12.68坪=$1458</t>
    <phoneticPr fontId="3" type="noConversion"/>
  </si>
  <si>
    <t>2018.05.01</t>
    <phoneticPr fontId="3" type="noConversion"/>
  </si>
  <si>
    <t>2018.05 北平房租-台銀網銀轉帳(2012.06開始漲兩千)</t>
    <phoneticPr fontId="3" type="noConversion"/>
  </si>
  <si>
    <t>2018.05.03</t>
    <phoneticPr fontId="3" type="noConversion"/>
  </si>
  <si>
    <t>華算107.05-06三聯式發票</t>
    <phoneticPr fontId="3" type="noConversion"/>
  </si>
  <si>
    <t>2018.05.07</t>
    <phoneticPr fontId="3" type="noConversion"/>
  </si>
  <si>
    <t>107.04 欽 (2018.1月 調薪 $30150)</t>
    <phoneticPr fontId="3" type="noConversion"/>
  </si>
  <si>
    <t>2018.04 card ada代刷-玉山</t>
    <phoneticPr fontId="3" type="noConversion"/>
  </si>
  <si>
    <t>2018.05.08</t>
    <phoneticPr fontId="3" type="noConversion"/>
  </si>
  <si>
    <t>107.04 達</t>
    <phoneticPr fontId="3" type="noConversion"/>
  </si>
  <si>
    <t>401.2018.03~04</t>
    <phoneticPr fontId="3" type="noConversion"/>
  </si>
  <si>
    <t>2018.05.22</t>
    <phoneticPr fontId="3" type="noConversion"/>
  </si>
  <si>
    <t>威倫續約換機車資</t>
    <phoneticPr fontId="3" type="noConversion"/>
  </si>
  <si>
    <t>2018.05.23</t>
    <phoneticPr fontId="3" type="noConversion"/>
  </si>
  <si>
    <t>管理費-2018.5 106.8月開始調漲$20, (原$95+$20=$115/坪) * 12.68坪=$1458</t>
    <phoneticPr fontId="3" type="noConversion"/>
  </si>
  <si>
    <t>2018.05.30</t>
    <phoneticPr fontId="3" type="noConversion"/>
  </si>
  <si>
    <t>2018.05.31</t>
    <phoneticPr fontId="3" type="noConversion"/>
  </si>
  <si>
    <t>汎輝帳號盜用法院提供記錄掛號費</t>
    <phoneticPr fontId="3" type="noConversion"/>
  </si>
  <si>
    <t>2018.06.01</t>
    <phoneticPr fontId="3" type="noConversion"/>
  </si>
  <si>
    <t>2018.06 北平房租-台銀網銀轉帳(2012.06開始漲兩千)</t>
    <phoneticPr fontId="3" type="noConversion"/>
  </si>
  <si>
    <t>2018.06.05</t>
    <phoneticPr fontId="3" type="noConversion"/>
  </si>
  <si>
    <t>107.05 欽 (2018.1月 調薪 $30150)</t>
    <phoneticPr fontId="3" type="noConversion"/>
  </si>
  <si>
    <t>107.05 達</t>
    <phoneticPr fontId="3" type="noConversion"/>
  </si>
  <si>
    <t>2018.05 card ada代刷-玉山</t>
    <phoneticPr fontId="3" type="noConversion"/>
  </si>
  <si>
    <t>2018.06.06</t>
    <phoneticPr fontId="3" type="noConversion"/>
  </si>
  <si>
    <t>水費.107-05</t>
    <phoneticPr fontId="3" type="noConversion"/>
  </si>
  <si>
    <t>2018.06.21</t>
    <phoneticPr fontId="3" type="noConversion"/>
  </si>
  <si>
    <t>八亨發票, 品固CN合約掛號</t>
    <phoneticPr fontId="3" type="noConversion"/>
  </si>
  <si>
    <t>管理費-2018.6 106.8月開始調漲$20, (原$95+$20=$115/坪) * 12.68坪=$1458</t>
    <phoneticPr fontId="3" type="noConversion"/>
  </si>
  <si>
    <t>2018.06.28</t>
    <phoneticPr fontId="3" type="noConversion"/>
  </si>
  <si>
    <t>華算107.07-08三聯式發票</t>
    <phoneticPr fontId="3" type="noConversion"/>
  </si>
  <si>
    <t>2018.07.03</t>
    <phoneticPr fontId="3" type="noConversion"/>
  </si>
  <si>
    <t>品固CN掛號</t>
    <phoneticPr fontId="3" type="noConversion"/>
  </si>
  <si>
    <t>2018.07.05</t>
    <phoneticPr fontId="3" type="noConversion"/>
  </si>
  <si>
    <t>漢聯續約換機車資</t>
    <phoneticPr fontId="3" type="noConversion"/>
  </si>
  <si>
    <t>107.06 張</t>
    <phoneticPr fontId="3" type="noConversion"/>
  </si>
  <si>
    <t>107.06 欽 (2018.1月 調薪 $30150)</t>
    <phoneticPr fontId="3" type="noConversion"/>
  </si>
  <si>
    <t>2018.07.10</t>
    <phoneticPr fontId="3" type="noConversion"/>
  </si>
  <si>
    <t>掛號</t>
    <phoneticPr fontId="3" type="noConversion"/>
  </si>
  <si>
    <t>2018.07.16</t>
    <phoneticPr fontId="3" type="noConversion"/>
  </si>
  <si>
    <t>DV 2018/7/9 上午 09:53:25
麻煩公司錢夠的時侯, 請轉饒媽10000*3(7-9月) 因為7月1日起饒媽的退休金減少了</t>
    <phoneticPr fontId="3" type="noConversion"/>
  </si>
  <si>
    <t>2018.07.17</t>
    <phoneticPr fontId="3" type="noConversion"/>
  </si>
  <si>
    <t>西拓合約掛號</t>
    <phoneticPr fontId="3" type="noConversion"/>
  </si>
  <si>
    <t>2018.07.18</t>
    <phoneticPr fontId="3" type="noConversion"/>
  </si>
  <si>
    <t>品固續約換機車資-博</t>
    <phoneticPr fontId="3" type="noConversion"/>
  </si>
  <si>
    <t>品固續約換機車資-達</t>
    <phoneticPr fontId="3" type="noConversion"/>
  </si>
  <si>
    <t>2018.07.24</t>
    <phoneticPr fontId="3" type="noConversion"/>
  </si>
  <si>
    <t>品固續約換機車資-達2</t>
    <phoneticPr fontId="3" type="noConversion"/>
  </si>
  <si>
    <t>2018.07.25</t>
    <phoneticPr fontId="3" type="noConversion"/>
  </si>
  <si>
    <t>管理費-2018.7 106.8月開始調漲$20, (原$95+$20=$115/坪) * 12.68坪=$1458</t>
    <phoneticPr fontId="3" type="noConversion"/>
  </si>
  <si>
    <t>水費.107-07</t>
    <phoneticPr fontId="3" type="noConversion"/>
  </si>
  <si>
    <t>2018.07.26</t>
    <phoneticPr fontId="3" type="noConversion"/>
  </si>
  <si>
    <t>現金相符</t>
    <phoneticPr fontId="3" type="noConversion"/>
  </si>
  <si>
    <t>2018.08.01</t>
    <phoneticPr fontId="3" type="noConversion"/>
  </si>
  <si>
    <t>2018.08 北平房租-台銀網銀轉帳(2012.06開始漲兩千)</t>
    <phoneticPr fontId="3" type="noConversion"/>
  </si>
  <si>
    <t>2018.08.07</t>
    <phoneticPr fontId="3" type="noConversion"/>
  </si>
  <si>
    <t>發票掛號(依/鎔/鉑/安/桐/友/皇), @28郵票*20</t>
    <phoneticPr fontId="3" type="noConversion"/>
  </si>
  <si>
    <t>2018.08.09</t>
    <phoneticPr fontId="3" type="noConversion"/>
  </si>
  <si>
    <t>大同稅捐處DV補稅更正掛號</t>
    <phoneticPr fontId="3" type="noConversion"/>
  </si>
  <si>
    <t>2018.08.21</t>
    <phoneticPr fontId="3" type="noConversion"/>
  </si>
  <si>
    <t>管理費-2018.8 106.8月開始調漲$20, (原$95+$20=$115/坪) * 12.68坪=$1458</t>
    <phoneticPr fontId="3" type="noConversion"/>
  </si>
  <si>
    <t>2018.08.23</t>
    <phoneticPr fontId="3" type="noConversion"/>
  </si>
  <si>
    <t>華算107.09-10三聯式發票</t>
    <phoneticPr fontId="3" type="noConversion"/>
  </si>
  <si>
    <t>2018.09.03</t>
    <phoneticPr fontId="3" type="noConversion"/>
  </si>
  <si>
    <t>2018.09 北平房租-台銀網銀轉帳(2012.06開始漲兩千)</t>
    <phoneticPr fontId="3" type="noConversion"/>
  </si>
  <si>
    <t>2018.09.04</t>
    <phoneticPr fontId="3" type="noConversion"/>
  </si>
  <si>
    <t>永馳續約換機車資-博</t>
    <phoneticPr fontId="3" type="noConversion"/>
  </si>
  <si>
    <t>永馳續約換機車資-博2</t>
    <phoneticPr fontId="3" type="noConversion"/>
  </si>
  <si>
    <t>2018.09.05</t>
    <phoneticPr fontId="3" type="noConversion"/>
  </si>
  <si>
    <t>2018.08 card ada代刷-玉山</t>
    <phoneticPr fontId="3" type="noConversion"/>
  </si>
  <si>
    <t>2018.08 card ada代刷-中信</t>
    <phoneticPr fontId="3" type="noConversion"/>
  </si>
  <si>
    <t>107.08 張</t>
    <phoneticPr fontId="3" type="noConversion"/>
  </si>
  <si>
    <t>107.08 欽 (2018.1月 調薪 $30150)</t>
    <phoneticPr fontId="3" type="noConversion"/>
  </si>
  <si>
    <t>2018.09.06</t>
    <phoneticPr fontId="3" type="noConversion"/>
  </si>
  <si>
    <t>永馳續約換機車資-博3</t>
    <phoneticPr fontId="3" type="noConversion"/>
  </si>
  <si>
    <t>107.08 達</t>
    <phoneticPr fontId="3" type="noConversion"/>
  </si>
  <si>
    <t>2018.09.11</t>
    <phoneticPr fontId="3" type="noConversion"/>
  </si>
  <si>
    <t>泰聯永昌合約發票回郵掛號,@10郵票*20</t>
    <phoneticPr fontId="3" type="noConversion"/>
  </si>
  <si>
    <t>401.2018.07~08</t>
    <phoneticPr fontId="3" type="noConversion"/>
  </si>
  <si>
    <t>2018.09.12</t>
    <phoneticPr fontId="3" type="noConversion"/>
  </si>
  <si>
    <t>泰聯永昌合約發票回郵掛號重寄</t>
    <phoneticPr fontId="3" type="noConversion"/>
  </si>
  <si>
    <t>2018.09.18</t>
    <phoneticPr fontId="3" type="noConversion"/>
  </si>
  <si>
    <t>請款發票, 喜可合約發票</t>
    <phoneticPr fontId="3" type="noConversion"/>
  </si>
  <si>
    <t>文具費</t>
    <phoneticPr fontId="3" type="noConversion"/>
  </si>
  <si>
    <t>信封</t>
    <phoneticPr fontId="3" type="noConversion"/>
  </si>
  <si>
    <t>合約封面,合約信封,合約膠帶</t>
    <phoneticPr fontId="3" type="noConversion"/>
  </si>
  <si>
    <t>2018.09.19</t>
    <phoneticPr fontId="3" type="noConversion"/>
  </si>
  <si>
    <t>房屋租約</t>
    <phoneticPr fontId="3" type="noConversion"/>
  </si>
  <si>
    <t>2018.09.20</t>
    <phoneticPr fontId="3" type="noConversion"/>
  </si>
  <si>
    <t>2018.09.21</t>
    <phoneticPr fontId="3" type="noConversion"/>
  </si>
  <si>
    <t>管理費-2018.9 106.8月開始調漲$20, (原$95+$20=$115/坪) * 12.68坪=$1458</t>
    <phoneticPr fontId="3" type="noConversion"/>
  </si>
  <si>
    <t>水費.107-09</t>
    <phoneticPr fontId="3" type="noConversion"/>
  </si>
  <si>
    <t>2017.09.27</t>
    <phoneticPr fontId="3" type="noConversion"/>
  </si>
  <si>
    <t>107年度查核105年度補充保費</t>
    <phoneticPr fontId="3" type="noConversion"/>
  </si>
  <si>
    <t>2018.10.01</t>
    <phoneticPr fontId="3" type="noConversion"/>
  </si>
  <si>
    <t>2018.10 北平房租-台銀網銀轉帳(2012.06開始漲兩千)</t>
    <phoneticPr fontId="3" type="noConversion"/>
  </si>
  <si>
    <t>轉錯至達帳戶,10/15ATM匯出房東新帳戶, 605-60502112121093</t>
    <phoneticPr fontId="3" type="noConversion"/>
  </si>
  <si>
    <t>2018.10.05</t>
    <phoneticPr fontId="3" type="noConversion"/>
  </si>
  <si>
    <t>107.09 欽 (2018.1月 調薪 $30150)</t>
    <phoneticPr fontId="3" type="noConversion"/>
  </si>
  <si>
    <t>2018.10.08</t>
    <phoneticPr fontId="3" type="noConversion"/>
  </si>
  <si>
    <t>2018.09 card ada代刷-中信</t>
    <phoneticPr fontId="3" type="noConversion"/>
  </si>
  <si>
    <t>DV回國看診</t>
    <phoneticPr fontId="3" type="noConversion"/>
  </si>
  <si>
    <t>2018.10.14</t>
    <phoneticPr fontId="3" type="noConversion"/>
  </si>
  <si>
    <t>107.09 達</t>
    <phoneticPr fontId="3" type="noConversion"/>
  </si>
  <si>
    <t>2018.10.19</t>
    <phoneticPr fontId="3" type="noConversion"/>
  </si>
  <si>
    <t>2018.10.22</t>
    <phoneticPr fontId="3" type="noConversion"/>
  </si>
  <si>
    <t>管理費-2018.10 106.8月開始調漲$20, (原$95+$20=$115/坪) * 12.68坪=$1458</t>
    <phoneticPr fontId="3" type="noConversion"/>
  </si>
  <si>
    <t>2018.10.25</t>
    <phoneticPr fontId="3" type="noConversion"/>
  </si>
  <si>
    <t>華算107.11-12三聯式發票</t>
    <phoneticPr fontId="3" type="noConversion"/>
  </si>
  <si>
    <t>2018.10.30</t>
    <phoneticPr fontId="3" type="noConversion"/>
  </si>
  <si>
    <t>鉑德/安力/大桐/友士/同皇發票,依鎔鎔KO合約發票, 依鎔鉑車源合約發票,依鎔鉑DNS報價發票</t>
    <phoneticPr fontId="3" type="noConversion"/>
  </si>
  <si>
    <t>2018.11.01</t>
    <phoneticPr fontId="3" type="noConversion"/>
  </si>
  <si>
    <t>2018.11 北平房租-台銀網銀轉帳(2018.11開始)</t>
    <phoneticPr fontId="3" type="noConversion"/>
  </si>
  <si>
    <t>2018.11.05</t>
    <phoneticPr fontId="3" type="noConversion"/>
  </si>
  <si>
    <t>107.10 張</t>
    <phoneticPr fontId="3" type="noConversion"/>
  </si>
  <si>
    <t>107.10 欽 (2018.1月 調薪 $30150)</t>
    <phoneticPr fontId="3" type="noConversion"/>
  </si>
  <si>
    <t>2018.11.09</t>
    <phoneticPr fontId="3" type="noConversion"/>
  </si>
  <si>
    <t>2018.11.13</t>
    <phoneticPr fontId="3" type="noConversion"/>
  </si>
  <si>
    <t>401.2018.09~10</t>
    <phoneticPr fontId="3" type="noConversion"/>
  </si>
  <si>
    <t>2018.11.15</t>
    <phoneticPr fontId="3" type="noConversion"/>
  </si>
  <si>
    <t>2018.11.22</t>
    <phoneticPr fontId="3" type="noConversion"/>
  </si>
  <si>
    <t>鎔德支票回郵</t>
    <phoneticPr fontId="3" type="noConversion"/>
  </si>
  <si>
    <t>2018.11.26</t>
    <phoneticPr fontId="3" type="noConversion"/>
  </si>
  <si>
    <t>3公升垃圾袋</t>
    <phoneticPr fontId="3" type="noConversion"/>
  </si>
  <si>
    <t>2018.11.27</t>
    <phoneticPr fontId="3" type="noConversion"/>
  </si>
  <si>
    <t>元大銀行：806-瑞光分行
活儲：00168122936117
章挺憲
DV 2018/11/27 上午 06:24:50
請問是不是只有鎔德的款未到? 如果是就請匯(218491-105650=112841)元--&gt;不好意思, 這個才對
koofficecn  上午 08:37:51
依德的網域 $6300 也還沒匯
$105650 看要不要先扣 $1650 = $104000 (給錯, 這應該是要扣的)
DV  上午 08:39:15
OK
手續費 $30</t>
    <phoneticPr fontId="3" type="noConversion"/>
  </si>
  <si>
    <t>欠$30000</t>
    <phoneticPr fontId="3" type="noConversion"/>
  </si>
  <si>
    <t>107.10 達-1</t>
    <phoneticPr fontId="3" type="noConversion"/>
  </si>
  <si>
    <t>水費.107-11</t>
    <phoneticPr fontId="3" type="noConversion"/>
  </si>
  <si>
    <t>管理費-2018.11 106.8月開始調漲$20, (原$95+$20=$115/坪) * 12.68坪=$1458</t>
    <phoneticPr fontId="3" type="noConversion"/>
  </si>
  <si>
    <t>2018.12.03</t>
    <phoneticPr fontId="3" type="noConversion"/>
  </si>
  <si>
    <t>2018.12 北平房租-台銀網銀轉帳(2018.11開始)-轉ADA再轉房東</t>
    <phoneticPr fontId="3" type="noConversion"/>
  </si>
  <si>
    <t>2018.12.05</t>
    <phoneticPr fontId="3" type="noConversion"/>
  </si>
  <si>
    <t>DV-台北長庚病歷補$40, ADA-ATM轉帳, 手續費$10</t>
    <phoneticPr fontId="3" type="noConversion"/>
  </si>
  <si>
    <t>107.11 欽 (2018.1月 調薪 $30150)</t>
    <phoneticPr fontId="3" type="noConversion"/>
  </si>
  <si>
    <t>107.10 達-2</t>
    <phoneticPr fontId="3" type="noConversion"/>
  </si>
  <si>
    <t>元大銀行：806-瑞光分行
活儲：00168122936117
章挺憲
DV  上午 11:28:21
先給好了, 依德是應該不會不給錢
koofficecn  上午 11:29:11
OK, 那就 $218491 - $104000 = $114491
手續費$30</t>
    <phoneticPr fontId="3" type="noConversion"/>
  </si>
  <si>
    <t>汎輝帳號盜用法院提供記錄掛號費-少股重寄</t>
    <phoneticPr fontId="3" type="noConversion"/>
  </si>
  <si>
    <t>107.11 達</t>
    <phoneticPr fontId="3" type="noConversion"/>
  </si>
  <si>
    <t>2018.11 card ada代刷-中信 DV回國看診---ADA代刷卡, $308283 - 刷退 $5319(卡$5042,現$277) = $2964, 11/3 周六 維康加停車費 $868</t>
    <phoneticPr fontId="3" type="noConversion"/>
  </si>
  <si>
    <t>2018.12.07</t>
    <phoneticPr fontId="3" type="noConversion"/>
  </si>
  <si>
    <t>2018.11 card ada代刷-玉山</t>
    <phoneticPr fontId="3" type="noConversion"/>
  </si>
  <si>
    <t>2018.12.11</t>
    <phoneticPr fontId="3" type="noConversion"/>
  </si>
  <si>
    <t>依德續約換機車資</t>
    <phoneticPr fontId="3" type="noConversion"/>
  </si>
  <si>
    <t>2018.12.12</t>
    <phoneticPr fontId="3" type="noConversion"/>
  </si>
  <si>
    <t>永馳/八亨/施舒雅 發票</t>
    <phoneticPr fontId="3" type="noConversion"/>
  </si>
  <si>
    <t>2018.12.14</t>
    <phoneticPr fontId="3" type="noConversion"/>
  </si>
  <si>
    <t>太暘移機車資</t>
    <phoneticPr fontId="3" type="noConversion"/>
  </si>
  <si>
    <t>2018.12.18</t>
    <phoneticPr fontId="3" type="noConversion"/>
  </si>
  <si>
    <t>鎔德行善續約換機車資</t>
    <phoneticPr fontId="3" type="noConversion"/>
  </si>
  <si>
    <t>零用金-DV-0911209896電話費-退押金</t>
    <phoneticPr fontId="3" type="noConversion"/>
  </si>
  <si>
    <t>DV-0911209896電話費-費用</t>
    <phoneticPr fontId="3" type="noConversion"/>
  </si>
  <si>
    <t>2018.12.25</t>
    <phoneticPr fontId="3" type="noConversion"/>
  </si>
  <si>
    <t>華算108.01-02三聯式發票</t>
    <phoneticPr fontId="3" type="noConversion"/>
  </si>
  <si>
    <t>2018.12.28</t>
    <phoneticPr fontId="3" type="noConversion"/>
  </si>
  <si>
    <t>管理費-2018.12 106.8月開始調漲$20, (原$95+$20=$115/坪) * 12.68坪=$1458</t>
    <phoneticPr fontId="3" type="noConversion"/>
  </si>
  <si>
    <t>2019.01.02</t>
    <phoneticPr fontId="3" type="noConversion"/>
  </si>
  <si>
    <t>2019.01 北平房租-台銀網銀轉帳(2018.11開始)-轉ADA再轉房東</t>
    <phoneticPr fontId="3" type="noConversion"/>
  </si>
  <si>
    <t>605-60502112121093</t>
    <phoneticPr fontId="3" type="noConversion"/>
  </si>
  <si>
    <t>2019.01.03</t>
  </si>
  <si>
    <t>協億通續約換機車資</t>
    <phoneticPr fontId="3" type="noConversion"/>
  </si>
  <si>
    <t>汎輝維護車資</t>
    <phoneticPr fontId="3" type="noConversion"/>
  </si>
  <si>
    <t>2019.01.04</t>
    <phoneticPr fontId="3" type="noConversion"/>
  </si>
  <si>
    <t>請有空時, 麻煩轉給饒媽過年紅包16800元, 謝謝</t>
    <phoneticPr fontId="3" type="noConversion"/>
  </si>
  <si>
    <t>2019.01.05</t>
    <phoneticPr fontId="3" type="noConversion"/>
  </si>
  <si>
    <t>107.12 欽 (2018.1月 調薪 $30150)</t>
    <phoneticPr fontId="3" type="noConversion"/>
  </si>
  <si>
    <t>107.12 達</t>
    <phoneticPr fontId="3" type="noConversion"/>
  </si>
  <si>
    <t>107.12 張</t>
    <phoneticPr fontId="3" type="noConversion"/>
  </si>
  <si>
    <t>2019.01.08</t>
    <phoneticPr fontId="3" type="noConversion"/>
  </si>
  <si>
    <t>401.2018.11~12</t>
    <phoneticPr fontId="3" type="noConversion"/>
  </si>
  <si>
    <t>2019.01.15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</si>
  <si>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年終$40000-1-台銀信義</t>
    </r>
    <phoneticPr fontId="3" type="noConversion"/>
  </si>
  <si>
    <t>DV-保險理賠25萬-存ADA一銀定存-變更印鑑</t>
    <phoneticPr fontId="3" type="noConversion"/>
  </si>
  <si>
    <t>2019.01.16</t>
  </si>
  <si>
    <t>邁拓維護車資</t>
    <phoneticPr fontId="3" type="noConversion"/>
  </si>
  <si>
    <t>2019.01.17</t>
    <phoneticPr fontId="3" type="noConversion"/>
  </si>
  <si>
    <t>邁拓合約發票回郵</t>
    <phoneticPr fontId="3" type="noConversion"/>
  </si>
  <si>
    <t>2019.01.25</t>
    <phoneticPr fontId="3" type="noConversion"/>
  </si>
  <si>
    <t>好, 藥局說杏輝那顆現在要$5/粒, 我還是跟他拿240
羅得的$3/粒, 因為杏輝漲價, 羅得他算我們 $2.5/粒, 我也拿240</t>
    <phoneticPr fontId="3" type="noConversion"/>
  </si>
  <si>
    <t>2019.01.28</t>
    <phoneticPr fontId="3" type="noConversion"/>
  </si>
  <si>
    <t>管理費-2019.1 106.8月開始調漲$20, (原$95+$20=$115/坪) * 12.68坪=$1458</t>
    <phoneticPr fontId="3" type="noConversion"/>
  </si>
  <si>
    <t>2019.02.01</t>
    <phoneticPr fontId="3" type="noConversion"/>
  </si>
  <si>
    <t>2019.02 北平房租-台銀網銀轉帳(2018.11開始)-轉ADA再轉房東</t>
    <phoneticPr fontId="3" type="noConversion"/>
  </si>
  <si>
    <t>水費.108-01</t>
    <phoneticPr fontId="3" type="noConversion"/>
  </si>
  <si>
    <t>108.01 欽 (2018.1月 調薪 $30150)</t>
    <phoneticPr fontId="3" type="noConversion"/>
  </si>
  <si>
    <t>108.01 張</t>
    <phoneticPr fontId="3" type="noConversion"/>
  </si>
  <si>
    <t>2019.02.11</t>
    <phoneticPr fontId="3" type="noConversion"/>
  </si>
  <si>
    <t>2019.01 card ada代刷-中信</t>
    <phoneticPr fontId="3" type="noConversion"/>
  </si>
  <si>
    <t>108.01 達</t>
    <phoneticPr fontId="3" type="noConversion"/>
  </si>
  <si>
    <t>2019.02.13</t>
    <phoneticPr fontId="3" type="noConversion"/>
  </si>
  <si>
    <t>依德/鎔德/鉑德/大桐/友士/同皇發票,安力合約發票回郵</t>
    <phoneticPr fontId="3" type="noConversion"/>
  </si>
  <si>
    <t>郵票 @28x10, @8x10</t>
    <phoneticPr fontId="3" type="noConversion"/>
  </si>
  <si>
    <t>2019.02.14</t>
    <phoneticPr fontId="3" type="noConversion"/>
  </si>
  <si>
    <t>依德DNS回郵</t>
    <phoneticPr fontId="3" type="noConversion"/>
  </si>
  <si>
    <t>恩豪合約發票回郵</t>
    <phoneticPr fontId="3" type="noConversion"/>
  </si>
  <si>
    <t>A4紙</t>
    <phoneticPr fontId="3" type="noConversion"/>
  </si>
  <si>
    <t>2019.02.18</t>
    <phoneticPr fontId="3" type="noConversion"/>
  </si>
  <si>
    <t>同皇合約發票回郵</t>
    <phoneticPr fontId="3" type="noConversion"/>
  </si>
  <si>
    <t>2019.02.19</t>
    <phoneticPr fontId="3" type="noConversion"/>
  </si>
  <si>
    <t>電池</t>
    <phoneticPr fontId="3" type="noConversion"/>
  </si>
  <si>
    <t>2019.02.26</t>
    <phoneticPr fontId="3" type="noConversion"/>
  </si>
  <si>
    <t>管理費-2019.2 106.8月開始調漲$20, (原$95+$20=$115/坪) * 12.68坪=$1458</t>
    <phoneticPr fontId="3" type="noConversion"/>
  </si>
  <si>
    <t>華算108.03-04三聯式發票</t>
    <phoneticPr fontId="3" type="noConversion"/>
  </si>
  <si>
    <t>2019.03.04</t>
    <phoneticPr fontId="3" type="noConversion"/>
  </si>
  <si>
    <t>2019.03 北平房租-台銀網銀轉帳(2018.11開始)-轉ADA再轉房東</t>
    <phoneticPr fontId="3" type="noConversion"/>
  </si>
  <si>
    <t>2019.03.05</t>
  </si>
  <si>
    <t>108.02 欽 (2018.1月 調薪 $30150)</t>
    <phoneticPr fontId="3" type="noConversion"/>
  </si>
  <si>
    <t>108.02 達</t>
    <phoneticPr fontId="3" type="noConversion"/>
  </si>
  <si>
    <t>八亨/永馳/施舒雅發票掛號, @8郵票</t>
    <phoneticPr fontId="3" type="noConversion"/>
  </si>
  <si>
    <t>2019.03.07</t>
    <phoneticPr fontId="3" type="noConversion"/>
  </si>
  <si>
    <t>2019.02 card ada代刷-玉山</t>
    <phoneticPr fontId="3" type="noConversion"/>
  </si>
  <si>
    <t>2019.03.12</t>
    <phoneticPr fontId="3" type="noConversion"/>
  </si>
  <si>
    <t>401.2019.01~02</t>
    <phoneticPr fontId="3" type="noConversion"/>
  </si>
  <si>
    <t>2019.03.13</t>
  </si>
  <si>
    <r>
      <t>107.12 達---</t>
    </r>
    <r>
      <rPr>
        <sz val="12"/>
        <rFont val="新細明體"/>
        <family val="1"/>
        <charset val="136"/>
      </rPr>
      <t>年終$40000-2-台銀信義</t>
    </r>
    <phoneticPr fontId="3" type="noConversion"/>
  </si>
  <si>
    <t>2019.03.14</t>
  </si>
  <si>
    <t>合碩續約換機車資</t>
    <phoneticPr fontId="3" type="noConversion"/>
  </si>
  <si>
    <t>2019.03.19</t>
    <phoneticPr fontId="3" type="noConversion"/>
  </si>
  <si>
    <t>2019.03.21</t>
    <phoneticPr fontId="3" type="noConversion"/>
  </si>
  <si>
    <t xml:space="preserve">PETER
錢已匯, 匯出帳戶 台銀62367
一、 玉山銀行(808) 內湖分行 0462-968-236896 章挺憲  匯6,000.元
 $6000
二、 元大銀行(806) 瑞光分行 00168122936117 章挺憲  匯 6,000.元
 $6000
三、 陽信銀行 大屯分行 006020060615 蘇政仁 【扣掉匯費，剩下的金額都匯這裡】
 $92120 - $6000 -$6000 -$10 -$10 -$10 -$10 = $80080
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</si>
  <si>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</si>
  <si>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</si>
  <si>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2019.03.28</t>
    <phoneticPr fontId="3" type="noConversion"/>
  </si>
  <si>
    <t>膠布</t>
    <phoneticPr fontId="3" type="noConversion"/>
  </si>
  <si>
    <t>2019.04.01</t>
    <phoneticPr fontId="3" type="noConversion"/>
  </si>
  <si>
    <t>2019.04 北平房租-台銀網銀轉帳(2018.11開始)-轉ADA再轉房東</t>
    <phoneticPr fontId="3" type="noConversion"/>
  </si>
  <si>
    <t>2019.04.02</t>
  </si>
  <si>
    <t>水費.108-03</t>
    <phoneticPr fontId="3" type="noConversion"/>
  </si>
  <si>
    <t>2019.04.08</t>
    <phoneticPr fontId="3" type="noConversion"/>
  </si>
  <si>
    <t>108.03 欽 (2018.1月 調薪 $30150)</t>
    <phoneticPr fontId="3" type="noConversion"/>
  </si>
  <si>
    <t>108.03 達</t>
    <phoneticPr fontId="3" type="noConversion"/>
  </si>
  <si>
    <t>108.03 張</t>
    <phoneticPr fontId="3" type="noConversion"/>
  </si>
  <si>
    <t>2019.04.09</t>
  </si>
  <si>
    <t>2019.03 card ada代刷-玉山</t>
    <phoneticPr fontId="3" type="noConversion"/>
  </si>
  <si>
    <t>2019.04.10</t>
    <phoneticPr fontId="3" type="noConversion"/>
  </si>
  <si>
    <t>清潔劑</t>
    <phoneticPr fontId="3" type="noConversion"/>
  </si>
  <si>
    <t>2019.04.12</t>
    <phoneticPr fontId="3" type="noConversion"/>
  </si>
  <si>
    <t>鎔德-PRIME-CLUB 合約掛號</t>
    <phoneticPr fontId="3" type="noConversion"/>
  </si>
  <si>
    <t>2019.04.22</t>
    <phoneticPr fontId="3" type="noConversion"/>
  </si>
  <si>
    <t>不好意思, 請問公司有沒有現金6600元, 請轉給饒媽生日紅包</t>
    <phoneticPr fontId="3" type="noConversion"/>
  </si>
  <si>
    <t>2019.04.23</t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</si>
  <si>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</si>
  <si>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</si>
  <si>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2019.04.24</t>
  </si>
  <si>
    <t>華算108.05-06三聯式發票</t>
    <phoneticPr fontId="3" type="noConversion"/>
  </si>
  <si>
    <t>悠遊卡儲值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</si>
  <si>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</si>
  <si>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</si>
  <si>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</si>
  <si>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2019.05.02</t>
    <phoneticPr fontId="3" type="noConversion"/>
  </si>
  <si>
    <t>2019.05 北平房租-台銀網銀轉帳(2018.11開始)-轉ADA再轉房東</t>
    <phoneticPr fontId="3" type="noConversion"/>
  </si>
  <si>
    <t>2019.05.06</t>
    <phoneticPr fontId="3" type="noConversion"/>
  </si>
  <si>
    <t>108.04 欽 (2018.1月 調薪 $30150)</t>
    <phoneticPr fontId="3" type="noConversion"/>
  </si>
  <si>
    <t>108.04 達</t>
    <phoneticPr fontId="3" type="noConversion"/>
  </si>
  <si>
    <t>401.2019.03~04</t>
    <phoneticPr fontId="3" type="noConversion"/>
  </si>
  <si>
    <t>2019.05.06 轉 WORK</t>
    <phoneticPr fontId="3" type="noConversion"/>
  </si>
  <si>
    <t>達算停業續停</t>
    <phoneticPr fontId="3" type="noConversion"/>
  </si>
  <si>
    <t>現金相符</t>
    <phoneticPr fontId="3" type="noConversion"/>
  </si>
  <si>
    <t>2019.05.07</t>
    <phoneticPr fontId="3" type="noConversion"/>
  </si>
  <si>
    <t>依德/鎔德/鉑德/友士 發票掛號, 房東 平信</t>
    <phoneticPr fontId="3" type="noConversion"/>
  </si>
  <si>
    <t>依德CLUB 合約掛號補林銘皇</t>
    <phoneticPr fontId="3" type="noConversion"/>
  </si>
  <si>
    <t>107.12.31</t>
    <phoneticPr fontId="3" type="noConversion"/>
  </si>
  <si>
    <t>107.02.07</t>
    <phoneticPr fontId="3" type="noConversion"/>
  </si>
  <si>
    <t>107.02.26</t>
    <phoneticPr fontId="3" type="noConversion"/>
  </si>
  <si>
    <t>107.06.21</t>
    <phoneticPr fontId="3" type="noConversion"/>
  </si>
  <si>
    <t>107.07.10</t>
  </si>
  <si>
    <t>107.07.10</t>
    <phoneticPr fontId="3" type="noConversion"/>
  </si>
  <si>
    <t>107.08.07</t>
  </si>
  <si>
    <t>107.08.07</t>
    <phoneticPr fontId="3" type="noConversion"/>
  </si>
  <si>
    <t>107.10.09</t>
  </si>
  <si>
    <t>107.10.09</t>
    <phoneticPr fontId="3" type="noConversion"/>
  </si>
  <si>
    <t>107.11.13</t>
    <phoneticPr fontId="3" type="noConversion"/>
  </si>
  <si>
    <t>107.12.21</t>
    <phoneticPr fontId="3" type="noConversion"/>
  </si>
  <si>
    <t>匯款</t>
    <phoneticPr fontId="3" type="noConversion"/>
  </si>
  <si>
    <t>施舒雅---2</t>
    <phoneticPr fontId="3" type="noConversion"/>
  </si>
  <si>
    <t>轉華算城中</t>
    <phoneticPr fontId="3" type="noConversion"/>
  </si>
  <si>
    <t>存息</t>
    <phoneticPr fontId="3" type="noConversion"/>
  </si>
  <si>
    <t>施舒雅---4</t>
    <phoneticPr fontId="3" type="noConversion"/>
  </si>
  <si>
    <t>卡費---107.07</t>
    <phoneticPr fontId="3" type="noConversion"/>
  </si>
  <si>
    <t>107.07 信用卡</t>
    <phoneticPr fontId="3" type="noConversion"/>
  </si>
  <si>
    <t>401----107.09/107.10</t>
    <phoneticPr fontId="3" type="noConversion"/>
  </si>
  <si>
    <t>施舒雅---3</t>
    <phoneticPr fontId="3" type="noConversion"/>
  </si>
  <si>
    <t>107.01.01</t>
    <phoneticPr fontId="3" type="noConversion"/>
  </si>
  <si>
    <t>房租---北平16號---107.01</t>
    <phoneticPr fontId="3" type="noConversion"/>
  </si>
  <si>
    <t>107.01.02</t>
    <phoneticPr fontId="3" type="noConversion"/>
  </si>
  <si>
    <t>票兌---6646345</t>
    <phoneticPr fontId="3" type="noConversion"/>
  </si>
  <si>
    <t>勤業---5</t>
    <phoneticPr fontId="3" type="noConversion"/>
  </si>
  <si>
    <t>票兌---1315127</t>
    <phoneticPr fontId="3" type="noConversion"/>
  </si>
  <si>
    <t>汎輝---2</t>
    <phoneticPr fontId="3" type="noConversion"/>
  </si>
  <si>
    <t>107.01.03</t>
    <phoneticPr fontId="3" type="noConversion"/>
  </si>
  <si>
    <t>勞保---106.11</t>
    <phoneticPr fontId="3" type="noConversion"/>
  </si>
  <si>
    <t>勞退---106.10</t>
    <phoneticPr fontId="3" type="noConversion"/>
  </si>
  <si>
    <t>107.01.05</t>
    <phoneticPr fontId="3" type="noConversion"/>
  </si>
  <si>
    <t>卡費---106.12</t>
    <phoneticPr fontId="3" type="noConversion"/>
  </si>
  <si>
    <t>玉山</t>
    <phoneticPr fontId="3" type="noConversion"/>
  </si>
  <si>
    <t>薪---証---106.12</t>
    <phoneticPr fontId="3" type="noConversion"/>
  </si>
  <si>
    <t>薪---博---106.12</t>
    <phoneticPr fontId="3" type="noConversion"/>
  </si>
  <si>
    <t>107.01.09</t>
    <phoneticPr fontId="3" type="noConversion"/>
  </si>
  <si>
    <t>威視---10</t>
    <phoneticPr fontId="3" type="noConversion"/>
  </si>
  <si>
    <t>107.01.10</t>
    <phoneticPr fontId="3" type="noConversion"/>
  </si>
  <si>
    <t>401----106.11/106.12</t>
    <phoneticPr fontId="3" type="noConversion"/>
  </si>
  <si>
    <t>107.01.11</t>
    <phoneticPr fontId="3" type="noConversion"/>
  </si>
  <si>
    <t>票兌---9423812</t>
    <phoneticPr fontId="3" type="noConversion"/>
  </si>
  <si>
    <t>票兌---0272175</t>
    <phoneticPr fontId="3" type="noConversion"/>
  </si>
  <si>
    <t>友士---3</t>
    <phoneticPr fontId="3" type="noConversion"/>
  </si>
  <si>
    <t>協億通---5</t>
    <phoneticPr fontId="3" type="noConversion"/>
  </si>
  <si>
    <t>107.01.16</t>
    <phoneticPr fontId="3" type="noConversion"/>
  </si>
  <si>
    <t>健保---106.11</t>
    <phoneticPr fontId="3" type="noConversion"/>
  </si>
  <si>
    <t>107.01.17</t>
    <phoneticPr fontId="3" type="noConversion"/>
  </si>
  <si>
    <t>薪---達---106.12</t>
    <phoneticPr fontId="3" type="noConversion"/>
  </si>
  <si>
    <t>107.01.22</t>
    <phoneticPr fontId="3" type="noConversion"/>
  </si>
  <si>
    <t>票兌---1296650</t>
    <phoneticPr fontId="3" type="noConversion"/>
  </si>
  <si>
    <t>台一---4</t>
    <phoneticPr fontId="3" type="noConversion"/>
  </si>
  <si>
    <t>107.01.23</t>
    <phoneticPr fontId="3" type="noConversion"/>
  </si>
  <si>
    <t>年終---1</t>
    <phoneticPr fontId="3" type="noConversion"/>
  </si>
  <si>
    <t>107.01.24</t>
    <phoneticPr fontId="3" type="noConversion"/>
  </si>
  <si>
    <t>107.01.26</t>
    <phoneticPr fontId="3" type="noConversion"/>
  </si>
  <si>
    <t>電話---23518546---107.01</t>
    <phoneticPr fontId="3" type="noConversion"/>
  </si>
  <si>
    <t>電話---23518799---107.01</t>
    <phoneticPr fontId="3" type="noConversion"/>
  </si>
  <si>
    <t>電話---23518805---107.01</t>
    <phoneticPr fontId="3" type="noConversion"/>
  </si>
  <si>
    <t>107.01.30</t>
    <phoneticPr fontId="3" type="noConversion"/>
  </si>
  <si>
    <t>票兌---2053389</t>
    <phoneticPr fontId="3" type="noConversion"/>
  </si>
  <si>
    <t>票兌---5321614</t>
    <phoneticPr fontId="3" type="noConversion"/>
  </si>
  <si>
    <t>票兌---0570815</t>
    <phoneticPr fontId="3" type="noConversion"/>
  </si>
  <si>
    <t>票兌---6646346</t>
    <phoneticPr fontId="3" type="noConversion"/>
  </si>
  <si>
    <t>票兌---0809198</t>
    <phoneticPr fontId="3" type="noConversion"/>
  </si>
  <si>
    <t>旺旺達---4</t>
    <phoneticPr fontId="3" type="noConversion"/>
  </si>
  <si>
    <t>喜可---7</t>
    <phoneticPr fontId="3" type="noConversion"/>
  </si>
  <si>
    <t>鴻碩---4</t>
    <phoneticPr fontId="3" type="noConversion"/>
  </si>
  <si>
    <t>勤業---6</t>
    <phoneticPr fontId="3" type="noConversion"/>
  </si>
  <si>
    <t>雙安---4</t>
    <phoneticPr fontId="3" type="noConversion"/>
  </si>
  <si>
    <t>107.02.01</t>
    <phoneticPr fontId="3" type="noConversion"/>
  </si>
  <si>
    <t>勞保---106.12</t>
    <phoneticPr fontId="3" type="noConversion"/>
  </si>
  <si>
    <t>勞退---106.11</t>
    <phoneticPr fontId="3" type="noConversion"/>
  </si>
  <si>
    <t>房租---北平16號---107.02</t>
    <phoneticPr fontId="3" type="noConversion"/>
  </si>
  <si>
    <t>107.02.05</t>
    <phoneticPr fontId="3" type="noConversion"/>
  </si>
  <si>
    <t>票兌---1533151</t>
    <phoneticPr fontId="3" type="noConversion"/>
  </si>
  <si>
    <t>票兌---3377511</t>
    <phoneticPr fontId="3" type="noConversion"/>
  </si>
  <si>
    <t>票兌---1537908</t>
    <phoneticPr fontId="3" type="noConversion"/>
  </si>
  <si>
    <t>品固CN---7</t>
    <phoneticPr fontId="3" type="noConversion"/>
  </si>
  <si>
    <t>依德---6</t>
    <phoneticPr fontId="3" type="noConversion"/>
  </si>
  <si>
    <t>品固TW---7</t>
    <phoneticPr fontId="3" type="noConversion"/>
  </si>
  <si>
    <t>薪---証---107.01</t>
    <phoneticPr fontId="3" type="noConversion"/>
  </si>
  <si>
    <t>薪---博---107.01</t>
    <phoneticPr fontId="3" type="noConversion"/>
  </si>
  <si>
    <t>107.02.06</t>
    <phoneticPr fontId="3" type="noConversion"/>
  </si>
  <si>
    <t>卡費---107.01</t>
    <phoneticPr fontId="3" type="noConversion"/>
  </si>
  <si>
    <t>票兌---3732012</t>
    <phoneticPr fontId="3" type="noConversion"/>
  </si>
  <si>
    <t>佳尼特---1</t>
    <phoneticPr fontId="3" type="noConversion"/>
  </si>
  <si>
    <t>PT借支</t>
    <phoneticPr fontId="3" type="noConversion"/>
  </si>
  <si>
    <t>107.02.09</t>
    <phoneticPr fontId="3" type="noConversion"/>
  </si>
  <si>
    <t>威視---11</t>
    <phoneticPr fontId="3" type="noConversion"/>
  </si>
  <si>
    <t>107.02.12</t>
    <phoneticPr fontId="3" type="noConversion"/>
  </si>
  <si>
    <t>107.02.15</t>
    <phoneticPr fontId="3" type="noConversion"/>
  </si>
  <si>
    <t>年終---2</t>
    <phoneticPr fontId="3" type="noConversion"/>
  </si>
  <si>
    <t>年終---3</t>
    <phoneticPr fontId="3" type="noConversion"/>
  </si>
  <si>
    <t>107.02.21</t>
    <phoneticPr fontId="3" type="noConversion"/>
  </si>
  <si>
    <t>票兌---2884902</t>
    <phoneticPr fontId="3" type="noConversion"/>
  </si>
  <si>
    <t>票兌---1005096</t>
    <phoneticPr fontId="3" type="noConversion"/>
  </si>
  <si>
    <t>票兌---4780709</t>
    <phoneticPr fontId="3" type="noConversion"/>
  </si>
  <si>
    <t>裕恆---4</t>
    <phoneticPr fontId="3" type="noConversion"/>
  </si>
  <si>
    <t>大桐車源二次款</t>
    <phoneticPr fontId="3" type="noConversion"/>
  </si>
  <si>
    <t>元超---5</t>
    <phoneticPr fontId="3" type="noConversion"/>
  </si>
  <si>
    <t>107.02.22</t>
    <phoneticPr fontId="3" type="noConversion"/>
  </si>
  <si>
    <t>健保---106.12</t>
    <phoneticPr fontId="3" type="noConversion"/>
  </si>
  <si>
    <t>DV-MA</t>
    <phoneticPr fontId="3" type="noConversion"/>
  </si>
  <si>
    <t>票兌---0546983</t>
    <phoneticPr fontId="3" type="noConversion"/>
  </si>
  <si>
    <t>票兌---1765278</t>
    <phoneticPr fontId="3" type="noConversion"/>
  </si>
  <si>
    <t>票兌---8522883</t>
    <phoneticPr fontId="3" type="noConversion"/>
  </si>
  <si>
    <t>票兌---8522875</t>
    <phoneticPr fontId="3" type="noConversion"/>
  </si>
  <si>
    <t>鉑德---3</t>
    <phoneticPr fontId="3" type="noConversion"/>
  </si>
  <si>
    <t>安力---5</t>
    <phoneticPr fontId="3" type="noConversion"/>
  </si>
  <si>
    <t>鎔德---6</t>
    <phoneticPr fontId="3" type="noConversion"/>
  </si>
  <si>
    <t>華算信義轉入</t>
    <phoneticPr fontId="3" type="noConversion"/>
  </si>
  <si>
    <t>PT-20萬+7萬7千</t>
    <phoneticPr fontId="3" type="noConversion"/>
  </si>
  <si>
    <t>107.02.27</t>
    <phoneticPr fontId="3" type="noConversion"/>
  </si>
  <si>
    <t>票兌---5867421</t>
    <phoneticPr fontId="3" type="noConversion"/>
  </si>
  <si>
    <t>恩豪---5</t>
    <phoneticPr fontId="3" type="noConversion"/>
  </si>
  <si>
    <t>年終---4</t>
    <phoneticPr fontId="3" type="noConversion"/>
  </si>
  <si>
    <t>薪---達---107.01</t>
    <phoneticPr fontId="3" type="noConversion"/>
  </si>
  <si>
    <t>107.03.01</t>
    <phoneticPr fontId="3" type="noConversion"/>
  </si>
  <si>
    <t>票兌---8851481</t>
    <phoneticPr fontId="3" type="noConversion"/>
  </si>
  <si>
    <t>票兌---1880956</t>
    <phoneticPr fontId="3" type="noConversion"/>
  </si>
  <si>
    <t>票兌---5992954</t>
    <phoneticPr fontId="3" type="noConversion"/>
  </si>
  <si>
    <t>票兌---4811955</t>
    <phoneticPr fontId="3" type="noConversion"/>
  </si>
  <si>
    <t>票兌---6152757</t>
    <phoneticPr fontId="3" type="noConversion"/>
  </si>
  <si>
    <t>票兌---6646347</t>
    <phoneticPr fontId="3" type="noConversion"/>
  </si>
  <si>
    <t>大成---4</t>
    <phoneticPr fontId="3" type="noConversion"/>
  </si>
  <si>
    <t>漢聯---8</t>
    <phoneticPr fontId="3" type="noConversion"/>
  </si>
  <si>
    <t>松群---2</t>
    <phoneticPr fontId="3" type="noConversion"/>
  </si>
  <si>
    <t>太暘---3</t>
    <phoneticPr fontId="3" type="noConversion"/>
  </si>
  <si>
    <t>達翌---5</t>
    <phoneticPr fontId="3" type="noConversion"/>
  </si>
  <si>
    <t>邁拓---7</t>
    <phoneticPr fontId="3" type="noConversion"/>
  </si>
  <si>
    <t>勤業---7</t>
    <phoneticPr fontId="3" type="noConversion"/>
  </si>
  <si>
    <t>票兌---7506939</t>
    <phoneticPr fontId="3" type="noConversion"/>
  </si>
  <si>
    <t>合碩---7</t>
    <phoneticPr fontId="3" type="noConversion"/>
  </si>
  <si>
    <t>房租---北平16號---107.03</t>
    <phoneticPr fontId="3" type="noConversion"/>
  </si>
  <si>
    <t>永馳---8</t>
    <phoneticPr fontId="3" type="noConversion"/>
  </si>
  <si>
    <t>107.03.02</t>
    <phoneticPr fontId="3" type="noConversion"/>
  </si>
  <si>
    <t>勞保---107.01</t>
    <phoneticPr fontId="3" type="noConversion"/>
  </si>
  <si>
    <t>勞退---106.12</t>
    <phoneticPr fontId="3" type="noConversion"/>
  </si>
  <si>
    <t>107.03.05</t>
    <phoneticPr fontId="3" type="noConversion"/>
  </si>
  <si>
    <t>薪---証---107.02</t>
    <phoneticPr fontId="3" type="noConversion"/>
  </si>
  <si>
    <t>薪---博---107.02</t>
    <phoneticPr fontId="3" type="noConversion"/>
  </si>
  <si>
    <t>107.03.06</t>
    <phoneticPr fontId="3" type="noConversion"/>
  </si>
  <si>
    <t>電話---23518546---107.02</t>
    <phoneticPr fontId="3" type="noConversion"/>
  </si>
  <si>
    <t>電話---23518799---107.02</t>
    <phoneticPr fontId="3" type="noConversion"/>
  </si>
  <si>
    <t>電話---23518805---107.02</t>
    <phoneticPr fontId="3" type="noConversion"/>
  </si>
  <si>
    <t>107.03.09</t>
    <phoneticPr fontId="3" type="noConversion"/>
  </si>
  <si>
    <t>401----107.01/107.02</t>
    <phoneticPr fontId="3" type="noConversion"/>
  </si>
  <si>
    <t>威視---12</t>
    <phoneticPr fontId="3" type="noConversion"/>
  </si>
  <si>
    <t>107.03.12</t>
    <phoneticPr fontId="3" type="noConversion"/>
  </si>
  <si>
    <t>票兌---6452307</t>
    <phoneticPr fontId="3" type="noConversion"/>
  </si>
  <si>
    <t>西拓---8</t>
    <phoneticPr fontId="3" type="noConversion"/>
  </si>
  <si>
    <t>薪---達---107.02</t>
    <phoneticPr fontId="3" type="noConversion"/>
  </si>
  <si>
    <t>107.03.15</t>
    <phoneticPr fontId="3" type="noConversion"/>
  </si>
  <si>
    <t>票兌---7096469</t>
    <phoneticPr fontId="3" type="noConversion"/>
  </si>
  <si>
    <t>票兌---1003286</t>
    <phoneticPr fontId="3" type="noConversion"/>
  </si>
  <si>
    <t>愛浪---4</t>
    <phoneticPr fontId="3" type="noConversion"/>
  </si>
  <si>
    <t>大桐---4</t>
    <phoneticPr fontId="3" type="noConversion"/>
  </si>
  <si>
    <t>八亨---2</t>
    <phoneticPr fontId="3" type="noConversion"/>
  </si>
  <si>
    <t>107.03.16</t>
    <phoneticPr fontId="3" type="noConversion"/>
  </si>
  <si>
    <t>健保---107.01</t>
    <phoneticPr fontId="3" type="noConversion"/>
  </si>
  <si>
    <t>107.03.20</t>
    <phoneticPr fontId="3" type="noConversion"/>
  </si>
  <si>
    <t>票兌---1561234</t>
    <phoneticPr fontId="3" type="noConversion"/>
  </si>
  <si>
    <t>票兌---1555760</t>
    <phoneticPr fontId="3" type="noConversion"/>
  </si>
  <si>
    <t>品固---1</t>
    <phoneticPr fontId="3" type="noConversion"/>
  </si>
  <si>
    <t>威倫---8</t>
    <phoneticPr fontId="3" type="noConversion"/>
  </si>
  <si>
    <t>107.03.22</t>
    <phoneticPr fontId="3" type="noConversion"/>
  </si>
  <si>
    <t>107.03.26</t>
    <phoneticPr fontId="3" type="noConversion"/>
  </si>
  <si>
    <t>票兌---1055062</t>
    <phoneticPr fontId="3" type="noConversion"/>
  </si>
  <si>
    <t>道法---2</t>
    <phoneticPr fontId="3" type="noConversion"/>
  </si>
  <si>
    <t>107.03.28</t>
    <phoneticPr fontId="3" type="noConversion"/>
  </si>
  <si>
    <t>107.03.30</t>
    <phoneticPr fontId="3" type="noConversion"/>
  </si>
  <si>
    <t>電話---23518546---107.03</t>
    <phoneticPr fontId="3" type="noConversion"/>
  </si>
  <si>
    <t>電話---23518799---107.03</t>
    <phoneticPr fontId="3" type="noConversion"/>
  </si>
  <si>
    <t>電話---23518805---107.03</t>
    <phoneticPr fontId="3" type="noConversion"/>
  </si>
  <si>
    <t>107.03.31</t>
    <phoneticPr fontId="3" type="noConversion"/>
  </si>
  <si>
    <t>107.04.02</t>
    <phoneticPr fontId="3" type="noConversion"/>
  </si>
  <si>
    <t>票兌---1315128</t>
    <phoneticPr fontId="3" type="noConversion"/>
  </si>
  <si>
    <t>票兌---6646348</t>
    <phoneticPr fontId="3" type="noConversion"/>
  </si>
  <si>
    <t>票兌---3732013</t>
    <phoneticPr fontId="3" type="noConversion"/>
  </si>
  <si>
    <t>汎輝---3</t>
    <phoneticPr fontId="3" type="noConversion"/>
  </si>
  <si>
    <t>勤業---8</t>
    <phoneticPr fontId="3" type="noConversion"/>
  </si>
  <si>
    <t>佳尼特---2</t>
    <phoneticPr fontId="3" type="noConversion"/>
  </si>
  <si>
    <t>107.04.01</t>
    <phoneticPr fontId="3" type="noConversion"/>
  </si>
  <si>
    <t>勞保---107.02</t>
    <phoneticPr fontId="3" type="noConversion"/>
  </si>
  <si>
    <t>勞退---107.01</t>
    <phoneticPr fontId="3" type="noConversion"/>
  </si>
  <si>
    <t>107.04.03</t>
    <phoneticPr fontId="3" type="noConversion"/>
  </si>
  <si>
    <t>票兌---0246505</t>
    <phoneticPr fontId="3" type="noConversion"/>
  </si>
  <si>
    <t>票兌---6625521</t>
    <phoneticPr fontId="3" type="noConversion"/>
  </si>
  <si>
    <t>展鑫---1</t>
    <phoneticPr fontId="3" type="noConversion"/>
  </si>
  <si>
    <t>祥和---1</t>
    <phoneticPr fontId="3" type="noConversion"/>
  </si>
  <si>
    <t>107.04.09</t>
    <phoneticPr fontId="3" type="noConversion"/>
  </si>
  <si>
    <t>薪---証---107.03</t>
    <phoneticPr fontId="3" type="noConversion"/>
  </si>
  <si>
    <t>薪---博---107.03</t>
    <phoneticPr fontId="3" type="noConversion"/>
  </si>
  <si>
    <t>薪---達---107.03</t>
    <phoneticPr fontId="3" type="noConversion"/>
  </si>
  <si>
    <t>威視---13</t>
    <phoneticPr fontId="3" type="noConversion"/>
  </si>
  <si>
    <t>107.04.10</t>
    <phoneticPr fontId="3" type="noConversion"/>
  </si>
  <si>
    <t>票兌---0272176</t>
    <phoneticPr fontId="3" type="noConversion"/>
  </si>
  <si>
    <t>票兌---9424614</t>
    <phoneticPr fontId="3" type="noConversion"/>
  </si>
  <si>
    <t>協億通---6</t>
    <phoneticPr fontId="3" type="noConversion"/>
  </si>
  <si>
    <t>友士---4</t>
    <phoneticPr fontId="3" type="noConversion"/>
  </si>
  <si>
    <t>107.04.16</t>
    <phoneticPr fontId="3" type="noConversion"/>
  </si>
  <si>
    <t>107.04.17</t>
    <phoneticPr fontId="3" type="noConversion"/>
  </si>
  <si>
    <t>健保---107.02</t>
    <phoneticPr fontId="3" type="noConversion"/>
  </si>
  <si>
    <t>107.04.20</t>
    <phoneticPr fontId="3" type="noConversion"/>
  </si>
  <si>
    <t>票兌---1296651</t>
    <phoneticPr fontId="3" type="noConversion"/>
  </si>
  <si>
    <t>台一---5</t>
    <phoneticPr fontId="3" type="noConversion"/>
  </si>
  <si>
    <t>同皇---4</t>
    <phoneticPr fontId="3" type="noConversion"/>
  </si>
  <si>
    <t>107.04.27</t>
    <phoneticPr fontId="3" type="noConversion"/>
  </si>
  <si>
    <t>電話---23518546---107.04</t>
    <phoneticPr fontId="3" type="noConversion"/>
  </si>
  <si>
    <t>電話---23518799---107.04</t>
    <phoneticPr fontId="3" type="noConversion"/>
  </si>
  <si>
    <t>電話---23518805---107.04</t>
    <phoneticPr fontId="3" type="noConversion"/>
  </si>
  <si>
    <t>107.04.30</t>
    <phoneticPr fontId="3" type="noConversion"/>
  </si>
  <si>
    <t>107.05.02</t>
    <phoneticPr fontId="3" type="noConversion"/>
  </si>
  <si>
    <t>107.05.07</t>
    <phoneticPr fontId="3" type="noConversion"/>
  </si>
  <si>
    <t>107.05.10</t>
    <phoneticPr fontId="3" type="noConversion"/>
  </si>
  <si>
    <t>107.05.18</t>
    <phoneticPr fontId="3" type="noConversion"/>
  </si>
  <si>
    <t>107.05.08</t>
    <phoneticPr fontId="3" type="noConversion"/>
  </si>
  <si>
    <t>107.05.15</t>
    <phoneticPr fontId="3" type="noConversion"/>
  </si>
  <si>
    <t>107.05.25</t>
    <phoneticPr fontId="3" type="noConversion"/>
  </si>
  <si>
    <t>票兌---2053390</t>
    <phoneticPr fontId="3" type="noConversion"/>
  </si>
  <si>
    <t>票兌---0570816</t>
    <phoneticPr fontId="3" type="noConversion"/>
  </si>
  <si>
    <t>票兌---5321615</t>
    <phoneticPr fontId="3" type="noConversion"/>
  </si>
  <si>
    <t>票兌---6646349</t>
    <phoneticPr fontId="3" type="noConversion"/>
  </si>
  <si>
    <t>票兌---0809199</t>
    <phoneticPr fontId="3" type="noConversion"/>
  </si>
  <si>
    <t>票兌---1533152</t>
    <phoneticPr fontId="3" type="noConversion"/>
  </si>
  <si>
    <t>票兌---1537909</t>
    <phoneticPr fontId="3" type="noConversion"/>
  </si>
  <si>
    <t>票兌---3377512</t>
    <phoneticPr fontId="3" type="noConversion"/>
  </si>
  <si>
    <t>票兌---0246506</t>
    <phoneticPr fontId="3" type="noConversion"/>
  </si>
  <si>
    <t>票兌---5867422</t>
    <phoneticPr fontId="3" type="noConversion"/>
  </si>
  <si>
    <t>票兌---2884903</t>
    <phoneticPr fontId="3" type="noConversion"/>
  </si>
  <si>
    <t>票兌---4780710</t>
    <phoneticPr fontId="3" type="noConversion"/>
  </si>
  <si>
    <t>票兌---1765279</t>
    <phoneticPr fontId="3" type="noConversion"/>
  </si>
  <si>
    <t>票兌---8522876</t>
    <phoneticPr fontId="3" type="noConversion"/>
  </si>
  <si>
    <t>旺旺達---5</t>
    <phoneticPr fontId="3" type="noConversion"/>
  </si>
  <si>
    <t>鴻碩---5</t>
    <phoneticPr fontId="3" type="noConversion"/>
  </si>
  <si>
    <t>喜可---8</t>
    <phoneticPr fontId="3" type="noConversion"/>
  </si>
  <si>
    <t>勤業---9</t>
    <phoneticPr fontId="3" type="noConversion"/>
  </si>
  <si>
    <t>雙安---5</t>
    <phoneticPr fontId="3" type="noConversion"/>
  </si>
  <si>
    <t>品固CN---8</t>
    <phoneticPr fontId="3" type="noConversion"/>
  </si>
  <si>
    <t>品固TW---8</t>
    <phoneticPr fontId="3" type="noConversion"/>
  </si>
  <si>
    <t>依德---7</t>
    <phoneticPr fontId="3" type="noConversion"/>
  </si>
  <si>
    <t>展鑫---2</t>
    <phoneticPr fontId="3" type="noConversion"/>
  </si>
  <si>
    <t>恩豪---6</t>
    <phoneticPr fontId="3" type="noConversion"/>
  </si>
  <si>
    <t>裕恆---5</t>
    <phoneticPr fontId="3" type="noConversion"/>
  </si>
  <si>
    <t>元超---6</t>
    <phoneticPr fontId="3" type="noConversion"/>
  </si>
  <si>
    <t>安力---6</t>
    <phoneticPr fontId="3" type="noConversion"/>
  </si>
  <si>
    <t>鎔德---7</t>
    <phoneticPr fontId="3" type="noConversion"/>
  </si>
  <si>
    <t>107.05.01</t>
    <phoneticPr fontId="3" type="noConversion"/>
  </si>
  <si>
    <t>房租---北平16號---107.05</t>
    <phoneticPr fontId="3" type="noConversion"/>
  </si>
  <si>
    <t>房租---北平16號---107.04</t>
    <phoneticPr fontId="3" type="noConversion"/>
  </si>
  <si>
    <t>勞保---107.03</t>
    <phoneticPr fontId="3" type="noConversion"/>
  </si>
  <si>
    <t>勞退---107.02</t>
    <phoneticPr fontId="3" type="noConversion"/>
  </si>
  <si>
    <t>薪---博---107.04</t>
    <phoneticPr fontId="3" type="noConversion"/>
  </si>
  <si>
    <t>卡費---107.04</t>
    <phoneticPr fontId="3" type="noConversion"/>
  </si>
  <si>
    <t>401----107.03/107.04</t>
    <phoneticPr fontId="3" type="noConversion"/>
  </si>
  <si>
    <t>薪---達---107.04</t>
    <phoneticPr fontId="3" type="noConversion"/>
  </si>
  <si>
    <t>107.05.09</t>
  </si>
  <si>
    <t>威視---14</t>
    <phoneticPr fontId="3" type="noConversion"/>
  </si>
  <si>
    <t>107.05.16</t>
  </si>
  <si>
    <t>健保---107.03</t>
    <phoneticPr fontId="3" type="noConversion"/>
  </si>
  <si>
    <t>107.05.22</t>
    <phoneticPr fontId="3" type="noConversion"/>
  </si>
  <si>
    <t>票兌---8522884</t>
    <phoneticPr fontId="3" type="noConversion"/>
  </si>
  <si>
    <t>票兌---0546984</t>
    <phoneticPr fontId="3" type="noConversion"/>
  </si>
  <si>
    <t>鉑德---4</t>
    <phoneticPr fontId="3" type="noConversion"/>
  </si>
  <si>
    <t>107.05.28</t>
    <phoneticPr fontId="3" type="noConversion"/>
  </si>
  <si>
    <t>電話---23518546---107.05</t>
    <phoneticPr fontId="3" type="noConversion"/>
  </si>
  <si>
    <t>電話---23518799---107.05</t>
    <phoneticPr fontId="3" type="noConversion"/>
  </si>
  <si>
    <t>電話---23518805---107.05</t>
    <phoneticPr fontId="3" type="noConversion"/>
  </si>
  <si>
    <t>107.05.31</t>
    <phoneticPr fontId="3" type="noConversion"/>
  </si>
  <si>
    <t>票兌---7383244</t>
    <phoneticPr fontId="3" type="noConversion"/>
  </si>
  <si>
    <t>票兌---4811956</t>
    <phoneticPr fontId="3" type="noConversion"/>
  </si>
  <si>
    <t>票兌---5992955</t>
    <phoneticPr fontId="3" type="noConversion"/>
  </si>
  <si>
    <t>票兌---1880957</t>
    <phoneticPr fontId="3" type="noConversion"/>
  </si>
  <si>
    <t>票兌---6646350</t>
    <phoneticPr fontId="3" type="noConversion"/>
  </si>
  <si>
    <t>票兌---6152758</t>
    <phoneticPr fontId="3" type="noConversion"/>
  </si>
  <si>
    <t>票兌---7506940</t>
    <phoneticPr fontId="3" type="noConversion"/>
  </si>
  <si>
    <t>大成---5</t>
    <phoneticPr fontId="3" type="noConversion"/>
  </si>
  <si>
    <t>達翌---6</t>
    <phoneticPr fontId="3" type="noConversion"/>
  </si>
  <si>
    <t>太暘---4</t>
    <phoneticPr fontId="3" type="noConversion"/>
  </si>
  <si>
    <t>松群---3</t>
    <phoneticPr fontId="3" type="noConversion"/>
  </si>
  <si>
    <t>勤業---10</t>
    <phoneticPr fontId="3" type="noConversion"/>
  </si>
  <si>
    <t>邁拓---8</t>
    <phoneticPr fontId="3" type="noConversion"/>
  </si>
  <si>
    <t>合碩---8</t>
    <phoneticPr fontId="3" type="noConversion"/>
  </si>
  <si>
    <t>107.06.01</t>
    <phoneticPr fontId="3" type="noConversion"/>
  </si>
  <si>
    <t>勞保---107.04</t>
    <phoneticPr fontId="3" type="noConversion"/>
  </si>
  <si>
    <t>勞退---107.03</t>
    <phoneticPr fontId="3" type="noConversion"/>
  </si>
  <si>
    <t>107.06.05</t>
    <phoneticPr fontId="3" type="noConversion"/>
  </si>
  <si>
    <t>薪---博---107.05</t>
    <phoneticPr fontId="3" type="noConversion"/>
  </si>
  <si>
    <t>薪---達---107.05</t>
    <phoneticPr fontId="3" type="noConversion"/>
  </si>
  <si>
    <t>房租---北平16號---107.06</t>
    <phoneticPr fontId="3" type="noConversion"/>
  </si>
  <si>
    <t>卡費---107.05</t>
    <phoneticPr fontId="3" type="noConversion"/>
  </si>
  <si>
    <t>107.06.08</t>
    <phoneticPr fontId="3" type="noConversion"/>
  </si>
  <si>
    <t>威視---15</t>
    <phoneticPr fontId="3" type="noConversion"/>
  </si>
  <si>
    <t>107.06.07</t>
    <phoneticPr fontId="3" type="noConversion"/>
  </si>
  <si>
    <t>107.06.15</t>
    <phoneticPr fontId="3" type="noConversion"/>
  </si>
  <si>
    <t>票兌---1315126</t>
    <phoneticPr fontId="3" type="noConversion"/>
  </si>
  <si>
    <t>票兌---1003287</t>
    <phoneticPr fontId="3" type="noConversion"/>
  </si>
  <si>
    <t>票兌---6625512</t>
    <phoneticPr fontId="3" type="noConversion"/>
  </si>
  <si>
    <t>票兌---7096470</t>
    <phoneticPr fontId="3" type="noConversion"/>
  </si>
  <si>
    <t>汎輝---1</t>
    <phoneticPr fontId="3" type="noConversion"/>
  </si>
  <si>
    <t>大桐---5</t>
    <phoneticPr fontId="3" type="noConversion"/>
  </si>
  <si>
    <t>祥和---2</t>
    <phoneticPr fontId="3" type="noConversion"/>
  </si>
  <si>
    <t>愛浪---5</t>
    <phoneticPr fontId="3" type="noConversion"/>
  </si>
  <si>
    <t>八亨---3</t>
    <phoneticPr fontId="3" type="noConversion"/>
  </si>
  <si>
    <t>107.06.19</t>
    <phoneticPr fontId="3" type="noConversion"/>
  </si>
  <si>
    <t>健保---107.04</t>
    <phoneticPr fontId="3" type="noConversion"/>
  </si>
  <si>
    <t>電費---107.05</t>
    <phoneticPr fontId="3" type="noConversion"/>
  </si>
  <si>
    <t>電費---107.03</t>
    <phoneticPr fontId="3" type="noConversion"/>
  </si>
  <si>
    <t>107.06.20</t>
    <phoneticPr fontId="3" type="noConversion"/>
  </si>
  <si>
    <t>票兌---1561235</t>
    <phoneticPr fontId="3" type="noConversion"/>
  </si>
  <si>
    <t>品固---2</t>
    <phoneticPr fontId="3" type="noConversion"/>
  </si>
  <si>
    <t>107.06.25</t>
    <phoneticPr fontId="3" type="noConversion"/>
  </si>
  <si>
    <t>票兌---1055063</t>
    <phoneticPr fontId="3" type="noConversion"/>
  </si>
  <si>
    <t>道法---3</t>
    <phoneticPr fontId="3" type="noConversion"/>
  </si>
  <si>
    <t>107.06.26</t>
  </si>
  <si>
    <t>電話---23518546---107.06</t>
    <phoneticPr fontId="3" type="noConversion"/>
  </si>
  <si>
    <t>電話---23518799---107.06</t>
    <phoneticPr fontId="3" type="noConversion"/>
  </si>
  <si>
    <t>電話---23518805---107.06</t>
    <phoneticPr fontId="3" type="noConversion"/>
  </si>
  <si>
    <t>107.07.01</t>
    <phoneticPr fontId="3" type="noConversion"/>
  </si>
  <si>
    <t>房租---北平16號---107.07</t>
    <phoneticPr fontId="3" type="noConversion"/>
  </si>
  <si>
    <t>107.07.02</t>
    <phoneticPr fontId="3" type="noConversion"/>
  </si>
  <si>
    <t>票兌---1315129</t>
    <phoneticPr fontId="3" type="noConversion"/>
  </si>
  <si>
    <t>票兌---6646351</t>
    <phoneticPr fontId="3" type="noConversion"/>
  </si>
  <si>
    <t>票兌---3732014</t>
    <phoneticPr fontId="3" type="noConversion"/>
  </si>
  <si>
    <t>汎輝---4</t>
    <phoneticPr fontId="3" type="noConversion"/>
  </si>
  <si>
    <t>勤業---11</t>
    <phoneticPr fontId="3" type="noConversion"/>
  </si>
  <si>
    <t>佳尼特---3</t>
    <phoneticPr fontId="3" type="noConversion"/>
  </si>
  <si>
    <t>107.07.03</t>
  </si>
  <si>
    <t>勞保---107.05</t>
    <phoneticPr fontId="3" type="noConversion"/>
  </si>
  <si>
    <t>勞退---107.04</t>
    <phoneticPr fontId="3" type="noConversion"/>
  </si>
  <si>
    <t>107.07.05</t>
    <phoneticPr fontId="3" type="noConversion"/>
  </si>
  <si>
    <t>薪---博---107.06</t>
    <phoneticPr fontId="3" type="noConversion"/>
  </si>
  <si>
    <t>薪---達---107.06</t>
    <phoneticPr fontId="3" type="noConversion"/>
  </si>
  <si>
    <t>107.07.09</t>
    <phoneticPr fontId="3" type="noConversion"/>
  </si>
  <si>
    <t>威視---16</t>
    <phoneticPr fontId="3" type="noConversion"/>
  </si>
  <si>
    <t>401----107.05/107.06</t>
    <phoneticPr fontId="3" type="noConversion"/>
  </si>
  <si>
    <t>107.07.11</t>
  </si>
  <si>
    <t>票兌---1556860</t>
    <phoneticPr fontId="3" type="noConversion"/>
  </si>
  <si>
    <t>票兌---2981249</t>
    <phoneticPr fontId="3" type="noConversion"/>
  </si>
  <si>
    <t>票兌---0272177</t>
    <phoneticPr fontId="3" type="noConversion"/>
  </si>
  <si>
    <t>威倫---1</t>
    <phoneticPr fontId="3" type="noConversion"/>
  </si>
  <si>
    <t>友士---5</t>
    <phoneticPr fontId="3" type="noConversion"/>
  </si>
  <si>
    <t>協億通---7</t>
    <phoneticPr fontId="3" type="noConversion"/>
  </si>
  <si>
    <t>107.07.16</t>
    <phoneticPr fontId="3" type="noConversion"/>
  </si>
  <si>
    <t>107.07.17</t>
    <phoneticPr fontId="3" type="noConversion"/>
  </si>
  <si>
    <t>健保---107.05</t>
    <phoneticPr fontId="3" type="noConversion"/>
  </si>
  <si>
    <t>同皇---5</t>
    <phoneticPr fontId="3" type="noConversion"/>
  </si>
  <si>
    <t>107.07.20</t>
    <phoneticPr fontId="3" type="noConversion"/>
  </si>
  <si>
    <t>票兌---1296652</t>
    <phoneticPr fontId="3" type="noConversion"/>
  </si>
  <si>
    <t>台一---6</t>
    <phoneticPr fontId="3" type="noConversion"/>
  </si>
  <si>
    <t>107.07.25</t>
    <phoneticPr fontId="3" type="noConversion"/>
  </si>
  <si>
    <t>107.07.26</t>
    <phoneticPr fontId="3" type="noConversion"/>
  </si>
  <si>
    <t>電話---23518546---107.07</t>
    <phoneticPr fontId="3" type="noConversion"/>
  </si>
  <si>
    <t>電話---23518799---107.07</t>
    <phoneticPr fontId="3" type="noConversion"/>
  </si>
  <si>
    <t>電話---23518805---107.07</t>
    <phoneticPr fontId="3" type="noConversion"/>
  </si>
  <si>
    <t>107.07.30</t>
    <phoneticPr fontId="3" type="noConversion"/>
  </si>
  <si>
    <t>107.07.31</t>
    <phoneticPr fontId="3" type="noConversion"/>
  </si>
  <si>
    <t>107.08.01</t>
    <phoneticPr fontId="3" type="noConversion"/>
  </si>
  <si>
    <t>票兌---2053391</t>
    <phoneticPr fontId="3" type="noConversion"/>
  </si>
  <si>
    <t>票兌---0570817</t>
    <phoneticPr fontId="3" type="noConversion"/>
  </si>
  <si>
    <t>票兌---0809200</t>
    <phoneticPr fontId="3" type="noConversion"/>
  </si>
  <si>
    <t>票兌---6646352</t>
    <phoneticPr fontId="3" type="noConversion"/>
  </si>
  <si>
    <t>票兌---0246507</t>
    <phoneticPr fontId="3" type="noConversion"/>
  </si>
  <si>
    <t>旺旺達---6</t>
    <phoneticPr fontId="3" type="noConversion"/>
  </si>
  <si>
    <t>鴻碩---6</t>
    <phoneticPr fontId="3" type="noConversion"/>
  </si>
  <si>
    <t>雙安---6</t>
    <phoneticPr fontId="3" type="noConversion"/>
  </si>
  <si>
    <t>勤業---12</t>
    <phoneticPr fontId="3" type="noConversion"/>
  </si>
  <si>
    <t>展鑫---3</t>
    <phoneticPr fontId="3" type="noConversion"/>
  </si>
  <si>
    <t>勞保---107.06</t>
    <phoneticPr fontId="3" type="noConversion"/>
  </si>
  <si>
    <t>勞退---107.05</t>
    <phoneticPr fontId="3" type="noConversion"/>
  </si>
  <si>
    <t>房租---北平16號---107.08</t>
    <phoneticPr fontId="3" type="noConversion"/>
  </si>
  <si>
    <t>107.08.06</t>
    <phoneticPr fontId="3" type="noConversion"/>
  </si>
  <si>
    <t>票兌---3377513</t>
    <phoneticPr fontId="3" type="noConversion"/>
  </si>
  <si>
    <t>依德---8</t>
    <phoneticPr fontId="3" type="noConversion"/>
  </si>
  <si>
    <t>薪---証---107.06</t>
    <phoneticPr fontId="3" type="noConversion"/>
  </si>
  <si>
    <t>薪---証---107.07</t>
    <phoneticPr fontId="3" type="noConversion"/>
  </si>
  <si>
    <t>薪---博---107.07</t>
    <phoneticPr fontId="3" type="noConversion"/>
  </si>
  <si>
    <t>薪---達---107.07</t>
    <phoneticPr fontId="3" type="noConversion"/>
  </si>
  <si>
    <t>107.08.08</t>
    <phoneticPr fontId="3" type="noConversion"/>
  </si>
  <si>
    <t>107.08.10</t>
    <phoneticPr fontId="3" type="noConversion"/>
  </si>
  <si>
    <t>票兌---4999719</t>
    <phoneticPr fontId="3" type="noConversion"/>
  </si>
  <si>
    <t>票兌---5867423</t>
    <phoneticPr fontId="3" type="noConversion"/>
  </si>
  <si>
    <t>漢聯---1</t>
    <phoneticPr fontId="3" type="noConversion"/>
  </si>
  <si>
    <t>恩豪---7</t>
    <phoneticPr fontId="3" type="noConversion"/>
  </si>
  <si>
    <t>威視---17</t>
    <phoneticPr fontId="3" type="noConversion"/>
  </si>
  <si>
    <t>107.08.15</t>
    <phoneticPr fontId="3" type="noConversion"/>
  </si>
  <si>
    <t>票兌---2884904</t>
    <phoneticPr fontId="3" type="noConversion"/>
  </si>
  <si>
    <t>裕恆---6</t>
    <phoneticPr fontId="3" type="noConversion"/>
  </si>
  <si>
    <t>八亨---4</t>
    <phoneticPr fontId="3" type="noConversion"/>
  </si>
  <si>
    <t>107.08.16</t>
    <phoneticPr fontId="3" type="noConversion"/>
  </si>
  <si>
    <t>健保---107.06</t>
    <phoneticPr fontId="3" type="noConversion"/>
  </si>
  <si>
    <t>電費---107.07</t>
    <phoneticPr fontId="3" type="noConversion"/>
  </si>
  <si>
    <t>107.08.20</t>
    <phoneticPr fontId="3" type="noConversion"/>
  </si>
  <si>
    <t>107.08.27</t>
    <phoneticPr fontId="3" type="noConversion"/>
  </si>
  <si>
    <t>票兌---4780711</t>
    <phoneticPr fontId="3" type="noConversion"/>
  </si>
  <si>
    <t>票兌---8522885</t>
    <phoneticPr fontId="3" type="noConversion"/>
  </si>
  <si>
    <t>票兌---8522877</t>
    <phoneticPr fontId="3" type="noConversion"/>
  </si>
  <si>
    <t>票兌---0546985</t>
    <phoneticPr fontId="3" type="noConversion"/>
  </si>
  <si>
    <t>票兌---1765280</t>
    <phoneticPr fontId="3" type="noConversion"/>
  </si>
  <si>
    <t>元超---7</t>
    <phoneticPr fontId="3" type="noConversion"/>
  </si>
  <si>
    <t>鎔德---8</t>
    <phoneticPr fontId="3" type="noConversion"/>
  </si>
  <si>
    <t>鉑德---5</t>
    <phoneticPr fontId="3" type="noConversion"/>
  </si>
  <si>
    <t>安力---7</t>
    <phoneticPr fontId="3" type="noConversion"/>
  </si>
  <si>
    <t>107.08.28</t>
  </si>
  <si>
    <t>電話---23518546---107.08</t>
    <phoneticPr fontId="3" type="noConversion"/>
  </si>
  <si>
    <t>電話---23518799---107.08</t>
    <phoneticPr fontId="3" type="noConversion"/>
  </si>
  <si>
    <t>電話---23518805---107.08</t>
    <phoneticPr fontId="3" type="noConversion"/>
  </si>
  <si>
    <t>107.08.31</t>
    <phoneticPr fontId="3" type="noConversion"/>
  </si>
  <si>
    <t>票兌---1880958</t>
    <phoneticPr fontId="3" type="noConversion"/>
  </si>
  <si>
    <t>票兌---5992956</t>
    <phoneticPr fontId="3" type="noConversion"/>
  </si>
  <si>
    <t>票兌---7383245</t>
    <phoneticPr fontId="3" type="noConversion"/>
  </si>
  <si>
    <t>票兌---4811957</t>
    <phoneticPr fontId="3" type="noConversion"/>
  </si>
  <si>
    <t>松群---5</t>
    <phoneticPr fontId="3" type="noConversion"/>
  </si>
  <si>
    <t>太暘---5</t>
    <phoneticPr fontId="3" type="noConversion"/>
  </si>
  <si>
    <t>大成---6</t>
    <phoneticPr fontId="3" type="noConversion"/>
  </si>
  <si>
    <t>達翌---7</t>
    <phoneticPr fontId="3" type="noConversion"/>
  </si>
  <si>
    <t>107.09.03</t>
    <phoneticPr fontId="3" type="noConversion"/>
  </si>
  <si>
    <t>勞保---107.07</t>
    <phoneticPr fontId="3" type="noConversion"/>
  </si>
  <si>
    <t>勞退---107.06</t>
    <phoneticPr fontId="3" type="noConversion"/>
  </si>
  <si>
    <t>房租---北平16號---107.09</t>
    <phoneticPr fontId="3" type="noConversion"/>
  </si>
  <si>
    <t>107.09.05</t>
    <phoneticPr fontId="3" type="noConversion"/>
  </si>
  <si>
    <t>薪---証---107.08</t>
    <phoneticPr fontId="3" type="noConversion"/>
  </si>
  <si>
    <t>薪---博---107.08</t>
    <phoneticPr fontId="3" type="noConversion"/>
  </si>
  <si>
    <t>卡費---107.08</t>
    <phoneticPr fontId="3" type="noConversion"/>
  </si>
  <si>
    <t>107.09.06</t>
  </si>
  <si>
    <t>薪---達---107.08</t>
    <phoneticPr fontId="3" type="noConversion"/>
  </si>
  <si>
    <t>107.09.11</t>
    <phoneticPr fontId="3" type="noConversion"/>
  </si>
  <si>
    <t>威視---18</t>
    <phoneticPr fontId="3" type="noConversion"/>
  </si>
  <si>
    <t>401----107.07/107.08</t>
    <phoneticPr fontId="3" type="noConversion"/>
  </si>
  <si>
    <t>107.09.12</t>
    <phoneticPr fontId="3" type="noConversion"/>
  </si>
  <si>
    <t>107.09.17</t>
    <phoneticPr fontId="3" type="noConversion"/>
  </si>
  <si>
    <t>票兌---7070002</t>
    <phoneticPr fontId="3" type="noConversion"/>
  </si>
  <si>
    <t>票兌---1561294</t>
    <phoneticPr fontId="3" type="noConversion"/>
  </si>
  <si>
    <t>票兌---7096471</t>
    <phoneticPr fontId="3" type="noConversion"/>
  </si>
  <si>
    <t>票兌---6625513</t>
    <phoneticPr fontId="3" type="noConversion"/>
  </si>
  <si>
    <t>票兌---1003288</t>
    <phoneticPr fontId="3" type="noConversion"/>
  </si>
  <si>
    <t>品固CN---1</t>
    <phoneticPr fontId="3" type="noConversion"/>
  </si>
  <si>
    <t>品固TW---1</t>
    <phoneticPr fontId="3" type="noConversion"/>
  </si>
  <si>
    <t>愛浪---6</t>
    <phoneticPr fontId="3" type="noConversion"/>
  </si>
  <si>
    <t>祥和---3</t>
    <phoneticPr fontId="3" type="noConversion"/>
  </si>
  <si>
    <t>大桐---6</t>
    <phoneticPr fontId="3" type="noConversion"/>
  </si>
  <si>
    <t>107.09.18</t>
  </si>
  <si>
    <t>健保---107.07</t>
    <phoneticPr fontId="3" type="noConversion"/>
  </si>
  <si>
    <t>泰聯永昌---1-4</t>
    <phoneticPr fontId="3" type="noConversion"/>
  </si>
  <si>
    <t>107.09.20</t>
    <phoneticPr fontId="3" type="noConversion"/>
  </si>
  <si>
    <t>票兌---1561236</t>
    <phoneticPr fontId="3" type="noConversion"/>
  </si>
  <si>
    <t>票兌---1556861</t>
    <phoneticPr fontId="3" type="noConversion"/>
  </si>
  <si>
    <t>品固SJ---3</t>
    <phoneticPr fontId="3" type="noConversion"/>
  </si>
  <si>
    <t>威倫---2</t>
    <phoneticPr fontId="3" type="noConversion"/>
  </si>
  <si>
    <t>107.09.25</t>
    <phoneticPr fontId="3" type="noConversion"/>
  </si>
  <si>
    <t>票兌---1055064</t>
    <phoneticPr fontId="3" type="noConversion"/>
  </si>
  <si>
    <t>道法---4</t>
    <phoneticPr fontId="3" type="noConversion"/>
  </si>
  <si>
    <t>107.09.26</t>
  </si>
  <si>
    <t>電話---23518546---107.09</t>
    <phoneticPr fontId="3" type="noConversion"/>
  </si>
  <si>
    <t>電話---23518799---107.09</t>
    <phoneticPr fontId="3" type="noConversion"/>
  </si>
  <si>
    <t>電話---23518805---107.09</t>
    <phoneticPr fontId="3" type="noConversion"/>
  </si>
  <si>
    <t>107.09.27</t>
    <phoneticPr fontId="3" type="noConversion"/>
  </si>
  <si>
    <t>補充保費---105</t>
    <phoneticPr fontId="3" type="noConversion"/>
  </si>
  <si>
    <t>107.10.01</t>
    <phoneticPr fontId="3" type="noConversion"/>
  </si>
  <si>
    <t>票兌---4999720</t>
    <phoneticPr fontId="3" type="noConversion"/>
  </si>
  <si>
    <t>票兌---1315130</t>
    <phoneticPr fontId="3" type="noConversion"/>
  </si>
  <si>
    <t>漢聯---2</t>
    <phoneticPr fontId="3" type="noConversion"/>
  </si>
  <si>
    <t>汎輝---5</t>
    <phoneticPr fontId="3" type="noConversion"/>
  </si>
  <si>
    <t>房租---北平16號---107.10</t>
    <phoneticPr fontId="3" type="noConversion"/>
  </si>
  <si>
    <t>ADA轉ATM</t>
    <phoneticPr fontId="3" type="noConversion"/>
  </si>
  <si>
    <t>107.10.02</t>
  </si>
  <si>
    <t>勞保---107.08</t>
    <phoneticPr fontId="3" type="noConversion"/>
  </si>
  <si>
    <t>勞退---107.07</t>
    <phoneticPr fontId="3" type="noConversion"/>
  </si>
  <si>
    <t>107.10.05</t>
    <phoneticPr fontId="3" type="noConversion"/>
  </si>
  <si>
    <t>票兌---7444049</t>
    <phoneticPr fontId="3" type="noConversion"/>
  </si>
  <si>
    <t>勤業---13</t>
    <phoneticPr fontId="3" type="noConversion"/>
  </si>
  <si>
    <t>票兌---5480311</t>
    <phoneticPr fontId="3" type="noConversion"/>
  </si>
  <si>
    <t>票兌---7444050</t>
    <phoneticPr fontId="3" type="noConversion"/>
  </si>
  <si>
    <t>喜可---1</t>
    <phoneticPr fontId="3" type="noConversion"/>
  </si>
  <si>
    <t>勤業---14</t>
    <phoneticPr fontId="3" type="noConversion"/>
  </si>
  <si>
    <t>薪---証---107.09</t>
    <phoneticPr fontId="3" type="noConversion"/>
  </si>
  <si>
    <t>薪---博---107.09</t>
    <phoneticPr fontId="3" type="noConversion"/>
  </si>
  <si>
    <t>107.10.08</t>
    <phoneticPr fontId="3" type="noConversion"/>
  </si>
  <si>
    <t>現金</t>
    <phoneticPr fontId="3" type="noConversion"/>
  </si>
  <si>
    <t>DV</t>
    <phoneticPr fontId="3" type="noConversion"/>
  </si>
  <si>
    <t>卡費---107.09</t>
    <phoneticPr fontId="3" type="noConversion"/>
  </si>
  <si>
    <t>107.10.11</t>
    <phoneticPr fontId="3" type="noConversion"/>
  </si>
  <si>
    <t>107.10.12</t>
  </si>
  <si>
    <t>票兌---6516753</t>
    <phoneticPr fontId="3" type="noConversion"/>
  </si>
  <si>
    <t>票兌---0272178</t>
    <phoneticPr fontId="3" type="noConversion"/>
  </si>
  <si>
    <t>票兌---2982048</t>
    <phoneticPr fontId="3" type="noConversion"/>
  </si>
  <si>
    <t>威視---19</t>
    <phoneticPr fontId="3" type="noConversion"/>
  </si>
  <si>
    <t>同皇---6</t>
    <phoneticPr fontId="3" type="noConversion"/>
  </si>
  <si>
    <t>西拓---1</t>
    <phoneticPr fontId="3" type="noConversion"/>
  </si>
  <si>
    <t>協億通---8</t>
    <phoneticPr fontId="3" type="noConversion"/>
  </si>
  <si>
    <t>友士---6</t>
    <phoneticPr fontId="3" type="noConversion"/>
  </si>
  <si>
    <t>107.10.14</t>
    <phoneticPr fontId="3" type="noConversion"/>
  </si>
  <si>
    <t>薪---達---107.09</t>
    <phoneticPr fontId="3" type="noConversion"/>
  </si>
  <si>
    <t>107.10.16</t>
    <phoneticPr fontId="3" type="noConversion"/>
  </si>
  <si>
    <t>健保---107.08</t>
    <phoneticPr fontId="3" type="noConversion"/>
  </si>
  <si>
    <t>電費---107.09</t>
    <phoneticPr fontId="3" type="noConversion"/>
  </si>
  <si>
    <t>107.10.22</t>
    <phoneticPr fontId="3" type="noConversion"/>
  </si>
  <si>
    <t>票兌---1296653</t>
    <phoneticPr fontId="3" type="noConversion"/>
  </si>
  <si>
    <t>台一---7</t>
    <phoneticPr fontId="3" type="noConversion"/>
  </si>
  <si>
    <t>107.10.25</t>
    <phoneticPr fontId="3" type="noConversion"/>
  </si>
  <si>
    <t>永馳---1</t>
    <phoneticPr fontId="3" type="noConversion"/>
  </si>
  <si>
    <t>107.10.26</t>
  </si>
  <si>
    <t>電話---23518546---107.10</t>
    <phoneticPr fontId="3" type="noConversion"/>
  </si>
  <si>
    <t>電話---23518799---107.10</t>
    <phoneticPr fontId="3" type="noConversion"/>
  </si>
  <si>
    <t>電話---23518805---107.10</t>
    <phoneticPr fontId="3" type="noConversion"/>
  </si>
  <si>
    <t>107.10.30</t>
    <phoneticPr fontId="3" type="noConversion"/>
  </si>
  <si>
    <t>票兌---2053392</t>
    <phoneticPr fontId="3" type="noConversion"/>
  </si>
  <si>
    <t>旺旺達---7</t>
    <phoneticPr fontId="3" type="noConversion"/>
  </si>
  <si>
    <t>107.10.31</t>
  </si>
  <si>
    <t>107.11.01</t>
    <phoneticPr fontId="3" type="noConversion"/>
  </si>
  <si>
    <t>票兌---0570818</t>
    <phoneticPr fontId="3" type="noConversion"/>
  </si>
  <si>
    <t>票兌---0809201</t>
    <phoneticPr fontId="3" type="noConversion"/>
  </si>
  <si>
    <t>票兌---3732015</t>
    <phoneticPr fontId="3" type="noConversion"/>
  </si>
  <si>
    <t>票兌---7444051</t>
    <phoneticPr fontId="3" type="noConversion"/>
  </si>
  <si>
    <t>票兌---0246508</t>
    <phoneticPr fontId="3" type="noConversion"/>
  </si>
  <si>
    <t>鴻碩---7</t>
    <phoneticPr fontId="3" type="noConversion"/>
  </si>
  <si>
    <t>雙安---7</t>
    <phoneticPr fontId="3" type="noConversion"/>
  </si>
  <si>
    <t>佳尼特---4</t>
    <phoneticPr fontId="3" type="noConversion"/>
  </si>
  <si>
    <t>勤業---15</t>
    <phoneticPr fontId="3" type="noConversion"/>
  </si>
  <si>
    <t>展鑫---4</t>
    <phoneticPr fontId="3" type="noConversion"/>
  </si>
  <si>
    <t>勞保---107.09</t>
    <phoneticPr fontId="3" type="noConversion"/>
  </si>
  <si>
    <t>勞退---107.08</t>
    <phoneticPr fontId="3" type="noConversion"/>
  </si>
  <si>
    <t>房租---北平16號---107.11</t>
    <phoneticPr fontId="3" type="noConversion"/>
  </si>
  <si>
    <t>107.11.05</t>
    <phoneticPr fontId="3" type="noConversion"/>
  </si>
  <si>
    <t>107.11.09</t>
    <phoneticPr fontId="3" type="noConversion"/>
  </si>
  <si>
    <t>薪---証---107.10</t>
    <phoneticPr fontId="3" type="noConversion"/>
  </si>
  <si>
    <t>薪---博---107.10</t>
    <phoneticPr fontId="3" type="noConversion"/>
  </si>
  <si>
    <t>卡費---107.10</t>
    <phoneticPr fontId="3" type="noConversion"/>
  </si>
  <si>
    <t>107.11.12</t>
    <phoneticPr fontId="3" type="noConversion"/>
  </si>
  <si>
    <t>票兌---5867424</t>
    <phoneticPr fontId="3" type="noConversion"/>
  </si>
  <si>
    <t>恩豪---8</t>
    <phoneticPr fontId="3" type="noConversion"/>
  </si>
  <si>
    <t>威視---20</t>
    <phoneticPr fontId="3" type="noConversion"/>
  </si>
  <si>
    <t>107.11.15</t>
    <phoneticPr fontId="3" type="noConversion"/>
  </si>
  <si>
    <t>票兌---2884905</t>
    <phoneticPr fontId="3" type="noConversion"/>
  </si>
  <si>
    <t>裕恆---7</t>
    <phoneticPr fontId="3" type="noConversion"/>
  </si>
  <si>
    <t>八亨---5</t>
    <phoneticPr fontId="3" type="noConversion"/>
  </si>
  <si>
    <t>107.11.16</t>
    <phoneticPr fontId="3" type="noConversion"/>
  </si>
  <si>
    <t>健保---107.09</t>
    <phoneticPr fontId="3" type="noConversion"/>
  </si>
  <si>
    <t>107.11.19</t>
    <phoneticPr fontId="3" type="noConversion"/>
  </si>
  <si>
    <t>票兌---4780712</t>
    <phoneticPr fontId="3" type="noConversion"/>
  </si>
  <si>
    <t>元超---8</t>
    <phoneticPr fontId="3" type="noConversion"/>
  </si>
  <si>
    <t>107.11.23</t>
    <phoneticPr fontId="3" type="noConversion"/>
  </si>
  <si>
    <t>依德---車源軟維</t>
    <phoneticPr fontId="3" type="noConversion"/>
  </si>
  <si>
    <t>鉑德---車源軟維</t>
    <phoneticPr fontId="3" type="noConversion"/>
  </si>
  <si>
    <t>鉑德---網址</t>
    <phoneticPr fontId="3" type="noConversion"/>
  </si>
  <si>
    <t>107.11.26</t>
    <phoneticPr fontId="3" type="noConversion"/>
  </si>
  <si>
    <t>票兌---1765281</t>
    <phoneticPr fontId="3" type="noConversion"/>
  </si>
  <si>
    <t>安力---8</t>
    <phoneticPr fontId="3" type="noConversion"/>
  </si>
  <si>
    <t>票兌---0546986</t>
    <phoneticPr fontId="3" type="noConversion"/>
  </si>
  <si>
    <t>鉑德---6</t>
    <phoneticPr fontId="3" type="noConversion"/>
  </si>
  <si>
    <t>107.11.27</t>
  </si>
  <si>
    <t>電話---23518546---107.11</t>
    <phoneticPr fontId="3" type="noConversion"/>
  </si>
  <si>
    <t>電話---23518799---107.11</t>
    <phoneticPr fontId="3" type="noConversion"/>
  </si>
  <si>
    <t>電話---23518805---107.11</t>
    <phoneticPr fontId="3" type="noConversion"/>
  </si>
  <si>
    <t>薪---達---107.10</t>
    <phoneticPr fontId="3" type="noConversion"/>
  </si>
  <si>
    <t>PT</t>
    <phoneticPr fontId="3" type="noConversion"/>
  </si>
  <si>
    <t>107.11.28</t>
  </si>
  <si>
    <t>107.11.30</t>
    <phoneticPr fontId="3" type="noConversion"/>
  </si>
  <si>
    <t>107.12.03</t>
    <phoneticPr fontId="3" type="noConversion"/>
  </si>
  <si>
    <t>票兌---1891482</t>
    <phoneticPr fontId="3" type="noConversion"/>
  </si>
  <si>
    <t>票兌---1425137</t>
    <phoneticPr fontId="3" type="noConversion"/>
  </si>
  <si>
    <t>票兌---1425128</t>
    <phoneticPr fontId="3" type="noConversion"/>
  </si>
  <si>
    <t>票兌---1425129</t>
    <phoneticPr fontId="3" type="noConversion"/>
  </si>
  <si>
    <t>票兌---1880959</t>
    <phoneticPr fontId="3" type="noConversion"/>
  </si>
  <si>
    <t>票兌---5992957</t>
    <phoneticPr fontId="3" type="noConversion"/>
  </si>
  <si>
    <t>票兌---7383246</t>
    <phoneticPr fontId="3" type="noConversion"/>
  </si>
  <si>
    <t>票兌---4811958</t>
    <phoneticPr fontId="3" type="noConversion"/>
  </si>
  <si>
    <t>票兌---7444052</t>
    <phoneticPr fontId="3" type="noConversion"/>
  </si>
  <si>
    <t>依德---1</t>
    <phoneticPr fontId="3" type="noConversion"/>
  </si>
  <si>
    <t>鎔德---車源軟維</t>
    <phoneticPr fontId="3" type="noConversion"/>
  </si>
  <si>
    <t>鎔德舊---1</t>
    <phoneticPr fontId="3" type="noConversion"/>
  </si>
  <si>
    <t>鎔德行---1</t>
    <phoneticPr fontId="3" type="noConversion"/>
  </si>
  <si>
    <t>太暘---6</t>
    <phoneticPr fontId="3" type="noConversion"/>
  </si>
  <si>
    <t>大成---7</t>
    <phoneticPr fontId="3" type="noConversion"/>
  </si>
  <si>
    <t>達翌---8</t>
    <phoneticPr fontId="3" type="noConversion"/>
  </si>
  <si>
    <t>勤業---16</t>
    <phoneticPr fontId="3" type="noConversion"/>
  </si>
  <si>
    <t>勞保---107.10</t>
    <phoneticPr fontId="3" type="noConversion"/>
  </si>
  <si>
    <t>勞退---107.09</t>
    <phoneticPr fontId="3" type="noConversion"/>
  </si>
  <si>
    <t>房租---北平16號---107.12</t>
    <phoneticPr fontId="3" type="noConversion"/>
  </si>
  <si>
    <t>107.12.05</t>
    <phoneticPr fontId="3" type="noConversion"/>
  </si>
  <si>
    <t>票兌---1561295</t>
    <phoneticPr fontId="3" type="noConversion"/>
  </si>
  <si>
    <t>票兌---7070003</t>
    <phoneticPr fontId="3" type="noConversion"/>
  </si>
  <si>
    <t>品固TW---2</t>
    <phoneticPr fontId="3" type="noConversion"/>
  </si>
  <si>
    <t>品固CN---2</t>
    <phoneticPr fontId="3" type="noConversion"/>
  </si>
  <si>
    <t>薪---博---107.11</t>
    <phoneticPr fontId="3" type="noConversion"/>
  </si>
  <si>
    <t>薪---達---107.11</t>
    <phoneticPr fontId="3" type="noConversion"/>
  </si>
  <si>
    <t>ADA---DV看診</t>
    <phoneticPr fontId="3" type="noConversion"/>
  </si>
  <si>
    <t>107.12.07</t>
    <phoneticPr fontId="3" type="noConversion"/>
  </si>
  <si>
    <t>卡費---107.11</t>
    <phoneticPr fontId="3" type="noConversion"/>
  </si>
  <si>
    <t>107.12.10</t>
    <phoneticPr fontId="3" type="noConversion"/>
  </si>
  <si>
    <t>同皇---7</t>
    <phoneticPr fontId="3" type="noConversion"/>
  </si>
  <si>
    <t>威視---21</t>
    <phoneticPr fontId="3" type="noConversion"/>
  </si>
  <si>
    <t>107.12.17</t>
    <phoneticPr fontId="3" type="noConversion"/>
  </si>
  <si>
    <t>票兌---1003289</t>
    <phoneticPr fontId="3" type="noConversion"/>
  </si>
  <si>
    <t>票兌---7096472</t>
    <phoneticPr fontId="3" type="noConversion"/>
  </si>
  <si>
    <t>票兌---6625514</t>
    <phoneticPr fontId="3" type="noConversion"/>
  </si>
  <si>
    <t>大桐---7</t>
    <phoneticPr fontId="3" type="noConversion"/>
  </si>
  <si>
    <t>愛浪---7</t>
    <phoneticPr fontId="3" type="noConversion"/>
  </si>
  <si>
    <t>祥和---4</t>
    <phoneticPr fontId="3" type="noConversion"/>
  </si>
  <si>
    <t>電費---107.11</t>
    <phoneticPr fontId="3" type="noConversion"/>
  </si>
  <si>
    <t>107.12.18</t>
  </si>
  <si>
    <t>健保---107.10</t>
    <phoneticPr fontId="3" type="noConversion"/>
  </si>
  <si>
    <t>107.12.20</t>
    <phoneticPr fontId="3" type="noConversion"/>
  </si>
  <si>
    <t>票兌---1561237</t>
    <phoneticPr fontId="3" type="noConversion"/>
  </si>
  <si>
    <t>票兌---1556862</t>
    <phoneticPr fontId="3" type="noConversion"/>
  </si>
  <si>
    <t>品固---4</t>
    <phoneticPr fontId="3" type="noConversion"/>
  </si>
  <si>
    <t>威倫---3</t>
    <phoneticPr fontId="3" type="noConversion"/>
  </si>
  <si>
    <t>107.12.25</t>
    <phoneticPr fontId="3" type="noConversion"/>
  </si>
  <si>
    <t>票兌---1055065</t>
    <phoneticPr fontId="3" type="noConversion"/>
  </si>
  <si>
    <t>道法---5</t>
    <phoneticPr fontId="3" type="noConversion"/>
  </si>
  <si>
    <t>永馳---2</t>
    <phoneticPr fontId="3" type="noConversion"/>
  </si>
  <si>
    <t>107.12.26</t>
  </si>
  <si>
    <t>電話---23518546---107.12</t>
    <phoneticPr fontId="3" type="noConversion"/>
  </si>
  <si>
    <t>電話---23518799---107.12</t>
    <phoneticPr fontId="3" type="noConversion"/>
  </si>
  <si>
    <t>電話---23518805---107.12</t>
    <phoneticPr fontId="3" type="noConversion"/>
  </si>
  <si>
    <t>107.12.28</t>
    <phoneticPr fontId="3" type="noConversion"/>
  </si>
  <si>
    <t>卡費---107.06</t>
    <phoneticPr fontId="3" type="noConversion"/>
  </si>
  <si>
    <t>崴凌---維護</t>
    <phoneticPr fontId="3" type="noConversion"/>
  </si>
  <si>
    <t>2018年收票</t>
    <phoneticPr fontId="3" type="noConversion"/>
  </si>
  <si>
    <t>2018兌現</t>
    <phoneticPr fontId="3" type="noConversion"/>
  </si>
  <si>
    <t>1-4</t>
    <phoneticPr fontId="3" type="noConversion"/>
  </si>
  <si>
    <t>威視</t>
    <phoneticPr fontId="3" type="noConversion"/>
  </si>
  <si>
    <t>泰聯永昌</t>
    <phoneticPr fontId="3" type="noConversion"/>
  </si>
  <si>
    <t>車源軟維</t>
    <phoneticPr fontId="3" type="noConversion"/>
  </si>
  <si>
    <t>網址</t>
    <phoneticPr fontId="3" type="noConversion"/>
  </si>
  <si>
    <t>2018.01.09</t>
  </si>
  <si>
    <t>2018.03.01</t>
  </si>
  <si>
    <t>2018.03.09</t>
  </si>
  <si>
    <t>2018.03.15</t>
  </si>
  <si>
    <t>2018.04.09</t>
  </si>
  <si>
    <t>2018.04.20</t>
  </si>
  <si>
    <t>2018.05.09</t>
  </si>
  <si>
    <t>2018.06.08</t>
  </si>
  <si>
    <t>2018.06.15</t>
  </si>
  <si>
    <t>2018.07.09</t>
  </si>
  <si>
    <t>2018.07.17</t>
  </si>
  <si>
    <t>2018.08.10</t>
  </si>
  <si>
    <t>2018.08.15</t>
  </si>
  <si>
    <t>2018.09.11</t>
  </si>
  <si>
    <t>2018.09.18</t>
  </si>
  <si>
    <t>2018.10.09</t>
  </si>
  <si>
    <t>2018.10.12</t>
  </si>
  <si>
    <t>2018.10.25</t>
  </si>
  <si>
    <t>2018.11.12</t>
  </si>
  <si>
    <t>2018.11.15</t>
  </si>
  <si>
    <t>2018.11.19</t>
  </si>
  <si>
    <t>2018.11.23</t>
  </si>
  <si>
    <t>2018.12.10</t>
  </si>
  <si>
    <t>2018.12.25</t>
  </si>
  <si>
    <t>2018.02.07</t>
  </si>
  <si>
    <t>2018.07.10</t>
  </si>
  <si>
    <t>2018.01.02</t>
    <phoneticPr fontId="3" type="noConversion"/>
  </si>
  <si>
    <t>2017兌現</t>
    <phoneticPr fontId="3" type="noConversion"/>
  </si>
  <si>
    <t>2018兌現</t>
    <phoneticPr fontId="3" type="noConversion"/>
  </si>
  <si>
    <t>2018.01.30</t>
    <phoneticPr fontId="3" type="noConversion"/>
  </si>
  <si>
    <t>2018.03.01</t>
    <phoneticPr fontId="3" type="noConversion"/>
  </si>
  <si>
    <t>2018.04.02</t>
    <phoneticPr fontId="3" type="noConversion"/>
  </si>
  <si>
    <t>2018.05.02</t>
    <phoneticPr fontId="3" type="noConversion"/>
  </si>
  <si>
    <t>2018.06.01</t>
    <phoneticPr fontId="3" type="noConversion"/>
  </si>
  <si>
    <t>2018.07.02</t>
    <phoneticPr fontId="3" type="noConversion"/>
  </si>
  <si>
    <t>13-24</t>
    <phoneticPr fontId="3" type="noConversion"/>
  </si>
  <si>
    <t>2018.09.28</t>
    <phoneticPr fontId="3" type="noConversion"/>
  </si>
  <si>
    <t>MN7444049</t>
    <phoneticPr fontId="3" type="noConversion"/>
  </si>
  <si>
    <t>2018.09.01</t>
    <phoneticPr fontId="3" type="noConversion"/>
  </si>
  <si>
    <t>MN7444050</t>
  </si>
  <si>
    <t>MN7444051</t>
  </si>
  <si>
    <t>MN7444052</t>
  </si>
  <si>
    <t>MN7444053</t>
  </si>
  <si>
    <t>MN7444054</t>
  </si>
  <si>
    <t>MN7444055</t>
  </si>
  <si>
    <t>MN7444056</t>
  </si>
  <si>
    <t>MN7444057</t>
  </si>
  <si>
    <t>MN7444058</t>
  </si>
  <si>
    <t>MN7444059</t>
  </si>
  <si>
    <t>MN7444061</t>
    <phoneticPr fontId="3" type="noConversion"/>
  </si>
  <si>
    <t>2018.08.01</t>
    <phoneticPr fontId="3" type="noConversion"/>
  </si>
  <si>
    <t>2018.10.01</t>
    <phoneticPr fontId="3" type="noConversion"/>
  </si>
  <si>
    <t>2018.11.01</t>
    <phoneticPr fontId="3" type="noConversion"/>
  </si>
  <si>
    <t>2018.12.01</t>
    <phoneticPr fontId="3" type="noConversion"/>
  </si>
  <si>
    <t>2019.01.01</t>
    <phoneticPr fontId="3" type="noConversion"/>
  </si>
  <si>
    <t>2019.02.01</t>
    <phoneticPr fontId="3" type="noConversion"/>
  </si>
  <si>
    <t>2019.03.01</t>
    <phoneticPr fontId="3" type="noConversion"/>
  </si>
  <si>
    <t>2019.04.01</t>
    <phoneticPr fontId="3" type="noConversion"/>
  </si>
  <si>
    <t>2019.05.01</t>
    <phoneticPr fontId="3" type="noConversion"/>
  </si>
  <si>
    <t>2019.06.01</t>
    <phoneticPr fontId="3" type="noConversion"/>
  </si>
  <si>
    <t>2019.07.01</t>
    <phoneticPr fontId="3" type="noConversion"/>
  </si>
  <si>
    <t>2019.08.01</t>
    <phoneticPr fontId="3" type="noConversion"/>
  </si>
  <si>
    <t>2018.10.05</t>
    <phoneticPr fontId="3" type="noConversion"/>
  </si>
  <si>
    <t>2018.12.03</t>
    <phoneticPr fontId="3" type="noConversion"/>
  </si>
  <si>
    <t>2018.03.31</t>
    <phoneticPr fontId="3" type="noConversion"/>
  </si>
  <si>
    <t>2018.06.07</t>
    <phoneticPr fontId="3" type="noConversion"/>
  </si>
  <si>
    <t>2017.12.25</t>
    <phoneticPr fontId="3" type="noConversion"/>
  </si>
  <si>
    <t>2018.01.10</t>
    <phoneticPr fontId="3" type="noConversion"/>
  </si>
  <si>
    <t>2018.01.11</t>
    <phoneticPr fontId="3" type="noConversion"/>
  </si>
  <si>
    <t>JD9424614</t>
    <phoneticPr fontId="3" type="noConversion"/>
  </si>
  <si>
    <t>2018.03.26</t>
    <phoneticPr fontId="3" type="noConversion"/>
  </si>
  <si>
    <t>2018.04.10</t>
    <phoneticPr fontId="3" type="noConversion"/>
  </si>
  <si>
    <t>JE2981249</t>
    <phoneticPr fontId="3" type="noConversion"/>
  </si>
  <si>
    <t>2018.07.10</t>
    <phoneticPr fontId="3" type="noConversion"/>
  </si>
  <si>
    <t>2018.06.25</t>
    <phoneticPr fontId="3" type="noConversion"/>
  </si>
  <si>
    <t>2018.07.11</t>
    <phoneticPr fontId="3" type="noConversion"/>
  </si>
  <si>
    <t>JE2982048</t>
    <phoneticPr fontId="3" type="noConversion"/>
  </si>
  <si>
    <t>2018.10.02</t>
    <phoneticPr fontId="3" type="noConversion"/>
  </si>
  <si>
    <t>2018.10.10</t>
    <phoneticPr fontId="3" type="noConversion"/>
  </si>
  <si>
    <t>2018.10.11</t>
    <phoneticPr fontId="3" type="noConversion"/>
  </si>
  <si>
    <t>2018.01.22</t>
    <phoneticPr fontId="3" type="noConversion"/>
  </si>
  <si>
    <t>2018.04.20</t>
    <phoneticPr fontId="3" type="noConversion"/>
  </si>
  <si>
    <t>2018.07.20</t>
    <phoneticPr fontId="3" type="noConversion"/>
  </si>
  <si>
    <t>2018.10.22</t>
    <phoneticPr fontId="3" type="noConversion"/>
  </si>
  <si>
    <t>2018.04.30</t>
    <phoneticPr fontId="3" type="noConversion"/>
  </si>
  <si>
    <t>2018.07.30</t>
    <phoneticPr fontId="3" type="noConversion"/>
  </si>
  <si>
    <t>2018.10.30</t>
    <phoneticPr fontId="3" type="noConversion"/>
  </si>
  <si>
    <t>2018.10.31</t>
    <phoneticPr fontId="3" type="noConversion"/>
  </si>
  <si>
    <t>2018.02.05</t>
    <phoneticPr fontId="3" type="noConversion"/>
  </si>
  <si>
    <t>2018.05.07</t>
    <phoneticPr fontId="3" type="noConversion"/>
  </si>
  <si>
    <t>2018.08.15</t>
    <phoneticPr fontId="3" type="noConversion"/>
  </si>
  <si>
    <t>品固TW</t>
    <phoneticPr fontId="3" type="noConversion"/>
  </si>
  <si>
    <t>品固CN</t>
    <phoneticPr fontId="3" type="noConversion"/>
  </si>
  <si>
    <t>PD7070002</t>
    <phoneticPr fontId="3" type="noConversion"/>
  </si>
  <si>
    <t>2018.09.05</t>
    <phoneticPr fontId="3" type="noConversion"/>
  </si>
  <si>
    <t>PD7070003</t>
    <phoneticPr fontId="3" type="noConversion"/>
  </si>
  <si>
    <t>2018.12.05</t>
    <phoneticPr fontId="3" type="noConversion"/>
  </si>
  <si>
    <t>PD7070004</t>
    <phoneticPr fontId="3" type="noConversion"/>
  </si>
  <si>
    <t>2019.03.05</t>
    <phoneticPr fontId="3" type="noConversion"/>
  </si>
  <si>
    <t>PD7070005</t>
    <phoneticPr fontId="3" type="noConversion"/>
  </si>
  <si>
    <t>2019.06.05</t>
    <phoneticPr fontId="3" type="noConversion"/>
  </si>
  <si>
    <t>PD7070006</t>
    <phoneticPr fontId="3" type="noConversion"/>
  </si>
  <si>
    <t>2019.09.05</t>
    <phoneticPr fontId="3" type="noConversion"/>
  </si>
  <si>
    <t>PD7070007</t>
    <phoneticPr fontId="3" type="noConversion"/>
  </si>
  <si>
    <t>2019.12.05</t>
    <phoneticPr fontId="3" type="noConversion"/>
  </si>
  <si>
    <t>PD7070008</t>
    <phoneticPr fontId="3" type="noConversion"/>
  </si>
  <si>
    <t>2020.03.05</t>
    <phoneticPr fontId="3" type="noConversion"/>
  </si>
  <si>
    <t>PD7070009</t>
    <phoneticPr fontId="3" type="noConversion"/>
  </si>
  <si>
    <t>2020.06.05</t>
    <phoneticPr fontId="3" type="noConversion"/>
  </si>
  <si>
    <t>1-8</t>
    <phoneticPr fontId="3" type="noConversion"/>
  </si>
  <si>
    <t>2018.09.12</t>
    <phoneticPr fontId="3" type="noConversion"/>
  </si>
  <si>
    <t>MD1561294</t>
    <phoneticPr fontId="3" type="noConversion"/>
  </si>
  <si>
    <t>MD1561295</t>
  </si>
  <si>
    <t>MD1561296</t>
  </si>
  <si>
    <t>MD1561297</t>
  </si>
  <si>
    <t>MD1561298</t>
  </si>
  <si>
    <t>MD1561299</t>
  </si>
  <si>
    <t>MD1561300</t>
  </si>
  <si>
    <t>PD7070001</t>
    <phoneticPr fontId="3" type="noConversion"/>
  </si>
  <si>
    <t>2018.08.06</t>
    <phoneticPr fontId="3" type="noConversion"/>
  </si>
  <si>
    <t>6</t>
    <phoneticPr fontId="3" type="noConversion"/>
  </si>
  <si>
    <t>7</t>
    <phoneticPr fontId="3" type="noConversion"/>
  </si>
  <si>
    <t>8</t>
    <phoneticPr fontId="3" type="noConversion"/>
  </si>
  <si>
    <t>1</t>
    <phoneticPr fontId="3" type="noConversion"/>
  </si>
  <si>
    <t>2018.11.21</t>
    <phoneticPr fontId="3" type="noConversion"/>
  </si>
  <si>
    <t>依德</t>
    <phoneticPr fontId="3" type="noConversion"/>
  </si>
  <si>
    <t>JE1891482</t>
    <phoneticPr fontId="3" type="noConversion"/>
  </si>
  <si>
    <t>2018.11.25</t>
    <phoneticPr fontId="3" type="noConversion"/>
  </si>
  <si>
    <t>JE1891483</t>
  </si>
  <si>
    <t>JE1891484</t>
  </si>
  <si>
    <t>JE1891485</t>
  </si>
  <si>
    <t>JE1891486</t>
  </si>
  <si>
    <t>JE1891487</t>
  </si>
  <si>
    <t>JE1891488</t>
  </si>
  <si>
    <t>JE1891489</t>
  </si>
  <si>
    <t>2019.02.25</t>
    <phoneticPr fontId="3" type="noConversion"/>
  </si>
  <si>
    <t>2019.05.25</t>
    <phoneticPr fontId="3" type="noConversion"/>
  </si>
  <si>
    <t>2019.08.25</t>
    <phoneticPr fontId="3" type="noConversion"/>
  </si>
  <si>
    <t>2019.11.25</t>
    <phoneticPr fontId="3" type="noConversion"/>
  </si>
  <si>
    <t>2020.02.25</t>
    <phoneticPr fontId="3" type="noConversion"/>
  </si>
  <si>
    <t>2020.08.25</t>
    <phoneticPr fontId="3" type="noConversion"/>
  </si>
  <si>
    <t>2020.05.25</t>
    <phoneticPr fontId="3" type="noConversion"/>
  </si>
  <si>
    <t>2018.11.28</t>
    <phoneticPr fontId="3" type="noConversion"/>
  </si>
  <si>
    <t>2018.01.25</t>
    <phoneticPr fontId="3" type="noConversion"/>
  </si>
  <si>
    <t>佳尼特</t>
    <phoneticPr fontId="3" type="noConversion"/>
  </si>
  <si>
    <t>JD3732012</t>
    <phoneticPr fontId="3" type="noConversion"/>
  </si>
  <si>
    <t>2018.01.01</t>
    <phoneticPr fontId="3" type="noConversion"/>
  </si>
  <si>
    <t>JD3732013</t>
  </si>
  <si>
    <t>JD3732014</t>
  </si>
  <si>
    <t>JD3732015</t>
  </si>
  <si>
    <t>JD3732016</t>
  </si>
  <si>
    <t>JD3732017</t>
  </si>
  <si>
    <t>JD3732018</t>
  </si>
  <si>
    <t>JD3732019</t>
  </si>
  <si>
    <t>2018.04.01</t>
    <phoneticPr fontId="3" type="noConversion"/>
  </si>
  <si>
    <t>2019.11.01</t>
    <phoneticPr fontId="3" type="noConversion"/>
  </si>
  <si>
    <t>2018.07.01</t>
    <phoneticPr fontId="3" type="noConversion"/>
  </si>
  <si>
    <t>2018.02.07</t>
    <phoneticPr fontId="3" type="noConversion"/>
  </si>
  <si>
    <t>2018.02.21</t>
    <phoneticPr fontId="3" type="noConversion"/>
  </si>
  <si>
    <t>2018.05.15</t>
    <phoneticPr fontId="3" type="noConversion"/>
  </si>
  <si>
    <t>2018.11.15</t>
    <phoneticPr fontId="3" type="noConversion"/>
  </si>
  <si>
    <t>2018.02.06</t>
    <phoneticPr fontId="3" type="noConversion"/>
  </si>
  <si>
    <t>大桐</t>
    <phoneticPr fontId="3" type="noConversion"/>
  </si>
  <si>
    <t>PTA1005096</t>
    <phoneticPr fontId="3" type="noConversion"/>
  </si>
  <si>
    <t>2018.02.15</t>
    <phoneticPr fontId="3" type="noConversion"/>
  </si>
  <si>
    <t>2018.05.18</t>
    <phoneticPr fontId="3" type="noConversion"/>
  </si>
  <si>
    <t>2018.08.20</t>
    <phoneticPr fontId="3" type="noConversion"/>
  </si>
  <si>
    <t>2018.11.19</t>
    <phoneticPr fontId="3" type="noConversion"/>
  </si>
  <si>
    <t>3</t>
    <phoneticPr fontId="3" type="noConversion"/>
  </si>
  <si>
    <t>4</t>
    <phoneticPr fontId="3" type="noConversion"/>
  </si>
  <si>
    <t>2018.02.26</t>
    <phoneticPr fontId="3" type="noConversion"/>
  </si>
  <si>
    <t>2018.02.26</t>
    <phoneticPr fontId="3" type="noConversion"/>
  </si>
  <si>
    <t>2018.05.25</t>
    <phoneticPr fontId="3" type="noConversion"/>
  </si>
  <si>
    <t>2018.08.27</t>
    <phoneticPr fontId="3" type="noConversion"/>
  </si>
  <si>
    <t>5</t>
    <phoneticPr fontId="3" type="noConversion"/>
  </si>
  <si>
    <t>2018.11.26</t>
    <phoneticPr fontId="3" type="noConversion"/>
  </si>
  <si>
    <t>鎔德</t>
    <phoneticPr fontId="3" type="noConversion"/>
  </si>
  <si>
    <t>JE1425137</t>
    <phoneticPr fontId="3" type="noConversion"/>
  </si>
  <si>
    <t>2018.11.30</t>
    <phoneticPr fontId="3" type="noConversion"/>
  </si>
  <si>
    <t>JE1425138</t>
  </si>
  <si>
    <t>JE1425139</t>
  </si>
  <si>
    <t>JE1425140</t>
  </si>
  <si>
    <t>JE1425141</t>
  </si>
  <si>
    <t>JE1425142</t>
  </si>
  <si>
    <t>JE1425143</t>
  </si>
  <si>
    <t>JE1425144</t>
  </si>
  <si>
    <t>EH27259062</t>
    <phoneticPr fontId="3" type="noConversion"/>
  </si>
  <si>
    <t>EH27259055</t>
  </si>
  <si>
    <t>JE1425129</t>
    <phoneticPr fontId="3" type="noConversion"/>
  </si>
  <si>
    <t>JE1425130</t>
  </si>
  <si>
    <t>JE1425131</t>
  </si>
  <si>
    <t>JE1425132</t>
  </si>
  <si>
    <t>JE1425133</t>
  </si>
  <si>
    <t>JE1425134</t>
  </si>
  <si>
    <t>JE1425135</t>
  </si>
  <si>
    <t>JE1425136</t>
  </si>
  <si>
    <t>2018.02.13</t>
    <phoneticPr fontId="3" type="noConversion"/>
  </si>
  <si>
    <t>恩豪</t>
    <phoneticPr fontId="3" type="noConversion"/>
  </si>
  <si>
    <t>CA5867421</t>
    <phoneticPr fontId="3" type="noConversion"/>
  </si>
  <si>
    <t>2018.02.10</t>
    <phoneticPr fontId="3" type="noConversion"/>
  </si>
  <si>
    <t>2018.02.27</t>
    <phoneticPr fontId="3" type="noConversion"/>
  </si>
  <si>
    <t>CA5867422</t>
  </si>
  <si>
    <t>CA5867423</t>
  </si>
  <si>
    <t>CA5867424</t>
  </si>
  <si>
    <t>2018.05.10</t>
    <phoneticPr fontId="3" type="noConversion"/>
  </si>
  <si>
    <t>2018.08.10</t>
    <phoneticPr fontId="3" type="noConversion"/>
  </si>
  <si>
    <t>2018.11.10</t>
    <phoneticPr fontId="3" type="noConversion"/>
  </si>
  <si>
    <t>2018.11.12</t>
    <phoneticPr fontId="3" type="noConversion"/>
  </si>
  <si>
    <t>票兌---7383242</t>
    <phoneticPr fontId="3" type="noConversion"/>
  </si>
  <si>
    <t>2018.05.31</t>
    <phoneticPr fontId="3" type="noConversion"/>
  </si>
  <si>
    <t>2018.08.31</t>
    <phoneticPr fontId="3" type="noConversion"/>
  </si>
  <si>
    <t>2018.08.08</t>
    <phoneticPr fontId="3" type="noConversion"/>
  </si>
  <si>
    <t>漢聯</t>
    <phoneticPr fontId="3" type="noConversion"/>
  </si>
  <si>
    <t>2018.07.16</t>
    <phoneticPr fontId="3" type="noConversion"/>
  </si>
  <si>
    <t>DA4999719</t>
    <phoneticPr fontId="3" type="noConversion"/>
  </si>
  <si>
    <t>DA4999720</t>
  </si>
  <si>
    <t>DA4999721</t>
  </si>
  <si>
    <t>DA4999722</t>
  </si>
  <si>
    <t>DA4999723</t>
  </si>
  <si>
    <t>DA4999724</t>
  </si>
  <si>
    <t>DA4999725</t>
  </si>
  <si>
    <t>DA4999726</t>
  </si>
  <si>
    <t>1-9</t>
    <phoneticPr fontId="3" type="noConversion"/>
  </si>
  <si>
    <t>2019.10.01</t>
    <phoneticPr fontId="3" type="noConversion"/>
  </si>
  <si>
    <t>2020.01.01</t>
    <phoneticPr fontId="3" type="noConversion"/>
  </si>
  <si>
    <t>2020.04.01</t>
    <phoneticPr fontId="3" type="noConversion"/>
  </si>
  <si>
    <t>2018.03.12</t>
    <phoneticPr fontId="3" type="noConversion"/>
  </si>
  <si>
    <t>2018.08.30</t>
    <phoneticPr fontId="3" type="noConversion"/>
  </si>
  <si>
    <t>西拓</t>
    <phoneticPr fontId="3" type="noConversion"/>
  </si>
  <si>
    <t>FA6516753</t>
    <phoneticPr fontId="3" type="noConversion"/>
  </si>
  <si>
    <t>FA6516754</t>
  </si>
  <si>
    <t>FA6516757</t>
  </si>
  <si>
    <t>FA6516758</t>
  </si>
  <si>
    <t>FA6516759</t>
  </si>
  <si>
    <t>FA6516760</t>
  </si>
  <si>
    <t>2019.01.10</t>
    <phoneticPr fontId="3" type="noConversion"/>
  </si>
  <si>
    <t>FA6516756</t>
    <phoneticPr fontId="3" type="noConversion"/>
  </si>
  <si>
    <t>2019.04.10</t>
    <phoneticPr fontId="3" type="noConversion"/>
  </si>
  <si>
    <t>FA6516761</t>
  </si>
  <si>
    <t>2019.07.10</t>
    <phoneticPr fontId="3" type="noConversion"/>
  </si>
  <si>
    <t>2019.10.10</t>
    <phoneticPr fontId="3" type="noConversion"/>
  </si>
  <si>
    <t>2020.01.10</t>
    <phoneticPr fontId="3" type="noConversion"/>
  </si>
  <si>
    <t>2020.04.10</t>
    <phoneticPr fontId="3" type="noConversion"/>
  </si>
  <si>
    <t>2020.07.10</t>
    <phoneticPr fontId="3" type="noConversion"/>
  </si>
  <si>
    <t>2018.03.15</t>
    <phoneticPr fontId="3" type="noConversion"/>
  </si>
  <si>
    <t>2018.06.15</t>
    <phoneticPr fontId="3" type="noConversion"/>
  </si>
  <si>
    <t>2018.09.17</t>
    <phoneticPr fontId="3" type="noConversion"/>
  </si>
  <si>
    <t>2018.12.17</t>
    <phoneticPr fontId="3" type="noConversion"/>
  </si>
  <si>
    <t>2018.02.06</t>
    <phoneticPr fontId="3" type="noConversion"/>
  </si>
  <si>
    <t>品固SJ</t>
    <phoneticPr fontId="3" type="noConversion"/>
  </si>
  <si>
    <t>MD1561234</t>
    <phoneticPr fontId="3" type="noConversion"/>
  </si>
  <si>
    <t>MD1561235</t>
  </si>
  <si>
    <t>MD1561236</t>
  </si>
  <si>
    <t>MD1561237</t>
  </si>
  <si>
    <t>MD1561238</t>
  </si>
  <si>
    <t>MD1561239</t>
  </si>
  <si>
    <t>MD1561240</t>
  </si>
  <si>
    <t>MD1561241</t>
  </si>
  <si>
    <t>2018.03.20</t>
    <phoneticPr fontId="3" type="noConversion"/>
  </si>
  <si>
    <t>2018.06.20</t>
    <phoneticPr fontId="3" type="noConversion"/>
  </si>
  <si>
    <t>2019.09.20</t>
    <phoneticPr fontId="3" type="noConversion"/>
  </si>
  <si>
    <t>2019.12.20</t>
    <phoneticPr fontId="3" type="noConversion"/>
  </si>
  <si>
    <t>2019.03.20</t>
    <phoneticPr fontId="3" type="noConversion"/>
  </si>
  <si>
    <t>2018.09.20</t>
    <phoneticPr fontId="3" type="noConversion"/>
  </si>
  <si>
    <t>2018.12.20</t>
    <phoneticPr fontId="3" type="noConversion"/>
  </si>
  <si>
    <t>2019.06.20</t>
    <phoneticPr fontId="3" type="noConversion"/>
  </si>
  <si>
    <t>2018.06.22</t>
    <phoneticPr fontId="3" type="noConversion"/>
  </si>
  <si>
    <t>威倫</t>
    <phoneticPr fontId="3" type="noConversion"/>
  </si>
  <si>
    <t>CT1556860</t>
    <phoneticPr fontId="3" type="noConversion"/>
  </si>
  <si>
    <t>CT1556861</t>
  </si>
  <si>
    <t>CT1556862</t>
  </si>
  <si>
    <t>CT1556863</t>
  </si>
  <si>
    <t>CT1556864</t>
  </si>
  <si>
    <t>CT1556865</t>
  </si>
  <si>
    <t>CT1556866</t>
  </si>
  <si>
    <t>CT1556867</t>
  </si>
  <si>
    <t>2020.03.20</t>
    <phoneticPr fontId="3" type="noConversion"/>
  </si>
  <si>
    <t>2018.09.25</t>
    <phoneticPr fontId="3" type="noConversion"/>
  </si>
  <si>
    <t>2018.12.25</t>
    <phoneticPr fontId="3" type="noConversion"/>
  </si>
  <si>
    <t>2018.03.13</t>
    <phoneticPr fontId="3" type="noConversion"/>
  </si>
  <si>
    <t>展鑫</t>
    <phoneticPr fontId="3" type="noConversion"/>
  </si>
  <si>
    <t>PD0246505</t>
    <phoneticPr fontId="3" type="noConversion"/>
  </si>
  <si>
    <t>PD0246506</t>
  </si>
  <si>
    <t>PD0246507</t>
  </si>
  <si>
    <t>PD0246508</t>
  </si>
  <si>
    <t>PD0246509</t>
  </si>
  <si>
    <t>PD0246510</t>
  </si>
  <si>
    <t>PD0246511</t>
  </si>
  <si>
    <t>PD0246512</t>
  </si>
  <si>
    <t>2018.02.01</t>
    <phoneticPr fontId="3" type="noConversion"/>
  </si>
  <si>
    <t>2018.05.01</t>
    <phoneticPr fontId="3" type="noConversion"/>
  </si>
  <si>
    <t>2018.04.03</t>
    <phoneticPr fontId="3" type="noConversion"/>
  </si>
  <si>
    <t>2018.05.08</t>
    <phoneticPr fontId="3" type="noConversion"/>
  </si>
  <si>
    <t>2018.03.22</t>
    <phoneticPr fontId="3" type="noConversion"/>
  </si>
  <si>
    <t>祥和</t>
    <phoneticPr fontId="3" type="noConversion"/>
  </si>
  <si>
    <t>GN6625521</t>
    <phoneticPr fontId="3" type="noConversion"/>
  </si>
  <si>
    <t>GN6625523</t>
  </si>
  <si>
    <t>GN6625524</t>
  </si>
  <si>
    <t>GN6625512</t>
    <phoneticPr fontId="3" type="noConversion"/>
  </si>
  <si>
    <t>GN6625513</t>
  </si>
  <si>
    <t>GN6625514</t>
  </si>
  <si>
    <t>2018.09.15</t>
    <phoneticPr fontId="3" type="noConversion"/>
  </si>
  <si>
    <t>2018.12.15</t>
    <phoneticPr fontId="3" type="noConversion"/>
  </si>
  <si>
    <t>GN6625522</t>
    <phoneticPr fontId="3" type="noConversion"/>
  </si>
  <si>
    <t>2019.03.15</t>
    <phoneticPr fontId="3" type="noConversion"/>
  </si>
  <si>
    <t>2019.06.15</t>
    <phoneticPr fontId="3" type="noConversion"/>
  </si>
  <si>
    <t>2019.09.15</t>
    <phoneticPr fontId="3" type="noConversion"/>
  </si>
  <si>
    <t>GN6625520</t>
    <phoneticPr fontId="3" type="noConversion"/>
  </si>
  <si>
    <t>2019.12.15</t>
    <phoneticPr fontId="3" type="noConversion"/>
  </si>
  <si>
    <t>2018.09.26</t>
    <phoneticPr fontId="3" type="noConversion"/>
  </si>
  <si>
    <t>喜可</t>
    <phoneticPr fontId="3" type="noConversion"/>
  </si>
  <si>
    <t>2018.09.30</t>
    <phoneticPr fontId="3" type="noConversion"/>
  </si>
  <si>
    <t>AE5480311</t>
    <phoneticPr fontId="3" type="noConversion"/>
  </si>
  <si>
    <t>AE5480312</t>
  </si>
  <si>
    <t>AE5480313</t>
  </si>
  <si>
    <t>AE5480314</t>
  </si>
  <si>
    <t>AE5480315</t>
  </si>
  <si>
    <t>AE5480316</t>
  </si>
  <si>
    <t>AE5480317</t>
  </si>
  <si>
    <t>AE5480318</t>
  </si>
  <si>
    <t>2018.12.30</t>
    <phoneticPr fontId="3" type="noConversion"/>
  </si>
  <si>
    <t>2019.03.30</t>
    <phoneticPr fontId="3" type="noConversion"/>
  </si>
  <si>
    <t>2019.06.30</t>
    <phoneticPr fontId="3" type="noConversion"/>
  </si>
  <si>
    <t>2019.09.30</t>
    <phoneticPr fontId="3" type="noConversion"/>
  </si>
  <si>
    <t>2019.12.30</t>
    <phoneticPr fontId="3" type="noConversion"/>
  </si>
  <si>
    <t>2020.03.30</t>
    <phoneticPr fontId="3" type="noConversion"/>
  </si>
  <si>
    <t>2020.06.30</t>
    <phoneticPr fontId="3" type="noConversion"/>
  </si>
  <si>
    <t>JE1425128</t>
    <phoneticPr fontId="3" type="noConversion"/>
  </si>
  <si>
    <t>車源維護+網址</t>
    <phoneticPr fontId="3" type="noConversion"/>
  </si>
  <si>
    <t>2018.10.09</t>
    <phoneticPr fontId="3" type="noConversion"/>
  </si>
  <si>
    <t>8</t>
    <phoneticPr fontId="3" type="noConversion"/>
  </si>
  <si>
    <t>2018.03.01</t>
    <phoneticPr fontId="3" type="noConversion"/>
  </si>
  <si>
    <t>1</t>
    <phoneticPr fontId="3" type="noConversion"/>
  </si>
  <si>
    <t>2018.10.25</t>
    <phoneticPr fontId="3" type="noConversion"/>
  </si>
  <si>
    <t>2</t>
    <phoneticPr fontId="3" type="noConversion"/>
  </si>
  <si>
    <t>2019.12.25</t>
    <phoneticPr fontId="3" type="noConversion"/>
  </si>
  <si>
    <t>2017.10.13,2017.11.10,2017.12.08,2018.01.09,2018.02.09,2018.03.09,2018.04.09,2018.05.09,2018.06.08,2018.07.09,2018.08.10,2018.09.11,2018.10.09,2018.11.12,2018.12.10</t>
    <phoneticPr fontId="3" type="noConversion"/>
  </si>
  <si>
    <t>2018.03.15</t>
    <phoneticPr fontId="3" type="noConversion"/>
  </si>
  <si>
    <t>3</t>
    <phoneticPr fontId="3" type="noConversion"/>
  </si>
  <si>
    <t>2018.06.15</t>
    <phoneticPr fontId="3" type="noConversion"/>
  </si>
  <si>
    <t>4</t>
    <phoneticPr fontId="3" type="noConversion"/>
  </si>
  <si>
    <t>2018.08.15</t>
    <phoneticPr fontId="3" type="noConversion"/>
  </si>
  <si>
    <t>5</t>
    <phoneticPr fontId="3" type="noConversion"/>
  </si>
  <si>
    <t>2018.11.15</t>
    <phoneticPr fontId="3" type="noConversion"/>
  </si>
  <si>
    <t>2018.04.20</t>
    <phoneticPr fontId="3" type="noConversion"/>
  </si>
  <si>
    <t>2018.07.17</t>
    <phoneticPr fontId="3" type="noConversion"/>
  </si>
  <si>
    <t>6</t>
    <phoneticPr fontId="3" type="noConversion"/>
  </si>
  <si>
    <t>2018.10.12</t>
    <phoneticPr fontId="3" type="noConversion"/>
  </si>
  <si>
    <t>7</t>
    <phoneticPr fontId="3" type="noConversion"/>
  </si>
  <si>
    <t>2018.12.10</t>
    <phoneticPr fontId="3" type="noConversion"/>
  </si>
  <si>
    <t>1-4</t>
    <phoneticPr fontId="3" type="noConversion"/>
  </si>
  <si>
    <t>2018.09.18</t>
    <phoneticPr fontId="3" type="noConversion"/>
  </si>
  <si>
    <t>2018.11.19</t>
    <phoneticPr fontId="3" type="noConversion"/>
  </si>
  <si>
    <t>2018.11.23</t>
    <phoneticPr fontId="3" type="noConversion"/>
  </si>
  <si>
    <t>崴凌</t>
    <phoneticPr fontId="3" type="noConversion"/>
  </si>
  <si>
    <t>2018.03.09</t>
    <phoneticPr fontId="3" type="noConversion"/>
  </si>
  <si>
    <t>[2018]</t>
    <phoneticPr fontId="3" type="noConversion"/>
  </si>
  <si>
    <t>107.07 卡費</t>
    <phoneticPr fontId="3" type="noConversion"/>
  </si>
  <si>
    <r>
      <t>107</t>
    </r>
    <r>
      <rPr>
        <sz val="12"/>
        <rFont val="新細明體"/>
        <family val="1"/>
        <charset val="136"/>
      </rPr>
      <t>.04 卡費</t>
    </r>
    <phoneticPr fontId="3" type="noConversion"/>
  </si>
  <si>
    <t>107.01 卡費</t>
    <phoneticPr fontId="3" type="noConversion"/>
  </si>
  <si>
    <t>107.02 卡費</t>
    <phoneticPr fontId="3" type="noConversion"/>
  </si>
  <si>
    <r>
      <t>107</t>
    </r>
    <r>
      <rPr>
        <sz val="12"/>
        <rFont val="新細明體"/>
        <family val="1"/>
        <charset val="136"/>
      </rPr>
      <t>.03 卡費</t>
    </r>
    <phoneticPr fontId="3" type="noConversion"/>
  </si>
  <si>
    <r>
      <t>107</t>
    </r>
    <r>
      <rPr>
        <sz val="12"/>
        <rFont val="新細明體"/>
        <family val="1"/>
        <charset val="136"/>
      </rPr>
      <t>.05 卡費</t>
    </r>
    <phoneticPr fontId="3" type="noConversion"/>
  </si>
  <si>
    <r>
      <t>107</t>
    </r>
    <r>
      <rPr>
        <sz val="12"/>
        <rFont val="新細明體"/>
        <family val="1"/>
        <charset val="136"/>
      </rPr>
      <t>.06 卡費</t>
    </r>
    <phoneticPr fontId="3" type="noConversion"/>
  </si>
  <si>
    <t>107.08 卡費</t>
    <phoneticPr fontId="3" type="noConversion"/>
  </si>
  <si>
    <t>107.09 卡費</t>
    <phoneticPr fontId="3" type="noConversion"/>
  </si>
  <si>
    <t>107.10 卡費</t>
    <phoneticPr fontId="3" type="noConversion"/>
  </si>
  <si>
    <t>107.11 卡費</t>
    <phoneticPr fontId="3" type="noConversion"/>
  </si>
  <si>
    <t>107.12 卡費</t>
    <phoneticPr fontId="3" type="noConversion"/>
  </si>
  <si>
    <t>ZL88009927</t>
    <phoneticPr fontId="3" type="noConversion"/>
  </si>
  <si>
    <t>YT22424743</t>
    <phoneticPr fontId="3" type="noConversion"/>
  </si>
  <si>
    <t>原價屋</t>
    <phoneticPr fontId="3" type="noConversion"/>
  </si>
  <si>
    <t>BV88658368</t>
    <phoneticPr fontId="3" type="noConversion"/>
  </si>
  <si>
    <t>PH</t>
    <phoneticPr fontId="3" type="noConversion"/>
  </si>
  <si>
    <t>DS87789776</t>
    <phoneticPr fontId="3" type="noConversion"/>
  </si>
  <si>
    <t>DS88110846</t>
    <phoneticPr fontId="3" type="noConversion"/>
  </si>
  <si>
    <t>FP87306935</t>
    <phoneticPr fontId="3" type="noConversion"/>
  </si>
  <si>
    <t>FP87563270</t>
    <phoneticPr fontId="3" type="noConversion"/>
  </si>
  <si>
    <t>EH45008356</t>
    <phoneticPr fontId="3" type="noConversion"/>
  </si>
  <si>
    <t>FP88045353</t>
    <phoneticPr fontId="3" type="noConversion"/>
  </si>
  <si>
    <t>FP89240214</t>
    <phoneticPr fontId="3" type="noConversion"/>
  </si>
  <si>
    <t>KH88075753</t>
    <phoneticPr fontId="3" type="noConversion"/>
  </si>
  <si>
    <t>JD22423204</t>
    <phoneticPr fontId="3" type="noConversion"/>
  </si>
  <si>
    <t>KH88349618</t>
    <phoneticPr fontId="3" type="noConversion"/>
  </si>
  <si>
    <t>JD22425096</t>
    <phoneticPr fontId="3" type="noConversion"/>
  </si>
  <si>
    <t>2351-8799-201801</t>
    <phoneticPr fontId="3" type="noConversion"/>
  </si>
  <si>
    <t>2351-8799-201802</t>
    <phoneticPr fontId="3" type="noConversion"/>
  </si>
  <si>
    <t>2351-8799-201803</t>
    <phoneticPr fontId="3" type="noConversion"/>
  </si>
  <si>
    <t>2351-8799-201804</t>
    <phoneticPr fontId="3" type="noConversion"/>
  </si>
  <si>
    <t>2351-8799-201805</t>
    <phoneticPr fontId="3" type="noConversion"/>
  </si>
  <si>
    <t>2351-8799-201806</t>
    <phoneticPr fontId="3" type="noConversion"/>
  </si>
  <si>
    <t>2351-8799-201807</t>
    <phoneticPr fontId="3" type="noConversion"/>
  </si>
  <si>
    <t>2351-8799-201808</t>
    <phoneticPr fontId="3" type="noConversion"/>
  </si>
  <si>
    <t>2351-8799-201809</t>
    <phoneticPr fontId="3" type="noConversion"/>
  </si>
  <si>
    <t>2351-8799-201810</t>
    <phoneticPr fontId="3" type="noConversion"/>
  </si>
  <si>
    <t>2351-8799-201811</t>
    <phoneticPr fontId="3" type="noConversion"/>
  </si>
  <si>
    <t>2351-8799-201812</t>
    <phoneticPr fontId="3" type="noConversion"/>
  </si>
  <si>
    <t>2351-8805-201801</t>
    <phoneticPr fontId="3" type="noConversion"/>
  </si>
  <si>
    <t>2351-8805-201802</t>
    <phoneticPr fontId="3" type="noConversion"/>
  </si>
  <si>
    <t>2351-8805-201803</t>
    <phoneticPr fontId="3" type="noConversion"/>
  </si>
  <si>
    <t>2351-8805-201804</t>
    <phoneticPr fontId="3" type="noConversion"/>
  </si>
  <si>
    <t>2351-8805-201805</t>
    <phoneticPr fontId="3" type="noConversion"/>
  </si>
  <si>
    <t>2351-8805-201806</t>
    <phoneticPr fontId="3" type="noConversion"/>
  </si>
  <si>
    <t>2351-8805-201807</t>
    <phoneticPr fontId="3" type="noConversion"/>
  </si>
  <si>
    <t>2351-8805-201808</t>
    <phoneticPr fontId="3" type="noConversion"/>
  </si>
  <si>
    <t>2351-8805-201809</t>
    <phoneticPr fontId="3" type="noConversion"/>
  </si>
  <si>
    <t>2351-8805-201810</t>
    <phoneticPr fontId="3" type="noConversion"/>
  </si>
  <si>
    <t>2351-8805-201811</t>
    <phoneticPr fontId="3" type="noConversion"/>
  </si>
  <si>
    <t>2351-8805-201812</t>
    <phoneticPr fontId="3" type="noConversion"/>
  </si>
  <si>
    <t>2351-8546-201801</t>
    <phoneticPr fontId="3" type="noConversion"/>
  </si>
  <si>
    <t>2351-8546-201802</t>
    <phoneticPr fontId="3" type="noConversion"/>
  </si>
  <si>
    <t>2351-8546-201804</t>
    <phoneticPr fontId="3" type="noConversion"/>
  </si>
  <si>
    <t>2351-8546-201805</t>
    <phoneticPr fontId="3" type="noConversion"/>
  </si>
  <si>
    <t>2351-8546-201806</t>
    <phoneticPr fontId="3" type="noConversion"/>
  </si>
  <si>
    <t>2351-8546-201807</t>
    <phoneticPr fontId="3" type="noConversion"/>
  </si>
  <si>
    <t>2351-8546-201808</t>
    <phoneticPr fontId="3" type="noConversion"/>
  </si>
  <si>
    <t>2351-8546-201809</t>
    <phoneticPr fontId="3" type="noConversion"/>
  </si>
  <si>
    <t>2351-8546-201810</t>
    <phoneticPr fontId="3" type="noConversion"/>
  </si>
  <si>
    <t>2351-8546-201811</t>
    <phoneticPr fontId="3" type="noConversion"/>
  </si>
  <si>
    <t>2351-8546-201812</t>
    <phoneticPr fontId="3" type="noConversion"/>
  </si>
  <si>
    <t>電費-201803</t>
    <phoneticPr fontId="3" type="noConversion"/>
  </si>
  <si>
    <t>電費-201805</t>
    <phoneticPr fontId="3" type="noConversion"/>
  </si>
  <si>
    <t>電費-201807</t>
    <phoneticPr fontId="3" type="noConversion"/>
  </si>
  <si>
    <t>電費-201809</t>
    <phoneticPr fontId="3" type="noConversion"/>
  </si>
  <si>
    <t>電費-201811</t>
    <phoneticPr fontId="3" type="noConversion"/>
  </si>
  <si>
    <t>水費-201811</t>
    <phoneticPr fontId="3" type="noConversion"/>
  </si>
  <si>
    <t>水費-201809</t>
    <phoneticPr fontId="3" type="noConversion"/>
  </si>
  <si>
    <t>水費-201807</t>
    <phoneticPr fontId="3" type="noConversion"/>
  </si>
  <si>
    <t>水費-201805</t>
    <phoneticPr fontId="3" type="noConversion"/>
  </si>
  <si>
    <t>水費-201803</t>
    <phoneticPr fontId="3" type="noConversion"/>
  </si>
  <si>
    <t>水費-201801</t>
    <phoneticPr fontId="3" type="noConversion"/>
  </si>
  <si>
    <t>電費-201801</t>
    <phoneticPr fontId="3" type="noConversion"/>
  </si>
  <si>
    <r>
      <t>2018</t>
    </r>
    <r>
      <rPr>
        <sz val="12"/>
        <rFont val="新細明體"/>
        <family val="1"/>
        <charset val="136"/>
      </rPr>
      <t>進項</t>
    </r>
    <phoneticPr fontId="3" type="noConversion"/>
  </si>
  <si>
    <t>KH89599764</t>
    <phoneticPr fontId="3" type="noConversion"/>
  </si>
  <si>
    <t>2018年華算進貨明細</t>
    <phoneticPr fontId="3" type="noConversion"/>
  </si>
  <si>
    <t>2018-00</t>
    <phoneticPr fontId="3" type="noConversion"/>
  </si>
  <si>
    <t>2018-00</t>
    <phoneticPr fontId="3" type="noConversion"/>
  </si>
  <si>
    <t>2017發票</t>
    <phoneticPr fontId="3" type="noConversion"/>
  </si>
  <si>
    <r>
      <rPr>
        <sz val="12"/>
        <rFont val="新細明體"/>
        <family val="1"/>
        <charset val="136"/>
      </rPr>
      <t>收支票</t>
    </r>
    <r>
      <rPr>
        <sz val="12"/>
        <rFont val="新細明體"/>
        <family val="1"/>
        <charset val="136"/>
      </rPr>
      <t>(2018發票)</t>
    </r>
    <phoneticPr fontId="3" type="noConversion"/>
  </si>
  <si>
    <t>2018收票(前期已開發票)</t>
    <phoneticPr fontId="3" type="noConversion"/>
  </si>
  <si>
    <t>2018收票(開發票預收)</t>
    <phoneticPr fontId="3" type="noConversion"/>
  </si>
  <si>
    <t>2018收票(開發票本期)</t>
    <phoneticPr fontId="3" type="noConversion"/>
  </si>
  <si>
    <t>2018兌現總計</t>
    <phoneticPr fontId="3" type="noConversion"/>
  </si>
  <si>
    <t>2018匯款總計</t>
    <phoneticPr fontId="3" type="noConversion"/>
  </si>
  <si>
    <r>
      <t>2018</t>
    </r>
    <r>
      <rPr>
        <sz val="12"/>
        <rFont val="新細明體"/>
        <family val="1"/>
        <charset val="136"/>
      </rPr>
      <t>發票401總計</t>
    </r>
    <phoneticPr fontId="3" type="noConversion"/>
  </si>
  <si>
    <t>2018/1-12租金</t>
    <phoneticPr fontId="3" type="noConversion"/>
  </si>
  <si>
    <t>2018-05</t>
    <phoneticPr fontId="3" type="noConversion"/>
  </si>
  <si>
    <t>2018房租匯款手續費</t>
    <phoneticPr fontId="3" type="noConversion"/>
  </si>
  <si>
    <t>健保2017/11-2018/10</t>
    <phoneticPr fontId="3" type="noConversion"/>
  </si>
  <si>
    <t>電話費2018/1-12</t>
    <phoneticPr fontId="3" type="noConversion"/>
  </si>
  <si>
    <t>2018-06</t>
    <phoneticPr fontId="3" type="noConversion"/>
  </si>
  <si>
    <t>申報2017/12-2018/11</t>
    <phoneticPr fontId="3" type="noConversion"/>
  </si>
  <si>
    <t>2018年12月</t>
    <phoneticPr fontId="3" type="noConversion"/>
  </si>
  <si>
    <t>2017年12月</t>
    <phoneticPr fontId="3" type="noConversion"/>
  </si>
  <si>
    <t>2018薪資總計</t>
    <phoneticPr fontId="3" type="noConversion"/>
  </si>
  <si>
    <t>2018伙食實付</t>
    <phoneticPr fontId="3" type="noConversion"/>
  </si>
  <si>
    <t>2018伙食DV+張</t>
    <phoneticPr fontId="3" type="noConversion"/>
  </si>
  <si>
    <t>支付2018薪資總計</t>
    <phoneticPr fontId="3" type="noConversion"/>
  </si>
  <si>
    <t>2018/1-12</t>
    <phoneticPr fontId="3" type="noConversion"/>
  </si>
  <si>
    <t>2018進貨總計</t>
    <phoneticPr fontId="3" type="noConversion"/>
  </si>
  <si>
    <t>2018-10</t>
    <phoneticPr fontId="3" type="noConversion"/>
  </si>
  <si>
    <t>2018國外域名+稅</t>
    <phoneticPr fontId="3" type="noConversion"/>
  </si>
  <si>
    <t>2018/12達卡費富邦</t>
    <phoneticPr fontId="3" type="noConversion"/>
  </si>
  <si>
    <t>2018/12達卡費中信</t>
    <phoneticPr fontId="3" type="noConversion"/>
  </si>
  <si>
    <t>2018/12達卡費玉山</t>
    <phoneticPr fontId="3" type="noConversion"/>
  </si>
  <si>
    <t>2018進貨+達代刷卡</t>
    <phoneticPr fontId="3" type="noConversion"/>
  </si>
  <si>
    <t>2018/7達信卡</t>
    <phoneticPr fontId="3" type="noConversion"/>
  </si>
  <si>
    <t>2018-12</t>
    <phoneticPr fontId="3" type="noConversion"/>
  </si>
  <si>
    <r>
      <t>1</t>
    </r>
    <r>
      <rPr>
        <sz val="12"/>
        <rFont val="新細明體"/>
        <family val="1"/>
        <charset val="136"/>
      </rPr>
      <t>344-1351</t>
    </r>
    <phoneticPr fontId="3" type="noConversion"/>
  </si>
  <si>
    <t>1353-1360</t>
    <phoneticPr fontId="3" type="noConversion"/>
  </si>
  <si>
    <r>
      <t>1</t>
    </r>
    <r>
      <rPr>
        <sz val="12"/>
        <rFont val="新細明體"/>
        <family val="1"/>
        <charset val="136"/>
      </rPr>
      <t>365-1372</t>
    </r>
    <phoneticPr fontId="3" type="noConversion"/>
  </si>
  <si>
    <r>
      <t>1</t>
    </r>
    <r>
      <rPr>
        <sz val="12"/>
        <rFont val="新細明體"/>
        <family val="1"/>
        <charset val="136"/>
      </rPr>
      <t>373-1380</t>
    </r>
    <phoneticPr fontId="3" type="noConversion"/>
  </si>
  <si>
    <r>
      <t>1</t>
    </r>
    <r>
      <rPr>
        <sz val="12"/>
        <rFont val="新細明體"/>
        <family val="1"/>
        <charset val="136"/>
      </rPr>
      <t>381-1388</t>
    </r>
    <phoneticPr fontId="3" type="noConversion"/>
  </si>
  <si>
    <r>
      <t>1</t>
    </r>
    <r>
      <rPr>
        <sz val="12"/>
        <rFont val="新細明體"/>
        <family val="1"/>
        <charset val="136"/>
      </rPr>
      <t>389-1396</t>
    </r>
    <phoneticPr fontId="3" type="noConversion"/>
  </si>
  <si>
    <r>
      <t>1</t>
    </r>
    <r>
      <rPr>
        <sz val="12"/>
        <rFont val="新細明體"/>
        <family val="1"/>
        <charset val="136"/>
      </rPr>
      <t>397-1404</t>
    </r>
    <phoneticPr fontId="3" type="noConversion"/>
  </si>
  <si>
    <t>1405-1412</t>
    <phoneticPr fontId="3" type="noConversion"/>
  </si>
  <si>
    <r>
      <t>1</t>
    </r>
    <r>
      <rPr>
        <sz val="12"/>
        <rFont val="新細明體"/>
        <family val="1"/>
        <charset val="136"/>
      </rPr>
      <t>413-1420</t>
    </r>
    <phoneticPr fontId="3" type="noConversion"/>
  </si>
  <si>
    <r>
      <t>1</t>
    </r>
    <r>
      <rPr>
        <sz val="12"/>
        <rFont val="新細明體"/>
        <family val="1"/>
        <charset val="136"/>
      </rPr>
      <t>421-1428</t>
    </r>
    <phoneticPr fontId="3" type="noConversion"/>
  </si>
  <si>
    <r>
      <t>1</t>
    </r>
    <r>
      <rPr>
        <sz val="12"/>
        <rFont val="新細明體"/>
        <family val="1"/>
        <charset val="136"/>
      </rPr>
      <t>429-1440</t>
    </r>
    <phoneticPr fontId="3" type="noConversion"/>
  </si>
  <si>
    <t>2018科目明細</t>
    <phoneticPr fontId="3" type="noConversion"/>
  </si>
  <si>
    <r>
      <t>2018</t>
    </r>
    <r>
      <rPr>
        <sz val="12"/>
        <rFont val="新細明體"/>
        <family val="1"/>
        <charset val="136"/>
      </rPr>
      <t>華算主機-殘值</t>
    </r>
    <phoneticPr fontId="3" type="noConversion"/>
  </si>
  <si>
    <r>
      <t>2018</t>
    </r>
    <r>
      <rPr>
        <sz val="12"/>
        <rFont val="新細明體"/>
        <family val="1"/>
        <charset val="136"/>
      </rPr>
      <t>華算主機-折舊</t>
    </r>
    <phoneticPr fontId="3" type="noConversion"/>
  </si>
  <si>
    <r>
      <t>2018</t>
    </r>
    <r>
      <rPr>
        <sz val="12"/>
        <rFont val="新細明體"/>
        <family val="1"/>
        <charset val="136"/>
      </rPr>
      <t>華算主機-新組裝</t>
    </r>
    <phoneticPr fontId="3" type="noConversion"/>
  </si>
  <si>
    <r>
      <t>2018</t>
    </r>
    <r>
      <rPr>
        <sz val="12"/>
        <rFont val="新細明體"/>
        <family val="1"/>
        <charset val="136"/>
      </rPr>
      <t>華算主機-期初</t>
    </r>
    <phoneticPr fontId="3" type="noConversion"/>
  </si>
  <si>
    <r>
      <t>2018</t>
    </r>
    <r>
      <rPr>
        <sz val="12"/>
        <rFont val="新細明體"/>
        <family val="1"/>
        <charset val="136"/>
      </rPr>
      <t>/12/31庫存帳</t>
    </r>
    <phoneticPr fontId="8" type="noConversion"/>
  </si>
  <si>
    <t>2017收跨年銀行未兌x0</t>
    <phoneticPr fontId="3" type="noConversion"/>
  </si>
  <si>
    <t>2017收未兌票x21</t>
    <phoneticPr fontId="3" type="noConversion"/>
  </si>
  <si>
    <t>2018收未兌票x82</t>
    <phoneticPr fontId="3" type="noConversion"/>
  </si>
  <si>
    <t>2018收跨年銀行未兌x0</t>
    <phoneticPr fontId="3" type="noConversion"/>
  </si>
  <si>
    <t>2018/12</t>
    <phoneticPr fontId="3" type="noConversion"/>
  </si>
  <si>
    <t>2017年底餘額</t>
    <phoneticPr fontId="3" type="noConversion"/>
  </si>
  <si>
    <t>2018-01</t>
    <phoneticPr fontId="3" type="noConversion"/>
  </si>
  <si>
    <t>2018-02</t>
    <phoneticPr fontId="3" type="noConversion"/>
  </si>
  <si>
    <t>2018-03</t>
    <phoneticPr fontId="3" type="noConversion"/>
  </si>
  <si>
    <t>鉑德 20475x2</t>
    <phoneticPr fontId="3" type="noConversion"/>
  </si>
  <si>
    <t>依德 20475x7</t>
    <phoneticPr fontId="3" type="noConversion"/>
  </si>
  <si>
    <t>鎔德 20475x7</t>
    <phoneticPr fontId="3" type="noConversion"/>
  </si>
  <si>
    <t>鎔保 16380x7</t>
    <phoneticPr fontId="3" type="noConversion"/>
  </si>
  <si>
    <t>大桐 20475x1</t>
    <phoneticPr fontId="3" type="noConversion"/>
  </si>
  <si>
    <t>城乙14175x6</t>
    <phoneticPr fontId="3" type="noConversion"/>
  </si>
  <si>
    <t>沖2017預收未兌依/鎔/鎔保/鉑/安/桐</t>
    <phoneticPr fontId="3" type="noConversion"/>
  </si>
  <si>
    <t>2018預收未兌依/鎔/鎔保/鉑/桐</t>
    <phoneticPr fontId="3" type="noConversion"/>
  </si>
  <si>
    <t>2018匯款手續費13x</t>
    <phoneticPr fontId="3" type="noConversion"/>
  </si>
  <si>
    <t>利息2018/6</t>
    <phoneticPr fontId="3" type="noConversion"/>
  </si>
  <si>
    <t>利息2018/6</t>
    <phoneticPr fontId="3" type="noConversion"/>
  </si>
  <si>
    <t>利息2018/12</t>
    <phoneticPr fontId="3" type="noConversion"/>
  </si>
  <si>
    <r>
      <t>台銀城中利息2</t>
    </r>
    <r>
      <rPr>
        <sz val="12"/>
        <rFont val="新細明體"/>
        <family val="1"/>
        <charset val="136"/>
      </rPr>
      <t>018/6</t>
    </r>
    <phoneticPr fontId="3" type="noConversion"/>
  </si>
  <si>
    <r>
      <t>台銀城中利息2</t>
    </r>
    <r>
      <rPr>
        <sz val="12"/>
        <rFont val="新細明體"/>
        <family val="1"/>
        <charset val="136"/>
      </rPr>
      <t>018/12</t>
    </r>
    <phoneticPr fontId="3" type="noConversion"/>
  </si>
  <si>
    <t>補充健保費2016</t>
    <phoneticPr fontId="3" type="noConversion"/>
  </si>
  <si>
    <t>勞保2017/11-2018/10</t>
    <phoneticPr fontId="3" type="noConversion"/>
  </si>
  <si>
    <t>勞退2017/10-2018/9</t>
    <phoneticPr fontId="3" type="noConversion"/>
  </si>
  <si>
    <t>電費2018/11-12</t>
    <phoneticPr fontId="3" type="noConversion"/>
  </si>
  <si>
    <t>電費2018/1-10</t>
    <phoneticPr fontId="3" type="noConversion"/>
  </si>
  <si>
    <t>水費2018</t>
    <phoneticPr fontId="3" type="noConversion"/>
  </si>
  <si>
    <t>水費免稅2018/1-12</t>
    <phoneticPr fontId="3" type="noConversion"/>
  </si>
  <si>
    <t>水費2018/1,3,5,7,9,11</t>
    <phoneticPr fontId="3" type="noConversion"/>
  </si>
  <si>
    <t>2018進項稅額抵扣</t>
    <phoneticPr fontId="3" type="noConversion"/>
  </si>
  <si>
    <t>2018進貨退出稅額</t>
    <phoneticPr fontId="3" type="noConversion"/>
  </si>
  <si>
    <t>2018/1-12</t>
    <phoneticPr fontId="3" type="noConversion"/>
  </si>
  <si>
    <t>401-16/11-17/10應納稅額</t>
    <phoneticPr fontId="3" type="noConversion"/>
  </si>
  <si>
    <t>401-2017/11-2018/8</t>
    <phoneticPr fontId="3" type="noConversion"/>
  </si>
  <si>
    <t>401-2018/9-2018/10</t>
    <phoneticPr fontId="3" type="noConversion"/>
  </si>
  <si>
    <r>
      <t>主機折舊*38</t>
    </r>
    <r>
      <rPr>
        <sz val="12"/>
        <rFont val="新細明體"/>
        <family val="1"/>
        <charset val="136"/>
      </rPr>
      <t>0月台</t>
    </r>
    <phoneticPr fontId="3" type="noConversion"/>
  </si>
  <si>
    <r>
      <t xml:space="preserve">1/5 </t>
    </r>
    <r>
      <rPr>
        <sz val="12"/>
        <rFont val="新細明體"/>
        <family val="1"/>
        <charset val="136"/>
      </rPr>
      <t>DV-MA</t>
    </r>
    <phoneticPr fontId="3" type="noConversion"/>
  </si>
  <si>
    <t>2/7 PT-借支</t>
    <phoneticPr fontId="3" type="noConversion"/>
  </si>
  <si>
    <r>
      <t xml:space="preserve">2/22 </t>
    </r>
    <r>
      <rPr>
        <sz val="12"/>
        <rFont val="新細明體"/>
        <family val="1"/>
        <charset val="136"/>
      </rPr>
      <t>DV-MA</t>
    </r>
    <phoneticPr fontId="3" type="noConversion"/>
  </si>
  <si>
    <t>2/26 PT</t>
    <phoneticPr fontId="3" type="noConversion"/>
  </si>
  <si>
    <t>2/26 DV</t>
    <phoneticPr fontId="3" type="noConversion"/>
  </si>
  <si>
    <t>3/28 DV-MA</t>
    <phoneticPr fontId="3" type="noConversion"/>
  </si>
  <si>
    <t>7/16 DV-MA</t>
    <phoneticPr fontId="3" type="noConversion"/>
  </si>
  <si>
    <t>11/27 PT-</t>
    <phoneticPr fontId="3" type="noConversion"/>
  </si>
  <si>
    <t>12/05 PT-</t>
    <phoneticPr fontId="3" type="noConversion"/>
  </si>
  <si>
    <t>吸收2018薪資差額</t>
    <phoneticPr fontId="3" type="noConversion"/>
  </si>
  <si>
    <t>JD9423812</t>
    <phoneticPr fontId="3" type="noConversion"/>
  </si>
  <si>
    <t>2351-8546-201803</t>
    <phoneticPr fontId="3" type="noConversion"/>
  </si>
  <si>
    <t>股東往來</t>
    <phoneticPr fontId="3" type="noConversion"/>
  </si>
  <si>
    <t>調整Excel計算誤差</t>
    <phoneticPr fontId="3" type="noConversion"/>
  </si>
  <si>
    <t>2018-04</t>
    <phoneticPr fontId="3" type="noConversion"/>
  </si>
  <si>
    <t>2018-07</t>
    <phoneticPr fontId="3" type="noConversion"/>
  </si>
  <si>
    <t>2018-08</t>
    <phoneticPr fontId="3" type="noConversion"/>
  </si>
  <si>
    <t>2018-09</t>
    <phoneticPr fontId="3" type="noConversion"/>
  </si>
  <si>
    <t>2018-11</t>
    <phoneticPr fontId="3" type="noConversion"/>
  </si>
  <si>
    <t>2018-12</t>
    <phoneticPr fontId="3" type="noConversion"/>
  </si>
  <si>
    <t>2018-13</t>
    <phoneticPr fontId="3" type="noConversion"/>
  </si>
  <si>
    <t>2018-14</t>
  </si>
  <si>
    <t>2018匯款總計</t>
    <phoneticPr fontId="3" type="noConversion"/>
  </si>
  <si>
    <t>崴凌</t>
    <phoneticPr fontId="3" type="noConversion"/>
  </si>
  <si>
    <t>2018/11~12</t>
    <phoneticPr fontId="3" type="noConversion"/>
  </si>
  <si>
    <t>DV-台北長庚病歷補$40, ADA-ATM轉帳, 手續費$10</t>
    <phoneticPr fontId="3" type="noConversion"/>
  </si>
  <si>
    <t>DV-台北長庚病歷</t>
    <phoneticPr fontId="3" type="noConversion"/>
  </si>
  <si>
    <t>零用金-DV-0911209896電話費-退押金</t>
    <phoneticPr fontId="3" type="noConversion"/>
  </si>
  <si>
    <t>DV-電話費-退押金</t>
  </si>
  <si>
    <t>DV-電話費-退押金</t>
    <phoneticPr fontId="3" type="noConversion"/>
  </si>
  <si>
    <t>2018.12.18</t>
    <phoneticPr fontId="3" type="noConversion"/>
  </si>
  <si>
    <t xml:space="preserve">    股東往來</t>
    <phoneticPr fontId="3" type="noConversion"/>
  </si>
  <si>
    <t>調整零用金表計算錯誤</t>
    <phoneticPr fontId="3" type="noConversion"/>
  </si>
  <si>
    <t>10/8 DV-現金</t>
    <phoneticPr fontId="3" type="noConversion"/>
  </si>
  <si>
    <t>11/15 DV-現金</t>
    <phoneticPr fontId="3" type="noConversion"/>
  </si>
  <si>
    <t>12/05 DV-看診</t>
    <phoneticPr fontId="3" type="noConversion"/>
  </si>
  <si>
    <t>預留可低報扣繳薪資</t>
    <phoneticPr fontId="3" type="noConversion"/>
  </si>
  <si>
    <t>回沖2017預留可低報扣繳薪資</t>
    <phoneticPr fontId="3" type="noConversion"/>
  </si>
  <si>
    <t>2018預留可低報扣繳薪資</t>
    <phoneticPr fontId="3" type="noConversion"/>
  </si>
  <si>
    <t>f76 預收下期本期預開</t>
    <phoneticPr fontId="3" type="noConversion"/>
  </si>
  <si>
    <t>f70 上期預收本期免開</t>
    <phoneticPr fontId="3" type="noConversion"/>
  </si>
  <si>
    <t>f71 下期補開本期應收暫不開</t>
    <phoneticPr fontId="3" type="noConversion"/>
  </si>
  <si>
    <t>f77 補開上期應收未開</t>
    <phoneticPr fontId="3" type="noConversion"/>
  </si>
  <si>
    <t>2017年底餘額</t>
    <phoneticPr fontId="3" type="noConversion"/>
  </si>
  <si>
    <t>回沖2017保留少報預收貸款</t>
    <phoneticPr fontId="3" type="noConversion"/>
  </si>
  <si>
    <t>2018預留少報預收貸款</t>
    <phoneticPr fontId="3" type="noConversion"/>
  </si>
  <si>
    <t>吸收2018扣繳薪資低報ADA</t>
    <phoneticPr fontId="3" type="noConversion"/>
  </si>
  <si>
    <r>
      <t>2018</t>
    </r>
    <r>
      <rPr>
        <sz val="12"/>
        <rFont val="新細明體"/>
        <family val="1"/>
        <charset val="136"/>
      </rPr>
      <t>預收轉為服務收入</t>
    </r>
    <phoneticPr fontId="3" type="noConversion"/>
  </si>
  <si>
    <t>沖2017預收轉為服務收入</t>
    <phoneticPr fontId="3" type="noConversion"/>
  </si>
  <si>
    <t>2018銀行轉帳零用金</t>
    <phoneticPr fontId="3" type="noConversion"/>
  </si>
  <si>
    <t>沖2017/12達卡費富邦</t>
    <phoneticPr fontId="3" type="noConversion"/>
  </si>
  <si>
    <t>沖2017/12達卡費中信</t>
    <phoneticPr fontId="3" type="noConversion"/>
  </si>
  <si>
    <t>沖2017/12達卡費玉山</t>
    <phoneticPr fontId="3" type="noConversion"/>
  </si>
  <si>
    <t>吸收DV薪資</t>
    <phoneticPr fontId="3" type="noConversion"/>
  </si>
  <si>
    <t>吸收DV+張伙食費</t>
    <phoneticPr fontId="3" type="noConversion"/>
  </si>
  <si>
    <t>取用2017未開發票(p1-f77)</t>
    <phoneticPr fontId="3" type="noConversion"/>
  </si>
  <si>
    <t>2018預存未開發票(p1-f71)</t>
    <phoneticPr fontId="3" type="noConversion"/>
  </si>
  <si>
    <t>2018股往暫轉應收票據</t>
    <phoneticPr fontId="3" type="noConversion"/>
  </si>
  <si>
    <t>回沖2017股往暫轉應收票據</t>
    <phoneticPr fontId="3" type="noConversion"/>
  </si>
  <si>
    <t>87以後虧損</t>
    <phoneticPr fontId="3" type="noConversion"/>
  </si>
  <si>
    <t>108.12.31</t>
    <phoneticPr fontId="3" type="noConversion"/>
  </si>
  <si>
    <t>108.01.09</t>
    <phoneticPr fontId="3" type="noConversion"/>
  </si>
  <si>
    <t>108.01.15</t>
    <phoneticPr fontId="3" type="noConversion"/>
  </si>
  <si>
    <t>108.03.12</t>
    <phoneticPr fontId="3" type="noConversion"/>
  </si>
  <si>
    <t>108.05.07</t>
    <phoneticPr fontId="3" type="noConversion"/>
  </si>
  <si>
    <t>108.06.21</t>
    <phoneticPr fontId="3" type="noConversion"/>
  </si>
  <si>
    <t>108.06.25</t>
    <phoneticPr fontId="3" type="noConversion"/>
  </si>
  <si>
    <t>108.07.16</t>
    <phoneticPr fontId="3" type="noConversion"/>
  </si>
  <si>
    <t>108.12.13</t>
    <phoneticPr fontId="3" type="noConversion"/>
  </si>
  <si>
    <t>108.12.21</t>
    <phoneticPr fontId="3" type="noConversion"/>
  </si>
  <si>
    <t>現金</t>
    <phoneticPr fontId="3" type="noConversion"/>
  </si>
  <si>
    <t>匯款</t>
    <phoneticPr fontId="3" type="noConversion"/>
  </si>
  <si>
    <t>利息</t>
    <phoneticPr fontId="3" type="noConversion"/>
  </si>
  <si>
    <t>匯款</t>
    <phoneticPr fontId="3" type="noConversion"/>
  </si>
  <si>
    <t>利息</t>
    <phoneticPr fontId="3" type="noConversion"/>
  </si>
  <si>
    <t>達107.12年終</t>
    <phoneticPr fontId="3" type="noConversion"/>
  </si>
  <si>
    <t>施舒雅---6</t>
    <phoneticPr fontId="3" type="noConversion"/>
  </si>
  <si>
    <t>施舒雅---5</t>
    <phoneticPr fontId="3" type="noConversion"/>
  </si>
  <si>
    <t>施舒雅---7---8</t>
    <phoneticPr fontId="3" type="noConversion"/>
  </si>
  <si>
    <t>施舒雅---1</t>
    <phoneticPr fontId="3" type="noConversion"/>
  </si>
  <si>
    <t>轉華算城中</t>
    <phoneticPr fontId="3" type="noConversion"/>
  </si>
  <si>
    <t>轉華算城中</t>
    <phoneticPr fontId="3" type="noConversion"/>
  </si>
  <si>
    <t>108.01.02</t>
    <phoneticPr fontId="3" type="noConversion"/>
  </si>
  <si>
    <t>票兌---4999721</t>
    <phoneticPr fontId="3" type="noConversion"/>
  </si>
  <si>
    <t>票兌---3732016</t>
    <phoneticPr fontId="3" type="noConversion"/>
  </si>
  <si>
    <t>票兌---1315131</t>
    <phoneticPr fontId="3" type="noConversion"/>
  </si>
  <si>
    <t>票兌---5480312</t>
    <phoneticPr fontId="3" type="noConversion"/>
  </si>
  <si>
    <t>票兌---7444053</t>
    <phoneticPr fontId="3" type="noConversion"/>
  </si>
  <si>
    <t>漢聯---3</t>
    <phoneticPr fontId="3" type="noConversion"/>
  </si>
  <si>
    <t>佳尼特---5</t>
    <phoneticPr fontId="3" type="noConversion"/>
  </si>
  <si>
    <t>汎輝---6</t>
    <phoneticPr fontId="3" type="noConversion"/>
  </si>
  <si>
    <t>喜可---2</t>
    <phoneticPr fontId="3" type="noConversion"/>
  </si>
  <si>
    <t>勤業---17</t>
    <phoneticPr fontId="3" type="noConversion"/>
  </si>
  <si>
    <t>房租---北平16號---108.01</t>
    <phoneticPr fontId="3" type="noConversion"/>
  </si>
  <si>
    <t>房租---北平16號---108.02</t>
    <phoneticPr fontId="3" type="noConversion"/>
  </si>
  <si>
    <t>房租---北平16號---108.03</t>
    <phoneticPr fontId="3" type="noConversion"/>
  </si>
  <si>
    <t>房租---北平16號---108.04</t>
    <phoneticPr fontId="3" type="noConversion"/>
  </si>
  <si>
    <t>房租---北平16號---108.05</t>
    <phoneticPr fontId="3" type="noConversion"/>
  </si>
  <si>
    <t>房租---北平16號---108.06</t>
    <phoneticPr fontId="3" type="noConversion"/>
  </si>
  <si>
    <t>房租---北平16號---108.07</t>
    <phoneticPr fontId="3" type="noConversion"/>
  </si>
  <si>
    <t>房租---北平16號---108.08</t>
    <phoneticPr fontId="3" type="noConversion"/>
  </si>
  <si>
    <t>房租---北平16號---108.09</t>
    <phoneticPr fontId="3" type="noConversion"/>
  </si>
  <si>
    <t>房租---北平16號---108.10</t>
    <phoneticPr fontId="3" type="noConversion"/>
  </si>
  <si>
    <t>房租---北平16號---108.11</t>
    <phoneticPr fontId="3" type="noConversion"/>
  </si>
  <si>
    <t>房租---北平16號---108.12</t>
    <phoneticPr fontId="3" type="noConversion"/>
  </si>
  <si>
    <t>健保---107.11</t>
    <phoneticPr fontId="3" type="noConversion"/>
  </si>
  <si>
    <t>健保---107.12</t>
    <phoneticPr fontId="3" type="noConversion"/>
  </si>
  <si>
    <t>健保---108.01</t>
    <phoneticPr fontId="3" type="noConversion"/>
  </si>
  <si>
    <t>健保---108.02</t>
    <phoneticPr fontId="3" type="noConversion"/>
  </si>
  <si>
    <t>健保---108.03</t>
    <phoneticPr fontId="3" type="noConversion"/>
  </si>
  <si>
    <t>健保---108.04</t>
    <phoneticPr fontId="3" type="noConversion"/>
  </si>
  <si>
    <t>健保---108.05</t>
    <phoneticPr fontId="3" type="noConversion"/>
  </si>
  <si>
    <t>健保---108.06</t>
    <phoneticPr fontId="3" type="noConversion"/>
  </si>
  <si>
    <t>健保---108.07</t>
    <phoneticPr fontId="3" type="noConversion"/>
  </si>
  <si>
    <t>健保---108.08</t>
    <phoneticPr fontId="3" type="noConversion"/>
  </si>
  <si>
    <t>健保---108.09</t>
    <phoneticPr fontId="3" type="noConversion"/>
  </si>
  <si>
    <t>勞保---107.11</t>
    <phoneticPr fontId="3" type="noConversion"/>
  </si>
  <si>
    <t>勞保---107.12</t>
    <phoneticPr fontId="3" type="noConversion"/>
  </si>
  <si>
    <t>勞保---108.01</t>
    <phoneticPr fontId="3" type="noConversion"/>
  </si>
  <si>
    <t>勞保---108.02</t>
    <phoneticPr fontId="3" type="noConversion"/>
  </si>
  <si>
    <t>勞保---108.03</t>
    <phoneticPr fontId="3" type="noConversion"/>
  </si>
  <si>
    <t>勞保---108.04</t>
    <phoneticPr fontId="3" type="noConversion"/>
  </si>
  <si>
    <t>勞保---108.05</t>
    <phoneticPr fontId="3" type="noConversion"/>
  </si>
  <si>
    <t>勞保---108.06</t>
    <phoneticPr fontId="3" type="noConversion"/>
  </si>
  <si>
    <t>勞保---108.07</t>
    <phoneticPr fontId="3" type="noConversion"/>
  </si>
  <si>
    <t>勞保---108.08</t>
    <phoneticPr fontId="3" type="noConversion"/>
  </si>
  <si>
    <t>勞保---108.09</t>
    <phoneticPr fontId="3" type="noConversion"/>
  </si>
  <si>
    <t>勞保---108.10</t>
    <phoneticPr fontId="3" type="noConversion"/>
  </si>
  <si>
    <t>勞退---107.10</t>
    <phoneticPr fontId="3" type="noConversion"/>
  </si>
  <si>
    <t>勞退---107.11</t>
    <phoneticPr fontId="3" type="noConversion"/>
  </si>
  <si>
    <t>勞退---107.12</t>
    <phoneticPr fontId="3" type="noConversion"/>
  </si>
  <si>
    <t>勞退---108.01</t>
    <phoneticPr fontId="3" type="noConversion"/>
  </si>
  <si>
    <t>勞退---108.02</t>
    <phoneticPr fontId="3" type="noConversion"/>
  </si>
  <si>
    <t>勞退---108.03</t>
    <phoneticPr fontId="3" type="noConversion"/>
  </si>
  <si>
    <t>勞退---108.04</t>
    <phoneticPr fontId="3" type="noConversion"/>
  </si>
  <si>
    <t>勞退---108.05</t>
    <phoneticPr fontId="3" type="noConversion"/>
  </si>
  <si>
    <t>勞退---108.06</t>
    <phoneticPr fontId="3" type="noConversion"/>
  </si>
  <si>
    <t>勞退---108.07</t>
    <phoneticPr fontId="3" type="noConversion"/>
  </si>
  <si>
    <t>勞退---108.08</t>
    <phoneticPr fontId="3" type="noConversion"/>
  </si>
  <si>
    <t>勞退---108.09</t>
    <phoneticPr fontId="3" type="noConversion"/>
  </si>
  <si>
    <t>108.01.04</t>
    <phoneticPr fontId="3" type="noConversion"/>
  </si>
  <si>
    <t>薪---博---107.12</t>
    <phoneticPr fontId="3" type="noConversion"/>
  </si>
  <si>
    <t>薪---博---108.01</t>
    <phoneticPr fontId="3" type="noConversion"/>
  </si>
  <si>
    <t>薪---博---108.02</t>
    <phoneticPr fontId="3" type="noConversion"/>
  </si>
  <si>
    <t>薪---博---108.03</t>
    <phoneticPr fontId="3" type="noConversion"/>
  </si>
  <si>
    <t>薪---博---108.04</t>
    <phoneticPr fontId="3" type="noConversion"/>
  </si>
  <si>
    <t>薪---博---108.05</t>
    <phoneticPr fontId="3" type="noConversion"/>
  </si>
  <si>
    <t>薪---博---108.06</t>
    <phoneticPr fontId="3" type="noConversion"/>
  </si>
  <si>
    <t>薪---博---108.07</t>
    <phoneticPr fontId="3" type="noConversion"/>
  </si>
  <si>
    <t>薪---博---108.08</t>
    <phoneticPr fontId="3" type="noConversion"/>
  </si>
  <si>
    <t>薪---博---108.09</t>
    <phoneticPr fontId="3" type="noConversion"/>
  </si>
  <si>
    <t>薪---博---108.10</t>
    <phoneticPr fontId="3" type="noConversion"/>
  </si>
  <si>
    <t>薪---博---108.11</t>
    <phoneticPr fontId="3" type="noConversion"/>
  </si>
  <si>
    <t>薪---証---107.12</t>
    <phoneticPr fontId="3" type="noConversion"/>
  </si>
  <si>
    <t>108.01.05</t>
    <phoneticPr fontId="3" type="noConversion"/>
  </si>
  <si>
    <t>薪---証---108.01</t>
    <phoneticPr fontId="3" type="noConversion"/>
  </si>
  <si>
    <t>薪---証---108.03</t>
    <phoneticPr fontId="3" type="noConversion"/>
  </si>
  <si>
    <t>薪---証---108.06</t>
    <phoneticPr fontId="3" type="noConversion"/>
  </si>
  <si>
    <t>薪---証---108.07</t>
    <phoneticPr fontId="3" type="noConversion"/>
  </si>
  <si>
    <t>薪---証---108.09</t>
    <phoneticPr fontId="3" type="noConversion"/>
  </si>
  <si>
    <t>薪---証---108.10</t>
    <phoneticPr fontId="3" type="noConversion"/>
  </si>
  <si>
    <t>薪---達---107.12</t>
    <phoneticPr fontId="3" type="noConversion"/>
  </si>
  <si>
    <t>薪---達---108.01</t>
    <phoneticPr fontId="3" type="noConversion"/>
  </si>
  <si>
    <t>薪---達---108.02</t>
    <phoneticPr fontId="3" type="noConversion"/>
  </si>
  <si>
    <t>薪---達---108.03</t>
    <phoneticPr fontId="3" type="noConversion"/>
  </si>
  <si>
    <t>薪---達---108.04</t>
    <phoneticPr fontId="3" type="noConversion"/>
  </si>
  <si>
    <t>薪---達---108.05</t>
    <phoneticPr fontId="3" type="noConversion"/>
  </si>
  <si>
    <t>薪---達---108.06</t>
    <phoneticPr fontId="3" type="noConversion"/>
  </si>
  <si>
    <t>薪---達---108.07</t>
    <phoneticPr fontId="3" type="noConversion"/>
  </si>
  <si>
    <t>薪---達---108.08</t>
    <phoneticPr fontId="3" type="noConversion"/>
  </si>
  <si>
    <t>薪---達---108.09</t>
    <phoneticPr fontId="3" type="noConversion"/>
  </si>
  <si>
    <t>薪---達---108.10</t>
    <phoneticPr fontId="3" type="noConversion"/>
  </si>
  <si>
    <t>薪---達---108.11</t>
    <phoneticPr fontId="3" type="noConversion"/>
  </si>
  <si>
    <t>電話---23518805---108.01</t>
    <phoneticPr fontId="3" type="noConversion"/>
  </si>
  <si>
    <t>電話---23518805---108.02</t>
    <phoneticPr fontId="3" type="noConversion"/>
  </si>
  <si>
    <t>電話---23518805---108.03</t>
    <phoneticPr fontId="3" type="noConversion"/>
  </si>
  <si>
    <t>電話---23518805---108.04</t>
    <phoneticPr fontId="3" type="noConversion"/>
  </si>
  <si>
    <t>電話---23518805---108.05</t>
    <phoneticPr fontId="3" type="noConversion"/>
  </si>
  <si>
    <t>電話---23518805---108.06</t>
    <phoneticPr fontId="3" type="noConversion"/>
  </si>
  <si>
    <t>電話---23518805---108.07</t>
    <phoneticPr fontId="3" type="noConversion"/>
  </si>
  <si>
    <t>電話---23518805---108.08</t>
    <phoneticPr fontId="3" type="noConversion"/>
  </si>
  <si>
    <t>電話---23518805---108.09</t>
    <phoneticPr fontId="3" type="noConversion"/>
  </si>
  <si>
    <t>電話---23518805---108.10</t>
    <phoneticPr fontId="3" type="noConversion"/>
  </si>
  <si>
    <t>電話---23518805---108.11</t>
    <phoneticPr fontId="3" type="noConversion"/>
  </si>
  <si>
    <t>電話---23518805---108.12</t>
    <phoneticPr fontId="3" type="noConversion"/>
  </si>
  <si>
    <t>電話---23518799---108.01</t>
    <phoneticPr fontId="3" type="noConversion"/>
  </si>
  <si>
    <t>電話---23518799---108.02</t>
    <phoneticPr fontId="3" type="noConversion"/>
  </si>
  <si>
    <t>電話---23518799---108.03</t>
    <phoneticPr fontId="3" type="noConversion"/>
  </si>
  <si>
    <t>電話---23518799---108.04</t>
    <phoneticPr fontId="3" type="noConversion"/>
  </si>
  <si>
    <t>電話---23518799---108.05</t>
    <phoneticPr fontId="3" type="noConversion"/>
  </si>
  <si>
    <t>電話---23518799---108.06</t>
    <phoneticPr fontId="3" type="noConversion"/>
  </si>
  <si>
    <t>電話---23518799---108.07</t>
    <phoneticPr fontId="3" type="noConversion"/>
  </si>
  <si>
    <t>電話---23518799---108.08</t>
    <phoneticPr fontId="3" type="noConversion"/>
  </si>
  <si>
    <t>電話---23518799---108.09</t>
    <phoneticPr fontId="3" type="noConversion"/>
  </si>
  <si>
    <t>電話---23518799---108.10</t>
    <phoneticPr fontId="3" type="noConversion"/>
  </si>
  <si>
    <t>電話---23518799---108.11</t>
    <phoneticPr fontId="3" type="noConversion"/>
  </si>
  <si>
    <t>電話---23518799---108.12</t>
    <phoneticPr fontId="3" type="noConversion"/>
  </si>
  <si>
    <t>電話---23518546---108.01</t>
    <phoneticPr fontId="3" type="noConversion"/>
  </si>
  <si>
    <t>電話---23518546---108.02</t>
    <phoneticPr fontId="3" type="noConversion"/>
  </si>
  <si>
    <t>電話---23518546---108.03</t>
    <phoneticPr fontId="3" type="noConversion"/>
  </si>
  <si>
    <t>電話---23518546---108.04</t>
    <phoneticPr fontId="3" type="noConversion"/>
  </si>
  <si>
    <t>電話---23518546---108.05</t>
    <phoneticPr fontId="3" type="noConversion"/>
  </si>
  <si>
    <t>電話---23518546---108.06</t>
    <phoneticPr fontId="3" type="noConversion"/>
  </si>
  <si>
    <t>電話---23518546---108.07</t>
    <phoneticPr fontId="3" type="noConversion"/>
  </si>
  <si>
    <t>電話---23518546---108.08</t>
    <phoneticPr fontId="3" type="noConversion"/>
  </si>
  <si>
    <t>電話---23518546---108.09</t>
    <phoneticPr fontId="3" type="noConversion"/>
  </si>
  <si>
    <t>電話---23518546---108.10</t>
    <phoneticPr fontId="3" type="noConversion"/>
  </si>
  <si>
    <t>電話---23518546---108.11</t>
    <phoneticPr fontId="3" type="noConversion"/>
  </si>
  <si>
    <t>電話---23518546---108.12</t>
    <phoneticPr fontId="3" type="noConversion"/>
  </si>
  <si>
    <t>電費---108.05</t>
    <phoneticPr fontId="3" type="noConversion"/>
  </si>
  <si>
    <t>電費---108.07</t>
    <phoneticPr fontId="3" type="noConversion"/>
  </si>
  <si>
    <t>108.01.08</t>
    <phoneticPr fontId="3" type="noConversion"/>
  </si>
  <si>
    <t>401----107.11/107.12</t>
    <phoneticPr fontId="3" type="noConversion"/>
  </si>
  <si>
    <t>401----108.01/108.02</t>
    <phoneticPr fontId="3" type="noConversion"/>
  </si>
  <si>
    <t>401----108.03/108.04</t>
    <phoneticPr fontId="3" type="noConversion"/>
  </si>
  <si>
    <t>401----108.05/108.06</t>
    <phoneticPr fontId="3" type="noConversion"/>
  </si>
  <si>
    <t>401----108.07/108.08</t>
    <phoneticPr fontId="3" type="noConversion"/>
  </si>
  <si>
    <t>108.01.10</t>
    <phoneticPr fontId="3" type="noConversion"/>
  </si>
  <si>
    <t>108.01.10</t>
    <phoneticPr fontId="3" type="noConversion"/>
  </si>
  <si>
    <t>票兌---6516754</t>
    <phoneticPr fontId="3" type="noConversion"/>
  </si>
  <si>
    <t>票兌---0272291</t>
    <phoneticPr fontId="3" type="noConversion"/>
  </si>
  <si>
    <t>西拓---2</t>
    <phoneticPr fontId="3" type="noConversion"/>
  </si>
  <si>
    <t>協億通---1</t>
    <phoneticPr fontId="3" type="noConversion"/>
  </si>
  <si>
    <t>威視---22</t>
    <phoneticPr fontId="3" type="noConversion"/>
  </si>
  <si>
    <t>友士---7</t>
    <phoneticPr fontId="3" type="noConversion"/>
  </si>
  <si>
    <t>108.01.15</t>
    <phoneticPr fontId="3" type="noConversion"/>
  </si>
  <si>
    <t>八亨---6</t>
    <phoneticPr fontId="3" type="noConversion"/>
  </si>
  <si>
    <t>108.01.16</t>
    <phoneticPr fontId="3" type="noConversion"/>
  </si>
  <si>
    <t>108.01.21</t>
    <phoneticPr fontId="3" type="noConversion"/>
  </si>
  <si>
    <t>票兌---1296654</t>
    <phoneticPr fontId="3" type="noConversion"/>
  </si>
  <si>
    <t>台一---8</t>
    <phoneticPr fontId="3" type="noConversion"/>
  </si>
  <si>
    <t>108.01.28</t>
    <phoneticPr fontId="3" type="noConversion"/>
  </si>
  <si>
    <t>108.02.01</t>
    <phoneticPr fontId="3" type="noConversion"/>
  </si>
  <si>
    <t>威視---23</t>
    <phoneticPr fontId="3" type="noConversion"/>
  </si>
  <si>
    <t>108.01.30</t>
    <phoneticPr fontId="3" type="noConversion"/>
  </si>
  <si>
    <t>108.01.31</t>
    <phoneticPr fontId="3" type="noConversion"/>
  </si>
  <si>
    <t>108.02.01</t>
    <phoneticPr fontId="3" type="noConversion"/>
  </si>
  <si>
    <t>票兌---2053393</t>
    <phoneticPr fontId="3" type="noConversion"/>
  </si>
  <si>
    <t>票兌---0570819</t>
    <phoneticPr fontId="3" type="noConversion"/>
  </si>
  <si>
    <t>票兌---7444054</t>
    <phoneticPr fontId="3" type="noConversion"/>
  </si>
  <si>
    <t>票兌---0246509</t>
    <phoneticPr fontId="3" type="noConversion"/>
  </si>
  <si>
    <t>票兌---0809202</t>
    <phoneticPr fontId="3" type="noConversion"/>
  </si>
  <si>
    <t>鴻碩---8</t>
    <phoneticPr fontId="3" type="noConversion"/>
  </si>
  <si>
    <t>勤業---18</t>
    <phoneticPr fontId="3" type="noConversion"/>
  </si>
  <si>
    <t>展鑫---5</t>
    <phoneticPr fontId="3" type="noConversion"/>
  </si>
  <si>
    <t>雙安---8</t>
    <phoneticPr fontId="3" type="noConversion"/>
  </si>
  <si>
    <t>108.01.03</t>
    <phoneticPr fontId="3" type="noConversion"/>
  </si>
  <si>
    <t>108.02.01</t>
    <phoneticPr fontId="3" type="noConversion"/>
  </si>
  <si>
    <t>108.01.05</t>
    <phoneticPr fontId="3" type="noConversion"/>
  </si>
  <si>
    <t>108.02.11</t>
    <phoneticPr fontId="3" type="noConversion"/>
  </si>
  <si>
    <t>108.02.15</t>
    <phoneticPr fontId="3" type="noConversion"/>
  </si>
  <si>
    <t>票兌---2884906</t>
    <phoneticPr fontId="3" type="noConversion"/>
  </si>
  <si>
    <t>裕恆---7</t>
    <phoneticPr fontId="3" type="noConversion"/>
  </si>
  <si>
    <t>108.02.18</t>
    <phoneticPr fontId="3" type="noConversion"/>
  </si>
  <si>
    <t>108.02.18</t>
    <phoneticPr fontId="3" type="noConversion"/>
  </si>
  <si>
    <t>電費---108.01</t>
    <phoneticPr fontId="3" type="noConversion"/>
  </si>
  <si>
    <t>電費---108.03</t>
    <phoneticPr fontId="3" type="noConversion"/>
  </si>
  <si>
    <t>電費---108.09</t>
    <phoneticPr fontId="3" type="noConversion"/>
  </si>
  <si>
    <t>108.02.20</t>
    <phoneticPr fontId="3" type="noConversion"/>
  </si>
  <si>
    <t>票兌---2620001</t>
    <phoneticPr fontId="3" type="noConversion"/>
  </si>
  <si>
    <t>邁拓---1</t>
    <phoneticPr fontId="3" type="noConversion"/>
  </si>
  <si>
    <t>108.02.25</t>
    <phoneticPr fontId="3" type="noConversion"/>
  </si>
  <si>
    <t>108.02.25</t>
    <phoneticPr fontId="3" type="noConversion"/>
  </si>
  <si>
    <t>108.02.25</t>
    <phoneticPr fontId="3" type="noConversion"/>
  </si>
  <si>
    <t>108.02.26</t>
    <phoneticPr fontId="3" type="noConversion"/>
  </si>
  <si>
    <t>108.02.26</t>
    <phoneticPr fontId="3" type="noConversion"/>
  </si>
  <si>
    <t>108.03.04</t>
    <phoneticPr fontId="3" type="noConversion"/>
  </si>
  <si>
    <t>108.03.04</t>
    <phoneticPr fontId="3" type="noConversion"/>
  </si>
  <si>
    <t>票兌---0546987</t>
    <phoneticPr fontId="3" type="noConversion"/>
  </si>
  <si>
    <t>票兌---1891483</t>
    <phoneticPr fontId="3" type="noConversion"/>
  </si>
  <si>
    <t>票兌---1425130</t>
    <phoneticPr fontId="3" type="noConversion"/>
  </si>
  <si>
    <t>票兌---1425138</t>
    <phoneticPr fontId="3" type="noConversion"/>
  </si>
  <si>
    <t>票兌---5867433</t>
    <phoneticPr fontId="3" type="noConversion"/>
  </si>
  <si>
    <t>票兌---1891635</t>
    <phoneticPr fontId="3" type="noConversion"/>
  </si>
  <si>
    <t>票兌---7383247</t>
    <phoneticPr fontId="3" type="noConversion"/>
  </si>
  <si>
    <t>票兌---5992958</t>
    <phoneticPr fontId="3" type="noConversion"/>
  </si>
  <si>
    <t>票兌---1880960</t>
    <phoneticPr fontId="3" type="noConversion"/>
  </si>
  <si>
    <t>票兌---7444055</t>
    <phoneticPr fontId="3" type="noConversion"/>
  </si>
  <si>
    <t>鎔德---2</t>
    <phoneticPr fontId="3" type="noConversion"/>
  </si>
  <si>
    <t>恩豪---1</t>
    <phoneticPr fontId="3" type="noConversion"/>
  </si>
  <si>
    <t>依德---DNS</t>
    <phoneticPr fontId="3" type="noConversion"/>
  </si>
  <si>
    <t>太暘---7</t>
    <phoneticPr fontId="3" type="noConversion"/>
  </si>
  <si>
    <t>勤業---19</t>
    <phoneticPr fontId="3" type="noConversion"/>
  </si>
  <si>
    <t>108.03.05</t>
    <phoneticPr fontId="3" type="noConversion"/>
  </si>
  <si>
    <t>票兌---7070004</t>
    <phoneticPr fontId="3" type="noConversion"/>
  </si>
  <si>
    <t>票兌---1561296</t>
    <phoneticPr fontId="3" type="noConversion"/>
  </si>
  <si>
    <t>品固CN---3</t>
    <phoneticPr fontId="3" type="noConversion"/>
  </si>
  <si>
    <t>品固---3</t>
    <phoneticPr fontId="3" type="noConversion"/>
  </si>
  <si>
    <t>108.03.05</t>
    <phoneticPr fontId="3" type="noConversion"/>
  </si>
  <si>
    <t>108.03.07</t>
    <phoneticPr fontId="3" type="noConversion"/>
  </si>
  <si>
    <t>108.03.07</t>
    <phoneticPr fontId="3" type="noConversion"/>
  </si>
  <si>
    <t>卡費---108.02</t>
    <phoneticPr fontId="3" type="noConversion"/>
  </si>
  <si>
    <t>威視---24</t>
    <phoneticPr fontId="3" type="noConversion"/>
  </si>
  <si>
    <t>108.03.13</t>
    <phoneticPr fontId="3" type="noConversion"/>
  </si>
  <si>
    <t>薪---達---107.12</t>
    <phoneticPr fontId="3" type="noConversion"/>
  </si>
  <si>
    <t>年終</t>
    <phoneticPr fontId="3" type="noConversion"/>
  </si>
  <si>
    <t>108.03.15</t>
    <phoneticPr fontId="3" type="noConversion"/>
  </si>
  <si>
    <t>108.03.20</t>
    <phoneticPr fontId="3" type="noConversion"/>
  </si>
  <si>
    <t>108.03.25</t>
    <phoneticPr fontId="3" type="noConversion"/>
  </si>
  <si>
    <t>票兌---1003290</t>
    <phoneticPr fontId="3" type="noConversion"/>
  </si>
  <si>
    <t>票兌---6625522</t>
    <phoneticPr fontId="3" type="noConversion"/>
  </si>
  <si>
    <t>票兌---7096473</t>
    <phoneticPr fontId="3" type="noConversion"/>
  </si>
  <si>
    <t>票兌---1007621</t>
    <phoneticPr fontId="3" type="noConversion"/>
  </si>
  <si>
    <t>票兌---1561238</t>
    <phoneticPr fontId="3" type="noConversion"/>
  </si>
  <si>
    <t>票兌---1556863</t>
    <phoneticPr fontId="3" type="noConversion"/>
  </si>
  <si>
    <t>票兌---1055066</t>
    <phoneticPr fontId="3" type="noConversion"/>
  </si>
  <si>
    <t>大桐---8</t>
    <phoneticPr fontId="3" type="noConversion"/>
  </si>
  <si>
    <t>祥和---5</t>
    <phoneticPr fontId="3" type="noConversion"/>
  </si>
  <si>
    <t>愛浪---8</t>
    <phoneticPr fontId="3" type="noConversion"/>
  </si>
  <si>
    <t>大桐車源尾款</t>
    <phoneticPr fontId="3" type="noConversion"/>
  </si>
  <si>
    <t>道法---6</t>
    <phoneticPr fontId="3" type="noConversion"/>
  </si>
  <si>
    <t>安力年約-1-2-3-4</t>
    <phoneticPr fontId="3" type="noConversion"/>
  </si>
  <si>
    <t>108.03.18</t>
    <phoneticPr fontId="3" type="noConversion"/>
  </si>
  <si>
    <t>108.03.21</t>
    <phoneticPr fontId="3" type="noConversion"/>
  </si>
  <si>
    <t>108.03.25</t>
    <phoneticPr fontId="3" type="noConversion"/>
  </si>
  <si>
    <t>永馳---3</t>
    <phoneticPr fontId="3" type="noConversion"/>
  </si>
  <si>
    <t>108.03.28</t>
    <phoneticPr fontId="3" type="noConversion"/>
  </si>
  <si>
    <t>108.04.01</t>
    <phoneticPr fontId="3" type="noConversion"/>
  </si>
  <si>
    <t>票兌---5480313</t>
    <phoneticPr fontId="3" type="noConversion"/>
  </si>
  <si>
    <t>票兌---1315132</t>
    <phoneticPr fontId="3" type="noConversion"/>
  </si>
  <si>
    <t>票兌---4999722</t>
    <phoneticPr fontId="3" type="noConversion"/>
  </si>
  <si>
    <t>票兌---3732017</t>
    <phoneticPr fontId="3" type="noConversion"/>
  </si>
  <si>
    <t>票兌---7444056</t>
    <phoneticPr fontId="3" type="noConversion"/>
  </si>
  <si>
    <t>喜可---3</t>
    <phoneticPr fontId="3" type="noConversion"/>
  </si>
  <si>
    <t>汎輝---7</t>
    <phoneticPr fontId="3" type="noConversion"/>
  </si>
  <si>
    <t>漢聯---4</t>
    <phoneticPr fontId="3" type="noConversion"/>
  </si>
  <si>
    <t>勤業---20</t>
    <phoneticPr fontId="3" type="noConversion"/>
  </si>
  <si>
    <t>108.04.02</t>
    <phoneticPr fontId="3" type="noConversion"/>
  </si>
  <si>
    <t>108.04.08</t>
    <phoneticPr fontId="3" type="noConversion"/>
  </si>
  <si>
    <t>108.04.09</t>
    <phoneticPr fontId="3" type="noConversion"/>
  </si>
  <si>
    <t>卡費---108.03</t>
    <phoneticPr fontId="3" type="noConversion"/>
  </si>
  <si>
    <t>108.04.10</t>
    <phoneticPr fontId="3" type="noConversion"/>
  </si>
  <si>
    <t>108.04.10</t>
    <phoneticPr fontId="3" type="noConversion"/>
  </si>
  <si>
    <t>友士---8</t>
    <phoneticPr fontId="3" type="noConversion"/>
  </si>
  <si>
    <t>108.04.16</t>
    <phoneticPr fontId="3" type="noConversion"/>
  </si>
  <si>
    <t>108.04.22</t>
    <phoneticPr fontId="3" type="noConversion"/>
  </si>
  <si>
    <t>108.04.23</t>
    <phoneticPr fontId="3" type="noConversion"/>
  </si>
  <si>
    <t>108.04.26</t>
    <phoneticPr fontId="3" type="noConversion"/>
  </si>
  <si>
    <t>108.05.02</t>
    <phoneticPr fontId="3" type="noConversion"/>
  </si>
  <si>
    <t>108.05.02</t>
    <phoneticPr fontId="3" type="noConversion"/>
  </si>
  <si>
    <t>房東換帳戶,改ADA匯款</t>
    <phoneticPr fontId="3" type="noConversion"/>
  </si>
  <si>
    <t>管理費04改ADA匯款</t>
    <phoneticPr fontId="3" type="noConversion"/>
  </si>
  <si>
    <t>108.05.06</t>
    <phoneticPr fontId="3" type="noConversion"/>
  </si>
  <si>
    <t>108.05.08</t>
    <phoneticPr fontId="3" type="noConversion"/>
  </si>
  <si>
    <t>華算信義</t>
    <phoneticPr fontId="3" type="noConversion"/>
  </si>
  <si>
    <t>108.05.08</t>
    <phoneticPr fontId="3" type="noConversion"/>
  </si>
  <si>
    <t>108.05.20</t>
    <phoneticPr fontId="3" type="noConversion"/>
  </si>
  <si>
    <t>108.05.27</t>
    <phoneticPr fontId="3" type="noConversion"/>
  </si>
  <si>
    <t>票兌---0272292</t>
    <phoneticPr fontId="3" type="noConversion"/>
  </si>
  <si>
    <t>票兌---6516756</t>
    <phoneticPr fontId="3" type="noConversion"/>
  </si>
  <si>
    <t>票兌---2620002</t>
    <phoneticPr fontId="3" type="noConversion"/>
  </si>
  <si>
    <t>票兌---7444057</t>
    <phoneticPr fontId="3" type="noConversion"/>
  </si>
  <si>
    <t>票兌---0246510</t>
    <phoneticPr fontId="3" type="noConversion"/>
  </si>
  <si>
    <t>票兌---5867434</t>
    <phoneticPr fontId="3" type="noConversion"/>
  </si>
  <si>
    <t>票兌---0546988</t>
    <phoneticPr fontId="3" type="noConversion"/>
  </si>
  <si>
    <t>票兌---1891484</t>
    <phoneticPr fontId="3" type="noConversion"/>
  </si>
  <si>
    <t>票兌---1425131</t>
    <phoneticPr fontId="3" type="noConversion"/>
  </si>
  <si>
    <t>票兌---1425139</t>
    <phoneticPr fontId="3" type="noConversion"/>
  </si>
  <si>
    <t>協億通---2</t>
    <phoneticPr fontId="3" type="noConversion"/>
  </si>
  <si>
    <t>西拓---3</t>
    <phoneticPr fontId="3" type="noConversion"/>
  </si>
  <si>
    <t>邁拓---2</t>
    <phoneticPr fontId="3" type="noConversion"/>
  </si>
  <si>
    <t>勤業---21</t>
    <phoneticPr fontId="3" type="noConversion"/>
  </si>
  <si>
    <t>展鑫---6</t>
    <phoneticPr fontId="3" type="noConversion"/>
  </si>
  <si>
    <t>恩豪---2</t>
    <phoneticPr fontId="3" type="noConversion"/>
  </si>
  <si>
    <t>鎔德---3</t>
    <phoneticPr fontId="3" type="noConversion"/>
  </si>
  <si>
    <t>108.05.10</t>
    <phoneticPr fontId="3" type="noConversion"/>
  </si>
  <si>
    <t>108.05.15</t>
    <phoneticPr fontId="3" type="noConversion"/>
  </si>
  <si>
    <t>108.05.16</t>
    <phoneticPr fontId="3" type="noConversion"/>
  </si>
  <si>
    <t>108.05.28</t>
    <phoneticPr fontId="3" type="noConversion"/>
  </si>
  <si>
    <t>108.05.28</t>
    <phoneticPr fontId="3" type="noConversion"/>
  </si>
  <si>
    <t>108.05.31</t>
    <phoneticPr fontId="3" type="noConversion"/>
  </si>
  <si>
    <t>108.06.03</t>
    <phoneticPr fontId="3" type="noConversion"/>
  </si>
  <si>
    <t>108.06.05</t>
    <phoneticPr fontId="3" type="noConversion"/>
  </si>
  <si>
    <t>108.06.05</t>
    <phoneticPr fontId="3" type="noConversion"/>
  </si>
  <si>
    <t>108.06.06</t>
    <phoneticPr fontId="3" type="noConversion"/>
  </si>
  <si>
    <t>108.06.17</t>
    <phoneticPr fontId="3" type="noConversion"/>
  </si>
  <si>
    <t>108.06.20</t>
    <phoneticPr fontId="3" type="noConversion"/>
  </si>
  <si>
    <t>108.06.20</t>
    <phoneticPr fontId="3" type="noConversion"/>
  </si>
  <si>
    <t>票兌---1880961</t>
    <phoneticPr fontId="3" type="noConversion"/>
  </si>
  <si>
    <t>票兌---5992959</t>
    <phoneticPr fontId="3" type="noConversion"/>
  </si>
  <si>
    <t>票兌---9134555</t>
    <phoneticPr fontId="3" type="noConversion"/>
  </si>
  <si>
    <t>票兌---7444058</t>
    <phoneticPr fontId="3" type="noConversion"/>
  </si>
  <si>
    <t>票兌---7070005</t>
    <phoneticPr fontId="3" type="noConversion"/>
  </si>
  <si>
    <t>票兌---1561297</t>
    <phoneticPr fontId="3" type="noConversion"/>
  </si>
  <si>
    <t>票兌---7804220</t>
    <phoneticPr fontId="3" type="noConversion"/>
  </si>
  <si>
    <t>票兌---4912892</t>
    <phoneticPr fontId="3" type="noConversion"/>
  </si>
  <si>
    <t>票兌---6625523</t>
    <phoneticPr fontId="3" type="noConversion"/>
  </si>
  <si>
    <t>票兌---1556863</t>
    <phoneticPr fontId="3" type="noConversion"/>
  </si>
  <si>
    <t>票兌---1561239</t>
    <phoneticPr fontId="3" type="noConversion"/>
  </si>
  <si>
    <t>合碩---1</t>
    <phoneticPr fontId="3" type="noConversion"/>
  </si>
  <si>
    <t>勤業---22</t>
    <phoneticPr fontId="3" type="noConversion"/>
  </si>
  <si>
    <t>品固---4</t>
    <phoneticPr fontId="3" type="noConversion"/>
  </si>
  <si>
    <t>達翌---1</t>
    <phoneticPr fontId="3" type="noConversion"/>
  </si>
  <si>
    <t>祥和---6</t>
    <phoneticPr fontId="3" type="noConversion"/>
  </si>
  <si>
    <t>品固---6</t>
    <phoneticPr fontId="3" type="noConversion"/>
  </si>
  <si>
    <t>108.05.31</t>
    <phoneticPr fontId="3" type="noConversion"/>
  </si>
  <si>
    <t>(補陳$362040到40萬=$37960),扣匯費$30,餘$62010,轉$61454達108.05薪,餘$556,轉零用金)</t>
    <phoneticPr fontId="3" type="noConversion"/>
  </si>
  <si>
    <t>108.06.03</t>
    <phoneticPr fontId="3" type="noConversion"/>
  </si>
  <si>
    <t>108.05.31</t>
    <phoneticPr fontId="3" type="noConversion"/>
  </si>
  <si>
    <t>108.05.31-100000匯款裡</t>
    <phoneticPr fontId="3" type="noConversion"/>
  </si>
  <si>
    <t>薪---証---108.05</t>
    <phoneticPr fontId="3" type="noConversion"/>
  </si>
  <si>
    <t>108.06.05</t>
    <phoneticPr fontId="3" type="noConversion"/>
  </si>
  <si>
    <t>卡費---108.05</t>
    <phoneticPr fontId="3" type="noConversion"/>
  </si>
  <si>
    <t>玉山</t>
    <phoneticPr fontId="3" type="noConversion"/>
  </si>
  <si>
    <t>108.06.10</t>
    <phoneticPr fontId="3" type="noConversion"/>
  </si>
  <si>
    <t>108.06.17</t>
    <phoneticPr fontId="3" type="noConversion"/>
  </si>
  <si>
    <t>108.06.18</t>
    <phoneticPr fontId="3" type="noConversion"/>
  </si>
  <si>
    <t>108.06.24</t>
    <phoneticPr fontId="3" type="noConversion"/>
  </si>
  <si>
    <t>管理費05</t>
    <phoneticPr fontId="3" type="noConversion"/>
  </si>
  <si>
    <t>108.06.24</t>
    <phoneticPr fontId="3" type="noConversion"/>
  </si>
  <si>
    <t>管理費06</t>
    <phoneticPr fontId="3" type="noConversion"/>
  </si>
  <si>
    <t>108.06.25</t>
    <phoneticPr fontId="3" type="noConversion"/>
  </si>
  <si>
    <t>永馳---4</t>
    <phoneticPr fontId="3" type="noConversion"/>
  </si>
  <si>
    <t>108.06.26</t>
    <phoneticPr fontId="3" type="noConversion"/>
  </si>
  <si>
    <t>108.07.01</t>
    <phoneticPr fontId="3" type="noConversion"/>
  </si>
  <si>
    <t>108.06.25</t>
    <phoneticPr fontId="3" type="noConversion"/>
  </si>
  <si>
    <t>票兌---5480314</t>
    <phoneticPr fontId="3" type="noConversion"/>
  </si>
  <si>
    <t>票兌---1315133</t>
    <phoneticPr fontId="3" type="noConversion"/>
  </si>
  <si>
    <t>票兌---3732018</t>
    <phoneticPr fontId="3" type="noConversion"/>
  </si>
  <si>
    <t>票兌---7444059</t>
    <phoneticPr fontId="3" type="noConversion"/>
  </si>
  <si>
    <t>票兌---4999723</t>
    <phoneticPr fontId="3" type="noConversion"/>
  </si>
  <si>
    <t>汎輝---8</t>
    <phoneticPr fontId="3" type="noConversion"/>
  </si>
  <si>
    <t>勤業---23</t>
    <phoneticPr fontId="3" type="noConversion"/>
  </si>
  <si>
    <t>漢聯---5</t>
    <phoneticPr fontId="3" type="noConversion"/>
  </si>
  <si>
    <t>108.07.02</t>
    <phoneticPr fontId="3" type="noConversion"/>
  </si>
  <si>
    <t>108.07.05</t>
    <phoneticPr fontId="3" type="noConversion"/>
  </si>
  <si>
    <t>108.07.05</t>
    <phoneticPr fontId="3" type="noConversion"/>
  </si>
  <si>
    <t>108.07.05</t>
    <phoneticPr fontId="3" type="noConversion"/>
  </si>
  <si>
    <t>卡費---108.06</t>
    <phoneticPr fontId="3" type="noConversion"/>
  </si>
  <si>
    <t>卡費---108.06</t>
    <phoneticPr fontId="3" type="noConversion"/>
  </si>
  <si>
    <t>108.07.10</t>
    <phoneticPr fontId="3" type="noConversion"/>
  </si>
  <si>
    <t>威視---4</t>
    <phoneticPr fontId="3" type="noConversion"/>
  </si>
  <si>
    <t>108.07.15</t>
    <phoneticPr fontId="3" type="noConversion"/>
  </si>
  <si>
    <t>友士---9</t>
    <phoneticPr fontId="3" type="noConversion"/>
  </si>
  <si>
    <t>108.07.15</t>
    <phoneticPr fontId="3" type="noConversion"/>
  </si>
  <si>
    <t>108.07.16</t>
    <phoneticPr fontId="3" type="noConversion"/>
  </si>
  <si>
    <t>108.07.16</t>
    <phoneticPr fontId="3" type="noConversion"/>
  </si>
  <si>
    <t>108.07.17</t>
    <phoneticPr fontId="3" type="noConversion"/>
  </si>
  <si>
    <t>108.07.31</t>
    <phoneticPr fontId="3" type="noConversion"/>
  </si>
  <si>
    <t>108.08.01</t>
    <phoneticPr fontId="3" type="noConversion"/>
  </si>
  <si>
    <t>票兌---8348926</t>
    <phoneticPr fontId="3" type="noConversion"/>
  </si>
  <si>
    <t>票兌---0272293</t>
    <phoneticPr fontId="3" type="noConversion"/>
  </si>
  <si>
    <t>票兌---6516757</t>
    <phoneticPr fontId="3" type="noConversion"/>
  </si>
  <si>
    <t>票兌---1008280</t>
    <phoneticPr fontId="3" type="noConversion"/>
  </si>
  <si>
    <t>票兌---2620003</t>
    <phoneticPr fontId="3" type="noConversion"/>
  </si>
  <si>
    <t>票兌---7541109</t>
    <phoneticPr fontId="3" type="noConversion"/>
  </si>
  <si>
    <t>票兌---7444061</t>
    <phoneticPr fontId="3" type="noConversion"/>
  </si>
  <si>
    <t>票兌---0246511</t>
    <phoneticPr fontId="3" type="noConversion"/>
  </si>
  <si>
    <t>大成---1</t>
    <phoneticPr fontId="3" type="noConversion"/>
  </si>
  <si>
    <t>西拓---4</t>
    <phoneticPr fontId="3" type="noConversion"/>
  </si>
  <si>
    <t>邁拓---3</t>
    <phoneticPr fontId="3" type="noConversion"/>
  </si>
  <si>
    <t>勤業---24</t>
    <phoneticPr fontId="3" type="noConversion"/>
  </si>
  <si>
    <t>展鑫---7</t>
    <phoneticPr fontId="3" type="noConversion"/>
  </si>
  <si>
    <t>108.07.24</t>
    <phoneticPr fontId="3" type="noConversion"/>
  </si>
  <si>
    <t>管理費07</t>
    <phoneticPr fontId="3" type="noConversion"/>
  </si>
  <si>
    <t>108.06.26</t>
    <phoneticPr fontId="3" type="noConversion"/>
  </si>
  <si>
    <t>108.07.26</t>
    <phoneticPr fontId="3" type="noConversion"/>
  </si>
  <si>
    <t>108.07.30</t>
    <phoneticPr fontId="3" type="noConversion"/>
  </si>
  <si>
    <t>DV輝雄</t>
    <phoneticPr fontId="3" type="noConversion"/>
  </si>
  <si>
    <t>108.08.01</t>
    <phoneticPr fontId="3" type="noConversion"/>
  </si>
  <si>
    <t>108.08.01</t>
    <phoneticPr fontId="3" type="noConversion"/>
  </si>
  <si>
    <t>108.08.04</t>
    <phoneticPr fontId="3" type="noConversion"/>
  </si>
  <si>
    <t>108.08.05</t>
    <phoneticPr fontId="3" type="noConversion"/>
  </si>
  <si>
    <t>108.08.05</t>
    <phoneticPr fontId="3" type="noConversion"/>
  </si>
  <si>
    <t>卡費---108.07</t>
    <phoneticPr fontId="3" type="noConversion"/>
  </si>
  <si>
    <t>玉山</t>
    <phoneticPr fontId="3" type="noConversion"/>
  </si>
  <si>
    <t>108.08.10</t>
    <phoneticPr fontId="3" type="noConversion"/>
  </si>
  <si>
    <t>2019年開出發票</t>
    <phoneticPr fontId="3" type="noConversion"/>
  </si>
  <si>
    <t>依德</t>
    <phoneticPr fontId="3" type="noConversion"/>
  </si>
  <si>
    <t>07656431</t>
    <phoneticPr fontId="3" type="noConversion"/>
  </si>
  <si>
    <t>鎔德</t>
    <phoneticPr fontId="3" type="noConversion"/>
  </si>
  <si>
    <t>53456020</t>
    <phoneticPr fontId="3" type="noConversion"/>
  </si>
  <si>
    <t>鉑德</t>
    <phoneticPr fontId="3" type="noConversion"/>
  </si>
  <si>
    <t>54337826</t>
    <phoneticPr fontId="3" type="noConversion"/>
  </si>
  <si>
    <t>04242698</t>
    <phoneticPr fontId="3" type="noConversion"/>
  </si>
  <si>
    <t>同皇</t>
    <phoneticPr fontId="3" type="noConversion"/>
  </si>
  <si>
    <t>23306799</t>
    <phoneticPr fontId="3" type="noConversion"/>
  </si>
  <si>
    <t>KY26961600</t>
    <phoneticPr fontId="3" type="noConversion"/>
  </si>
  <si>
    <t>邁拓</t>
    <phoneticPr fontId="3" type="noConversion"/>
  </si>
  <si>
    <t>09485687</t>
    <phoneticPr fontId="3" type="noConversion"/>
  </si>
  <si>
    <t>KY26961601</t>
    <phoneticPr fontId="3" type="noConversion"/>
  </si>
  <si>
    <t>安力</t>
    <phoneticPr fontId="3" type="noConversion"/>
  </si>
  <si>
    <t>24772483</t>
    <phoneticPr fontId="3" type="noConversion"/>
  </si>
  <si>
    <t>KY26961602</t>
  </si>
  <si>
    <t>依德</t>
    <phoneticPr fontId="3" type="noConversion"/>
  </si>
  <si>
    <t>07656431</t>
    <phoneticPr fontId="3" type="noConversion"/>
  </si>
  <si>
    <t>KY26961603</t>
  </si>
  <si>
    <t>鎔德</t>
    <phoneticPr fontId="3" type="noConversion"/>
  </si>
  <si>
    <t>53456020</t>
    <phoneticPr fontId="3" type="noConversion"/>
  </si>
  <si>
    <t>KY26961604</t>
  </si>
  <si>
    <t>鎔德</t>
    <phoneticPr fontId="3" type="noConversion"/>
  </si>
  <si>
    <t>53456020</t>
    <phoneticPr fontId="3" type="noConversion"/>
  </si>
  <si>
    <t>KY26961605</t>
  </si>
  <si>
    <t>鉑德</t>
    <phoneticPr fontId="3" type="noConversion"/>
  </si>
  <si>
    <t>54337826</t>
    <phoneticPr fontId="3" type="noConversion"/>
  </si>
  <si>
    <t>KY26961606</t>
  </si>
  <si>
    <t>43871955</t>
    <phoneticPr fontId="3" type="noConversion"/>
  </si>
  <si>
    <t>KY26961607</t>
  </si>
  <si>
    <t>友士</t>
    <phoneticPr fontId="3" type="noConversion"/>
  </si>
  <si>
    <t>04242698</t>
    <phoneticPr fontId="3" type="noConversion"/>
  </si>
  <si>
    <t>KY26961608</t>
  </si>
  <si>
    <t>23306799</t>
    <phoneticPr fontId="3" type="noConversion"/>
  </si>
  <si>
    <t>KY26961609</t>
  </si>
  <si>
    <t>KY26961610</t>
  </si>
  <si>
    <t>KY26961611</t>
  </si>
  <si>
    <t>恩豪</t>
    <phoneticPr fontId="3" type="noConversion"/>
  </si>
  <si>
    <t>23913400</t>
    <phoneticPr fontId="3" type="noConversion"/>
  </si>
  <si>
    <t>KY26961612</t>
  </si>
  <si>
    <t>KY26961613</t>
  </si>
  <si>
    <t>同皇</t>
    <phoneticPr fontId="3" type="noConversion"/>
  </si>
  <si>
    <t>MV26916100</t>
    <phoneticPr fontId="3" type="noConversion"/>
  </si>
  <si>
    <t>22449539</t>
    <phoneticPr fontId="3" type="noConversion"/>
  </si>
  <si>
    <t>MV26916101</t>
  </si>
  <si>
    <t>永馳</t>
    <phoneticPr fontId="3" type="noConversion"/>
  </si>
  <si>
    <t>04825440</t>
    <phoneticPr fontId="3" type="noConversion"/>
  </si>
  <si>
    <t>MV26916102</t>
  </si>
  <si>
    <t>施舒雅</t>
    <phoneticPr fontId="3" type="noConversion"/>
  </si>
  <si>
    <t>MV26916103</t>
  </si>
  <si>
    <t>PS26981650</t>
    <phoneticPr fontId="3" type="noConversion"/>
  </si>
  <si>
    <t>大桐</t>
    <phoneticPr fontId="3" type="noConversion"/>
  </si>
  <si>
    <t>43871955</t>
    <phoneticPr fontId="3" type="noConversion"/>
  </si>
  <si>
    <t>PS26981651</t>
  </si>
  <si>
    <t>依德</t>
    <phoneticPr fontId="3" type="noConversion"/>
  </si>
  <si>
    <t>07656431</t>
    <phoneticPr fontId="3" type="noConversion"/>
  </si>
  <si>
    <t>PS26981652</t>
  </si>
  <si>
    <t>鎔德</t>
    <phoneticPr fontId="3" type="noConversion"/>
  </si>
  <si>
    <t>53456020</t>
    <phoneticPr fontId="3" type="noConversion"/>
  </si>
  <si>
    <t>PS26981653</t>
  </si>
  <si>
    <t>PS26981654</t>
  </si>
  <si>
    <t>鉑德</t>
    <phoneticPr fontId="3" type="noConversion"/>
  </si>
  <si>
    <t>54337826</t>
    <phoneticPr fontId="3" type="noConversion"/>
  </si>
  <si>
    <t>PS26981655</t>
  </si>
  <si>
    <t>友士</t>
    <phoneticPr fontId="3" type="noConversion"/>
  </si>
  <si>
    <t>PS26981656</t>
  </si>
  <si>
    <t>27355335</t>
    <phoneticPr fontId="3" type="noConversion"/>
  </si>
  <si>
    <t>PS26981657</t>
  </si>
  <si>
    <t>威視</t>
    <phoneticPr fontId="3" type="noConversion"/>
  </si>
  <si>
    <t>96967079</t>
    <phoneticPr fontId="3" type="noConversion"/>
  </si>
  <si>
    <t>PS26981658</t>
  </si>
  <si>
    <t>裕恆</t>
    <phoneticPr fontId="3" type="noConversion"/>
  </si>
  <si>
    <t>86887365</t>
    <phoneticPr fontId="3" type="noConversion"/>
  </si>
  <si>
    <t>PS26981659</t>
  </si>
  <si>
    <t>大成</t>
    <phoneticPr fontId="3" type="noConversion"/>
  </si>
  <si>
    <t>22283501</t>
    <phoneticPr fontId="3" type="noConversion"/>
  </si>
  <si>
    <t>PS26981660</t>
  </si>
  <si>
    <t>永馳</t>
    <phoneticPr fontId="3" type="noConversion"/>
  </si>
  <si>
    <t>04825440</t>
    <phoneticPr fontId="3" type="noConversion"/>
  </si>
  <si>
    <t>PS26981661</t>
  </si>
  <si>
    <t>施舒雅</t>
    <phoneticPr fontId="3" type="noConversion"/>
  </si>
  <si>
    <t>22663002</t>
    <phoneticPr fontId="3" type="noConversion"/>
  </si>
  <si>
    <t>PS26981662</t>
  </si>
  <si>
    <t>八亨</t>
    <phoneticPr fontId="3" type="noConversion"/>
  </si>
  <si>
    <t>23674533</t>
    <phoneticPr fontId="3" type="noConversion"/>
  </si>
  <si>
    <t>PS26981663</t>
  </si>
  <si>
    <t>同皇</t>
    <phoneticPr fontId="3" type="noConversion"/>
  </si>
  <si>
    <t>23306799</t>
    <phoneticPr fontId="3" type="noConversion"/>
  </si>
  <si>
    <t>PS26981664</t>
  </si>
  <si>
    <t>RP26950900</t>
    <phoneticPr fontId="3" type="noConversion"/>
  </si>
  <si>
    <t>旺旺達</t>
    <phoneticPr fontId="3" type="noConversion"/>
  </si>
  <si>
    <t>97077763</t>
    <phoneticPr fontId="3" type="noConversion"/>
  </si>
  <si>
    <t>RP26950901</t>
    <phoneticPr fontId="3" type="noConversion"/>
  </si>
  <si>
    <t>汎輝</t>
    <phoneticPr fontId="3" type="noConversion"/>
  </si>
  <si>
    <t>20867509</t>
    <phoneticPr fontId="3" type="noConversion"/>
  </si>
  <si>
    <t>RP26950902</t>
    <phoneticPr fontId="3" type="noConversion"/>
  </si>
  <si>
    <t>作廢</t>
    <phoneticPr fontId="3" type="noConversion"/>
  </si>
  <si>
    <t>RP26950903</t>
    <phoneticPr fontId="3" type="noConversion"/>
  </si>
  <si>
    <t>依德</t>
    <phoneticPr fontId="3" type="noConversion"/>
  </si>
  <si>
    <t>07656431</t>
    <phoneticPr fontId="3" type="noConversion"/>
  </si>
  <si>
    <t>RP26950904</t>
    <phoneticPr fontId="3" type="noConversion"/>
  </si>
  <si>
    <t>鎔德</t>
    <phoneticPr fontId="3" type="noConversion"/>
  </si>
  <si>
    <t>53456020</t>
    <phoneticPr fontId="3" type="noConversion"/>
  </si>
  <si>
    <t>RP26950905</t>
    <phoneticPr fontId="3" type="noConversion"/>
  </si>
  <si>
    <t>RP26950906</t>
    <phoneticPr fontId="3" type="noConversion"/>
  </si>
  <si>
    <t>大桐</t>
    <phoneticPr fontId="3" type="noConversion"/>
  </si>
  <si>
    <t>43871955</t>
    <phoneticPr fontId="3" type="noConversion"/>
  </si>
  <si>
    <t>RP26950907</t>
    <phoneticPr fontId="3" type="noConversion"/>
  </si>
  <si>
    <t>友士</t>
    <phoneticPr fontId="3" type="noConversion"/>
  </si>
  <si>
    <t>04242698</t>
    <phoneticPr fontId="3" type="noConversion"/>
  </si>
  <si>
    <t>RP26950908</t>
    <phoneticPr fontId="3" type="noConversion"/>
  </si>
  <si>
    <t>鉑德</t>
    <phoneticPr fontId="3" type="noConversion"/>
  </si>
  <si>
    <t>54337826</t>
    <phoneticPr fontId="3" type="noConversion"/>
  </si>
  <si>
    <t>RP26950909</t>
    <phoneticPr fontId="3" type="noConversion"/>
  </si>
  <si>
    <t>TL27001450</t>
    <phoneticPr fontId="3" type="noConversion"/>
  </si>
  <si>
    <t>TL27001451</t>
  </si>
  <si>
    <t>53456020</t>
    <phoneticPr fontId="3" type="noConversion"/>
  </si>
  <si>
    <t>TL27001452</t>
  </si>
  <si>
    <t>永馳</t>
    <phoneticPr fontId="3" type="noConversion"/>
  </si>
  <si>
    <t>04825440</t>
    <phoneticPr fontId="3" type="noConversion"/>
  </si>
  <si>
    <t>TL27001453</t>
  </si>
  <si>
    <t>同皇</t>
    <phoneticPr fontId="3" type="noConversion"/>
  </si>
  <si>
    <t>TL27001454</t>
  </si>
  <si>
    <t>永昌</t>
    <phoneticPr fontId="3" type="noConversion"/>
  </si>
  <si>
    <t>54378277</t>
    <phoneticPr fontId="3" type="noConversion"/>
  </si>
  <si>
    <t>TL27001455</t>
  </si>
  <si>
    <t>元超</t>
    <phoneticPr fontId="3" type="noConversion"/>
  </si>
  <si>
    <t>VH26948350</t>
    <phoneticPr fontId="3" type="noConversion"/>
  </si>
  <si>
    <t>愛浪</t>
    <phoneticPr fontId="3" type="noConversion"/>
  </si>
  <si>
    <t>33858898</t>
    <phoneticPr fontId="3" type="noConversion"/>
  </si>
  <si>
    <t>VH26948351</t>
  </si>
  <si>
    <t>VH26948352</t>
  </si>
  <si>
    <t>VH26948353</t>
  </si>
  <si>
    <t>VH26948354</t>
  </si>
  <si>
    <t>VH26948355</t>
  </si>
  <si>
    <t>VH26948356</t>
  </si>
  <si>
    <t>VH26948357</t>
  </si>
  <si>
    <t>太暘</t>
    <phoneticPr fontId="3" type="noConversion"/>
  </si>
  <si>
    <t>20921362</t>
    <phoneticPr fontId="3" type="noConversion"/>
  </si>
  <si>
    <t>VH26948358</t>
  </si>
  <si>
    <t>VH26948359</t>
  </si>
  <si>
    <t>VH26948360</t>
  </si>
  <si>
    <t>VH26948361</t>
  </si>
  <si>
    <t>VH26948362</t>
  </si>
  <si>
    <t>VH26948363</t>
  </si>
  <si>
    <t>VH26948364</t>
  </si>
  <si>
    <t>43871955</t>
    <phoneticPr fontId="3" type="noConversion"/>
  </si>
  <si>
    <t>VH26948365</t>
  </si>
  <si>
    <t>VH26948366</t>
  </si>
  <si>
    <t>VH26948367</t>
  </si>
  <si>
    <t>恩豪</t>
    <phoneticPr fontId="3" type="noConversion"/>
  </si>
  <si>
    <t>23913400</t>
    <phoneticPr fontId="3" type="noConversion"/>
  </si>
  <si>
    <t>VH26948368</t>
  </si>
  <si>
    <t>VH26948369</t>
  </si>
  <si>
    <t>VH26948370</t>
  </si>
  <si>
    <t>鴻碩</t>
    <phoneticPr fontId="3" type="noConversion"/>
  </si>
  <si>
    <t>22909456</t>
    <phoneticPr fontId="3" type="noConversion"/>
  </si>
  <si>
    <t>VH26948371</t>
  </si>
  <si>
    <t>雙安</t>
    <phoneticPr fontId="3" type="noConversion"/>
  </si>
  <si>
    <t>04427533</t>
    <phoneticPr fontId="3" type="noConversion"/>
  </si>
  <si>
    <t>2019年收票</t>
    <phoneticPr fontId="3" type="noConversion"/>
  </si>
  <si>
    <t>2019兌現</t>
    <phoneticPr fontId="3" type="noConversion"/>
  </si>
  <si>
    <t>2019.01.10</t>
    <phoneticPr fontId="3" type="noConversion"/>
  </si>
  <si>
    <t>友士</t>
    <phoneticPr fontId="3" type="noConversion"/>
  </si>
  <si>
    <t>2019.01.15</t>
    <phoneticPr fontId="3" type="noConversion"/>
  </si>
  <si>
    <t>2019.01.15</t>
    <phoneticPr fontId="3" type="noConversion"/>
  </si>
  <si>
    <t>2019.03.12</t>
    <phoneticPr fontId="3" type="noConversion"/>
  </si>
  <si>
    <t>2019.03.15</t>
    <phoneticPr fontId="3" type="noConversion"/>
  </si>
  <si>
    <t>安力</t>
    <phoneticPr fontId="3" type="noConversion"/>
  </si>
  <si>
    <t>1-4</t>
    <phoneticPr fontId="3" type="noConversion"/>
  </si>
  <si>
    <t>2019.04.10</t>
    <phoneticPr fontId="3" type="noConversion"/>
  </si>
  <si>
    <t>2019.04.10</t>
    <phoneticPr fontId="3" type="noConversion"/>
  </si>
  <si>
    <t>2019.05.15</t>
    <phoneticPr fontId="3" type="noConversion"/>
  </si>
  <si>
    <t>2019.05.15</t>
    <phoneticPr fontId="3" type="noConversion"/>
  </si>
  <si>
    <t>2019.05.15</t>
    <phoneticPr fontId="3" type="noConversion"/>
  </si>
  <si>
    <t>2019.05.15</t>
    <phoneticPr fontId="3" type="noConversion"/>
  </si>
  <si>
    <t>2019.06.10</t>
    <phoneticPr fontId="3" type="noConversion"/>
  </si>
  <si>
    <t>2019.06.24</t>
    <phoneticPr fontId="3" type="noConversion"/>
  </si>
  <si>
    <t>2019.06.24</t>
    <phoneticPr fontId="3" type="noConversion"/>
  </si>
  <si>
    <t>2019.06.25</t>
  </si>
  <si>
    <t>2019.06.25</t>
    <phoneticPr fontId="3" type="noConversion"/>
  </si>
  <si>
    <t>2019.06.25</t>
    <phoneticPr fontId="3" type="noConversion"/>
  </si>
  <si>
    <t>2019.07.15</t>
    <phoneticPr fontId="3" type="noConversion"/>
  </si>
  <si>
    <t>2019.07.15</t>
    <phoneticPr fontId="3" type="noConversion"/>
  </si>
  <si>
    <t>2019.08.10</t>
    <phoneticPr fontId="3" type="noConversion"/>
  </si>
  <si>
    <t>2019.08.15</t>
    <phoneticPr fontId="3" type="noConversion"/>
  </si>
  <si>
    <t>2019.08.15</t>
    <phoneticPr fontId="3" type="noConversion"/>
  </si>
  <si>
    <t>2019.09.10</t>
    <phoneticPr fontId="3" type="noConversion"/>
  </si>
  <si>
    <t>2019.09.10</t>
    <phoneticPr fontId="3" type="noConversion"/>
  </si>
  <si>
    <t>2019.09.18</t>
    <phoneticPr fontId="3" type="noConversion"/>
  </si>
  <si>
    <t>2019.09.18</t>
    <phoneticPr fontId="3" type="noConversion"/>
  </si>
  <si>
    <t>2019.09.24</t>
    <phoneticPr fontId="3" type="noConversion"/>
  </si>
  <si>
    <t>2019.09.19</t>
    <phoneticPr fontId="3" type="noConversion"/>
  </si>
  <si>
    <t>PRIME-CLUB軟體開發費-第一次款</t>
    <phoneticPr fontId="3" type="noConversion"/>
  </si>
  <si>
    <t>2019.09.25</t>
    <phoneticPr fontId="3" type="noConversion"/>
  </si>
  <si>
    <t>2019.10.04</t>
    <phoneticPr fontId="3" type="noConversion"/>
  </si>
  <si>
    <t>2019.10.04</t>
    <phoneticPr fontId="3" type="noConversion"/>
  </si>
  <si>
    <t>2019.10.15</t>
    <phoneticPr fontId="3" type="noConversion"/>
  </si>
  <si>
    <t>2019.10.25</t>
    <phoneticPr fontId="3" type="noConversion"/>
  </si>
  <si>
    <t>2019.11.11</t>
    <phoneticPr fontId="3" type="noConversion"/>
  </si>
  <si>
    <t>2019.11.11</t>
    <phoneticPr fontId="3" type="noConversion"/>
  </si>
  <si>
    <t>2019.11.14</t>
    <phoneticPr fontId="3" type="noConversion"/>
  </si>
  <si>
    <t>2019.11.14</t>
    <phoneticPr fontId="3" type="noConversion"/>
  </si>
  <si>
    <t>車源軟維</t>
    <phoneticPr fontId="3" type="noConversion"/>
  </si>
  <si>
    <t>2019.11.18</t>
    <phoneticPr fontId="3" type="noConversion"/>
  </si>
  <si>
    <t>2019.11.21</t>
    <phoneticPr fontId="3" type="noConversion"/>
  </si>
  <si>
    <t>2019.11.21</t>
    <phoneticPr fontId="3" type="noConversion"/>
  </si>
  <si>
    <t>2019.12.26</t>
    <phoneticPr fontId="3" type="noConversion"/>
  </si>
  <si>
    <t>2019.12.26</t>
    <phoneticPr fontId="3" type="noConversion"/>
  </si>
  <si>
    <t>2019.01.08</t>
    <phoneticPr fontId="3" type="noConversion"/>
  </si>
  <si>
    <t>CN0272291</t>
    <phoneticPr fontId="3" type="noConversion"/>
  </si>
  <si>
    <t>CN0272292</t>
  </si>
  <si>
    <t>CN0272293</t>
  </si>
  <si>
    <t>CN0272294</t>
  </si>
  <si>
    <t>CN0272295</t>
  </si>
  <si>
    <t>CN0272296</t>
  </si>
  <si>
    <t>CN0272297</t>
  </si>
  <si>
    <t>CN0272298</t>
  </si>
  <si>
    <t>2019.01.10</t>
    <phoneticPr fontId="3" type="noConversion"/>
  </si>
  <si>
    <t>2019.01.08</t>
    <phoneticPr fontId="3" type="noConversion"/>
  </si>
  <si>
    <t>2019.02.01</t>
    <phoneticPr fontId="3" type="noConversion"/>
  </si>
  <si>
    <t>2019.01.08</t>
    <phoneticPr fontId="3" type="noConversion"/>
  </si>
  <si>
    <t>2019.02.01</t>
    <phoneticPr fontId="3" type="noConversion"/>
  </si>
  <si>
    <t>2019.01.01</t>
    <phoneticPr fontId="3" type="noConversion"/>
  </si>
  <si>
    <t>2019.12.05</t>
  </si>
  <si>
    <t>2018.12.31</t>
    <phoneticPr fontId="3" type="noConversion"/>
  </si>
  <si>
    <t>2019.02.12</t>
    <phoneticPr fontId="3" type="noConversion"/>
  </si>
  <si>
    <t>2019.02.28</t>
    <phoneticPr fontId="3" type="noConversion"/>
  </si>
  <si>
    <t>2019.02.12</t>
    <phoneticPr fontId="3" type="noConversion"/>
  </si>
  <si>
    <t>2019.02.12</t>
    <phoneticPr fontId="3" type="noConversion"/>
  </si>
  <si>
    <t>2019.02.12</t>
    <phoneticPr fontId="3" type="noConversion"/>
  </si>
  <si>
    <t>2019.02.12</t>
    <phoneticPr fontId="3" type="noConversion"/>
  </si>
  <si>
    <t>2019.03.05</t>
    <phoneticPr fontId="3" type="noConversion"/>
  </si>
  <si>
    <t>2019.02.15</t>
    <phoneticPr fontId="3" type="noConversion"/>
  </si>
  <si>
    <t>2019.02.12</t>
    <phoneticPr fontId="3" type="noConversion"/>
  </si>
  <si>
    <t>2019.02.12</t>
    <phoneticPr fontId="3" type="noConversion"/>
  </si>
  <si>
    <t>2019.02.25</t>
    <phoneticPr fontId="3" type="noConversion"/>
  </si>
  <si>
    <t>2019.03.05</t>
    <phoneticPr fontId="3" type="noConversion"/>
  </si>
  <si>
    <t>PTA1007621</t>
    <phoneticPr fontId="3" type="noConversion"/>
  </si>
  <si>
    <t>車源尾款</t>
    <phoneticPr fontId="3" type="noConversion"/>
  </si>
  <si>
    <t>2019.01.22</t>
    <phoneticPr fontId="3" type="noConversion"/>
  </si>
  <si>
    <t>MN2620001</t>
    <phoneticPr fontId="3" type="noConversion"/>
  </si>
  <si>
    <t>2019.01.16</t>
    <phoneticPr fontId="3" type="noConversion"/>
  </si>
  <si>
    <t>MN2620002</t>
  </si>
  <si>
    <t>MN2620003</t>
  </si>
  <si>
    <t>MN2620004</t>
  </si>
  <si>
    <t>MN2620005</t>
  </si>
  <si>
    <t>MN2620006</t>
  </si>
  <si>
    <t>2019.02.22</t>
    <phoneticPr fontId="3" type="noConversion"/>
  </si>
  <si>
    <t>依德</t>
    <phoneticPr fontId="3" type="noConversion"/>
  </si>
  <si>
    <t>JE1891635</t>
    <phoneticPr fontId="3" type="noConversion"/>
  </si>
  <si>
    <t>2019.02.26</t>
    <phoneticPr fontId="3" type="noConversion"/>
  </si>
  <si>
    <t>DNS</t>
    <phoneticPr fontId="3" type="noConversion"/>
  </si>
  <si>
    <t>恩豪</t>
    <phoneticPr fontId="3" type="noConversion"/>
  </si>
  <si>
    <t>CA5867433</t>
    <phoneticPr fontId="3" type="noConversion"/>
  </si>
  <si>
    <t>2019.02.20</t>
    <phoneticPr fontId="3" type="noConversion"/>
  </si>
  <si>
    <t>CA5867434</t>
  </si>
  <si>
    <t>CA5867435</t>
  </si>
  <si>
    <t>CA5867436</t>
  </si>
  <si>
    <t>2019.05.20</t>
    <phoneticPr fontId="3" type="noConversion"/>
  </si>
  <si>
    <t>2019.08.20</t>
    <phoneticPr fontId="3" type="noConversion"/>
  </si>
  <si>
    <t>2019.11.20</t>
    <phoneticPr fontId="3" type="noConversion"/>
  </si>
  <si>
    <t>2019.03.05</t>
    <phoneticPr fontId="3" type="noConversion"/>
  </si>
  <si>
    <t>2019.03.05</t>
    <phoneticPr fontId="3" type="noConversion"/>
  </si>
  <si>
    <t>2019.03.05</t>
    <phoneticPr fontId="3" type="noConversion"/>
  </si>
  <si>
    <t>2019.01.02</t>
    <phoneticPr fontId="3" type="noConversion"/>
  </si>
  <si>
    <t>2019.03.05</t>
    <phoneticPr fontId="3" type="noConversion"/>
  </si>
  <si>
    <t>2019.04.01</t>
    <phoneticPr fontId="3" type="noConversion"/>
  </si>
  <si>
    <t>2019.05.07</t>
    <phoneticPr fontId="3" type="noConversion"/>
  </si>
  <si>
    <t>2019.05.07</t>
    <phoneticPr fontId="3" type="noConversion"/>
  </si>
  <si>
    <t>2019.07.10</t>
    <phoneticPr fontId="3" type="noConversion"/>
  </si>
  <si>
    <t>2020.01.10</t>
    <phoneticPr fontId="3" type="noConversion"/>
  </si>
  <si>
    <t>2020.04.10</t>
    <phoneticPr fontId="3" type="noConversion"/>
  </si>
  <si>
    <t>2020.10.10</t>
    <phoneticPr fontId="3" type="noConversion"/>
  </si>
  <si>
    <t>2019.11.27</t>
  </si>
  <si>
    <t>2020.02.27</t>
  </si>
  <si>
    <t>2019.05.07</t>
    <phoneticPr fontId="3" type="noConversion"/>
  </si>
  <si>
    <t>2019.05.07</t>
    <phoneticPr fontId="3" type="noConversion"/>
  </si>
  <si>
    <t>2019.05.07</t>
    <phoneticPr fontId="3" type="noConversion"/>
  </si>
  <si>
    <t>2019.05.20</t>
    <phoneticPr fontId="3" type="noConversion"/>
  </si>
  <si>
    <t>2019.05.25</t>
    <phoneticPr fontId="3" type="noConversion"/>
  </si>
  <si>
    <t>2019.05.07</t>
    <phoneticPr fontId="3" type="noConversion"/>
  </si>
  <si>
    <t>2019.05.31</t>
    <phoneticPr fontId="3" type="noConversion"/>
  </si>
  <si>
    <t>合碩</t>
    <phoneticPr fontId="3" type="noConversion"/>
  </si>
  <si>
    <t>ND9134555</t>
    <phoneticPr fontId="3" type="noConversion"/>
  </si>
  <si>
    <t>ND9134556</t>
  </si>
  <si>
    <t>ND9134557</t>
  </si>
  <si>
    <t>ND9134558</t>
  </si>
  <si>
    <t>ND9134559</t>
  </si>
  <si>
    <t>ND9134560</t>
  </si>
  <si>
    <t>ND9134561</t>
  </si>
  <si>
    <t>ND9134562</t>
  </si>
  <si>
    <t>2019.09.01</t>
    <phoneticPr fontId="3" type="noConversion"/>
  </si>
  <si>
    <t>2019.12.01</t>
    <phoneticPr fontId="3" type="noConversion"/>
  </si>
  <si>
    <t>2020.03.01</t>
    <phoneticPr fontId="3" type="noConversion"/>
  </si>
  <si>
    <t>2020.06.01</t>
    <phoneticPr fontId="3" type="noConversion"/>
  </si>
  <si>
    <t>2020.09.01</t>
    <phoneticPr fontId="3" type="noConversion"/>
  </si>
  <si>
    <t>2020.12.01</t>
    <phoneticPr fontId="3" type="noConversion"/>
  </si>
  <si>
    <t>2021.03.01</t>
    <phoneticPr fontId="3" type="noConversion"/>
  </si>
  <si>
    <t>2019.06.01</t>
    <phoneticPr fontId="3" type="noConversion"/>
  </si>
  <si>
    <t>2019.06.05</t>
    <phoneticPr fontId="3" type="noConversion"/>
  </si>
  <si>
    <t>2019.06.05</t>
    <phoneticPr fontId="3" type="noConversion"/>
  </si>
  <si>
    <t>BA4912892</t>
    <phoneticPr fontId="3" type="noConversion"/>
  </si>
  <si>
    <t>2019.06.05</t>
    <phoneticPr fontId="3" type="noConversion"/>
  </si>
  <si>
    <t>2019.06.05</t>
    <phoneticPr fontId="3" type="noConversion"/>
  </si>
  <si>
    <t>BA4912893</t>
  </si>
  <si>
    <t>BA4912894</t>
  </si>
  <si>
    <t>BA4912895</t>
  </si>
  <si>
    <t>BA4912896</t>
  </si>
  <si>
    <t>BA4912897</t>
  </si>
  <si>
    <t>BA4912898</t>
  </si>
  <si>
    <t>BA4912899</t>
  </si>
  <si>
    <t>2019.11.30</t>
    <phoneticPr fontId="3" type="noConversion"/>
  </si>
  <si>
    <t>2020.02.28</t>
    <phoneticPr fontId="3" type="noConversion"/>
  </si>
  <si>
    <t>2020.05.31</t>
    <phoneticPr fontId="3" type="noConversion"/>
  </si>
  <si>
    <t>2020.08.31</t>
    <phoneticPr fontId="3" type="noConversion"/>
  </si>
  <si>
    <t>2020.11.30</t>
    <phoneticPr fontId="3" type="noConversion"/>
  </si>
  <si>
    <t>2021.02.28</t>
    <phoneticPr fontId="3" type="noConversion"/>
  </si>
  <si>
    <t>2019.05.20</t>
    <phoneticPr fontId="3" type="noConversion"/>
  </si>
  <si>
    <t>LA7804220</t>
    <phoneticPr fontId="3" type="noConversion"/>
  </si>
  <si>
    <t>LA7804221</t>
  </si>
  <si>
    <t>LA7804222</t>
  </si>
  <si>
    <t>LA7804223</t>
  </si>
  <si>
    <t>LA7804224</t>
  </si>
  <si>
    <t>LA7804225</t>
  </si>
  <si>
    <t>LA7804226</t>
  </si>
  <si>
    <t>LA7804227</t>
  </si>
  <si>
    <t>2019.06.15</t>
    <phoneticPr fontId="3" type="noConversion"/>
  </si>
  <si>
    <t>2019.06.20</t>
    <phoneticPr fontId="3" type="noConversion"/>
  </si>
  <si>
    <t>2019.06.30</t>
    <phoneticPr fontId="3" type="noConversion"/>
  </si>
  <si>
    <t>2019.07.01</t>
    <phoneticPr fontId="3" type="noConversion"/>
  </si>
  <si>
    <t>2019.06.05</t>
    <phoneticPr fontId="3" type="noConversion"/>
  </si>
  <si>
    <t>2019.06.21</t>
    <phoneticPr fontId="3" type="noConversion"/>
  </si>
  <si>
    <t>大成</t>
    <phoneticPr fontId="3" type="noConversion"/>
  </si>
  <si>
    <t>PD8348926</t>
    <phoneticPr fontId="3" type="noConversion"/>
  </si>
  <si>
    <t>PD8348927</t>
  </si>
  <si>
    <t>PD8348928</t>
  </si>
  <si>
    <t>PD8348929</t>
  </si>
  <si>
    <t>PD8348930</t>
  </si>
  <si>
    <t>PD8348931</t>
  </si>
  <si>
    <t>PD8348932</t>
  </si>
  <si>
    <t>PD8348933</t>
  </si>
  <si>
    <t>2019.06.30</t>
    <phoneticPr fontId="3" type="noConversion"/>
  </si>
  <si>
    <t>2019.07.16</t>
    <phoneticPr fontId="3" type="noConversion"/>
  </si>
  <si>
    <t>2019.09.30</t>
    <phoneticPr fontId="3" type="noConversion"/>
  </si>
  <si>
    <t>2019.12.25</t>
  </si>
  <si>
    <t>2019.12.25</t>
    <phoneticPr fontId="3" type="noConversion"/>
  </si>
  <si>
    <t>2020.03.31</t>
    <phoneticPr fontId="3" type="noConversion"/>
  </si>
  <si>
    <t>2020.09.30</t>
    <phoneticPr fontId="3" type="noConversion"/>
  </si>
  <si>
    <t>2020.12.25</t>
    <phoneticPr fontId="3" type="noConversion"/>
  </si>
  <si>
    <t>2021.03.31</t>
    <phoneticPr fontId="3" type="noConversion"/>
  </si>
  <si>
    <t>2019.07.16</t>
    <phoneticPr fontId="3" type="noConversion"/>
  </si>
  <si>
    <t>2019.07.16</t>
    <phoneticPr fontId="3" type="noConversion"/>
  </si>
  <si>
    <t>2019.07.16</t>
    <phoneticPr fontId="3" type="noConversion"/>
  </si>
  <si>
    <t>PTA1008280</t>
    <phoneticPr fontId="3" type="noConversion"/>
  </si>
  <si>
    <t>2019.07.15</t>
    <phoneticPr fontId="3" type="noConversion"/>
  </si>
  <si>
    <t>2019.08.01</t>
    <phoneticPr fontId="3" type="noConversion"/>
  </si>
  <si>
    <t>2019.08.01</t>
    <phoneticPr fontId="3" type="noConversion"/>
  </si>
  <si>
    <t>2019.07.23</t>
    <phoneticPr fontId="3" type="noConversion"/>
  </si>
  <si>
    <t>DA7541109</t>
    <phoneticPr fontId="3" type="noConversion"/>
  </si>
  <si>
    <t>DA7541110</t>
  </si>
  <si>
    <t>DA7541111</t>
  </si>
  <si>
    <t>DA7541112</t>
  </si>
  <si>
    <t>DA7541113</t>
  </si>
  <si>
    <t>DA7541114</t>
  </si>
  <si>
    <t>DA7541115</t>
  </si>
  <si>
    <t>DA7541116</t>
  </si>
  <si>
    <t>2019.07.30</t>
    <phoneticPr fontId="3" type="noConversion"/>
  </si>
  <si>
    <t>2019.07.30</t>
    <phoneticPr fontId="3" type="noConversion"/>
  </si>
  <si>
    <t>2019.10.30</t>
    <phoneticPr fontId="3" type="noConversion"/>
  </si>
  <si>
    <t>2020.01.30</t>
    <phoneticPr fontId="3" type="noConversion"/>
  </si>
  <si>
    <t>2020.04.30</t>
    <phoneticPr fontId="3" type="noConversion"/>
  </si>
  <si>
    <t>2020.07.30</t>
    <phoneticPr fontId="3" type="noConversion"/>
  </si>
  <si>
    <t>2020.10.30</t>
    <phoneticPr fontId="3" type="noConversion"/>
  </si>
  <si>
    <t>2021.04.30</t>
    <phoneticPr fontId="3" type="noConversion"/>
  </si>
  <si>
    <t>2021.01.30</t>
    <phoneticPr fontId="3" type="noConversion"/>
  </si>
  <si>
    <t>2019.07.30</t>
    <phoneticPr fontId="3" type="noConversion"/>
  </si>
  <si>
    <t>2019.07.30</t>
    <phoneticPr fontId="3" type="noConversion"/>
  </si>
  <si>
    <t>2019.07.30</t>
    <phoneticPr fontId="3" type="noConversion"/>
  </si>
  <si>
    <t>2019.08.31</t>
    <phoneticPr fontId="3" type="noConversion"/>
  </si>
  <si>
    <t>2019.07.30</t>
    <phoneticPr fontId="3" type="noConversion"/>
  </si>
  <si>
    <t>2019.08.31</t>
    <phoneticPr fontId="3" type="noConversion"/>
  </si>
  <si>
    <t>2019.08.23</t>
    <phoneticPr fontId="3" type="noConversion"/>
  </si>
  <si>
    <t>鉑德</t>
    <phoneticPr fontId="3" type="noConversion"/>
  </si>
  <si>
    <t>JE0549275</t>
    <phoneticPr fontId="3" type="noConversion"/>
  </si>
  <si>
    <t>JE0549276</t>
  </si>
  <si>
    <t>JE0549277</t>
  </si>
  <si>
    <t>JE0549278</t>
  </si>
  <si>
    <t>JE0549279</t>
  </si>
  <si>
    <t>2019.08.23</t>
    <phoneticPr fontId="3" type="noConversion"/>
  </si>
  <si>
    <t>2019.08.27</t>
    <phoneticPr fontId="3" type="noConversion"/>
  </si>
  <si>
    <t>2019.08.27</t>
    <phoneticPr fontId="3" type="noConversion"/>
  </si>
  <si>
    <t>2019.11.23</t>
    <phoneticPr fontId="3" type="noConversion"/>
  </si>
  <si>
    <t>2020.02.23</t>
    <phoneticPr fontId="3" type="noConversion"/>
  </si>
  <si>
    <t>2020.05.23</t>
    <phoneticPr fontId="3" type="noConversion"/>
  </si>
  <si>
    <t>2020.08.23</t>
    <phoneticPr fontId="3" type="noConversion"/>
  </si>
  <si>
    <t>2019.09.15</t>
    <phoneticPr fontId="3" type="noConversion"/>
  </si>
  <si>
    <t>2019.09.20</t>
    <phoneticPr fontId="3" type="noConversion"/>
  </si>
  <si>
    <t>2019.08.27</t>
    <phoneticPr fontId="3" type="noConversion"/>
  </si>
  <si>
    <t>2019.09.30</t>
    <phoneticPr fontId="3" type="noConversion"/>
  </si>
  <si>
    <t>2019.09.30</t>
    <phoneticPr fontId="3" type="noConversion"/>
  </si>
  <si>
    <t>2019.08.30</t>
    <phoneticPr fontId="3" type="noConversion"/>
  </si>
  <si>
    <t>汎輝</t>
    <phoneticPr fontId="3" type="noConversion"/>
  </si>
  <si>
    <t>QD3871758</t>
    <phoneticPr fontId="3" type="noConversion"/>
  </si>
  <si>
    <t>2019.10.03</t>
    <phoneticPr fontId="3" type="noConversion"/>
  </si>
  <si>
    <t>QD3871759</t>
  </si>
  <si>
    <t>QD3871760</t>
  </si>
  <si>
    <t>QD3871761</t>
  </si>
  <si>
    <t>QD3871762</t>
  </si>
  <si>
    <t>QD3871763</t>
  </si>
  <si>
    <t>QD3871764</t>
  </si>
  <si>
    <t>QD3871765</t>
  </si>
  <si>
    <t>2019.12.30</t>
    <phoneticPr fontId="3" type="noConversion"/>
  </si>
  <si>
    <t>2020.03.30</t>
    <phoneticPr fontId="3" type="noConversion"/>
  </si>
  <si>
    <t>2020.12.30</t>
    <phoneticPr fontId="3" type="noConversion"/>
  </si>
  <si>
    <t>2021.03.30</t>
    <phoneticPr fontId="3" type="noConversion"/>
  </si>
  <si>
    <t>2021.06.30</t>
    <phoneticPr fontId="3" type="noConversion"/>
  </si>
  <si>
    <t>2019.10.03</t>
    <phoneticPr fontId="3" type="noConversion"/>
  </si>
  <si>
    <t>2019.10.03</t>
    <phoneticPr fontId="3" type="noConversion"/>
  </si>
  <si>
    <t>2019.10.02</t>
  </si>
  <si>
    <t>2019.10.02</t>
    <phoneticPr fontId="3" type="noConversion"/>
  </si>
  <si>
    <t>PTA1008786</t>
    <phoneticPr fontId="3" type="noConversion"/>
  </si>
  <si>
    <t>2019.10.15</t>
    <phoneticPr fontId="3" type="noConversion"/>
  </si>
  <si>
    <t>2019.10.03</t>
    <phoneticPr fontId="3" type="noConversion"/>
  </si>
  <si>
    <t>2019.10.15</t>
    <phoneticPr fontId="3" type="noConversion"/>
  </si>
  <si>
    <t>PTA1008727</t>
    <phoneticPr fontId="3" type="noConversion"/>
  </si>
  <si>
    <t>2019.11.15</t>
    <phoneticPr fontId="3" type="noConversion"/>
  </si>
  <si>
    <t>PTA1008728</t>
  </si>
  <si>
    <t>PTA1008729</t>
  </si>
  <si>
    <t>PTA1008730</t>
  </si>
  <si>
    <t>PTA1008731</t>
  </si>
  <si>
    <t>PTA1008732</t>
  </si>
  <si>
    <t>PTA1008787</t>
    <phoneticPr fontId="3" type="noConversion"/>
  </si>
  <si>
    <t>車源軟維</t>
    <phoneticPr fontId="3" type="noConversion"/>
  </si>
  <si>
    <t>2020.02.15</t>
    <phoneticPr fontId="3" type="noConversion"/>
  </si>
  <si>
    <t>2020.05.15</t>
    <phoneticPr fontId="3" type="noConversion"/>
  </si>
  <si>
    <t>2020.08.15</t>
    <phoneticPr fontId="3" type="noConversion"/>
  </si>
  <si>
    <t>2020.11.15</t>
    <phoneticPr fontId="3" type="noConversion"/>
  </si>
  <si>
    <t>2021.02.15</t>
    <phoneticPr fontId="3" type="noConversion"/>
  </si>
  <si>
    <t>2019.10.16</t>
    <phoneticPr fontId="3" type="noConversion"/>
  </si>
  <si>
    <t>2019.10.03</t>
    <phoneticPr fontId="3" type="noConversion"/>
  </si>
  <si>
    <t>2019.10.30</t>
    <phoneticPr fontId="3" type="noConversion"/>
  </si>
  <si>
    <t>愛浪</t>
    <phoneticPr fontId="3" type="noConversion"/>
  </si>
  <si>
    <t>PD0704957</t>
    <phoneticPr fontId="3" type="noConversion"/>
  </si>
  <si>
    <t>PD0704958</t>
  </si>
  <si>
    <t>PD0704959</t>
  </si>
  <si>
    <t>PD0704960</t>
  </si>
  <si>
    <t>PD0704961</t>
  </si>
  <si>
    <t>PD0704962</t>
  </si>
  <si>
    <t>PD0704963</t>
  </si>
  <si>
    <t>PD0704964</t>
  </si>
  <si>
    <t>2019.09.15</t>
    <phoneticPr fontId="3" type="noConversion"/>
  </si>
  <si>
    <t>2019.12.15</t>
    <phoneticPr fontId="3" type="noConversion"/>
  </si>
  <si>
    <t>2020.03.15</t>
    <phoneticPr fontId="3" type="noConversion"/>
  </si>
  <si>
    <t>2020.06.15</t>
    <phoneticPr fontId="3" type="noConversion"/>
  </si>
  <si>
    <t>2020.09.15</t>
    <phoneticPr fontId="3" type="noConversion"/>
  </si>
  <si>
    <t>2020.12.15</t>
    <phoneticPr fontId="3" type="noConversion"/>
  </si>
  <si>
    <t>2021.03.15</t>
    <phoneticPr fontId="3" type="noConversion"/>
  </si>
  <si>
    <t>2021.06.15</t>
    <phoneticPr fontId="3" type="noConversion"/>
  </si>
  <si>
    <t>2019.11.05</t>
    <phoneticPr fontId="3" type="noConversion"/>
  </si>
  <si>
    <t>2019.11.05</t>
    <phoneticPr fontId="3" type="noConversion"/>
  </si>
  <si>
    <t>2019.11.15</t>
    <phoneticPr fontId="3" type="noConversion"/>
  </si>
  <si>
    <t>2019.11.05</t>
    <phoneticPr fontId="3" type="noConversion"/>
  </si>
  <si>
    <t>2019.10.30</t>
    <phoneticPr fontId="3" type="noConversion"/>
  </si>
  <si>
    <t>元超</t>
    <phoneticPr fontId="3" type="noConversion"/>
  </si>
  <si>
    <t>LB0374413</t>
    <phoneticPr fontId="3" type="noConversion"/>
  </si>
  <si>
    <t>2019.11.18</t>
    <phoneticPr fontId="3" type="noConversion"/>
  </si>
  <si>
    <t>2019.11.05</t>
    <phoneticPr fontId="3" type="noConversion"/>
  </si>
  <si>
    <t>1-2</t>
    <phoneticPr fontId="3" type="noConversion"/>
  </si>
  <si>
    <t>2019.11.02</t>
    <phoneticPr fontId="3" type="noConversion"/>
  </si>
  <si>
    <t>2019.11.05</t>
    <phoneticPr fontId="3" type="noConversion"/>
  </si>
  <si>
    <t>2019.11.25</t>
    <phoneticPr fontId="3" type="noConversion"/>
  </si>
  <si>
    <t>2019.11.25</t>
    <phoneticPr fontId="3" type="noConversion"/>
  </si>
  <si>
    <t>2019.11.05</t>
    <phoneticPr fontId="3" type="noConversion"/>
  </si>
  <si>
    <t>2019.11.30</t>
    <phoneticPr fontId="3" type="noConversion"/>
  </si>
  <si>
    <t>2019.11.05</t>
    <phoneticPr fontId="3" type="noConversion"/>
  </si>
  <si>
    <t>2019.12.05</t>
    <phoneticPr fontId="3" type="noConversion"/>
  </si>
  <si>
    <t>2019.11.14</t>
    <phoneticPr fontId="3" type="noConversion"/>
  </si>
  <si>
    <t>太暘</t>
    <phoneticPr fontId="3" type="noConversion"/>
  </si>
  <si>
    <t>ND9688763</t>
    <phoneticPr fontId="3" type="noConversion"/>
  </si>
  <si>
    <t>ND9688764</t>
  </si>
  <si>
    <t>ND9688765</t>
  </si>
  <si>
    <t>ND9688766</t>
  </si>
  <si>
    <t>ND9688767</t>
  </si>
  <si>
    <t>ND9688768</t>
  </si>
  <si>
    <t>ND9688769</t>
  </si>
  <si>
    <t>ND9688770</t>
  </si>
  <si>
    <t>2020.05.31</t>
    <phoneticPr fontId="3" type="noConversion"/>
  </si>
  <si>
    <t>2021.05.31</t>
    <phoneticPr fontId="3" type="noConversion"/>
  </si>
  <si>
    <t>2021.08.31</t>
    <phoneticPr fontId="3" type="noConversion"/>
  </si>
  <si>
    <t>2020.02.29</t>
    <phoneticPr fontId="3" type="noConversion"/>
  </si>
  <si>
    <t>2019.12.10</t>
    <phoneticPr fontId="3" type="noConversion"/>
  </si>
  <si>
    <t>2019.12.10</t>
    <phoneticPr fontId="3" type="noConversion"/>
  </si>
  <si>
    <t>2019.12.10</t>
    <phoneticPr fontId="3" type="noConversion"/>
  </si>
  <si>
    <t>2019.12.15</t>
    <phoneticPr fontId="3" type="noConversion"/>
  </si>
  <si>
    <t>2019.12.10</t>
    <phoneticPr fontId="3" type="noConversion"/>
  </si>
  <si>
    <t>2019.12.10</t>
    <phoneticPr fontId="3" type="noConversion"/>
  </si>
  <si>
    <t>2019.12.31</t>
    <phoneticPr fontId="3" type="noConversion"/>
  </si>
  <si>
    <t>2019.05.22</t>
    <phoneticPr fontId="3" type="noConversion"/>
  </si>
  <si>
    <t>2019.05.28</t>
    <phoneticPr fontId="3" type="noConversion"/>
  </si>
  <si>
    <t>郵費</t>
    <phoneticPr fontId="3" type="noConversion"/>
  </si>
  <si>
    <t>交通費</t>
    <phoneticPr fontId="3" type="noConversion"/>
  </si>
  <si>
    <t>大桐續約換機車資</t>
    <phoneticPr fontId="3" type="noConversion"/>
  </si>
  <si>
    <t>USA匯入中國信託, 待轉PT40萬, 達中國信託備用
中信 20190529 陳匯 US$12000 = 20190604 TW$362040, 匯$400000 PT 上海銀行 儲蓄部分行 楊淑雅 03203005001517, 手續費 $30, 餘額 $62010</t>
    <phoneticPr fontId="3" type="noConversion"/>
  </si>
  <si>
    <t>水費</t>
    <phoneticPr fontId="3" type="noConversion"/>
  </si>
  <si>
    <t>108.05 張</t>
    <phoneticPr fontId="3" type="noConversion"/>
  </si>
  <si>
    <t>郵費</t>
    <phoneticPr fontId="3" type="noConversion"/>
  </si>
  <si>
    <t>2019.06.05</t>
    <phoneticPr fontId="3" type="noConversion"/>
  </si>
  <si>
    <t>管理費</t>
    <phoneticPr fontId="3" type="noConversion"/>
  </si>
  <si>
    <t>2019.06.27</t>
    <phoneticPr fontId="3" type="noConversion"/>
  </si>
  <si>
    <t>2019.07.05</t>
    <phoneticPr fontId="3" type="noConversion"/>
  </si>
  <si>
    <t>2019.06 card ada代刷-玉山</t>
    <phoneticPr fontId="3" type="noConversion"/>
  </si>
  <si>
    <t>2019.07.05</t>
    <phoneticPr fontId="3" type="noConversion"/>
  </si>
  <si>
    <t>華算信義轉城中</t>
    <phoneticPr fontId="3" type="noConversion"/>
  </si>
  <si>
    <t>2019.07.24</t>
    <phoneticPr fontId="3" type="noConversion"/>
  </si>
  <si>
    <t>汎輝合約發票回郵信封</t>
    <phoneticPr fontId="3" type="noConversion"/>
  </si>
  <si>
    <t>2019.08.05</t>
    <phoneticPr fontId="3" type="noConversion"/>
  </si>
  <si>
    <t>2019.08.19</t>
    <phoneticPr fontId="3" type="noConversion"/>
  </si>
  <si>
    <t>2019.08.21</t>
    <phoneticPr fontId="3" type="noConversion"/>
  </si>
  <si>
    <t>悠遊卡儲值</t>
    <phoneticPr fontId="3" type="noConversion"/>
  </si>
  <si>
    <t>雜費</t>
    <phoneticPr fontId="3" type="noConversion"/>
  </si>
  <si>
    <t>2019.09.02</t>
    <phoneticPr fontId="3" type="noConversion"/>
  </si>
  <si>
    <t>2019.09 北平房租-台銀網銀轉帳(2018.11開始)-轉ADA再轉房東</t>
    <phoneticPr fontId="3" type="noConversion"/>
  </si>
  <si>
    <t>2019.09.03</t>
  </si>
  <si>
    <t>冷氣維修</t>
    <phoneticPr fontId="3" type="noConversion"/>
  </si>
  <si>
    <t>2019.09.04</t>
    <phoneticPr fontId="3" type="noConversion"/>
  </si>
  <si>
    <t>2019.09.05</t>
    <phoneticPr fontId="3" type="noConversion"/>
  </si>
  <si>
    <t>2019.09.06</t>
  </si>
  <si>
    <t>2019.09.06</t>
    <phoneticPr fontId="3" type="noConversion"/>
  </si>
  <si>
    <t>2019.09.17</t>
    <phoneticPr fontId="3" type="noConversion"/>
  </si>
  <si>
    <t>2019.09.25</t>
    <phoneticPr fontId="3" type="noConversion"/>
  </si>
  <si>
    <t>2019.09.26</t>
  </si>
  <si>
    <t>PT 上海銀行 儲蓄部分行 楊淑雅 03203005001517, 手續費 $10
麻煩請匯台幣13萬給PT的朋友換人民幣,謝謝</t>
    <phoneticPr fontId="3" type="noConversion"/>
  </si>
  <si>
    <t>自然人憑証費用-勞保作業用</t>
    <phoneticPr fontId="3" type="noConversion"/>
  </si>
  <si>
    <t>2019.10.05</t>
    <phoneticPr fontId="3" type="noConversion"/>
  </si>
  <si>
    <t>華算108.11-12三聯式發票</t>
    <phoneticPr fontId="3" type="noConversion"/>
  </si>
  <si>
    <t>2019.10.23</t>
    <phoneticPr fontId="3" type="noConversion"/>
  </si>
  <si>
    <t>愛浪續約換機車資</t>
    <phoneticPr fontId="3" type="noConversion"/>
  </si>
  <si>
    <t>文具費</t>
    <phoneticPr fontId="3" type="noConversion"/>
  </si>
  <si>
    <r>
      <t xml:space="preserve">"-1"
PT 手續費 $10
麻煩你幫我匯150,000.元至以下帳號資料。
上海商業儲蓄銀行 儲蓄部分行 (011-0037)
楊淑雅 03203005001517
</t>
    </r>
    <r>
      <rPr>
        <strike/>
        <sz val="12"/>
        <color indexed="10"/>
        <rFont val="新細明體"/>
        <family val="1"/>
        <charset val="136"/>
      </rPr>
      <t>(總額$175175, 餘$25175未匯)</t>
    </r>
    <phoneticPr fontId="3" type="noConversion"/>
  </si>
  <si>
    <t>郵費</t>
    <phoneticPr fontId="3" type="noConversion"/>
  </si>
  <si>
    <t>BMW車源維護合約掛號</t>
    <phoneticPr fontId="3" type="noConversion"/>
  </si>
  <si>
    <t>2019.11.04</t>
    <phoneticPr fontId="3" type="noConversion"/>
  </si>
  <si>
    <t>掛號</t>
    <phoneticPr fontId="3" type="noConversion"/>
  </si>
  <si>
    <t>2019.11.05</t>
    <phoneticPr fontId="3" type="noConversion"/>
  </si>
  <si>
    <t>2019.11.11</t>
    <phoneticPr fontId="3" type="noConversion"/>
  </si>
  <si>
    <t>2019.11.12</t>
  </si>
  <si>
    <t>2019.11.13</t>
    <phoneticPr fontId="3" type="noConversion"/>
  </si>
  <si>
    <t>2019.11.26</t>
    <phoneticPr fontId="3" type="noConversion"/>
  </si>
  <si>
    <t>掛號依德/鎔德/鉑德/大桐</t>
    <phoneticPr fontId="3" type="noConversion"/>
  </si>
  <si>
    <t>管理費-2019.11 106.8月開始調漲$20, (原$95+$20=$115/坪) * 12.68坪=$1458
4月開始銀行轉帳 $1458 + $10</t>
    <phoneticPr fontId="3" type="noConversion"/>
  </si>
  <si>
    <t>掛號博欽勞保請款-補件</t>
    <phoneticPr fontId="3" type="noConversion"/>
  </si>
  <si>
    <t>2019.12.18</t>
  </si>
  <si>
    <t>鴻碩續約換機車資</t>
    <phoneticPr fontId="3" type="noConversion"/>
  </si>
  <si>
    <t>鴻碩續約換機車資</t>
    <phoneticPr fontId="3" type="noConversion"/>
  </si>
  <si>
    <t>日期</t>
    <phoneticPr fontId="3" type="noConversion"/>
  </si>
  <si>
    <t>銀行-入</t>
    <phoneticPr fontId="3" type="noConversion"/>
  </si>
  <si>
    <t>銀行-出</t>
    <phoneticPr fontId="3" type="noConversion"/>
  </si>
  <si>
    <t>零用金-入</t>
    <phoneticPr fontId="3" type="noConversion"/>
  </si>
  <si>
    <t>零用金-出</t>
    <phoneticPr fontId="3" type="noConversion"/>
  </si>
  <si>
    <t>零用金餘</t>
    <phoneticPr fontId="3" type="noConversion"/>
  </si>
  <si>
    <t>科目</t>
    <phoneticPr fontId="3" type="noConversion"/>
  </si>
  <si>
    <t>說明</t>
    <phoneticPr fontId="3" type="noConversion"/>
  </si>
  <si>
    <t>6月餘現金</t>
    <phoneticPr fontId="3" type="noConversion"/>
  </si>
  <si>
    <t>2009.7.13</t>
    <phoneticPr fontId="3" type="noConversion"/>
  </si>
  <si>
    <t>雙安裝機車資</t>
    <phoneticPr fontId="3" type="noConversion"/>
  </si>
  <si>
    <t>(餘 131)</t>
    <phoneticPr fontId="3" type="noConversion"/>
  </si>
  <si>
    <t>2009.7.15</t>
    <phoneticPr fontId="3" type="noConversion"/>
  </si>
  <si>
    <t>台銀</t>
    <phoneticPr fontId="3" type="noConversion"/>
  </si>
  <si>
    <t>98.5~6 401繳款</t>
    <phoneticPr fontId="3" type="noConversion"/>
  </si>
  <si>
    <t>98.7 管理費</t>
    <phoneticPr fontId="3" type="noConversion"/>
  </si>
  <si>
    <t>98.7 水費</t>
    <phoneticPr fontId="3" type="noConversion"/>
  </si>
  <si>
    <t>98.7 SONET</t>
    <phoneticPr fontId="3" type="noConversion"/>
  </si>
  <si>
    <t>詩留現金</t>
    <phoneticPr fontId="3" type="noConversion"/>
  </si>
  <si>
    <t>98.7~8 購買發票</t>
    <phoneticPr fontId="3" type="noConversion"/>
  </si>
  <si>
    <t>2009.7.23</t>
    <phoneticPr fontId="3" type="noConversion"/>
  </si>
  <si>
    <t>台銀</t>
    <phoneticPr fontId="3" type="noConversion"/>
  </si>
  <si>
    <t>訊泰退押金</t>
    <phoneticPr fontId="3" type="noConversion"/>
  </si>
  <si>
    <t>2009.7.29</t>
    <phoneticPr fontId="3" type="noConversion"/>
  </si>
  <si>
    <t>匯李佳臨-045004018766</t>
    <phoneticPr fontId="3" type="noConversion"/>
  </si>
  <si>
    <t>大成車資</t>
    <phoneticPr fontId="3" type="noConversion"/>
  </si>
  <si>
    <t>(餘 2091)</t>
    <phoneticPr fontId="3" type="noConversion"/>
  </si>
  <si>
    <t>2009.8.3</t>
    <phoneticPr fontId="3" type="noConversion"/>
  </si>
  <si>
    <t>陳媽種子郵票</t>
    <phoneticPr fontId="3" type="noConversion"/>
  </si>
  <si>
    <t>陳媽種子郵票</t>
    <phoneticPr fontId="3" type="noConversion"/>
  </si>
  <si>
    <t>(餘 1895)</t>
    <phoneticPr fontId="3" type="noConversion"/>
  </si>
  <si>
    <t>2009.8.13</t>
    <phoneticPr fontId="3" type="noConversion"/>
  </si>
  <si>
    <t>5公升垃圾袋</t>
    <phoneticPr fontId="3" type="noConversion"/>
  </si>
  <si>
    <t>(餘 1850)</t>
    <phoneticPr fontId="3" type="noConversion"/>
  </si>
  <si>
    <t>2009.8.</t>
    <phoneticPr fontId="3" type="noConversion"/>
  </si>
  <si>
    <t>8月管理費</t>
    <phoneticPr fontId="3" type="noConversion"/>
  </si>
  <si>
    <t>(餘 645)</t>
    <phoneticPr fontId="3" type="noConversion"/>
  </si>
  <si>
    <t>2009.8.19</t>
    <phoneticPr fontId="3" type="noConversion"/>
  </si>
  <si>
    <t>SO-NET 8月帳單</t>
    <phoneticPr fontId="3" type="noConversion"/>
  </si>
  <si>
    <t>(餘 246)</t>
    <phoneticPr fontId="3" type="noConversion"/>
  </si>
  <si>
    <t>2009.8.27</t>
    <phoneticPr fontId="3" type="noConversion"/>
  </si>
  <si>
    <t>9-10月發票</t>
    <phoneticPr fontId="3" type="noConversion"/>
  </si>
  <si>
    <t>詩預付</t>
    <phoneticPr fontId="3" type="noConversion"/>
  </si>
  <si>
    <t>2009.8.31</t>
    <phoneticPr fontId="3" type="noConversion"/>
  </si>
  <si>
    <t>台一車資</t>
    <phoneticPr fontId="3" type="noConversion"/>
  </si>
  <si>
    <t>(餘 46)</t>
    <phoneticPr fontId="3" type="noConversion"/>
  </si>
  <si>
    <t>2009.9.1</t>
    <phoneticPr fontId="3" type="noConversion"/>
  </si>
  <si>
    <t>郵寄5份發票附回郵, 1份台一合約</t>
    <phoneticPr fontId="3" type="noConversion"/>
  </si>
  <si>
    <t>郵寄台一合約補差額</t>
    <phoneticPr fontId="3" type="noConversion"/>
  </si>
  <si>
    <t>(餘 1736)</t>
    <phoneticPr fontId="3" type="noConversion"/>
  </si>
  <si>
    <t>2009.9.7</t>
    <phoneticPr fontId="3" type="noConversion"/>
  </si>
  <si>
    <t>台灣企銀HK開戶印章</t>
    <phoneticPr fontId="3" type="noConversion"/>
  </si>
  <si>
    <t>(餘 1686)</t>
    <phoneticPr fontId="3" type="noConversion"/>
  </si>
  <si>
    <t>2009.9.9</t>
    <phoneticPr fontId="3" type="noConversion"/>
  </si>
  <si>
    <t>利泰慧車資-張車</t>
    <phoneticPr fontId="3" type="noConversion"/>
  </si>
  <si>
    <t>(餘 886)</t>
    <phoneticPr fontId="3" type="noConversion"/>
  </si>
  <si>
    <t>2009.9.11</t>
    <phoneticPr fontId="3" type="noConversion"/>
  </si>
  <si>
    <t>公司悠遊卡儲值</t>
    <phoneticPr fontId="3" type="noConversion"/>
  </si>
  <si>
    <t>(餘 786)</t>
    <phoneticPr fontId="3" type="noConversion"/>
  </si>
  <si>
    <t>2009.9.14</t>
    <phoneticPr fontId="3" type="noConversion"/>
  </si>
  <si>
    <t>98.7~8 401繳款</t>
    <phoneticPr fontId="3" type="noConversion"/>
  </si>
  <si>
    <t>(餘 2786)</t>
    <phoneticPr fontId="3" type="noConversion"/>
  </si>
  <si>
    <t>2009.9.16</t>
    <phoneticPr fontId="3" type="noConversion"/>
  </si>
  <si>
    <t>98.8 水費</t>
    <phoneticPr fontId="3" type="noConversion"/>
  </si>
  <si>
    <t>98.9 SONET</t>
    <phoneticPr fontId="3" type="noConversion"/>
  </si>
  <si>
    <t>(餘 2213)</t>
    <phoneticPr fontId="3" type="noConversion"/>
  </si>
  <si>
    <t>HK台企開戶匯款 HKD$1850 (1HKD=4.23NT, 合計NT$7826), 實際匯款 HKD$1800, HK台企郵電費HKD$50</t>
    <phoneticPr fontId="3" type="noConversion"/>
  </si>
  <si>
    <t>台企忠孝郵電費(手續費$100免收)</t>
    <phoneticPr fontId="3" type="noConversion"/>
  </si>
  <si>
    <t>(餘 2667)</t>
    <phoneticPr fontId="3" type="noConversion"/>
  </si>
  <si>
    <t>9月管理費</t>
    <phoneticPr fontId="3" type="noConversion"/>
  </si>
  <si>
    <t>(餘 1462)</t>
    <phoneticPr fontId="3" type="noConversion"/>
  </si>
  <si>
    <t>2009.9.21</t>
    <phoneticPr fontId="3" type="noConversion"/>
  </si>
  <si>
    <t>寄格百維護合約-限時</t>
    <phoneticPr fontId="3" type="noConversion"/>
  </si>
  <si>
    <t>(餘 1425)</t>
    <phoneticPr fontId="3" type="noConversion"/>
  </si>
  <si>
    <t>2009.9.22</t>
    <phoneticPr fontId="3" type="noConversion"/>
  </si>
  <si>
    <t>饒媽</t>
    <phoneticPr fontId="3" type="noConversion"/>
  </si>
  <si>
    <t>2009.9.24</t>
    <phoneticPr fontId="3" type="noConversion"/>
  </si>
  <si>
    <t>寄HK台企-ADA提款FAX正本</t>
    <phoneticPr fontId="3" type="noConversion"/>
  </si>
  <si>
    <t>(餘 1416)</t>
    <phoneticPr fontId="3" type="noConversion"/>
  </si>
  <si>
    <t>2009.9.28</t>
    <phoneticPr fontId="3" type="noConversion"/>
  </si>
  <si>
    <t>補悠遊卡(寂天維修)</t>
    <phoneticPr fontId="3" type="noConversion"/>
  </si>
  <si>
    <t>(餘 1316)</t>
    <phoneticPr fontId="3" type="noConversion"/>
  </si>
  <si>
    <t>2009.9.30</t>
    <phoneticPr fontId="3" type="noConversion"/>
  </si>
  <si>
    <t>香皂</t>
    <phoneticPr fontId="3" type="noConversion"/>
  </si>
  <si>
    <t>EMS-陳媽中藥</t>
    <phoneticPr fontId="3" type="noConversion"/>
  </si>
  <si>
    <t>(餘 549)</t>
    <phoneticPr fontId="3" type="noConversion"/>
  </si>
  <si>
    <t>2009.10.9</t>
    <phoneticPr fontId="3" type="noConversion"/>
  </si>
  <si>
    <t>格百退押金</t>
    <phoneticPr fontId="3" type="noConversion"/>
  </si>
  <si>
    <t>格百退押金手續費</t>
    <phoneticPr fontId="3" type="noConversion"/>
  </si>
  <si>
    <t>2009.10.15</t>
    <phoneticPr fontId="3" type="noConversion"/>
  </si>
  <si>
    <t>補悠遊卡(邁登維修)</t>
    <phoneticPr fontId="3" type="noConversion"/>
  </si>
  <si>
    <t>(餘 349)</t>
    <phoneticPr fontId="3" type="noConversion"/>
  </si>
  <si>
    <t>2009.10.19</t>
    <phoneticPr fontId="3" type="noConversion"/>
  </si>
  <si>
    <t>10月管理費</t>
    <phoneticPr fontId="3" type="noConversion"/>
  </si>
  <si>
    <t>掛號費(喜可合約)</t>
    <phoneticPr fontId="3" type="noConversion"/>
  </si>
  <si>
    <t>掛號費(施舒雅帳單)</t>
    <phoneticPr fontId="3" type="noConversion"/>
  </si>
  <si>
    <t>車資(喜可裝機</t>
    <phoneticPr fontId="3" type="noConversion"/>
  </si>
  <si>
    <t>(餘 2084)</t>
    <phoneticPr fontId="3" type="noConversion"/>
  </si>
  <si>
    <t>2009.10.29</t>
    <phoneticPr fontId="3" type="noConversion"/>
  </si>
  <si>
    <t>$25郵票*20張</t>
    <phoneticPr fontId="3" type="noConversion"/>
  </si>
  <si>
    <t>(餘 1584)</t>
    <phoneticPr fontId="3" type="noConversion"/>
  </si>
  <si>
    <t>2009.11.04</t>
    <phoneticPr fontId="3" type="noConversion"/>
  </si>
  <si>
    <t>讀卡機</t>
    <phoneticPr fontId="3" type="noConversion"/>
  </si>
  <si>
    <t>(餘 1334)</t>
    <phoneticPr fontId="3" type="noConversion"/>
  </si>
  <si>
    <t>2009.11.06</t>
    <phoneticPr fontId="3" type="noConversion"/>
  </si>
  <si>
    <t>華三聯發票</t>
    <phoneticPr fontId="3" type="noConversion"/>
  </si>
  <si>
    <t>自然人憑証工本費</t>
    <phoneticPr fontId="3" type="noConversion"/>
  </si>
  <si>
    <t>11月水費</t>
    <phoneticPr fontId="3" type="noConversion"/>
  </si>
  <si>
    <t>(餘 872)</t>
    <phoneticPr fontId="3" type="noConversion"/>
  </si>
  <si>
    <t>2009.11.09</t>
    <phoneticPr fontId="3" type="noConversion"/>
  </si>
  <si>
    <t>台銀網銀-達中信9810代刷</t>
    <phoneticPr fontId="3" type="noConversion"/>
  </si>
  <si>
    <t>歐視票-CN 2143981-981030</t>
    <phoneticPr fontId="3" type="noConversion"/>
  </si>
  <si>
    <t>401-10月稅</t>
    <phoneticPr fontId="3" type="noConversion"/>
  </si>
  <si>
    <t>(餘 2502)</t>
    <phoneticPr fontId="3" type="noConversion"/>
  </si>
  <si>
    <t>2009.11.10</t>
    <phoneticPr fontId="3" type="noConversion"/>
  </si>
  <si>
    <t>衛生紙</t>
    <phoneticPr fontId="3" type="noConversion"/>
  </si>
  <si>
    <t>(餘 2393)</t>
    <phoneticPr fontId="3" type="noConversion"/>
  </si>
  <si>
    <t>2009.11.11</t>
    <phoneticPr fontId="3" type="noConversion"/>
  </si>
  <si>
    <t>台企印章-順豐快遞</t>
    <phoneticPr fontId="3" type="noConversion"/>
  </si>
  <si>
    <t>(餘 2263)</t>
    <phoneticPr fontId="3" type="noConversion"/>
  </si>
  <si>
    <t>合約用紙</t>
    <phoneticPr fontId="3" type="noConversion"/>
  </si>
  <si>
    <t>11月管理費</t>
    <phoneticPr fontId="3" type="noConversion"/>
  </si>
  <si>
    <t>98.10 98.11 SONET</t>
    <phoneticPr fontId="3" type="noConversion"/>
  </si>
  <si>
    <t>(餘 101)</t>
    <phoneticPr fontId="3" type="noConversion"/>
  </si>
  <si>
    <t>2009.11.18</t>
    <phoneticPr fontId="3" type="noConversion"/>
  </si>
  <si>
    <t>展鑫裝機</t>
    <phoneticPr fontId="3" type="noConversion"/>
  </si>
  <si>
    <t>展鑫裝機</t>
    <phoneticPr fontId="3" type="noConversion"/>
  </si>
  <si>
    <t>2009.11.20</t>
    <phoneticPr fontId="3" type="noConversion"/>
  </si>
  <si>
    <t>海特裝機</t>
    <phoneticPr fontId="3" type="noConversion"/>
  </si>
  <si>
    <t>2009.11.23</t>
    <phoneticPr fontId="3" type="noConversion"/>
  </si>
  <si>
    <t>掛號費-海特發票重開郵寄</t>
    <phoneticPr fontId="3" type="noConversion"/>
  </si>
  <si>
    <t>(餘 76)</t>
    <phoneticPr fontId="3" type="noConversion"/>
  </si>
  <si>
    <t>3號/4號 電池</t>
    <phoneticPr fontId="3" type="noConversion"/>
  </si>
  <si>
    <t>2009.11.30</t>
    <phoneticPr fontId="3" type="noConversion"/>
  </si>
  <si>
    <t>PT快遞-寄PT哥東西至TW恩豪</t>
    <phoneticPr fontId="3" type="noConversion"/>
  </si>
  <si>
    <t>2009.12.4</t>
    <phoneticPr fontId="3" type="noConversion"/>
  </si>
  <si>
    <t>98.11思</t>
    <phoneticPr fontId="3" type="noConversion"/>
  </si>
  <si>
    <t>98.11明</t>
    <phoneticPr fontId="3" type="noConversion"/>
  </si>
  <si>
    <t>98.11達</t>
    <phoneticPr fontId="3" type="noConversion"/>
  </si>
  <si>
    <t>2009.12.7</t>
    <phoneticPr fontId="3" type="noConversion"/>
  </si>
  <si>
    <t>新力美退押金匯款
第一銀行內科園區分行-資訊部李先生
158-10005682</t>
    <phoneticPr fontId="3" type="noConversion"/>
  </si>
  <si>
    <t>新力美退押金手續費</t>
    <phoneticPr fontId="3" type="noConversion"/>
  </si>
  <si>
    <t>ada中信代刷款
10/28 PCHOME 2050
11/10 宏積科技有限公司(HD對拷機) 8400
11/11 良興電子資訊廣場台北市 3176
11/16 PCHOME 2050
11/16 PCHOME 2390
11/16 PCHOME 7756
11/18 PCHOME 2050
11/18 PCHOME 2390
11/18 PCHOME 2619
11/17 104人力銀行 2800
11/18 良興電子 700
11/20 PCHOME 3180</t>
    <phoneticPr fontId="3" type="noConversion"/>
  </si>
  <si>
    <t>(餘 5485)</t>
    <phoneticPr fontId="3" type="noConversion"/>
  </si>
  <si>
    <t>2009.12.9</t>
    <phoneticPr fontId="3" type="noConversion"/>
  </si>
  <si>
    <t>98.12 北平房租-台銀網銀轉帳</t>
    <phoneticPr fontId="3" type="noConversion"/>
  </si>
  <si>
    <r>
      <t xml:space="preserve">48094-4000(饒當初有說一人2000)-30(匯費)=
</t>
    </r>
    <r>
      <rPr>
        <sz val="12"/>
        <color indexed="10"/>
        <rFont val="新細明體"/>
        <family val="1"/>
        <charset val="136"/>
      </rPr>
      <t>44064</t>
    </r>
    <phoneticPr fontId="3" type="noConversion"/>
  </si>
  <si>
    <t>ebay輔助款-詩轉入</t>
    <phoneticPr fontId="3" type="noConversion"/>
  </si>
  <si>
    <t>2009.12.11</t>
    <phoneticPr fontId="3" type="noConversion"/>
  </si>
  <si>
    <t>12月管理費</t>
    <phoneticPr fontId="3" type="noConversion"/>
  </si>
  <si>
    <t>(餘 4280)</t>
    <phoneticPr fontId="3" type="noConversion"/>
  </si>
  <si>
    <t>(餘 4094)</t>
    <phoneticPr fontId="3" type="noConversion"/>
  </si>
  <si>
    <t>扣 11/23, 11/30 $186</t>
    <phoneticPr fontId="3" type="noConversion"/>
  </si>
  <si>
    <t>2009.12.14</t>
    <phoneticPr fontId="3" type="noConversion"/>
  </si>
  <si>
    <t>張預領獎金-(11月裝 海特, 喜可, 展鑫)</t>
    <phoneticPr fontId="3" type="noConversion"/>
  </si>
  <si>
    <t>SO-NET 12月帳單</t>
    <phoneticPr fontId="3" type="noConversion"/>
  </si>
  <si>
    <t>計程車費-愛浪裝機</t>
    <phoneticPr fontId="3" type="noConversion"/>
  </si>
  <si>
    <t>計程車費-愛浪裝機</t>
    <phoneticPr fontId="3" type="noConversion"/>
  </si>
  <si>
    <t>(餘 3330)</t>
    <phoneticPr fontId="3" type="noConversion"/>
  </si>
  <si>
    <t>(餘 2665)</t>
    <phoneticPr fontId="3" type="noConversion"/>
  </si>
  <si>
    <t>扣 11/18, 11/20 $665</t>
    <phoneticPr fontId="3" type="noConversion"/>
  </si>
  <si>
    <t>2009.12.29</t>
    <phoneticPr fontId="3" type="noConversion"/>
  </si>
  <si>
    <t>計程車費-崴凌裝機</t>
    <phoneticPr fontId="3" type="noConversion"/>
  </si>
  <si>
    <t>(餘 2370)</t>
    <phoneticPr fontId="3" type="noConversion"/>
  </si>
  <si>
    <t>2009.12.30</t>
    <phoneticPr fontId="3" type="noConversion"/>
  </si>
  <si>
    <t>2010.1~2月發票</t>
    <phoneticPr fontId="3" type="noConversion"/>
  </si>
  <si>
    <t>悠遊卡儲值</t>
    <phoneticPr fontId="3" type="noConversion"/>
  </si>
  <si>
    <t>易付卡</t>
    <phoneticPr fontId="3" type="noConversion"/>
  </si>
  <si>
    <t>(餘1552)</t>
    <phoneticPr fontId="3" type="noConversion"/>
  </si>
  <si>
    <t>ADA要還500</t>
    <phoneticPr fontId="3" type="noConversion"/>
  </si>
  <si>
    <t>2009.12.31</t>
    <phoneticPr fontId="3" type="noConversion"/>
  </si>
  <si>
    <t>邁登維修車資</t>
    <phoneticPr fontId="3" type="noConversion"/>
  </si>
  <si>
    <t>(餘1092)</t>
    <phoneticPr fontId="3" type="noConversion"/>
  </si>
  <si>
    <t>DV--&gt;正航(2010-05-19)</t>
    <phoneticPr fontId="3" type="noConversion"/>
  </si>
  <si>
    <t>2010.1.4</t>
    <phoneticPr fontId="3" type="noConversion"/>
  </si>
  <si>
    <t>99.1 北平房租-台銀網銀轉帳</t>
    <phoneticPr fontId="3" type="noConversion"/>
  </si>
  <si>
    <t>2010.1.5</t>
    <phoneticPr fontId="3" type="noConversion"/>
  </si>
  <si>
    <t>邁拓車資</t>
    <phoneticPr fontId="3" type="noConversion"/>
  </si>
  <si>
    <t>(餘567)</t>
    <phoneticPr fontId="3" type="noConversion"/>
  </si>
  <si>
    <t>2010.1.7</t>
    <phoneticPr fontId="3" type="noConversion"/>
  </si>
  <si>
    <t>ADA-EBAY獎金</t>
    <phoneticPr fontId="3" type="noConversion"/>
  </si>
  <si>
    <t>(餘5567)</t>
    <phoneticPr fontId="3" type="noConversion"/>
  </si>
  <si>
    <t>2010.1.11</t>
    <phoneticPr fontId="3" type="noConversion"/>
  </si>
  <si>
    <t>晉偉-12月薪</t>
    <phoneticPr fontId="3" type="noConversion"/>
  </si>
  <si>
    <t>401-98.11/98.12</t>
    <phoneticPr fontId="3" type="noConversion"/>
  </si>
  <si>
    <t>ADA中信代刷-98.12</t>
    <phoneticPr fontId="3" type="noConversion"/>
  </si>
  <si>
    <t>(餘5961)</t>
    <phoneticPr fontId="3" type="noConversion"/>
  </si>
  <si>
    <t>2010.1.13</t>
    <phoneticPr fontId="3" type="noConversion"/>
  </si>
  <si>
    <t>偉力-98.11 健保補繳</t>
    <phoneticPr fontId="3" type="noConversion"/>
  </si>
  <si>
    <t>SO-NET 1月帳單</t>
    <phoneticPr fontId="3" type="noConversion"/>
  </si>
  <si>
    <t>(餘3750)</t>
    <phoneticPr fontId="3" type="noConversion"/>
  </si>
  <si>
    <t>2010.1.14</t>
    <phoneticPr fontId="3" type="noConversion"/>
  </si>
  <si>
    <t>一月水費</t>
    <phoneticPr fontId="3" type="noConversion"/>
  </si>
  <si>
    <t>(餘3576)</t>
    <phoneticPr fontId="3" type="noConversion"/>
  </si>
  <si>
    <t>2010.1.15</t>
    <phoneticPr fontId="3" type="noConversion"/>
  </si>
  <si>
    <t>電池</t>
    <phoneticPr fontId="3" type="noConversion"/>
  </si>
  <si>
    <t>(餘3446)</t>
    <phoneticPr fontId="3" type="noConversion"/>
  </si>
  <si>
    <t>2010.1.19</t>
    <phoneticPr fontId="3" type="noConversion"/>
  </si>
  <si>
    <t>漢聯裝機車資</t>
    <phoneticPr fontId="3" type="noConversion"/>
  </si>
  <si>
    <t>(餘3176)</t>
    <phoneticPr fontId="3" type="noConversion"/>
  </si>
  <si>
    <t>2010.1.25</t>
    <phoneticPr fontId="3" type="noConversion"/>
  </si>
  <si>
    <t>1月管理費</t>
    <phoneticPr fontId="3" type="noConversion"/>
  </si>
  <si>
    <t>(餘1971)</t>
    <phoneticPr fontId="3" type="noConversion"/>
  </si>
  <si>
    <t>2010.1.26</t>
    <phoneticPr fontId="3" type="noConversion"/>
  </si>
  <si>
    <t>SKYPE通話費</t>
    <phoneticPr fontId="3" type="noConversion"/>
  </si>
  <si>
    <t>2010.2.1</t>
    <phoneticPr fontId="3" type="noConversion"/>
  </si>
  <si>
    <t>99.2 北平房租-台銀網銀轉帳</t>
    <phoneticPr fontId="3" type="noConversion"/>
  </si>
  <si>
    <t>2010.2.2</t>
    <phoneticPr fontId="3" type="noConversion"/>
  </si>
  <si>
    <t>達算 98/11 健保</t>
    <phoneticPr fontId="3" type="noConversion"/>
  </si>
  <si>
    <t>(餘388)</t>
    <phoneticPr fontId="3" type="noConversion"/>
  </si>
  <si>
    <t>2010.2.6</t>
    <phoneticPr fontId="3" type="noConversion"/>
  </si>
  <si>
    <t>晉偉-薪-99.01</t>
    <phoneticPr fontId="3" type="noConversion"/>
  </si>
  <si>
    <t>零用金</t>
    <phoneticPr fontId="3" type="noConversion"/>
  </si>
  <si>
    <t>(餘5388)</t>
    <phoneticPr fontId="3" type="noConversion"/>
  </si>
  <si>
    <t>2010.2.9</t>
    <phoneticPr fontId="3" type="noConversion"/>
  </si>
  <si>
    <t>裝機車資-杉坤</t>
    <phoneticPr fontId="3" type="noConversion"/>
  </si>
  <si>
    <t>(餘4888)</t>
    <phoneticPr fontId="3" type="noConversion"/>
  </si>
  <si>
    <t>2010.2.10</t>
    <phoneticPr fontId="3" type="noConversion"/>
  </si>
  <si>
    <t>中信卡款-9901, 達代付</t>
    <phoneticPr fontId="3" type="noConversion"/>
  </si>
  <si>
    <t>2010.3.1</t>
    <phoneticPr fontId="3" type="noConversion"/>
  </si>
  <si>
    <t>99.3 北平房租-台銀網銀轉帳</t>
    <phoneticPr fontId="3" type="noConversion"/>
  </si>
  <si>
    <t>2月管理費</t>
    <phoneticPr fontId="3" type="noConversion"/>
  </si>
  <si>
    <t>3月管理費</t>
    <phoneticPr fontId="3" type="noConversion"/>
  </si>
  <si>
    <t>(餘2478)</t>
    <phoneticPr fontId="3" type="noConversion"/>
  </si>
  <si>
    <t>(餘2278)</t>
    <phoneticPr fontId="3" type="noConversion"/>
  </si>
  <si>
    <t>(2010.1.26 skype點數)</t>
    <phoneticPr fontId="3" type="noConversion"/>
  </si>
  <si>
    <t>2010.3.5</t>
    <phoneticPr fontId="3" type="noConversion"/>
  </si>
  <si>
    <t>繳 401 - 99.01 / 99.02</t>
    <phoneticPr fontId="3" type="noConversion"/>
  </si>
  <si>
    <t>2010.3.8</t>
    <phoneticPr fontId="3" type="noConversion"/>
  </si>
  <si>
    <t>EBAY-郵資禮券</t>
    <phoneticPr fontId="3" type="noConversion"/>
  </si>
  <si>
    <t>(餘11878)</t>
    <phoneticPr fontId="3" type="noConversion"/>
  </si>
  <si>
    <t>達算-饒 98.12 保險費</t>
    <phoneticPr fontId="3" type="noConversion"/>
  </si>
  <si>
    <t>7-11繳款手續費</t>
    <phoneticPr fontId="3" type="noConversion"/>
  </si>
  <si>
    <t>(餘10292)</t>
    <phoneticPr fontId="3" type="noConversion"/>
  </si>
  <si>
    <t>2010.3.10</t>
    <phoneticPr fontId="3" type="noConversion"/>
  </si>
  <si>
    <t>信封</t>
    <phoneticPr fontId="3" type="noConversion"/>
  </si>
  <si>
    <t>5元郵票*14</t>
    <phoneticPr fontId="3" type="noConversion"/>
  </si>
  <si>
    <t>(餘10172)</t>
    <phoneticPr fontId="3" type="noConversion"/>
  </si>
  <si>
    <t>2010.3.11</t>
    <phoneticPr fontId="3" type="noConversion"/>
  </si>
  <si>
    <t>配鎖匙 2* @25</t>
    <phoneticPr fontId="3" type="noConversion"/>
  </si>
  <si>
    <t>SO-NET 2月/3月帳單</t>
    <phoneticPr fontId="3" type="noConversion"/>
  </si>
  <si>
    <t>(餘9324)</t>
    <phoneticPr fontId="3" type="noConversion"/>
  </si>
  <si>
    <t>2010.3.12</t>
    <phoneticPr fontId="3" type="noConversion"/>
  </si>
  <si>
    <t>DV還KV (網銀)</t>
    <phoneticPr fontId="3" type="noConversion"/>
  </si>
  <si>
    <t>2010.3.12</t>
    <phoneticPr fontId="3" type="noConversion"/>
  </si>
  <si>
    <t>DV借用</t>
    <phoneticPr fontId="3" type="noConversion"/>
  </si>
  <si>
    <t>(餘4324)</t>
    <phoneticPr fontId="3" type="noConversion"/>
  </si>
  <si>
    <t>光興裝機(去-$750,回-$250 同一台計程車)</t>
    <phoneticPr fontId="3" type="noConversion"/>
  </si>
  <si>
    <t>(餘3324)</t>
    <phoneticPr fontId="3" type="noConversion"/>
  </si>
  <si>
    <t>2010.3.13</t>
    <phoneticPr fontId="3" type="noConversion"/>
  </si>
  <si>
    <t>甦活謝卡 (張代拿)</t>
    <phoneticPr fontId="3" type="noConversion"/>
  </si>
  <si>
    <t>(餘2925)</t>
    <phoneticPr fontId="3" type="noConversion"/>
  </si>
  <si>
    <t>2010.3.25</t>
    <phoneticPr fontId="3" type="noConversion"/>
  </si>
  <si>
    <t>垃圾袋</t>
    <phoneticPr fontId="3" type="noConversion"/>
  </si>
  <si>
    <t>(餘2835)</t>
    <phoneticPr fontId="3" type="noConversion"/>
  </si>
  <si>
    <t>2010.3.31</t>
    <phoneticPr fontId="3" type="noConversion"/>
  </si>
  <si>
    <t>合約用紙</t>
    <phoneticPr fontId="3" type="noConversion"/>
  </si>
  <si>
    <t>(餘2559)</t>
    <phoneticPr fontId="3" type="noConversion"/>
  </si>
  <si>
    <t>2010.4.1</t>
    <phoneticPr fontId="3" type="noConversion"/>
  </si>
  <si>
    <t>99.4 北平房租-台銀網銀轉帳</t>
    <phoneticPr fontId="3" type="noConversion"/>
  </si>
  <si>
    <t>DV媽 9901~9906(@6000) + 4000紅包</t>
    <phoneticPr fontId="3" type="noConversion"/>
  </si>
  <si>
    <t>99.3.25 愛浪-2 AD9472092 $14175
99.3.10 展鑫-2 AD8667467 $13500
99.3.20 台一-3 GY0961228 $13500
99.3.30 汎輝 UC7098520 $16500
99.3.31 大成-6 AD9924022 $13230
99.3.31 利泰慧-3 EJ0018295 $13500
99.3.15 光興-1 AA3419071 $13500</t>
    <phoneticPr fontId="3" type="noConversion"/>
  </si>
  <si>
    <t>2010.4.6</t>
    <phoneticPr fontId="3" type="noConversion"/>
  </si>
  <si>
    <t>99.3 達 $63796</t>
    <phoneticPr fontId="3" type="noConversion"/>
  </si>
  <si>
    <t>99.3 張 $29000</t>
    <phoneticPr fontId="3" type="noConversion"/>
  </si>
  <si>
    <t>99.3 偉 $23536 (網轉ADA-&gt;4/6 ATM)</t>
    <phoneticPr fontId="3" type="noConversion"/>
  </si>
  <si>
    <t>DMT AFAN0409F (網轉ADA-&gt;4/7 ATM)</t>
    <phoneticPr fontId="3" type="noConversion"/>
  </si>
  <si>
    <t>2010.4.7</t>
    <phoneticPr fontId="3" type="noConversion"/>
  </si>
  <si>
    <t>(華城中-&gt;ADA城中)付健保*3, 餘轉零用金)</t>
    <phoneticPr fontId="3" type="noConversion"/>
  </si>
  <si>
    <t>99年2月追繳補繳中斷投保保費-胡漢玲</t>
    <phoneticPr fontId="3" type="noConversion"/>
  </si>
  <si>
    <t>達算 98/12 健保  (重覆繳抵 99/03 健保)</t>
    <phoneticPr fontId="3" type="noConversion"/>
  </si>
  <si>
    <t>達算 99/01 健保</t>
    <phoneticPr fontId="3" type="noConversion"/>
  </si>
  <si>
    <t>手續費---便利商店繳款</t>
    <phoneticPr fontId="3" type="noConversion"/>
  </si>
  <si>
    <t>手續費---DMT AFAN0409F (網轉ADA-&gt;4/7 ATM)</t>
    <phoneticPr fontId="3" type="noConversion"/>
  </si>
  <si>
    <t>(餘5523)</t>
    <phoneticPr fontId="3" type="noConversion"/>
  </si>
  <si>
    <t>2010.4.9</t>
    <phoneticPr fontId="3" type="noConversion"/>
  </si>
  <si>
    <t>庭田計程車資</t>
    <phoneticPr fontId="3" type="noConversion"/>
  </si>
  <si>
    <t>(餘5323)</t>
    <phoneticPr fontId="3" type="noConversion"/>
  </si>
  <si>
    <t>2010.4.12</t>
    <phoneticPr fontId="3" type="noConversion"/>
  </si>
  <si>
    <t>邁登換RAM-油資</t>
    <phoneticPr fontId="3" type="noConversion"/>
  </si>
  <si>
    <t>(餘5209)</t>
    <phoneticPr fontId="3" type="noConversion"/>
  </si>
  <si>
    <t>2010.4.13</t>
    <phoneticPr fontId="3" type="noConversion"/>
  </si>
  <si>
    <t>4月管理費</t>
    <phoneticPr fontId="3" type="noConversion"/>
  </si>
  <si>
    <t>(餘4004)</t>
    <phoneticPr fontId="3" type="noConversion"/>
  </si>
  <si>
    <t>台銀城中-&gt;ADA,中信代刷 3/2 13328, 3/9 10439</t>
    <phoneticPr fontId="3" type="noConversion"/>
  </si>
  <si>
    <t>2010.4.20</t>
    <phoneticPr fontId="3" type="noConversion"/>
  </si>
  <si>
    <t>楊梅鴻碩裝機-來回各$1300折扣$200(未拿收據)</t>
    <phoneticPr fontId="3" type="noConversion"/>
  </si>
  <si>
    <t>(餘1604)</t>
    <phoneticPr fontId="3" type="noConversion"/>
  </si>
  <si>
    <t>2010.4.22</t>
    <phoneticPr fontId="3" type="noConversion"/>
  </si>
  <si>
    <t>協憶通裝機車資 $75+$95</t>
    <phoneticPr fontId="3" type="noConversion"/>
  </si>
  <si>
    <t>(餘1434)</t>
    <phoneticPr fontId="3" type="noConversion"/>
  </si>
  <si>
    <t>2010.4.26</t>
    <phoneticPr fontId="3" type="noConversion"/>
  </si>
  <si>
    <t>友士-AD6284641-2010.4.26-16380-2010.4.23收</t>
    <phoneticPr fontId="3" type="noConversion"/>
  </si>
  <si>
    <t>威視-UW1130322-2010.4.1-4725-14</t>
    <phoneticPr fontId="3" type="noConversion"/>
  </si>
  <si>
    <t>益睿-AW1743257-2010.4.15-11340-6</t>
    <phoneticPr fontId="3" type="noConversion"/>
  </si>
  <si>
    <t>廣豪-BC4853944-2010.4.18-9450-1</t>
    <phoneticPr fontId="3" type="noConversion"/>
  </si>
  <si>
    <t>漢聯-AA3825077-2010.4.19-14175-2</t>
    <phoneticPr fontId="3" type="noConversion"/>
  </si>
  <si>
    <t>邁拓-AD7325163-2010.4.1-14175-2</t>
    <phoneticPr fontId="3" type="noConversion"/>
  </si>
  <si>
    <t>2010.4.29</t>
    <phoneticPr fontId="3" type="noConversion"/>
  </si>
  <si>
    <t>威倫裝機車資-155/165(未裝成)</t>
    <phoneticPr fontId="3" type="noConversion"/>
  </si>
  <si>
    <t>(餘1114)</t>
    <phoneticPr fontId="3" type="noConversion"/>
  </si>
  <si>
    <t>2010.4.30</t>
    <phoneticPr fontId="3" type="noConversion"/>
  </si>
  <si>
    <t>西拓-XA4812373-2010.4.30-12600-4</t>
    <phoneticPr fontId="3" type="noConversion"/>
  </si>
  <si>
    <t>歐視-CN2143983-2010.4.30-11340-3</t>
    <phoneticPr fontId="3" type="noConversion"/>
  </si>
  <si>
    <t>達翌-BA4419092-2010.4.30-10800-1</t>
    <phoneticPr fontId="3" type="noConversion"/>
  </si>
  <si>
    <t>鴻碩-HS0131170-2010.4.30-14175-1 20100420-0719</t>
    <phoneticPr fontId="3" type="noConversion"/>
  </si>
  <si>
    <t>喜可-AA1156112-2010.4.30-14175-3</t>
    <phoneticPr fontId="3" type="noConversion"/>
  </si>
  <si>
    <t>2010.5.3</t>
    <phoneticPr fontId="3" type="noConversion"/>
  </si>
  <si>
    <t>99.5 北平房租-台銀網銀轉帳</t>
    <phoneticPr fontId="3" type="noConversion"/>
  </si>
  <si>
    <t>99.5~6月發票</t>
    <phoneticPr fontId="3" type="noConversion"/>
  </si>
  <si>
    <t>(餘1096)</t>
    <phoneticPr fontId="3" type="noConversion"/>
  </si>
  <si>
    <t>2010.5.4</t>
    <phoneticPr fontId="3" type="noConversion"/>
  </si>
  <si>
    <t>寄接頭/膠帶/修正帶給詩貨運費</t>
    <phoneticPr fontId="3" type="noConversion"/>
  </si>
  <si>
    <t>(餘986)</t>
    <phoneticPr fontId="3" type="noConversion"/>
  </si>
  <si>
    <t>2010.5.5</t>
    <phoneticPr fontId="3" type="noConversion"/>
  </si>
  <si>
    <t>99.4 張</t>
    <phoneticPr fontId="3" type="noConversion"/>
  </si>
  <si>
    <t>99.4 達</t>
    <phoneticPr fontId="3" type="noConversion"/>
  </si>
  <si>
    <t>99.4 晉</t>
    <phoneticPr fontId="3" type="noConversion"/>
  </si>
  <si>
    <t>零用金</t>
    <phoneticPr fontId="3" type="noConversion"/>
  </si>
  <si>
    <t>(餘5986)</t>
    <phoneticPr fontId="3" type="noConversion"/>
  </si>
  <si>
    <t>2010.5.6</t>
    <phoneticPr fontId="3" type="noConversion"/>
  </si>
  <si>
    <t>威倫裝機車資-165/185</t>
    <phoneticPr fontId="3" type="noConversion"/>
  </si>
  <si>
    <t>(餘5636)</t>
    <phoneticPr fontId="3" type="noConversion"/>
  </si>
  <si>
    <t>99.4-401費用轉達</t>
    <phoneticPr fontId="3" type="noConversion"/>
  </si>
  <si>
    <t>2010.5.10</t>
    <phoneticPr fontId="3" type="noConversion"/>
  </si>
  <si>
    <t>99.4-401費用繳款</t>
    <phoneticPr fontId="3" type="noConversion"/>
  </si>
  <si>
    <t>25元郵票*8張</t>
    <phoneticPr fontId="3" type="noConversion"/>
  </si>
  <si>
    <t>(餘5436)</t>
    <phoneticPr fontId="3" type="noConversion"/>
  </si>
  <si>
    <t>5月管理費</t>
    <phoneticPr fontId="3" type="noConversion"/>
  </si>
  <si>
    <t>(餘4231)</t>
    <phoneticPr fontId="3" type="noConversion"/>
  </si>
  <si>
    <t>2010.5.11</t>
    <phoneticPr fontId="3" type="noConversion"/>
  </si>
  <si>
    <t>DV-媽紅包,台銀城中-&gt;達領現</t>
    <phoneticPr fontId="3" type="noConversion"/>
  </si>
  <si>
    <t>skype 帳號 koofficecn 點數 - 張用</t>
    <phoneticPr fontId="3" type="noConversion"/>
  </si>
  <si>
    <t>(餘4132)</t>
    <phoneticPr fontId="3" type="noConversion"/>
  </si>
  <si>
    <t>達算 99/02 健保</t>
    <phoneticPr fontId="3" type="noConversion"/>
  </si>
  <si>
    <t>(餘2549)</t>
    <phoneticPr fontId="3" type="noConversion"/>
  </si>
  <si>
    <t>2010.5.13</t>
    <phoneticPr fontId="3" type="noConversion"/>
  </si>
  <si>
    <t>SO-NET 4月帳單</t>
    <phoneticPr fontId="3" type="noConversion"/>
  </si>
  <si>
    <t>SO-NET 5月帳單</t>
    <phoneticPr fontId="3" type="noConversion"/>
  </si>
  <si>
    <t>(餘1751)</t>
    <phoneticPr fontId="3" type="noConversion"/>
  </si>
  <si>
    <t>2010.5.19</t>
    <phoneticPr fontId="3" type="noConversion"/>
  </si>
  <si>
    <t>(餘1642)</t>
    <phoneticPr fontId="3" type="noConversion"/>
  </si>
  <si>
    <t>2010.5.24</t>
    <phoneticPr fontId="3" type="noConversion"/>
  </si>
  <si>
    <t>98.2 房租稅金2600 + 利息 $39</t>
    <phoneticPr fontId="3" type="noConversion"/>
  </si>
  <si>
    <t>2010.5.24</t>
    <phoneticPr fontId="3" type="noConversion"/>
  </si>
  <si>
    <t>大阪京維護油資</t>
    <phoneticPr fontId="3" type="noConversion"/>
  </si>
  <si>
    <t>大阪京維護機車停車費</t>
    <phoneticPr fontId="3" type="noConversion"/>
  </si>
  <si>
    <t>(餘1518)</t>
    <phoneticPr fontId="3" type="noConversion"/>
  </si>
  <si>
    <t>2010.5.25</t>
    <phoneticPr fontId="3" type="noConversion"/>
  </si>
  <si>
    <t>文具</t>
    <phoneticPr fontId="3" type="noConversion"/>
  </si>
  <si>
    <t>(餘1453)</t>
    <phoneticPr fontId="3" type="noConversion"/>
  </si>
  <si>
    <t>2010.5.26</t>
    <phoneticPr fontId="3" type="noConversion"/>
  </si>
  <si>
    <t>報稅影印</t>
    <phoneticPr fontId="3" type="noConversion"/>
  </si>
  <si>
    <t>(餘1370)</t>
    <phoneticPr fontId="3" type="noConversion"/>
  </si>
  <si>
    <t>品固裝機計程車車資</t>
    <phoneticPr fontId="3" type="noConversion"/>
  </si>
  <si>
    <t>品固裝機計程車車資</t>
    <phoneticPr fontId="3" type="noConversion"/>
  </si>
  <si>
    <t>(餘990)</t>
    <phoneticPr fontId="3" type="noConversion"/>
  </si>
  <si>
    <t>2010.5.27</t>
    <phoneticPr fontId="3" type="noConversion"/>
  </si>
  <si>
    <t>報稅計程車資</t>
    <phoneticPr fontId="3" type="noConversion"/>
  </si>
  <si>
    <t>報稅計程車資</t>
    <phoneticPr fontId="3" type="noConversion"/>
  </si>
  <si>
    <t>(餘805)</t>
    <phoneticPr fontId="3" type="noConversion"/>
  </si>
  <si>
    <t>2010.6.1</t>
    <phoneticPr fontId="3" type="noConversion"/>
  </si>
  <si>
    <t>99.6 北平房租-台銀網銀轉帳</t>
    <phoneticPr fontId="3" type="noConversion"/>
  </si>
  <si>
    <t>2010.6.3</t>
    <phoneticPr fontId="3" type="noConversion"/>
  </si>
  <si>
    <t>道法裝機計程車車資</t>
    <phoneticPr fontId="3" type="noConversion"/>
  </si>
  <si>
    <t>(餘575)</t>
    <phoneticPr fontId="3" type="noConversion"/>
  </si>
  <si>
    <t>零用金</t>
    <phoneticPr fontId="3" type="noConversion"/>
  </si>
  <si>
    <t>(餘5575)</t>
    <phoneticPr fontId="3" type="noConversion"/>
  </si>
  <si>
    <t>2010.6.7</t>
    <phoneticPr fontId="3" type="noConversion"/>
  </si>
  <si>
    <t>99.5 張</t>
    <phoneticPr fontId="3" type="noConversion"/>
  </si>
  <si>
    <t>99.5 達</t>
    <phoneticPr fontId="3" type="noConversion"/>
  </si>
  <si>
    <t>99.5 晉</t>
    <phoneticPr fontId="3" type="noConversion"/>
  </si>
  <si>
    <t>2010.6.8</t>
    <phoneticPr fontId="3" type="noConversion"/>
  </si>
  <si>
    <t>3月水費逾期補繳</t>
    <phoneticPr fontId="3" type="noConversion"/>
  </si>
  <si>
    <t>(餘5238)</t>
    <phoneticPr fontId="3" type="noConversion"/>
  </si>
  <si>
    <t>2010.6.9</t>
    <phoneticPr fontId="3" type="noConversion"/>
  </si>
  <si>
    <t>FAX傳真紙</t>
    <phoneticPr fontId="3" type="noConversion"/>
  </si>
  <si>
    <t>(餘5168)</t>
    <phoneticPr fontId="3" type="noConversion"/>
  </si>
  <si>
    <t>2010.6.10</t>
    <phoneticPr fontId="3" type="noConversion"/>
  </si>
  <si>
    <t>中信卡款-9905, 達代付 ($26533欠達$6533) 7.30 己還</t>
    <phoneticPr fontId="3" type="noConversion"/>
  </si>
  <si>
    <t>2010.6.15</t>
    <phoneticPr fontId="3" type="noConversion"/>
  </si>
  <si>
    <t>愛浪II裝機計程車車資</t>
    <phoneticPr fontId="3" type="noConversion"/>
  </si>
  <si>
    <t>(餘4803)</t>
    <phoneticPr fontId="3" type="noConversion"/>
  </si>
  <si>
    <t>2010.6.14</t>
    <phoneticPr fontId="3" type="noConversion"/>
  </si>
  <si>
    <t>饒媽 99.7-99.12 零用</t>
    <phoneticPr fontId="3" type="noConversion"/>
  </si>
  <si>
    <t>2010.6.18</t>
    <phoneticPr fontId="3" type="noConversion"/>
  </si>
  <si>
    <t>6月管理費</t>
    <phoneticPr fontId="3" type="noConversion"/>
  </si>
  <si>
    <t>(餘3598)</t>
    <phoneticPr fontId="3" type="noConversion"/>
  </si>
  <si>
    <t>2010.6.22</t>
    <phoneticPr fontId="3" type="noConversion"/>
  </si>
  <si>
    <t>庭田合約發票掛號</t>
    <phoneticPr fontId="3" type="noConversion"/>
  </si>
  <si>
    <t>(餘3563)</t>
    <phoneticPr fontId="3" type="noConversion"/>
  </si>
  <si>
    <t>2010.6.23</t>
    <phoneticPr fontId="3" type="noConversion"/>
  </si>
  <si>
    <t>方還DV錢(6/3借 2千RMB還一萬NT)</t>
    <phoneticPr fontId="3" type="noConversion"/>
  </si>
  <si>
    <t>(餘13563)</t>
    <phoneticPr fontId="3" type="noConversion"/>
  </si>
  <si>
    <t>2010.6.28</t>
    <phoneticPr fontId="3" type="noConversion"/>
  </si>
  <si>
    <t>殺蟲劑</t>
    <phoneticPr fontId="3" type="noConversion"/>
  </si>
  <si>
    <t>白膠帶</t>
    <phoneticPr fontId="3" type="noConversion"/>
  </si>
  <si>
    <t>(餘13386)</t>
    <phoneticPr fontId="3" type="noConversion"/>
  </si>
  <si>
    <t>2010.7.1</t>
    <phoneticPr fontId="3" type="noConversion"/>
  </si>
  <si>
    <t>99.7 北平房租-台銀網銀轉帳</t>
    <phoneticPr fontId="3" type="noConversion"/>
  </si>
  <si>
    <t>客服台灣大哥大補充卡儲存延長半年至2011.1.2</t>
    <phoneticPr fontId="3" type="noConversion"/>
  </si>
  <si>
    <t>(餘13086)</t>
    <phoneticPr fontId="3" type="noConversion"/>
  </si>
  <si>
    <t>(補回$125)</t>
    <phoneticPr fontId="3" type="noConversion"/>
  </si>
  <si>
    <t>2010.7.5</t>
    <phoneticPr fontId="3" type="noConversion"/>
  </si>
  <si>
    <t>99.6 張</t>
    <phoneticPr fontId="3" type="noConversion"/>
  </si>
  <si>
    <t>99.6 達</t>
    <phoneticPr fontId="3" type="noConversion"/>
  </si>
  <si>
    <t>99.6 晉</t>
    <phoneticPr fontId="3" type="noConversion"/>
  </si>
  <si>
    <t>2010.7.6</t>
    <phoneticPr fontId="3" type="noConversion"/>
  </si>
  <si>
    <t>99.5.22 dv 拍賣</t>
    <phoneticPr fontId="3" type="noConversion"/>
  </si>
  <si>
    <t>99.6.14 dv 拍賣</t>
    <phoneticPr fontId="3" type="noConversion"/>
  </si>
  <si>
    <t>(餘23061)</t>
    <phoneticPr fontId="3" type="noConversion"/>
  </si>
  <si>
    <t>2010.7.8</t>
    <phoneticPr fontId="3" type="noConversion"/>
  </si>
  <si>
    <t>99.7水費</t>
    <phoneticPr fontId="3" type="noConversion"/>
  </si>
  <si>
    <t>(餘22882)</t>
    <phoneticPr fontId="3" type="noConversion"/>
  </si>
  <si>
    <t>中信卡款-9906, 達代付</t>
    <phoneticPr fontId="3" type="noConversion"/>
  </si>
  <si>
    <t>2010.7.9</t>
    <phoneticPr fontId="3" type="noConversion"/>
  </si>
  <si>
    <t>99.6-401費用繳款, 達代付 (欠達$37020) 7.30 己還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</si>
  <si>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$6000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</si>
  <si>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7月管理費</t>
    <phoneticPr fontId="3" type="noConversion"/>
  </si>
  <si>
    <t>(餘21677)</t>
    <phoneticPr fontId="3" type="noConversion"/>
  </si>
  <si>
    <t>2010.7.14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</si>
  <si>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$150000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</si>
  <si>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2010.7.15</t>
    <phoneticPr fontId="3" type="noConversion"/>
  </si>
  <si>
    <t>99.7-8月發票</t>
    <phoneticPr fontId="3" type="noConversion"/>
  </si>
  <si>
    <t>(餘21659)</t>
    <phoneticPr fontId="3" type="noConversion"/>
  </si>
  <si>
    <t>2010.7.21</t>
    <phoneticPr fontId="3" type="noConversion"/>
  </si>
  <si>
    <t>SO-NET 6月帳單</t>
    <phoneticPr fontId="3" type="noConversion"/>
  </si>
  <si>
    <t>SO-NET 7月帳單</t>
    <phoneticPr fontId="3" type="noConversion"/>
  </si>
  <si>
    <t>(餘20861)</t>
    <phoneticPr fontId="3" type="noConversion"/>
  </si>
  <si>
    <t>2010.7.23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</si>
  <si>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$162016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</si>
  <si>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2010.7.27</t>
    <phoneticPr fontId="3" type="noConversion"/>
  </si>
  <si>
    <t>台一換網線機車油資</t>
    <phoneticPr fontId="3" type="noConversion"/>
  </si>
  <si>
    <t>(餘20776)</t>
    <phoneticPr fontId="3" type="noConversion"/>
  </si>
  <si>
    <t>2010.7.30</t>
    <phoneticPr fontId="3" type="noConversion"/>
  </si>
  <si>
    <t>NU.PP -&gt; 達台銀 -&gt; 華台銀</t>
    <phoneticPr fontId="3" type="noConversion"/>
  </si>
  <si>
    <r>
      <rPr>
        <strike/>
        <sz val="12"/>
        <rFont val="新細明體"/>
        <family val="1"/>
        <charset val="136"/>
      </rPr>
      <t>162016</t>
    </r>
    <r>
      <rPr>
        <sz val="12"/>
        <rFont val="新細明體"/>
        <family val="1"/>
        <charset val="136"/>
      </rPr>
      <t xml:space="preserve">
118463</t>
    </r>
    <phoneticPr fontId="3" type="noConversion"/>
  </si>
  <si>
    <t>NU.PP -&gt; 達台銀 -&gt; 華台銀(扣 6.10 $6533, 7.9 $37020)</t>
    <phoneticPr fontId="3" type="noConversion"/>
  </si>
  <si>
    <t>2010.8.2</t>
    <phoneticPr fontId="3" type="noConversion"/>
  </si>
  <si>
    <t>99.8 北平房租-台銀網銀轉帳</t>
    <phoneticPr fontId="3" type="noConversion"/>
  </si>
  <si>
    <t>2010.8.5</t>
    <phoneticPr fontId="3" type="noConversion"/>
  </si>
  <si>
    <t>99.7 永</t>
    <phoneticPr fontId="3" type="noConversion"/>
  </si>
  <si>
    <t>2010.8.9</t>
    <phoneticPr fontId="3" type="noConversion"/>
  </si>
  <si>
    <t>歐視維修油資</t>
    <phoneticPr fontId="3" type="noConversion"/>
  </si>
  <si>
    <t>A4報表紙</t>
    <phoneticPr fontId="3" type="noConversion"/>
  </si>
  <si>
    <t>(餘20546)</t>
    <phoneticPr fontId="3" type="noConversion"/>
  </si>
  <si>
    <t>2010.8.10</t>
    <phoneticPr fontId="3" type="noConversion"/>
  </si>
  <si>
    <t>賣偉力HD-320G</t>
    <phoneticPr fontId="3" type="noConversion"/>
  </si>
  <si>
    <t>(餘22105)</t>
    <phoneticPr fontId="3" type="noConversion"/>
  </si>
  <si>
    <t>2010.8.12</t>
    <phoneticPr fontId="3" type="noConversion"/>
  </si>
  <si>
    <t>8月管理費</t>
    <phoneticPr fontId="3" type="noConversion"/>
  </si>
  <si>
    <t>(餘20900)</t>
    <phoneticPr fontId="3" type="noConversion"/>
  </si>
  <si>
    <t>垃圾袋*2</t>
    <phoneticPr fontId="3" type="noConversion"/>
  </si>
  <si>
    <t>(餘20810)</t>
    <phoneticPr fontId="3" type="noConversion"/>
  </si>
  <si>
    <t>2010.8.16</t>
    <phoneticPr fontId="3" type="noConversion"/>
  </si>
  <si>
    <t>中信卡款-9907, 達代付</t>
    <phoneticPr fontId="3" type="noConversion"/>
  </si>
  <si>
    <t>2010.8.17</t>
    <phoneticPr fontId="3" type="noConversion"/>
  </si>
  <si>
    <t>台銀-華 -&gt; 郵局饒</t>
    <phoneticPr fontId="3" type="noConversion"/>
  </si>
  <si>
    <t>(實際為318016)</t>
    <phoneticPr fontId="3" type="noConversion"/>
  </si>
  <si>
    <t>(餘20780)</t>
    <phoneticPr fontId="3" type="noConversion"/>
  </si>
  <si>
    <t>2010.8.17</t>
    <phoneticPr fontId="3" type="noConversion"/>
  </si>
  <si>
    <t>戈采裝機計程車資</t>
    <phoneticPr fontId="3" type="noConversion"/>
  </si>
  <si>
    <t>(餘20570)</t>
    <phoneticPr fontId="3" type="noConversion"/>
  </si>
  <si>
    <t>2010.8.18</t>
    <phoneticPr fontId="3" type="noConversion"/>
  </si>
  <si>
    <t>太暘裝機計程車資</t>
    <phoneticPr fontId="3" type="noConversion"/>
  </si>
  <si>
    <t>(餘19830)</t>
    <phoneticPr fontId="3" type="noConversion"/>
  </si>
  <si>
    <t>庭田裝機計程車資</t>
    <phoneticPr fontId="3" type="noConversion"/>
  </si>
  <si>
    <t>(餘19440)</t>
    <phoneticPr fontId="3" type="noConversion"/>
  </si>
  <si>
    <t>2010.8.25</t>
    <phoneticPr fontId="3" type="noConversion"/>
  </si>
  <si>
    <t>詩寄DV行李</t>
    <phoneticPr fontId="3" type="noConversion"/>
  </si>
  <si>
    <t>(餘19320)</t>
    <phoneticPr fontId="3" type="noConversion"/>
  </si>
  <si>
    <t>2010.8.26</t>
    <phoneticPr fontId="3" type="noConversion"/>
  </si>
  <si>
    <t>寄誠全合約.發票限掛</t>
    <phoneticPr fontId="3" type="noConversion"/>
  </si>
  <si>
    <t>25元郵票20張</t>
    <phoneticPr fontId="3" type="noConversion"/>
  </si>
  <si>
    <t>(餘18778)</t>
    <phoneticPr fontId="3" type="noConversion"/>
  </si>
  <si>
    <t>2010.8.30</t>
    <phoneticPr fontId="3" type="noConversion"/>
  </si>
  <si>
    <t>寄泰聯合約.發票限掛</t>
    <phoneticPr fontId="3" type="noConversion"/>
  </si>
  <si>
    <t>(餘18736)</t>
    <phoneticPr fontId="3" type="noConversion"/>
  </si>
  <si>
    <t>2010.9.1</t>
    <phoneticPr fontId="3" type="noConversion"/>
  </si>
  <si>
    <t>99.9 北平房租-台銀網銀轉帳</t>
    <phoneticPr fontId="3" type="noConversion"/>
  </si>
  <si>
    <t>2010.9.1</t>
    <phoneticPr fontId="3" type="noConversion"/>
  </si>
  <si>
    <t>匯怡和保全手續費</t>
    <phoneticPr fontId="3" type="noConversion"/>
  </si>
  <si>
    <t>(餘18706)</t>
    <phoneticPr fontId="3" type="noConversion"/>
  </si>
  <si>
    <t>2010.9.6</t>
    <phoneticPr fontId="3" type="noConversion"/>
  </si>
  <si>
    <t>99.8 達</t>
    <phoneticPr fontId="3" type="noConversion"/>
  </si>
  <si>
    <t>99.8 永</t>
    <phoneticPr fontId="3" type="noConversion"/>
  </si>
  <si>
    <t>99.8 証</t>
    <phoneticPr fontId="3" type="noConversion"/>
  </si>
  <si>
    <t>橡皮章-達算支票背書</t>
    <phoneticPr fontId="3" type="noConversion"/>
  </si>
  <si>
    <t>(餘8496)</t>
    <phoneticPr fontId="3" type="noConversion"/>
  </si>
  <si>
    <t>99.9.8 $8520 多24</t>
    <phoneticPr fontId="3" type="noConversion"/>
  </si>
  <si>
    <t>$17420---401-7/8月 ADA代墊-2010/09/20己還</t>
    <phoneticPr fontId="3" type="noConversion"/>
  </si>
  <si>
    <t>2010.9.8</t>
    <phoneticPr fontId="3" type="noConversion"/>
  </si>
  <si>
    <t>掛號費-恩豪合約發票</t>
    <phoneticPr fontId="3" type="noConversion"/>
  </si>
  <si>
    <t>(餘8451)</t>
    <phoneticPr fontId="3" type="noConversion"/>
  </si>
  <si>
    <t>2010.9.15</t>
    <phoneticPr fontId="3" type="noConversion"/>
  </si>
  <si>
    <t>9月管理費</t>
    <phoneticPr fontId="3" type="noConversion"/>
  </si>
  <si>
    <t>SO-NET 9月帳單</t>
    <phoneticPr fontId="3" type="noConversion"/>
  </si>
  <si>
    <t>回收塑膠袋</t>
    <phoneticPr fontId="3" type="noConversion"/>
  </si>
  <si>
    <t>(餘6271)</t>
    <phoneticPr fontId="3" type="noConversion"/>
  </si>
  <si>
    <t>2010.9.20</t>
    <phoneticPr fontId="3" type="noConversion"/>
  </si>
  <si>
    <t>401-99-7/8月 還ADA0906代墊</t>
    <phoneticPr fontId="3" type="noConversion"/>
  </si>
  <si>
    <t>中信卡款-9908, 達代付</t>
    <phoneticPr fontId="3" type="noConversion"/>
  </si>
  <si>
    <t>2010.9.21</t>
    <phoneticPr fontId="3" type="noConversion"/>
  </si>
  <si>
    <t>99.9 中秋禮券-永誠</t>
    <phoneticPr fontId="3" type="noConversion"/>
  </si>
  <si>
    <t>(餘5771)</t>
    <phoneticPr fontId="3" type="noConversion"/>
  </si>
  <si>
    <t>2010.9.29</t>
    <phoneticPr fontId="3" type="noConversion"/>
  </si>
  <si>
    <t>限掛-城乙合約發票</t>
    <phoneticPr fontId="3" type="noConversion"/>
  </si>
  <si>
    <t>(餘5729)</t>
    <phoneticPr fontId="3" type="noConversion"/>
  </si>
  <si>
    <t>2010.10.1</t>
    <phoneticPr fontId="3" type="noConversion"/>
  </si>
  <si>
    <t>2010.10.4</t>
    <phoneticPr fontId="3" type="noConversion"/>
  </si>
  <si>
    <t>旺旺達裝機計程車資-去到舊地址板橋</t>
    <phoneticPr fontId="3" type="noConversion"/>
  </si>
  <si>
    <t>旺旺達裝機計程車資-新地址中和</t>
    <phoneticPr fontId="3" type="noConversion"/>
  </si>
  <si>
    <t>旺旺達裝機計程車資</t>
    <phoneticPr fontId="3" type="noConversion"/>
  </si>
  <si>
    <t>(餘5034)</t>
    <phoneticPr fontId="3" type="noConversion"/>
  </si>
  <si>
    <t>掛號-恩豪合約</t>
    <phoneticPr fontId="3" type="noConversion"/>
  </si>
  <si>
    <t>(餘4929)</t>
    <phoneticPr fontId="3" type="noConversion"/>
  </si>
  <si>
    <t>2010.10.5</t>
    <phoneticPr fontId="3" type="noConversion"/>
  </si>
  <si>
    <t>99.9 証</t>
    <phoneticPr fontId="3" type="noConversion"/>
  </si>
  <si>
    <t>99.9 永</t>
    <phoneticPr fontId="3" type="noConversion"/>
  </si>
  <si>
    <t>99.9 達</t>
    <phoneticPr fontId="3" type="noConversion"/>
  </si>
  <si>
    <t>2010.10.9</t>
    <phoneticPr fontId="3" type="noConversion"/>
  </si>
  <si>
    <t>99.9 card ada代刷 (含代PT刷uni-case.com NT$371 +8)</t>
    <phoneticPr fontId="3" type="noConversion"/>
  </si>
  <si>
    <t>(餘3724)</t>
    <phoneticPr fontId="3" type="noConversion"/>
  </si>
  <si>
    <t>2010.11.1</t>
    <phoneticPr fontId="3" type="noConversion"/>
  </si>
  <si>
    <t>99.11 北平房租-台銀網銀轉帳</t>
    <phoneticPr fontId="3" type="noConversion"/>
  </si>
  <si>
    <t>2010.11.2</t>
    <phoneticPr fontId="3" type="noConversion"/>
  </si>
  <si>
    <t>99.11~12 購買發票</t>
    <phoneticPr fontId="3" type="noConversion"/>
  </si>
  <si>
    <t>(餘3706)</t>
    <phoneticPr fontId="3" type="noConversion"/>
  </si>
  <si>
    <t>2010.11.3</t>
    <phoneticPr fontId="3" type="noConversion"/>
  </si>
  <si>
    <t>401.9909.9910 先轉ADA繳便利商店</t>
    <phoneticPr fontId="3" type="noConversion"/>
  </si>
  <si>
    <t xml:space="preserve"> </t>
    <phoneticPr fontId="3" type="noConversion"/>
  </si>
  <si>
    <t>2010.11.4</t>
    <phoneticPr fontId="3" type="noConversion"/>
  </si>
  <si>
    <t>9月水費</t>
    <phoneticPr fontId="3" type="noConversion"/>
  </si>
  <si>
    <t>(餘3549)</t>
    <phoneticPr fontId="3" type="noConversion"/>
  </si>
  <si>
    <t>2010.11.5</t>
    <phoneticPr fontId="3" type="noConversion"/>
  </si>
  <si>
    <t>99.10 証</t>
    <phoneticPr fontId="3" type="noConversion"/>
  </si>
  <si>
    <t>99.10 永</t>
    <phoneticPr fontId="3" type="noConversion"/>
  </si>
  <si>
    <t>99.10 達</t>
    <phoneticPr fontId="3" type="noConversion"/>
  </si>
  <si>
    <t>2010.11.9</t>
    <phoneticPr fontId="3" type="noConversion"/>
  </si>
  <si>
    <t>利明裝機計程車資</t>
    <phoneticPr fontId="3" type="noConversion"/>
  </si>
  <si>
    <t>(餘3064)</t>
    <phoneticPr fontId="3" type="noConversion"/>
  </si>
  <si>
    <t>2010.11.10</t>
    <phoneticPr fontId="3" type="noConversion"/>
  </si>
  <si>
    <t>99.10 card ada代刷</t>
    <phoneticPr fontId="3" type="noConversion"/>
  </si>
  <si>
    <t>2010.11.11</t>
    <phoneticPr fontId="3" type="noConversion"/>
  </si>
  <si>
    <t>裕恆裝機計程車資</t>
    <phoneticPr fontId="3" type="noConversion"/>
  </si>
  <si>
    <t>裕恆裝機計程車資</t>
    <phoneticPr fontId="3" type="noConversion"/>
  </si>
  <si>
    <t>(餘2819)</t>
    <phoneticPr fontId="3" type="noConversion"/>
  </si>
  <si>
    <t>2010.11.16</t>
    <phoneticPr fontId="3" type="noConversion"/>
  </si>
  <si>
    <t>八亨裝機計程車資</t>
    <phoneticPr fontId="3" type="noConversion"/>
  </si>
  <si>
    <t>八亨裝機計程車資</t>
    <phoneticPr fontId="3" type="noConversion"/>
  </si>
  <si>
    <t>(餘2159)</t>
    <phoneticPr fontId="3" type="noConversion"/>
  </si>
  <si>
    <t>2010.11.19</t>
    <phoneticPr fontId="3" type="noConversion"/>
  </si>
  <si>
    <t>零用金轉ada</t>
    <phoneticPr fontId="3" type="noConversion"/>
  </si>
  <si>
    <t>99.11 水費(含99.10已繳 157算溢繳)</t>
    <phoneticPr fontId="3" type="noConversion"/>
  </si>
  <si>
    <t>99.10 99.11 SONET月費</t>
    <phoneticPr fontId="3" type="noConversion"/>
  </si>
  <si>
    <t>(餘5872)</t>
    <phoneticPr fontId="3" type="noConversion"/>
  </si>
  <si>
    <t>2010.11.22</t>
    <phoneticPr fontId="3" type="noConversion"/>
  </si>
  <si>
    <t>11月管理費</t>
    <phoneticPr fontId="3" type="noConversion"/>
  </si>
  <si>
    <t>(餘4667)</t>
    <phoneticPr fontId="3" type="noConversion"/>
  </si>
  <si>
    <t>轉饒媽零用金 (2011.3.16 記紅包)</t>
    <phoneticPr fontId="3" type="noConversion"/>
  </si>
  <si>
    <t>2010.12.1</t>
    <phoneticPr fontId="3" type="noConversion"/>
  </si>
  <si>
    <t>99.12 北平房租-台銀網銀轉帳</t>
    <phoneticPr fontId="3" type="noConversion"/>
  </si>
  <si>
    <t>2010.12.2</t>
    <phoneticPr fontId="3" type="noConversion"/>
  </si>
  <si>
    <t>邁登換機計程車資</t>
    <phoneticPr fontId="3" type="noConversion"/>
  </si>
  <si>
    <t>(餘4222)</t>
    <phoneticPr fontId="3" type="noConversion"/>
  </si>
  <si>
    <t>2010.12.3</t>
    <phoneticPr fontId="3" type="noConversion"/>
  </si>
  <si>
    <t>邁登掛號郵資</t>
    <phoneticPr fontId="3" type="noConversion"/>
  </si>
  <si>
    <t>(餘4177)</t>
    <phoneticPr fontId="3" type="noConversion"/>
  </si>
  <si>
    <t>2010.12.6</t>
    <phoneticPr fontId="3" type="noConversion"/>
  </si>
  <si>
    <t>台銀.信義 領現給方 (方在cn給我一萬人民幣
DV1: 所以我要換給他台幣)</t>
    <phoneticPr fontId="3" type="noConversion"/>
  </si>
  <si>
    <t>2010.12.6</t>
    <phoneticPr fontId="3" type="noConversion"/>
  </si>
  <si>
    <t>99.11 証</t>
    <phoneticPr fontId="3" type="noConversion"/>
  </si>
  <si>
    <t>99.11 永</t>
    <phoneticPr fontId="3" type="noConversion"/>
  </si>
  <si>
    <t>99.11 達</t>
    <phoneticPr fontId="3" type="noConversion"/>
  </si>
  <si>
    <t>2010.12.9</t>
    <phoneticPr fontId="3" type="noConversion"/>
  </si>
  <si>
    <t>永馳換機計程車資</t>
    <phoneticPr fontId="3" type="noConversion"/>
  </si>
  <si>
    <t>永馳換機計程車資</t>
    <phoneticPr fontId="3" type="noConversion"/>
  </si>
  <si>
    <t>(餘3452)</t>
    <phoneticPr fontId="3" type="noConversion"/>
  </si>
  <si>
    <t>(2010.12.10 OK)</t>
    <phoneticPr fontId="3" type="noConversion"/>
  </si>
  <si>
    <t>2010.12.10</t>
    <phoneticPr fontId="3" type="noConversion"/>
  </si>
  <si>
    <t>99.11 card ada代刷</t>
    <phoneticPr fontId="3" type="noConversion"/>
  </si>
  <si>
    <t>2010.12.13</t>
    <phoneticPr fontId="3" type="noConversion"/>
  </si>
  <si>
    <t>DV-&gt;PT 大眾銀行 (814-0324) 內湖分行 ; 帳號：168-1229361-17 ; 戶名：章挺憲</t>
    <phoneticPr fontId="3" type="noConversion"/>
  </si>
  <si>
    <t>匯費</t>
    <phoneticPr fontId="3" type="noConversion"/>
  </si>
  <si>
    <t>(餘3422)</t>
    <phoneticPr fontId="3" type="noConversion"/>
  </si>
  <si>
    <t>2010.12.11</t>
    <phoneticPr fontId="3" type="noConversion"/>
  </si>
  <si>
    <t>機車油資 宇權</t>
    <phoneticPr fontId="3" type="noConversion"/>
  </si>
  <si>
    <t>(餘3298)</t>
    <phoneticPr fontId="3" type="noConversion"/>
  </si>
  <si>
    <t>2010.12.13</t>
    <phoneticPr fontId="3" type="noConversion"/>
  </si>
  <si>
    <t>機車油資 展鑫三趟</t>
    <phoneticPr fontId="3" type="noConversion"/>
  </si>
  <si>
    <t>(餘3228)</t>
    <phoneticPr fontId="3" type="noConversion"/>
  </si>
  <si>
    <t>2010.12.20</t>
    <phoneticPr fontId="3" type="noConversion"/>
  </si>
  <si>
    <t>利泰慧維修搭國光林口來回</t>
    <phoneticPr fontId="3" type="noConversion"/>
  </si>
  <si>
    <t>(餘3158)</t>
    <phoneticPr fontId="3" type="noConversion"/>
  </si>
  <si>
    <t>2010.12.22</t>
    <phoneticPr fontId="3" type="noConversion"/>
  </si>
  <si>
    <t>吹球</t>
    <phoneticPr fontId="3" type="noConversion"/>
  </si>
  <si>
    <t>(餘3063)</t>
    <phoneticPr fontId="3" type="noConversion"/>
  </si>
  <si>
    <t>2010.12.23</t>
    <phoneticPr fontId="3" type="noConversion"/>
  </si>
  <si>
    <t>郵資 SONET限掛</t>
    <phoneticPr fontId="3" type="noConversion"/>
  </si>
  <si>
    <t>(餘3031)</t>
    <phoneticPr fontId="3" type="noConversion"/>
  </si>
  <si>
    <t>2010.12.24</t>
    <phoneticPr fontId="3" type="noConversion"/>
  </si>
  <si>
    <t>(餘1826)</t>
    <phoneticPr fontId="3" type="noConversion"/>
  </si>
  <si>
    <t>2010.12.28</t>
    <phoneticPr fontId="3" type="noConversion"/>
  </si>
  <si>
    <t>掛號-友士/宇權</t>
    <phoneticPr fontId="3" type="noConversion"/>
  </si>
  <si>
    <t>(餘1762)</t>
    <phoneticPr fontId="3" type="noConversion"/>
  </si>
  <si>
    <t>2010.12.29</t>
    <phoneticPr fontId="3" type="noConversion"/>
  </si>
  <si>
    <t>99.12 card ada代刷</t>
    <phoneticPr fontId="3" type="noConversion"/>
  </si>
  <si>
    <t>2011.1.3</t>
    <phoneticPr fontId="3" type="noConversion"/>
  </si>
  <si>
    <t>100.1 北平房租-台銀網銀轉帳</t>
    <phoneticPr fontId="3" type="noConversion"/>
  </si>
  <si>
    <t>饒媽紅包-轉ADA</t>
    <phoneticPr fontId="3" type="noConversion"/>
  </si>
  <si>
    <t>客服易付卡儲值</t>
    <phoneticPr fontId="3" type="noConversion"/>
  </si>
  <si>
    <t>(餘1462)</t>
    <phoneticPr fontId="3" type="noConversion"/>
  </si>
  <si>
    <t>99.12 証</t>
    <phoneticPr fontId="3" type="noConversion"/>
  </si>
  <si>
    <t>99.12 永</t>
    <phoneticPr fontId="3" type="noConversion"/>
  </si>
  <si>
    <t>99.12 達</t>
    <phoneticPr fontId="3" type="noConversion"/>
  </si>
  <si>
    <t>401.99.11/99.12</t>
    <phoneticPr fontId="3" type="noConversion"/>
  </si>
  <si>
    <t>2011.1.11</t>
    <phoneticPr fontId="3" type="noConversion"/>
  </si>
  <si>
    <t>限掛---大成合約/發票</t>
    <phoneticPr fontId="3" type="noConversion"/>
  </si>
  <si>
    <t>(餘1410)</t>
    <phoneticPr fontId="3" type="noConversion"/>
  </si>
  <si>
    <t>2011.1.19</t>
    <phoneticPr fontId="3" type="noConversion"/>
  </si>
  <si>
    <t>水費-100.1月</t>
    <phoneticPr fontId="3" type="noConversion"/>
  </si>
  <si>
    <t>(餘1389)</t>
    <phoneticPr fontId="3" type="noConversion"/>
  </si>
  <si>
    <t>計程車資-同皇裝機</t>
    <phoneticPr fontId="3" type="noConversion"/>
  </si>
  <si>
    <t>(餘919)</t>
    <phoneticPr fontId="3" type="noConversion"/>
  </si>
  <si>
    <t>2011.1.20</t>
    <phoneticPr fontId="3" type="noConversion"/>
  </si>
  <si>
    <t>零用金-轉ADA</t>
    <phoneticPr fontId="3" type="noConversion"/>
  </si>
  <si>
    <t>(餘5919)</t>
    <phoneticPr fontId="3" type="noConversion"/>
  </si>
  <si>
    <t>計程車資-大碩裝機</t>
    <phoneticPr fontId="3" type="noConversion"/>
  </si>
  <si>
    <t>(餘5154)</t>
    <phoneticPr fontId="3" type="noConversion"/>
  </si>
  <si>
    <t>2011.1.21</t>
    <phoneticPr fontId="3" type="noConversion"/>
  </si>
  <si>
    <t>管理費-2011.1</t>
    <phoneticPr fontId="3" type="noConversion"/>
  </si>
  <si>
    <t>(餘3949)</t>
    <phoneticPr fontId="3" type="noConversion"/>
  </si>
  <si>
    <t>2011.1.31</t>
    <phoneticPr fontId="3" type="noConversion"/>
  </si>
  <si>
    <t>台銀信義提款</t>
    <phoneticPr fontId="3" type="noConversion"/>
  </si>
  <si>
    <t>台銀城中存款</t>
    <phoneticPr fontId="3" type="noConversion"/>
  </si>
  <si>
    <t>2011.2.1</t>
    <phoneticPr fontId="3" type="noConversion"/>
  </si>
  <si>
    <t>2011.2 北平房租-台銀網銀轉帳</t>
    <phoneticPr fontId="3" type="noConversion"/>
  </si>
  <si>
    <t>2011.2.1</t>
    <phoneticPr fontId="3" type="noConversion"/>
  </si>
  <si>
    <t>100.1 証</t>
    <phoneticPr fontId="3" type="noConversion"/>
  </si>
  <si>
    <t>100.1 永</t>
    <phoneticPr fontId="3" type="noConversion"/>
  </si>
  <si>
    <t>100.1 達</t>
    <phoneticPr fontId="3" type="noConversion"/>
  </si>
  <si>
    <t>2011.2.8</t>
    <phoneticPr fontId="3" type="noConversion"/>
  </si>
  <si>
    <t>100.1 card ada代刷</t>
    <phoneticPr fontId="3" type="noConversion"/>
  </si>
  <si>
    <t>2011.2.10</t>
    <phoneticPr fontId="3" type="noConversion"/>
  </si>
  <si>
    <t>計程車資-威視裝機</t>
    <phoneticPr fontId="3" type="noConversion"/>
  </si>
  <si>
    <t>計程車資-威視裝機</t>
    <phoneticPr fontId="3" type="noConversion"/>
  </si>
  <si>
    <t>(餘3749)</t>
    <phoneticPr fontId="3" type="noConversion"/>
  </si>
  <si>
    <t>2011.2.14</t>
    <phoneticPr fontId="3" type="noConversion"/>
  </si>
  <si>
    <t>掛號-利明/宇權 請款單</t>
    <phoneticPr fontId="3" type="noConversion"/>
  </si>
  <si>
    <t>郵票-$25 * 20</t>
    <phoneticPr fontId="3" type="noConversion"/>
  </si>
  <si>
    <t>航空郵資-小包陳接頭</t>
    <phoneticPr fontId="3" type="noConversion"/>
  </si>
  <si>
    <t>文具-合約用紙/信封/膠水</t>
    <phoneticPr fontId="3" type="noConversion"/>
  </si>
  <si>
    <t>(餘2576)</t>
    <phoneticPr fontId="3" type="noConversion"/>
  </si>
  <si>
    <t>2011.2.16</t>
    <phoneticPr fontId="3" type="noConversion"/>
  </si>
  <si>
    <t>計程車資-合碩裝機</t>
    <phoneticPr fontId="3" type="noConversion"/>
  </si>
  <si>
    <t>計程車資-合碩裝機</t>
    <phoneticPr fontId="3" type="noConversion"/>
  </si>
  <si>
    <t>(餘2336)</t>
    <phoneticPr fontId="3" type="noConversion"/>
  </si>
  <si>
    <t>2011.2.21</t>
    <phoneticPr fontId="3" type="noConversion"/>
  </si>
  <si>
    <t>管理費-2011.2</t>
    <phoneticPr fontId="3" type="noConversion"/>
  </si>
  <si>
    <t>(餘1131)</t>
    <phoneticPr fontId="3" type="noConversion"/>
  </si>
  <si>
    <t>2011.2.23</t>
    <phoneticPr fontId="3" type="noConversion"/>
  </si>
  <si>
    <t>計程車資-甲品裝機</t>
    <phoneticPr fontId="3" type="noConversion"/>
  </si>
  <si>
    <t>計程車資-甲品裝機</t>
    <phoneticPr fontId="3" type="noConversion"/>
  </si>
  <si>
    <t>(餘611)</t>
    <phoneticPr fontId="3" type="noConversion"/>
  </si>
  <si>
    <t>(與帳相符)</t>
    <phoneticPr fontId="3" type="noConversion"/>
  </si>
  <si>
    <t>2011.3.1</t>
    <phoneticPr fontId="3" type="noConversion"/>
  </si>
  <si>
    <t>2011.3 北平房租-台銀網銀轉帳</t>
    <phoneticPr fontId="3" type="noConversion"/>
  </si>
  <si>
    <t>2011.3.4</t>
    <phoneticPr fontId="3" type="noConversion"/>
  </si>
  <si>
    <t>CF轉IDE轉卡</t>
    <phoneticPr fontId="3" type="noConversion"/>
  </si>
  <si>
    <t>KINGSTON CF卡-4G</t>
    <phoneticPr fontId="3" type="noConversion"/>
  </si>
  <si>
    <t>(餘46)</t>
    <phoneticPr fontId="3" type="noConversion"/>
  </si>
  <si>
    <t>2011.3.7</t>
    <phoneticPr fontId="3" type="noConversion"/>
  </si>
  <si>
    <t>100.1 永</t>
    <phoneticPr fontId="3" type="noConversion"/>
  </si>
  <si>
    <t>(餘5046)</t>
    <phoneticPr fontId="3" type="noConversion"/>
  </si>
  <si>
    <t>2011.3.9</t>
    <phoneticPr fontId="3" type="noConversion"/>
  </si>
  <si>
    <t>2011.2 card ada代刷</t>
    <phoneticPr fontId="3" type="noConversion"/>
  </si>
  <si>
    <t>2011.3.14</t>
    <phoneticPr fontId="3" type="noConversion"/>
  </si>
  <si>
    <t>401.2011.1/2011.2</t>
    <phoneticPr fontId="3" type="noConversion"/>
  </si>
  <si>
    <t>2011.3.16</t>
    <phoneticPr fontId="3" type="noConversion"/>
  </si>
  <si>
    <t>饒媽 2011.1-2011.6 零用 (2010.11.22另有一筆$6000,(2011.3.16 記紅包))</t>
    <phoneticPr fontId="3" type="noConversion"/>
  </si>
  <si>
    <t>2011.1.6</t>
    <phoneticPr fontId="3" type="noConversion"/>
  </si>
  <si>
    <t>雷射印表機填充碳粉($250+$17ADA台銀轉帳)</t>
    <phoneticPr fontId="3" type="noConversion"/>
  </si>
  <si>
    <t>(餘4779)</t>
    <phoneticPr fontId="3" type="noConversion"/>
  </si>
  <si>
    <t>2011.3.21</t>
    <phoneticPr fontId="3" type="noConversion"/>
  </si>
  <si>
    <t>廣豪維護油資</t>
    <phoneticPr fontId="3" type="noConversion"/>
  </si>
  <si>
    <t>(餘4674)</t>
    <phoneticPr fontId="3" type="noConversion"/>
  </si>
  <si>
    <t>2011.3.22</t>
    <phoneticPr fontId="3" type="noConversion"/>
  </si>
  <si>
    <t>航空郵資-小包陳接頭(1893G)</t>
    <phoneticPr fontId="3" type="noConversion"/>
  </si>
  <si>
    <t>水費-100.3月</t>
    <phoneticPr fontId="3" type="noConversion"/>
  </si>
  <si>
    <t>(餘3498)</t>
    <phoneticPr fontId="3" type="noConversion"/>
  </si>
  <si>
    <t>2011.3.28</t>
    <phoneticPr fontId="3" type="noConversion"/>
  </si>
  <si>
    <t>管理費-2011.3</t>
    <phoneticPr fontId="3" type="noConversion"/>
  </si>
  <si>
    <t>(餘2293)</t>
    <phoneticPr fontId="3" type="noConversion"/>
  </si>
  <si>
    <t>2011.4.1</t>
    <phoneticPr fontId="3" type="noConversion"/>
  </si>
  <si>
    <t>2011.4 北平房租-台銀網銀轉帳</t>
    <phoneticPr fontId="3" type="noConversion"/>
  </si>
  <si>
    <t>2011.4.6</t>
    <phoneticPr fontId="3" type="noConversion"/>
  </si>
  <si>
    <t>饒媽-桃園機場接機</t>
    <phoneticPr fontId="3" type="noConversion"/>
  </si>
  <si>
    <t>(餘1293)</t>
    <phoneticPr fontId="3" type="noConversion"/>
  </si>
  <si>
    <t>100.3 証</t>
    <phoneticPr fontId="3" type="noConversion"/>
  </si>
  <si>
    <t>100.3 永</t>
    <phoneticPr fontId="3" type="noConversion"/>
  </si>
  <si>
    <t>2011.4.7</t>
    <phoneticPr fontId="3" type="noConversion"/>
  </si>
  <si>
    <t>100.3 達</t>
    <phoneticPr fontId="3" type="noConversion"/>
  </si>
  <si>
    <t>2011.4.14</t>
    <phoneticPr fontId="3" type="noConversion"/>
  </si>
  <si>
    <t>管理費-2011.4</t>
    <phoneticPr fontId="3" type="noConversion"/>
  </si>
  <si>
    <t>(餘88)</t>
    <phoneticPr fontId="3" type="noConversion"/>
  </si>
  <si>
    <t>2011.4.14</t>
    <phoneticPr fontId="3" type="noConversion"/>
  </si>
  <si>
    <t>(餘5088)</t>
    <phoneticPr fontId="3" type="noConversion"/>
  </si>
  <si>
    <t>2011.4.19</t>
    <phoneticPr fontId="3" type="noConversion"/>
  </si>
  <si>
    <t>計程車資-松群裝機</t>
    <phoneticPr fontId="3" type="noConversion"/>
  </si>
  <si>
    <t>計程車資-松群裝機</t>
    <phoneticPr fontId="3" type="noConversion"/>
  </si>
  <si>
    <t>(餘4598)</t>
    <phoneticPr fontId="3" type="noConversion"/>
  </si>
  <si>
    <t>2011.4.26</t>
    <phoneticPr fontId="3" type="noConversion"/>
  </si>
  <si>
    <t>掛號-汎輝 發票合約</t>
    <phoneticPr fontId="3" type="noConversion"/>
  </si>
  <si>
    <t>郵票-$25 * 10 + $10 *5</t>
    <phoneticPr fontId="3" type="noConversion"/>
  </si>
  <si>
    <t>文具</t>
    <phoneticPr fontId="3" type="noConversion"/>
  </si>
  <si>
    <t>航空郵資-EMS陳接頭(1610G)</t>
    <phoneticPr fontId="3" type="noConversion"/>
  </si>
  <si>
    <t>(餘3247)</t>
    <phoneticPr fontId="3" type="noConversion"/>
  </si>
  <si>
    <t>2011.4.12</t>
    <phoneticPr fontId="3" type="noConversion"/>
  </si>
  <si>
    <t>清潔袋</t>
    <phoneticPr fontId="3" type="noConversion"/>
  </si>
  <si>
    <t>(餘3172)</t>
    <phoneticPr fontId="3" type="noConversion"/>
  </si>
  <si>
    <t>2011.5.4</t>
    <phoneticPr fontId="3" type="noConversion"/>
  </si>
  <si>
    <t>計程車資-柏周裝機</t>
    <phoneticPr fontId="3" type="noConversion"/>
  </si>
  <si>
    <t>(餘2732)</t>
    <phoneticPr fontId="3" type="noConversion"/>
  </si>
  <si>
    <t>2011.5.5</t>
    <phoneticPr fontId="3" type="noConversion"/>
  </si>
  <si>
    <t>100.4 証</t>
    <phoneticPr fontId="3" type="noConversion"/>
  </si>
  <si>
    <t>100.4 永</t>
    <phoneticPr fontId="3" type="noConversion"/>
  </si>
  <si>
    <t>100.4 達</t>
    <phoneticPr fontId="3" type="noConversion"/>
  </si>
  <si>
    <t>饒媽 2011.7-2011.12 零用 (另 $3000 母親節紅包))</t>
    <phoneticPr fontId="3" type="noConversion"/>
  </si>
  <si>
    <t>2011.5.9</t>
    <phoneticPr fontId="3" type="noConversion"/>
  </si>
  <si>
    <t>順豐申報書寄東莞</t>
    <phoneticPr fontId="3" type="noConversion"/>
  </si>
  <si>
    <t>(餘2642)</t>
    <phoneticPr fontId="3" type="noConversion"/>
  </si>
  <si>
    <t>2011.5.9</t>
    <phoneticPr fontId="3" type="noConversion"/>
  </si>
  <si>
    <t>2011.4 card ada代刷</t>
    <phoneticPr fontId="3" type="noConversion"/>
  </si>
  <si>
    <t>水費-100.4月</t>
    <phoneticPr fontId="3" type="noConversion"/>
  </si>
  <si>
    <t>(餘2475)</t>
    <phoneticPr fontId="3" type="noConversion"/>
  </si>
  <si>
    <t>2011.5.10</t>
    <phoneticPr fontId="3" type="noConversion"/>
  </si>
  <si>
    <t>401.2011.3/2011.4</t>
    <phoneticPr fontId="3" type="noConversion"/>
  </si>
  <si>
    <t>2011.5.20</t>
    <phoneticPr fontId="3" type="noConversion"/>
  </si>
  <si>
    <t>順豐XEON S3420 CN-&gt;TW 運費</t>
    <phoneticPr fontId="3" type="noConversion"/>
  </si>
  <si>
    <t>(餘2342)</t>
    <phoneticPr fontId="3" type="noConversion"/>
  </si>
  <si>
    <t>2011.5.26</t>
    <phoneticPr fontId="3" type="noConversion"/>
  </si>
  <si>
    <t>預付張名片費用</t>
    <phoneticPr fontId="3" type="noConversion"/>
  </si>
  <si>
    <t>(餘2242)</t>
    <phoneticPr fontId="3" type="noConversion"/>
  </si>
  <si>
    <t>2011.5.26</t>
    <phoneticPr fontId="3" type="noConversion"/>
  </si>
  <si>
    <t>管理費-2011.5</t>
    <phoneticPr fontId="3" type="noConversion"/>
  </si>
  <si>
    <t>(餘1037)</t>
    <phoneticPr fontId="3" type="noConversion"/>
  </si>
  <si>
    <t>2011.6.1</t>
    <phoneticPr fontId="3" type="noConversion"/>
  </si>
  <si>
    <t>2011.6 北平房租-台銀網銀轉帳</t>
    <phoneticPr fontId="3" type="noConversion"/>
  </si>
  <si>
    <t>2011.5.18</t>
    <phoneticPr fontId="3" type="noConversion"/>
  </si>
  <si>
    <t>水管</t>
    <phoneticPr fontId="3" type="noConversion"/>
  </si>
  <si>
    <t>饒/陳駕照費@200</t>
    <phoneticPr fontId="3" type="noConversion"/>
  </si>
  <si>
    <t>(餘397)</t>
    <phoneticPr fontId="3" type="noConversion"/>
  </si>
  <si>
    <t>2011.6.2</t>
    <phoneticPr fontId="3" type="noConversion"/>
  </si>
  <si>
    <t>(餘307)</t>
    <phoneticPr fontId="3" type="noConversion"/>
  </si>
  <si>
    <t>2011.6.3</t>
    <phoneticPr fontId="3" type="noConversion"/>
  </si>
  <si>
    <t>零用金轉達</t>
    <phoneticPr fontId="3" type="noConversion"/>
  </si>
  <si>
    <t>端午獎金-永</t>
    <phoneticPr fontId="3" type="noConversion"/>
  </si>
  <si>
    <t>(餘4807)</t>
    <phoneticPr fontId="3" type="noConversion"/>
  </si>
  <si>
    <t>2011.6.3</t>
    <phoneticPr fontId="3" type="noConversion"/>
  </si>
  <si>
    <t>宅急便大嘴鳥寄中正機場</t>
    <phoneticPr fontId="3" type="noConversion"/>
  </si>
  <si>
    <t>宅急便大嘴鳥寄中正機場</t>
    <phoneticPr fontId="3" type="noConversion"/>
  </si>
  <si>
    <t>(餘4387)</t>
    <phoneticPr fontId="3" type="noConversion"/>
  </si>
  <si>
    <t>2011.6.6</t>
    <phoneticPr fontId="3" type="noConversion"/>
  </si>
  <si>
    <t>100.5 永</t>
    <phoneticPr fontId="3" type="noConversion"/>
  </si>
  <si>
    <t>100.5 達</t>
    <phoneticPr fontId="3" type="noConversion"/>
  </si>
  <si>
    <t>2011.6.7</t>
    <phoneticPr fontId="3" type="noConversion"/>
  </si>
  <si>
    <t>2011.5 card ada代刷</t>
    <phoneticPr fontId="3" type="noConversion"/>
  </si>
  <si>
    <t>2011.6.16</t>
    <phoneticPr fontId="3" type="noConversion"/>
  </si>
  <si>
    <t>計程車資-施舒雅裝機</t>
    <phoneticPr fontId="3" type="noConversion"/>
  </si>
  <si>
    <t>計程車資-施舒雅裝機</t>
    <phoneticPr fontId="3" type="noConversion"/>
  </si>
  <si>
    <t>(餘4142)</t>
    <phoneticPr fontId="3" type="noConversion"/>
  </si>
  <si>
    <t>2011.6.20</t>
    <phoneticPr fontId="3" type="noConversion"/>
  </si>
  <si>
    <t>計程車資-祥和裝機</t>
    <phoneticPr fontId="3" type="noConversion"/>
  </si>
  <si>
    <t>(餘3812)</t>
    <phoneticPr fontId="3" type="noConversion"/>
  </si>
  <si>
    <t>2011.6.13</t>
    <phoneticPr fontId="3" type="noConversion"/>
  </si>
  <si>
    <t>掛號-友士</t>
    <phoneticPr fontId="3" type="noConversion"/>
  </si>
  <si>
    <t>源達轉接頭</t>
    <phoneticPr fontId="3" type="noConversion"/>
  </si>
  <si>
    <t>(餘3740)</t>
    <phoneticPr fontId="3" type="noConversion"/>
  </si>
  <si>
    <t>2011.6.21</t>
    <phoneticPr fontId="3" type="noConversion"/>
  </si>
  <si>
    <t>管理費-2011.6</t>
    <phoneticPr fontId="3" type="noConversion"/>
  </si>
  <si>
    <t>(餘2535)</t>
    <phoneticPr fontId="3" type="noConversion"/>
  </si>
  <si>
    <t>2011.6.21與現金符合</t>
    <phoneticPr fontId="3" type="noConversion"/>
  </si>
  <si>
    <t>2011.7.1</t>
    <phoneticPr fontId="3" type="noConversion"/>
  </si>
  <si>
    <t>2011.7 北平房租-台銀網銀轉帳</t>
    <phoneticPr fontId="3" type="noConversion"/>
  </si>
  <si>
    <t>計程車資-益睿裝機</t>
    <phoneticPr fontId="3" type="noConversion"/>
  </si>
  <si>
    <t>(餘1870)</t>
    <phoneticPr fontId="3" type="noConversion"/>
  </si>
  <si>
    <t>2011.7.4</t>
    <phoneticPr fontId="3" type="noConversion"/>
  </si>
  <si>
    <t>油資-太暘維護</t>
    <phoneticPr fontId="3" type="noConversion"/>
  </si>
  <si>
    <t>(餘1765)</t>
    <phoneticPr fontId="3" type="noConversion"/>
  </si>
  <si>
    <t>2011.7.5</t>
    <phoneticPr fontId="3" type="noConversion"/>
  </si>
  <si>
    <t>掛號-益睿</t>
    <phoneticPr fontId="3" type="noConversion"/>
  </si>
  <si>
    <t>(餘1720)</t>
    <phoneticPr fontId="3" type="noConversion"/>
  </si>
  <si>
    <t>100.6 証</t>
    <phoneticPr fontId="3" type="noConversion"/>
  </si>
  <si>
    <t>100.6 永</t>
    <phoneticPr fontId="3" type="noConversion"/>
  </si>
  <si>
    <t>100.6 達</t>
    <phoneticPr fontId="3" type="noConversion"/>
  </si>
  <si>
    <t>2011.7.8</t>
    <phoneticPr fontId="3" type="noConversion"/>
  </si>
  <si>
    <t>401.2011.5/2011.6</t>
    <phoneticPr fontId="3" type="noConversion"/>
  </si>
  <si>
    <t>2011.6 card ada代刷</t>
    <phoneticPr fontId="3" type="noConversion"/>
  </si>
  <si>
    <t>2011.7.11</t>
    <phoneticPr fontId="3" type="noConversion"/>
  </si>
  <si>
    <t>水費-100.7月</t>
    <phoneticPr fontId="3" type="noConversion"/>
  </si>
  <si>
    <t>管理費-2011.7</t>
    <phoneticPr fontId="3" type="noConversion"/>
  </si>
  <si>
    <t>(餘327)</t>
    <phoneticPr fontId="3" type="noConversion"/>
  </si>
  <si>
    <t>2011.7.27</t>
    <phoneticPr fontId="3" type="noConversion"/>
  </si>
  <si>
    <t>油資-威倫/廣豪維護</t>
    <phoneticPr fontId="3" type="noConversion"/>
  </si>
  <si>
    <t>(餘239)</t>
    <phoneticPr fontId="3" type="noConversion"/>
  </si>
  <si>
    <t>2011.7.29</t>
    <phoneticPr fontId="3" type="noConversion"/>
  </si>
  <si>
    <t>DV郵局$33000, 2011.6.30已先拿$5000給DV媽</t>
    <phoneticPr fontId="3" type="noConversion"/>
  </si>
  <si>
    <t>零用金轉達</t>
    <phoneticPr fontId="3" type="noConversion"/>
  </si>
  <si>
    <t>(餘5239)</t>
    <phoneticPr fontId="3" type="noConversion"/>
  </si>
  <si>
    <t>2011.8.1</t>
    <phoneticPr fontId="3" type="noConversion"/>
  </si>
  <si>
    <t>2011.8 北平房租-台銀網銀轉帳</t>
    <phoneticPr fontId="3" type="noConversion"/>
  </si>
  <si>
    <t>25元郵票*10張</t>
    <phoneticPr fontId="3" type="noConversion"/>
  </si>
  <si>
    <t>DDR3 2G 良興</t>
    <phoneticPr fontId="3" type="noConversion"/>
  </si>
  <si>
    <t>2011.7.25</t>
    <phoneticPr fontId="3" type="noConversion"/>
  </si>
  <si>
    <t>衛生紙*2袋</t>
    <phoneticPr fontId="3" type="noConversion"/>
  </si>
  <si>
    <t>(餘4080)</t>
    <phoneticPr fontId="3" type="noConversion"/>
  </si>
  <si>
    <t>2011.8.1與現金符合</t>
    <phoneticPr fontId="3" type="noConversion"/>
  </si>
  <si>
    <t>2011.8.5</t>
    <phoneticPr fontId="3" type="noConversion"/>
  </si>
  <si>
    <t>100.7 証</t>
    <phoneticPr fontId="3" type="noConversion"/>
  </si>
  <si>
    <t>100.7 永</t>
    <phoneticPr fontId="3" type="noConversion"/>
  </si>
  <si>
    <t>100.7 達</t>
    <phoneticPr fontId="3" type="noConversion"/>
  </si>
  <si>
    <t>2011.8.8</t>
    <phoneticPr fontId="3" type="noConversion"/>
  </si>
  <si>
    <t>饒媽 DV1: 聽說他現在申請強制執行贓款退回 有50多萬
DV1: 好像有點希望
DV1: 所以他心情很好</t>
    <phoneticPr fontId="3" type="noConversion"/>
  </si>
  <si>
    <t>2011.8.9</t>
    <phoneticPr fontId="3" type="noConversion"/>
  </si>
  <si>
    <t>計程車資-元超裝機</t>
    <phoneticPr fontId="3" type="noConversion"/>
  </si>
  <si>
    <t>(餘3530)</t>
    <phoneticPr fontId="3" type="noConversion"/>
  </si>
  <si>
    <t>2011.8.10</t>
    <phoneticPr fontId="3" type="noConversion"/>
  </si>
  <si>
    <t>2011.7 card ada代刷</t>
    <phoneticPr fontId="3" type="noConversion"/>
  </si>
  <si>
    <t>2011.8.16</t>
    <phoneticPr fontId="3" type="noConversion"/>
  </si>
  <si>
    <t>管理費-2011.8</t>
    <phoneticPr fontId="3" type="noConversion"/>
  </si>
  <si>
    <t>(餘2325)</t>
    <phoneticPr fontId="3" type="noConversion"/>
  </si>
  <si>
    <t>2011.8.30</t>
    <phoneticPr fontId="3" type="noConversion"/>
  </si>
  <si>
    <t>匯梅海</t>
    <phoneticPr fontId="3" type="noConversion"/>
  </si>
  <si>
    <t>匯梅海手續費</t>
    <phoneticPr fontId="3" type="noConversion"/>
  </si>
  <si>
    <t>(餘2295)</t>
    <phoneticPr fontId="3" type="noConversion"/>
  </si>
  <si>
    <t>2011.9.1</t>
    <phoneticPr fontId="3" type="noConversion"/>
  </si>
  <si>
    <t>2011.9 北平房租-台銀網銀轉帳</t>
    <phoneticPr fontId="3" type="noConversion"/>
  </si>
  <si>
    <t>2011.9.5</t>
    <phoneticPr fontId="3" type="noConversion"/>
  </si>
  <si>
    <t>100.8 証</t>
    <phoneticPr fontId="3" type="noConversion"/>
  </si>
  <si>
    <t>100.8 永</t>
    <phoneticPr fontId="3" type="noConversion"/>
  </si>
  <si>
    <t>100.8 達</t>
    <phoneticPr fontId="3" type="noConversion"/>
  </si>
  <si>
    <t>2011.9.9</t>
    <phoneticPr fontId="3" type="noConversion"/>
  </si>
  <si>
    <t>2011.8 card ada代刷</t>
    <phoneticPr fontId="3" type="noConversion"/>
  </si>
  <si>
    <t>2011.9.9</t>
    <phoneticPr fontId="3" type="noConversion"/>
  </si>
  <si>
    <t>99.9 中秋禮券-達</t>
    <phoneticPr fontId="3" type="noConversion"/>
  </si>
  <si>
    <t>(餘1295)</t>
    <phoneticPr fontId="3" type="noConversion"/>
  </si>
  <si>
    <t>2011.9.13</t>
    <phoneticPr fontId="3" type="noConversion"/>
  </si>
  <si>
    <t>401.2011.7/2011.8</t>
    <phoneticPr fontId="3" type="noConversion"/>
  </si>
  <si>
    <t>(餘6295)</t>
    <phoneticPr fontId="3" type="noConversion"/>
  </si>
  <si>
    <t>2011.9.26</t>
    <phoneticPr fontId="3" type="noConversion"/>
  </si>
  <si>
    <t>管理費-2011.9</t>
    <phoneticPr fontId="3" type="noConversion"/>
  </si>
  <si>
    <t>水費-100.9月</t>
    <phoneticPr fontId="3" type="noConversion"/>
  </si>
  <si>
    <t>(餘4912)</t>
    <phoneticPr fontId="3" type="noConversion"/>
  </si>
  <si>
    <t>2011.9.28</t>
    <phoneticPr fontId="3" type="noConversion"/>
  </si>
  <si>
    <t>DV藥膏-饒媽代買</t>
    <phoneticPr fontId="3" type="noConversion"/>
  </si>
  <si>
    <t>(餘4712)</t>
    <phoneticPr fontId="3" type="noConversion"/>
  </si>
  <si>
    <t>2011.10.1</t>
    <phoneticPr fontId="3" type="noConversion"/>
  </si>
  <si>
    <t>2011.10 北平房租-台銀網銀轉帳</t>
    <phoneticPr fontId="3" type="noConversion"/>
  </si>
  <si>
    <t>2011.10.3</t>
    <phoneticPr fontId="3" type="noConversion"/>
  </si>
  <si>
    <t>計程車資-西拓裝機</t>
    <phoneticPr fontId="3" type="noConversion"/>
  </si>
  <si>
    <t>計程車資-西拓裝機</t>
    <phoneticPr fontId="3" type="noConversion"/>
  </si>
  <si>
    <t>(餘4242)</t>
    <phoneticPr fontId="3" type="noConversion"/>
  </si>
  <si>
    <t>2011.10.5</t>
    <phoneticPr fontId="3" type="noConversion"/>
  </si>
  <si>
    <t>100.9 証</t>
    <phoneticPr fontId="3" type="noConversion"/>
  </si>
  <si>
    <t>100.9 永</t>
    <phoneticPr fontId="3" type="noConversion"/>
  </si>
  <si>
    <t>100.9 達</t>
    <phoneticPr fontId="3" type="noConversion"/>
  </si>
  <si>
    <t>2011.10.11</t>
    <phoneticPr fontId="3" type="noConversion"/>
  </si>
  <si>
    <t>2011.9 card ada代刷</t>
    <phoneticPr fontId="3" type="noConversion"/>
  </si>
  <si>
    <t>2011.10.20</t>
    <phoneticPr fontId="3" type="noConversion"/>
  </si>
  <si>
    <t>管理費-2011.10</t>
    <phoneticPr fontId="3" type="noConversion"/>
  </si>
  <si>
    <t>詩貨運行李箱</t>
    <phoneticPr fontId="3" type="noConversion"/>
  </si>
  <si>
    <t>(餘2897)</t>
    <phoneticPr fontId="3" type="noConversion"/>
  </si>
  <si>
    <t>2011.10.31</t>
    <phoneticPr fontId="3" type="noConversion"/>
  </si>
  <si>
    <t>華算100.11-12三聯式發票</t>
    <phoneticPr fontId="3" type="noConversion"/>
  </si>
  <si>
    <t>(餘2779)</t>
    <phoneticPr fontId="3" type="noConversion"/>
  </si>
  <si>
    <t>2011.11.1</t>
    <phoneticPr fontId="3" type="noConversion"/>
  </si>
  <si>
    <t>2011.11 北平房租-台銀網銀轉帳</t>
    <phoneticPr fontId="3" type="noConversion"/>
  </si>
  <si>
    <t>2011.11.7</t>
    <phoneticPr fontId="3" type="noConversion"/>
  </si>
  <si>
    <t>100.10 永(已轉ADA但金融卡晶片失效,沒有轉給永, 改給ADA)</t>
    <phoneticPr fontId="3" type="noConversion"/>
  </si>
  <si>
    <t>2011.10 card ada代刷</t>
    <phoneticPr fontId="3" type="noConversion"/>
  </si>
  <si>
    <t>401.2011.9/2011.10</t>
    <phoneticPr fontId="3" type="noConversion"/>
  </si>
  <si>
    <t>100.10 永(用公司存摺提款, 無摺存入永)</t>
    <phoneticPr fontId="3" type="noConversion"/>
  </si>
  <si>
    <t>100.10 達(加另一筆原轉永沒匯出的$25670合計$63516)</t>
    <phoneticPr fontId="3" type="noConversion"/>
  </si>
  <si>
    <t>2011.11.8</t>
    <phoneticPr fontId="3" type="noConversion"/>
  </si>
  <si>
    <t>信封袋$15*4</t>
    <phoneticPr fontId="3" type="noConversion"/>
  </si>
  <si>
    <t>25元郵票*20張</t>
    <phoneticPr fontId="3" type="noConversion"/>
  </si>
  <si>
    <t>請款25元掛號郵資*4</t>
    <phoneticPr fontId="3" type="noConversion"/>
  </si>
  <si>
    <t>(餘2119)</t>
    <phoneticPr fontId="3" type="noConversion"/>
  </si>
  <si>
    <t>2011.11.10</t>
    <phoneticPr fontId="3" type="noConversion"/>
  </si>
  <si>
    <t>油資-利明/恩豪維護</t>
    <phoneticPr fontId="3" type="noConversion"/>
  </si>
  <si>
    <t>(餘1999)</t>
    <phoneticPr fontId="3" type="noConversion"/>
  </si>
  <si>
    <t>2011.11.21</t>
    <phoneticPr fontId="3" type="noConversion"/>
  </si>
  <si>
    <t>管理費-2011.11</t>
    <phoneticPr fontId="3" type="noConversion"/>
  </si>
  <si>
    <t>水費-100.11月</t>
    <phoneticPr fontId="3" type="noConversion"/>
  </si>
  <si>
    <t>(餘616)</t>
    <phoneticPr fontId="3" type="noConversion"/>
  </si>
  <si>
    <t>2011.11.25</t>
    <phoneticPr fontId="3" type="noConversion"/>
  </si>
  <si>
    <t>饒媽 2011.7-2011.12 零用 (餘 年節紅包))</t>
    <phoneticPr fontId="3" type="noConversion"/>
  </si>
  <si>
    <t>2011.12.1</t>
    <phoneticPr fontId="3" type="noConversion"/>
  </si>
  <si>
    <t>2011.12 北平房租-台銀網銀轉帳</t>
    <phoneticPr fontId="3" type="noConversion"/>
  </si>
  <si>
    <t>2011.12.5</t>
    <phoneticPr fontId="3" type="noConversion"/>
  </si>
  <si>
    <t>100.11 永</t>
    <phoneticPr fontId="3" type="noConversion"/>
  </si>
  <si>
    <t>100.11 達</t>
    <phoneticPr fontId="3" type="noConversion"/>
  </si>
  <si>
    <t>100.11 証</t>
    <phoneticPr fontId="3" type="noConversion"/>
  </si>
  <si>
    <t>2011.11 card ada代刷</t>
    <phoneticPr fontId="3" type="noConversion"/>
  </si>
  <si>
    <t>(餘5616)</t>
    <phoneticPr fontId="3" type="noConversion"/>
  </si>
  <si>
    <t>2011.12.14</t>
    <phoneticPr fontId="3" type="noConversion"/>
  </si>
  <si>
    <t>管理費-2011.12</t>
    <phoneticPr fontId="3" type="noConversion"/>
  </si>
  <si>
    <t>展鑫合約發票修改附回郵掛號郵資</t>
    <phoneticPr fontId="3" type="noConversion"/>
  </si>
  <si>
    <t>(餘4366)</t>
    <phoneticPr fontId="3" type="noConversion"/>
  </si>
  <si>
    <t>2011.12.14 與現金符合</t>
    <phoneticPr fontId="3" type="noConversion"/>
  </si>
  <si>
    <t>2011.12.16</t>
    <phoneticPr fontId="3" type="noConversion"/>
  </si>
  <si>
    <t>車資-展鑫裝機, 威倫維修</t>
    <phoneticPr fontId="3" type="noConversion"/>
  </si>
  <si>
    <t>(餘4274)</t>
    <phoneticPr fontId="3" type="noConversion"/>
  </si>
  <si>
    <t>2011.12.28</t>
    <phoneticPr fontId="3" type="noConversion"/>
  </si>
  <si>
    <t>資源回收垃圾袋</t>
    <phoneticPr fontId="3" type="noConversion"/>
  </si>
  <si>
    <t>(餘4199)</t>
    <phoneticPr fontId="3" type="noConversion"/>
  </si>
  <si>
    <t>2011.12.29</t>
    <phoneticPr fontId="3" type="noConversion"/>
  </si>
  <si>
    <t>DV回TW取現金</t>
    <phoneticPr fontId="3" type="noConversion"/>
  </si>
  <si>
    <t>(餘2199)</t>
    <phoneticPr fontId="3" type="noConversion"/>
  </si>
  <si>
    <t>2011.12.30</t>
    <phoneticPr fontId="3" type="noConversion"/>
  </si>
  <si>
    <t>饒媽 小孩紅包 (應轉3000聽錯轉了30000當作預付)</t>
    <phoneticPr fontId="3" type="noConversion"/>
  </si>
  <si>
    <t>2012.1.1</t>
    <phoneticPr fontId="3" type="noConversion"/>
  </si>
  <si>
    <t>2012.1 北平房租-台銀網銀轉帳</t>
    <phoneticPr fontId="3" type="noConversion"/>
  </si>
  <si>
    <t>2012.1.3</t>
    <phoneticPr fontId="3" type="noConversion"/>
  </si>
  <si>
    <t>雜費</t>
    <phoneticPr fontId="3" type="noConversion"/>
  </si>
  <si>
    <t>華算101.1-2三聯式發票</t>
    <phoneticPr fontId="3" type="noConversion"/>
  </si>
  <si>
    <t>(餘2181)</t>
    <phoneticPr fontId="3" type="noConversion"/>
  </si>
  <si>
    <t>2012.1.5</t>
    <phoneticPr fontId="3" type="noConversion"/>
  </si>
  <si>
    <t>100.12 永</t>
    <phoneticPr fontId="3" type="noConversion"/>
  </si>
  <si>
    <t>100.12 達</t>
    <phoneticPr fontId="3" type="noConversion"/>
  </si>
  <si>
    <t>100.12 証</t>
    <phoneticPr fontId="3" type="noConversion"/>
  </si>
  <si>
    <t>2012.1.9</t>
    <phoneticPr fontId="3" type="noConversion"/>
  </si>
  <si>
    <t>2011.12 card ada代刷</t>
    <phoneticPr fontId="3" type="noConversion"/>
  </si>
  <si>
    <t>2012.1.9 改由此表 ada-source-2012010901.xls 繼續</t>
    <phoneticPr fontId="3" type="noConversion"/>
  </si>
  <si>
    <t>2012.1.10</t>
    <phoneticPr fontId="3" type="noConversion"/>
  </si>
  <si>
    <t>交通費</t>
    <phoneticPr fontId="3" type="noConversion"/>
  </si>
  <si>
    <t>悠遊卡加值 愛浪維護</t>
    <phoneticPr fontId="3" type="noConversion"/>
  </si>
  <si>
    <t>(餘2081)</t>
    <phoneticPr fontId="3" type="noConversion"/>
  </si>
  <si>
    <t>401.2011.11/2011.12</t>
    <phoneticPr fontId="3" type="noConversion"/>
  </si>
  <si>
    <t>2012.1.12</t>
    <phoneticPr fontId="3" type="noConversion"/>
  </si>
  <si>
    <t>DV回TW舊百元鈔換新百元鈔,入帳</t>
    <phoneticPr fontId="3" type="noConversion"/>
  </si>
  <si>
    <t>2012.1.19</t>
    <phoneticPr fontId="3" type="noConversion"/>
  </si>
  <si>
    <t>管理費</t>
    <phoneticPr fontId="3" type="noConversion"/>
  </si>
  <si>
    <t>管理費-2012.1</t>
    <phoneticPr fontId="3" type="noConversion"/>
  </si>
  <si>
    <t>(餘976)</t>
    <phoneticPr fontId="3" type="noConversion"/>
  </si>
  <si>
    <t>2012.1.20</t>
    <phoneticPr fontId="3" type="noConversion"/>
  </si>
  <si>
    <t>永誠年終</t>
    <phoneticPr fontId="3" type="noConversion"/>
  </si>
  <si>
    <t>2012.1.31</t>
    <phoneticPr fontId="3" type="noConversion"/>
  </si>
  <si>
    <t>水費</t>
    <phoneticPr fontId="3" type="noConversion"/>
  </si>
  <si>
    <t>水費-101.1月</t>
    <phoneticPr fontId="3" type="noConversion"/>
  </si>
  <si>
    <t>(餘788)</t>
    <phoneticPr fontId="3" type="noConversion"/>
  </si>
  <si>
    <t>2012.1.31 與現金符合</t>
    <phoneticPr fontId="3" type="noConversion"/>
  </si>
  <si>
    <t>2012.2.1</t>
    <phoneticPr fontId="3" type="noConversion"/>
  </si>
  <si>
    <t>2012.2 北平房租-台銀網銀轉帳</t>
    <phoneticPr fontId="3" type="noConversion"/>
  </si>
  <si>
    <t>零用金轉達</t>
    <phoneticPr fontId="3" type="noConversion"/>
  </si>
  <si>
    <t>郵費</t>
    <phoneticPr fontId="3" type="noConversion"/>
  </si>
  <si>
    <t>郵票 @5*2</t>
    <phoneticPr fontId="3" type="noConversion"/>
  </si>
  <si>
    <t>(餘778)</t>
    <phoneticPr fontId="3" type="noConversion"/>
  </si>
  <si>
    <t>2012.2.2</t>
    <phoneticPr fontId="3" type="noConversion"/>
  </si>
  <si>
    <t>(餘5778)</t>
    <phoneticPr fontId="3" type="noConversion"/>
  </si>
  <si>
    <t>2012.2.6</t>
    <phoneticPr fontId="3" type="noConversion"/>
  </si>
  <si>
    <t>101.1 永</t>
    <phoneticPr fontId="3" type="noConversion"/>
  </si>
  <si>
    <t>101.1 達</t>
    <phoneticPr fontId="3" type="noConversion"/>
  </si>
  <si>
    <t>2012.2.10</t>
    <phoneticPr fontId="3" type="noConversion"/>
  </si>
  <si>
    <t>2012.1 card ada代刷</t>
    <phoneticPr fontId="3" type="noConversion"/>
  </si>
  <si>
    <t>2012.2.17</t>
    <phoneticPr fontId="3" type="noConversion"/>
  </si>
  <si>
    <t>郵費</t>
    <phoneticPr fontId="3" type="noConversion"/>
  </si>
  <si>
    <t>AOPEN送修郵局包裹費</t>
    <phoneticPr fontId="3" type="noConversion"/>
  </si>
  <si>
    <t>(餘5708)</t>
    <phoneticPr fontId="3" type="noConversion"/>
  </si>
  <si>
    <t>2012.2.20</t>
    <phoneticPr fontId="3" type="noConversion"/>
  </si>
  <si>
    <t>管理費-2012.2</t>
    <phoneticPr fontId="3" type="noConversion"/>
  </si>
  <si>
    <t>(餘4503)</t>
    <phoneticPr fontId="3" type="noConversion"/>
  </si>
  <si>
    <t>2012.2.23</t>
    <phoneticPr fontId="3" type="noConversion"/>
  </si>
  <si>
    <t>雜項購置</t>
    <phoneticPr fontId="3" type="noConversion"/>
  </si>
  <si>
    <t>SATA2USB 傳輸線</t>
    <phoneticPr fontId="3" type="noConversion"/>
  </si>
  <si>
    <t>(餘4083)</t>
    <phoneticPr fontId="3" type="noConversion"/>
  </si>
  <si>
    <t>2012.2.23 與現金符合</t>
    <phoneticPr fontId="3" type="noConversion"/>
  </si>
  <si>
    <t>2012.2.24</t>
    <phoneticPr fontId="3" type="noConversion"/>
  </si>
  <si>
    <t>5公升垃圾袋 @45*4</t>
    <phoneticPr fontId="3" type="noConversion"/>
  </si>
  <si>
    <t>(餘3903)</t>
    <phoneticPr fontId="3" type="noConversion"/>
  </si>
  <si>
    <t>2012.3.1</t>
    <phoneticPr fontId="3" type="noConversion"/>
  </si>
  <si>
    <t>2012.3 北平房租-台銀網銀轉帳</t>
    <phoneticPr fontId="3" type="noConversion"/>
  </si>
  <si>
    <t>2012.3.5</t>
    <phoneticPr fontId="3" type="noConversion"/>
  </si>
  <si>
    <t>101.2 永</t>
    <phoneticPr fontId="3" type="noConversion"/>
  </si>
  <si>
    <t>101.2 達</t>
    <phoneticPr fontId="3" type="noConversion"/>
  </si>
  <si>
    <t>文具費</t>
    <phoneticPr fontId="3" type="noConversion"/>
  </si>
  <si>
    <t>A4紙</t>
    <phoneticPr fontId="3" type="noConversion"/>
  </si>
  <si>
    <t>(餘3783)</t>
    <phoneticPr fontId="3" type="noConversion"/>
  </si>
  <si>
    <t>2012.3.6</t>
    <phoneticPr fontId="3" type="noConversion"/>
  </si>
  <si>
    <t>進貨-電腦零件</t>
    <phoneticPr fontId="3" type="noConversion"/>
  </si>
  <si>
    <t>紐頓-金士頓DDR3-2G@350*3</t>
    <phoneticPr fontId="3" type="noConversion"/>
  </si>
  <si>
    <t>(餘2733)</t>
    <phoneticPr fontId="3" type="noConversion"/>
  </si>
  <si>
    <t>2012.3.6</t>
    <phoneticPr fontId="3" type="noConversion"/>
  </si>
  <si>
    <t>華算101.3-4三聯式發票</t>
    <phoneticPr fontId="3" type="noConversion"/>
  </si>
  <si>
    <t>(餘2715)</t>
    <phoneticPr fontId="3" type="noConversion"/>
  </si>
  <si>
    <t>2012.3.7</t>
    <phoneticPr fontId="3" type="noConversion"/>
  </si>
  <si>
    <t>交通費</t>
    <phoneticPr fontId="3" type="noConversion"/>
  </si>
  <si>
    <t>計程車資-勤業裝機</t>
    <phoneticPr fontId="3" type="noConversion"/>
  </si>
  <si>
    <t>(餘2480)</t>
    <phoneticPr fontId="3" type="noConversion"/>
  </si>
  <si>
    <t>2012.3.9</t>
    <phoneticPr fontId="3" type="noConversion"/>
  </si>
  <si>
    <t>順豐運貨-E3400 CPU 5顆</t>
    <phoneticPr fontId="3" type="noConversion"/>
  </si>
  <si>
    <t>(餘2339)</t>
    <phoneticPr fontId="3" type="noConversion"/>
  </si>
  <si>
    <t>2012.3.12</t>
    <phoneticPr fontId="3" type="noConversion"/>
  </si>
  <si>
    <t>順豐運貨-E3400 CPU FAN 5個</t>
    <phoneticPr fontId="3" type="noConversion"/>
  </si>
  <si>
    <t>(餘2198)</t>
    <phoneticPr fontId="3" type="noConversion"/>
  </si>
  <si>
    <t>饒媽申請債權証明</t>
    <phoneticPr fontId="3" type="noConversion"/>
  </si>
  <si>
    <t>401.2012.1/2012.2</t>
    <phoneticPr fontId="3" type="noConversion"/>
  </si>
  <si>
    <t>水費-101.3月</t>
    <phoneticPr fontId="3" type="noConversion"/>
  </si>
  <si>
    <t>文具費</t>
    <phoneticPr fontId="3" type="noConversion"/>
  </si>
  <si>
    <t>文具-合約封面紙@39*2</t>
    <phoneticPr fontId="3" type="noConversion"/>
  </si>
  <si>
    <t>掛號-愛浪合約發票回郵信封</t>
    <phoneticPr fontId="3" type="noConversion"/>
  </si>
  <si>
    <t>零用金轉ADA</t>
    <phoneticPr fontId="3" type="noConversion"/>
  </si>
  <si>
    <t>(餘6887)</t>
    <phoneticPr fontId="3" type="noConversion"/>
  </si>
  <si>
    <t>2012.3.12 與現金符合</t>
    <phoneticPr fontId="3" type="noConversion"/>
  </si>
  <si>
    <t>2012.3.13</t>
    <phoneticPr fontId="3" type="noConversion"/>
  </si>
  <si>
    <t>交通費</t>
    <phoneticPr fontId="3" type="noConversion"/>
  </si>
  <si>
    <t>計程車資-雙安裝機</t>
    <phoneticPr fontId="3" type="noConversion"/>
  </si>
  <si>
    <t>(餘6742)</t>
    <phoneticPr fontId="3" type="noConversion"/>
  </si>
  <si>
    <t>2012.3.14</t>
    <phoneticPr fontId="3" type="noConversion"/>
  </si>
  <si>
    <t>新竹貨運-划板車</t>
    <phoneticPr fontId="3" type="noConversion"/>
  </si>
  <si>
    <t>(餘6632)</t>
    <phoneticPr fontId="3" type="noConversion"/>
  </si>
  <si>
    <t>紐頓-金士頓DDR3-2G@350*5</t>
    <phoneticPr fontId="3" type="noConversion"/>
  </si>
  <si>
    <t>管理費-2012.3</t>
    <phoneticPr fontId="3" type="noConversion"/>
  </si>
  <si>
    <t>(餘3677)</t>
    <phoneticPr fontId="3" type="noConversion"/>
  </si>
  <si>
    <t>2012.3.19</t>
    <phoneticPr fontId="3" type="noConversion"/>
  </si>
  <si>
    <t>計程車資-喜可裝機</t>
    <phoneticPr fontId="3" type="noConversion"/>
  </si>
  <si>
    <t>計程車資-喜可裝機</t>
    <phoneticPr fontId="3" type="noConversion"/>
  </si>
  <si>
    <t>(餘2957)</t>
    <phoneticPr fontId="3" type="noConversion"/>
  </si>
  <si>
    <t>2012.3.21</t>
    <phoneticPr fontId="3" type="noConversion"/>
  </si>
  <si>
    <t>合約紙內頁 @48*2</t>
    <phoneticPr fontId="3" type="noConversion"/>
  </si>
  <si>
    <t>廁所清潔劑</t>
    <phoneticPr fontId="3" type="noConversion"/>
  </si>
  <si>
    <t>(餘2802)</t>
    <phoneticPr fontId="3" type="noConversion"/>
  </si>
  <si>
    <t>2012.3.23</t>
    <phoneticPr fontId="3" type="noConversion"/>
  </si>
  <si>
    <t>去漬油-清潔機箱外瞉</t>
    <phoneticPr fontId="3" type="noConversion"/>
  </si>
  <si>
    <t>(餘2757)</t>
    <phoneticPr fontId="3" type="noConversion"/>
  </si>
  <si>
    <t>2012.3.27</t>
    <phoneticPr fontId="3" type="noConversion"/>
  </si>
  <si>
    <t>計程車資-愛浪裝機</t>
    <phoneticPr fontId="3" type="noConversion"/>
  </si>
  <si>
    <t>交通費</t>
    <phoneticPr fontId="3" type="noConversion"/>
  </si>
  <si>
    <t xml:space="preserve"> </t>
    <phoneticPr fontId="3" type="noConversion"/>
  </si>
  <si>
    <t>(餘2407)</t>
    <phoneticPr fontId="3" type="noConversion"/>
  </si>
  <si>
    <t>2012.3.28</t>
    <phoneticPr fontId="3" type="noConversion"/>
  </si>
  <si>
    <t>股東往來</t>
    <phoneticPr fontId="3" type="noConversion"/>
  </si>
  <si>
    <t>現金存入饒郵局, 原郵局存款$280247, 匯出 $281010 
給梅陳滿蕙 TEL:02-23912433 
台北青田郵局 #700 000 1071 0654 698</t>
    <phoneticPr fontId="3" type="noConversion"/>
  </si>
  <si>
    <t>股東往來</t>
    <phoneticPr fontId="3" type="noConversion"/>
  </si>
  <si>
    <t>郵局匯款手續費付現</t>
    <phoneticPr fontId="3" type="noConversion"/>
  </si>
  <si>
    <t>(餘1577)</t>
    <phoneticPr fontId="3" type="noConversion"/>
  </si>
  <si>
    <t>2012.3.28 與現金符合</t>
    <phoneticPr fontId="3" type="noConversion"/>
  </si>
  <si>
    <t>2012.3.29</t>
    <phoneticPr fontId="3" type="noConversion"/>
  </si>
  <si>
    <t>計程車資-漢聯裝機</t>
    <phoneticPr fontId="3" type="noConversion"/>
  </si>
  <si>
    <t>計程車資-漢聯裝機</t>
    <phoneticPr fontId="3" type="noConversion"/>
  </si>
  <si>
    <t xml:space="preserve"> </t>
    <phoneticPr fontId="3" type="noConversion"/>
  </si>
  <si>
    <t>(餘1322)</t>
    <phoneticPr fontId="3" type="noConversion"/>
  </si>
  <si>
    <t>2012.3.30</t>
    <phoneticPr fontId="3" type="noConversion"/>
  </si>
  <si>
    <t>計程車資-台一裝機</t>
    <phoneticPr fontId="3" type="noConversion"/>
  </si>
  <si>
    <t>計程車資-台一裝機</t>
    <phoneticPr fontId="3" type="noConversion"/>
  </si>
  <si>
    <t>(餘1162)</t>
    <phoneticPr fontId="3" type="noConversion"/>
  </si>
  <si>
    <t>2012.4.2</t>
    <phoneticPr fontId="3" type="noConversion"/>
  </si>
  <si>
    <t>2012.4 北平房租-台銀網銀轉帳</t>
    <phoneticPr fontId="3" type="noConversion"/>
  </si>
  <si>
    <t>掛號郵資-宇權合約(附回郵信封)</t>
    <phoneticPr fontId="3" type="noConversion"/>
  </si>
  <si>
    <t xml:space="preserve"> </t>
    <phoneticPr fontId="3" type="noConversion"/>
  </si>
  <si>
    <t>(餘1127)</t>
    <phoneticPr fontId="3" type="noConversion"/>
  </si>
  <si>
    <t>2012.4.3</t>
    <phoneticPr fontId="3" type="noConversion"/>
  </si>
  <si>
    <t>計程車資-邁拓裝機</t>
    <phoneticPr fontId="3" type="noConversion"/>
  </si>
  <si>
    <t>計程車資-邁拓裝機拿票</t>
    <phoneticPr fontId="3" type="noConversion"/>
  </si>
  <si>
    <t>(餘552)</t>
    <phoneticPr fontId="3" type="noConversion"/>
  </si>
  <si>
    <t>2012.4.5</t>
    <phoneticPr fontId="3" type="noConversion"/>
  </si>
  <si>
    <t>順豐運貨-E3400 CPU 3顆 E6600 CPU 2顆</t>
    <phoneticPr fontId="3" type="noConversion"/>
  </si>
  <si>
    <t>(餘411)</t>
    <phoneticPr fontId="3" type="noConversion"/>
  </si>
  <si>
    <t>2012.4.5</t>
    <phoneticPr fontId="3" type="noConversion"/>
  </si>
  <si>
    <t>2012.3 card ada代刷</t>
    <phoneticPr fontId="3" type="noConversion"/>
  </si>
  <si>
    <t>101.3 証</t>
    <phoneticPr fontId="3" type="noConversion"/>
  </si>
  <si>
    <t>101.3 欽</t>
    <phoneticPr fontId="3" type="noConversion"/>
  </si>
  <si>
    <t>101.3 永</t>
    <phoneticPr fontId="3" type="noConversion"/>
  </si>
  <si>
    <t>101.3 達</t>
    <phoneticPr fontId="3" type="noConversion"/>
  </si>
  <si>
    <t>(餘5411)</t>
    <phoneticPr fontId="3" type="noConversion"/>
  </si>
  <si>
    <t>2012.4.6</t>
    <phoneticPr fontId="3" type="noConversion"/>
  </si>
  <si>
    <t>順豐運貨-E3400 CPU 風扇 5顆</t>
    <phoneticPr fontId="3" type="noConversion"/>
  </si>
  <si>
    <t>(餘5270)</t>
    <phoneticPr fontId="3" type="noConversion"/>
  </si>
  <si>
    <t>2012.4.18</t>
    <phoneticPr fontId="3" type="noConversion"/>
  </si>
  <si>
    <t>博欽油資-愛浪/台一/漢聯</t>
    <phoneticPr fontId="3" type="noConversion"/>
  </si>
  <si>
    <t>(餘5170)</t>
    <phoneticPr fontId="3" type="noConversion"/>
  </si>
  <si>
    <t>2012.4.24</t>
    <phoneticPr fontId="3" type="noConversion"/>
  </si>
  <si>
    <t>管理費</t>
    <phoneticPr fontId="3" type="noConversion"/>
  </si>
  <si>
    <t>管理費-2012.4</t>
    <phoneticPr fontId="3" type="noConversion"/>
  </si>
  <si>
    <t>(餘3965)</t>
    <phoneticPr fontId="3" type="noConversion"/>
  </si>
  <si>
    <t>2012.4.25</t>
    <phoneticPr fontId="3" type="noConversion"/>
  </si>
  <si>
    <t>饒媽生日+母親節的錢</t>
    <phoneticPr fontId="3" type="noConversion"/>
  </si>
  <si>
    <t>2012.5.1</t>
    <phoneticPr fontId="3" type="noConversion"/>
  </si>
  <si>
    <t>2012.5 北平房租-台銀網銀轉帳</t>
    <phoneticPr fontId="3" type="noConversion"/>
  </si>
  <si>
    <t>2012.5.2</t>
    <phoneticPr fontId="3" type="noConversion"/>
  </si>
  <si>
    <t>華算101.5-6三聯式發票</t>
    <phoneticPr fontId="3" type="noConversion"/>
  </si>
  <si>
    <t>中正國稅局悠遊車資</t>
    <phoneticPr fontId="3" type="noConversion"/>
  </si>
  <si>
    <t>(餘3917)</t>
    <phoneticPr fontId="3" type="noConversion"/>
  </si>
  <si>
    <t>2012.5.7</t>
    <phoneticPr fontId="3" type="noConversion"/>
  </si>
  <si>
    <t>101.4 証</t>
    <phoneticPr fontId="3" type="noConversion"/>
  </si>
  <si>
    <t>101.4 欽</t>
    <phoneticPr fontId="3" type="noConversion"/>
  </si>
  <si>
    <t>101.4 欽---補勞保多扣</t>
    <phoneticPr fontId="3" type="noConversion"/>
  </si>
  <si>
    <t>101.4 達</t>
    <phoneticPr fontId="3" type="noConversion"/>
  </si>
  <si>
    <t>2012.5.8</t>
    <phoneticPr fontId="3" type="noConversion"/>
  </si>
  <si>
    <t>2012.4 card ada代刷</t>
    <phoneticPr fontId="3" type="noConversion"/>
  </si>
  <si>
    <t>計程車資-利泰慧裝機</t>
    <phoneticPr fontId="3" type="noConversion"/>
  </si>
  <si>
    <t>計程車資-利泰慧裝機</t>
    <phoneticPr fontId="3" type="noConversion"/>
  </si>
  <si>
    <t>(餘2867)</t>
    <phoneticPr fontId="3" type="noConversion"/>
  </si>
  <si>
    <t>2012.5.11</t>
    <phoneticPr fontId="3" type="noConversion"/>
  </si>
  <si>
    <t>401.2012.3/2012.4</t>
    <phoneticPr fontId="3" type="noConversion"/>
  </si>
  <si>
    <t>附郵掛號信封 $26*20</t>
    <phoneticPr fontId="3" type="noConversion"/>
  </si>
  <si>
    <t>(餘2347)</t>
    <phoneticPr fontId="3" type="noConversion"/>
  </si>
  <si>
    <t>2012.5.16</t>
    <phoneticPr fontId="3" type="noConversion"/>
  </si>
  <si>
    <t>計程車資-威倫裝機(主機異常未裝成)</t>
    <phoneticPr fontId="3" type="noConversion"/>
  </si>
  <si>
    <t>計程車資-威倫裝機(主機異常未裝成)</t>
    <phoneticPr fontId="3" type="noConversion"/>
  </si>
  <si>
    <t>(餘2002)</t>
    <phoneticPr fontId="3" type="noConversion"/>
  </si>
  <si>
    <t>2012.5.17</t>
    <phoneticPr fontId="3" type="noConversion"/>
  </si>
  <si>
    <t>計程車資-威倫裝機</t>
    <phoneticPr fontId="3" type="noConversion"/>
  </si>
  <si>
    <t>計程車資-威倫裝機</t>
    <phoneticPr fontId="3" type="noConversion"/>
  </si>
  <si>
    <t>(餘1657)</t>
    <phoneticPr fontId="3" type="noConversion"/>
  </si>
  <si>
    <t>2012.5.18</t>
    <phoneticPr fontId="3" type="noConversion"/>
  </si>
  <si>
    <t>管理費-2012.5</t>
    <phoneticPr fontId="3" type="noConversion"/>
  </si>
  <si>
    <t>(餘452)</t>
    <phoneticPr fontId="3" type="noConversion"/>
  </si>
  <si>
    <t>2012.5.21</t>
    <phoneticPr fontId="3" type="noConversion"/>
  </si>
  <si>
    <t>包裹-利泰慧分享器-寄回</t>
    <phoneticPr fontId="3" type="noConversion"/>
  </si>
  <si>
    <t>包裹-海特故障硬碟-寄回</t>
    <phoneticPr fontId="3" type="noConversion"/>
  </si>
  <si>
    <t>水費-101.5月</t>
    <phoneticPr fontId="3" type="noConversion"/>
  </si>
  <si>
    <t>(餘5103)</t>
    <phoneticPr fontId="3" type="noConversion"/>
  </si>
  <si>
    <t>2012.5.21 與現金符合</t>
    <phoneticPr fontId="3" type="noConversion"/>
  </si>
  <si>
    <t>2012.5.22</t>
    <phoneticPr fontId="3" type="noConversion"/>
  </si>
  <si>
    <t>文具費</t>
    <phoneticPr fontId="3" type="noConversion"/>
  </si>
  <si>
    <t>文具---合約封面紙 @39*4</t>
    <phoneticPr fontId="3" type="noConversion"/>
  </si>
  <si>
    <t>雜項購置</t>
    <phoneticPr fontId="3" type="noConversion"/>
  </si>
  <si>
    <t>電池9V---測線器用</t>
    <phoneticPr fontId="3" type="noConversion"/>
  </si>
  <si>
    <t>計程車資-品固裝機</t>
    <phoneticPr fontId="3" type="noConversion"/>
  </si>
  <si>
    <t>計程車資-品固裝機</t>
    <phoneticPr fontId="3" type="noConversion"/>
  </si>
  <si>
    <t>(餘4478)</t>
    <phoneticPr fontId="3" type="noConversion"/>
  </si>
  <si>
    <t>2012.5.24</t>
    <phoneticPr fontId="3" type="noConversion"/>
  </si>
  <si>
    <t>饒媽 2012.1-2012.12 零用
麻煩你付給饒媽 6000 *12 + 上次的3000 - 已付的30000 = 39000</t>
    <phoneticPr fontId="3" type="noConversion"/>
  </si>
  <si>
    <t>2012.5.28</t>
    <phoneticPr fontId="3" type="noConversion"/>
  </si>
  <si>
    <t>文具---合約膠帶 @48+@45</t>
    <phoneticPr fontId="3" type="noConversion"/>
  </si>
  <si>
    <t>掛號費---泰聯合約/發票</t>
    <phoneticPr fontId="3" type="noConversion"/>
  </si>
  <si>
    <t>(餘4350)</t>
    <phoneticPr fontId="3" type="noConversion"/>
  </si>
  <si>
    <t>2012.5.31</t>
    <phoneticPr fontId="3" type="noConversion"/>
  </si>
  <si>
    <t>計程車資-協億通裝機</t>
    <phoneticPr fontId="3" type="noConversion"/>
  </si>
  <si>
    <t>(餘4180)</t>
    <phoneticPr fontId="3" type="noConversion"/>
  </si>
  <si>
    <t>2012.6.1</t>
    <phoneticPr fontId="3" type="noConversion"/>
  </si>
  <si>
    <t>2012.6 北平房租-台銀網銀轉帳(開始漲兩千)</t>
    <phoneticPr fontId="3" type="noConversion"/>
  </si>
  <si>
    <t>2012.6.5</t>
    <phoneticPr fontId="3" type="noConversion"/>
  </si>
  <si>
    <t>101.5 証</t>
    <phoneticPr fontId="3" type="noConversion"/>
  </si>
  <si>
    <t>101.5 欽</t>
    <phoneticPr fontId="3" type="noConversion"/>
  </si>
  <si>
    <t>101.5 達</t>
    <phoneticPr fontId="3" type="noConversion"/>
  </si>
  <si>
    <t>2012.5 card ada代刷</t>
    <phoneticPr fontId="3" type="noConversion"/>
  </si>
  <si>
    <t>掛號費---勞健保申訴</t>
    <phoneticPr fontId="3" type="noConversion"/>
  </si>
  <si>
    <t>(餘4175)</t>
    <phoneticPr fontId="3" type="noConversion"/>
  </si>
  <si>
    <t>2012.6.5 與現金符合</t>
    <phoneticPr fontId="3" type="noConversion"/>
  </si>
  <si>
    <t>2012.6.18</t>
    <phoneticPr fontId="3" type="noConversion"/>
  </si>
  <si>
    <t>管理費-2012.6</t>
    <phoneticPr fontId="3" type="noConversion"/>
  </si>
  <si>
    <t>掛號費---廣豪合約 (無發票)</t>
    <phoneticPr fontId="3" type="noConversion"/>
  </si>
  <si>
    <t>$25郵票*20張</t>
    <phoneticPr fontId="3" type="noConversion"/>
  </si>
  <si>
    <t>(餘2435)</t>
    <phoneticPr fontId="3" type="noConversion"/>
  </si>
  <si>
    <t>2012.6.25</t>
    <phoneticPr fontId="3" type="noConversion"/>
  </si>
  <si>
    <t>雜費</t>
    <phoneticPr fontId="3" type="noConversion"/>
  </si>
  <si>
    <t>華算101.7-8三聯式發票</t>
    <phoneticPr fontId="3" type="noConversion"/>
  </si>
  <si>
    <t>衛生紙</t>
    <phoneticPr fontId="3" type="noConversion"/>
  </si>
  <si>
    <t>(餘2258)</t>
    <phoneticPr fontId="3" type="noConversion"/>
  </si>
  <si>
    <t>2012.6.25 達算延長停業-2012.07.01 ~ 2013.06.30</t>
    <phoneticPr fontId="3" type="noConversion"/>
  </si>
  <si>
    <t>2012.07.01</t>
    <phoneticPr fontId="3" type="noConversion"/>
  </si>
  <si>
    <t>2012.07 北平房租-台銀網銀轉帳(2012.06開始漲兩千)</t>
    <phoneticPr fontId="3" type="noConversion"/>
  </si>
  <si>
    <t>2012.7.5</t>
    <phoneticPr fontId="3" type="noConversion"/>
  </si>
  <si>
    <t>101.6 証</t>
    <phoneticPr fontId="3" type="noConversion"/>
  </si>
  <si>
    <t>101.6 欽</t>
    <phoneticPr fontId="3" type="noConversion"/>
  </si>
  <si>
    <t>101.6 達</t>
    <phoneticPr fontId="3" type="noConversion"/>
  </si>
  <si>
    <t>2012.07.09</t>
    <phoneticPr fontId="3" type="noConversion"/>
  </si>
  <si>
    <t>401.2012.05~06</t>
    <phoneticPr fontId="3" type="noConversion"/>
  </si>
  <si>
    <t>2012.6 card ada代刷</t>
    <phoneticPr fontId="3" type="noConversion"/>
  </si>
  <si>
    <t>鴻碩維護車資-台鐵</t>
    <phoneticPr fontId="3" type="noConversion"/>
  </si>
  <si>
    <t>鴻碩維護車資-計程車</t>
    <phoneticPr fontId="3" type="noConversion"/>
  </si>
  <si>
    <t>鴻碩維護車資-台鐵(另加$6元月台票)</t>
    <phoneticPr fontId="3" type="noConversion"/>
  </si>
  <si>
    <t>(餘2022)</t>
    <phoneticPr fontId="3" type="noConversion"/>
  </si>
  <si>
    <t>2012.07.10</t>
    <phoneticPr fontId="3" type="noConversion"/>
  </si>
  <si>
    <t>水費</t>
    <phoneticPr fontId="3" type="noConversion"/>
  </si>
  <si>
    <t>水費-101.7月</t>
    <phoneticPr fontId="3" type="noConversion"/>
  </si>
  <si>
    <t>(餘1813)</t>
    <phoneticPr fontId="3" type="noConversion"/>
  </si>
  <si>
    <t>2012.07.11</t>
    <phoneticPr fontId="3" type="noConversion"/>
  </si>
  <si>
    <t>維護油資</t>
    <phoneticPr fontId="3" type="noConversion"/>
  </si>
  <si>
    <t>(餘1713)</t>
    <phoneticPr fontId="3" type="noConversion"/>
  </si>
  <si>
    <t>2012.07.12</t>
    <phoneticPr fontId="3" type="noConversion"/>
  </si>
  <si>
    <t>掛號費---DV健保請款(補牙)</t>
    <phoneticPr fontId="3" type="noConversion"/>
  </si>
  <si>
    <t>(餘1683)</t>
    <phoneticPr fontId="3" type="noConversion"/>
  </si>
  <si>
    <t>2012.7.23</t>
    <phoneticPr fontId="3" type="noConversion"/>
  </si>
  <si>
    <t>管理費-2012.07</t>
    <phoneticPr fontId="3" type="noConversion"/>
  </si>
  <si>
    <t>(餘478)</t>
    <phoneticPr fontId="3" type="noConversion"/>
  </si>
  <si>
    <t>2012.8.1</t>
    <phoneticPr fontId="3" type="noConversion"/>
  </si>
  <si>
    <t>2012.08 北平房租-台銀網銀轉帳(2012.06開始漲兩千)</t>
    <phoneticPr fontId="3" type="noConversion"/>
  </si>
  <si>
    <t>2012.8.6</t>
    <phoneticPr fontId="3" type="noConversion"/>
  </si>
  <si>
    <t>101.6 欽 (台銀櫃台轉)</t>
    <phoneticPr fontId="3" type="noConversion"/>
  </si>
  <si>
    <t>2012.8.7</t>
    <phoneticPr fontId="3" type="noConversion"/>
  </si>
  <si>
    <t>掛號費-杉坤合約/發票</t>
    <phoneticPr fontId="3" type="noConversion"/>
  </si>
  <si>
    <t>郵票 @10 * 5張</t>
    <phoneticPr fontId="3" type="noConversion"/>
  </si>
  <si>
    <t>(餘393)</t>
    <phoneticPr fontId="3" type="noConversion"/>
  </si>
  <si>
    <t>2012.8.8</t>
    <phoneticPr fontId="3" type="noConversion"/>
  </si>
  <si>
    <t>電話費</t>
    <phoneticPr fontId="3" type="noConversion"/>
  </si>
  <si>
    <t>客服易付卡儲值</t>
    <phoneticPr fontId="3" type="noConversion"/>
  </si>
  <si>
    <t>(餘5093)</t>
    <phoneticPr fontId="3" type="noConversion"/>
  </si>
  <si>
    <t>2012.8.14</t>
    <phoneticPr fontId="3" type="noConversion"/>
  </si>
  <si>
    <t>文具費</t>
    <phoneticPr fontId="3" type="noConversion"/>
  </si>
  <si>
    <t>影印-合約封面 @2 * 12</t>
    <phoneticPr fontId="3" type="noConversion"/>
  </si>
  <si>
    <t>(餘5069)</t>
    <phoneticPr fontId="3" type="noConversion"/>
  </si>
  <si>
    <t>2012.8.16</t>
    <phoneticPr fontId="3" type="noConversion"/>
  </si>
  <si>
    <t>掛號費-達翌合約 (無發票)</t>
    <phoneticPr fontId="3" type="noConversion"/>
  </si>
  <si>
    <t>(餘5034)</t>
    <phoneticPr fontId="3" type="noConversion"/>
  </si>
  <si>
    <t>2012.8.21</t>
    <phoneticPr fontId="3" type="noConversion"/>
  </si>
  <si>
    <t>管理費-2012.08</t>
    <phoneticPr fontId="3" type="noConversion"/>
  </si>
  <si>
    <t>(餘3829)</t>
    <phoneticPr fontId="3" type="noConversion"/>
  </si>
  <si>
    <t>2012.8.28</t>
    <phoneticPr fontId="3" type="noConversion"/>
  </si>
  <si>
    <t>華算101.9-10三聯式發票</t>
    <phoneticPr fontId="3" type="noConversion"/>
  </si>
  <si>
    <t>掛號費-光興合約/發票</t>
    <phoneticPr fontId="3" type="noConversion"/>
  </si>
  <si>
    <t>(餘3776)</t>
    <phoneticPr fontId="3" type="noConversion"/>
  </si>
  <si>
    <t>2012.9.1</t>
    <phoneticPr fontId="3" type="noConversion"/>
  </si>
  <si>
    <t>2012.09 北平房租-台銀網銀轉帳(2012.06開始漲兩千)</t>
    <phoneticPr fontId="3" type="noConversion"/>
  </si>
  <si>
    <t>2012.09.03</t>
    <phoneticPr fontId="3" type="noConversion"/>
  </si>
  <si>
    <t>401.2012.07~08</t>
    <phoneticPr fontId="3" type="noConversion"/>
  </si>
  <si>
    <t>掛號費-鴻碩合約(無發票)</t>
    <phoneticPr fontId="3" type="noConversion"/>
  </si>
  <si>
    <t>(餘3731)</t>
    <phoneticPr fontId="3" type="noConversion"/>
  </si>
  <si>
    <t>2012.9.5</t>
    <phoneticPr fontId="3" type="noConversion"/>
  </si>
  <si>
    <t>101.8 欽</t>
    <phoneticPr fontId="3" type="noConversion"/>
  </si>
  <si>
    <t>2012.9.6</t>
    <phoneticPr fontId="3" type="noConversion"/>
  </si>
  <si>
    <t>101.8 証</t>
    <phoneticPr fontId="3" type="noConversion"/>
  </si>
  <si>
    <t>101.8 達</t>
    <phoneticPr fontId="3" type="noConversion"/>
  </si>
  <si>
    <t>2012.9.17</t>
    <phoneticPr fontId="3" type="noConversion"/>
  </si>
  <si>
    <t>松群維護PW臨時掛掉博欽附近先買</t>
    <phoneticPr fontId="3" type="noConversion"/>
  </si>
  <si>
    <t>(餘2786)</t>
    <phoneticPr fontId="3" type="noConversion"/>
  </si>
  <si>
    <t>2012.9.18</t>
    <phoneticPr fontId="3" type="noConversion"/>
  </si>
  <si>
    <t>(餘2617)</t>
    <phoneticPr fontId="3" type="noConversion"/>
  </si>
  <si>
    <t>2012.6.5 與現金符合</t>
    <phoneticPr fontId="3" type="noConversion"/>
  </si>
  <si>
    <t>2012.9.20</t>
    <phoneticPr fontId="3" type="noConversion"/>
  </si>
  <si>
    <t>管理費-2012.09</t>
    <phoneticPr fontId="3" type="noConversion"/>
  </si>
  <si>
    <t>(餘1412)</t>
    <phoneticPr fontId="3" type="noConversion"/>
  </si>
  <si>
    <t>2012.9.24</t>
    <phoneticPr fontId="3" type="noConversion"/>
  </si>
  <si>
    <t>水費-101.9月</t>
    <phoneticPr fontId="3" type="noConversion"/>
  </si>
  <si>
    <t>零用金</t>
    <phoneticPr fontId="3" type="noConversion"/>
  </si>
  <si>
    <t>(餘6224)</t>
    <phoneticPr fontId="3" type="noConversion"/>
  </si>
  <si>
    <t>2012.10.1</t>
    <phoneticPr fontId="3" type="noConversion"/>
  </si>
  <si>
    <t>2012.10 北平房租-台銀網銀轉帳(2012.06開始漲兩千)</t>
    <phoneticPr fontId="3" type="noConversion"/>
  </si>
  <si>
    <t>DV1: 可以麻煩你給饒媽6千嗎? 本來上星期就想要給了, 因為太忙,忘了</t>
    <phoneticPr fontId="3" type="noConversion"/>
  </si>
  <si>
    <t>2012.10.3</t>
    <phoneticPr fontId="3" type="noConversion"/>
  </si>
  <si>
    <t>維護油資-大碩</t>
    <phoneticPr fontId="3" type="noConversion"/>
  </si>
  <si>
    <t>維護油資-同皇-松群</t>
    <phoneticPr fontId="3" type="noConversion"/>
  </si>
  <si>
    <t>(餘6024)</t>
    <phoneticPr fontId="3" type="noConversion"/>
  </si>
  <si>
    <t>2012.10.04</t>
    <phoneticPr fontId="3" type="noConversion"/>
  </si>
  <si>
    <t>2012.09 card ada代刷</t>
    <phoneticPr fontId="3" type="noConversion"/>
  </si>
  <si>
    <t>2012.10.5</t>
    <phoneticPr fontId="3" type="noConversion"/>
  </si>
  <si>
    <t>101.9 欽</t>
    <phoneticPr fontId="3" type="noConversion"/>
  </si>
  <si>
    <t>101.9 証</t>
    <phoneticPr fontId="3" type="noConversion"/>
  </si>
  <si>
    <t>101.9 達</t>
    <phoneticPr fontId="3" type="noConversion"/>
  </si>
  <si>
    <t>2012.10.9</t>
    <phoneticPr fontId="3" type="noConversion"/>
  </si>
  <si>
    <t>依德洽談計程車資</t>
    <phoneticPr fontId="3" type="noConversion"/>
  </si>
  <si>
    <t>依德洽談計程車資</t>
    <phoneticPr fontId="3" type="noConversion"/>
  </si>
  <si>
    <t>UNI-CASE網址續約年費-代PT申請還款 (2012.07.09 101.06卡費)</t>
    <phoneticPr fontId="3" type="noConversion"/>
  </si>
  <si>
    <t>(餘6047)</t>
    <phoneticPr fontId="3" type="noConversion"/>
  </si>
  <si>
    <t>2012.10.11 與現金符合</t>
    <phoneticPr fontId="3" type="noConversion"/>
  </si>
  <si>
    <t>2012.10.24</t>
    <phoneticPr fontId="3" type="noConversion"/>
  </si>
  <si>
    <t>依德裝機計程車資</t>
    <phoneticPr fontId="3" type="noConversion"/>
  </si>
  <si>
    <t>管理費-2012.10</t>
    <phoneticPr fontId="3" type="noConversion"/>
  </si>
  <si>
    <t>(餘4382)</t>
    <phoneticPr fontId="3" type="noConversion"/>
  </si>
  <si>
    <t>2012.10.25</t>
    <phoneticPr fontId="3" type="noConversion"/>
  </si>
  <si>
    <t>依德維護車資去程</t>
    <phoneticPr fontId="3" type="noConversion"/>
  </si>
  <si>
    <t>依德維護車資回程</t>
    <phoneticPr fontId="3" type="noConversion"/>
  </si>
  <si>
    <t>(餘4318)</t>
    <phoneticPr fontId="3" type="noConversion"/>
  </si>
  <si>
    <t>2012.10.29</t>
    <phoneticPr fontId="3" type="noConversion"/>
  </si>
  <si>
    <t>買發票悠遊卡車資</t>
    <phoneticPr fontId="3" type="noConversion"/>
  </si>
  <si>
    <t>華算101.11-12三聯式發票</t>
    <phoneticPr fontId="3" type="noConversion"/>
  </si>
  <si>
    <t>公司悠遊卡儲值</t>
    <phoneticPr fontId="3" type="noConversion"/>
  </si>
  <si>
    <t>(餘4184)</t>
    <phoneticPr fontId="3" type="noConversion"/>
  </si>
  <si>
    <t>2012.11.1</t>
    <phoneticPr fontId="3" type="noConversion"/>
  </si>
  <si>
    <t>2012.11 北平房租-台銀網銀轉帳(2012.06開始漲兩千)</t>
    <phoneticPr fontId="3" type="noConversion"/>
  </si>
  <si>
    <t>依德維護計程車資去程</t>
    <phoneticPr fontId="3" type="noConversion"/>
  </si>
  <si>
    <t>(餘4013)</t>
    <phoneticPr fontId="3" type="noConversion"/>
  </si>
  <si>
    <t>2012.11.5</t>
    <phoneticPr fontId="3" type="noConversion"/>
  </si>
  <si>
    <t>101.10 欽</t>
    <phoneticPr fontId="3" type="noConversion"/>
  </si>
  <si>
    <t>101.10 達</t>
    <phoneticPr fontId="3" type="noConversion"/>
  </si>
  <si>
    <t>2012.11.6</t>
    <phoneticPr fontId="3" type="noConversion"/>
  </si>
  <si>
    <t>依/鎔KO獎金</t>
    <phoneticPr fontId="3" type="noConversion"/>
  </si>
  <si>
    <t>rayman3t: [2012/11/5 下午 05:37:50] Peter Chang: Hello....麻煩你明天幫我匯款，帳號資料如下：
[2012年11月5日 下午 05:34] MAGA Kelvin: 
&lt;&lt;&lt; 第一銀行(007) 大安分行
戶名: 陳相雄
帳號: 16150441793陳相雄 0932-894-331
DV1: 那就算ko的獎金抵好了
rayman3t: 是要把PT列進薪水支出嗎?
DV1: 不用
rayman3t: 是要把PT列進薪水的獎金支出嗎? 要開扣繳憑單
DV1: 只是請你注明一下</t>
    <phoneticPr fontId="3" type="noConversion"/>
  </si>
  <si>
    <t>PT匯款手續費</t>
    <phoneticPr fontId="3" type="noConversion"/>
  </si>
  <si>
    <t>(餘3983)</t>
    <phoneticPr fontId="3" type="noConversion"/>
  </si>
  <si>
    <t>2012.11.7</t>
    <phoneticPr fontId="3" type="noConversion"/>
  </si>
  <si>
    <t>道法維護計程車資去程</t>
    <phoneticPr fontId="3" type="noConversion"/>
  </si>
  <si>
    <t>道法維護車資回程</t>
    <phoneticPr fontId="3" type="noConversion"/>
  </si>
  <si>
    <t>(餘3863)</t>
    <phoneticPr fontId="3" type="noConversion"/>
  </si>
  <si>
    <t>2012.11.07</t>
    <phoneticPr fontId="3" type="noConversion"/>
  </si>
  <si>
    <t>2012.10 card ada代刷 (另一筆在 2012.11.28)</t>
    <phoneticPr fontId="3" type="noConversion"/>
  </si>
  <si>
    <t>2012.11.08</t>
    <phoneticPr fontId="3" type="noConversion"/>
  </si>
  <si>
    <t>傳真紙</t>
    <phoneticPr fontId="3" type="noConversion"/>
  </si>
  <si>
    <t>合約用紙</t>
    <phoneticPr fontId="3" type="noConversion"/>
  </si>
  <si>
    <t>合約封面影印</t>
    <phoneticPr fontId="3" type="noConversion"/>
  </si>
  <si>
    <t>(餘3627)</t>
    <phoneticPr fontId="3" type="noConversion"/>
  </si>
  <si>
    <t>2012.11.08 與現金符合</t>
    <phoneticPr fontId="3" type="noConversion"/>
  </si>
  <si>
    <t>2012.11.09</t>
    <phoneticPr fontId="3" type="noConversion"/>
  </si>
  <si>
    <t>掛號費-愛浪合約/發票</t>
    <phoneticPr fontId="3" type="noConversion"/>
  </si>
  <si>
    <t>掛號費-恩豪合約/發票</t>
    <phoneticPr fontId="3" type="noConversion"/>
  </si>
  <si>
    <t>郵票  @25 * 20張 @10 * 20張</t>
    <phoneticPr fontId="3" type="noConversion"/>
  </si>
  <si>
    <t>(餘2837)</t>
    <phoneticPr fontId="3" type="noConversion"/>
  </si>
  <si>
    <t>2012.11.12</t>
    <phoneticPr fontId="3" type="noConversion"/>
  </si>
  <si>
    <t>饒媽 2013.1-2013.06 零用
DV1: 不然先給明年上半年的
DV1: 36000有嗎
rayman3t: 有
DV1: 就是2013-01-06月</t>
    <phoneticPr fontId="3" type="noConversion"/>
  </si>
  <si>
    <t>2012.11.14</t>
    <phoneticPr fontId="3" type="noConversion"/>
  </si>
  <si>
    <t>掛號費-城乙合約/發票</t>
    <phoneticPr fontId="3" type="noConversion"/>
  </si>
  <si>
    <t>(餘2792)</t>
    <phoneticPr fontId="3" type="noConversion"/>
  </si>
  <si>
    <t>2012.11.16</t>
    <phoneticPr fontId="3" type="noConversion"/>
  </si>
  <si>
    <t>道法裝機計程車資</t>
    <phoneticPr fontId="3" type="noConversion"/>
  </si>
  <si>
    <t>道法裝機計程車資</t>
    <phoneticPr fontId="3" type="noConversion"/>
  </si>
  <si>
    <t>(餘2547)</t>
    <phoneticPr fontId="3" type="noConversion"/>
  </si>
  <si>
    <t>2012.11.20</t>
    <phoneticPr fontId="3" type="noConversion"/>
  </si>
  <si>
    <t>水費.101-11</t>
    <phoneticPr fontId="3" type="noConversion"/>
  </si>
  <si>
    <t>管理費-2012.11</t>
    <phoneticPr fontId="3" type="noConversion"/>
  </si>
  <si>
    <t>掛號費-鴻碩合約/發票</t>
    <phoneticPr fontId="3" type="noConversion"/>
  </si>
  <si>
    <t>掛號費-恩豪合約</t>
    <phoneticPr fontId="3" type="noConversion"/>
  </si>
  <si>
    <t>文具---標準信封100入</t>
    <phoneticPr fontId="3" type="noConversion"/>
  </si>
  <si>
    <t>2012.11.28</t>
    <phoneticPr fontId="3" type="noConversion"/>
  </si>
  <si>
    <t>2012.10 card ada代刷補ADA少算 (另一筆在 2012.11.07)</t>
    <phoneticPr fontId="3" type="noConversion"/>
  </si>
  <si>
    <t>旺旺達裝機計程車資</t>
    <phoneticPr fontId="3" type="noConversion"/>
  </si>
  <si>
    <t>2012.11.30</t>
    <phoneticPr fontId="3" type="noConversion"/>
  </si>
  <si>
    <t>2012.12.03</t>
    <phoneticPr fontId="3" type="noConversion"/>
  </si>
  <si>
    <t>2012.12 北平房租-台銀網銀轉帳(2012.06開始漲兩千)</t>
    <phoneticPr fontId="3" type="noConversion"/>
  </si>
  <si>
    <t>限時掛號費-城乙支票寄回重蓋公司章</t>
    <phoneticPr fontId="3" type="noConversion"/>
  </si>
  <si>
    <t>2012.12.5</t>
    <phoneticPr fontId="3" type="noConversion"/>
  </si>
  <si>
    <t>101.11 欽</t>
    <phoneticPr fontId="3" type="noConversion"/>
  </si>
  <si>
    <t>101.11 証</t>
    <phoneticPr fontId="3" type="noConversion"/>
  </si>
  <si>
    <t>101.11 達</t>
    <phoneticPr fontId="3" type="noConversion"/>
  </si>
  <si>
    <t>2012.12.07</t>
    <phoneticPr fontId="3" type="noConversion"/>
  </si>
  <si>
    <t>鴻碩裝機計程車資</t>
    <phoneticPr fontId="3" type="noConversion"/>
  </si>
  <si>
    <t>鴻碩裝機火車車資</t>
    <phoneticPr fontId="3" type="noConversion"/>
  </si>
  <si>
    <t>鴻碩裝機計程車資(單程,回程客戶便車)</t>
    <phoneticPr fontId="3" type="noConversion"/>
  </si>
  <si>
    <t>鴻碩裝機火車車資</t>
    <phoneticPr fontId="3" type="noConversion"/>
  </si>
  <si>
    <t>2012.12.10</t>
    <phoneticPr fontId="3" type="noConversion"/>
  </si>
  <si>
    <t>2012.11 card ada代刷</t>
    <phoneticPr fontId="3" type="noConversion"/>
  </si>
  <si>
    <t>2012.12.11</t>
    <phoneticPr fontId="3" type="noConversion"/>
  </si>
  <si>
    <t>鴻碩裝機計程車資(換HW重裝機)</t>
    <phoneticPr fontId="3" type="noConversion"/>
  </si>
  <si>
    <t>2012.12.12</t>
    <phoneticPr fontId="3" type="noConversion"/>
  </si>
  <si>
    <t>依德請款車資去程</t>
    <phoneticPr fontId="3" type="noConversion"/>
  </si>
  <si>
    <t>依德請款車資回程</t>
    <phoneticPr fontId="3" type="noConversion"/>
  </si>
  <si>
    <t>2012.12.12 與現金符合</t>
    <phoneticPr fontId="3" type="noConversion"/>
  </si>
  <si>
    <t>2012.12.17</t>
    <phoneticPr fontId="3" type="noConversion"/>
  </si>
  <si>
    <t>環保垃圾袋</t>
    <phoneticPr fontId="3" type="noConversion"/>
  </si>
  <si>
    <t>2012.12.18</t>
    <phoneticPr fontId="3" type="noConversion"/>
  </si>
  <si>
    <t>合約封面影印-依德</t>
    <phoneticPr fontId="3" type="noConversion"/>
  </si>
  <si>
    <t>掛號費-依德軟體合約*2限掛</t>
    <phoneticPr fontId="3" type="noConversion"/>
  </si>
  <si>
    <t>合約用紙@39*2</t>
    <phoneticPr fontId="3" type="noConversion"/>
  </si>
  <si>
    <t>2012.12.20</t>
    <phoneticPr fontId="3" type="noConversion"/>
  </si>
  <si>
    <t>管理費-2012.12</t>
    <phoneticPr fontId="3" type="noConversion"/>
  </si>
  <si>
    <t>2012.12.21</t>
    <phoneticPr fontId="3" type="noConversion"/>
  </si>
  <si>
    <t>DV1: 可以麻煩你查一下去年過年紅包多少錢嗎
rayman3t: 2011.11.25 $50000 饒媽 2011.7-2011.12 零用 (餘 年節紅包))
2011.12.30 $30000 饒媽 小孩紅包 (應轉3000聽錯轉了30000當作預付)
DV1: 所以是14000
DV1: 是嗎
DV1: 50000-36000=14000
rayman3t: 應該是吧
DV1: 麻煩轉16000 給他
DV1: 公司有錢
DV1: 嗎
rayman3t: 有
DV1: 好,3Q
DV1: 請轉
rayman3t: 已轉
DV1: 3Q
DV1: 麻煩通知一下
rayman3t: 16000紅包?
DV1: 是</t>
    <phoneticPr fontId="3" type="noConversion"/>
  </si>
  <si>
    <t>2012.12.25</t>
    <phoneticPr fontId="3" type="noConversion"/>
  </si>
  <si>
    <t>維護油資-台一/雙安</t>
    <phoneticPr fontId="3" type="noConversion"/>
  </si>
  <si>
    <t>維護油資-庭田</t>
    <phoneticPr fontId="3" type="noConversion"/>
  </si>
  <si>
    <t>鎔德移機車資</t>
    <phoneticPr fontId="3" type="noConversion"/>
  </si>
  <si>
    <t>2012.12.26</t>
    <phoneticPr fontId="3" type="noConversion"/>
  </si>
  <si>
    <t>華算102.01-02三聯式發票</t>
    <phoneticPr fontId="3" type="noConversion"/>
  </si>
  <si>
    <t>2013.1.2</t>
    <phoneticPr fontId="3" type="noConversion"/>
  </si>
  <si>
    <t>2013.01 北平房租-台銀網銀轉帳(2012.06開始漲兩千)</t>
    <phoneticPr fontId="3" type="noConversion"/>
  </si>
  <si>
    <t>2013.1.7</t>
    <phoneticPr fontId="3" type="noConversion"/>
  </si>
  <si>
    <t>101.12 欽</t>
    <phoneticPr fontId="3" type="noConversion"/>
  </si>
  <si>
    <t>101.12 証</t>
    <phoneticPr fontId="3" type="noConversion"/>
  </si>
  <si>
    <t>101.12 達</t>
    <phoneticPr fontId="3" type="noConversion"/>
  </si>
  <si>
    <t>2013.1.9</t>
    <phoneticPr fontId="3" type="noConversion"/>
  </si>
  <si>
    <t>2012.12 card ada代刷</t>
    <phoneticPr fontId="3" type="noConversion"/>
  </si>
  <si>
    <t>2013.1.8</t>
    <phoneticPr fontId="3" type="noConversion"/>
  </si>
  <si>
    <t>庭田裝機計程車資</t>
    <phoneticPr fontId="3" type="noConversion"/>
  </si>
  <si>
    <t>2013.1.14</t>
    <phoneticPr fontId="3" type="noConversion"/>
  </si>
  <si>
    <t>太暘裝機計程車資</t>
    <phoneticPr fontId="3" type="noConversion"/>
  </si>
  <si>
    <t>2013.1.17</t>
    <phoneticPr fontId="3" type="noConversion"/>
  </si>
  <si>
    <t>裕恆裝機計程車資</t>
    <phoneticPr fontId="3" type="noConversion"/>
  </si>
  <si>
    <t>2013.1.21</t>
    <phoneticPr fontId="3" type="noConversion"/>
  </si>
  <si>
    <t>電池9V---電話搖控器用</t>
    <phoneticPr fontId="3" type="noConversion"/>
  </si>
  <si>
    <t>庭田取回舊機停車費</t>
    <phoneticPr fontId="3" type="noConversion"/>
  </si>
  <si>
    <t>2013.1.23</t>
    <phoneticPr fontId="3" type="noConversion"/>
  </si>
  <si>
    <t>同皇裝機計程車資</t>
    <phoneticPr fontId="3" type="noConversion"/>
  </si>
  <si>
    <t>同皇裝機計程車資</t>
    <phoneticPr fontId="3" type="noConversion"/>
  </si>
  <si>
    <t>2013.01.24</t>
    <phoneticPr fontId="3" type="noConversion"/>
  </si>
  <si>
    <t>合約用紙@48*2, A4紙@120</t>
    <phoneticPr fontId="3" type="noConversion"/>
  </si>
  <si>
    <t>DV1: 我在想要如何給pt
DV1: 最好是可以換成人民幣
DV1: PT 欠我一萬人民幣 所以240000 - 46700 = 193300 
DV1: 帳上仍算是24萬都給他了
下午 1:03:29  DV1: 我現在可能要少付給PT4萬下午 1:03:42  rayman3t: OK下午 1:04:02  DV1: 193300 - 40000 = 153300</t>
    <phoneticPr fontId="3" type="noConversion"/>
  </si>
  <si>
    <t>2013.01.24</t>
    <phoneticPr fontId="3" type="noConversion"/>
  </si>
  <si>
    <t>管理費</t>
    <phoneticPr fontId="3" type="noConversion"/>
  </si>
  <si>
    <t>管理費-2013.01</t>
    <phoneticPr fontId="3" type="noConversion"/>
  </si>
  <si>
    <t>2013.01.25</t>
    <phoneticPr fontId="3" type="noConversion"/>
  </si>
  <si>
    <t>水費</t>
    <phoneticPr fontId="3" type="noConversion"/>
  </si>
  <si>
    <t>水費.102-01</t>
    <phoneticPr fontId="3" type="noConversion"/>
  </si>
  <si>
    <t>2013.02.01</t>
    <phoneticPr fontId="3" type="noConversion"/>
  </si>
  <si>
    <t>Peter Chang: 你幫我問一下阿達...何時可以領到錢及轉帳
dvonsky: 所以直接轉 200000 扣 10000 * 4.75 = 152500 給梅海是嗎
dvonsky: 請給我梅海的台灣帳號
Peter Chang: 不是...直接將二十萬轉給梅海
Peter Chang: 我這裏幫你付運費，我還差你一萬人民幣，付人運費剩下的等你回來再算
dvonsky: 好
DV1: 開戶銀行：聯邦銀行 安康分行
開戶名： 黃亞嬌
帳號： 0815 080 12066
DV1: 請問可以網上轉嗎
rayman3t: 不行
DV1: 那你有空去嗎
rayman3t: OK
rayman3t: 轉20萬嗎?
DV1: 是</t>
    <phoneticPr fontId="3" type="noConversion"/>
  </si>
  <si>
    <t>2013.02 北平房租-台銀網銀轉帳(2012.06開始漲兩千)</t>
    <phoneticPr fontId="3" type="noConversion"/>
  </si>
  <si>
    <t>2013.02.05</t>
    <phoneticPr fontId="3" type="noConversion"/>
  </si>
  <si>
    <t>102.01 欽</t>
    <phoneticPr fontId="3" type="noConversion"/>
  </si>
  <si>
    <t>102.01 欽-年終</t>
    <phoneticPr fontId="3" type="noConversion"/>
  </si>
  <si>
    <t>102.01 証</t>
    <phoneticPr fontId="3" type="noConversion"/>
  </si>
  <si>
    <t>102.01 達</t>
    <phoneticPr fontId="3" type="noConversion"/>
  </si>
  <si>
    <t>102.01 達-年終</t>
    <phoneticPr fontId="3" type="noConversion"/>
  </si>
  <si>
    <t>2013.02.06</t>
    <phoneticPr fontId="3" type="noConversion"/>
  </si>
  <si>
    <t>2013.01 card ada代刷</t>
    <phoneticPr fontId="3" type="noConversion"/>
  </si>
  <si>
    <t>透明膠布</t>
    <phoneticPr fontId="3" type="noConversion"/>
  </si>
  <si>
    <t>合約封面影印</t>
    <phoneticPr fontId="3" type="noConversion"/>
  </si>
  <si>
    <t>PT20萬匯費</t>
    <phoneticPr fontId="3" type="noConversion"/>
  </si>
  <si>
    <t>鎔德領支票車資</t>
    <phoneticPr fontId="3" type="noConversion"/>
  </si>
  <si>
    <t>鎔德領支票車資</t>
    <phoneticPr fontId="3" type="noConversion"/>
  </si>
  <si>
    <t>電話費</t>
    <phoneticPr fontId="3" type="noConversion"/>
  </si>
  <si>
    <t>(與現金相符)</t>
    <phoneticPr fontId="3" type="noConversion"/>
  </si>
  <si>
    <t>2013.02.21</t>
    <phoneticPr fontId="3" type="noConversion"/>
  </si>
  <si>
    <t>管理費</t>
    <phoneticPr fontId="3" type="noConversion"/>
  </si>
  <si>
    <t>管理費-2013.02</t>
    <phoneticPr fontId="3" type="noConversion"/>
  </si>
  <si>
    <t>2013.02.25</t>
    <phoneticPr fontId="3" type="noConversion"/>
  </si>
  <si>
    <t>rayman3t: 梅海 024186629388 匯豐銀行 永和分行
匯 NT$19萬嗎
DV1: 請匯40000 x 4.76=190400</t>
    <phoneticPr fontId="3" type="noConversion"/>
  </si>
  <si>
    <t>2013.02.26</t>
    <phoneticPr fontId="3" type="noConversion"/>
  </si>
  <si>
    <t>詩菁抽屜零錢</t>
    <phoneticPr fontId="3" type="noConversion"/>
  </si>
  <si>
    <t>購買發票車資-改聯邦銀行代售</t>
    <phoneticPr fontId="3" type="noConversion"/>
  </si>
  <si>
    <t>華算102.03-04三聯式發票</t>
    <phoneticPr fontId="3" type="noConversion"/>
  </si>
  <si>
    <t>2013.3.1</t>
    <phoneticPr fontId="3" type="noConversion"/>
  </si>
  <si>
    <t>2013.03 北平房租-台銀網銀轉帳(2012.06開始漲兩千)</t>
    <phoneticPr fontId="3" type="noConversion"/>
  </si>
  <si>
    <t>郵票 @5 * 10張</t>
    <phoneticPr fontId="3" type="noConversion"/>
  </si>
  <si>
    <t>2013.03.05</t>
    <phoneticPr fontId="3" type="noConversion"/>
  </si>
  <si>
    <t>102.01 達</t>
    <phoneticPr fontId="3" type="noConversion"/>
  </si>
  <si>
    <t>(達先轉$33248餘$3萬待轉)</t>
    <phoneticPr fontId="3" type="noConversion"/>
  </si>
  <si>
    <t>2013.2 card ada代刷</t>
    <phoneticPr fontId="3" type="noConversion"/>
  </si>
  <si>
    <t>2013.03.08</t>
    <phoneticPr fontId="3" type="noConversion"/>
  </si>
  <si>
    <t>鏍絲起子/斜口鉗/尖嘴鉗</t>
    <phoneticPr fontId="3" type="noConversion"/>
  </si>
  <si>
    <t>(達先轉$15000餘$1萬5待轉)</t>
    <phoneticPr fontId="3" type="noConversion"/>
  </si>
  <si>
    <t>2013.03.12</t>
    <phoneticPr fontId="3" type="noConversion"/>
  </si>
  <si>
    <t>掛號費-八亨合約*2發票</t>
    <phoneticPr fontId="3" type="noConversion"/>
  </si>
  <si>
    <t>2013.03.13</t>
    <phoneticPr fontId="3" type="noConversion"/>
  </si>
  <si>
    <t>401.2013.01~02</t>
    <phoneticPr fontId="3" type="noConversion"/>
  </si>
  <si>
    <t>(達轉餘額$15000)</t>
    <phoneticPr fontId="3" type="noConversion"/>
  </si>
  <si>
    <t>2013.03.13</t>
    <phoneticPr fontId="3" type="noConversion"/>
  </si>
  <si>
    <t>水費.102-03</t>
    <phoneticPr fontId="3" type="noConversion"/>
  </si>
  <si>
    <t>管理費-2013.03</t>
    <phoneticPr fontId="3" type="noConversion"/>
  </si>
  <si>
    <t>2013.03.27</t>
    <phoneticPr fontId="3" type="noConversion"/>
  </si>
  <si>
    <t>掛號費-大成合約*2發票</t>
    <phoneticPr fontId="3" type="noConversion"/>
  </si>
  <si>
    <t>2013.4.1</t>
    <phoneticPr fontId="3" type="noConversion"/>
  </si>
  <si>
    <t>2013.04 北平房租-台銀網銀轉帳(2012.06開始漲兩千)</t>
    <phoneticPr fontId="3" type="noConversion"/>
  </si>
  <si>
    <t>維護油資-宏觀/達翌/合碩</t>
    <phoneticPr fontId="3" type="noConversion"/>
  </si>
  <si>
    <t>2013.04.08</t>
    <phoneticPr fontId="3" type="noConversion"/>
  </si>
  <si>
    <t>102.03 欽</t>
    <phoneticPr fontId="3" type="noConversion"/>
  </si>
  <si>
    <t>102.03 張</t>
    <phoneticPr fontId="3" type="noConversion"/>
  </si>
  <si>
    <t>102.03 達</t>
    <phoneticPr fontId="3" type="noConversion"/>
  </si>
  <si>
    <t>2013.4.10</t>
    <phoneticPr fontId="3" type="noConversion"/>
  </si>
  <si>
    <t>交通費</t>
    <phoneticPr fontId="3" type="noConversion"/>
  </si>
  <si>
    <t>威視裝機計程車資</t>
    <phoneticPr fontId="3" type="noConversion"/>
  </si>
  <si>
    <t>2013.4.17</t>
    <phoneticPr fontId="3" type="noConversion"/>
  </si>
  <si>
    <t>郵票 @25 * 20張</t>
    <phoneticPr fontId="3" type="noConversion"/>
  </si>
  <si>
    <t>掛號費-邁登合約*2發票</t>
    <phoneticPr fontId="3" type="noConversion"/>
  </si>
  <si>
    <t>2013.4.19</t>
    <phoneticPr fontId="3" type="noConversion"/>
  </si>
  <si>
    <t>八亨換機悠遊卡車資</t>
    <phoneticPr fontId="3" type="noConversion"/>
  </si>
  <si>
    <t>八亨換機計程車資</t>
    <phoneticPr fontId="3" type="noConversion"/>
  </si>
  <si>
    <t>八亨換機計程車資</t>
    <phoneticPr fontId="3" type="noConversion"/>
  </si>
  <si>
    <t>2013.04.25</t>
    <phoneticPr fontId="3" type="noConversion"/>
  </si>
  <si>
    <t>管理費-2013.04</t>
    <phoneticPr fontId="3" type="noConversion"/>
  </si>
  <si>
    <t>2013.4.26</t>
    <phoneticPr fontId="3" type="noConversion"/>
  </si>
  <si>
    <t>悠遊卡加值</t>
    <phoneticPr fontId="3" type="noConversion"/>
  </si>
  <si>
    <t>2013.4.29</t>
    <phoneticPr fontId="3" type="noConversion"/>
  </si>
  <si>
    <t>順豐寄101年度營所稅申報書一份</t>
    <phoneticPr fontId="3" type="noConversion"/>
  </si>
  <si>
    <t>2013.4.30</t>
    <phoneticPr fontId="3" type="noConversion"/>
  </si>
  <si>
    <t>悠遊卡加值西拓</t>
    <phoneticPr fontId="3" type="noConversion"/>
  </si>
  <si>
    <t>2013.5.1</t>
    <phoneticPr fontId="3" type="noConversion"/>
  </si>
  <si>
    <t>2013.05 北平房租-台銀網銀轉帳(2012.06開始漲兩千)</t>
    <phoneticPr fontId="3" type="noConversion"/>
  </si>
  <si>
    <t>401.2013.03~04</t>
    <phoneticPr fontId="3" type="noConversion"/>
  </si>
  <si>
    <t>2013.5.2</t>
    <phoneticPr fontId="3" type="noConversion"/>
  </si>
  <si>
    <t>饒媽
DV1: 請匯 6000 * 6 (2013/7 - 12月)+3000 母親節
DV1: 39000</t>
    <phoneticPr fontId="3" type="noConversion"/>
  </si>
  <si>
    <t>2013.05.06</t>
    <phoneticPr fontId="3" type="noConversion"/>
  </si>
  <si>
    <t>102.04 欽</t>
    <phoneticPr fontId="3" type="noConversion"/>
  </si>
  <si>
    <t>102.04 張</t>
    <phoneticPr fontId="3" type="noConversion"/>
  </si>
  <si>
    <t>102.04 達 (餘額不足先轉, 餘$30000)</t>
    <phoneticPr fontId="3" type="noConversion"/>
  </si>
  <si>
    <t>悠遊卡加值依德</t>
    <phoneticPr fontId="3" type="noConversion"/>
  </si>
  <si>
    <t>2013.05.07</t>
    <phoneticPr fontId="3" type="noConversion"/>
  </si>
  <si>
    <t>102.04 達 (薪餘額不足-補)</t>
    <phoneticPr fontId="3" type="noConversion"/>
  </si>
  <si>
    <t>2013.4 card ada代刷</t>
    <phoneticPr fontId="3" type="noConversion"/>
  </si>
  <si>
    <t>2013.05.08</t>
    <phoneticPr fontId="3" type="noConversion"/>
  </si>
  <si>
    <t>車源二次款
[上午 10:19:16] Peter Chang: 你再注意一下...二筆都入帳後，要麻煩你轉匯....資料如下：
戶名：黃亞嬌
銀行：聯邦銀行安康分行
帳號：024 186629 388</t>
    <phoneticPr fontId="3" type="noConversion"/>
  </si>
  <si>
    <t>2013.05.09</t>
    <phoneticPr fontId="3" type="noConversion"/>
  </si>
  <si>
    <t>文具筆</t>
    <phoneticPr fontId="3" type="noConversion"/>
  </si>
  <si>
    <t>2013.05.15</t>
    <phoneticPr fontId="3" type="noConversion"/>
  </si>
  <si>
    <t>雜費</t>
    <phoneticPr fontId="3" type="noConversion"/>
  </si>
  <si>
    <t>衛生紙</t>
    <phoneticPr fontId="3" type="noConversion"/>
  </si>
  <si>
    <t>2013.05.23</t>
    <phoneticPr fontId="3" type="noConversion"/>
  </si>
  <si>
    <t>管理費-2013.05</t>
    <phoneticPr fontId="3" type="noConversion"/>
  </si>
  <si>
    <t>2013.05.31</t>
    <phoneticPr fontId="3" type="noConversion"/>
  </si>
  <si>
    <t>水費.102-05</t>
    <phoneticPr fontId="3" type="noConversion"/>
  </si>
  <si>
    <t>2013.6.1</t>
    <phoneticPr fontId="3" type="noConversion"/>
  </si>
  <si>
    <t>2013.06 北平房租-台銀網銀轉帳(2012.06開始漲兩千)</t>
    <phoneticPr fontId="3" type="noConversion"/>
  </si>
  <si>
    <t>2013.06.5</t>
    <phoneticPr fontId="3" type="noConversion"/>
  </si>
  <si>
    <t>102.05 欽</t>
    <phoneticPr fontId="3" type="noConversion"/>
  </si>
  <si>
    <t>102.05 達</t>
    <phoneticPr fontId="3" type="noConversion"/>
  </si>
  <si>
    <t>白膠布,矽利康</t>
    <phoneticPr fontId="3" type="noConversion"/>
  </si>
  <si>
    <t>2013.06.6</t>
    <phoneticPr fontId="3" type="noConversion"/>
  </si>
  <si>
    <t>國稅局辦達算停業車資</t>
    <phoneticPr fontId="3" type="noConversion"/>
  </si>
  <si>
    <t>2013.6.10</t>
    <phoneticPr fontId="3" type="noConversion"/>
  </si>
  <si>
    <t>掛號費-國稅局營所稅網路申報,紙本寄送</t>
    <phoneticPr fontId="3" type="noConversion"/>
  </si>
  <si>
    <t>(與現金相符)</t>
    <phoneticPr fontId="3" type="noConversion"/>
  </si>
  <si>
    <t>2013.6.14</t>
    <phoneticPr fontId="3" type="noConversion"/>
  </si>
  <si>
    <t>2013.6.17</t>
    <phoneticPr fontId="3" type="noConversion"/>
  </si>
  <si>
    <t>松群換機計程車資</t>
    <phoneticPr fontId="3" type="noConversion"/>
  </si>
  <si>
    <t>松群換機計程車資</t>
    <phoneticPr fontId="3" type="noConversion"/>
  </si>
  <si>
    <t>2013.6.18</t>
    <phoneticPr fontId="3" type="noConversion"/>
  </si>
  <si>
    <t>掛號費-依德車源發票第三次款限掛</t>
    <phoneticPr fontId="3" type="noConversion"/>
  </si>
  <si>
    <t>2013.6.24</t>
    <phoneticPr fontId="3" type="noConversion"/>
  </si>
  <si>
    <t>掛號費-汎輝維護約/發票/回郵</t>
    <phoneticPr fontId="3" type="noConversion"/>
  </si>
  <si>
    <t>2013.6.25</t>
    <phoneticPr fontId="3" type="noConversion"/>
  </si>
  <si>
    <t>2013.6 card ada代刷</t>
    <phoneticPr fontId="3" type="noConversion"/>
  </si>
  <si>
    <t>華算102.07-08三聯式發票</t>
    <phoneticPr fontId="3" type="noConversion"/>
  </si>
  <si>
    <t>2013.6.26</t>
    <phoneticPr fontId="3" type="noConversion"/>
  </si>
  <si>
    <t>大碩換機計程車資</t>
    <phoneticPr fontId="3" type="noConversion"/>
  </si>
  <si>
    <t>2013.07.01</t>
    <phoneticPr fontId="3" type="noConversion"/>
  </si>
  <si>
    <t>2013.07 北平房租-台銀網銀轉帳(2012.06開始漲兩千)</t>
    <phoneticPr fontId="3" type="noConversion"/>
  </si>
  <si>
    <t>2013.07.02</t>
    <phoneticPr fontId="3" type="noConversion"/>
  </si>
  <si>
    <t>車源三次款
戶名：黃亞嬌
銀行：聯邦銀行安康分行
帳號：024 186629 388</t>
    <phoneticPr fontId="3" type="noConversion"/>
  </si>
  <si>
    <t>2013.07.03</t>
    <phoneticPr fontId="3" type="noConversion"/>
  </si>
  <si>
    <t>喜可查內網車資</t>
    <phoneticPr fontId="3" type="noConversion"/>
  </si>
  <si>
    <t>2013.07.05</t>
    <phoneticPr fontId="3" type="noConversion"/>
  </si>
  <si>
    <t>102.06 欽</t>
    <phoneticPr fontId="3" type="noConversion"/>
  </si>
  <si>
    <t>102.06 張</t>
    <phoneticPr fontId="3" type="noConversion"/>
  </si>
  <si>
    <t>102.06 達</t>
    <phoneticPr fontId="3" type="noConversion"/>
  </si>
  <si>
    <t>2013.07.08</t>
    <phoneticPr fontId="3" type="noConversion"/>
  </si>
  <si>
    <t>SKYPE 儲值 koofficecn(刷澳盛卡 2013.6.6)</t>
    <phoneticPr fontId="3" type="noConversion"/>
  </si>
  <si>
    <t>掛號費-施舒雅續約/回郵</t>
    <phoneticPr fontId="3" type="noConversion"/>
  </si>
  <si>
    <t>管理費-2013.06</t>
    <phoneticPr fontId="3" type="noConversion"/>
  </si>
  <si>
    <t>2013.07.11</t>
    <phoneticPr fontId="3" type="noConversion"/>
  </si>
  <si>
    <t>401.2013.05~06</t>
    <phoneticPr fontId="3" type="noConversion"/>
  </si>
  <si>
    <t>2013.07.16</t>
    <phoneticPr fontId="3" type="noConversion"/>
  </si>
  <si>
    <t>刻阿達印章-變股東持股變動</t>
    <phoneticPr fontId="3" type="noConversion"/>
  </si>
  <si>
    <t>悠遊卡加值</t>
    <phoneticPr fontId="3" type="noConversion"/>
  </si>
  <si>
    <t>2013.7.23</t>
    <phoneticPr fontId="3" type="noConversion"/>
  </si>
  <si>
    <t>祥和換機計程車資</t>
    <phoneticPr fontId="3" type="noConversion"/>
  </si>
  <si>
    <t>2013.7.24</t>
    <phoneticPr fontId="3" type="noConversion"/>
  </si>
  <si>
    <t>2013.7.25</t>
    <phoneticPr fontId="3" type="noConversion"/>
  </si>
  <si>
    <t>2013.7.26</t>
    <phoneticPr fontId="3" type="noConversion"/>
  </si>
  <si>
    <t>合約用紙</t>
    <phoneticPr fontId="3" type="noConversion"/>
  </si>
  <si>
    <t>管理費-2013.07</t>
    <phoneticPr fontId="3" type="noConversion"/>
  </si>
  <si>
    <t>2013.7.29</t>
    <phoneticPr fontId="3" type="noConversion"/>
  </si>
  <si>
    <t>城乙維護火車車資</t>
    <phoneticPr fontId="3" type="noConversion"/>
  </si>
  <si>
    <t>城乙維護計程車資</t>
    <phoneticPr fontId="3" type="noConversion"/>
  </si>
  <si>
    <t>水費.102-07</t>
    <phoneticPr fontId="3" type="noConversion"/>
  </si>
  <si>
    <t>2013.7.31</t>
    <phoneticPr fontId="3" type="noConversion"/>
  </si>
  <si>
    <t>鉑德裝機計程車車資</t>
    <phoneticPr fontId="3" type="noConversion"/>
  </si>
  <si>
    <t>光華捷運車資</t>
    <phoneticPr fontId="3" type="noConversion"/>
  </si>
  <si>
    <t>六角扳手</t>
    <phoneticPr fontId="3" type="noConversion"/>
  </si>
  <si>
    <t>2013.08.01</t>
    <phoneticPr fontId="3" type="noConversion"/>
  </si>
  <si>
    <t>2013.08 北平房租-台銀網銀轉帳(2012.06開始漲兩千)</t>
    <phoneticPr fontId="3" type="noConversion"/>
  </si>
  <si>
    <t>2013.08.02</t>
    <phoneticPr fontId="3" type="noConversion"/>
  </si>
  <si>
    <t>鉑德配電計程車車資</t>
    <phoneticPr fontId="3" type="noConversion"/>
  </si>
  <si>
    <t>鉑德愛浪維護計程車車資</t>
    <phoneticPr fontId="3" type="noConversion"/>
  </si>
  <si>
    <t>愛浪維護捷運車資</t>
    <phoneticPr fontId="3" type="noConversion"/>
  </si>
  <si>
    <t>2013.08.05</t>
    <phoneticPr fontId="3" type="noConversion"/>
  </si>
  <si>
    <t>102.07 欽</t>
    <phoneticPr fontId="3" type="noConversion"/>
  </si>
  <si>
    <t>102.07 張</t>
    <phoneticPr fontId="3" type="noConversion"/>
  </si>
  <si>
    <t>102.07 達</t>
    <phoneticPr fontId="3" type="noConversion"/>
  </si>
  <si>
    <t>愛浪維護捷運車資</t>
    <phoneticPr fontId="3" type="noConversion"/>
  </si>
  <si>
    <t>鉑德上架計程車車資</t>
    <phoneticPr fontId="3" type="noConversion"/>
  </si>
  <si>
    <t>鉑德上架計程車車資</t>
    <phoneticPr fontId="3" type="noConversion"/>
  </si>
  <si>
    <t>鉑德上架捷運車資</t>
    <phoneticPr fontId="3" type="noConversion"/>
  </si>
  <si>
    <t>2013.08.07</t>
    <phoneticPr fontId="3" type="noConversion"/>
  </si>
  <si>
    <t>2013.7 card ada代刷</t>
    <phoneticPr fontId="3" type="noConversion"/>
  </si>
  <si>
    <t>2013.08.10</t>
    <phoneticPr fontId="3" type="noConversion"/>
  </si>
  <si>
    <t>掛號費-合碩合約*2,發票</t>
    <phoneticPr fontId="3" type="noConversion"/>
  </si>
  <si>
    <t>2013.08.12</t>
    <phoneticPr fontId="3" type="noConversion"/>
  </si>
  <si>
    <t>掛號費-依德/ 鎔德/ 友士/ 同皇發票</t>
    <phoneticPr fontId="3" type="noConversion"/>
  </si>
  <si>
    <t>2013.08.13</t>
    <phoneticPr fontId="3" type="noConversion"/>
  </si>
  <si>
    <t>雜項購置</t>
    <phoneticPr fontId="3" type="noConversion"/>
  </si>
  <si>
    <t>機箱風扇電源3轉5轉接頭*2</t>
    <phoneticPr fontId="3" type="noConversion"/>
  </si>
  <si>
    <t>2013.08.14</t>
    <phoneticPr fontId="3" type="noConversion"/>
  </si>
  <si>
    <t>掛號費-益睿報價,合約*2未押日期,鉑德第一期發票 依-葉收</t>
    <phoneticPr fontId="3" type="noConversion"/>
  </si>
  <si>
    <t>2013.08.15</t>
    <phoneticPr fontId="3" type="noConversion"/>
  </si>
  <si>
    <t>合碩換機計程車資</t>
    <phoneticPr fontId="3" type="noConversion"/>
  </si>
  <si>
    <t>合碩換機計程車資</t>
    <phoneticPr fontId="3" type="noConversion"/>
  </si>
  <si>
    <t>2013.08.23</t>
    <phoneticPr fontId="3" type="noConversion"/>
  </si>
  <si>
    <t>牛皮紙A4信封套</t>
    <phoneticPr fontId="3" type="noConversion"/>
  </si>
  <si>
    <t>利明押金及匯款手續費</t>
    <phoneticPr fontId="3" type="noConversion"/>
  </si>
  <si>
    <t>2013.08.26</t>
    <phoneticPr fontId="3" type="noConversion"/>
  </si>
  <si>
    <t>2013.08.27</t>
    <phoneticPr fontId="3" type="noConversion"/>
  </si>
  <si>
    <t>管理費-2013.08</t>
    <phoneticPr fontId="3" type="noConversion"/>
  </si>
  <si>
    <t>2013.08.30</t>
    <phoneticPr fontId="3" type="noConversion"/>
  </si>
  <si>
    <t>購買發票車資</t>
    <phoneticPr fontId="3" type="noConversion"/>
  </si>
  <si>
    <t>華算102.09-10三聯式發票</t>
    <phoneticPr fontId="3" type="noConversion"/>
  </si>
  <si>
    <t>2013.09.01</t>
    <phoneticPr fontId="3" type="noConversion"/>
  </si>
  <si>
    <t>2013.09 北平房租-台銀網銀轉帳(2012.06開始漲兩千)</t>
    <phoneticPr fontId="3" type="noConversion"/>
  </si>
  <si>
    <t>2013.09.02</t>
    <phoneticPr fontId="3" type="noConversion"/>
  </si>
  <si>
    <t>2013.8 card ada代刷-富邦</t>
    <phoneticPr fontId="3" type="noConversion"/>
  </si>
  <si>
    <t>2013.09.05</t>
    <phoneticPr fontId="3" type="noConversion"/>
  </si>
  <si>
    <t>102.08 欽 華算-台銀信義</t>
    <phoneticPr fontId="3" type="noConversion"/>
  </si>
  <si>
    <t>102.08 達</t>
    <phoneticPr fontId="3" type="noConversion"/>
  </si>
  <si>
    <t>102.08 張</t>
    <phoneticPr fontId="3" type="noConversion"/>
  </si>
  <si>
    <t>2013.8 card ada代刷-中信</t>
    <phoneticPr fontId="3" type="noConversion"/>
  </si>
  <si>
    <t>2013.09.10</t>
    <phoneticPr fontId="3" type="noConversion"/>
  </si>
  <si>
    <t>401.2013.07~08</t>
    <phoneticPr fontId="3" type="noConversion"/>
  </si>
  <si>
    <t>2013.09.13</t>
    <phoneticPr fontId="3" type="noConversion"/>
  </si>
  <si>
    <t>依德領鉑德票</t>
    <phoneticPr fontId="3" type="noConversion"/>
  </si>
  <si>
    <t>起子</t>
    <phoneticPr fontId="3" type="noConversion"/>
  </si>
  <si>
    <t>2013.09.17</t>
    <phoneticPr fontId="3" type="noConversion"/>
  </si>
  <si>
    <t>鉑德領票(重開未稅票)</t>
    <phoneticPr fontId="3" type="noConversion"/>
  </si>
  <si>
    <t>2013.09.23</t>
    <phoneticPr fontId="3" type="noConversion"/>
  </si>
  <si>
    <t>管理費-2013.09</t>
    <phoneticPr fontId="3" type="noConversion"/>
  </si>
  <si>
    <t>尖嘴鉗</t>
    <phoneticPr fontId="3" type="noConversion"/>
  </si>
  <si>
    <t>風扇電源轉接線 @45*2</t>
    <phoneticPr fontId="3" type="noConversion"/>
  </si>
  <si>
    <t>2013.9.30</t>
    <phoneticPr fontId="3" type="noConversion"/>
  </si>
  <si>
    <t>5公升垃圾袋 @36*4</t>
    <phoneticPr fontId="3" type="noConversion"/>
  </si>
  <si>
    <t>2013.10.01</t>
    <phoneticPr fontId="3" type="noConversion"/>
  </si>
  <si>
    <t>2013.10 北平房租-台銀網銀轉帳(2012.06開始漲兩千)</t>
    <phoneticPr fontId="3" type="noConversion"/>
  </si>
  <si>
    <t>2013.9 card ada代刷-富邦</t>
    <phoneticPr fontId="3" type="noConversion"/>
  </si>
  <si>
    <t>文具費</t>
    <phoneticPr fontId="3" type="noConversion"/>
  </si>
  <si>
    <t>文具紙</t>
    <phoneticPr fontId="3" type="noConversion"/>
  </si>
  <si>
    <t>2013.10.03</t>
    <phoneticPr fontId="3" type="noConversion"/>
  </si>
  <si>
    <t>益睿續約換機計程車資</t>
    <phoneticPr fontId="3" type="noConversion"/>
  </si>
  <si>
    <t>2013.10.07</t>
    <phoneticPr fontId="3" type="noConversion"/>
  </si>
  <si>
    <t>102.09 欽</t>
    <phoneticPr fontId="3" type="noConversion"/>
  </si>
  <si>
    <t>102.09 達</t>
    <phoneticPr fontId="3" type="noConversion"/>
  </si>
  <si>
    <t>2013.10.8</t>
    <phoneticPr fontId="3" type="noConversion"/>
  </si>
  <si>
    <t>蟑螂藥/馬桶清潔劑</t>
    <phoneticPr fontId="3" type="noConversion"/>
  </si>
  <si>
    <t>掛號費-依德/ 鎔德/ 鉑德網址發票寄葉</t>
    <phoneticPr fontId="3" type="noConversion"/>
  </si>
  <si>
    <t>2013.10.9</t>
    <phoneticPr fontId="3" type="noConversion"/>
  </si>
  <si>
    <t>合約封面</t>
    <phoneticPr fontId="3" type="noConversion"/>
  </si>
  <si>
    <t>2013.10.11</t>
    <phoneticPr fontId="3" type="noConversion"/>
  </si>
  <si>
    <t>掛號費-同皇/施舒雅/永馳發票</t>
    <phoneticPr fontId="3" type="noConversion"/>
  </si>
  <si>
    <t>2013.10.14</t>
    <phoneticPr fontId="3" type="noConversion"/>
  </si>
  <si>
    <t>掛號費-依德/鎔德/德鎔/鉑德 合約/發票 寄吳美玲協理</t>
    <phoneticPr fontId="3" type="noConversion"/>
  </si>
  <si>
    <t>2013.10.15</t>
    <phoneticPr fontId="3" type="noConversion"/>
  </si>
  <si>
    <t>饒媽 要請你匯 6 * 6000 (1-6月) + 14000 紅包 = 50000</t>
    <phoneticPr fontId="3" type="noConversion"/>
  </si>
  <si>
    <t>2013.10.30</t>
    <phoneticPr fontId="3" type="noConversion"/>
  </si>
  <si>
    <t>管理費-2013.10</t>
    <phoneticPr fontId="3" type="noConversion"/>
  </si>
  <si>
    <t>2013.10.31</t>
    <phoneticPr fontId="3" type="noConversion"/>
  </si>
  <si>
    <t>華算102.11-12三聯式發票</t>
    <phoneticPr fontId="3" type="noConversion"/>
  </si>
  <si>
    <t>2013.11.01</t>
    <phoneticPr fontId="3" type="noConversion"/>
  </si>
  <si>
    <t>2013.11 北平房租-台銀網銀轉帳(2012.06開始漲兩千)</t>
    <phoneticPr fontId="3" type="noConversion"/>
  </si>
  <si>
    <t>2013.11.05</t>
    <phoneticPr fontId="3" type="noConversion"/>
  </si>
  <si>
    <t>102.10 欽</t>
    <phoneticPr fontId="3" type="noConversion"/>
  </si>
  <si>
    <t>102.10 達</t>
    <phoneticPr fontId="3" type="noConversion"/>
  </si>
  <si>
    <t>40W燈管 $70*4</t>
    <phoneticPr fontId="3" type="noConversion"/>
  </si>
  <si>
    <t>2013.11.06</t>
    <phoneticPr fontId="3" type="noConversion"/>
  </si>
  <si>
    <t>401.2013.09~10</t>
    <phoneticPr fontId="3" type="noConversion"/>
  </si>
  <si>
    <t>掛號費-依德/鎔德/鉑德KO發票,友士/恩豪回郵請款發票</t>
    <phoneticPr fontId="3" type="noConversion"/>
  </si>
  <si>
    <t>2013.11.20</t>
    <phoneticPr fontId="3" type="noConversion"/>
  </si>
  <si>
    <t>PETER-匯豐銀行-永和分行-梅華-024190266388</t>
    <phoneticPr fontId="3" type="noConversion"/>
  </si>
  <si>
    <t>PETER-大眾銀行-內湖分行-章挺憲-168122936117</t>
    <phoneticPr fontId="3" type="noConversion"/>
  </si>
  <si>
    <t>2013.11.27</t>
    <phoneticPr fontId="3" type="noConversion"/>
  </si>
  <si>
    <t>水費.102-11</t>
    <phoneticPr fontId="3" type="noConversion"/>
  </si>
  <si>
    <t>管理費-2013.11</t>
    <phoneticPr fontId="3" type="noConversion"/>
  </si>
  <si>
    <t>2013.11.29</t>
    <phoneticPr fontId="3" type="noConversion"/>
  </si>
  <si>
    <t>起子</t>
    <phoneticPr fontId="3" type="noConversion"/>
  </si>
  <si>
    <t>風扇電源轉接線 @55*4</t>
    <phoneticPr fontId="3" type="noConversion"/>
  </si>
  <si>
    <t>2013.12.01</t>
    <phoneticPr fontId="3" type="noConversion"/>
  </si>
  <si>
    <t>2013.12 北平房租-台銀網銀轉帳(2012.06開始漲兩千)</t>
    <phoneticPr fontId="3" type="noConversion"/>
  </si>
  <si>
    <t>2013.11 card ada代刷-中信</t>
    <phoneticPr fontId="3" type="noConversion"/>
  </si>
  <si>
    <t>2013.12.04</t>
    <phoneticPr fontId="3" type="noConversion"/>
  </si>
  <si>
    <t>2013.12.06</t>
    <phoneticPr fontId="3" type="noConversion"/>
  </si>
  <si>
    <t>代刷PT-UNI-CASE網址1YEAR</t>
    <phoneticPr fontId="3" type="noConversion"/>
  </si>
  <si>
    <t>2013.12.23</t>
    <phoneticPr fontId="3" type="noConversion"/>
  </si>
  <si>
    <t>掛號費-依德合約回郵信封</t>
    <phoneticPr fontId="3" type="noConversion"/>
  </si>
  <si>
    <t>2013.12.25</t>
    <phoneticPr fontId="3" type="noConversion"/>
  </si>
  <si>
    <t>2013.12.26</t>
    <phoneticPr fontId="3" type="noConversion"/>
  </si>
  <si>
    <t>掛號費-依德發票/品固合約</t>
    <phoneticPr fontId="3" type="noConversion"/>
  </si>
  <si>
    <t>2013.12.27</t>
    <phoneticPr fontId="3" type="noConversion"/>
  </si>
  <si>
    <t>管理費-2013.12</t>
    <phoneticPr fontId="3" type="noConversion"/>
  </si>
  <si>
    <t>雷凌RT3070 150M無線USB-WIFI模組無線網卡</t>
    <phoneticPr fontId="3" type="noConversion"/>
  </si>
  <si>
    <t>2013.12.31</t>
    <phoneticPr fontId="3" type="noConversion"/>
  </si>
  <si>
    <t>華算103.01-02三聯式發票</t>
    <phoneticPr fontId="3" type="noConversion"/>
  </si>
  <si>
    <t>2014.01.01</t>
    <phoneticPr fontId="3" type="noConversion"/>
  </si>
  <si>
    <t>2014.01 北平房租-台銀網銀轉帳(2012.06開始漲兩千)</t>
    <phoneticPr fontId="3" type="noConversion"/>
  </si>
  <si>
    <t>股東往來</t>
    <phoneticPr fontId="3" type="noConversion"/>
  </si>
  <si>
    <t>2013.12 card ada代刷-中信</t>
    <phoneticPr fontId="3" type="noConversion"/>
  </si>
  <si>
    <t>2014.01.06</t>
    <phoneticPr fontId="3" type="noConversion"/>
  </si>
  <si>
    <t>資源回收袋</t>
    <phoneticPr fontId="3" type="noConversion"/>
  </si>
  <si>
    <t>102.12 欽</t>
    <phoneticPr fontId="3" type="noConversion"/>
  </si>
  <si>
    <t>102.12 達</t>
    <phoneticPr fontId="3" type="noConversion"/>
  </si>
  <si>
    <t>401.2013.11~12</t>
    <phoneticPr fontId="3" type="noConversion"/>
  </si>
  <si>
    <t>2014.01.08</t>
    <phoneticPr fontId="3" type="noConversion"/>
  </si>
  <si>
    <t>西拓換機計程車資</t>
    <phoneticPr fontId="3" type="noConversion"/>
  </si>
  <si>
    <t>2014.01.09</t>
    <phoneticPr fontId="3" type="noConversion"/>
  </si>
  <si>
    <t>展鑫換機計程車資</t>
    <phoneticPr fontId="3" type="noConversion"/>
  </si>
  <si>
    <t>2014.01.10</t>
    <phoneticPr fontId="3" type="noConversion"/>
  </si>
  <si>
    <t>掛號費-西拓合約</t>
    <phoneticPr fontId="3" type="noConversion"/>
  </si>
  <si>
    <t>2014.01.13</t>
    <phoneticPr fontId="3" type="noConversion"/>
  </si>
  <si>
    <t>掛號費-展鑫主機鎖匙</t>
    <phoneticPr fontId="3" type="noConversion"/>
  </si>
  <si>
    <t>2014.01.21</t>
    <phoneticPr fontId="3" type="noConversion"/>
  </si>
  <si>
    <t>管理費-2014.01</t>
    <phoneticPr fontId="3" type="noConversion"/>
  </si>
  <si>
    <t>2014.01.23</t>
    <phoneticPr fontId="3" type="noConversion"/>
  </si>
  <si>
    <t>水費.103-01</t>
    <phoneticPr fontId="3" type="noConversion"/>
  </si>
  <si>
    <t>2014.01.28</t>
    <phoneticPr fontId="3" type="noConversion"/>
  </si>
  <si>
    <t>2014.02 北平房租-台銀網銀轉帳(2012.06開始漲兩千)</t>
    <phoneticPr fontId="3" type="noConversion"/>
  </si>
  <si>
    <t>103.1 欽</t>
    <phoneticPr fontId="3" type="noConversion"/>
  </si>
  <si>
    <t>103.1 達</t>
    <phoneticPr fontId="3" type="noConversion"/>
  </si>
  <si>
    <t>103.1 証</t>
    <phoneticPr fontId="3" type="noConversion"/>
  </si>
  <si>
    <t>2014.01.29</t>
    <phoneticPr fontId="3" type="noConversion"/>
  </si>
  <si>
    <t>電池9V---電話搖控器用</t>
    <phoneticPr fontId="3" type="noConversion"/>
  </si>
  <si>
    <t>2014.02.06</t>
    <phoneticPr fontId="3" type="noConversion"/>
  </si>
  <si>
    <t>風扇電源轉接線 @55*4/WIFI-RT@499</t>
    <phoneticPr fontId="3" type="noConversion"/>
  </si>
  <si>
    <t>掛號費-展鑫支票/友士/依德/鎔德/鉑德發票</t>
    <phoneticPr fontId="3" type="noConversion"/>
  </si>
  <si>
    <t>26473(32071-5598),存摺為32071</t>
    <phoneticPr fontId="3" type="noConversion"/>
  </si>
  <si>
    <t>2014.1 card ada代刷-中信 $19335 富邦 $12736
2013.12.29 $5598 (包含在中信 $19335內)
rayman3t: DV1: 5598 我不確定, 銀行也沒支出--&gt;不作就不平衡了 -&gt; 昨天說的那筆 2013.12 刷卡 $5598, 是在2014.2 銀行支出ADA代刷
rayman3t: 因為那筆是 2013.12.29, 在2014.2 才付帳單
rayman3t: 昨天已作2013零用金
DV1: 沒關係,請你在帳上註明就好
DV1: 然後改作補零用金
rayman3t: 作在零用金, 那筆2月刷卡改補零用金嗎
DV1: 等於我是在2013年已經用零用金付了你的卡費
DV1: 然後2014年2月你又從銀行把錢領出來
DV1: 補回零用金</t>
    <phoneticPr fontId="3" type="noConversion"/>
  </si>
  <si>
    <t>2013零用金支付2013.12.29 刷卡</t>
    <phoneticPr fontId="3" type="noConversion"/>
  </si>
  <si>
    <t>2014補回零用金</t>
    <phoneticPr fontId="3" type="noConversion"/>
  </si>
  <si>
    <t>2014.02.11</t>
    <phoneticPr fontId="3" type="noConversion"/>
  </si>
  <si>
    <t>2014.02.18</t>
    <phoneticPr fontId="3" type="noConversion"/>
  </si>
  <si>
    <t>DV身駕健影印</t>
    <phoneticPr fontId="3" type="noConversion"/>
  </si>
  <si>
    <t>2014.02.19</t>
    <phoneticPr fontId="3" type="noConversion"/>
  </si>
  <si>
    <t>下午 2:50:33  DV1: 請問轉3100至 台銀城中分行 張彩玲 045 ０047 11607 要不要手續費
下午 3:10:30  DV1: 是幫美國那個小嘉付錢給旅行社辦台胞證</t>
    <phoneticPr fontId="3" type="noConversion"/>
  </si>
  <si>
    <t>2014.02.20</t>
    <phoneticPr fontId="3" type="noConversion"/>
  </si>
  <si>
    <t>管理費-2014.02</t>
    <phoneticPr fontId="3" type="noConversion"/>
  </si>
  <si>
    <t>2014.02.21</t>
    <phoneticPr fontId="3" type="noConversion"/>
  </si>
  <si>
    <t>零用金</t>
    <phoneticPr fontId="3" type="noConversion"/>
  </si>
  <si>
    <t>2014.03.3</t>
    <phoneticPr fontId="3" type="noConversion"/>
  </si>
  <si>
    <t>2014.03 北平房租-台銀網銀轉帳(2012.06開始漲兩千)</t>
    <phoneticPr fontId="3" type="noConversion"/>
  </si>
  <si>
    <t>2014.03.04</t>
    <phoneticPr fontId="3" type="noConversion"/>
  </si>
  <si>
    <t>華算103.03-04三聯式發票</t>
    <phoneticPr fontId="3" type="noConversion"/>
  </si>
  <si>
    <t>購發票悠遊卡車資</t>
    <phoneticPr fontId="3" type="noConversion"/>
  </si>
  <si>
    <t>2014.03.05</t>
    <phoneticPr fontId="3" type="noConversion"/>
  </si>
  <si>
    <t>2014.02 card ada代刷-中信</t>
    <phoneticPr fontId="3" type="noConversion"/>
  </si>
  <si>
    <t>103.2 欽 (103.02 開始調$25500)</t>
    <phoneticPr fontId="3" type="noConversion"/>
  </si>
  <si>
    <t>103.2 達</t>
    <phoneticPr fontId="3" type="noConversion"/>
  </si>
  <si>
    <t>103.2 証</t>
    <phoneticPr fontId="3" type="noConversion"/>
  </si>
  <si>
    <t>2014.03.10</t>
    <phoneticPr fontId="3" type="noConversion"/>
  </si>
  <si>
    <t>DV1: 麻煩幫我轉3萬台幣到我郵局好嗎</t>
    <phoneticPr fontId="3" type="noConversion"/>
  </si>
  <si>
    <t>ATM轉郵局手續費</t>
    <phoneticPr fontId="3" type="noConversion"/>
  </si>
  <si>
    <t>網卡PCI-E交通費</t>
    <phoneticPr fontId="3" type="noConversion"/>
  </si>
  <si>
    <t>2014.03.13</t>
    <phoneticPr fontId="3" type="noConversion"/>
  </si>
  <si>
    <t>鎔德行銷裝機計程車資</t>
    <phoneticPr fontId="3" type="noConversion"/>
  </si>
  <si>
    <t>鎔德行銷裝機計程車資</t>
    <phoneticPr fontId="3" type="noConversion"/>
  </si>
  <si>
    <t>鎔德行銷裝機捷運車資</t>
    <phoneticPr fontId="3" type="noConversion"/>
  </si>
  <si>
    <t>2014.03.21</t>
    <phoneticPr fontId="3" type="noConversion"/>
  </si>
  <si>
    <t>管理費-2014.03</t>
    <phoneticPr fontId="3" type="noConversion"/>
  </si>
  <si>
    <t>2014.03.28</t>
    <phoneticPr fontId="3" type="noConversion"/>
  </si>
  <si>
    <t>合約內頁</t>
    <phoneticPr fontId="3" type="noConversion"/>
  </si>
  <si>
    <t>掛號費-依鎔德財務業務軟體開發合約*4,發票*4,附1回郵</t>
    <phoneticPr fontId="3" type="noConversion"/>
  </si>
  <si>
    <t>2014.04.01</t>
    <phoneticPr fontId="3" type="noConversion"/>
  </si>
  <si>
    <t>掛號費-八亨請款</t>
    <phoneticPr fontId="3" type="noConversion"/>
  </si>
  <si>
    <t>掛號費-鎔德行銷VPN合約*2,發票,附1回郵</t>
    <phoneticPr fontId="3" type="noConversion"/>
  </si>
  <si>
    <t>水費.103-03</t>
    <phoneticPr fontId="3" type="noConversion"/>
  </si>
  <si>
    <t>2014.04 北平房租-台銀網銀轉帳(2012.06開始漲兩千)</t>
    <phoneticPr fontId="3" type="noConversion"/>
  </si>
  <si>
    <t>2014.04.03</t>
    <phoneticPr fontId="3" type="noConversion"/>
  </si>
  <si>
    <t>2014.03 card ada代刷-中信</t>
    <phoneticPr fontId="3" type="noConversion"/>
  </si>
  <si>
    <t>2014.03 card ada代刷-富邦</t>
    <phoneticPr fontId="3" type="noConversion"/>
  </si>
  <si>
    <t>2014.04.07</t>
    <phoneticPr fontId="3" type="noConversion"/>
  </si>
  <si>
    <t>103.2 欽 (103.02 開始調$25500)</t>
    <phoneticPr fontId="3" type="noConversion"/>
  </si>
  <si>
    <t>2014.04.10</t>
    <phoneticPr fontId="3" type="noConversion"/>
  </si>
  <si>
    <t>2014.04.16</t>
    <phoneticPr fontId="3" type="noConversion"/>
  </si>
  <si>
    <t>文具---標準信封100入/封面膠帶/A4紙包</t>
    <phoneticPr fontId="3" type="noConversion"/>
  </si>
  <si>
    <t>2014.04.17</t>
    <phoneticPr fontId="3" type="noConversion"/>
  </si>
  <si>
    <t>掛號費-泰聯報價/維護合約2份-無回郵無發票</t>
    <phoneticPr fontId="3" type="noConversion"/>
  </si>
  <si>
    <t>2014.04.23</t>
    <phoneticPr fontId="3" type="noConversion"/>
  </si>
  <si>
    <t>請給 6 * 6000 (7-12月) + 6000 母親節紅包 = 42000</t>
    <phoneticPr fontId="3" type="noConversion"/>
  </si>
  <si>
    <t>2014.04.24</t>
    <phoneticPr fontId="3" type="noConversion"/>
  </si>
  <si>
    <t>掛號費-同皇/永馳/施舒雅請款發票</t>
    <phoneticPr fontId="3" type="noConversion"/>
  </si>
  <si>
    <t>管理費-2014.04</t>
    <phoneticPr fontId="3" type="noConversion"/>
  </si>
  <si>
    <t>領營所稅申報書,友士網卡,悠遊卡車資</t>
    <phoneticPr fontId="3" type="noConversion"/>
  </si>
  <si>
    <t>2014.4.28</t>
    <phoneticPr fontId="3" type="noConversion"/>
  </si>
  <si>
    <t>華算103.05-06三聯式發票</t>
    <phoneticPr fontId="3" type="noConversion"/>
  </si>
  <si>
    <t>PETER-匯豐銀行-永和分行-梅華-024190266388</t>
    <phoneticPr fontId="3" type="noConversion"/>
  </si>
  <si>
    <t>郵局EMS-品固東莞FD16-HD*2,TOP LINK PCIE-LAN CARD*2,申報書*2</t>
    <phoneticPr fontId="3" type="noConversion"/>
  </si>
  <si>
    <t>2014.5.1</t>
    <phoneticPr fontId="3" type="noConversion"/>
  </si>
  <si>
    <t>2014.05 北平房租-台銀網銀轉帳(2012.06開始漲兩千)</t>
    <phoneticPr fontId="3" type="noConversion"/>
  </si>
  <si>
    <t>2014.05.02</t>
    <phoneticPr fontId="3" type="noConversion"/>
  </si>
  <si>
    <t>喜可裝機計程車資</t>
    <phoneticPr fontId="3" type="noConversion"/>
  </si>
  <si>
    <t>切WORK報稅</t>
    <phoneticPr fontId="3" type="noConversion"/>
  </si>
  <si>
    <t>2014.05.05</t>
    <phoneticPr fontId="3" type="noConversion"/>
  </si>
  <si>
    <t>2014.05.05</t>
    <phoneticPr fontId="3" type="noConversion"/>
  </si>
  <si>
    <t>2014.04 card ada代刷-中信</t>
    <phoneticPr fontId="3" type="noConversion"/>
  </si>
  <si>
    <t>2014.05.07</t>
    <phoneticPr fontId="3" type="noConversion"/>
  </si>
  <si>
    <t>2014.05.07</t>
    <phoneticPr fontId="3" type="noConversion"/>
  </si>
  <si>
    <t>複寫紙</t>
    <phoneticPr fontId="3" type="noConversion"/>
  </si>
  <si>
    <t>中華易付卡儲值(含3G-1G$180已扣, 餘NT$120)</t>
    <phoneticPr fontId="3" type="noConversion"/>
  </si>
  <si>
    <t>2014.05.12</t>
    <phoneticPr fontId="3" type="noConversion"/>
  </si>
  <si>
    <t>401.2014.03~04</t>
    <phoneticPr fontId="3" type="noConversion"/>
  </si>
  <si>
    <t>2014.05.13</t>
    <phoneticPr fontId="3" type="noConversion"/>
  </si>
  <si>
    <t>威倫裝機計程車資</t>
    <phoneticPr fontId="3" type="noConversion"/>
  </si>
  <si>
    <t>威倫裝機計程車資</t>
    <phoneticPr fontId="3" type="noConversion"/>
  </si>
  <si>
    <t>現金相符</t>
    <phoneticPr fontId="3" type="noConversion"/>
  </si>
  <si>
    <t>2014.05.16</t>
    <phoneticPr fontId="3" type="noConversion"/>
  </si>
  <si>
    <t>順豐貨運HD一顆 (ATOM-FD19)</t>
    <phoneticPr fontId="3" type="noConversion"/>
  </si>
  <si>
    <t>2014.05.20</t>
    <phoneticPr fontId="3" type="noConversion"/>
  </si>
  <si>
    <t>管理費-2014.05</t>
    <phoneticPr fontId="3" type="noConversion"/>
  </si>
  <si>
    <t>水費.103-05</t>
    <phoneticPr fontId="3" type="noConversion"/>
  </si>
  <si>
    <t>2014.05.20</t>
    <phoneticPr fontId="3" type="noConversion"/>
  </si>
  <si>
    <t>電池3號</t>
    <phoneticPr fontId="3" type="noConversion"/>
  </si>
  <si>
    <t>2014.05.21</t>
    <phoneticPr fontId="3" type="noConversion"/>
  </si>
  <si>
    <t>漢聯裝機計程車資</t>
    <phoneticPr fontId="3" type="noConversion"/>
  </si>
  <si>
    <t>漢聯裝機計程車資</t>
    <phoneticPr fontId="3" type="noConversion"/>
  </si>
  <si>
    <t>2014.05.22</t>
    <phoneticPr fontId="3" type="noConversion"/>
  </si>
  <si>
    <t>邁拓裝機計程車資</t>
    <phoneticPr fontId="3" type="noConversion"/>
  </si>
  <si>
    <t>邁拓裝機計程車資</t>
    <phoneticPr fontId="3" type="noConversion"/>
  </si>
  <si>
    <t>2014.05.23</t>
    <phoneticPr fontId="3" type="noConversion"/>
  </si>
  <si>
    <t>悠遊卡車資</t>
    <phoneticPr fontId="3" type="noConversion"/>
  </si>
  <si>
    <t>鏍絲起子</t>
    <phoneticPr fontId="3" type="noConversion"/>
  </si>
  <si>
    <t>2014.05.28</t>
    <phoneticPr fontId="3" type="noConversion"/>
  </si>
  <si>
    <t>品固裝機計程車資</t>
    <phoneticPr fontId="3" type="noConversion"/>
  </si>
  <si>
    <t>2014.06.03</t>
    <phoneticPr fontId="3" type="noConversion"/>
  </si>
  <si>
    <t>2014.06 北平房租-台銀網銀轉帳(2012.06開始漲兩千)</t>
    <phoneticPr fontId="3" type="noConversion"/>
  </si>
  <si>
    <t>2014.06.04</t>
    <phoneticPr fontId="3" type="noConversion"/>
  </si>
  <si>
    <t>宅急便貨運HD二顆寄恩豪AMY (ATOM-FD19)</t>
    <phoneticPr fontId="3" type="noConversion"/>
  </si>
  <si>
    <t>2014.06.05</t>
    <phoneticPr fontId="3" type="noConversion"/>
  </si>
  <si>
    <t>2014.05 card ada代刷-中信</t>
    <phoneticPr fontId="3" type="noConversion"/>
  </si>
  <si>
    <t>103.2 欽</t>
    <phoneticPr fontId="3" type="noConversion"/>
  </si>
  <si>
    <t>2014.06.05</t>
    <phoneticPr fontId="3" type="noConversion"/>
  </si>
  <si>
    <t>2014.06.06</t>
    <phoneticPr fontId="3" type="noConversion"/>
  </si>
  <si>
    <t>103.2 証-漢聯廈門補$2000,泰聯補$1000</t>
    <phoneticPr fontId="3" type="noConversion"/>
  </si>
  <si>
    <t>2014.06.13</t>
    <phoneticPr fontId="3" type="noConversion"/>
  </si>
  <si>
    <t>掛號費-元超合約*2/發票 回郵信封*2</t>
    <phoneticPr fontId="3" type="noConversion"/>
  </si>
  <si>
    <t>2014.06.18</t>
    <phoneticPr fontId="3" type="noConversion"/>
  </si>
  <si>
    <t>冷氣機</t>
    <phoneticPr fontId="3" type="noConversion"/>
  </si>
  <si>
    <t>2014.06.19</t>
    <phoneticPr fontId="3" type="noConversion"/>
  </si>
  <si>
    <t>冷氣機稅金</t>
    <phoneticPr fontId="3" type="noConversion"/>
  </si>
  <si>
    <t>2014.06.23</t>
    <phoneticPr fontId="3" type="noConversion"/>
  </si>
  <si>
    <t>2014.06.23</t>
    <phoneticPr fontId="3" type="noConversion"/>
  </si>
  <si>
    <t>管理費-2014.06</t>
    <phoneticPr fontId="3" type="noConversion"/>
  </si>
  <si>
    <t>2014.06.26</t>
    <phoneticPr fontId="3" type="noConversion"/>
  </si>
  <si>
    <t>華算103.07-08三聯式發票</t>
    <phoneticPr fontId="3" type="noConversion"/>
  </si>
  <si>
    <t>2014.06.30</t>
    <phoneticPr fontId="3" type="noConversion"/>
  </si>
  <si>
    <t>饒媽冷氣也壞了, 她裝分離式的, 4萬5, 要請你補貼
rayman3t: 一點
DV1: 出一半
DV1: 2萬5</t>
    <phoneticPr fontId="3" type="noConversion"/>
  </si>
  <si>
    <t>2014.07.01</t>
    <phoneticPr fontId="3" type="noConversion"/>
  </si>
  <si>
    <t>2014.07 北平房租-台銀網銀轉帳(2012.06開始漲兩千)</t>
    <phoneticPr fontId="3" type="noConversion"/>
  </si>
  <si>
    <t>2014.07.03</t>
    <phoneticPr fontId="3" type="noConversion"/>
  </si>
  <si>
    <t>2014.06 card ada代刷-中信</t>
    <phoneticPr fontId="3" type="noConversion"/>
  </si>
  <si>
    <t>城乙維護車資-博欽</t>
    <phoneticPr fontId="3" type="noConversion"/>
  </si>
  <si>
    <t>2014.07.04</t>
    <phoneticPr fontId="3" type="noConversion"/>
  </si>
  <si>
    <t>城乙維護車資-達</t>
    <phoneticPr fontId="3" type="noConversion"/>
  </si>
  <si>
    <t>2014.07.07</t>
    <phoneticPr fontId="3" type="noConversion"/>
  </si>
  <si>
    <t>103.6 欽</t>
    <phoneticPr fontId="3" type="noConversion"/>
  </si>
  <si>
    <t>103.6 達</t>
    <phoneticPr fontId="3" type="noConversion"/>
  </si>
  <si>
    <t>103.6 証</t>
    <phoneticPr fontId="3" type="noConversion"/>
  </si>
  <si>
    <t>2014.07.10</t>
    <phoneticPr fontId="3" type="noConversion"/>
  </si>
  <si>
    <t>401.2014.05~06</t>
    <phoneticPr fontId="3" type="noConversion"/>
  </si>
  <si>
    <t>2014.07.24</t>
    <phoneticPr fontId="3" type="noConversion"/>
  </si>
  <si>
    <t>水費.103-07</t>
    <phoneticPr fontId="3" type="noConversion"/>
  </si>
  <si>
    <t>管理費-2014.07</t>
    <phoneticPr fontId="3" type="noConversion"/>
  </si>
  <si>
    <t>2014.08.01</t>
    <phoneticPr fontId="3" type="noConversion"/>
  </si>
  <si>
    <t>2014.08 北平房租-台銀網銀轉帳(2012.06開始漲兩千)</t>
    <phoneticPr fontId="3" type="noConversion"/>
  </si>
  <si>
    <t>2014.08.04</t>
    <phoneticPr fontId="3" type="noConversion"/>
  </si>
  <si>
    <t>2014.07 card ada代刷-中信</t>
    <phoneticPr fontId="3" type="noConversion"/>
  </si>
  <si>
    <t>2014.08.05</t>
    <phoneticPr fontId="3" type="noConversion"/>
  </si>
  <si>
    <t>2014.08.05</t>
    <phoneticPr fontId="3" type="noConversion"/>
  </si>
  <si>
    <t>103.7 欽</t>
    <phoneticPr fontId="3" type="noConversion"/>
  </si>
  <si>
    <t>103.7 達</t>
    <phoneticPr fontId="3" type="noConversion"/>
  </si>
  <si>
    <t>103.7 証</t>
    <phoneticPr fontId="3" type="noConversion"/>
  </si>
  <si>
    <t>2014.08.11</t>
    <phoneticPr fontId="3" type="noConversion"/>
  </si>
  <si>
    <t>掛號費-依德/鎔德/鉑德/友士/同皇/八亨/施舒雅/永馳發票</t>
    <phoneticPr fontId="3" type="noConversion"/>
  </si>
  <si>
    <t>2014.08.20</t>
    <phoneticPr fontId="3" type="noConversion"/>
  </si>
  <si>
    <t>掛號費-廣豪合約*2附大回郵, 無日期無發票</t>
    <phoneticPr fontId="3" type="noConversion"/>
  </si>
  <si>
    <t>合約封面紙</t>
    <phoneticPr fontId="3" type="noConversion"/>
  </si>
  <si>
    <t>2014.08.25</t>
    <phoneticPr fontId="3" type="noConversion"/>
  </si>
  <si>
    <t>管理費-2014.08</t>
    <phoneticPr fontId="3" type="noConversion"/>
  </si>
  <si>
    <t>2014.08.26</t>
    <phoneticPr fontId="3" type="noConversion"/>
  </si>
  <si>
    <t>華算103.09-10三聯式發票</t>
    <phoneticPr fontId="3" type="noConversion"/>
  </si>
  <si>
    <t>2014.09.01</t>
    <phoneticPr fontId="3" type="noConversion"/>
  </si>
  <si>
    <t>2014.09 北平房租-台銀網銀轉帳(2012.06開始漲兩千)</t>
    <phoneticPr fontId="3" type="noConversion"/>
  </si>
  <si>
    <t>2014.09.03</t>
    <phoneticPr fontId="3" type="noConversion"/>
  </si>
  <si>
    <t>401.2014.07~08</t>
    <phoneticPr fontId="3" type="noConversion"/>
  </si>
  <si>
    <t>2014.09.15</t>
    <phoneticPr fontId="3" type="noConversion"/>
  </si>
  <si>
    <t>水管清潔條</t>
    <phoneticPr fontId="3" type="noConversion"/>
  </si>
  <si>
    <t>2014.09.15</t>
    <phoneticPr fontId="3" type="noConversion"/>
  </si>
  <si>
    <t>裕恆維護車資</t>
    <phoneticPr fontId="3" type="noConversion"/>
  </si>
  <si>
    <t>2014.09.22</t>
    <phoneticPr fontId="3" type="noConversion"/>
  </si>
  <si>
    <t>水費.103-09</t>
    <phoneticPr fontId="3" type="noConversion"/>
  </si>
  <si>
    <t>管理費-2014.09</t>
    <phoneticPr fontId="3" type="noConversion"/>
  </si>
  <si>
    <t>2014.09.25</t>
    <phoneticPr fontId="3" type="noConversion"/>
  </si>
  <si>
    <t>協億通裝機計程車資</t>
    <phoneticPr fontId="3" type="noConversion"/>
  </si>
  <si>
    <t>2014.09.25</t>
    <phoneticPr fontId="3" type="noConversion"/>
  </si>
  <si>
    <t>2014.09.30</t>
    <phoneticPr fontId="3" type="noConversion"/>
  </si>
  <si>
    <t>雙安裝機計程車資</t>
    <phoneticPr fontId="3" type="noConversion"/>
  </si>
  <si>
    <t>2014.09.30</t>
    <phoneticPr fontId="3" type="noConversion"/>
  </si>
  <si>
    <t>維護油資</t>
    <phoneticPr fontId="3" type="noConversion"/>
  </si>
  <si>
    <t>2014.10.01</t>
    <phoneticPr fontId="3" type="noConversion"/>
  </si>
  <si>
    <t>2014.10 北平房租-台銀網銀轉帳(2012.06開始漲兩千)</t>
    <phoneticPr fontId="3" type="noConversion"/>
  </si>
  <si>
    <t>2014.10.02</t>
    <phoneticPr fontId="3" type="noConversion"/>
  </si>
  <si>
    <t>2014.09 card ada代刷-中信</t>
    <phoneticPr fontId="3" type="noConversion"/>
  </si>
  <si>
    <t>2014.10.15</t>
    <phoneticPr fontId="3" type="noConversion"/>
  </si>
  <si>
    <t>燈泡</t>
    <phoneticPr fontId="3" type="noConversion"/>
  </si>
  <si>
    <t>2014.10.17</t>
    <phoneticPr fontId="3" type="noConversion"/>
  </si>
  <si>
    <t>掛號費-城乙合約*2附大回郵, 發票</t>
    <phoneticPr fontId="3" type="noConversion"/>
  </si>
  <si>
    <t>2014.10.24</t>
    <phoneticPr fontId="3" type="noConversion"/>
  </si>
  <si>
    <t>管理費-2014.10</t>
    <phoneticPr fontId="3" type="noConversion"/>
  </si>
  <si>
    <t>2014.10.27</t>
    <phoneticPr fontId="3" type="noConversion"/>
  </si>
  <si>
    <t>轉接線</t>
    <phoneticPr fontId="3" type="noConversion"/>
  </si>
  <si>
    <t>起子.轉接線</t>
    <phoneticPr fontId="3" type="noConversion"/>
  </si>
  <si>
    <t>華算103.11-12三聯式發票</t>
    <phoneticPr fontId="3" type="noConversion"/>
  </si>
  <si>
    <t>2014.10.28</t>
    <phoneticPr fontId="3" type="noConversion"/>
  </si>
  <si>
    <t>崴凌裝機計程車資</t>
    <phoneticPr fontId="3" type="noConversion"/>
  </si>
  <si>
    <t>崴凌裝機計程車資第二趟</t>
    <phoneticPr fontId="3" type="noConversion"/>
  </si>
  <si>
    <t>崴凌裝機計程車資第二趟</t>
    <phoneticPr fontId="3" type="noConversion"/>
  </si>
  <si>
    <t>2014.10.29</t>
    <phoneticPr fontId="3" type="noConversion"/>
  </si>
  <si>
    <t>2014.11.03</t>
    <phoneticPr fontId="3" type="noConversion"/>
  </si>
  <si>
    <t>2014.11 北平房租-台銀網銀轉帳(2012.06開始漲兩千)</t>
    <phoneticPr fontId="3" type="noConversion"/>
  </si>
  <si>
    <t>2014.10 card ada代刷-中信</t>
    <phoneticPr fontId="3" type="noConversion"/>
  </si>
  <si>
    <t>掛號費-城乙回郵, 發票重開</t>
    <phoneticPr fontId="3" type="noConversion"/>
  </si>
  <si>
    <t>2014.11.03</t>
    <phoneticPr fontId="3" type="noConversion"/>
  </si>
  <si>
    <t>2014.11.04</t>
    <phoneticPr fontId="3" type="noConversion"/>
  </si>
  <si>
    <t>掛號費-友士,鉑德,永馳,同皇,八亨,施舒雅,PCHOME,掛號信封*20</t>
    <phoneticPr fontId="3" type="noConversion"/>
  </si>
  <si>
    <t>2014.11.04</t>
    <phoneticPr fontId="3" type="noConversion"/>
  </si>
  <si>
    <t>合約紙,筆,膠水</t>
    <phoneticPr fontId="3" type="noConversion"/>
  </si>
  <si>
    <t>2014.11.05</t>
    <phoneticPr fontId="3" type="noConversion"/>
  </si>
  <si>
    <t>103.10 欽</t>
    <phoneticPr fontId="3" type="noConversion"/>
  </si>
  <si>
    <t>103.10 達</t>
    <phoneticPr fontId="3" type="noConversion"/>
  </si>
  <si>
    <t>103.10 証</t>
    <phoneticPr fontId="3" type="noConversion"/>
  </si>
  <si>
    <t>掛號費-勤業合約*2/發票 ,依德發票*5</t>
    <phoneticPr fontId="3" type="noConversion"/>
  </si>
  <si>
    <t>光華車資</t>
    <phoneticPr fontId="3" type="noConversion"/>
  </si>
  <si>
    <t>維護合約封面影印</t>
    <phoneticPr fontId="3" type="noConversion"/>
  </si>
  <si>
    <t>2014.11.11</t>
    <phoneticPr fontId="3" type="noConversion"/>
  </si>
  <si>
    <t>401.2014.09~10</t>
    <phoneticPr fontId="3" type="noConversion"/>
  </si>
  <si>
    <t>勤業裝機計程車資</t>
    <phoneticPr fontId="3" type="noConversion"/>
  </si>
  <si>
    <t>2014.11.14</t>
    <phoneticPr fontId="3" type="noConversion"/>
  </si>
  <si>
    <t>掛號費-元超保密</t>
    <phoneticPr fontId="3" type="noConversion"/>
  </si>
  <si>
    <t>鎔德保養廠裝機計程車資</t>
    <phoneticPr fontId="3" type="noConversion"/>
  </si>
  <si>
    <t>鎔德保養廠裝機計程車資</t>
    <phoneticPr fontId="3" type="noConversion"/>
  </si>
  <si>
    <t>2014.11.20</t>
    <phoneticPr fontId="3" type="noConversion"/>
  </si>
  <si>
    <t>管理費-2014.11</t>
    <phoneticPr fontId="3" type="noConversion"/>
  </si>
  <si>
    <t>2014.11.20</t>
    <phoneticPr fontId="3" type="noConversion"/>
  </si>
  <si>
    <t>掛號費達翌合約發票回郵</t>
    <phoneticPr fontId="3" type="noConversion"/>
  </si>
  <si>
    <t>郵票10/25 各20張</t>
    <phoneticPr fontId="3" type="noConversion"/>
  </si>
  <si>
    <t>水費</t>
    <phoneticPr fontId="3" type="noConversion"/>
  </si>
  <si>
    <t>水費.103-11</t>
    <phoneticPr fontId="3" type="noConversion"/>
  </si>
  <si>
    <t>2014.11.25</t>
    <phoneticPr fontId="3" type="noConversion"/>
  </si>
  <si>
    <t>掛號費恩豪合約發票回郵</t>
    <phoneticPr fontId="3" type="noConversion"/>
  </si>
  <si>
    <t>2014.11.26</t>
    <phoneticPr fontId="3" type="noConversion"/>
  </si>
  <si>
    <t>工商憑証費用@420*2</t>
    <phoneticPr fontId="3" type="noConversion"/>
  </si>
  <si>
    <t>2014.12.01</t>
    <phoneticPr fontId="3" type="noConversion"/>
  </si>
  <si>
    <t>2014.12 北平房租-台銀網銀轉帳(2012.06開始漲兩千)</t>
    <phoneticPr fontId="3" type="noConversion"/>
  </si>
  <si>
    <t>2014.12.09</t>
    <phoneticPr fontId="3" type="noConversion"/>
  </si>
  <si>
    <t>掛號費依德/鎔德/鎔保合約*6發票*3請款單回郵大信封-張育碩</t>
    <phoneticPr fontId="3" type="noConversion"/>
  </si>
  <si>
    <t>2014.12.11</t>
    <phoneticPr fontId="3" type="noConversion"/>
  </si>
  <si>
    <t>掛號費鴻碩合約*2發票*1</t>
    <phoneticPr fontId="3" type="noConversion"/>
  </si>
  <si>
    <t>2014.12.12</t>
    <phoneticPr fontId="3" type="noConversion"/>
  </si>
  <si>
    <t>2014.12.16</t>
    <phoneticPr fontId="3" type="noConversion"/>
  </si>
  <si>
    <t>掛號費依鎔軟維合約*2發票*2回郵信封*1</t>
    <phoneticPr fontId="3" type="noConversion"/>
  </si>
  <si>
    <t>2014.12.17</t>
    <phoneticPr fontId="3" type="noConversion"/>
  </si>
  <si>
    <t>鴻碩裝機車資過路費</t>
    <phoneticPr fontId="3" type="noConversion"/>
  </si>
  <si>
    <t>2014.12.18</t>
    <phoneticPr fontId="3" type="noConversion"/>
  </si>
  <si>
    <t>管理費-2014.12</t>
    <phoneticPr fontId="3" type="noConversion"/>
  </si>
  <si>
    <t>饒媽(2015,1-6月)
請給他6000*6+14000=50000,並祝他冬至快樂</t>
    <phoneticPr fontId="3" type="noConversion"/>
  </si>
  <si>
    <t>2014.12.29</t>
    <phoneticPr fontId="3" type="noConversion"/>
  </si>
  <si>
    <t>華算104.01-02三聯式發票</t>
    <phoneticPr fontId="3" type="noConversion"/>
  </si>
  <si>
    <t>2014.12.31</t>
    <phoneticPr fontId="3" type="noConversion"/>
  </si>
  <si>
    <t>掛號費依鎔支票簽回聯</t>
    <phoneticPr fontId="3" type="noConversion"/>
  </si>
  <si>
    <t>2015.01.05</t>
    <phoneticPr fontId="3" type="noConversion"/>
  </si>
  <si>
    <t>2015.01 北平房租-台銀網銀轉帳(2012.06開始漲兩千)</t>
    <phoneticPr fontId="3" type="noConversion"/>
  </si>
  <si>
    <t>103.12 欽</t>
    <phoneticPr fontId="3" type="noConversion"/>
  </si>
  <si>
    <t>103.12 達</t>
    <phoneticPr fontId="3" type="noConversion"/>
  </si>
  <si>
    <t>103.12 証</t>
    <phoneticPr fontId="3" type="noConversion"/>
  </si>
  <si>
    <t>2014.12 card ada代刷-富邦</t>
    <phoneticPr fontId="3" type="noConversion"/>
  </si>
  <si>
    <t>2014.12 card ada代刷-中信</t>
    <phoneticPr fontId="3" type="noConversion"/>
  </si>
  <si>
    <t>客服易付卡儲值-中華</t>
    <phoneticPr fontId="3" type="noConversion"/>
  </si>
  <si>
    <t>2015.01.07</t>
    <phoneticPr fontId="3" type="noConversion"/>
  </si>
  <si>
    <t>2015.01.07</t>
    <phoneticPr fontId="3" type="noConversion"/>
  </si>
  <si>
    <t>2015.01.08</t>
    <phoneticPr fontId="3" type="noConversion"/>
  </si>
  <si>
    <t>PETER:
NT$493951 (匯率 4.150845) HK$119000
匯費NT$247, 郵電費NT$300
總計NT$494498
中國銀行(香港)有限公司
BANK OF CHINA(HONE KONG)LIMITED
陳達強
CHEN DAQIANG
0123-54-0000-7355
SWIFT CODE: BKCH HKHH
銀行地址: 香港九龍土瓜灣北帝街4-6號</t>
    <phoneticPr fontId="3" type="noConversion"/>
  </si>
  <si>
    <t>2015.01.09</t>
    <phoneticPr fontId="3" type="noConversion"/>
  </si>
  <si>
    <t>401.2014.11~12</t>
    <phoneticPr fontId="3" type="noConversion"/>
  </si>
  <si>
    <t>2015.01.20</t>
    <phoneticPr fontId="3" type="noConversion"/>
  </si>
  <si>
    <t>管理費-2015.01</t>
    <phoneticPr fontId="3" type="noConversion"/>
  </si>
  <si>
    <t>2015.01.23</t>
    <phoneticPr fontId="3" type="noConversion"/>
  </si>
  <si>
    <t>PETER: 姐
匯款資料：
台灣中小企業銀行
10262087161
050-1024 世貿分行
陳相雄
金額：NT59,000</t>
    <phoneticPr fontId="3" type="noConversion"/>
  </si>
  <si>
    <t>2015.01.30</t>
    <phoneticPr fontId="3" type="noConversion"/>
  </si>
  <si>
    <t>水費.104-01</t>
    <phoneticPr fontId="3" type="noConversion"/>
  </si>
  <si>
    <t>2015.02.02</t>
    <phoneticPr fontId="3" type="noConversion"/>
  </si>
  <si>
    <t>2015.02 北平房租-台銀網銀轉帳(2012.06開始漲兩千)</t>
    <phoneticPr fontId="3" type="noConversion"/>
  </si>
  <si>
    <t>2015.02.03</t>
    <phoneticPr fontId="3" type="noConversion"/>
  </si>
  <si>
    <t>悠遊卡儲值</t>
    <phoneticPr fontId="3" type="noConversion"/>
  </si>
  <si>
    <t>2015.02.05</t>
    <phoneticPr fontId="3" type="noConversion"/>
  </si>
  <si>
    <t>104.01 欽</t>
    <phoneticPr fontId="3" type="noConversion"/>
  </si>
  <si>
    <t>104.01 達--達算信義</t>
    <phoneticPr fontId="3" type="noConversion"/>
  </si>
  <si>
    <t>2015.02.05</t>
    <phoneticPr fontId="3" type="noConversion"/>
  </si>
  <si>
    <t>104.01 証</t>
    <phoneticPr fontId="3" type="noConversion"/>
  </si>
  <si>
    <t>2015.02.09</t>
    <phoneticPr fontId="3" type="noConversion"/>
  </si>
  <si>
    <t>2015.01 card ada代刷-中信</t>
    <phoneticPr fontId="3" type="noConversion"/>
  </si>
  <si>
    <t>2015.02.12</t>
    <phoneticPr fontId="3" type="noConversion"/>
  </si>
  <si>
    <t>愛浪裝機計程車資</t>
    <phoneticPr fontId="3" type="noConversion"/>
  </si>
  <si>
    <t>2015.02.16</t>
    <phoneticPr fontId="3" type="noConversion"/>
  </si>
  <si>
    <t>安力裝機計程車資</t>
    <phoneticPr fontId="3" type="noConversion"/>
  </si>
  <si>
    <t>安力裝機捷運車資</t>
    <phoneticPr fontId="3" type="noConversion"/>
  </si>
  <si>
    <t>2015.02.25</t>
    <phoneticPr fontId="3" type="noConversion"/>
  </si>
  <si>
    <t>管理費-2015.02</t>
    <phoneticPr fontId="3" type="noConversion"/>
  </si>
  <si>
    <t>2015.03.01</t>
    <phoneticPr fontId="3" type="noConversion"/>
  </si>
  <si>
    <t>2015.03 北平房租-台銀網銀轉帳(2012.06開始漲兩千)</t>
    <phoneticPr fontId="3" type="noConversion"/>
  </si>
  <si>
    <t>2015.03.02</t>
    <phoneticPr fontId="3" type="noConversion"/>
  </si>
  <si>
    <t>華算104.03-04三聯式發票</t>
    <phoneticPr fontId="3" type="noConversion"/>
  </si>
  <si>
    <t>合約紙</t>
    <phoneticPr fontId="3" type="noConversion"/>
  </si>
  <si>
    <t>2015.03.05</t>
    <phoneticPr fontId="3" type="noConversion"/>
  </si>
  <si>
    <t>104.02 欽</t>
    <phoneticPr fontId="3" type="noConversion"/>
  </si>
  <si>
    <t>104.02 達</t>
    <phoneticPr fontId="3" type="noConversion"/>
  </si>
  <si>
    <t>104.02 証</t>
    <phoneticPr fontId="3" type="noConversion"/>
  </si>
  <si>
    <t>2015.02 card ada代刷-富邦</t>
    <phoneticPr fontId="3" type="noConversion"/>
  </si>
  <si>
    <t>2015.02 card ada代刷-中信</t>
    <phoneticPr fontId="3" type="noConversion"/>
  </si>
  <si>
    <t>2015.03.09</t>
    <phoneticPr fontId="3" type="noConversion"/>
  </si>
  <si>
    <t>掛號費安力合約*2發票回郵信封*1</t>
    <phoneticPr fontId="3" type="noConversion"/>
  </si>
  <si>
    <t>2015.03.10</t>
    <phoneticPr fontId="3" type="noConversion"/>
  </si>
  <si>
    <t>2015.03.10</t>
    <phoneticPr fontId="3" type="noConversion"/>
  </si>
  <si>
    <t>401.2015.01~02</t>
    <phoneticPr fontId="3" type="noConversion"/>
  </si>
  <si>
    <t>2015.03.11</t>
    <phoneticPr fontId="3" type="noConversion"/>
  </si>
  <si>
    <t>2015.03.18</t>
    <phoneticPr fontId="3" type="noConversion"/>
  </si>
  <si>
    <t>2015.03.18</t>
    <phoneticPr fontId="3" type="noConversion"/>
  </si>
  <si>
    <t>裕恆裝機計程車資</t>
    <phoneticPr fontId="3" type="noConversion"/>
  </si>
  <si>
    <t>2015.03.26</t>
    <phoneticPr fontId="3" type="noConversion"/>
  </si>
  <si>
    <t>管理費-2015.03</t>
    <phoneticPr fontId="3" type="noConversion"/>
  </si>
  <si>
    <t>2015.03.27</t>
    <phoneticPr fontId="3" type="noConversion"/>
  </si>
  <si>
    <t>2015.03.30</t>
    <phoneticPr fontId="3" type="noConversion"/>
  </si>
  <si>
    <t>水費.104-03</t>
    <phoneticPr fontId="3" type="noConversion"/>
  </si>
  <si>
    <t>2015.03.31</t>
    <phoneticPr fontId="3" type="noConversion"/>
  </si>
  <si>
    <t>掛號費</t>
    <phoneticPr fontId="3" type="noConversion"/>
  </si>
  <si>
    <t>2015.04.01</t>
    <phoneticPr fontId="3" type="noConversion"/>
  </si>
  <si>
    <t>2015.04 北平房租-台銀網銀轉帳(2012.06開始漲兩千)</t>
    <phoneticPr fontId="3" type="noConversion"/>
  </si>
  <si>
    <t>2015.04.07</t>
    <phoneticPr fontId="3" type="noConversion"/>
  </si>
  <si>
    <t>104.03 欽</t>
    <phoneticPr fontId="3" type="noConversion"/>
  </si>
  <si>
    <t>2015.04.07</t>
    <phoneticPr fontId="3" type="noConversion"/>
  </si>
  <si>
    <t>104.03 達</t>
    <phoneticPr fontId="3" type="noConversion"/>
  </si>
  <si>
    <t>104.03 証 (實轉$31000, 另外$5000還PT)</t>
    <phoneticPr fontId="3" type="noConversion"/>
  </si>
  <si>
    <t>2015.03 card ada代刷-富邦</t>
    <phoneticPr fontId="3" type="noConversion"/>
  </si>
  <si>
    <t>2015.03 card ada代刷-中信</t>
    <phoneticPr fontId="3" type="noConversion"/>
  </si>
  <si>
    <t>PETER
匯款資料：
大眾銀行：814-內湖分行
活儲：168-1229361-17
章挺憲
金額：NT35,000
安力佣金 $30000
代張還款 $5000</t>
    <phoneticPr fontId="3" type="noConversion"/>
  </si>
  <si>
    <t>2015.04.15</t>
    <phoneticPr fontId="3" type="noConversion"/>
  </si>
  <si>
    <t>品固維修計程車資</t>
    <phoneticPr fontId="3" type="noConversion"/>
  </si>
  <si>
    <t>2015.04.20</t>
    <phoneticPr fontId="3" type="noConversion"/>
  </si>
  <si>
    <t>2015.04.21</t>
    <phoneticPr fontId="3" type="noConversion"/>
  </si>
  <si>
    <t>管理費-2015.04</t>
    <phoneticPr fontId="3" type="noConversion"/>
  </si>
  <si>
    <t>2015.04.24</t>
    <phoneticPr fontId="3" type="noConversion"/>
  </si>
  <si>
    <t>掛號費太暘合約*2回郵*1無發票</t>
    <phoneticPr fontId="3" type="noConversion"/>
  </si>
  <si>
    <t>2015.04.29</t>
    <phoneticPr fontId="3" type="noConversion"/>
  </si>
  <si>
    <t>華算104.05-06三聯式發票</t>
    <phoneticPr fontId="3" type="noConversion"/>
  </si>
  <si>
    <t>2015.05.01</t>
    <phoneticPr fontId="3" type="noConversion"/>
  </si>
  <si>
    <t>2015.05 北平房租-台銀網銀轉帳(2012.06開始漲兩千)</t>
    <phoneticPr fontId="3" type="noConversion"/>
  </si>
  <si>
    <t>2015.05.04</t>
    <phoneticPr fontId="3" type="noConversion"/>
  </si>
  <si>
    <t>掛號費大成維護合約*2回郵*2發票*1</t>
    <phoneticPr fontId="3" type="noConversion"/>
  </si>
  <si>
    <t>2015.05.05</t>
    <phoneticPr fontId="3" type="noConversion"/>
  </si>
  <si>
    <t>104.04 欽</t>
    <phoneticPr fontId="3" type="noConversion"/>
  </si>
  <si>
    <t>104.04 達</t>
    <phoneticPr fontId="3" type="noConversion"/>
  </si>
  <si>
    <t>2015.04 card ada代刷-中信</t>
    <phoneticPr fontId="3" type="noConversion"/>
  </si>
  <si>
    <t>2015.05.07</t>
    <phoneticPr fontId="3" type="noConversion"/>
  </si>
  <si>
    <t>401.2015.03~04</t>
    <phoneticPr fontId="3" type="noConversion"/>
  </si>
  <si>
    <t>2015.05.11</t>
    <phoneticPr fontId="3" type="noConversion"/>
  </si>
  <si>
    <t>2015.05.11</t>
    <phoneticPr fontId="3" type="noConversion"/>
  </si>
  <si>
    <t>順豐申報書</t>
    <phoneticPr fontId="3" type="noConversion"/>
  </si>
  <si>
    <t>掛號信封*20,郵票*20</t>
    <phoneticPr fontId="3" type="noConversion"/>
  </si>
  <si>
    <t>2015.05.12</t>
    <phoneticPr fontId="3" type="noConversion"/>
  </si>
  <si>
    <t>太暘裝機計程車資</t>
    <phoneticPr fontId="3" type="noConversion"/>
  </si>
  <si>
    <t>2015.05.14</t>
    <phoneticPr fontId="3" type="noConversion"/>
  </si>
  <si>
    <t>2015.05.14</t>
    <phoneticPr fontId="3" type="noConversion"/>
  </si>
  <si>
    <t>道法裝機計程車資(回公司拿東西)</t>
    <phoneticPr fontId="3" type="noConversion"/>
  </si>
  <si>
    <t>轉WORK</t>
    <phoneticPr fontId="3" type="noConversion"/>
  </si>
  <si>
    <t>2015.05.18</t>
    <phoneticPr fontId="3" type="noConversion"/>
  </si>
  <si>
    <t>管理費-2015.05</t>
    <phoneticPr fontId="3" type="noConversion"/>
  </si>
  <si>
    <t>水費.104-05</t>
    <phoneticPr fontId="3" type="noConversion"/>
  </si>
  <si>
    <t>2015.05.20</t>
    <phoneticPr fontId="3" type="noConversion"/>
  </si>
  <si>
    <t>道法裝機計程車資</t>
    <phoneticPr fontId="3" type="noConversion"/>
  </si>
  <si>
    <t>2015.05.21</t>
    <phoneticPr fontId="3" type="noConversion"/>
  </si>
  <si>
    <t>同皇掛號回郵</t>
    <phoneticPr fontId="3" type="noConversion"/>
  </si>
  <si>
    <t>2015.05.29</t>
    <phoneticPr fontId="3" type="noConversion"/>
  </si>
  <si>
    <t>庭田掛號回郵.發票</t>
    <phoneticPr fontId="3" type="noConversion"/>
  </si>
  <si>
    <t>2015.05.29</t>
    <phoneticPr fontId="3" type="noConversion"/>
  </si>
  <si>
    <t>饒媽(2015,7-12月)
DV1: 好,麻煩請給5萬=6*6000+端午節+補母親節</t>
    <phoneticPr fontId="3" type="noConversion"/>
  </si>
  <si>
    <t>2015.06.01</t>
    <phoneticPr fontId="3" type="noConversion"/>
  </si>
  <si>
    <t>2015.06 北平房租-台銀網銀轉帳(2012.06開始漲兩千)</t>
    <phoneticPr fontId="3" type="noConversion"/>
  </si>
  <si>
    <t>2015.06.02</t>
    <phoneticPr fontId="3" type="noConversion"/>
  </si>
  <si>
    <t>2015.06.03</t>
    <phoneticPr fontId="3" type="noConversion"/>
  </si>
  <si>
    <t>零用金ATM手續費</t>
    <phoneticPr fontId="3" type="noConversion"/>
  </si>
  <si>
    <t>2015.06.03</t>
    <phoneticPr fontId="3" type="noConversion"/>
  </si>
  <si>
    <t>護照續辦費用</t>
    <phoneticPr fontId="3" type="noConversion"/>
  </si>
  <si>
    <t>護照續辦加速件費用</t>
    <phoneticPr fontId="3" type="noConversion"/>
  </si>
  <si>
    <t>護照照片翻拍費用</t>
    <phoneticPr fontId="3" type="noConversion"/>
  </si>
  <si>
    <t>護照順豐取件計程車資</t>
    <phoneticPr fontId="3" type="noConversion"/>
  </si>
  <si>
    <t>護照外交部送件計程車資</t>
    <phoneticPr fontId="3" type="noConversion"/>
  </si>
  <si>
    <t>2015.06.04</t>
    <phoneticPr fontId="3" type="noConversion"/>
  </si>
  <si>
    <t>護照順豐送件計程車資</t>
    <phoneticPr fontId="3" type="noConversion"/>
  </si>
  <si>
    <t>2015.06.04</t>
    <phoneticPr fontId="3" type="noConversion"/>
  </si>
  <si>
    <t>順豐申報書夾護照</t>
    <phoneticPr fontId="3" type="noConversion"/>
  </si>
  <si>
    <t>2015.06.05</t>
    <phoneticPr fontId="3" type="noConversion"/>
  </si>
  <si>
    <t>2015.05 card ada代刷-中信</t>
    <phoneticPr fontId="3" type="noConversion"/>
  </si>
  <si>
    <t>2015.06.17</t>
    <phoneticPr fontId="3" type="noConversion"/>
  </si>
  <si>
    <t>A4紙/合約紙</t>
    <phoneticPr fontId="3" type="noConversion"/>
  </si>
  <si>
    <t>2015.06.18</t>
    <phoneticPr fontId="3" type="noConversion"/>
  </si>
  <si>
    <t>電話費</t>
    <phoneticPr fontId="3" type="noConversion"/>
  </si>
  <si>
    <t>客服易付卡儲值-中華</t>
    <phoneticPr fontId="3" type="noConversion"/>
  </si>
  <si>
    <t>2015.06.22</t>
    <phoneticPr fontId="3" type="noConversion"/>
  </si>
  <si>
    <t>依德維護計程車資</t>
    <phoneticPr fontId="3" type="noConversion"/>
  </si>
  <si>
    <t>依德維護計程車資</t>
    <phoneticPr fontId="3" type="noConversion"/>
  </si>
  <si>
    <t>管理費-2015.06</t>
    <phoneticPr fontId="3" type="noConversion"/>
  </si>
  <si>
    <t>2015.06.26</t>
    <phoneticPr fontId="3" type="noConversion"/>
  </si>
  <si>
    <t>華算104.07-08三聯式發票</t>
    <phoneticPr fontId="3" type="noConversion"/>
  </si>
  <si>
    <t>銀行領發票車資</t>
    <phoneticPr fontId="3" type="noConversion"/>
  </si>
  <si>
    <t>2015.07.01</t>
    <phoneticPr fontId="3" type="noConversion"/>
  </si>
  <si>
    <t>2015.07 北平房租-台銀網銀轉帳(2012.06開始漲兩千)</t>
    <phoneticPr fontId="3" type="noConversion"/>
  </si>
  <si>
    <t>2015.07.03</t>
    <phoneticPr fontId="3" type="noConversion"/>
  </si>
  <si>
    <t>2015.06 card ada代刷-中信</t>
    <phoneticPr fontId="3" type="noConversion"/>
  </si>
  <si>
    <t>2015.07.06</t>
    <phoneticPr fontId="3" type="noConversion"/>
  </si>
  <si>
    <t>401.2015.05~06-達算信義</t>
    <phoneticPr fontId="3" type="noConversion"/>
  </si>
  <si>
    <t>2015.07.06</t>
    <phoneticPr fontId="3" type="noConversion"/>
  </si>
  <si>
    <t>104.06 欽-達算信義</t>
    <phoneticPr fontId="3" type="noConversion"/>
  </si>
  <si>
    <t>104.06 達</t>
    <phoneticPr fontId="3" type="noConversion"/>
  </si>
  <si>
    <t>104.06 張</t>
    <phoneticPr fontId="3" type="noConversion"/>
  </si>
  <si>
    <t>2015.07.08</t>
    <phoneticPr fontId="3" type="noConversion"/>
  </si>
  <si>
    <t>名片-張</t>
    <phoneticPr fontId="3" type="noConversion"/>
  </si>
  <si>
    <t>2015.07.09</t>
    <phoneticPr fontId="3" type="noConversion"/>
  </si>
  <si>
    <t>八亨掛號回郵合約*2,發票*1,大信封*1</t>
    <phoneticPr fontId="3" type="noConversion"/>
  </si>
  <si>
    <t>2015.07.20</t>
    <phoneticPr fontId="3" type="noConversion"/>
  </si>
  <si>
    <t>汎輝掛號回郵,發票*1,改限掛</t>
    <phoneticPr fontId="3" type="noConversion"/>
  </si>
  <si>
    <t>2015.07.23</t>
    <phoneticPr fontId="3" type="noConversion"/>
  </si>
  <si>
    <t>管理費-2015.07</t>
    <phoneticPr fontId="3" type="noConversion"/>
  </si>
  <si>
    <t>2015.07.24</t>
    <phoneticPr fontId="3" type="noConversion"/>
  </si>
  <si>
    <t>配電箱上方水管止漏</t>
    <phoneticPr fontId="3" type="noConversion"/>
  </si>
  <si>
    <t>2015.07.24</t>
    <phoneticPr fontId="3" type="noConversion"/>
  </si>
  <si>
    <t>施舒雅維護合約*2,掛號回郵,發票*1</t>
    <phoneticPr fontId="3" type="noConversion"/>
  </si>
  <si>
    <t>2015.07.27</t>
    <phoneticPr fontId="3" type="noConversion"/>
  </si>
  <si>
    <t>汎輝掛號回郵,合約*2</t>
    <phoneticPr fontId="3" type="noConversion"/>
  </si>
  <si>
    <t>水費.104-07</t>
    <phoneticPr fontId="3" type="noConversion"/>
  </si>
  <si>
    <t>合約紙/筆/合約膠帶</t>
    <phoneticPr fontId="3" type="noConversion"/>
  </si>
  <si>
    <t>2015.07.31</t>
    <phoneticPr fontId="3" type="noConversion"/>
  </si>
  <si>
    <t>掛號費DV綜所稅補件</t>
    <phoneticPr fontId="3" type="noConversion"/>
  </si>
  <si>
    <t>2015.08.01</t>
    <phoneticPr fontId="3" type="noConversion"/>
  </si>
  <si>
    <t>2015.08 北平房租-台銀網銀轉帳(2012.06開始漲兩千)</t>
    <phoneticPr fontId="3" type="noConversion"/>
  </si>
  <si>
    <t>2015.08.04</t>
    <phoneticPr fontId="3" type="noConversion"/>
  </si>
  <si>
    <t>2015.08.04</t>
    <phoneticPr fontId="3" type="noConversion"/>
  </si>
  <si>
    <t>庭田裝機車資</t>
    <phoneticPr fontId="3" type="noConversion"/>
  </si>
  <si>
    <t>2015.08.05</t>
    <phoneticPr fontId="3" type="noConversion"/>
  </si>
  <si>
    <t>104.07 欽</t>
    <phoneticPr fontId="3" type="noConversion"/>
  </si>
  <si>
    <t>104.07 達</t>
    <phoneticPr fontId="3" type="noConversion"/>
  </si>
  <si>
    <t>104.07 張</t>
    <phoneticPr fontId="3" type="noConversion"/>
  </si>
  <si>
    <t>2015.07 card ada代刷-中信</t>
    <phoneticPr fontId="3" type="noConversion"/>
  </si>
  <si>
    <t>2015.07 card ada代刷-富邦</t>
    <phoneticPr fontId="3" type="noConversion"/>
  </si>
  <si>
    <t>2015.08.07</t>
    <phoneticPr fontId="3" type="noConversion"/>
  </si>
  <si>
    <t>汎費維護車資</t>
    <phoneticPr fontId="3" type="noConversion"/>
  </si>
  <si>
    <t>4號充電電池</t>
    <phoneticPr fontId="3" type="noConversion"/>
  </si>
  <si>
    <t>4號電池</t>
    <phoneticPr fontId="3" type="noConversion"/>
  </si>
  <si>
    <t>2015.08.10</t>
    <phoneticPr fontId="3" type="noConversion"/>
  </si>
  <si>
    <t>2015.08.10</t>
    <phoneticPr fontId="3" type="noConversion"/>
  </si>
  <si>
    <t>泰聯維護油資</t>
    <phoneticPr fontId="3" type="noConversion"/>
  </si>
  <si>
    <t>2015.08.14</t>
    <phoneticPr fontId="3" type="noConversion"/>
  </si>
  <si>
    <t>東訊電話總機(未開發票)</t>
    <phoneticPr fontId="3" type="noConversion"/>
  </si>
  <si>
    <t>2015.08.18</t>
    <phoneticPr fontId="3" type="noConversion"/>
  </si>
  <si>
    <t>庭田維護換機計程車資</t>
    <phoneticPr fontId="3" type="noConversion"/>
  </si>
  <si>
    <t>2015.08.18</t>
    <phoneticPr fontId="3" type="noConversion"/>
  </si>
  <si>
    <t>2015.08.23</t>
    <phoneticPr fontId="3" type="noConversion"/>
  </si>
  <si>
    <t>管理費-2015.08</t>
    <phoneticPr fontId="3" type="noConversion"/>
  </si>
  <si>
    <t>2015.08.26</t>
    <phoneticPr fontId="3" type="noConversion"/>
  </si>
  <si>
    <t>2015.08.26</t>
    <phoneticPr fontId="3" type="noConversion"/>
  </si>
  <si>
    <t>華算104.09-10三聯式發票</t>
    <phoneticPr fontId="3" type="noConversion"/>
  </si>
  <si>
    <t>悠遊卡儲值車資</t>
    <phoneticPr fontId="3" type="noConversion"/>
  </si>
  <si>
    <t>2015.09.01</t>
    <phoneticPr fontId="3" type="noConversion"/>
  </si>
  <si>
    <t>2015.09 北平房租-台銀網銀轉帳(2012.06開始漲兩千)</t>
    <phoneticPr fontId="3" type="noConversion"/>
  </si>
  <si>
    <t>鎔德行善掛號查詢費</t>
    <phoneticPr fontId="3" type="noConversion"/>
  </si>
  <si>
    <t>2015.09.03</t>
    <phoneticPr fontId="3" type="noConversion"/>
  </si>
  <si>
    <t>八亨裝機計程車資</t>
    <phoneticPr fontId="3" type="noConversion"/>
  </si>
  <si>
    <t>2015.09.07</t>
    <phoneticPr fontId="3" type="noConversion"/>
  </si>
  <si>
    <t>104.08 欽</t>
    <phoneticPr fontId="3" type="noConversion"/>
  </si>
  <si>
    <t>104.08 達</t>
    <phoneticPr fontId="3" type="noConversion"/>
  </si>
  <si>
    <t>2015.09.10</t>
    <phoneticPr fontId="3" type="noConversion"/>
  </si>
  <si>
    <t>401.2015.07~08</t>
    <phoneticPr fontId="3" type="noConversion"/>
  </si>
  <si>
    <t>2015.09.17</t>
    <phoneticPr fontId="3" type="noConversion"/>
  </si>
  <si>
    <t>104年度查核102年度補充保費</t>
    <phoneticPr fontId="3" type="noConversion"/>
  </si>
  <si>
    <t>八亨/同皇掛號費</t>
    <phoneticPr fontId="3" type="noConversion"/>
  </si>
  <si>
    <t>2015.09.23</t>
    <phoneticPr fontId="3" type="noConversion"/>
  </si>
  <si>
    <t>饒媽(2016,1-3月)
DV1: 6千x3=1萬8
rayman3t: 報告一下,公司9/28 下周一會放一天中秋
rayman3t: 那沒有要多給饒媽?
DV1: 不然就2萬,2千是中秋</t>
    <phoneticPr fontId="3" type="noConversion"/>
  </si>
  <si>
    <t>2015.09.24</t>
    <phoneticPr fontId="3" type="noConversion"/>
  </si>
  <si>
    <t>2015.09.25</t>
    <phoneticPr fontId="3" type="noConversion"/>
  </si>
  <si>
    <t>水費.104-09</t>
    <phoneticPr fontId="3" type="noConversion"/>
  </si>
  <si>
    <t>2015.10.01</t>
    <phoneticPr fontId="3" type="noConversion"/>
  </si>
  <si>
    <t>管理費-2015.09</t>
    <phoneticPr fontId="3" type="noConversion"/>
  </si>
  <si>
    <t>2015.10.02</t>
    <phoneticPr fontId="3" type="noConversion"/>
  </si>
  <si>
    <t>元超換機計程車資</t>
    <phoneticPr fontId="3" type="noConversion"/>
  </si>
  <si>
    <t>2015.10.02</t>
    <phoneticPr fontId="3" type="noConversion"/>
  </si>
  <si>
    <t>2015.10.05</t>
    <phoneticPr fontId="3" type="noConversion"/>
  </si>
  <si>
    <t>2015.09 card ada代刷-中信</t>
    <phoneticPr fontId="3" type="noConversion"/>
  </si>
  <si>
    <t>2015.09 card ada代刷-玉山</t>
    <phoneticPr fontId="3" type="noConversion"/>
  </si>
  <si>
    <t>2015.10.13</t>
    <phoneticPr fontId="3" type="noConversion"/>
  </si>
  <si>
    <t>車源合約封面影印</t>
    <phoneticPr fontId="3" type="noConversion"/>
  </si>
  <si>
    <t>2015.10.14</t>
    <phoneticPr fontId="3" type="noConversion"/>
  </si>
  <si>
    <t>掛號費-依/鎔車源維護合約</t>
    <phoneticPr fontId="3" type="noConversion"/>
  </si>
  <si>
    <t>國際牌電話交換機檢修費</t>
    <phoneticPr fontId="3" type="noConversion"/>
  </si>
  <si>
    <t>2015.10.20</t>
    <phoneticPr fontId="3" type="noConversion"/>
  </si>
  <si>
    <t>掛號費-房租合約回郵</t>
    <phoneticPr fontId="3" type="noConversion"/>
  </si>
  <si>
    <t>2015.10.21</t>
    <phoneticPr fontId="3" type="noConversion"/>
  </si>
  <si>
    <t>管理費-2015.10</t>
    <phoneticPr fontId="3" type="noConversion"/>
  </si>
  <si>
    <t>2015.10.23</t>
    <phoneticPr fontId="3" type="noConversion"/>
  </si>
  <si>
    <t>黑筆</t>
    <phoneticPr fontId="3" type="noConversion"/>
  </si>
  <si>
    <t>2015.10.23</t>
    <phoneticPr fontId="3" type="noConversion"/>
  </si>
  <si>
    <t>掛號費-鉑德KO維護合約發票回郵</t>
    <phoneticPr fontId="3" type="noConversion"/>
  </si>
  <si>
    <t>掛號郵票</t>
    <phoneticPr fontId="3" type="noConversion"/>
  </si>
  <si>
    <t>2015.10.27</t>
    <phoneticPr fontId="3" type="noConversion"/>
  </si>
  <si>
    <t>掛號費-房租合約</t>
    <phoneticPr fontId="3" type="noConversion"/>
  </si>
  <si>
    <t>華算104.11-12三聯式發票</t>
    <phoneticPr fontId="3" type="noConversion"/>
  </si>
  <si>
    <t>2015.11.02</t>
    <phoneticPr fontId="3" type="noConversion"/>
  </si>
  <si>
    <t>2015.11 北平房租-台銀網銀轉帳(2012.06開始漲兩千)</t>
    <phoneticPr fontId="3" type="noConversion"/>
  </si>
  <si>
    <t>2015.11.05</t>
    <phoneticPr fontId="3" type="noConversion"/>
  </si>
  <si>
    <t>2015.10 card ada代刷-玉山</t>
    <phoneticPr fontId="3" type="noConversion"/>
  </si>
  <si>
    <t>掛號費-松群維護合約發票回郵</t>
    <phoneticPr fontId="3" type="noConversion"/>
  </si>
  <si>
    <t>2015.11.11</t>
    <phoneticPr fontId="3" type="noConversion"/>
  </si>
  <si>
    <t>401.2015.9~10</t>
    <phoneticPr fontId="3" type="noConversion"/>
  </si>
  <si>
    <t>2015.11.19</t>
    <phoneticPr fontId="3" type="noConversion"/>
  </si>
  <si>
    <t>鉑德續約換機計程車資</t>
    <phoneticPr fontId="3" type="noConversion"/>
  </si>
  <si>
    <t>2015.11.20</t>
    <phoneticPr fontId="3" type="noConversion"/>
  </si>
  <si>
    <t>DV1: 那麻煩再給他6千x3 (2016,4-6月)+ 過年1萬2千=3萬</t>
    <phoneticPr fontId="3" type="noConversion"/>
  </si>
  <si>
    <t>順豐品固SJ-HD*2-LAN*2</t>
    <phoneticPr fontId="3" type="noConversion"/>
  </si>
  <si>
    <t>2015.11.22</t>
    <phoneticPr fontId="3" type="noConversion"/>
  </si>
  <si>
    <t>2015.11.24</t>
    <phoneticPr fontId="3" type="noConversion"/>
  </si>
  <si>
    <t>管理費-2015.11</t>
    <phoneticPr fontId="3" type="noConversion"/>
  </si>
  <si>
    <t>2015.11.25</t>
    <phoneticPr fontId="3" type="noConversion"/>
  </si>
  <si>
    <t>水費.104-11</t>
    <phoneticPr fontId="3" type="noConversion"/>
  </si>
  <si>
    <t>2015.11.26</t>
    <phoneticPr fontId="3" type="noConversion"/>
  </si>
  <si>
    <t>2015.11.26</t>
    <phoneticPr fontId="3" type="noConversion"/>
  </si>
  <si>
    <t>2015.12.01</t>
    <phoneticPr fontId="3" type="noConversion"/>
  </si>
  <si>
    <t>2015.12 北平房租-台銀網銀轉帳(2012.06開始漲兩千)</t>
    <phoneticPr fontId="3" type="noConversion"/>
  </si>
  <si>
    <t>2015.12.02</t>
    <phoneticPr fontId="3" type="noConversion"/>
  </si>
  <si>
    <t>2015.12.07</t>
    <phoneticPr fontId="3" type="noConversion"/>
  </si>
  <si>
    <t>2015.11 card ada代刷-玉山</t>
    <phoneticPr fontId="3" type="noConversion"/>
  </si>
  <si>
    <t>2015.12.07</t>
    <phoneticPr fontId="3" type="noConversion"/>
  </si>
  <si>
    <t>2015.11 card ada代刷-中信</t>
    <phoneticPr fontId="3" type="noConversion"/>
  </si>
  <si>
    <t>104.11 欽</t>
    <phoneticPr fontId="3" type="noConversion"/>
  </si>
  <si>
    <t>104.11 達</t>
    <phoneticPr fontId="3" type="noConversion"/>
  </si>
  <si>
    <t>104.11 張</t>
    <phoneticPr fontId="3" type="noConversion"/>
  </si>
  <si>
    <t>2015.12.10</t>
    <phoneticPr fontId="3" type="noConversion"/>
  </si>
  <si>
    <t>祥和裝機計程車資</t>
    <phoneticPr fontId="3" type="noConversion"/>
  </si>
  <si>
    <t>祥和裝機計程車資</t>
    <phoneticPr fontId="3" type="noConversion"/>
  </si>
  <si>
    <t>2015.12.14</t>
    <phoneticPr fontId="3" type="noConversion"/>
  </si>
  <si>
    <t>掛號費-品固蘇州合約發票回郵</t>
    <phoneticPr fontId="3" type="noConversion"/>
  </si>
  <si>
    <t>2015.12.15</t>
    <phoneticPr fontId="3" type="noConversion"/>
  </si>
  <si>
    <t>佳尼特裝機計程車資</t>
    <phoneticPr fontId="3" type="noConversion"/>
  </si>
  <si>
    <t>2015.12.16</t>
    <phoneticPr fontId="3" type="noConversion"/>
  </si>
  <si>
    <t>掛號費-威凌發票補大小章回郵</t>
    <phoneticPr fontId="3" type="noConversion"/>
  </si>
  <si>
    <t>2015.12.16</t>
    <phoneticPr fontId="3" type="noConversion"/>
  </si>
  <si>
    <t>限時掛號費-鉑依鎔車源財務業務尾款發票</t>
    <phoneticPr fontId="3" type="noConversion"/>
  </si>
  <si>
    <t>2015.12.18</t>
    <phoneticPr fontId="3" type="noConversion"/>
  </si>
  <si>
    <t>ADA借給公司</t>
    <phoneticPr fontId="3" type="noConversion"/>
  </si>
  <si>
    <t>2015.12.18</t>
    <phoneticPr fontId="3" type="noConversion"/>
  </si>
  <si>
    <t>PETER-台北富邦玉成分行-章挺憲-303168146496</t>
    <phoneticPr fontId="3" type="noConversion"/>
  </si>
  <si>
    <t>2015.12.23</t>
    <phoneticPr fontId="3" type="noConversion"/>
  </si>
  <si>
    <t>阿明匯入</t>
    <phoneticPr fontId="3" type="noConversion"/>
  </si>
  <si>
    <t>2015.12.24</t>
    <phoneticPr fontId="3" type="noConversion"/>
  </si>
  <si>
    <t>管理費-2015.12</t>
    <phoneticPr fontId="3" type="noConversion"/>
  </si>
  <si>
    <t>2016.01.04</t>
    <phoneticPr fontId="3" type="noConversion"/>
  </si>
  <si>
    <t>2016.01 北平房租-台銀網銀轉帳(2012.06開始漲兩千)</t>
    <phoneticPr fontId="3" type="noConversion"/>
  </si>
  <si>
    <t>104.12 欽</t>
    <phoneticPr fontId="3" type="noConversion"/>
  </si>
  <si>
    <t>104.12 達</t>
    <phoneticPr fontId="3" type="noConversion"/>
  </si>
  <si>
    <t>104.12 張</t>
    <phoneticPr fontId="3" type="noConversion"/>
  </si>
  <si>
    <t>ADA借給公司-還</t>
    <phoneticPr fontId="3" type="noConversion"/>
  </si>
  <si>
    <t>2015.12 card ada代刷-富邦</t>
    <phoneticPr fontId="3" type="noConversion"/>
  </si>
  <si>
    <t>2015.12 card ada代刷-中信</t>
    <phoneticPr fontId="3" type="noConversion"/>
  </si>
  <si>
    <t>華算105.01-02三聯式發票</t>
    <phoneticPr fontId="3" type="noConversion"/>
  </si>
  <si>
    <t>2016.01.11</t>
    <phoneticPr fontId="3" type="noConversion"/>
  </si>
  <si>
    <t>2015.12 card ada代刷-玉山</t>
    <phoneticPr fontId="3" type="noConversion"/>
  </si>
  <si>
    <t>401.2015.11~12</t>
    <phoneticPr fontId="3" type="noConversion"/>
  </si>
  <si>
    <t>2016.01.14</t>
    <phoneticPr fontId="3" type="noConversion"/>
  </si>
  <si>
    <t>2016.01.25</t>
    <phoneticPr fontId="3" type="noConversion"/>
  </si>
  <si>
    <t>包裹-電源維修</t>
    <phoneticPr fontId="3" type="noConversion"/>
  </si>
  <si>
    <t>電池9V---電話遙控電源用</t>
    <phoneticPr fontId="3" type="noConversion"/>
  </si>
  <si>
    <t>2016.01.27</t>
    <phoneticPr fontId="3" type="noConversion"/>
  </si>
  <si>
    <t>2016.01.28</t>
    <phoneticPr fontId="3" type="noConversion"/>
  </si>
  <si>
    <t>管理費-2016.01</t>
    <phoneticPr fontId="3" type="noConversion"/>
  </si>
  <si>
    <t>掛號費-漢聯廈門INVOICE</t>
    <phoneticPr fontId="3" type="noConversion"/>
  </si>
  <si>
    <t>2016.01.29</t>
    <phoneticPr fontId="3" type="noConversion"/>
  </si>
  <si>
    <t>2016.02.02</t>
    <phoneticPr fontId="3" type="noConversion"/>
  </si>
  <si>
    <t>電話遙控器TEL-1202A</t>
    <phoneticPr fontId="3" type="noConversion"/>
  </si>
  <si>
    <t>廣華電子轉帳費</t>
    <phoneticPr fontId="3" type="noConversion"/>
  </si>
  <si>
    <t>2016.02.05</t>
    <phoneticPr fontId="3" type="noConversion"/>
  </si>
  <si>
    <t>105.01 欽</t>
    <phoneticPr fontId="3" type="noConversion"/>
  </si>
  <si>
    <t>2016.02.05</t>
    <phoneticPr fontId="3" type="noConversion"/>
  </si>
  <si>
    <t>105.01 達</t>
    <phoneticPr fontId="3" type="noConversion"/>
  </si>
  <si>
    <t>105.01 張</t>
    <phoneticPr fontId="3" type="noConversion"/>
  </si>
  <si>
    <t>2016.01 card ada代刷-中信</t>
    <phoneticPr fontId="3" type="noConversion"/>
  </si>
  <si>
    <t>2016.02.22</t>
    <phoneticPr fontId="3" type="noConversion"/>
  </si>
  <si>
    <t>請問上周提到饒媽要$, 只有講說掛號費貴, 要你給她些$
DV1: 那請給他7-9月生活費18000</t>
    <phoneticPr fontId="3" type="noConversion"/>
  </si>
  <si>
    <t>2016.02.23</t>
    <phoneticPr fontId="3" type="noConversion"/>
  </si>
  <si>
    <t>華算105.03-04三聯式發票</t>
    <phoneticPr fontId="3" type="noConversion"/>
  </si>
  <si>
    <t>管理費-2016.02</t>
    <phoneticPr fontId="3" type="noConversion"/>
  </si>
  <si>
    <t>2016.02.24</t>
    <phoneticPr fontId="3" type="noConversion"/>
  </si>
  <si>
    <t>掛號費-限掛-依德/鎔德/鉑德/安力-發票</t>
    <phoneticPr fontId="3" type="noConversion"/>
  </si>
  <si>
    <t>2016.02.24</t>
    <phoneticPr fontId="3" type="noConversion"/>
  </si>
  <si>
    <t>掛號回郵信封*20</t>
    <phoneticPr fontId="3" type="noConversion"/>
  </si>
  <si>
    <t>2016.03.01</t>
    <phoneticPr fontId="3" type="noConversion"/>
  </si>
  <si>
    <t>2016.03 北平房租-台銀網銀轉帳(2012.06開始漲兩千)</t>
    <phoneticPr fontId="3" type="noConversion"/>
  </si>
  <si>
    <t>2016.03.07</t>
    <phoneticPr fontId="3" type="noConversion"/>
  </si>
  <si>
    <t>105.02 欽</t>
    <phoneticPr fontId="3" type="noConversion"/>
  </si>
  <si>
    <t>105.02 達</t>
    <phoneticPr fontId="3" type="noConversion"/>
  </si>
  <si>
    <t>2016.03.08</t>
    <phoneticPr fontId="3" type="noConversion"/>
  </si>
  <si>
    <t>2016.02 card ada代刷-玉山</t>
    <phoneticPr fontId="3" type="noConversion"/>
  </si>
  <si>
    <t>2016.03.08</t>
    <phoneticPr fontId="3" type="noConversion"/>
  </si>
  <si>
    <t>2016.02 card ada代刷-中信</t>
    <phoneticPr fontId="3" type="noConversion"/>
  </si>
  <si>
    <t>2016.03.11</t>
    <phoneticPr fontId="3" type="noConversion"/>
  </si>
  <si>
    <t>401.2016.01~02</t>
    <phoneticPr fontId="3" type="noConversion"/>
  </si>
  <si>
    <t>永馳裝機計程車資</t>
    <phoneticPr fontId="3" type="noConversion"/>
  </si>
  <si>
    <t>2016.03.14</t>
    <phoneticPr fontId="3" type="noConversion"/>
  </si>
  <si>
    <t>環保袋/清潔劑</t>
    <phoneticPr fontId="3" type="noConversion"/>
  </si>
  <si>
    <t>2016.03.16</t>
    <phoneticPr fontId="3" type="noConversion"/>
  </si>
  <si>
    <t>西拓裝機計程車資</t>
    <phoneticPr fontId="3" type="noConversion"/>
  </si>
  <si>
    <t>2016.03.23</t>
    <phoneticPr fontId="3" type="noConversion"/>
  </si>
  <si>
    <t>管理費-2016.02</t>
    <phoneticPr fontId="3" type="noConversion"/>
  </si>
  <si>
    <t>2016.04.01</t>
    <phoneticPr fontId="3" type="noConversion"/>
  </si>
  <si>
    <t>2016.04 北平房租-台銀網銀轉帳(2012.06開始漲兩千)</t>
    <phoneticPr fontId="3" type="noConversion"/>
  </si>
  <si>
    <t>2016.04.01</t>
    <phoneticPr fontId="3" type="noConversion"/>
  </si>
  <si>
    <t>105.03 欽</t>
    <phoneticPr fontId="3" type="noConversion"/>
  </si>
  <si>
    <t>105.03 達</t>
    <phoneticPr fontId="3" type="noConversion"/>
  </si>
  <si>
    <t>105.03 張</t>
    <phoneticPr fontId="3" type="noConversion"/>
  </si>
  <si>
    <t>2016.04.06</t>
    <phoneticPr fontId="3" type="noConversion"/>
  </si>
  <si>
    <t>2016.03 card ada代刷-玉山</t>
    <phoneticPr fontId="3" type="noConversion"/>
  </si>
  <si>
    <t>2016.04.06</t>
    <phoneticPr fontId="3" type="noConversion"/>
  </si>
  <si>
    <t>水費.105-03</t>
    <phoneticPr fontId="3" type="noConversion"/>
  </si>
  <si>
    <t>2016.04.07</t>
    <phoneticPr fontId="3" type="noConversion"/>
  </si>
  <si>
    <t>105.03 張---展鑫一次匯入8張票金額, 多給獎金一千</t>
    <phoneticPr fontId="3" type="noConversion"/>
  </si>
  <si>
    <t>2016.04.08</t>
    <phoneticPr fontId="3" type="noConversion"/>
  </si>
  <si>
    <t>rayman3t: 說你4/3有打給她, 講4/7要匯$給她
DV1: 嗯,我是請問上次給是給幾月的生活費
DV1: 請匯給他18000 算3個月生活費
10-12</t>
    <phoneticPr fontId="3" type="noConversion"/>
  </si>
  <si>
    <t>2016.04.13</t>
    <phoneticPr fontId="3" type="noConversion"/>
  </si>
  <si>
    <t>展鑫裝機計程車資</t>
    <phoneticPr fontId="3" type="noConversion"/>
  </si>
  <si>
    <t>2016.04.22</t>
    <phoneticPr fontId="3" type="noConversion"/>
  </si>
  <si>
    <t>永馳維護換機車資</t>
    <phoneticPr fontId="3" type="noConversion"/>
  </si>
  <si>
    <t>2016.04.25</t>
    <phoneticPr fontId="3" type="noConversion"/>
  </si>
  <si>
    <t>華算105.05-06三聯式發票</t>
    <phoneticPr fontId="3" type="noConversion"/>
  </si>
  <si>
    <t>2016.04.27</t>
    <phoneticPr fontId="3" type="noConversion"/>
  </si>
  <si>
    <t>2016.04.27</t>
    <phoneticPr fontId="3" type="noConversion"/>
  </si>
  <si>
    <t>管理費-2016.04</t>
    <phoneticPr fontId="3" type="noConversion"/>
  </si>
  <si>
    <t>2016.05.03</t>
    <phoneticPr fontId="3" type="noConversion"/>
  </si>
  <si>
    <t>2016.05 北平房租-台銀網銀轉帳(2012.06開始漲兩千)</t>
    <phoneticPr fontId="3" type="noConversion"/>
  </si>
  <si>
    <t>401.2016.03~04</t>
    <phoneticPr fontId="3" type="noConversion"/>
  </si>
  <si>
    <t>2015.05.03</t>
    <phoneticPr fontId="3" type="noConversion"/>
  </si>
  <si>
    <t>KO合約封面影印</t>
    <phoneticPr fontId="3" type="noConversion"/>
  </si>
  <si>
    <t>2015.05.03</t>
    <phoneticPr fontId="3" type="noConversion"/>
  </si>
  <si>
    <t>合約封面紙,文具</t>
    <phoneticPr fontId="3" type="noConversion"/>
  </si>
  <si>
    <t>2015.05.05轉WORK</t>
    <phoneticPr fontId="3" type="noConversion"/>
  </si>
  <si>
    <t>2016.05.05</t>
    <phoneticPr fontId="3" type="noConversion"/>
  </si>
  <si>
    <t>2016.04 card ada代刷-中信$4224,玉山$12064</t>
    <phoneticPr fontId="3" type="noConversion"/>
  </si>
  <si>
    <t>105.04 欽</t>
    <phoneticPr fontId="3" type="noConversion"/>
  </si>
  <si>
    <t>105.04 達</t>
    <phoneticPr fontId="3" type="noConversion"/>
  </si>
  <si>
    <t>105.04 張</t>
    <phoneticPr fontId="3" type="noConversion"/>
  </si>
  <si>
    <t>2016.05.06</t>
    <phoneticPr fontId="3" type="noConversion"/>
  </si>
  <si>
    <t>掛號漢聯合約*2回郵*1</t>
    <phoneticPr fontId="3" type="noConversion"/>
  </si>
  <si>
    <t>2016.05.16</t>
    <phoneticPr fontId="3" type="noConversion"/>
  </si>
  <si>
    <t>大成維護車資</t>
    <phoneticPr fontId="3" type="noConversion"/>
  </si>
  <si>
    <t>2016.05.20</t>
    <phoneticPr fontId="3" type="noConversion"/>
  </si>
  <si>
    <t>陽信銀行大屯分行 006020060615 蘇政仁-PT 25萬</t>
    <phoneticPr fontId="3" type="noConversion"/>
  </si>
  <si>
    <t>2016.05.18</t>
    <phoneticPr fontId="3" type="noConversion"/>
  </si>
  <si>
    <t>威倫續約換機車資</t>
    <phoneticPr fontId="3" type="noConversion"/>
  </si>
  <si>
    <t>2016.05.18</t>
    <phoneticPr fontId="3" type="noConversion"/>
  </si>
  <si>
    <t>2016.05.19</t>
    <phoneticPr fontId="3" type="noConversion"/>
  </si>
  <si>
    <t>威倫續約換機車資-取回舊機</t>
    <phoneticPr fontId="3" type="noConversion"/>
  </si>
  <si>
    <t>管理費-2016.05</t>
    <phoneticPr fontId="3" type="noConversion"/>
  </si>
  <si>
    <t>2016.05.26</t>
    <phoneticPr fontId="3" type="noConversion"/>
  </si>
  <si>
    <t>名片-PT,ksoffice ; kkman1234,華彩</t>
    <phoneticPr fontId="3" type="noConversion"/>
  </si>
  <si>
    <t>2016.06.04</t>
    <phoneticPr fontId="3" type="noConversion"/>
  </si>
  <si>
    <t>水費.105-05</t>
    <phoneticPr fontId="3" type="noConversion"/>
  </si>
  <si>
    <t>2016.06.01</t>
    <phoneticPr fontId="3" type="noConversion"/>
  </si>
  <si>
    <t>2016.06 北平房租-台銀網銀轉帳(2012.06開始漲兩千)</t>
    <phoneticPr fontId="3" type="noConversion"/>
  </si>
  <si>
    <t>2016.06.02</t>
    <phoneticPr fontId="3" type="noConversion"/>
  </si>
  <si>
    <t>品固續約換機車資</t>
    <phoneticPr fontId="3" type="noConversion"/>
  </si>
  <si>
    <t>2016.06.06</t>
    <phoneticPr fontId="3" type="noConversion"/>
  </si>
  <si>
    <t>105.05 欽</t>
    <phoneticPr fontId="3" type="noConversion"/>
  </si>
  <si>
    <t>105.05 達</t>
    <phoneticPr fontId="3" type="noConversion"/>
  </si>
  <si>
    <t>105.05 張</t>
    <phoneticPr fontId="3" type="noConversion"/>
  </si>
  <si>
    <t>2016.05 card ada代刷-玉山</t>
    <phoneticPr fontId="3" type="noConversion"/>
  </si>
  <si>
    <t>2016.05 card ada代刷-中信</t>
    <phoneticPr fontId="3" type="noConversion"/>
  </si>
  <si>
    <t>2016.06.21</t>
    <phoneticPr fontId="3" type="noConversion"/>
  </si>
  <si>
    <t>DV1: 啊,已經給到年底了哦
DV1: 不然請給12000,祝他中秋節快樂
DV1 正在輸入...
DV1: 請再加3000,一共15000,算上次去機場的車費</t>
    <phoneticPr fontId="3" type="noConversion"/>
  </si>
  <si>
    <t>2016.06.22</t>
    <phoneticPr fontId="3" type="noConversion"/>
  </si>
  <si>
    <t>品固續約換機車資-取回舊機, 泰聯維護</t>
    <phoneticPr fontId="3" type="noConversion"/>
  </si>
  <si>
    <t>2016.06.27</t>
    <phoneticPr fontId="3" type="noConversion"/>
  </si>
  <si>
    <t>管理費-2016.06</t>
    <phoneticPr fontId="3" type="noConversion"/>
  </si>
  <si>
    <t>2016.06.29</t>
    <phoneticPr fontId="3" type="noConversion"/>
  </si>
  <si>
    <t>喜可續約換機車資</t>
    <phoneticPr fontId="3" type="noConversion"/>
  </si>
  <si>
    <t>2016.06.29</t>
    <phoneticPr fontId="3" type="noConversion"/>
  </si>
  <si>
    <t>2016.06.30</t>
    <phoneticPr fontId="3" type="noConversion"/>
  </si>
  <si>
    <t>漢聯續約換機車資</t>
    <phoneticPr fontId="3" type="noConversion"/>
  </si>
  <si>
    <t>2016.06.30</t>
    <phoneticPr fontId="3" type="noConversion"/>
  </si>
  <si>
    <t>漢聯續約換機車資</t>
    <phoneticPr fontId="3" type="noConversion"/>
  </si>
  <si>
    <t>2016.07.01</t>
    <phoneticPr fontId="3" type="noConversion"/>
  </si>
  <si>
    <t>2016.07 北平房租-台銀網銀轉帳(2012.06開始漲兩千)</t>
    <phoneticPr fontId="3" type="noConversion"/>
  </si>
  <si>
    <t>2016.07.05</t>
    <phoneticPr fontId="3" type="noConversion"/>
  </si>
  <si>
    <t>105.06 欽</t>
    <phoneticPr fontId="3" type="noConversion"/>
  </si>
  <si>
    <t>105.06 達</t>
    <phoneticPr fontId="3" type="noConversion"/>
  </si>
  <si>
    <t>105.06 張</t>
    <phoneticPr fontId="3" type="noConversion"/>
  </si>
  <si>
    <t>2016.07.06</t>
    <phoneticPr fontId="3" type="noConversion"/>
  </si>
  <si>
    <t>合碩續約換機車資</t>
    <phoneticPr fontId="3" type="noConversion"/>
  </si>
  <si>
    <t>2016.07.13</t>
    <phoneticPr fontId="3" type="noConversion"/>
  </si>
  <si>
    <t>西拓悠遊卡儲值</t>
    <phoneticPr fontId="3" type="noConversion"/>
  </si>
  <si>
    <t>2016.07.13</t>
    <phoneticPr fontId="3" type="noConversion"/>
  </si>
  <si>
    <t>順發風扇轉接線</t>
    <phoneticPr fontId="3" type="noConversion"/>
  </si>
  <si>
    <t>源達束線-黑</t>
    <phoneticPr fontId="3" type="noConversion"/>
  </si>
  <si>
    <t>2016.06 card ada代刷-玉山</t>
    <phoneticPr fontId="3" type="noConversion"/>
  </si>
  <si>
    <t>401.2016.05~06</t>
    <phoneticPr fontId="3" type="noConversion"/>
  </si>
  <si>
    <t>2016.07.29</t>
    <phoneticPr fontId="3" type="noConversion"/>
  </si>
  <si>
    <t>水費.105-07</t>
    <phoneticPr fontId="3" type="noConversion"/>
  </si>
  <si>
    <t>管理費-2016.07</t>
    <phoneticPr fontId="3" type="noConversion"/>
  </si>
  <si>
    <t>2016.08.01</t>
    <phoneticPr fontId="3" type="noConversion"/>
  </si>
  <si>
    <t>2016.08 北平房租-台銀網銀轉帳(2012.06開始漲兩千)</t>
    <phoneticPr fontId="3" type="noConversion"/>
  </si>
  <si>
    <t>2016.05 健保費銀行不足扣款,改自己臨櫃繳</t>
    <phoneticPr fontId="3" type="noConversion"/>
  </si>
  <si>
    <t>2016.08.02</t>
    <phoneticPr fontId="3" type="noConversion"/>
  </si>
  <si>
    <t>掛號泰聯-永昌合約*2發票回郵*1,25郵票,10郵票,依/鎔/鉑/安力/友士掛號</t>
    <phoneticPr fontId="3" type="noConversion"/>
  </si>
  <si>
    <t>2016.08.05</t>
    <phoneticPr fontId="3" type="noConversion"/>
  </si>
  <si>
    <t>105.07 欽</t>
    <phoneticPr fontId="3" type="noConversion"/>
  </si>
  <si>
    <t>105.07 達-台銀城中-華算</t>
    <phoneticPr fontId="3" type="noConversion"/>
  </si>
  <si>
    <t>105.07 達-台銀信義-華算</t>
    <phoneticPr fontId="3" type="noConversion"/>
  </si>
  <si>
    <t>105.07 張</t>
    <phoneticPr fontId="3" type="noConversion"/>
  </si>
  <si>
    <t>2016.07 card ada代刷-中信</t>
    <phoneticPr fontId="3" type="noConversion"/>
  </si>
  <si>
    <t>掛號鉑德車源維護合約*2發票大回郵信封*1寄鎔德葉</t>
    <phoneticPr fontId="3" type="noConversion"/>
  </si>
  <si>
    <t>2016.08.08</t>
    <phoneticPr fontId="3" type="noConversion"/>
  </si>
  <si>
    <t>2016.07 card ada代刷-玉山</t>
    <phoneticPr fontId="3" type="noConversion"/>
  </si>
  <si>
    <t>2016.08.08</t>
    <phoneticPr fontId="3" type="noConversion"/>
  </si>
  <si>
    <t>掛號大同稽徵所-邱承志-饒韻-饒樂-學生証-繳費証明-更正申請書</t>
    <phoneticPr fontId="3" type="noConversion"/>
  </si>
  <si>
    <t>2016.08.23</t>
    <phoneticPr fontId="3" type="noConversion"/>
  </si>
  <si>
    <t>2016.08.24</t>
    <phoneticPr fontId="3" type="noConversion"/>
  </si>
  <si>
    <t>華算105.09-10三聯式發票,車資</t>
    <phoneticPr fontId="3" type="noConversion"/>
  </si>
  <si>
    <t>2016.08.29</t>
    <phoneticPr fontId="3" type="noConversion"/>
  </si>
  <si>
    <t>管理費-2016.08</t>
    <phoneticPr fontId="3" type="noConversion"/>
  </si>
  <si>
    <t>2016.08.31</t>
    <phoneticPr fontId="3" type="noConversion"/>
  </si>
  <si>
    <t>2016.09.01</t>
    <phoneticPr fontId="3" type="noConversion"/>
  </si>
  <si>
    <t>邁拓續約換機車資</t>
    <phoneticPr fontId="3" type="noConversion"/>
  </si>
  <si>
    <t>2016.09.02</t>
    <phoneticPr fontId="3" type="noConversion"/>
  </si>
  <si>
    <t>2016.09 北平房租-台銀網銀轉帳(2012.06開始漲兩千)</t>
    <phoneticPr fontId="3" type="noConversion"/>
  </si>
  <si>
    <t>麻煩轉給饒媽補薪水3000元 x 4(9月-12月) = 12000元</t>
    <phoneticPr fontId="3" type="noConversion"/>
  </si>
  <si>
    <t>2016.09.05</t>
    <phoneticPr fontId="3" type="noConversion"/>
  </si>
  <si>
    <t>105.08 欽</t>
    <phoneticPr fontId="3" type="noConversion"/>
  </si>
  <si>
    <t>105.08 達</t>
    <phoneticPr fontId="3" type="noConversion"/>
  </si>
  <si>
    <t>2016.09.05</t>
    <phoneticPr fontId="3" type="noConversion"/>
  </si>
  <si>
    <t>105.08 張</t>
    <phoneticPr fontId="3" type="noConversion"/>
  </si>
  <si>
    <t>2016.09.07</t>
    <phoneticPr fontId="3" type="noConversion"/>
  </si>
  <si>
    <t>401.2016.07~08</t>
    <phoneticPr fontId="3" type="noConversion"/>
  </si>
  <si>
    <t>2016.09.19</t>
    <phoneticPr fontId="3" type="noConversion"/>
  </si>
  <si>
    <t>PETER 今天打給我, 說明天下午要去找我拿鉑德車源軟體的維護費, 那我要給他多少$
未稅是72000 PT,我各34000
那是要給PT NT$34000?
是的</t>
    <phoneticPr fontId="3" type="noConversion"/>
  </si>
  <si>
    <t>2016.09.23</t>
    <phoneticPr fontId="3" type="noConversion"/>
  </si>
  <si>
    <t>管理費-2016.09</t>
    <phoneticPr fontId="3" type="noConversion"/>
  </si>
  <si>
    <t>2016.09.26</t>
    <phoneticPr fontId="3" type="noConversion"/>
  </si>
  <si>
    <t>水費.105-09</t>
    <phoneticPr fontId="3" type="noConversion"/>
  </si>
  <si>
    <t>2016.10.05</t>
    <phoneticPr fontId="3" type="noConversion"/>
  </si>
  <si>
    <t>105.09 欽</t>
    <phoneticPr fontId="3" type="noConversion"/>
  </si>
  <si>
    <t>2016.10.05</t>
    <phoneticPr fontId="3" type="noConversion"/>
  </si>
  <si>
    <t>105.09 達</t>
    <phoneticPr fontId="3" type="noConversion"/>
  </si>
  <si>
    <t>105.09 張</t>
    <phoneticPr fontId="3" type="noConversion"/>
  </si>
  <si>
    <t>2016.09 card ada代刷-中信</t>
    <phoneticPr fontId="3" type="noConversion"/>
  </si>
  <si>
    <t>2016.10.11</t>
    <phoneticPr fontId="3" type="noConversion"/>
  </si>
  <si>
    <t>2016.10.17</t>
    <phoneticPr fontId="3" type="noConversion"/>
  </si>
  <si>
    <t>國稅局換新購票証車資</t>
    <phoneticPr fontId="3" type="noConversion"/>
  </si>
  <si>
    <t>2016.10.26</t>
    <phoneticPr fontId="3" type="noConversion"/>
  </si>
  <si>
    <t>華算105.11-12三聯式發票及車資</t>
    <phoneticPr fontId="3" type="noConversion"/>
  </si>
  <si>
    <t>管理費-2016.10</t>
    <phoneticPr fontId="3" type="noConversion"/>
  </si>
  <si>
    <t>2016.10.27</t>
    <phoneticPr fontId="3" type="noConversion"/>
  </si>
  <si>
    <t>限掛依德車源/KO合約發票*2大回郵信封*1寄依德育碩,限掛鎔德車源/KO合約*2發票*3大回郵信封*1寄鎔德葉</t>
    <phoneticPr fontId="3" type="noConversion"/>
  </si>
  <si>
    <t>2016.11.01</t>
    <phoneticPr fontId="3" type="noConversion"/>
  </si>
  <si>
    <t>2016.11 北平房租-台銀網銀轉帳(2012.06開始漲兩千)</t>
    <phoneticPr fontId="3" type="noConversion"/>
  </si>
  <si>
    <t>2016.11.07</t>
    <phoneticPr fontId="3" type="noConversion"/>
  </si>
  <si>
    <t>105.10 欽</t>
    <phoneticPr fontId="3" type="noConversion"/>
  </si>
  <si>
    <t>2016.11.07</t>
    <phoneticPr fontId="3" type="noConversion"/>
  </si>
  <si>
    <t>105.10 達</t>
    <phoneticPr fontId="3" type="noConversion"/>
  </si>
  <si>
    <t>2016.11.08</t>
    <phoneticPr fontId="3" type="noConversion"/>
  </si>
  <si>
    <t>401.2016.09~10</t>
    <phoneticPr fontId="3" type="noConversion"/>
  </si>
  <si>
    <t>2016.11.16</t>
    <phoneticPr fontId="3" type="noConversion"/>
  </si>
  <si>
    <t>限掛 依/鎔/鎔行善 改合約</t>
    <phoneticPr fontId="3" type="noConversion"/>
  </si>
  <si>
    <t>2016.11.17</t>
    <phoneticPr fontId="3" type="noConversion"/>
  </si>
  <si>
    <t>汎輝悠遊卡儲值</t>
    <phoneticPr fontId="3" type="noConversion"/>
  </si>
  <si>
    <t>2016.11.22</t>
    <phoneticPr fontId="3" type="noConversion"/>
  </si>
  <si>
    <t>合約封面影印</t>
    <phoneticPr fontId="3" type="noConversion"/>
  </si>
  <si>
    <t>掛號改限掛 依/鎔/鎔行善 再改合約</t>
    <phoneticPr fontId="3" type="noConversion"/>
  </si>
  <si>
    <t>2016.11.24</t>
    <phoneticPr fontId="3" type="noConversion"/>
  </si>
  <si>
    <t>城乙續約換機車資</t>
    <phoneticPr fontId="3" type="noConversion"/>
  </si>
  <si>
    <t>2016.10.28</t>
    <phoneticPr fontId="3" type="noConversion"/>
  </si>
  <si>
    <t>華算105.11-12二聯式發票</t>
    <phoneticPr fontId="3" type="noConversion"/>
  </si>
  <si>
    <t>2016.11.29</t>
    <phoneticPr fontId="3" type="noConversion"/>
  </si>
  <si>
    <t>管理費-2016.11</t>
    <phoneticPr fontId="3" type="noConversion"/>
  </si>
  <si>
    <t>2016.11.29</t>
    <phoneticPr fontId="3" type="noConversion"/>
  </si>
  <si>
    <t xml:space="preserve">限掛 鉑德/安力發票 </t>
    <phoneticPr fontId="3" type="noConversion"/>
  </si>
  <si>
    <t>2016.12.01</t>
    <phoneticPr fontId="3" type="noConversion"/>
  </si>
  <si>
    <t>水費.105-11</t>
    <phoneticPr fontId="3" type="noConversion"/>
  </si>
  <si>
    <t>我要出2萬買家電的錢,請幫我轉饒媽帳戶,</t>
    <phoneticPr fontId="3" type="noConversion"/>
  </si>
  <si>
    <t>2016.12.02</t>
    <phoneticPr fontId="3" type="noConversion"/>
  </si>
  <si>
    <t>2016.12.05</t>
    <phoneticPr fontId="3" type="noConversion"/>
  </si>
  <si>
    <t>2016.12 北平房租-台銀網銀轉帳(2012.06開始漲兩千)</t>
    <phoneticPr fontId="3" type="noConversion"/>
  </si>
  <si>
    <t>105.11 欽</t>
    <phoneticPr fontId="3" type="noConversion"/>
  </si>
  <si>
    <t>105.11 達</t>
    <phoneticPr fontId="3" type="noConversion"/>
  </si>
  <si>
    <t>105.11 張</t>
    <phoneticPr fontId="3" type="noConversion"/>
  </si>
  <si>
    <t>2016.12.06</t>
    <phoneticPr fontId="3" type="noConversion"/>
  </si>
  <si>
    <t>2016.11 card ada代刷-玉山</t>
    <phoneticPr fontId="3" type="noConversion"/>
  </si>
  <si>
    <t>掛號 永馳/同皇/八亨 發票</t>
    <phoneticPr fontId="3" type="noConversion"/>
  </si>
  <si>
    <t>2016.12.07</t>
    <phoneticPr fontId="3" type="noConversion"/>
  </si>
  <si>
    <t>合約紙/膠帶</t>
    <phoneticPr fontId="3" type="noConversion"/>
  </si>
  <si>
    <t>2016.12.07</t>
    <phoneticPr fontId="3" type="noConversion"/>
  </si>
  <si>
    <t>2016.12.12</t>
    <phoneticPr fontId="3" type="noConversion"/>
  </si>
  <si>
    <t>2016.12.13</t>
    <phoneticPr fontId="3" type="noConversion"/>
  </si>
  <si>
    <t>2016.12.13</t>
    <phoneticPr fontId="3" type="noConversion"/>
  </si>
  <si>
    <t>PT富邦 012 玉成分行, 303168146496 NT$40萬
所以是不含恩豪, 要匯NT$40萬嗎
david 
是
1.) 依德軟体系統維護費(105-106年) 50,000 
2.) 鎔德軟体系統維護費(105-106年) 50,000 
3.) 依德KO佣金 30,000 
4.) 鎔德KO佣金 30,000 
5.) 鎔德行善KO佣金 24,000 
6.) 恩豪KO佣金(第一年) 11,000 
195,000 
7) 健保補充費1364000 @2%(103-105年) -27,280 
167,720</t>
    <phoneticPr fontId="3" type="noConversion"/>
  </si>
  <si>
    <t>2016.12.31</t>
    <phoneticPr fontId="3" type="noConversion"/>
  </si>
  <si>
    <t>管理費-2016.12</t>
    <phoneticPr fontId="3" type="noConversion"/>
  </si>
  <si>
    <t>華算106.1-2三聯式發票及車資</t>
    <phoneticPr fontId="3" type="noConversion"/>
  </si>
  <si>
    <t>2017.01.02</t>
    <phoneticPr fontId="3" type="noConversion"/>
  </si>
  <si>
    <t>2017.01 北平房租-台銀網銀轉帳(2012.06開始漲兩千)</t>
    <phoneticPr fontId="3" type="noConversion"/>
  </si>
  <si>
    <t>2017.01.04</t>
    <phoneticPr fontId="3" type="noConversion"/>
  </si>
  <si>
    <t>協億通續約換機車資</t>
    <phoneticPr fontId="3" type="noConversion"/>
  </si>
  <si>
    <t>2017.01.05</t>
    <phoneticPr fontId="3" type="noConversion"/>
  </si>
  <si>
    <t>掛號 恩豪 合約/發票</t>
    <phoneticPr fontId="3" type="noConversion"/>
  </si>
  <si>
    <t>105.12 欽</t>
    <phoneticPr fontId="3" type="noConversion"/>
  </si>
  <si>
    <t>105.12 達</t>
    <phoneticPr fontId="3" type="noConversion"/>
  </si>
  <si>
    <t>2017.01.09</t>
    <phoneticPr fontId="3" type="noConversion"/>
  </si>
  <si>
    <t>105.12 達</t>
    <phoneticPr fontId="3" type="noConversion"/>
  </si>
  <si>
    <t>2017.02.06</t>
    <phoneticPr fontId="3" type="noConversion"/>
  </si>
  <si>
    <t>105.12 達-二月才領</t>
    <phoneticPr fontId="3" type="noConversion"/>
  </si>
  <si>
    <t>2017.01.05</t>
    <phoneticPr fontId="3" type="noConversion"/>
  </si>
  <si>
    <t>105.12 張</t>
    <phoneticPr fontId="3" type="noConversion"/>
  </si>
  <si>
    <t>2016.12 card ada代刷-中信</t>
    <phoneticPr fontId="3" type="noConversion"/>
  </si>
  <si>
    <t>2016.12 card ada代刷-玉山</t>
    <phoneticPr fontId="3" type="noConversion"/>
  </si>
  <si>
    <t>2017.01.25</t>
    <phoneticPr fontId="3" type="noConversion"/>
  </si>
  <si>
    <t>dv-ma</t>
    <phoneticPr fontId="3" type="noConversion"/>
  </si>
  <si>
    <t>2017.01.25</t>
    <phoneticPr fontId="3" type="noConversion"/>
  </si>
  <si>
    <t>106.01 欽</t>
    <phoneticPr fontId="3" type="noConversion"/>
  </si>
  <si>
    <t>2017.01.26</t>
    <phoneticPr fontId="3" type="noConversion"/>
  </si>
  <si>
    <t>2017.02.02</t>
    <phoneticPr fontId="3" type="noConversion"/>
  </si>
  <si>
    <t>水費.106-01</t>
    <phoneticPr fontId="3" type="noConversion"/>
  </si>
  <si>
    <t>管理費-2017.01</t>
    <phoneticPr fontId="3" type="noConversion"/>
  </si>
  <si>
    <t>郵票 $25 * 20</t>
    <phoneticPr fontId="3" type="noConversion"/>
  </si>
  <si>
    <t>2017.01 card ada代刷-中信</t>
    <phoneticPr fontId="3" type="noConversion"/>
  </si>
  <si>
    <t>2017.02.06</t>
    <phoneticPr fontId="3" type="noConversion"/>
  </si>
  <si>
    <t>2017.01 card ada代刷-玉山</t>
    <phoneticPr fontId="3" type="noConversion"/>
  </si>
  <si>
    <t>2017.02.07</t>
    <phoneticPr fontId="3" type="noConversion"/>
  </si>
  <si>
    <t>106.01 達</t>
    <phoneticPr fontId="3" type="noConversion"/>
  </si>
  <si>
    <t>信封,A4紙</t>
    <phoneticPr fontId="3" type="noConversion"/>
  </si>
  <si>
    <t>2017.02.08</t>
    <phoneticPr fontId="3" type="noConversion"/>
  </si>
  <si>
    <t>樺仔電腦INTEL-PCI-E網卡 $740 *2</t>
    <phoneticPr fontId="3" type="noConversion"/>
  </si>
  <si>
    <t>掛號 安力 合約/發票</t>
    <phoneticPr fontId="3" type="noConversion"/>
  </si>
  <si>
    <t>順豐 品固東莞第三張網卡 INTEL</t>
    <phoneticPr fontId="3" type="noConversion"/>
  </si>
  <si>
    <t>2017.02.14</t>
    <phoneticPr fontId="3" type="noConversion"/>
  </si>
  <si>
    <t>限掛 協億通補發票, 5元郵票*10</t>
    <phoneticPr fontId="3" type="noConversion"/>
  </si>
  <si>
    <t>2017.02.21</t>
    <phoneticPr fontId="3" type="noConversion"/>
  </si>
  <si>
    <t>華算106.3-4三聯式發票及車資</t>
    <phoneticPr fontId="3" type="noConversion"/>
  </si>
  <si>
    <t>安力續約換機車資</t>
    <phoneticPr fontId="3" type="noConversion"/>
  </si>
  <si>
    <t>安力續約換機車資</t>
    <phoneticPr fontId="3" type="noConversion"/>
  </si>
  <si>
    <t>2017.02.28</t>
    <phoneticPr fontId="3" type="noConversion"/>
  </si>
  <si>
    <t>管理費-2017.01</t>
    <phoneticPr fontId="3" type="noConversion"/>
  </si>
  <si>
    <t>2017.03.01</t>
    <phoneticPr fontId="3" type="noConversion"/>
  </si>
  <si>
    <t>電源維修包裹</t>
    <phoneticPr fontId="3" type="noConversion"/>
  </si>
  <si>
    <t>2017.03.02</t>
    <phoneticPr fontId="3" type="noConversion"/>
  </si>
  <si>
    <t>鎔德舊宗續約換機車資</t>
    <phoneticPr fontId="3" type="noConversion"/>
  </si>
  <si>
    <t>鎔德舊宗續約換機車資</t>
    <phoneticPr fontId="3" type="noConversion"/>
  </si>
  <si>
    <t>2017.03.09</t>
    <phoneticPr fontId="3" type="noConversion"/>
  </si>
  <si>
    <t>依德續約換機車資</t>
    <phoneticPr fontId="3" type="noConversion"/>
  </si>
  <si>
    <t>依德續約換機車資</t>
    <phoneticPr fontId="3" type="noConversion"/>
  </si>
  <si>
    <t>限掛 達翌 發票</t>
    <phoneticPr fontId="3" type="noConversion"/>
  </si>
  <si>
    <t>2017.02 card ada代刷-玉山</t>
    <phoneticPr fontId="3" type="noConversion"/>
  </si>
  <si>
    <t>2017.03.13</t>
    <phoneticPr fontId="3" type="noConversion"/>
  </si>
  <si>
    <t>401.2017.01~02</t>
    <phoneticPr fontId="3" type="noConversion"/>
  </si>
  <si>
    <t>2017.03.15</t>
    <phoneticPr fontId="3" type="noConversion"/>
  </si>
  <si>
    <t>2017.03.21</t>
    <phoneticPr fontId="3" type="noConversion"/>
  </si>
  <si>
    <t>麻煩給他3萬…安力
11000不用…恩豪第一年</t>
    <phoneticPr fontId="3" type="noConversion"/>
  </si>
  <si>
    <t>源達起子</t>
    <phoneticPr fontId="3" type="noConversion"/>
  </si>
  <si>
    <t>管理費-2017.03</t>
    <phoneticPr fontId="3" type="noConversion"/>
  </si>
  <si>
    <t>2017.03.23</t>
    <phoneticPr fontId="3" type="noConversion"/>
  </si>
  <si>
    <t>限掛 元超 合約,發票,回郵</t>
    <phoneticPr fontId="3" type="noConversion"/>
  </si>
  <si>
    <t>2017.03.29</t>
    <phoneticPr fontId="3" type="noConversion"/>
  </si>
  <si>
    <t>台一續約換機車資</t>
    <phoneticPr fontId="3" type="noConversion"/>
  </si>
  <si>
    <t>2017.03.30</t>
    <phoneticPr fontId="3" type="noConversion"/>
  </si>
  <si>
    <t>2017.04.01</t>
    <phoneticPr fontId="3" type="noConversion"/>
  </si>
  <si>
    <t>2017.04 北平房租-台銀網銀轉帳(2012.06開始漲兩千)</t>
    <phoneticPr fontId="3" type="noConversion"/>
  </si>
  <si>
    <t>2017.04.05</t>
    <phoneticPr fontId="3" type="noConversion"/>
  </si>
  <si>
    <t>106.03 達-1</t>
    <phoneticPr fontId="3" type="noConversion"/>
  </si>
  <si>
    <t>106.03 欽</t>
    <phoneticPr fontId="3" type="noConversion"/>
  </si>
  <si>
    <t>106.03 張</t>
    <phoneticPr fontId="3" type="noConversion"/>
  </si>
  <si>
    <t>水費.106-03</t>
    <phoneticPr fontId="3" type="noConversion"/>
  </si>
  <si>
    <t>2017.04.06</t>
    <phoneticPr fontId="3" type="noConversion"/>
  </si>
  <si>
    <t>雙安續約換機車資</t>
    <phoneticPr fontId="3" type="noConversion"/>
  </si>
  <si>
    <t>2017.04.07</t>
    <phoneticPr fontId="3" type="noConversion"/>
  </si>
  <si>
    <t>源碩續約換機車資</t>
    <phoneticPr fontId="3" type="noConversion"/>
  </si>
  <si>
    <t>2017.04.10</t>
    <phoneticPr fontId="3" type="noConversion"/>
  </si>
  <si>
    <t>106.03 達-2-華算信義</t>
    <phoneticPr fontId="3" type="noConversion"/>
  </si>
  <si>
    <t>裕恆續約換機車資</t>
    <phoneticPr fontId="3" type="noConversion"/>
  </si>
  <si>
    <t>鴻碩 2017.04.7票到8張,稅金給現金$4320</t>
    <phoneticPr fontId="3" type="noConversion"/>
  </si>
  <si>
    <t>2017.04.11</t>
    <phoneticPr fontId="3" type="noConversion"/>
  </si>
  <si>
    <t>差1萬</t>
    <phoneticPr fontId="3" type="noConversion"/>
  </si>
  <si>
    <t>106.03 達-3</t>
    <phoneticPr fontId="3" type="noConversion"/>
  </si>
  <si>
    <t>2017.03 card ada代刷-玉山</t>
    <phoneticPr fontId="3" type="noConversion"/>
  </si>
  <si>
    <t>源達起子</t>
    <phoneticPr fontId="3" type="noConversion"/>
  </si>
  <si>
    <t>旺旺達續約換機車資</t>
    <phoneticPr fontId="3" type="noConversion"/>
  </si>
  <si>
    <t>2017.04.20</t>
    <phoneticPr fontId="3" type="noConversion"/>
  </si>
  <si>
    <t>威視續約換機車資</t>
    <phoneticPr fontId="3" type="noConversion"/>
  </si>
  <si>
    <t>2017.04.24</t>
    <phoneticPr fontId="3" type="noConversion"/>
  </si>
  <si>
    <t>華算106.5-6三聯式發票及車資</t>
    <phoneticPr fontId="3" type="noConversion"/>
  </si>
  <si>
    <t>2017.04.25</t>
    <phoneticPr fontId="3" type="noConversion"/>
  </si>
  <si>
    <t>管理費-2017.04</t>
    <phoneticPr fontId="3" type="noConversion"/>
  </si>
  <si>
    <t>106.03 達-4</t>
    <phoneticPr fontId="3" type="noConversion"/>
  </si>
  <si>
    <t>2017.04.27</t>
    <phoneticPr fontId="3" type="noConversion"/>
  </si>
  <si>
    <t>宇陽單次維護$25000(未)裝機費$3000(未)</t>
    <phoneticPr fontId="3" type="noConversion"/>
  </si>
  <si>
    <t>宇陽單次維護換機車資</t>
    <phoneticPr fontId="3" type="noConversion"/>
  </si>
  <si>
    <t>2017.04.27</t>
    <phoneticPr fontId="3" type="noConversion"/>
  </si>
  <si>
    <t>2017.05.02</t>
    <phoneticPr fontId="3" type="noConversion"/>
  </si>
  <si>
    <t>2017.05.03</t>
    <phoneticPr fontId="3" type="noConversion"/>
  </si>
  <si>
    <t>BMW大桐裝機車資,永馳維修車資</t>
    <phoneticPr fontId="3" type="noConversion"/>
  </si>
  <si>
    <t>2017.05.05</t>
    <phoneticPr fontId="3" type="noConversion"/>
  </si>
  <si>
    <t>106.04 欽</t>
    <phoneticPr fontId="3" type="noConversion"/>
  </si>
  <si>
    <t>餘50000</t>
    <phoneticPr fontId="3" type="noConversion"/>
  </si>
  <si>
    <t>106.04 張</t>
    <phoneticPr fontId="3" type="noConversion"/>
  </si>
  <si>
    <t>餘61454</t>
    <phoneticPr fontId="3" type="noConversion"/>
  </si>
  <si>
    <t>106.04 達</t>
    <phoneticPr fontId="3" type="noConversion"/>
  </si>
  <si>
    <t>401.2017.03~04 $36703 宇陽單次維護$25000(未)裝機費$3000(未)</t>
    <phoneticPr fontId="3" type="noConversion"/>
  </si>
  <si>
    <t>2017.05.08</t>
    <phoneticPr fontId="3" type="noConversion"/>
  </si>
  <si>
    <t>掛號 依,鎔,鎔保,鉑,安力 發票</t>
    <phoneticPr fontId="3" type="noConversion"/>
  </si>
  <si>
    <t>3公升垃圾袋 @21*4</t>
    <phoneticPr fontId="3" type="noConversion"/>
  </si>
  <si>
    <t>2017.05.10</t>
    <phoneticPr fontId="3" type="noConversion"/>
  </si>
  <si>
    <t>2017.04 card ada代刷-中信</t>
    <phoneticPr fontId="3" type="noConversion"/>
  </si>
  <si>
    <t>2017.05.11</t>
    <phoneticPr fontId="3" type="noConversion"/>
  </si>
  <si>
    <t>BMW大桐-DNS-tatung-motor.com-5年, PT代收現金</t>
    <phoneticPr fontId="3" type="noConversion"/>
  </si>
  <si>
    <t>2017.05.15</t>
    <phoneticPr fontId="3" type="noConversion"/>
  </si>
  <si>
    <t>2017.04 card ada代刷-玉山 應$72658</t>
    <phoneticPr fontId="3" type="noConversion"/>
  </si>
  <si>
    <t>2017.05.16</t>
    <phoneticPr fontId="3" type="noConversion"/>
  </si>
  <si>
    <t>2017.05.19</t>
    <phoneticPr fontId="3" type="noConversion"/>
  </si>
  <si>
    <t>掛號 大成 合約發票</t>
    <phoneticPr fontId="3" type="noConversion"/>
  </si>
  <si>
    <t>2017.05.23</t>
    <phoneticPr fontId="3" type="noConversion"/>
  </si>
  <si>
    <t>管理費-2017.05</t>
    <phoneticPr fontId="3" type="noConversion"/>
  </si>
  <si>
    <t>2017.05.24</t>
    <phoneticPr fontId="3" type="noConversion"/>
  </si>
  <si>
    <t>友士裝機車資</t>
    <phoneticPr fontId="3" type="noConversion"/>
  </si>
  <si>
    <t>2017.06.01</t>
    <phoneticPr fontId="3" type="noConversion"/>
  </si>
  <si>
    <t>2017.06 北平房租-台銀網銀轉帳(2012.06開始漲兩千)</t>
    <phoneticPr fontId="3" type="noConversion"/>
  </si>
  <si>
    <t>2017.06.05</t>
    <phoneticPr fontId="3" type="noConversion"/>
  </si>
  <si>
    <t>106.05 欽</t>
    <phoneticPr fontId="3" type="noConversion"/>
  </si>
  <si>
    <t>106.04 張-補上月餘款</t>
    <phoneticPr fontId="3" type="noConversion"/>
  </si>
  <si>
    <t>餘 33000</t>
    <phoneticPr fontId="3" type="noConversion"/>
  </si>
  <si>
    <t>106.05 張</t>
    <phoneticPr fontId="3" type="noConversion"/>
  </si>
  <si>
    <t>餘 20000</t>
    <phoneticPr fontId="3" type="noConversion"/>
  </si>
  <si>
    <t>106.04 達--補上月餘款, 尚餘20000</t>
    <phoneticPr fontId="3" type="noConversion"/>
  </si>
  <si>
    <t>餘 61454</t>
    <phoneticPr fontId="3" type="noConversion"/>
  </si>
  <si>
    <t>合計 $ 81454</t>
    <phoneticPr fontId="3" type="noConversion"/>
  </si>
  <si>
    <t>106.05 達</t>
    <phoneticPr fontId="3" type="noConversion"/>
  </si>
  <si>
    <t>2017.05 card ada代刷-玉山</t>
    <phoneticPr fontId="3" type="noConversion"/>
  </si>
  <si>
    <t>2017.05 card ada代刷-中信</t>
    <phoneticPr fontId="3" type="noConversion"/>
  </si>
  <si>
    <t>達算停業車資</t>
    <phoneticPr fontId="3" type="noConversion"/>
  </si>
  <si>
    <t>水費.106-05</t>
    <phoneticPr fontId="3" type="noConversion"/>
  </si>
  <si>
    <t>2017.06.13</t>
    <phoneticPr fontId="3" type="noConversion"/>
  </si>
  <si>
    <t>愛浪續約換機車資</t>
    <phoneticPr fontId="3" type="noConversion"/>
  </si>
  <si>
    <t>2017.06.19</t>
    <phoneticPr fontId="3" type="noConversion"/>
  </si>
  <si>
    <t>dv-ma
DV 2017/6/15 下午 01:43:38
到時再麻煩轉饒媽2萬 母親節+端午節</t>
    <phoneticPr fontId="3" type="noConversion"/>
  </si>
  <si>
    <t>106.04 達--補上月餘款</t>
    <phoneticPr fontId="3" type="noConversion"/>
  </si>
  <si>
    <t>106.05 達--補</t>
    <phoneticPr fontId="3" type="noConversion"/>
  </si>
  <si>
    <t>106.05 張--補</t>
    <phoneticPr fontId="3" type="noConversion"/>
  </si>
  <si>
    <t>2017.06.19</t>
    <phoneticPr fontId="3" type="noConversion"/>
  </si>
  <si>
    <t>PETER
匯款資料：
大眾銀行：814-內湖分行
活儲：168-1229361-17
章挺憲
金額：NT175800
車源首次$150000,大桐佣金 $30000,扣二代健103-105$42000</t>
    <phoneticPr fontId="3" type="noConversion"/>
  </si>
  <si>
    <t>2017.06.22</t>
    <phoneticPr fontId="3" type="noConversion"/>
  </si>
  <si>
    <r>
      <t xml:space="preserve">Standard SSL Renewal 
www.purewaterclub.com
Item Number: 13604 
Quantity: 1
Term: 1
List Price: $2,479.00
Purchase Price: $2,479.00
ICANN Fee: $0.00
Discount: $0.00
Subtotal: $2,479.00
Taxes: $0.00
</t>
    </r>
    <r>
      <rPr>
        <sz val="12"/>
        <color indexed="10"/>
        <rFont val="新細明體"/>
        <family val="1"/>
        <charset val="136"/>
      </rPr>
      <t>Total: $2,479.00</t>
    </r>
    <r>
      <rPr>
        <sz val="12"/>
        <rFont val="新細明體"/>
        <family val="1"/>
        <charset val="136"/>
      </rPr>
      <t xml:space="preserve">
中信代刷</t>
    </r>
    <phoneticPr fontId="3" type="noConversion"/>
  </si>
  <si>
    <t>2017.06.23</t>
    <phoneticPr fontId="3" type="noConversion"/>
  </si>
  <si>
    <t>2017.06.30</t>
    <phoneticPr fontId="3" type="noConversion"/>
  </si>
  <si>
    <t>華算106.7-8三聯式發票及車資</t>
    <phoneticPr fontId="3" type="noConversion"/>
  </si>
  <si>
    <t>2017.07 北平房租-台銀網銀轉帳(2012.06開始漲兩千)</t>
    <phoneticPr fontId="3" type="noConversion"/>
  </si>
  <si>
    <t>2017.07.04</t>
    <phoneticPr fontId="3" type="noConversion"/>
  </si>
  <si>
    <t>掛號 同皇 發票</t>
    <phoneticPr fontId="3" type="noConversion"/>
  </si>
  <si>
    <t>2017.07.05</t>
    <phoneticPr fontId="3" type="noConversion"/>
  </si>
  <si>
    <t>106.06 欽</t>
    <phoneticPr fontId="3" type="noConversion"/>
  </si>
  <si>
    <t>106.06 張</t>
    <phoneticPr fontId="3" type="noConversion"/>
  </si>
  <si>
    <t>2017.07.07</t>
    <phoneticPr fontId="3" type="noConversion"/>
  </si>
  <si>
    <t>餘 46454</t>
    <phoneticPr fontId="3" type="noConversion"/>
  </si>
  <si>
    <t>106.06 達-1-信義華算</t>
    <phoneticPr fontId="3" type="noConversion"/>
  </si>
  <si>
    <t>2017.06 card ada代刷-玉山</t>
    <phoneticPr fontId="3" type="noConversion"/>
  </si>
  <si>
    <t>2017.07.14</t>
    <phoneticPr fontId="3" type="noConversion"/>
  </si>
  <si>
    <t>401.2017.05~06</t>
    <phoneticPr fontId="3" type="noConversion"/>
  </si>
  <si>
    <t>2017.07.20</t>
    <phoneticPr fontId="3" type="noConversion"/>
  </si>
  <si>
    <t>鉑德KO/車源合約影印</t>
    <phoneticPr fontId="3" type="noConversion"/>
  </si>
  <si>
    <t>2017.07.21</t>
    <phoneticPr fontId="3" type="noConversion"/>
  </si>
  <si>
    <t>管理費-2017.07</t>
    <phoneticPr fontId="3" type="noConversion"/>
  </si>
  <si>
    <t>2017.07.24</t>
    <phoneticPr fontId="3" type="noConversion"/>
  </si>
  <si>
    <t>2017.07.26</t>
    <phoneticPr fontId="3" type="noConversion"/>
  </si>
  <si>
    <t>水費.106-07</t>
    <phoneticPr fontId="3" type="noConversion"/>
  </si>
  <si>
    <t>郵票 $25 * 16, $10 * 10, 汎輝合約發票掛號</t>
    <phoneticPr fontId="3" type="noConversion"/>
  </si>
  <si>
    <t>合約大信封</t>
    <phoneticPr fontId="3" type="noConversion"/>
  </si>
  <si>
    <t>2017.08.01</t>
    <phoneticPr fontId="3" type="noConversion"/>
  </si>
  <si>
    <t>2017.08 北平房租-台銀網銀轉帳(2012.06開始漲兩千)</t>
    <phoneticPr fontId="3" type="noConversion"/>
  </si>
  <si>
    <t>2017.08.07</t>
    <phoneticPr fontId="3" type="noConversion"/>
  </si>
  <si>
    <t>依德/鎔德/安力/大桐/友士/同皇/泰聯發票掛號 (掛號漲$28)</t>
    <phoneticPr fontId="3" type="noConversion"/>
  </si>
  <si>
    <t>106.07 欽</t>
    <phoneticPr fontId="3" type="noConversion"/>
  </si>
  <si>
    <t>106.07 張</t>
    <phoneticPr fontId="3" type="noConversion"/>
  </si>
  <si>
    <t>2017.08.08</t>
    <phoneticPr fontId="3" type="noConversion"/>
  </si>
  <si>
    <t>106.06 達-2-信義華算</t>
    <phoneticPr fontId="3" type="noConversion"/>
  </si>
  <si>
    <t>2017.08.08</t>
    <phoneticPr fontId="3" type="noConversion"/>
  </si>
  <si>
    <t>2017.07 card ada代刷-中信</t>
    <phoneticPr fontId="3" type="noConversion"/>
  </si>
  <si>
    <t>2017.07 card ada代刷-玉山</t>
    <phoneticPr fontId="3" type="noConversion"/>
  </si>
  <si>
    <t>掛號</t>
    <phoneticPr fontId="3" type="noConversion"/>
  </si>
  <si>
    <t>2017.08.10</t>
    <phoneticPr fontId="3" type="noConversion"/>
  </si>
  <si>
    <t>太暘續約換機車資</t>
    <phoneticPr fontId="3" type="noConversion"/>
  </si>
  <si>
    <t>太暘續約換機車資</t>
    <phoneticPr fontId="3" type="noConversion"/>
  </si>
  <si>
    <t>2017.08.14</t>
    <phoneticPr fontId="3" type="noConversion"/>
  </si>
  <si>
    <t>太暘發票掛號</t>
    <phoneticPr fontId="3" type="noConversion"/>
  </si>
  <si>
    <t>2017.08.17</t>
    <phoneticPr fontId="3" type="noConversion"/>
  </si>
  <si>
    <t>順豐 DV-ID</t>
    <phoneticPr fontId="3" type="noConversion"/>
  </si>
  <si>
    <t>2017.08.24</t>
    <phoneticPr fontId="3" type="noConversion"/>
  </si>
  <si>
    <t>華算106.9-10三聯式發票及車資</t>
    <phoneticPr fontId="3" type="noConversion"/>
  </si>
  <si>
    <t>2017.08.24</t>
    <phoneticPr fontId="3" type="noConversion"/>
  </si>
  <si>
    <t>管理費-2017.08 106.8月開始調漲$20, (原$95+$20=$115/坪) * 12.68坪=$1458</t>
    <phoneticPr fontId="3" type="noConversion"/>
  </si>
  <si>
    <t>2017.08.25</t>
    <phoneticPr fontId="3" type="noConversion"/>
  </si>
  <si>
    <t>鉑德KO/車源發票掛號</t>
    <phoneticPr fontId="3" type="noConversion"/>
  </si>
  <si>
    <t>2017.08.29</t>
    <phoneticPr fontId="3" type="noConversion"/>
  </si>
  <si>
    <t>106.07 達-信義華算</t>
    <phoneticPr fontId="3" type="noConversion"/>
  </si>
  <si>
    <t>2017.08.30</t>
    <phoneticPr fontId="3" type="noConversion"/>
  </si>
  <si>
    <t>勤業續約換機車資</t>
    <phoneticPr fontId="3" type="noConversion"/>
  </si>
  <si>
    <t>2017.09.01</t>
    <phoneticPr fontId="3" type="noConversion"/>
  </si>
  <si>
    <t>2017.09 北平房租-台銀網銀轉帳(2012.06開始漲兩千)</t>
    <phoneticPr fontId="3" type="noConversion"/>
  </si>
  <si>
    <t>2017.09.05</t>
    <phoneticPr fontId="3" type="noConversion"/>
  </si>
  <si>
    <t>dacomputing.com 1 year $10.00
Total: $10.00
Card Type: MasterCard
Card Number: xxxxxxxxxxxx9652</t>
    <phoneticPr fontId="3" type="noConversion"/>
  </si>
  <si>
    <t>106.08 欽</t>
    <phoneticPr fontId="3" type="noConversion"/>
  </si>
  <si>
    <t>2017.09.05</t>
    <phoneticPr fontId="3" type="noConversion"/>
  </si>
  <si>
    <t>106.08 張</t>
    <phoneticPr fontId="3" type="noConversion"/>
  </si>
  <si>
    <t>2017.09.07</t>
    <phoneticPr fontId="3" type="noConversion"/>
  </si>
  <si>
    <t>2017.08 card ada代刷-富邦</t>
    <phoneticPr fontId="3" type="noConversion"/>
  </si>
  <si>
    <t>2017.09.11</t>
    <phoneticPr fontId="3" type="noConversion"/>
  </si>
  <si>
    <t>八亨合約發票掛號</t>
    <phoneticPr fontId="3" type="noConversion"/>
  </si>
  <si>
    <t>2017.09.12</t>
    <phoneticPr fontId="3" type="noConversion"/>
  </si>
  <si>
    <t>(62211匯款+509現金)</t>
    <phoneticPr fontId="3" type="noConversion"/>
  </si>
  <si>
    <t>PETER
匯款資料：
大眾銀行：814-內湖分行
活儲：168-1229361-17
章挺憲
20170912 鉑德 PT 佣金
鉑德軟体系統維護費(106-107年)-&gt;72000?-?4000(名義上扣4千給你)/2=34000
鉑德KO-佣金(106-108年)-&gt;30000
合計?64000
健保補充費64000@2%---&gt;PT要再減1280
抵106度的補充保費嗎
DV??上午?08:55:14
106年1-6月上次已扣
1280是扣這次的
以後都每次扣
才不會漏了
總計 $62720 (還ADA - UNI-CASE.COM 續約)</t>
    <phoneticPr fontId="3" type="noConversion"/>
  </si>
  <si>
    <t>2017.09.13</t>
    <phoneticPr fontId="3" type="noConversion"/>
  </si>
  <si>
    <t>401.2017.07~08</t>
    <phoneticPr fontId="3" type="noConversion"/>
  </si>
  <si>
    <t>2017.09.14</t>
    <phoneticPr fontId="3" type="noConversion"/>
  </si>
  <si>
    <t>施舒雅合約發票掛號</t>
    <phoneticPr fontId="3" type="noConversion"/>
  </si>
  <si>
    <t>2017.09.18</t>
    <phoneticPr fontId="3" type="noConversion"/>
  </si>
  <si>
    <t>鉑德支票簽收回條掛號</t>
    <phoneticPr fontId="3" type="noConversion"/>
  </si>
  <si>
    <t>2017.09.20</t>
    <phoneticPr fontId="3" type="noConversion"/>
  </si>
  <si>
    <t>悠遊卡儲值恩豪</t>
    <phoneticPr fontId="3" type="noConversion"/>
  </si>
  <si>
    <t>2017.09.21</t>
    <phoneticPr fontId="3" type="noConversion"/>
  </si>
  <si>
    <t>106.08 達</t>
    <phoneticPr fontId="3" type="noConversion"/>
  </si>
  <si>
    <t>2017.09.25</t>
    <phoneticPr fontId="3" type="noConversion"/>
  </si>
  <si>
    <t>水費.106-09</t>
    <phoneticPr fontId="3" type="noConversion"/>
  </si>
  <si>
    <t>2017.09.28</t>
    <phoneticPr fontId="3" type="noConversion"/>
  </si>
  <si>
    <t>DV  上午 10:14:30
OK
中秋要麻煩轉饒媽12000,請問有錢嗎</t>
    <phoneticPr fontId="3" type="noConversion"/>
  </si>
  <si>
    <t>106年度查核104年度補充保費</t>
    <phoneticPr fontId="3" type="noConversion"/>
  </si>
  <si>
    <t>管理費-2017.09 106.8月開始調漲$20, (原$95+$20=$115/坪) * 12.68坪=$1458</t>
    <phoneticPr fontId="3" type="noConversion"/>
  </si>
  <si>
    <t>永馳發票掛號</t>
    <phoneticPr fontId="3" type="noConversion"/>
  </si>
  <si>
    <t>2017.10.05</t>
    <phoneticPr fontId="3" type="noConversion"/>
  </si>
  <si>
    <t>悠遊卡儲值依德</t>
    <phoneticPr fontId="3" type="noConversion"/>
  </si>
  <si>
    <t>106.09 欽</t>
    <phoneticPr fontId="3" type="noConversion"/>
  </si>
  <si>
    <t>106.09 張</t>
    <phoneticPr fontId="3" type="noConversion"/>
  </si>
  <si>
    <t>2017.10.18</t>
    <phoneticPr fontId="3" type="noConversion"/>
  </si>
  <si>
    <t>源達起子WD40</t>
    <phoneticPr fontId="3" type="noConversion"/>
  </si>
  <si>
    <t>2017.10.24</t>
    <phoneticPr fontId="3" type="noConversion"/>
  </si>
  <si>
    <t>華算106.11-12三聯式發票及車資</t>
    <phoneticPr fontId="3" type="noConversion"/>
  </si>
  <si>
    <t>松群續約換機車資</t>
    <phoneticPr fontId="3" type="noConversion"/>
  </si>
  <si>
    <t>2017.10.24</t>
    <phoneticPr fontId="3" type="noConversion"/>
  </si>
  <si>
    <t>恩豪維修油資</t>
    <phoneticPr fontId="3" type="noConversion"/>
  </si>
  <si>
    <t>恩豪維修第二趟計程車資</t>
    <phoneticPr fontId="3" type="noConversion"/>
  </si>
  <si>
    <t>2017.10.27</t>
    <phoneticPr fontId="3" type="noConversion"/>
  </si>
  <si>
    <t>管理費-2017.10 106.8月開始調漲$20, (原$95+$20=$115/坪) * 12.68坪=$1458</t>
    <phoneticPr fontId="3" type="noConversion"/>
  </si>
  <si>
    <t>2017.10.31</t>
    <phoneticPr fontId="3" type="noConversion"/>
  </si>
  <si>
    <t>依鎔德車源合約發票掛號</t>
    <phoneticPr fontId="3" type="noConversion"/>
  </si>
  <si>
    <t>郵票 $28 * 3</t>
    <phoneticPr fontId="3" type="noConversion"/>
  </si>
  <si>
    <t>2017.11.01</t>
    <phoneticPr fontId="3" type="noConversion"/>
  </si>
  <si>
    <t>2017.11 北平房租-台銀網銀轉帳(2012.06開始漲兩千)</t>
    <phoneticPr fontId="3" type="noConversion"/>
  </si>
  <si>
    <t>106.09 達</t>
    <phoneticPr fontId="3" type="noConversion"/>
  </si>
  <si>
    <t>2017.11.06</t>
    <phoneticPr fontId="3" type="noConversion"/>
  </si>
  <si>
    <t>106.10 張</t>
    <phoneticPr fontId="3" type="noConversion"/>
  </si>
  <si>
    <t>106.10 欽</t>
    <phoneticPr fontId="3" type="noConversion"/>
  </si>
  <si>
    <t>2017.11.09</t>
    <phoneticPr fontId="3" type="noConversion"/>
  </si>
  <si>
    <t>恩豪移機車資</t>
    <phoneticPr fontId="3" type="noConversion"/>
  </si>
  <si>
    <t>2017.11.13</t>
    <phoneticPr fontId="3" type="noConversion"/>
  </si>
  <si>
    <t>401.2017.09~10</t>
    <phoneticPr fontId="3" type="noConversion"/>
  </si>
  <si>
    <t>106.10 達</t>
    <phoneticPr fontId="3" type="noConversion"/>
  </si>
  <si>
    <t>依/鎔/鉑/安力/大桐/友士/同皇發票掛號, 郵票$28 *10</t>
    <phoneticPr fontId="3" type="noConversion"/>
  </si>
  <si>
    <t>2017.11.27</t>
    <phoneticPr fontId="3" type="noConversion"/>
  </si>
  <si>
    <t>水費.106-11</t>
    <phoneticPr fontId="3" type="noConversion"/>
  </si>
  <si>
    <t>2017.11.29</t>
    <phoneticPr fontId="3" type="noConversion"/>
  </si>
  <si>
    <t>2017.11.30</t>
    <phoneticPr fontId="3" type="noConversion"/>
  </si>
  <si>
    <t>道法續約換機車資</t>
    <phoneticPr fontId="3" type="noConversion"/>
  </si>
  <si>
    <t>2017.12.01</t>
    <phoneticPr fontId="3" type="noConversion"/>
  </si>
  <si>
    <t>2017.12 北平房租-台銀網銀轉帳(2012.06開始漲兩千)</t>
    <phoneticPr fontId="3" type="noConversion"/>
  </si>
  <si>
    <t>2017.12.05</t>
    <phoneticPr fontId="3" type="noConversion"/>
  </si>
  <si>
    <t>106.11 達</t>
    <phoneticPr fontId="3" type="noConversion"/>
  </si>
  <si>
    <t>106.11 張</t>
    <phoneticPr fontId="3" type="noConversion"/>
  </si>
  <si>
    <t>106.11 欽</t>
    <phoneticPr fontId="3" type="noConversion"/>
  </si>
  <si>
    <t>2017.12.12</t>
    <phoneticPr fontId="3" type="noConversion"/>
  </si>
  <si>
    <t>2017.11 card ada代刷-玉山</t>
    <phoneticPr fontId="3" type="noConversion"/>
  </si>
  <si>
    <t>2017.12.13</t>
    <phoneticPr fontId="3" type="noConversion"/>
  </si>
  <si>
    <t>PETER
匯款資料：
大眾銀行：814-內湖分行
活儲：168-1229361-17
章挺憲
koofficecn 2017/12/11 下午 05:09:43
依和鎔都已各匯 $113390 車源維護費, 我跟PT講了
DV 2017/12/11 下午 05:15:01
ok3q
koofficecn 2017/12/11 下午 05:15:48
他在問你要不要人民幣, 或後續, 請再跟他說
DV 2017/12/11 下午 05:16:34
好的我跟他说
DV 2017/12/12 上午 11:40:07
PT剛才跟我說好了,所以請匯20萬台幣到PT的帳戶,我和他一起換人民幣
DV 2017/12/12 上午 11:42:52
歹勢
是19萬6千
因為要扣2%的健保補充費</t>
    <phoneticPr fontId="3" type="noConversion"/>
  </si>
  <si>
    <t>2017.12.14</t>
    <phoneticPr fontId="3" type="noConversion"/>
  </si>
  <si>
    <t>鉑德續約換機車資</t>
    <phoneticPr fontId="3" type="noConversion"/>
  </si>
  <si>
    <t>2017.12.14</t>
    <phoneticPr fontId="3" type="noConversion"/>
  </si>
  <si>
    <t>鉑德續約換機車資</t>
    <phoneticPr fontId="3" type="noConversion"/>
  </si>
  <si>
    <t>2017.12.25</t>
    <phoneticPr fontId="3" type="noConversion"/>
  </si>
  <si>
    <t>大桐車源二次款發票*4限掛</t>
    <phoneticPr fontId="3" type="noConversion"/>
  </si>
  <si>
    <t>2017.12.25</t>
    <phoneticPr fontId="3" type="noConversion"/>
  </si>
  <si>
    <t>管理費-2017.12 106.8月開始調漲$20, (原$95+$20=$115/坪) * 12.68坪=$1458</t>
    <phoneticPr fontId="3" type="noConversion"/>
  </si>
  <si>
    <t>2018.01.05</t>
    <phoneticPr fontId="3" type="noConversion"/>
  </si>
  <si>
    <t>106.12 張</t>
    <phoneticPr fontId="3" type="noConversion"/>
  </si>
  <si>
    <t>2018.01.05</t>
    <phoneticPr fontId="3" type="noConversion"/>
  </si>
  <si>
    <t>106.12 欽</t>
    <phoneticPr fontId="3" type="noConversion"/>
  </si>
  <si>
    <t>2017.12 card ada代刷-玉山</t>
    <phoneticPr fontId="3" type="noConversion"/>
  </si>
  <si>
    <t>DV 2018/1/5 上午 09:11:07
麻煩有空轉給饒媽3000*6(1-6月)+12000過年紅包=30000</t>
    <phoneticPr fontId="3" type="noConversion"/>
  </si>
  <si>
    <t>2018.01.10</t>
    <phoneticPr fontId="3" type="noConversion"/>
  </si>
  <si>
    <t>華算107.01-02三聯式發票</t>
    <phoneticPr fontId="3" type="noConversion"/>
  </si>
  <si>
    <t>領發票車資</t>
    <phoneticPr fontId="3" type="noConversion"/>
  </si>
  <si>
    <t>2018.01.11</t>
    <phoneticPr fontId="3" type="noConversion"/>
  </si>
  <si>
    <t>永馳/施舒雅/八亨發票掛號</t>
    <phoneticPr fontId="3" type="noConversion"/>
  </si>
  <si>
    <t>2018.01.17</t>
    <phoneticPr fontId="3" type="noConversion"/>
  </si>
  <si>
    <t>106.12 達</t>
    <phoneticPr fontId="3" type="noConversion"/>
  </si>
  <si>
    <t>2018.01.17</t>
    <phoneticPr fontId="3" type="noConversion"/>
  </si>
  <si>
    <t>品固合約發票掛號</t>
    <phoneticPr fontId="3" type="noConversion"/>
  </si>
  <si>
    <t>2018.01.18</t>
    <phoneticPr fontId="3" type="noConversion"/>
  </si>
  <si>
    <t>展鑫合約發票掛號</t>
    <phoneticPr fontId="3" type="noConversion"/>
  </si>
  <si>
    <t>合約封面,合約用紙,合約膠帶,膠水</t>
    <phoneticPr fontId="3" type="noConversion"/>
  </si>
  <si>
    <t>2018.01.23</t>
    <phoneticPr fontId="3" type="noConversion"/>
  </si>
  <si>
    <t>106.12 達---年終-1</t>
    <phoneticPr fontId="3" type="noConversion"/>
  </si>
  <si>
    <t>管理費-2018.1 106.8月開始調漲$20, (原$95+$20=$115/坪) * 12.68坪=$1458</t>
    <phoneticPr fontId="3" type="noConversion"/>
  </si>
  <si>
    <t>2018.01.25</t>
    <phoneticPr fontId="3" type="noConversion"/>
  </si>
  <si>
    <t>佳尼特續約換機車資</t>
    <phoneticPr fontId="3" type="noConversion"/>
  </si>
  <si>
    <t>2018.01.30</t>
    <phoneticPr fontId="3" type="noConversion"/>
  </si>
  <si>
    <t>水費.107-01</t>
    <phoneticPr fontId="3" type="noConversion"/>
  </si>
  <si>
    <t>2018.02.01</t>
    <phoneticPr fontId="3" type="noConversion"/>
  </si>
  <si>
    <t>2018.02 北平房租-台銀網銀轉帳(2012.06開始漲兩千)</t>
    <phoneticPr fontId="3" type="noConversion"/>
  </si>
  <si>
    <t>2018.02.02</t>
    <phoneticPr fontId="3" type="noConversion"/>
  </si>
  <si>
    <t>恩豪第二年發票四張掛號</t>
    <phoneticPr fontId="3" type="noConversion"/>
  </si>
  <si>
    <t>2018.02.05</t>
    <phoneticPr fontId="3" type="noConversion"/>
  </si>
  <si>
    <t>107.01 張</t>
    <phoneticPr fontId="3" type="noConversion"/>
  </si>
  <si>
    <t>107.01 欽 (2018.1月 調薪 $30150)</t>
    <phoneticPr fontId="3" type="noConversion"/>
  </si>
  <si>
    <t>2018.02.06</t>
    <phoneticPr fontId="3" type="noConversion"/>
  </si>
  <si>
    <t>2018.01 card ada代刷-玉山</t>
    <phoneticPr fontId="3" type="noConversion"/>
  </si>
  <si>
    <t>2018.02.07</t>
    <phoneticPr fontId="3" type="noConversion"/>
  </si>
  <si>
    <t>PETER
匯款資料：
元大銀行：806-瑞光分行
活儲：00168122936117
章挺憲
koofficecn 2018/2/6 下午 12:41:33
大桐車源管理系統-二次款(40%)：NT 331800.元(含稅)
他寄支票來, $331800 票期 2018.02.15
koofficecn  上午 09:48:54
PT問, 今天可不可以先轉兩萬給他</t>
    <phoneticPr fontId="3" type="noConversion"/>
  </si>
  <si>
    <t>2018.02.08</t>
    <phoneticPr fontId="3" type="noConversion"/>
  </si>
  <si>
    <t>七家發票掛號</t>
    <phoneticPr fontId="3" type="noConversion"/>
  </si>
  <si>
    <t>2018.02.12</t>
    <phoneticPr fontId="3" type="noConversion"/>
  </si>
  <si>
    <t>106.12 達---年終-2</t>
    <phoneticPr fontId="3" type="noConversion"/>
  </si>
  <si>
    <t>2018.02.13</t>
    <phoneticPr fontId="3" type="noConversion"/>
  </si>
  <si>
    <t>源達鍵盤電池</t>
    <phoneticPr fontId="3" type="noConversion"/>
  </si>
  <si>
    <t>2018.02.15</t>
    <phoneticPr fontId="3" type="noConversion"/>
  </si>
  <si>
    <t>106.12 達---年終-3</t>
    <phoneticPr fontId="3" type="noConversion"/>
  </si>
  <si>
    <t>2018.02.22</t>
    <phoneticPr fontId="3" type="noConversion"/>
  </si>
  <si>
    <t>DV 2018/2/21 上午 10:46:39
如果公司有錢的時侯,麻煩轉給饒媽追加新年紅包-16000元</t>
    <phoneticPr fontId="3" type="noConversion"/>
  </si>
  <si>
    <t>2018.02.23</t>
    <phoneticPr fontId="3" type="noConversion"/>
  </si>
  <si>
    <t>管理費-2018.2 106.8月開始調漲$20, (原$95+$20=$115/坪) * 12.68坪=$1458</t>
    <phoneticPr fontId="3" type="noConversion"/>
  </si>
  <si>
    <t>2018.02.26</t>
    <phoneticPr fontId="3" type="noConversion"/>
  </si>
  <si>
    <t>PT $200,000
陽信銀行-大屯分行 006020060615
蘇政仁
PT $77,000 
元大銀行：806-瑞光分行
活儲：00168122936117
章挺憲
DV  上午 09:17:49
另外要麻煩你這次PT的大桐二次款是15萬-3000(健保)-2萬(借支)=127000
koofficecn  上午 09:18:22
OK
DV  上午 09:18:52
再加上我要請他換人民幣的15萬</t>
    <phoneticPr fontId="3" type="noConversion"/>
  </si>
  <si>
    <t>華算107.03-04三聯式發票</t>
    <phoneticPr fontId="3" type="noConversion"/>
  </si>
  <si>
    <t>環保垃圾袋</t>
    <phoneticPr fontId="3" type="noConversion"/>
  </si>
  <si>
    <t>106.12 達---年終-4</t>
    <phoneticPr fontId="3" type="noConversion"/>
  </si>
  <si>
    <t>107.1 達</t>
    <phoneticPr fontId="3" type="noConversion"/>
  </si>
  <si>
    <t>2018.03.01</t>
    <phoneticPr fontId="3" type="noConversion"/>
  </si>
  <si>
    <t>領發票悠遊卡儲值</t>
    <phoneticPr fontId="3" type="noConversion"/>
  </si>
  <si>
    <t>2018.03 北平房租-台銀網銀轉帳(2012.06開始漲兩千)</t>
    <phoneticPr fontId="3" type="noConversion"/>
  </si>
  <si>
    <t>2018.03.05</t>
    <phoneticPr fontId="3" type="noConversion"/>
  </si>
  <si>
    <t>107.02 張</t>
    <phoneticPr fontId="3" type="noConversion"/>
  </si>
  <si>
    <t>107.02 欽 (2018.1月 調薪 $30150)</t>
    <phoneticPr fontId="3" type="noConversion"/>
  </si>
  <si>
    <t>電費</t>
    <phoneticPr fontId="3" type="noConversion"/>
  </si>
  <si>
    <t>電費.107-01區間 106.11.15~107.01.15, 銀行存款不足扣款失敗, 改零用金繳款</t>
    <phoneticPr fontId="3" type="noConversion"/>
  </si>
  <si>
    <t>2018.03.09</t>
    <phoneticPr fontId="3" type="noConversion"/>
  </si>
  <si>
    <t>401.2018.01~02</t>
    <phoneticPr fontId="3" type="noConversion"/>
  </si>
  <si>
    <t>2018.03.12</t>
    <phoneticPr fontId="3" type="noConversion"/>
  </si>
  <si>
    <t>107.02 達</t>
    <phoneticPr fontId="3" type="noConversion"/>
  </si>
  <si>
    <t>2018.03.22</t>
    <phoneticPr fontId="3" type="noConversion"/>
  </si>
  <si>
    <t>祥和續約換機車資</t>
    <phoneticPr fontId="3" type="noConversion"/>
  </si>
  <si>
    <t>2018.03.23</t>
    <phoneticPr fontId="3" type="noConversion"/>
  </si>
  <si>
    <t>管理費-2018.3 106.8月開始調漲$20, (原$95+$20=$115/坪) * 12.68坪=$1458</t>
    <phoneticPr fontId="3" type="noConversion"/>
  </si>
  <si>
    <t>2018.03.28</t>
    <phoneticPr fontId="3" type="noConversion"/>
  </si>
  <si>
    <t>DV  上午 10:28:42
麻煩有空幫我轉帳饒媽6000元母親節紅包</t>
    <phoneticPr fontId="3" type="noConversion"/>
  </si>
  <si>
    <t>2018.03.30</t>
    <phoneticPr fontId="3" type="noConversion"/>
  </si>
  <si>
    <t>2018.04.01</t>
    <phoneticPr fontId="3" type="noConversion"/>
  </si>
  <si>
    <t>2018.04 北平房租-台銀網銀轉帳(2012.06開始漲兩千)</t>
    <phoneticPr fontId="3" type="noConversion"/>
  </si>
  <si>
    <t>2018.04.09</t>
    <phoneticPr fontId="3" type="noConversion"/>
  </si>
  <si>
    <t>107.03 張</t>
    <phoneticPr fontId="3" type="noConversion"/>
  </si>
  <si>
    <t>107.03 欽 (2018.1月 調薪 $30150)</t>
    <phoneticPr fontId="3" type="noConversion"/>
  </si>
  <si>
    <t>2018.04.09</t>
    <phoneticPr fontId="3" type="noConversion"/>
  </si>
  <si>
    <t>107.03 達</t>
    <phoneticPr fontId="3" type="noConversion"/>
  </si>
  <si>
    <t>水費.107-03</t>
    <phoneticPr fontId="3" type="noConversion"/>
  </si>
  <si>
    <t>2018.04.18</t>
    <phoneticPr fontId="3" type="noConversion"/>
  </si>
  <si>
    <t>展鑫續約換機車資</t>
    <phoneticPr fontId="3" type="noConversion"/>
  </si>
  <si>
    <t>2018.04.18</t>
    <phoneticPr fontId="3" type="noConversion"/>
  </si>
  <si>
    <t>2018.04.24</t>
    <phoneticPr fontId="3" type="noConversion"/>
  </si>
  <si>
    <t>管理費-2018.4 106.8月開始調漲$20, (原$95+$20=$115/坪) * 12.68坪=$1458</t>
    <phoneticPr fontId="3" type="noConversion"/>
  </si>
  <si>
    <t>2018.05.01</t>
    <phoneticPr fontId="3" type="noConversion"/>
  </si>
  <si>
    <t>2018.05 北平房租-台銀網銀轉帳(2012.06開始漲兩千)</t>
    <phoneticPr fontId="3" type="noConversion"/>
  </si>
  <si>
    <t>2018.05.03</t>
    <phoneticPr fontId="3" type="noConversion"/>
  </si>
  <si>
    <t>華算107.05-06三聯式發票</t>
    <phoneticPr fontId="3" type="noConversion"/>
  </si>
  <si>
    <t>2018.05.07</t>
    <phoneticPr fontId="3" type="noConversion"/>
  </si>
  <si>
    <t>107.04 欽 (2018.1月 調薪 $30150)</t>
    <phoneticPr fontId="3" type="noConversion"/>
  </si>
  <si>
    <t>2018.05.07</t>
    <phoneticPr fontId="3" type="noConversion"/>
  </si>
  <si>
    <t>2018.04 card ada代刷-玉山</t>
    <phoneticPr fontId="3" type="noConversion"/>
  </si>
  <si>
    <t>2018.05.08</t>
    <phoneticPr fontId="3" type="noConversion"/>
  </si>
  <si>
    <t>107.04 達</t>
    <phoneticPr fontId="3" type="noConversion"/>
  </si>
  <si>
    <t>401.2018.03~04</t>
    <phoneticPr fontId="3" type="noConversion"/>
  </si>
  <si>
    <t>2018.05.22</t>
    <phoneticPr fontId="3" type="noConversion"/>
  </si>
  <si>
    <t>威倫續約換機車資</t>
    <phoneticPr fontId="3" type="noConversion"/>
  </si>
  <si>
    <t>2018.05.22</t>
    <phoneticPr fontId="3" type="noConversion"/>
  </si>
  <si>
    <t>2018.05.23</t>
    <phoneticPr fontId="3" type="noConversion"/>
  </si>
  <si>
    <t>管理費-2018.5 106.8月開始調漲$20, (原$95+$20=$115/坪) * 12.68坪=$1458</t>
    <phoneticPr fontId="3" type="noConversion"/>
  </si>
  <si>
    <t>2018.05.30</t>
    <phoneticPr fontId="3" type="noConversion"/>
  </si>
  <si>
    <t>2018.05.31</t>
    <phoneticPr fontId="3" type="noConversion"/>
  </si>
  <si>
    <t>汎輝帳號盜用法院提供記錄掛號費</t>
    <phoneticPr fontId="3" type="noConversion"/>
  </si>
  <si>
    <t>2018.06.01</t>
    <phoneticPr fontId="3" type="noConversion"/>
  </si>
  <si>
    <t>2018.06 北平房租-台銀網銀轉帳(2012.06開始漲兩千)</t>
    <phoneticPr fontId="3" type="noConversion"/>
  </si>
  <si>
    <t>2018.06.05</t>
    <phoneticPr fontId="3" type="noConversion"/>
  </si>
  <si>
    <t>107.05 欽 (2018.1月 調薪 $30150)</t>
    <phoneticPr fontId="3" type="noConversion"/>
  </si>
  <si>
    <t>2018.06.05</t>
    <phoneticPr fontId="3" type="noConversion"/>
  </si>
  <si>
    <t>107.05 達</t>
    <phoneticPr fontId="3" type="noConversion"/>
  </si>
  <si>
    <t>2018.05 card ada代刷-玉山</t>
    <phoneticPr fontId="3" type="noConversion"/>
  </si>
  <si>
    <t>2018.06.06</t>
    <phoneticPr fontId="3" type="noConversion"/>
  </si>
  <si>
    <t>水費.107-05</t>
    <phoneticPr fontId="3" type="noConversion"/>
  </si>
  <si>
    <t>2018.06.21</t>
    <phoneticPr fontId="3" type="noConversion"/>
  </si>
  <si>
    <t>八亨發票, 品固CN合約掛號</t>
    <phoneticPr fontId="3" type="noConversion"/>
  </si>
  <si>
    <t>管理費-2018.6 106.8月開始調漲$20, (原$95+$20=$115/坪) * 12.68坪=$1458</t>
    <phoneticPr fontId="3" type="noConversion"/>
  </si>
  <si>
    <t>2018.06.28</t>
    <phoneticPr fontId="3" type="noConversion"/>
  </si>
  <si>
    <t>華算107.07-08三聯式發票</t>
    <phoneticPr fontId="3" type="noConversion"/>
  </si>
  <si>
    <t>2018.07.03</t>
    <phoneticPr fontId="3" type="noConversion"/>
  </si>
  <si>
    <t>品固CN掛號</t>
    <phoneticPr fontId="3" type="noConversion"/>
  </si>
  <si>
    <t>2018.07.05</t>
    <phoneticPr fontId="3" type="noConversion"/>
  </si>
  <si>
    <t>107.06 張</t>
    <phoneticPr fontId="3" type="noConversion"/>
  </si>
  <si>
    <t>107.06 欽 (2018.1月 調薪 $30150)</t>
    <phoneticPr fontId="3" type="noConversion"/>
  </si>
  <si>
    <t>2018.07.10</t>
    <phoneticPr fontId="3" type="noConversion"/>
  </si>
  <si>
    <t>掛號</t>
    <phoneticPr fontId="3" type="noConversion"/>
  </si>
  <si>
    <t>2018.07.16</t>
    <phoneticPr fontId="3" type="noConversion"/>
  </si>
  <si>
    <t>DV 2018/7/9 上午 09:53:25
麻煩公司錢夠的時侯, 請轉饒媽10000*3(7-9月) 因為7月1日起饒媽的退休金減少了</t>
    <phoneticPr fontId="3" type="noConversion"/>
  </si>
  <si>
    <t>2018.07.17</t>
    <phoneticPr fontId="3" type="noConversion"/>
  </si>
  <si>
    <t>西拓合約掛號</t>
    <phoneticPr fontId="3" type="noConversion"/>
  </si>
  <si>
    <t>2018.07.18</t>
    <phoneticPr fontId="3" type="noConversion"/>
  </si>
  <si>
    <t>品固續約換機車資-博</t>
    <phoneticPr fontId="3" type="noConversion"/>
  </si>
  <si>
    <t>品固續約換機車資-博</t>
    <phoneticPr fontId="3" type="noConversion"/>
  </si>
  <si>
    <t>品固續約換機車資-達</t>
    <phoneticPr fontId="3" type="noConversion"/>
  </si>
  <si>
    <t>品固續約換機車資-達</t>
    <phoneticPr fontId="3" type="noConversion"/>
  </si>
  <si>
    <t>2018.07.24</t>
    <phoneticPr fontId="3" type="noConversion"/>
  </si>
  <si>
    <t>品固續約換機車資-達2</t>
    <phoneticPr fontId="3" type="noConversion"/>
  </si>
  <si>
    <t>2018.07.25</t>
    <phoneticPr fontId="3" type="noConversion"/>
  </si>
  <si>
    <t>2018.07.25</t>
    <phoneticPr fontId="3" type="noConversion"/>
  </si>
  <si>
    <t>管理費-2018.7 106.8月開始調漲$20, (原$95+$20=$115/坪) * 12.68坪=$1458</t>
    <phoneticPr fontId="3" type="noConversion"/>
  </si>
  <si>
    <t>水費.107-07</t>
    <phoneticPr fontId="3" type="noConversion"/>
  </si>
  <si>
    <t>2018.07.26</t>
    <phoneticPr fontId="3" type="noConversion"/>
  </si>
  <si>
    <t>現金相符</t>
    <phoneticPr fontId="3" type="noConversion"/>
  </si>
  <si>
    <t>2018.08.01</t>
    <phoneticPr fontId="3" type="noConversion"/>
  </si>
  <si>
    <t>2018.08 北平房租-台銀網銀轉帳(2012.06開始漲兩千)</t>
    <phoneticPr fontId="3" type="noConversion"/>
  </si>
  <si>
    <t>2018.08.07</t>
    <phoneticPr fontId="3" type="noConversion"/>
  </si>
  <si>
    <t>發票掛號(依/鎔/鉑/安/桐/友/皇), @28郵票*20</t>
    <phoneticPr fontId="3" type="noConversion"/>
  </si>
  <si>
    <t>2018.08.09</t>
    <phoneticPr fontId="3" type="noConversion"/>
  </si>
  <si>
    <t>大同稅捐處DV補稅更正掛號</t>
    <phoneticPr fontId="3" type="noConversion"/>
  </si>
  <si>
    <t>2018.08.21</t>
    <phoneticPr fontId="3" type="noConversion"/>
  </si>
  <si>
    <t>管理費-2018.8 106.8月開始調漲$20, (原$95+$20=$115/坪) * 12.68坪=$1458</t>
    <phoneticPr fontId="3" type="noConversion"/>
  </si>
  <si>
    <t>2018.08.23</t>
    <phoneticPr fontId="3" type="noConversion"/>
  </si>
  <si>
    <t>華算107.09-10三聯式發票</t>
    <phoneticPr fontId="3" type="noConversion"/>
  </si>
  <si>
    <t>2018.09.03</t>
    <phoneticPr fontId="3" type="noConversion"/>
  </si>
  <si>
    <t>2018.09 北平房租-台銀網銀轉帳(2012.06開始漲兩千)</t>
    <phoneticPr fontId="3" type="noConversion"/>
  </si>
  <si>
    <t>2018.09.04</t>
    <phoneticPr fontId="3" type="noConversion"/>
  </si>
  <si>
    <t>永馳續約換機車資-博</t>
    <phoneticPr fontId="3" type="noConversion"/>
  </si>
  <si>
    <t>2018.09.04</t>
    <phoneticPr fontId="3" type="noConversion"/>
  </si>
  <si>
    <t>永馳續約換機車資-博2</t>
    <phoneticPr fontId="3" type="noConversion"/>
  </si>
  <si>
    <t>2018.09.05</t>
    <phoneticPr fontId="3" type="noConversion"/>
  </si>
  <si>
    <t>2018.08 card ada代刷-玉山</t>
    <phoneticPr fontId="3" type="noConversion"/>
  </si>
  <si>
    <t>2018.08 card ada代刷-中信</t>
    <phoneticPr fontId="3" type="noConversion"/>
  </si>
  <si>
    <t>107.08 張</t>
    <phoneticPr fontId="3" type="noConversion"/>
  </si>
  <si>
    <t>107.08 欽 (2018.1月 調薪 $30150)</t>
    <phoneticPr fontId="3" type="noConversion"/>
  </si>
  <si>
    <t>2018.09.06</t>
    <phoneticPr fontId="3" type="noConversion"/>
  </si>
  <si>
    <t>永馳續約換機車資-博3</t>
    <phoneticPr fontId="3" type="noConversion"/>
  </si>
  <si>
    <t>2018.09.06</t>
    <phoneticPr fontId="3" type="noConversion"/>
  </si>
  <si>
    <t>107.08 達</t>
    <phoneticPr fontId="3" type="noConversion"/>
  </si>
  <si>
    <t>2018.09.11</t>
    <phoneticPr fontId="3" type="noConversion"/>
  </si>
  <si>
    <t>泰聯永昌合約發票回郵掛號,@10郵票*20</t>
    <phoneticPr fontId="3" type="noConversion"/>
  </si>
  <si>
    <t>2018.09.11</t>
    <phoneticPr fontId="3" type="noConversion"/>
  </si>
  <si>
    <t>401.2018.07~08</t>
    <phoneticPr fontId="3" type="noConversion"/>
  </si>
  <si>
    <t>2018.09.12</t>
    <phoneticPr fontId="3" type="noConversion"/>
  </si>
  <si>
    <t>泰聯永昌合約發票回郵掛號重寄</t>
    <phoneticPr fontId="3" type="noConversion"/>
  </si>
  <si>
    <t>2018.09.18</t>
    <phoneticPr fontId="3" type="noConversion"/>
  </si>
  <si>
    <t>請款發票, 喜可合約發票</t>
    <phoneticPr fontId="3" type="noConversion"/>
  </si>
  <si>
    <t>2018.09.18</t>
    <phoneticPr fontId="3" type="noConversion"/>
  </si>
  <si>
    <t>合約封面,合約信封,合約膠帶</t>
    <phoneticPr fontId="3" type="noConversion"/>
  </si>
  <si>
    <t>2018.09.19</t>
    <phoneticPr fontId="3" type="noConversion"/>
  </si>
  <si>
    <t>房屋租約</t>
    <phoneticPr fontId="3" type="noConversion"/>
  </si>
  <si>
    <t>2018.09.20</t>
    <phoneticPr fontId="3" type="noConversion"/>
  </si>
  <si>
    <t>2018.09.21</t>
    <phoneticPr fontId="3" type="noConversion"/>
  </si>
  <si>
    <t>管理費-2018.9 106.8月開始調漲$20, (原$95+$20=$115/坪) * 12.68坪=$1458</t>
    <phoneticPr fontId="3" type="noConversion"/>
  </si>
  <si>
    <t>2018.09.21</t>
    <phoneticPr fontId="3" type="noConversion"/>
  </si>
  <si>
    <t>水費.107-09</t>
    <phoneticPr fontId="3" type="noConversion"/>
  </si>
  <si>
    <t>2017.09.27</t>
    <phoneticPr fontId="3" type="noConversion"/>
  </si>
  <si>
    <t>107年度查核105年度補充保費</t>
    <phoneticPr fontId="3" type="noConversion"/>
  </si>
  <si>
    <t>2018.10.01</t>
    <phoneticPr fontId="3" type="noConversion"/>
  </si>
  <si>
    <t>2018.10 北平房租-台銀網銀轉帳(2012.06開始漲兩千)</t>
    <phoneticPr fontId="3" type="noConversion"/>
  </si>
  <si>
    <t>轉錯至達帳戶,10/15ATM匯出房東新帳戶, 605-60502112121093</t>
    <phoneticPr fontId="3" type="noConversion"/>
  </si>
  <si>
    <t>2018.10.05</t>
    <phoneticPr fontId="3" type="noConversion"/>
  </si>
  <si>
    <t>107.09 欽 (2018.1月 調薪 $30150)</t>
    <phoneticPr fontId="3" type="noConversion"/>
  </si>
  <si>
    <t>2018.10.08</t>
    <phoneticPr fontId="3" type="noConversion"/>
  </si>
  <si>
    <t>2018.09 card ada代刷-中信</t>
    <phoneticPr fontId="3" type="noConversion"/>
  </si>
  <si>
    <t>DV回國看診</t>
    <phoneticPr fontId="3" type="noConversion"/>
  </si>
  <si>
    <t>2018.10.14</t>
    <phoneticPr fontId="3" type="noConversion"/>
  </si>
  <si>
    <t>107.09 達</t>
    <phoneticPr fontId="3" type="noConversion"/>
  </si>
  <si>
    <t>2018.10.19</t>
    <phoneticPr fontId="3" type="noConversion"/>
  </si>
  <si>
    <t>2018.10.22</t>
    <phoneticPr fontId="3" type="noConversion"/>
  </si>
  <si>
    <t>管理費-2018.10 106.8月開始調漲$20, (原$95+$20=$115/坪) * 12.68坪=$1458</t>
    <phoneticPr fontId="3" type="noConversion"/>
  </si>
  <si>
    <t>2018.10.25</t>
    <phoneticPr fontId="3" type="noConversion"/>
  </si>
  <si>
    <t>華算107.11-12三聯式發票</t>
    <phoneticPr fontId="3" type="noConversion"/>
  </si>
  <si>
    <t>2018.10.30</t>
    <phoneticPr fontId="3" type="noConversion"/>
  </si>
  <si>
    <t>鉑德/安力/大桐/友士/同皇發票,依鎔鎔KO合約發票, 依鎔鉑車源合約發票,依鎔鉑DNS報價發票</t>
    <phoneticPr fontId="3" type="noConversion"/>
  </si>
  <si>
    <t>2018.11.01</t>
    <phoneticPr fontId="3" type="noConversion"/>
  </si>
  <si>
    <t>2018.11 北平房租-台銀網銀轉帳(2018.11開始)</t>
    <phoneticPr fontId="3" type="noConversion"/>
  </si>
  <si>
    <t>2018.11.05</t>
    <phoneticPr fontId="3" type="noConversion"/>
  </si>
  <si>
    <t>107.10 張</t>
    <phoneticPr fontId="3" type="noConversion"/>
  </si>
  <si>
    <t>107.10 欽 (2018.1月 調薪 $30150)</t>
    <phoneticPr fontId="3" type="noConversion"/>
  </si>
  <si>
    <t>2018.11.09</t>
    <phoneticPr fontId="3" type="noConversion"/>
  </si>
  <si>
    <t>2018.09 card ada代刷-中信</t>
    <phoneticPr fontId="3" type="noConversion"/>
  </si>
  <si>
    <t>2018.11.13</t>
    <phoneticPr fontId="3" type="noConversion"/>
  </si>
  <si>
    <t>401.2018.09~10</t>
    <phoneticPr fontId="3" type="noConversion"/>
  </si>
  <si>
    <t>2018.11.15</t>
    <phoneticPr fontId="3" type="noConversion"/>
  </si>
  <si>
    <t>2018.11.22</t>
    <phoneticPr fontId="3" type="noConversion"/>
  </si>
  <si>
    <t>鎔德支票回郵</t>
    <phoneticPr fontId="3" type="noConversion"/>
  </si>
  <si>
    <t>2018.11.26</t>
    <phoneticPr fontId="3" type="noConversion"/>
  </si>
  <si>
    <t>3公升垃圾袋</t>
    <phoneticPr fontId="3" type="noConversion"/>
  </si>
  <si>
    <t>2018.11.27</t>
    <phoneticPr fontId="3" type="noConversion"/>
  </si>
  <si>
    <t>元大銀行：806-瑞光分行
活儲：00168122936117
章挺憲
DV 2018/11/27 上午 06:24:50
請問是不是只有鎔德的款未到? 如果是就請匯(218491-105650=112841)元--&gt;不好意思, 這個才對
koofficecn  上午 08:37:51
依德的網域 $6300 也還沒匯
$105650 看要不要先扣 $1650 = $104000 (給錯, 這應該是要扣的)
DV  上午 08:39:15
OK
手續費 $30</t>
    <phoneticPr fontId="3" type="noConversion"/>
  </si>
  <si>
    <t>欠$30000</t>
    <phoneticPr fontId="3" type="noConversion"/>
  </si>
  <si>
    <t>107.10 達-1</t>
    <phoneticPr fontId="3" type="noConversion"/>
  </si>
  <si>
    <t>水費.107-11</t>
    <phoneticPr fontId="3" type="noConversion"/>
  </si>
  <si>
    <t>2018.11.27</t>
    <phoneticPr fontId="3" type="noConversion"/>
  </si>
  <si>
    <t>管理費-2018.11 106.8月開始調漲$20, (原$95+$20=$115/坪) * 12.68坪=$1458</t>
    <phoneticPr fontId="3" type="noConversion"/>
  </si>
  <si>
    <t>2018.12.03</t>
    <phoneticPr fontId="3" type="noConversion"/>
  </si>
  <si>
    <t>2018.12 北平房租-台銀網銀轉帳(2018.11開始)-轉ADA再轉房東</t>
    <phoneticPr fontId="3" type="noConversion"/>
  </si>
  <si>
    <t>2018.12.05</t>
    <phoneticPr fontId="3" type="noConversion"/>
  </si>
  <si>
    <t>DV-台北長庚病歷補$40, ADA-ATM轉帳, 手續費$10</t>
    <phoneticPr fontId="3" type="noConversion"/>
  </si>
  <si>
    <t>107.11 欽 (2018.1月 調薪 $30150)</t>
    <phoneticPr fontId="3" type="noConversion"/>
  </si>
  <si>
    <t>2018.12.05</t>
    <phoneticPr fontId="3" type="noConversion"/>
  </si>
  <si>
    <t>107.10 達-2</t>
    <phoneticPr fontId="3" type="noConversion"/>
  </si>
  <si>
    <t>元大銀行：806-瑞光分行
活儲：00168122936117
章挺憲
DV  上午 11:28:21
先給好了, 依德是應該不會不給錢
koofficecn  上午 11:29:11
OK, 那就 $218491 - $104000 = $114491
手續費$30</t>
    <phoneticPr fontId="3" type="noConversion"/>
  </si>
  <si>
    <t>汎輝帳號盜用法院提供記錄掛號費-少股重寄</t>
    <phoneticPr fontId="3" type="noConversion"/>
  </si>
  <si>
    <t>107.11 達</t>
    <phoneticPr fontId="3" type="noConversion"/>
  </si>
  <si>
    <t>2018.11 card ada代刷-中信 DV回國看診---ADA代刷卡, $308283 - 刷退 $5319(卡$5042,現$277) = $2964, 11/3 周六 維康加停車費 $868</t>
    <phoneticPr fontId="3" type="noConversion"/>
  </si>
  <si>
    <t>2018.12.07</t>
    <phoneticPr fontId="3" type="noConversion"/>
  </si>
  <si>
    <t>2018.11 card ada代刷-玉山</t>
    <phoneticPr fontId="3" type="noConversion"/>
  </si>
  <si>
    <t>2018.12.11</t>
    <phoneticPr fontId="3" type="noConversion"/>
  </si>
  <si>
    <t>2018.12.12</t>
    <phoneticPr fontId="3" type="noConversion"/>
  </si>
  <si>
    <t>永馳/八亨/施舒雅 發票</t>
    <phoneticPr fontId="3" type="noConversion"/>
  </si>
  <si>
    <t>2018.12.14</t>
    <phoneticPr fontId="3" type="noConversion"/>
  </si>
  <si>
    <t>太暘移機車資</t>
    <phoneticPr fontId="3" type="noConversion"/>
  </si>
  <si>
    <t>2018.12.14</t>
    <phoneticPr fontId="3" type="noConversion"/>
  </si>
  <si>
    <t>太暘移機車資</t>
    <phoneticPr fontId="3" type="noConversion"/>
  </si>
  <si>
    <t>2018.12.18</t>
    <phoneticPr fontId="3" type="noConversion"/>
  </si>
  <si>
    <t>鎔德行善續約換機車資</t>
    <phoneticPr fontId="3" type="noConversion"/>
  </si>
  <si>
    <t>零用金-DV-0911209896電話費-退押金</t>
    <phoneticPr fontId="3" type="noConversion"/>
  </si>
  <si>
    <t>DV-0911209896電話費-費用</t>
    <phoneticPr fontId="3" type="noConversion"/>
  </si>
  <si>
    <t>2018.12.25</t>
    <phoneticPr fontId="3" type="noConversion"/>
  </si>
  <si>
    <t>華算108.01-02三聯式發票</t>
    <phoneticPr fontId="3" type="noConversion"/>
  </si>
  <si>
    <t>2018.12.28</t>
    <phoneticPr fontId="3" type="noConversion"/>
  </si>
  <si>
    <t>2018.12.28</t>
    <phoneticPr fontId="3" type="noConversion"/>
  </si>
  <si>
    <t>管理費-2018.12 106.8月開始調漲$20, (原$95+$20=$115/坪) * 12.68坪=$1458</t>
    <phoneticPr fontId="3" type="noConversion"/>
  </si>
  <si>
    <t>2019.01.02</t>
    <phoneticPr fontId="3" type="noConversion"/>
  </si>
  <si>
    <t>2019.01 北平房租-台銀網銀轉帳(2018.11開始)-轉ADA再轉房東</t>
    <phoneticPr fontId="3" type="noConversion"/>
  </si>
  <si>
    <t>605-60502112121093</t>
    <phoneticPr fontId="3" type="noConversion"/>
  </si>
  <si>
    <t>汎輝維護車資</t>
    <phoneticPr fontId="3" type="noConversion"/>
  </si>
  <si>
    <t>汎輝維護車資</t>
    <phoneticPr fontId="3" type="noConversion"/>
  </si>
  <si>
    <t>2019.01.04</t>
    <phoneticPr fontId="3" type="noConversion"/>
  </si>
  <si>
    <t>請有空時, 麻煩轉給饒媽過年紅包16800元, 謝謝</t>
    <phoneticPr fontId="3" type="noConversion"/>
  </si>
  <si>
    <t>2019.01.05</t>
    <phoneticPr fontId="3" type="noConversion"/>
  </si>
  <si>
    <t>107.12 欽 (2018.1月 調薪 $30150)</t>
    <phoneticPr fontId="3" type="noConversion"/>
  </si>
  <si>
    <t>2019.01.05</t>
    <phoneticPr fontId="3" type="noConversion"/>
  </si>
  <si>
    <t>107.12 達</t>
    <phoneticPr fontId="3" type="noConversion"/>
  </si>
  <si>
    <t>107.12 張</t>
    <phoneticPr fontId="3" type="noConversion"/>
  </si>
  <si>
    <t>2019.01.08</t>
    <phoneticPr fontId="3" type="noConversion"/>
  </si>
  <si>
    <t>401.2018.11~12</t>
    <phoneticPr fontId="3" type="noConversion"/>
  </si>
  <si>
    <t>2019.01.15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</si>
  <si>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年終$40000-1-台銀信義</t>
    </r>
    <phoneticPr fontId="3" type="noConversion"/>
  </si>
  <si>
    <t>2019.01.15</t>
    <phoneticPr fontId="3" type="noConversion"/>
  </si>
  <si>
    <t>DV-保險理賠25萬-存ADA一銀定存-變更印鑑</t>
    <phoneticPr fontId="3" type="noConversion"/>
  </si>
  <si>
    <t>邁拓維護車資</t>
    <phoneticPr fontId="3" type="noConversion"/>
  </si>
  <si>
    <t>2019.01.17</t>
    <phoneticPr fontId="3" type="noConversion"/>
  </si>
  <si>
    <t>邁拓合約發票回郵</t>
    <phoneticPr fontId="3" type="noConversion"/>
  </si>
  <si>
    <t>2019.01.25</t>
    <phoneticPr fontId="3" type="noConversion"/>
  </si>
  <si>
    <t>好, 藥局說杏輝那顆現在要$5/粒, 我還是跟他拿240
羅得的$3/粒, 因為杏輝漲價, 羅得他算我們 $2.5/粒, 我也拿240</t>
    <phoneticPr fontId="3" type="noConversion"/>
  </si>
  <si>
    <t>2019.01.28</t>
    <phoneticPr fontId="3" type="noConversion"/>
  </si>
  <si>
    <t>管理費-2019.1 106.8月開始調漲$20, (原$95+$20=$115/坪) * 12.68坪=$1458</t>
    <phoneticPr fontId="3" type="noConversion"/>
  </si>
  <si>
    <t>2019.02.01</t>
    <phoneticPr fontId="3" type="noConversion"/>
  </si>
  <si>
    <t>2019.02 北平房租-台銀網銀轉帳(2018.11開始)-轉ADA再轉房東</t>
    <phoneticPr fontId="3" type="noConversion"/>
  </si>
  <si>
    <t>605-60502112121093</t>
    <phoneticPr fontId="3" type="noConversion"/>
  </si>
  <si>
    <t>水費.108-01</t>
    <phoneticPr fontId="3" type="noConversion"/>
  </si>
  <si>
    <t>2019.02.01</t>
    <phoneticPr fontId="3" type="noConversion"/>
  </si>
  <si>
    <t>108.01 欽 (2018.1月 調薪 $30150)</t>
    <phoneticPr fontId="3" type="noConversion"/>
  </si>
  <si>
    <t>108.01 張</t>
    <phoneticPr fontId="3" type="noConversion"/>
  </si>
  <si>
    <t>2019.02.11</t>
    <phoneticPr fontId="3" type="noConversion"/>
  </si>
  <si>
    <t>2019.01 card ada代刷-中信</t>
    <phoneticPr fontId="3" type="noConversion"/>
  </si>
  <si>
    <t>2019.02.11</t>
    <phoneticPr fontId="3" type="noConversion"/>
  </si>
  <si>
    <t>108.01 達</t>
    <phoneticPr fontId="3" type="noConversion"/>
  </si>
  <si>
    <t>2019.02.13</t>
    <phoneticPr fontId="3" type="noConversion"/>
  </si>
  <si>
    <t>依德/鎔德/鉑德/大桐/友士/同皇發票,安力合約發票回郵</t>
    <phoneticPr fontId="3" type="noConversion"/>
  </si>
  <si>
    <t>2019.02.13</t>
    <phoneticPr fontId="3" type="noConversion"/>
  </si>
  <si>
    <t>郵票 @28x10, @8x10</t>
    <phoneticPr fontId="3" type="noConversion"/>
  </si>
  <si>
    <t>2019.02.14</t>
    <phoneticPr fontId="3" type="noConversion"/>
  </si>
  <si>
    <t>依德DNS回郵</t>
    <phoneticPr fontId="3" type="noConversion"/>
  </si>
  <si>
    <t>2019.02.14</t>
    <phoneticPr fontId="3" type="noConversion"/>
  </si>
  <si>
    <t>恩豪合約發票回郵</t>
    <phoneticPr fontId="3" type="noConversion"/>
  </si>
  <si>
    <t>2019.02.18</t>
    <phoneticPr fontId="3" type="noConversion"/>
  </si>
  <si>
    <t>同皇合約發票回郵</t>
    <phoneticPr fontId="3" type="noConversion"/>
  </si>
  <si>
    <t>2019.02.19</t>
    <phoneticPr fontId="3" type="noConversion"/>
  </si>
  <si>
    <t>2019.02.26</t>
    <phoneticPr fontId="3" type="noConversion"/>
  </si>
  <si>
    <t>管理費-2019.2 106.8月開始調漲$20, (原$95+$20=$115/坪) * 12.68坪=$1458</t>
    <phoneticPr fontId="3" type="noConversion"/>
  </si>
  <si>
    <t>2019.02.26</t>
    <phoneticPr fontId="3" type="noConversion"/>
  </si>
  <si>
    <t>華算108.03-04三聯式發票</t>
    <phoneticPr fontId="3" type="noConversion"/>
  </si>
  <si>
    <t>領發票車資</t>
    <phoneticPr fontId="3" type="noConversion"/>
  </si>
  <si>
    <t>2019.03.04</t>
    <phoneticPr fontId="3" type="noConversion"/>
  </si>
  <si>
    <t>2019.03 北平房租-台銀網銀轉帳(2018.11開始)-轉ADA再轉房東</t>
    <phoneticPr fontId="3" type="noConversion"/>
  </si>
  <si>
    <t>108.02 欽 (2018.1月 調薪 $30150)</t>
    <phoneticPr fontId="3" type="noConversion"/>
  </si>
  <si>
    <t>108.02 達</t>
    <phoneticPr fontId="3" type="noConversion"/>
  </si>
  <si>
    <t>八亨/永馳/施舒雅發票掛號, @8郵票</t>
    <phoneticPr fontId="3" type="noConversion"/>
  </si>
  <si>
    <t>2019.03.07</t>
    <phoneticPr fontId="3" type="noConversion"/>
  </si>
  <si>
    <t>2019.02 card ada代刷-玉山</t>
    <phoneticPr fontId="3" type="noConversion"/>
  </si>
  <si>
    <t>2019.03.12</t>
    <phoneticPr fontId="3" type="noConversion"/>
  </si>
  <si>
    <t>401.2019.01~02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</si>
  <si>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年終$40000-2-台銀信義</t>
    </r>
    <phoneticPr fontId="3" type="noConversion"/>
  </si>
  <si>
    <t>2019.03.19</t>
    <phoneticPr fontId="3" type="noConversion"/>
  </si>
  <si>
    <t>2019.03.19</t>
    <phoneticPr fontId="3" type="noConversion"/>
  </si>
  <si>
    <t>2019.03.21</t>
    <phoneticPr fontId="3" type="noConversion"/>
  </si>
  <si>
    <t xml:space="preserve">PETER
錢已匯, 匯出帳戶 台銀62367
一、 玉山銀行(808) 內湖分行 0462-968-236896 章挺憲  匯6,000.元
 $6000
二、 元大銀行(806) 瑞光分行 00168122936117 章挺憲  匯 6,000.元
 $6000
三、 陽信銀行 大屯分行 006020060615 蘇政仁 【扣掉匯費，剩下的金額都匯這裡】
 $92120 - $6000 -$6000 -$10 -$10 -$10 -$10 = $80080
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</si>
  <si>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</si>
  <si>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</si>
  <si>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2019.03.28</t>
    <phoneticPr fontId="3" type="noConversion"/>
  </si>
  <si>
    <t>膠布</t>
    <phoneticPr fontId="3" type="noConversion"/>
  </si>
  <si>
    <t>2019.04.01</t>
    <phoneticPr fontId="3" type="noConversion"/>
  </si>
  <si>
    <t>2019.04 北平房租-台銀網銀轉帳(2018.11開始)-轉ADA再轉房東</t>
    <phoneticPr fontId="3" type="noConversion"/>
  </si>
  <si>
    <t>水費.108-03</t>
    <phoneticPr fontId="3" type="noConversion"/>
  </si>
  <si>
    <t>2019.04.08</t>
    <phoneticPr fontId="3" type="noConversion"/>
  </si>
  <si>
    <t>108.03 欽 (2018.1月 調薪 $30150)</t>
    <phoneticPr fontId="3" type="noConversion"/>
  </si>
  <si>
    <t>108.03 達</t>
    <phoneticPr fontId="3" type="noConversion"/>
  </si>
  <si>
    <t>108.03 張</t>
    <phoneticPr fontId="3" type="noConversion"/>
  </si>
  <si>
    <t>2019.03 card ada代刷-玉山</t>
    <phoneticPr fontId="3" type="noConversion"/>
  </si>
  <si>
    <t>2019.04.10</t>
    <phoneticPr fontId="3" type="noConversion"/>
  </si>
  <si>
    <t>清潔劑</t>
    <phoneticPr fontId="3" type="noConversion"/>
  </si>
  <si>
    <t>2019.04.12</t>
    <phoneticPr fontId="3" type="noConversion"/>
  </si>
  <si>
    <t>鎔德-PRIME-CLUB 合約掛號</t>
    <phoneticPr fontId="3" type="noConversion"/>
  </si>
  <si>
    <t>2019.04.22</t>
    <phoneticPr fontId="3" type="noConversion"/>
  </si>
  <si>
    <t>不好意思, 請問公司有沒有現金6600元, 請轉給饒媽生日紅包</t>
    <phoneticPr fontId="3" type="noConversion"/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</si>
  <si>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</si>
  <si>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</si>
  <si>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華算108.05-06三聯式發票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</si>
  <si>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</si>
  <si>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</si>
  <si>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</si>
  <si>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2019.05.02</t>
    <phoneticPr fontId="3" type="noConversion"/>
  </si>
  <si>
    <t>2019.05 北平房租-台銀網銀轉帳(2018.11開始)-轉ADA再轉房東</t>
    <phoneticPr fontId="3" type="noConversion"/>
  </si>
  <si>
    <t>2019.05.06</t>
    <phoneticPr fontId="3" type="noConversion"/>
  </si>
  <si>
    <t>108.04 欽 (2018.1月 調薪 $30150)</t>
    <phoneticPr fontId="3" type="noConversion"/>
  </si>
  <si>
    <t>108.04 達</t>
    <phoneticPr fontId="3" type="noConversion"/>
  </si>
  <si>
    <t>401.2019.03~04</t>
    <phoneticPr fontId="3" type="noConversion"/>
  </si>
  <si>
    <t>2019.05.06 轉 WORK</t>
    <phoneticPr fontId="3" type="noConversion"/>
  </si>
  <si>
    <t>2019.05.07</t>
    <phoneticPr fontId="3" type="noConversion"/>
  </si>
  <si>
    <t>依德/鎔德/鉑德/友士 發票掛號, 房東 平信</t>
    <phoneticPr fontId="3" type="noConversion"/>
  </si>
  <si>
    <t>依德CLUB 合約掛號補林銘皇</t>
    <phoneticPr fontId="3" type="noConversion"/>
  </si>
  <si>
    <t>達翌/威視/裕恆 合約掛號 郵票 @28 *10, @8 *20</t>
    <phoneticPr fontId="3" type="noConversion"/>
  </si>
  <si>
    <t>2019.05.22</t>
    <phoneticPr fontId="3" type="noConversion"/>
  </si>
  <si>
    <t>裕恆續約換機車資</t>
    <phoneticPr fontId="3" type="noConversion"/>
  </si>
  <si>
    <t>2019.05.28</t>
    <phoneticPr fontId="3" type="noConversion"/>
  </si>
  <si>
    <t>大成 合約發票掛號</t>
    <phoneticPr fontId="3" type="noConversion"/>
  </si>
  <si>
    <r>
      <t xml:space="preserve">管理費-2019.5 106.8月開始調漲$20,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</si>
  <si>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2019.05.29</t>
    <phoneticPr fontId="3" type="noConversion"/>
  </si>
  <si>
    <t>2019.05.29</t>
    <phoneticPr fontId="3" type="noConversion"/>
  </si>
  <si>
    <t>大桐續約換機車資</t>
    <phoneticPr fontId="3" type="noConversion"/>
  </si>
  <si>
    <t>2019.05.31</t>
    <phoneticPr fontId="3" type="noConversion"/>
  </si>
  <si>
    <t>USA匯入中國信託手續費</t>
    <phoneticPr fontId="3" type="noConversion"/>
  </si>
  <si>
    <t>2019.05.31</t>
    <phoneticPr fontId="3" type="noConversion"/>
  </si>
  <si>
    <t>100000(補陳$362040到40萬=$37960),扣匯費$30,餘$62010,轉$61454達108.05薪,餘$556,轉零用金)</t>
    <phoneticPr fontId="3" type="noConversion"/>
  </si>
  <si>
    <r>
      <t>108.05 達,</t>
    </r>
    <r>
      <rPr>
        <sz val="12"/>
        <color indexed="10"/>
        <rFont val="新細明體"/>
        <family val="1"/>
        <charset val="136"/>
      </rPr>
      <t>100000(補陳$362040到40萬=$37960),扣匯費$30,餘$62010,轉$61454達108.05薪,餘$556,轉零用金)</t>
    </r>
    <phoneticPr fontId="3" type="noConversion"/>
  </si>
  <si>
    <r>
      <t>零用金,</t>
    </r>
    <r>
      <rPr>
        <sz val="12"/>
        <color indexed="10"/>
        <rFont val="新細明體"/>
        <family val="1"/>
        <charset val="136"/>
      </rPr>
      <t>100000(補陳$362040到40萬=$37960),扣匯費$30,餘$62010,轉$61454達108.05薪,餘$556,轉零用金)</t>
    </r>
    <phoneticPr fontId="3" type="noConversion"/>
  </si>
  <si>
    <t>2019.06.03</t>
    <phoneticPr fontId="3" type="noConversion"/>
  </si>
  <si>
    <t>2019.06 北平房租-台銀網銀轉帳(2018.11開始)-轉ADA再轉房東</t>
    <phoneticPr fontId="3" type="noConversion"/>
  </si>
  <si>
    <t>605-60502112121093</t>
    <phoneticPr fontId="3" type="noConversion"/>
  </si>
  <si>
    <t>2019.06.03</t>
    <phoneticPr fontId="3" type="noConversion"/>
  </si>
  <si>
    <t>水費.108-05</t>
    <phoneticPr fontId="3" type="noConversion"/>
  </si>
  <si>
    <t>2019.06.05</t>
    <phoneticPr fontId="3" type="noConversion"/>
  </si>
  <si>
    <t>108.05 欽 (2018.1月 調薪 $30150)</t>
    <phoneticPr fontId="3" type="noConversion"/>
  </si>
  <si>
    <t>2019.05 card ada代刷-玉山</t>
    <phoneticPr fontId="3" type="noConversion"/>
  </si>
  <si>
    <t>同皇/永馳/八亨/施舒雅發票</t>
    <phoneticPr fontId="3" type="noConversion"/>
  </si>
  <si>
    <t>國稅局達算停業車資</t>
    <phoneticPr fontId="3" type="noConversion"/>
  </si>
  <si>
    <t>現金相符</t>
    <phoneticPr fontId="3" type="noConversion"/>
  </si>
  <si>
    <t>2019.06.12</t>
    <phoneticPr fontId="3" type="noConversion"/>
  </si>
  <si>
    <t>施舒雅補第三期漏開款開108/6月發票</t>
    <phoneticPr fontId="3" type="noConversion"/>
  </si>
  <si>
    <t>2019.06.24</t>
    <phoneticPr fontId="3" type="noConversion"/>
  </si>
  <si>
    <r>
      <t xml:space="preserve">管理費-2019.6 106.8月開始調漲$20,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</si>
  <si>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華算108.07-08三聯式發票</t>
    <phoneticPr fontId="3" type="noConversion"/>
  </si>
  <si>
    <t>同皇續約換機車資</t>
    <phoneticPr fontId="3" type="noConversion"/>
  </si>
  <si>
    <t>2019.07.05</t>
    <phoneticPr fontId="3" type="noConversion"/>
  </si>
  <si>
    <t>108.06 欽 (2018.1月 調薪 $30150)</t>
    <phoneticPr fontId="3" type="noConversion"/>
  </si>
  <si>
    <t>108.06 張</t>
    <phoneticPr fontId="3" type="noConversion"/>
  </si>
  <si>
    <t>108.06 達</t>
    <phoneticPr fontId="3" type="noConversion"/>
  </si>
  <si>
    <t>2019.06 card ada代刷-中信</t>
    <phoneticPr fontId="3" type="noConversion"/>
  </si>
  <si>
    <t>2019.07.15</t>
    <phoneticPr fontId="3" type="noConversion"/>
  </si>
  <si>
    <t>401.2019.05~06</t>
    <phoneticPr fontId="3" type="noConversion"/>
  </si>
  <si>
    <t>2019.07.16</t>
    <phoneticPr fontId="3" type="noConversion"/>
  </si>
  <si>
    <t>2019.07.16</t>
    <phoneticPr fontId="3" type="noConversion"/>
  </si>
  <si>
    <t>華算信義轉城中</t>
    <phoneticPr fontId="3" type="noConversion"/>
  </si>
  <si>
    <t>2019.07.17</t>
    <phoneticPr fontId="3" type="noConversion"/>
  </si>
  <si>
    <t>2019.07.17</t>
    <phoneticPr fontId="3" type="noConversion"/>
  </si>
  <si>
    <t>旺旺達續約換機車資</t>
    <phoneticPr fontId="3" type="noConversion"/>
  </si>
  <si>
    <r>
      <t xml:space="preserve">管理費-2019.7 106.8月開始調漲$20,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</si>
  <si>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2019.07.24</t>
    <phoneticPr fontId="3" type="noConversion"/>
  </si>
  <si>
    <t>水費.108-07</t>
    <phoneticPr fontId="3" type="noConversion"/>
  </si>
  <si>
    <t>汎輝合約發票回郵信封</t>
    <phoneticPr fontId="3" type="noConversion"/>
  </si>
  <si>
    <t>2019.07.29</t>
    <phoneticPr fontId="3" type="noConversion"/>
  </si>
  <si>
    <t>鉑德合約發票回郵信封</t>
    <phoneticPr fontId="3" type="noConversion"/>
  </si>
  <si>
    <t>2019.07.30</t>
    <phoneticPr fontId="3" type="noConversion"/>
  </si>
  <si>
    <t>DV輝雄</t>
    <phoneticPr fontId="3" type="noConversion"/>
  </si>
  <si>
    <t>2019.08.01</t>
    <phoneticPr fontId="3" type="noConversion"/>
  </si>
  <si>
    <t>2019.08 北平房租-台銀網銀轉帳(2018.11開始)-轉ADA再轉房東</t>
    <phoneticPr fontId="3" type="noConversion"/>
  </si>
  <si>
    <t>2019.08.05</t>
    <phoneticPr fontId="3" type="noConversion"/>
  </si>
  <si>
    <t>108.07 欽 (2018.1月 調薪 $30150)</t>
    <phoneticPr fontId="3" type="noConversion"/>
  </si>
  <si>
    <t>2019.08.04</t>
    <phoneticPr fontId="3" type="noConversion"/>
  </si>
  <si>
    <t>108.07 達</t>
    <phoneticPr fontId="3" type="noConversion"/>
  </si>
  <si>
    <t>2019.07 card ada代刷-玉山-1</t>
    <phoneticPr fontId="3" type="noConversion"/>
  </si>
  <si>
    <t>依德/鎔德/大桐/友士發票回郵信封</t>
    <phoneticPr fontId="3" type="noConversion"/>
  </si>
  <si>
    <t>2019.08.19</t>
    <phoneticPr fontId="3" type="noConversion"/>
  </si>
  <si>
    <t>大桐車源合約發票回郵信封</t>
    <phoneticPr fontId="3" type="noConversion"/>
  </si>
  <si>
    <t>2019.08.29</t>
    <phoneticPr fontId="3" type="noConversion"/>
  </si>
  <si>
    <t>雜項購置</t>
    <phoneticPr fontId="3" type="noConversion"/>
  </si>
  <si>
    <t>電池</t>
    <phoneticPr fontId="3" type="noConversion"/>
  </si>
  <si>
    <r>
      <t xml:space="preserve">管理費-2019.8 106.8月開始調漲$20,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</si>
  <si>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2019.07 card ada代刷-玉山-2</t>
    <phoneticPr fontId="3" type="noConversion"/>
  </si>
  <si>
    <t>2019.08.23</t>
    <phoneticPr fontId="3" type="noConversion"/>
  </si>
  <si>
    <t>饒媽口温計</t>
    <phoneticPr fontId="3" type="noConversion"/>
  </si>
  <si>
    <t>2019.08.27</t>
    <phoneticPr fontId="3" type="noConversion"/>
  </si>
  <si>
    <t>2019.08.27</t>
    <phoneticPr fontId="3" type="noConversion"/>
  </si>
  <si>
    <t>華算108.09-10三聯式發票</t>
    <phoneticPr fontId="3" type="noConversion"/>
  </si>
  <si>
    <t>2019.09.04</t>
    <phoneticPr fontId="3" type="noConversion"/>
  </si>
  <si>
    <t>依德PRIME-CLUB合約三份發票二份回郵信封一份</t>
    <phoneticPr fontId="3" type="noConversion"/>
  </si>
  <si>
    <t>108.08 欽 (2018.1月 調薪 $30150)</t>
    <phoneticPr fontId="3" type="noConversion"/>
  </si>
  <si>
    <t>108.08 達</t>
    <phoneticPr fontId="3" type="noConversion"/>
  </si>
  <si>
    <t>2019.08 card ada代刷-玉山</t>
    <phoneticPr fontId="3" type="noConversion"/>
  </si>
  <si>
    <t>依德PRIME-CLUB合約三份改公司名</t>
    <phoneticPr fontId="3" type="noConversion"/>
  </si>
  <si>
    <t>2019.09.23</t>
    <phoneticPr fontId="3" type="noConversion"/>
  </si>
  <si>
    <t>管理費-2019.9 106.8月開始調漲$20, (原$95+$20=$115/坪) * 12.68坪=$1458
4月開始銀行轉帳 $1458 + $10</t>
    <phoneticPr fontId="3" type="noConversion"/>
  </si>
  <si>
    <t>2019.09.24</t>
    <phoneticPr fontId="3" type="noConversion"/>
  </si>
  <si>
    <t>108年度查核106年度補充保費</t>
    <phoneticPr fontId="3" type="noConversion"/>
  </si>
  <si>
    <t>2019.09.24</t>
    <phoneticPr fontId="3" type="noConversion"/>
  </si>
  <si>
    <t>水費.108-09</t>
    <phoneticPr fontId="3" type="noConversion"/>
  </si>
  <si>
    <t>2019.09.24</t>
    <phoneticPr fontId="3" type="noConversion"/>
  </si>
  <si>
    <t>衛生紙</t>
    <phoneticPr fontId="3" type="noConversion"/>
  </si>
  <si>
    <t>2019.09.25</t>
    <phoneticPr fontId="3" type="noConversion"/>
  </si>
  <si>
    <t>郵費</t>
    <phoneticPr fontId="3" type="noConversion"/>
  </si>
  <si>
    <t>元超合約掛號</t>
    <phoneticPr fontId="3" type="noConversion"/>
  </si>
  <si>
    <t>祥和維修油資</t>
    <phoneticPr fontId="3" type="noConversion"/>
  </si>
  <si>
    <t>DV  上午 11:31:24
OK,3Q,麻煩有空匯12000補給饒媽中秋節禮金</t>
    <phoneticPr fontId="3" type="noConversion"/>
  </si>
  <si>
    <t>2019.10.01</t>
    <phoneticPr fontId="3" type="noConversion"/>
  </si>
  <si>
    <t>2019.10 北平房租-台銀網銀轉帳(2018.11開始)-轉ADA再轉房東</t>
    <phoneticPr fontId="3" type="noConversion"/>
  </si>
  <si>
    <t>2019.10.01</t>
    <phoneticPr fontId="3" type="noConversion"/>
  </si>
  <si>
    <t>自然人憑証費用-勞保作業用</t>
    <phoneticPr fontId="3" type="noConversion"/>
  </si>
  <si>
    <t>2019.10.05</t>
    <phoneticPr fontId="3" type="noConversion"/>
  </si>
  <si>
    <t>108.09 張</t>
    <phoneticPr fontId="3" type="noConversion"/>
  </si>
  <si>
    <t>108.09 欽 (2018.1月 調薪 $30150),調勞保</t>
    <phoneticPr fontId="3" type="noConversion"/>
  </si>
  <si>
    <t>108.09 達,調勞保</t>
    <phoneticPr fontId="3" type="noConversion"/>
  </si>
  <si>
    <t>2019.10.05</t>
    <phoneticPr fontId="3" type="noConversion"/>
  </si>
  <si>
    <t>2019.09 card ada代刷-中信</t>
    <phoneticPr fontId="3" type="noConversion"/>
  </si>
  <si>
    <t>2019.10.07</t>
    <phoneticPr fontId="3" type="noConversion"/>
  </si>
  <si>
    <t>2019.09 card ada代刷-玉山</t>
    <phoneticPr fontId="3" type="noConversion"/>
  </si>
  <si>
    <t>2019.10.22</t>
    <phoneticPr fontId="3" type="noConversion"/>
  </si>
  <si>
    <t>交通費</t>
    <phoneticPr fontId="3" type="noConversion"/>
  </si>
  <si>
    <t>2019.10.23</t>
    <phoneticPr fontId="3" type="noConversion"/>
  </si>
  <si>
    <t>合約紙/膠布</t>
    <phoneticPr fontId="3" type="noConversion"/>
  </si>
  <si>
    <t>"@28"郵票, "@8"郵票</t>
    <phoneticPr fontId="3" type="noConversion"/>
  </si>
  <si>
    <t>2019.10.24</t>
    <phoneticPr fontId="3" type="noConversion"/>
  </si>
  <si>
    <t>施舒雅/太暘合約掛號</t>
    <phoneticPr fontId="3" type="noConversion"/>
  </si>
  <si>
    <t>2019.10.25</t>
    <phoneticPr fontId="3" type="noConversion"/>
  </si>
  <si>
    <t>2019.10.28</t>
    <phoneticPr fontId="3" type="noConversion"/>
  </si>
  <si>
    <t>管理費-2019.10 106.8月開始調漲$20, (原$95+$20=$115/坪) * 12.68坪=$1458
4月開始銀行轉帳 $1458 + $10</t>
    <phoneticPr fontId="3" type="noConversion"/>
  </si>
  <si>
    <t>2019.10.30</t>
    <phoneticPr fontId="3" type="noConversion"/>
  </si>
  <si>
    <t>2019.11.01</t>
    <phoneticPr fontId="3" type="noConversion"/>
  </si>
  <si>
    <t>2019.11 北平房租-台銀網銀轉帳(2018.11開始)-轉ADA再轉房東</t>
    <phoneticPr fontId="3" type="noConversion"/>
  </si>
  <si>
    <t>605-60502112121093</t>
    <phoneticPr fontId="3" type="noConversion"/>
  </si>
  <si>
    <t>只匯出3700</t>
    <phoneticPr fontId="3" type="noConversion"/>
  </si>
  <si>
    <t>請匯3700
koofficecn 2019/11/1 下午 05:57:24
啊
備註要註明什麼嗎
DV 2019/11/1 下午 05:58:02
預付14晚租金訂金
彰化銀行#009-五股工業區分行-54878600415300 林盈君</t>
    <phoneticPr fontId="3" type="noConversion"/>
  </si>
  <si>
    <t>2019.11.04</t>
    <phoneticPr fontId="3" type="noConversion"/>
  </si>
  <si>
    <t>2019.11.05</t>
    <phoneticPr fontId="3" type="noConversion"/>
  </si>
  <si>
    <t>108.10 張</t>
    <phoneticPr fontId="3" type="noConversion"/>
  </si>
  <si>
    <t>108.10 欽 (2018.1月 調薪 $30150),調勞保</t>
    <phoneticPr fontId="3" type="noConversion"/>
  </si>
  <si>
    <t>108.10 達,調勞保-1 尚欠30000</t>
    <phoneticPr fontId="3" type="noConversion"/>
  </si>
  <si>
    <t>2019.11.11</t>
    <phoneticPr fontId="3" type="noConversion"/>
  </si>
  <si>
    <t>108.10 達,調勞保-2 尚欠19000</t>
    <phoneticPr fontId="3" type="noConversion"/>
  </si>
  <si>
    <t>2019.11.11</t>
    <phoneticPr fontId="3" type="noConversion"/>
  </si>
  <si>
    <t>太暘續約換機車資</t>
    <phoneticPr fontId="3" type="noConversion"/>
  </si>
  <si>
    <t>401.2019.09~10</t>
    <phoneticPr fontId="3" type="noConversion"/>
  </si>
  <si>
    <r>
      <t xml:space="preserve">"-2"
PT 手續費 $10
麻煩你幫我匯150,000.元至以下帳號資料。
上海商業儲蓄銀行 儲蓄部分行 (011-0037)
楊淑雅 03203005001517
</t>
    </r>
    <r>
      <rPr>
        <sz val="12"/>
        <color indexed="10"/>
        <rFont val="新細明體"/>
        <family val="1"/>
        <charset val="136"/>
      </rPr>
      <t>(總額$175175, 餘$</t>
    </r>
    <r>
      <rPr>
        <sz val="12"/>
        <color indexed="10"/>
        <rFont val="新細明體"/>
        <family val="1"/>
        <charset val="136"/>
      </rPr>
      <t>18171</t>
    </r>
    <r>
      <rPr>
        <sz val="12"/>
        <color indexed="10"/>
        <rFont val="新細明體"/>
        <family val="1"/>
        <charset val="136"/>
      </rPr>
      <t xml:space="preserve">未匯)
</t>
    </r>
    <r>
      <rPr>
        <sz val="12"/>
        <rFont val="新細明體"/>
        <family val="1"/>
        <charset val="136"/>
      </rPr>
      <t>PeterChang 2019/11/11 下午 05:09:31
另外...我忘了信用卡轉帳銀行的餘額不夠，上次轉帳時，我以為我3號會回去，所以沒想麻煩你幫我轉錢去我的銀行，結果後來一忙也忘了</t>
    </r>
    <phoneticPr fontId="3" type="noConversion"/>
  </si>
  <si>
    <t>零用金</t>
    <phoneticPr fontId="3" type="noConversion"/>
  </si>
  <si>
    <t>2019.11.13</t>
    <phoneticPr fontId="3" type="noConversion"/>
  </si>
  <si>
    <t>掛號</t>
    <phoneticPr fontId="3" type="noConversion"/>
  </si>
  <si>
    <t>請問能幫我匯7500台幣給上次匯3700的那個人嗎
備註要註明什麼嗎
DV  上午 09:12:07
租金餘款
彰化銀行#009-五股工業區分行-54878600415300 林盈君</t>
    <phoneticPr fontId="3" type="noConversion"/>
  </si>
  <si>
    <t>2019.11.15</t>
    <phoneticPr fontId="3" type="noConversion"/>
  </si>
  <si>
    <t>2019.10 card ada代刷-玉山, 11/12 ADA代墊</t>
    <phoneticPr fontId="3" type="noConversion"/>
  </si>
  <si>
    <t>2019.11.15</t>
    <phoneticPr fontId="3" type="noConversion"/>
  </si>
  <si>
    <t>108.10 達,調勞保-3</t>
    <phoneticPr fontId="3" type="noConversion"/>
  </si>
  <si>
    <t>2019.11.18</t>
    <phoneticPr fontId="3" type="noConversion"/>
  </si>
  <si>
    <t>同皇/友士發票</t>
    <phoneticPr fontId="3" type="noConversion"/>
  </si>
  <si>
    <t>2019.11.20</t>
    <phoneticPr fontId="3" type="noConversion"/>
  </si>
  <si>
    <t>"-3"
PeterChang 2019/11/12 下午 03:17:44
元大銀行 內湖分行 168-1229361-1 章挺憲
元大銀行：806-瑞光分行
活儲：00168122936117
章挺憲
(總額$175175)</t>
    <phoneticPr fontId="3" type="noConversion"/>
  </si>
  <si>
    <t>管理費-2019.11 106.8月開始調漲$20, (原$95+$20=$115/坪) * 12.68坪=$1458
4月開始銀行轉帳 $1458 + $10</t>
    <phoneticPr fontId="3" type="noConversion"/>
  </si>
  <si>
    <t>2019.11.27</t>
    <phoneticPr fontId="3" type="noConversion"/>
  </si>
  <si>
    <t>掛號博欽勞保請款</t>
    <phoneticPr fontId="3" type="noConversion"/>
  </si>
  <si>
    <t>2019.11.27</t>
    <phoneticPr fontId="3" type="noConversion"/>
  </si>
  <si>
    <t>水費</t>
    <phoneticPr fontId="3" type="noConversion"/>
  </si>
  <si>
    <t>水費.108-11</t>
    <phoneticPr fontId="3" type="noConversion"/>
  </si>
  <si>
    <t>2019.12.02</t>
    <phoneticPr fontId="3" type="noConversion"/>
  </si>
  <si>
    <t>2019.12 北平房租-台銀網銀轉帳(2018.11開始)-轉ADA再轉房東</t>
    <phoneticPr fontId="3" type="noConversion"/>
  </si>
  <si>
    <t>2019.12.04</t>
    <phoneticPr fontId="3" type="noConversion"/>
  </si>
  <si>
    <t>掛號恩豪/永馳發票</t>
    <phoneticPr fontId="3" type="noConversion"/>
  </si>
  <si>
    <t>2019.12.04</t>
    <phoneticPr fontId="3" type="noConversion"/>
  </si>
  <si>
    <t>掛號依德車源回郵</t>
    <phoneticPr fontId="3" type="noConversion"/>
  </si>
  <si>
    <t>108.11 張</t>
    <phoneticPr fontId="3" type="noConversion"/>
  </si>
  <si>
    <t>108.11 欽 (2018.1月 調薪 $30150),調勞保</t>
    <phoneticPr fontId="3" type="noConversion"/>
  </si>
  <si>
    <t>108.11 達</t>
    <phoneticPr fontId="3" type="noConversion"/>
  </si>
  <si>
    <t>2019.12.09</t>
    <phoneticPr fontId="3" type="noConversion"/>
  </si>
  <si>
    <t>2019.11 card ada代刷-玉山</t>
    <phoneticPr fontId="3" type="noConversion"/>
  </si>
  <si>
    <t>2019.12.17</t>
    <phoneticPr fontId="3" type="noConversion"/>
  </si>
  <si>
    <t>掛號博欽勞保請款-補件</t>
    <phoneticPr fontId="3" type="noConversion"/>
  </si>
  <si>
    <t>DV 2019/12/16 下午 09:49:50
PT明天(周二)應該會找你要先算錢,依德的錢等下次再算,這一次請直接跟PT算他的金額是81320(131320-50000)元
DV 2019/12/16 下午 09:57:56
這一次應該會請你匯16萬(PT:8+DV:8)
上海商業儲蓄銀行 儲蓄部分行 (011-0037)
楊淑雅 03203005001517</t>
    <phoneticPr fontId="3" type="noConversion"/>
  </si>
  <si>
    <t>鴻碩續約換機車資</t>
    <phoneticPr fontId="3" type="noConversion"/>
  </si>
  <si>
    <t>2019.12.24</t>
    <phoneticPr fontId="3" type="noConversion"/>
  </si>
  <si>
    <t>管理費-2019.12 106.8月開始調漲$20, (原$95+$20=$115/坪) * 12.68坪=$1458
4月開始銀行轉帳 $1458 + $10</t>
    <phoneticPr fontId="3" type="noConversion"/>
  </si>
  <si>
    <t>雜費</t>
    <phoneticPr fontId="3" type="noConversion"/>
  </si>
  <si>
    <t>華算109.01-02三聯式發票</t>
    <phoneticPr fontId="3" type="noConversion"/>
  </si>
  <si>
    <t>2020.01.02</t>
    <phoneticPr fontId="3" type="noConversion"/>
  </si>
  <si>
    <t>2020.01 北平房租-台銀網銀轉帳(2018.11開始)-轉ADA再轉房東</t>
    <phoneticPr fontId="3" type="noConversion"/>
  </si>
  <si>
    <t>2020.01.06</t>
    <phoneticPr fontId="3" type="noConversion"/>
  </si>
  <si>
    <t>108.12 張</t>
    <phoneticPr fontId="3" type="noConversion"/>
  </si>
  <si>
    <t>2020.01.06</t>
    <phoneticPr fontId="3" type="noConversion"/>
  </si>
  <si>
    <t>108.12 欽 (2018.1月 調薪 $30150),調勞保</t>
    <phoneticPr fontId="3" type="noConversion"/>
  </si>
  <si>
    <t>2020.01.06</t>
    <phoneticPr fontId="3" type="noConversion"/>
  </si>
  <si>
    <t>2019.12 card ada代刷-中信</t>
    <phoneticPr fontId="3" type="noConversion"/>
  </si>
  <si>
    <t>2020.01.06</t>
    <phoneticPr fontId="3" type="noConversion"/>
  </si>
  <si>
    <t>108.12 達-1</t>
    <phoneticPr fontId="3" type="noConversion"/>
  </si>
  <si>
    <t>2020.01.08</t>
    <phoneticPr fontId="3" type="noConversion"/>
  </si>
  <si>
    <t>108.12 達-2</t>
    <phoneticPr fontId="3" type="noConversion"/>
  </si>
  <si>
    <t>2019.12 card ada代刷-玉山</t>
    <phoneticPr fontId="3" type="noConversion"/>
  </si>
  <si>
    <t>2020.01.08</t>
    <phoneticPr fontId="3" type="noConversion"/>
  </si>
  <si>
    <t>401.2019.11~12</t>
    <phoneticPr fontId="3" type="noConversion"/>
  </si>
  <si>
    <t>2020.01.13</t>
    <phoneticPr fontId="3" type="noConversion"/>
  </si>
  <si>
    <t>DV  上午 09:58:38
早,請幫我轉給饒媽8888元過年紅包</t>
    <phoneticPr fontId="3" type="noConversion"/>
  </si>
  <si>
    <t>2020.01.20</t>
    <phoneticPr fontId="3" type="noConversion"/>
  </si>
  <si>
    <t>元大銀行 00168122936117 章挺憲</t>
    <phoneticPr fontId="3" type="noConversion"/>
  </si>
  <si>
    <t>2020.01.30</t>
    <phoneticPr fontId="3" type="noConversion"/>
  </si>
  <si>
    <t>管理費-2020.01 106.8月開始調漲$20, (原$95+$20=$115/坪) * 12.68坪=$1458
4月開始銀行轉帳 $1458 + $10</t>
    <phoneticPr fontId="3" type="noConversion"/>
  </si>
  <si>
    <t>2020.01.30</t>
    <phoneticPr fontId="3" type="noConversion"/>
  </si>
  <si>
    <t>水費.109-01</t>
    <phoneticPr fontId="3" type="noConversion"/>
  </si>
  <si>
    <t>2020.02.03</t>
    <phoneticPr fontId="3" type="noConversion"/>
  </si>
  <si>
    <t>2020.02 北平房租-台銀網銀轉帳(2018.11開始)-轉ADA再轉房東</t>
    <phoneticPr fontId="3" type="noConversion"/>
  </si>
  <si>
    <t>2020.02.04</t>
  </si>
  <si>
    <t>掛號展鑫/佳尼特,發票依/鎔/鉑/桐/施,@28郵票*5</t>
    <phoneticPr fontId="3" type="noConversion"/>
  </si>
  <si>
    <t>2020.02.05</t>
  </si>
  <si>
    <t>109.1 欽 (2018.1月 調薪 $30150),調勞保
$26000 台銀, $3575 零用金</t>
    <phoneticPr fontId="3" type="noConversion"/>
  </si>
  <si>
    <t>109.1 欽 (2018.1月 調薪 $30150),調勞保
$26000 台銀, $3575 零用金</t>
    <phoneticPr fontId="3" type="noConversion"/>
  </si>
  <si>
    <t>2020.02.11</t>
    <phoneticPr fontId="3" type="noConversion"/>
  </si>
  <si>
    <t>掛號八亨/松群合約,發票,回郵信封</t>
    <phoneticPr fontId="3" type="noConversion"/>
  </si>
  <si>
    <t>2020.02.20</t>
    <phoneticPr fontId="3" type="noConversion"/>
  </si>
  <si>
    <t>2020.02.20</t>
    <phoneticPr fontId="3" type="noConversion"/>
  </si>
  <si>
    <t>佳尼特續約換機車資</t>
    <phoneticPr fontId="3" type="noConversion"/>
  </si>
  <si>
    <t>2020.02.21</t>
  </si>
  <si>
    <t>109.1 達-1</t>
    <phoneticPr fontId="3" type="noConversion"/>
  </si>
  <si>
    <t>2020.02.26</t>
    <phoneticPr fontId="3" type="noConversion"/>
  </si>
  <si>
    <t>管理費-2020.02 106.8月開始調漲$20, (原$95+$20=$115/坪) * 12.68坪=$1458
4月開始銀行轉帳 $1458 + $10</t>
    <phoneticPr fontId="3" type="noConversion"/>
  </si>
  <si>
    <t>華算109.03-04三聯式發票</t>
    <phoneticPr fontId="3" type="noConversion"/>
  </si>
  <si>
    <t>發票車資</t>
    <phoneticPr fontId="3" type="noConversion"/>
  </si>
  <si>
    <t>2020.03.02</t>
    <phoneticPr fontId="3" type="noConversion"/>
  </si>
  <si>
    <t>2020.03 北平房租-台銀網銀轉帳(2018.11開始)-轉ADA再轉房東</t>
    <phoneticPr fontId="3" type="noConversion"/>
  </si>
  <si>
    <t>2020.03.02</t>
    <phoneticPr fontId="3" type="noConversion"/>
  </si>
  <si>
    <t>機殼風扇8吋*2-展鑫</t>
    <phoneticPr fontId="3" type="noConversion"/>
  </si>
  <si>
    <t>2020.03.03</t>
    <phoneticPr fontId="3" type="noConversion"/>
  </si>
  <si>
    <t>109.1 達-2</t>
    <phoneticPr fontId="3" type="noConversion"/>
  </si>
  <si>
    <t>2020.03.03</t>
    <phoneticPr fontId="3" type="noConversion"/>
  </si>
  <si>
    <t>2020.1 card ada代刷-中信</t>
    <phoneticPr fontId="3" type="noConversion"/>
  </si>
  <si>
    <t>2020.1 card ada代刷-玉山</t>
    <phoneticPr fontId="3" type="noConversion"/>
  </si>
  <si>
    <t>2020.03.03</t>
    <phoneticPr fontId="3" type="noConversion"/>
  </si>
  <si>
    <t>掛號品固蘇州合約發票/同皇發票</t>
    <phoneticPr fontId="3" type="noConversion"/>
  </si>
  <si>
    <t>2020.03.05</t>
    <phoneticPr fontId="3" type="noConversion"/>
  </si>
  <si>
    <t>109.02 張</t>
    <phoneticPr fontId="3" type="noConversion"/>
  </si>
  <si>
    <t>2020.03.05</t>
    <phoneticPr fontId="3" type="noConversion"/>
  </si>
  <si>
    <t>109.02 欽 (2018.1月 調薪 $30150),調勞保</t>
    <phoneticPr fontId="3" type="noConversion"/>
  </si>
  <si>
    <t>109.02 達-1</t>
    <phoneticPr fontId="3" type="noConversion"/>
  </si>
  <si>
    <t>2020.03.06</t>
  </si>
  <si>
    <t>109.02 達-2</t>
    <phoneticPr fontId="3" type="noConversion"/>
  </si>
  <si>
    <t>2020.03.09</t>
    <phoneticPr fontId="3" type="noConversion"/>
  </si>
  <si>
    <t>文具費</t>
    <phoneticPr fontId="3" type="noConversion"/>
  </si>
  <si>
    <t>A4紙</t>
    <phoneticPr fontId="3" type="noConversion"/>
  </si>
  <si>
    <t>2020.03.10</t>
    <phoneticPr fontId="3" type="noConversion"/>
  </si>
  <si>
    <t>展鑫續約換機車資</t>
    <phoneticPr fontId="3" type="noConversion"/>
  </si>
  <si>
    <t>2020.03.10</t>
    <phoneticPr fontId="3" type="noConversion"/>
  </si>
  <si>
    <t>2020.03.12</t>
    <phoneticPr fontId="3" type="noConversion"/>
  </si>
  <si>
    <t>掛號大陸函件漢聯廈門INVOICE</t>
    <phoneticPr fontId="3" type="noConversion"/>
  </si>
  <si>
    <t>2020.03.17</t>
    <phoneticPr fontId="3" type="noConversion"/>
  </si>
  <si>
    <t>2020.03.18</t>
  </si>
  <si>
    <t>401.2020.01~02</t>
    <phoneticPr fontId="3" type="noConversion"/>
  </si>
  <si>
    <t>2020.03.24</t>
    <phoneticPr fontId="3" type="noConversion"/>
  </si>
  <si>
    <t>管理費-2020.03 106.8月開始調漲$20, (原$95+$20=$115/坪) * 12.68坪=$1458
4月開始銀行轉帳 $1458 + $10</t>
    <phoneticPr fontId="3" type="noConversion"/>
  </si>
  <si>
    <t>2020.03.24</t>
    <phoneticPr fontId="3" type="noConversion"/>
  </si>
  <si>
    <t>109.02 達-3</t>
    <phoneticPr fontId="3" type="noConversion"/>
  </si>
  <si>
    <t>2020.04.01</t>
    <phoneticPr fontId="3" type="noConversion"/>
  </si>
  <si>
    <t>2020.04 北平房租-台銀網銀轉帳(2018.11開始)-轉ADA再轉房東</t>
    <phoneticPr fontId="3" type="noConversion"/>
  </si>
  <si>
    <t>2020.04.06</t>
    <phoneticPr fontId="3" type="noConversion"/>
  </si>
  <si>
    <t>109.03 張</t>
    <phoneticPr fontId="3" type="noConversion"/>
  </si>
  <si>
    <t>2020.04.06</t>
    <phoneticPr fontId="3" type="noConversion"/>
  </si>
  <si>
    <t>109.03 欽 (2018.1月 調薪 $30150),調勞保</t>
    <phoneticPr fontId="3" type="noConversion"/>
  </si>
  <si>
    <t>2020.04.06</t>
    <phoneticPr fontId="3" type="noConversion"/>
  </si>
  <si>
    <t>109.03 達-1</t>
    <phoneticPr fontId="3" type="noConversion"/>
  </si>
  <si>
    <t>2020.04.07</t>
    <phoneticPr fontId="3" type="noConversion"/>
  </si>
  <si>
    <t>水費.109-03</t>
    <phoneticPr fontId="3" type="noConversion"/>
  </si>
  <si>
    <t>掛號元超重簽合約發票回郵</t>
    <phoneticPr fontId="3" type="noConversion"/>
  </si>
  <si>
    <t>2020.04.13</t>
    <phoneticPr fontId="3" type="noConversion"/>
  </si>
  <si>
    <t>109.03 達-2</t>
    <phoneticPr fontId="3" type="noConversion"/>
  </si>
  <si>
    <t>2020.04.21</t>
    <phoneticPr fontId="3" type="noConversion"/>
  </si>
  <si>
    <t>華算109.03-04三聯式發票</t>
    <phoneticPr fontId="3" type="noConversion"/>
  </si>
  <si>
    <t>2020.04.21</t>
    <phoneticPr fontId="3" type="noConversion"/>
  </si>
  <si>
    <t>發票車資</t>
    <phoneticPr fontId="3" type="noConversion"/>
  </si>
  <si>
    <t>2020.04.22</t>
    <phoneticPr fontId="3" type="noConversion"/>
  </si>
  <si>
    <t>2020.2 card ada代刷-玉山-20200316繳</t>
    <phoneticPr fontId="3" type="noConversion"/>
  </si>
  <si>
    <t>2020.04.27</t>
    <phoneticPr fontId="3" type="noConversion"/>
  </si>
  <si>
    <t>管理費-2020.04 106.8月開始調漲$20, (原$95+$20=$115/坪) * 12.68坪=$1458
4月開始銀行轉帳 $1458 + $10</t>
    <phoneticPr fontId="3" type="noConversion"/>
  </si>
  <si>
    <t>2020.04.28</t>
    <phoneticPr fontId="3" type="noConversion"/>
  </si>
  <si>
    <t>2020.05.04</t>
    <phoneticPr fontId="3" type="noConversion"/>
  </si>
  <si>
    <r>
      <rPr>
        <sz val="12"/>
        <color indexed="1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2020.05 北平房租-台銀網銀轉帳(2018.11開始)-轉ADA再轉房東</t>
    </r>
    <phoneticPr fontId="3" type="noConversion"/>
  </si>
  <si>
    <t>2020.05.05</t>
  </si>
  <si>
    <r>
      <rPr>
        <sz val="12"/>
        <color indexed="1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109.04 欽 (2018.1月 調薪 $30150),調勞保</t>
    </r>
    <phoneticPr fontId="3" type="noConversion"/>
  </si>
  <si>
    <r>
      <rPr>
        <sz val="12"/>
        <color indexed="10"/>
        <rFont val="新細明體"/>
        <family val="1"/>
        <charset val="136"/>
      </rPr>
      <t xml:space="preserve">(明10萬) </t>
    </r>
    <r>
      <rPr>
        <sz val="12"/>
        <rFont val="新細明體"/>
        <family val="1"/>
        <charset val="136"/>
      </rPr>
      <t>109.04 張</t>
    </r>
    <phoneticPr fontId="3" type="noConversion"/>
  </si>
  <si>
    <r>
      <rPr>
        <sz val="12"/>
        <color indexed="1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109.04 達-1</t>
    </r>
    <phoneticPr fontId="3" type="noConversion"/>
  </si>
  <si>
    <t>2020.05.07</t>
    <phoneticPr fontId="3" type="noConversion"/>
  </si>
  <si>
    <t>祥和維護車資</t>
    <phoneticPr fontId="3" type="noConversion"/>
  </si>
  <si>
    <t>2020.05.12</t>
    <phoneticPr fontId="3" type="noConversion"/>
  </si>
  <si>
    <t>順豐貨運-品固CN-2.5KG-30*30*15
HD寄了, 3.5HD*2, LAN CARD*3, CPU+FAN*1, 擋板*3,SATA線*4,墊片*1
號碼: 886239793834-1P</t>
    <phoneticPr fontId="3" type="noConversion"/>
  </si>
  <si>
    <t>2020.05.14</t>
    <phoneticPr fontId="3" type="noConversion"/>
  </si>
  <si>
    <t>401.2020.03~04</t>
    <phoneticPr fontId="3" type="noConversion"/>
  </si>
  <si>
    <t>標準信封</t>
    <phoneticPr fontId="3" type="noConversion"/>
  </si>
  <si>
    <t>2020.05.14</t>
    <phoneticPr fontId="3" type="noConversion"/>
  </si>
  <si>
    <t>掛號依鎔鉑大桐威視施八發票</t>
    <phoneticPr fontId="3" type="noConversion"/>
  </si>
  <si>
    <t>2020.05.25</t>
    <phoneticPr fontId="3" type="noConversion"/>
  </si>
  <si>
    <t>管理費-2020.05 106.8月開始調漲$20, (原$95+$20=$115/坪) * 12.68坪=$1458
4月開始銀行轉帳 $1458 + $10</t>
    <phoneticPr fontId="3" type="noConversion"/>
  </si>
  <si>
    <t>2020.05.26</t>
    <phoneticPr fontId="3" type="noConversion"/>
  </si>
  <si>
    <t>蝦皮4U工業機箱*2, ADA非約定轉帳</t>
    <phoneticPr fontId="3" type="noConversion"/>
  </si>
  <si>
    <t>2020.05.28</t>
    <phoneticPr fontId="3" type="noConversion"/>
  </si>
  <si>
    <t>友士退押金-華南-新生-113100107276</t>
    <phoneticPr fontId="3" type="noConversion"/>
  </si>
  <si>
    <t>2020.05.28</t>
    <phoneticPr fontId="3" type="noConversion"/>
  </si>
  <si>
    <t>掛號品固CN/品固TW/台一合約發票回郵/展鑫-補合約, 郵票 @28*10, @8*20</t>
    <phoneticPr fontId="3" type="noConversion"/>
  </si>
  <si>
    <t>2020.06.01</t>
    <phoneticPr fontId="3" type="noConversion"/>
  </si>
  <si>
    <t>2020.06 北平房租-台銀網銀轉帳(2018.11開始)-轉ADA再轉房東</t>
    <phoneticPr fontId="3" type="noConversion"/>
  </si>
  <si>
    <t>2020.06.01</t>
    <phoneticPr fontId="3" type="noConversion"/>
  </si>
  <si>
    <t>水費.109-05</t>
    <phoneticPr fontId="3" type="noConversion"/>
  </si>
  <si>
    <t>2020.06.01</t>
    <phoneticPr fontId="3" type="noConversion"/>
  </si>
  <si>
    <t>掛號台一合約發票重寄</t>
    <phoneticPr fontId="3" type="noConversion"/>
  </si>
  <si>
    <t>現金相符</t>
    <phoneticPr fontId="3" type="noConversion"/>
  </si>
  <si>
    <t>2020.06.03</t>
    <phoneticPr fontId="3" type="noConversion"/>
  </si>
  <si>
    <t>祥和維護車資</t>
    <phoneticPr fontId="3" type="noConversion"/>
  </si>
  <si>
    <t>2020.06.04</t>
  </si>
  <si>
    <t>品固TW維護車資</t>
    <phoneticPr fontId="3" type="noConversion"/>
  </si>
  <si>
    <t>品固TW維護車資</t>
    <phoneticPr fontId="3" type="noConversion"/>
  </si>
  <si>
    <t>2020.06.05</t>
    <phoneticPr fontId="3" type="noConversion"/>
  </si>
  <si>
    <t>109.05 張</t>
    <phoneticPr fontId="3" type="noConversion"/>
  </si>
  <si>
    <t>2020.06.05</t>
    <phoneticPr fontId="3" type="noConversion"/>
  </si>
  <si>
    <t>109.05 欽 (2018.1月 調薪 $30150),調勞保</t>
    <phoneticPr fontId="3" type="noConversion"/>
  </si>
  <si>
    <r>
      <rPr>
        <sz val="12"/>
        <color indexed="10"/>
        <rFont val="新細明體"/>
        <family val="1"/>
        <charset val="136"/>
      </rPr>
      <t>(明10萬不足)</t>
    </r>
    <r>
      <rPr>
        <sz val="12"/>
        <rFont val="新細明體"/>
        <family val="1"/>
        <charset val="136"/>
      </rPr>
      <t xml:space="preserve"> 109.04 達-2</t>
    </r>
    <phoneticPr fontId="3" type="noConversion"/>
  </si>
  <si>
    <t>109.05 達</t>
    <phoneticPr fontId="3" type="noConversion"/>
  </si>
  <si>
    <t>2020.5 card ada代刷-中信</t>
    <phoneticPr fontId="3" type="noConversion"/>
  </si>
  <si>
    <t>2020.5 card ada代刷-玉山(其中一筆分6期, 1/6)</t>
    <phoneticPr fontId="3" type="noConversion"/>
  </si>
  <si>
    <t>2020.06.06</t>
    <phoneticPr fontId="3" type="noConversion"/>
  </si>
  <si>
    <t>明10萬還款---033-018-0002005-6 永豐銀行 807 東門分門 王偉明</t>
    <phoneticPr fontId="3" type="noConversion"/>
  </si>
  <si>
    <t>2020.06.10</t>
    <phoneticPr fontId="3" type="noConversion"/>
  </si>
  <si>
    <t>掛號大桐車源合約發票/威倫合約發票/永馳/同皇發票</t>
    <phoneticPr fontId="3" type="noConversion"/>
  </si>
  <si>
    <t>2020.06.11</t>
    <phoneticPr fontId="3" type="noConversion"/>
  </si>
  <si>
    <t>松群維修, 道法-B250MK機器, 展鑫HD</t>
    <phoneticPr fontId="3" type="noConversion"/>
  </si>
  <si>
    <t>達算停業續停</t>
    <phoneticPr fontId="3" type="noConversion"/>
  </si>
  <si>
    <t>日期</t>
    <phoneticPr fontId="3" type="noConversion"/>
  </si>
  <si>
    <t>說明</t>
    <phoneticPr fontId="3" type="noConversion"/>
  </si>
  <si>
    <t>衛生紙</t>
    <phoneticPr fontId="3" type="noConversion"/>
  </si>
  <si>
    <t>管理費</t>
    <phoneticPr fontId="3" type="noConversion"/>
  </si>
  <si>
    <t>悠遊卡儲值</t>
    <phoneticPr fontId="3" type="noConversion"/>
  </si>
  <si>
    <t>合碩續約換機車資</t>
    <phoneticPr fontId="3" type="noConversion"/>
  </si>
  <si>
    <t>協億通續約換機車資</t>
    <phoneticPr fontId="3" type="noConversion"/>
  </si>
  <si>
    <t>裕恆續約換機車資</t>
    <phoneticPr fontId="3" type="noConversion"/>
  </si>
  <si>
    <t>掛號</t>
    <phoneticPr fontId="3" type="noConversion"/>
  </si>
  <si>
    <t>太暘續約換機車資</t>
    <phoneticPr fontId="3" type="noConversion"/>
  </si>
  <si>
    <t>領發票車資</t>
    <phoneticPr fontId="3" type="noConversion"/>
  </si>
  <si>
    <t>汎輝維護車資</t>
    <phoneticPr fontId="3" type="noConversion"/>
  </si>
  <si>
    <t>2019.01.15</t>
    <phoneticPr fontId="3" type="noConversion"/>
  </si>
  <si>
    <t>DV-保險理賠25萬-存ADA一銀定存-變更印鑑</t>
    <phoneticPr fontId="3" type="noConversion"/>
  </si>
  <si>
    <t>邁拓維護車資</t>
    <phoneticPr fontId="3" type="noConversion"/>
  </si>
  <si>
    <t>2019.01.17</t>
    <phoneticPr fontId="3" type="noConversion"/>
  </si>
  <si>
    <t>邁拓合約發票回郵</t>
    <phoneticPr fontId="3" type="noConversion"/>
  </si>
  <si>
    <t>2019.01.28</t>
    <phoneticPr fontId="3" type="noConversion"/>
  </si>
  <si>
    <t>管理費-2019.1 106.8月開始調漲$20, (原$95+$20=$115/坪) * 12.68坪=$1458</t>
    <phoneticPr fontId="3" type="noConversion"/>
  </si>
  <si>
    <t>2019.02.01</t>
    <phoneticPr fontId="3" type="noConversion"/>
  </si>
  <si>
    <t>水費.108-01</t>
    <phoneticPr fontId="3" type="noConversion"/>
  </si>
  <si>
    <t>2019.02.13</t>
    <phoneticPr fontId="3" type="noConversion"/>
  </si>
  <si>
    <t>依德/鎔德/鉑德/大桐/友士/同皇發票,安力合約發票回郵</t>
    <phoneticPr fontId="3" type="noConversion"/>
  </si>
  <si>
    <t>郵票 @28x10, @8x10</t>
    <phoneticPr fontId="3" type="noConversion"/>
  </si>
  <si>
    <t>2019.02.14</t>
    <phoneticPr fontId="3" type="noConversion"/>
  </si>
  <si>
    <t>依德DNS回郵</t>
    <phoneticPr fontId="3" type="noConversion"/>
  </si>
  <si>
    <t>恩豪合約發票回郵</t>
    <phoneticPr fontId="3" type="noConversion"/>
  </si>
  <si>
    <t>A4紙</t>
    <phoneticPr fontId="3" type="noConversion"/>
  </si>
  <si>
    <t>2019.02.18</t>
    <phoneticPr fontId="3" type="noConversion"/>
  </si>
  <si>
    <t>同皇合約發票回郵</t>
    <phoneticPr fontId="3" type="noConversion"/>
  </si>
  <si>
    <t>2019.02.19</t>
    <phoneticPr fontId="3" type="noConversion"/>
  </si>
  <si>
    <t>電池</t>
    <phoneticPr fontId="3" type="noConversion"/>
  </si>
  <si>
    <t>2019.02.26</t>
    <phoneticPr fontId="3" type="noConversion"/>
  </si>
  <si>
    <t>管理費-2019.2 106.8月開始調漲$20, (原$95+$20=$115/坪) * 12.68坪=$1458</t>
    <phoneticPr fontId="3" type="noConversion"/>
  </si>
  <si>
    <t>華算108.03-04三聯式發票</t>
    <phoneticPr fontId="3" type="noConversion"/>
  </si>
  <si>
    <t>八亨/永馳/施舒雅發票掛號, @8郵票</t>
    <phoneticPr fontId="3" type="noConversion"/>
  </si>
  <si>
    <t>2019.03.19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</si>
  <si>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</si>
  <si>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</si>
  <si>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2019.03.28</t>
    <phoneticPr fontId="3" type="noConversion"/>
  </si>
  <si>
    <t>膠布</t>
    <phoneticPr fontId="3" type="noConversion"/>
  </si>
  <si>
    <t>水費.108-03</t>
    <phoneticPr fontId="3" type="noConversion"/>
  </si>
  <si>
    <t>2019.04.10</t>
    <phoneticPr fontId="3" type="noConversion"/>
  </si>
  <si>
    <t>清潔劑</t>
    <phoneticPr fontId="3" type="noConversion"/>
  </si>
  <si>
    <t>2019.04.12</t>
    <phoneticPr fontId="3" type="noConversion"/>
  </si>
  <si>
    <t>鎔德-PRIME-CLUB 合約掛號</t>
    <phoneticPr fontId="3" type="noConversion"/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</si>
  <si>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</si>
  <si>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</si>
  <si>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華算108.05-06三聯式發票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</si>
  <si>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</si>
  <si>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</si>
  <si>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</si>
  <si>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2019.05.07</t>
    <phoneticPr fontId="3" type="noConversion"/>
  </si>
  <si>
    <t>依德/鎔德/鉑德/友士 發票掛號, 房東 平信</t>
    <phoneticPr fontId="3" type="noConversion"/>
  </si>
  <si>
    <t>依德CLUB 合約掛號補林銘皇</t>
    <phoneticPr fontId="3" type="noConversion"/>
  </si>
  <si>
    <t>2019.05.15</t>
    <phoneticPr fontId="3" type="noConversion"/>
  </si>
  <si>
    <t>達翌/威視/裕恆 合約掛號 郵票 @28 *10, @8 *20</t>
    <phoneticPr fontId="3" type="noConversion"/>
  </si>
  <si>
    <t>2019.05.22</t>
    <phoneticPr fontId="3" type="noConversion"/>
  </si>
  <si>
    <t>2019.05.22</t>
    <phoneticPr fontId="3" type="noConversion"/>
  </si>
  <si>
    <t>2019.05.28</t>
    <phoneticPr fontId="3" type="noConversion"/>
  </si>
  <si>
    <t>大成 合約發票掛號</t>
    <phoneticPr fontId="3" type="noConversion"/>
  </si>
  <si>
    <r>
      <t xml:space="preserve">管理費-2019.5 106.8月開始調漲$20,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</si>
  <si>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2019.05.29</t>
    <phoneticPr fontId="3" type="noConversion"/>
  </si>
  <si>
    <t>大桐續約換機車資</t>
    <phoneticPr fontId="3" type="noConversion"/>
  </si>
  <si>
    <t>2019.05.31</t>
    <phoneticPr fontId="3" type="noConversion"/>
  </si>
  <si>
    <t>2019.06.03</t>
    <phoneticPr fontId="3" type="noConversion"/>
  </si>
  <si>
    <t>2019.06.05</t>
    <phoneticPr fontId="3" type="noConversion"/>
  </si>
  <si>
    <t>同皇/永馳/八亨/施舒雅發票</t>
    <phoneticPr fontId="3" type="noConversion"/>
  </si>
  <si>
    <t>國稅局達算停業車資</t>
    <phoneticPr fontId="3" type="noConversion"/>
  </si>
  <si>
    <t>2019.06.12</t>
    <phoneticPr fontId="3" type="noConversion"/>
  </si>
  <si>
    <t>2019.06.24</t>
    <phoneticPr fontId="3" type="noConversion"/>
  </si>
  <si>
    <t>華算108.07-08三聯式發票</t>
    <phoneticPr fontId="3" type="noConversion"/>
  </si>
  <si>
    <t>2019.06.27</t>
    <phoneticPr fontId="3" type="noConversion"/>
  </si>
  <si>
    <t>同皇續約換機車資</t>
    <phoneticPr fontId="3" type="noConversion"/>
  </si>
  <si>
    <t>水費.108-07</t>
    <phoneticPr fontId="3" type="noConversion"/>
  </si>
  <si>
    <t>鉑德合約發票回郵信封</t>
    <phoneticPr fontId="3" type="noConversion"/>
  </si>
  <si>
    <t>依德/鎔德/大桐/友士發票回郵信封</t>
    <phoneticPr fontId="3" type="noConversion"/>
  </si>
  <si>
    <t>雜項購置</t>
    <phoneticPr fontId="3" type="noConversion"/>
  </si>
  <si>
    <t>2019.08.21</t>
    <phoneticPr fontId="3" type="noConversion"/>
  </si>
  <si>
    <r>
      <t xml:space="preserve">管理費-2019.8 106.8月開始調漲$20,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</si>
  <si>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2019.08.23</t>
    <phoneticPr fontId="3" type="noConversion"/>
  </si>
  <si>
    <t>2019.08.27</t>
    <phoneticPr fontId="3" type="noConversion"/>
  </si>
  <si>
    <t>華算108.09-10三聯式發票</t>
    <phoneticPr fontId="3" type="noConversion"/>
  </si>
  <si>
    <t>冷氣維修</t>
    <phoneticPr fontId="3" type="noConversion"/>
  </si>
  <si>
    <t>2019.09.23</t>
    <phoneticPr fontId="3" type="noConversion"/>
  </si>
  <si>
    <t>水費.108-09</t>
    <phoneticPr fontId="3" type="noConversion"/>
  </si>
  <si>
    <t>元超合約掛號</t>
    <phoneticPr fontId="3" type="noConversion"/>
  </si>
  <si>
    <t>祥和維修油資</t>
    <phoneticPr fontId="3" type="noConversion"/>
  </si>
  <si>
    <t>2019.10.22</t>
    <phoneticPr fontId="3" type="noConversion"/>
  </si>
  <si>
    <t>合約紙/膠布</t>
    <phoneticPr fontId="3" type="noConversion"/>
  </si>
  <si>
    <t>2019.10.24</t>
    <phoneticPr fontId="3" type="noConversion"/>
  </si>
  <si>
    <t>施舒雅/太暘合約掛號</t>
    <phoneticPr fontId="3" type="noConversion"/>
  </si>
  <si>
    <t>管理費</t>
    <phoneticPr fontId="3" type="noConversion"/>
  </si>
  <si>
    <t>同皇/友士發票</t>
    <phoneticPr fontId="3" type="noConversion"/>
  </si>
  <si>
    <t>掛號依德/鎔德/鉑德/大桐</t>
    <phoneticPr fontId="3" type="noConversion"/>
  </si>
  <si>
    <t>2019.11.27</t>
    <phoneticPr fontId="3" type="noConversion"/>
  </si>
  <si>
    <t>掛號博欽勞保請款</t>
    <phoneticPr fontId="3" type="noConversion"/>
  </si>
  <si>
    <t>2019.11.27</t>
    <phoneticPr fontId="3" type="noConversion"/>
  </si>
  <si>
    <t>掛號恩豪/永馳發票</t>
    <phoneticPr fontId="3" type="noConversion"/>
  </si>
  <si>
    <t>掛號依德車源回郵</t>
    <phoneticPr fontId="3" type="noConversion"/>
  </si>
  <si>
    <t>管理費-2019.12 106.8月開始調漲$20, (原$95+$20=$115/坪) * 12.68坪=$1458
4月開始銀行轉帳 $1458 + $10</t>
    <phoneticPr fontId="3" type="noConversion"/>
  </si>
  <si>
    <t>華算109.01-02三聯式發票</t>
    <phoneticPr fontId="3" type="noConversion"/>
  </si>
  <si>
    <t>雙安續約換機車資</t>
    <phoneticPr fontId="3" type="noConversion"/>
  </si>
  <si>
    <r>
      <t xml:space="preserve">管理費-2019.4 106.8月開始調漲$20,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</si>
  <si>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管理費-2019.5 106.8月開始調漲$20,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</si>
  <si>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管理費-2019.6 106.8月開始調漲$20,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</si>
  <si>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管理費-2019.7 106.8月開始調漲$20,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</si>
  <si>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管理費-2019.8 106.8月開始調漲$20,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</si>
  <si>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t>108/01</t>
    <phoneticPr fontId="5" type="noConversion"/>
  </si>
  <si>
    <t>楊博欽</t>
    <phoneticPr fontId="29" type="noConversion"/>
  </si>
  <si>
    <t>108/02</t>
    <phoneticPr fontId="5" type="noConversion"/>
  </si>
  <si>
    <t>108/03</t>
    <phoneticPr fontId="5" type="noConversion"/>
  </si>
  <si>
    <t>108/04</t>
    <phoneticPr fontId="5" type="noConversion"/>
  </si>
  <si>
    <t>楊博欽</t>
    <phoneticPr fontId="29" type="noConversion"/>
  </si>
  <si>
    <t>108/05</t>
    <phoneticPr fontId="5" type="noConversion"/>
  </si>
  <si>
    <t>108/06</t>
    <phoneticPr fontId="5" type="noConversion"/>
  </si>
  <si>
    <t>108/07</t>
    <phoneticPr fontId="5" type="noConversion"/>
  </si>
  <si>
    <t>108/08</t>
    <phoneticPr fontId="5" type="noConversion"/>
  </si>
  <si>
    <t>楊博欽</t>
    <phoneticPr fontId="29" type="noConversion"/>
  </si>
  <si>
    <t>108/09</t>
    <phoneticPr fontId="5" type="noConversion"/>
  </si>
  <si>
    <t>108/10</t>
    <phoneticPr fontId="5" type="noConversion"/>
  </si>
  <si>
    <t>108/11</t>
    <phoneticPr fontId="5" type="noConversion"/>
  </si>
  <si>
    <t>楊博欽</t>
    <phoneticPr fontId="29" type="noConversion"/>
  </si>
  <si>
    <t>108/12</t>
    <phoneticPr fontId="5" type="noConversion"/>
  </si>
  <si>
    <t>108年終</t>
    <phoneticPr fontId="5" type="noConversion"/>
  </si>
  <si>
    <t>108年終</t>
    <phoneticPr fontId="5" type="noConversion"/>
  </si>
  <si>
    <t>楊博欽</t>
    <phoneticPr fontId="29" type="noConversion"/>
  </si>
  <si>
    <t>108年實付薪資(小計)</t>
    <phoneticPr fontId="5" type="noConversion"/>
  </si>
  <si>
    <t>108全年</t>
    <phoneticPr fontId="5" type="noConversion"/>
  </si>
  <si>
    <t>108全年</t>
    <phoneticPr fontId="5" type="noConversion"/>
  </si>
  <si>
    <t>108年其他應申報(應加項目)</t>
    <phoneticPr fontId="5" type="noConversion"/>
  </si>
  <si>
    <t>108/01~108/12</t>
    <phoneticPr fontId="5" type="noConversion"/>
  </si>
  <si>
    <t>107年保留未申報(應加項目)</t>
    <phoneticPr fontId="3" type="noConversion"/>
  </si>
  <si>
    <t>107/12</t>
    <phoneticPr fontId="5" type="noConversion"/>
  </si>
  <si>
    <t>107/12</t>
    <phoneticPr fontId="5" type="noConversion"/>
  </si>
  <si>
    <t>楊博欽</t>
    <phoneticPr fontId="29" type="noConversion"/>
  </si>
  <si>
    <t>107/12</t>
    <phoneticPr fontId="5" type="noConversion"/>
  </si>
  <si>
    <t>107年應付</t>
    <phoneticPr fontId="3" type="noConversion"/>
  </si>
  <si>
    <t>保留低報</t>
    <phoneticPr fontId="3" type="noConversion"/>
  </si>
  <si>
    <t>108年保留不申報(應減項目)</t>
    <phoneticPr fontId="5" type="noConversion"/>
  </si>
  <si>
    <t>108/12</t>
    <phoneticPr fontId="5" type="noConversion"/>
  </si>
  <si>
    <t>108/12</t>
    <phoneticPr fontId="5" type="noConversion"/>
  </si>
  <si>
    <t>108年應付</t>
    <phoneticPr fontId="3" type="noConversion"/>
  </si>
  <si>
    <t>108年其他不申報(應減項目)</t>
    <phoneticPr fontId="5" type="noConversion"/>
  </si>
  <si>
    <t>108低報</t>
    <phoneticPr fontId="5" type="noConversion"/>
  </si>
  <si>
    <t>108年應申報金額(合計)</t>
    <phoneticPr fontId="5" type="noConversion"/>
  </si>
  <si>
    <t>楊博欽</t>
    <phoneticPr fontId="29" type="noConversion"/>
  </si>
  <si>
    <t>財政部臺北國稅局表示，財政部已於107年12月17日公告108年度綜合所得稅免稅額，與107年度相同，每人全年88,000元；納稅義務人及其配偶年滿70歲者，暨納稅義務人及其配偶之直系尊親屬年滿70歲者，每人每年132,000元。</t>
  </si>
  <si>
    <t>　　該局說明，財政部同時公告108年度綜合所得稅標準扣除額、薪資所得特別扣除額及身心障礙特別扣除額及課稅級距（與107年度相同）如下：</t>
  </si>
  <si>
    <t>一、標準扣除額：單身者扣除120,000元；有配偶者扣除240,000元。</t>
  </si>
  <si>
    <t>二、薪資所得特別扣除額：每人每年扣除數額為以200,000元為限。</t>
  </si>
  <si>
    <r>
      <t>108</t>
    </r>
    <r>
      <rPr>
        <sz val="12"/>
        <rFont val="新細明體"/>
        <family val="1"/>
        <charset val="136"/>
      </rPr>
      <t>年</t>
    </r>
    <phoneticPr fontId="3" type="noConversion"/>
  </si>
  <si>
    <t>https://www.ntbt.gov.tw/singlehtml/41ae3594197f4f69b47753ce08188516?cntId=a59a31256be34dd69af2803ef58c61b4</t>
    <phoneticPr fontId="3" type="noConversion"/>
  </si>
  <si>
    <t>免稅額</t>
    <phoneticPr fontId="3" type="noConversion"/>
  </si>
  <si>
    <t>一、免稅額：每人88,000元；年滿70歲之納稅義務人本人、配偶及受納稅義務人扶養之直系尊親屬其免稅額為132000元。</t>
    <phoneticPr fontId="3" type="noConversion"/>
  </si>
  <si>
    <t>標準扣除額</t>
    <phoneticPr fontId="3" type="noConversion"/>
  </si>
  <si>
    <t>二、標準扣除額：納稅義務人個人扣除120,000元；有配偶者扣除240,000元。</t>
    <phoneticPr fontId="5" type="noConversion"/>
  </si>
  <si>
    <t>薪資所得特別扣除額</t>
    <phoneticPr fontId="3" type="noConversion"/>
  </si>
  <si>
    <t>三、薪資所得特別扣除額：每人每年扣除數額以200,000元為限</t>
    <phoneticPr fontId="3" type="noConversion"/>
  </si>
  <si>
    <t>https://www.etax.nat.gov.tw/etwmain/front/ETW118W/CON/526/8834575894388476791?tagCode=</t>
    <phoneticPr fontId="3" type="noConversion"/>
  </si>
  <si>
    <t>7</t>
    <phoneticPr fontId="3" type="noConversion"/>
  </si>
  <si>
    <r>
      <t>2</t>
    </r>
    <r>
      <rPr>
        <sz val="12"/>
        <rFont val="新細明體"/>
        <family val="1"/>
        <charset val="136"/>
      </rPr>
      <t>019.01.10</t>
    </r>
    <phoneticPr fontId="3" type="noConversion"/>
  </si>
  <si>
    <t>6</t>
    <phoneticPr fontId="3" type="noConversion"/>
  </si>
  <si>
    <r>
      <t>2</t>
    </r>
    <r>
      <rPr>
        <sz val="12"/>
        <rFont val="新細明體"/>
        <family val="1"/>
        <charset val="136"/>
      </rPr>
      <t>019.01.15</t>
    </r>
    <phoneticPr fontId="3" type="noConversion"/>
  </si>
  <si>
    <t>5</t>
    <phoneticPr fontId="3" type="noConversion"/>
  </si>
  <si>
    <t>2019.01.09</t>
    <phoneticPr fontId="3" type="noConversion"/>
  </si>
  <si>
    <t>2019.01.09</t>
    <phoneticPr fontId="3" type="noConversion"/>
  </si>
  <si>
    <t>2019.01.09</t>
    <phoneticPr fontId="3" type="noConversion"/>
  </si>
  <si>
    <t>2019.01.09</t>
    <phoneticPr fontId="3" type="noConversion"/>
  </si>
  <si>
    <t>2019.03.12</t>
    <phoneticPr fontId="3" type="noConversion"/>
  </si>
  <si>
    <t>2019.03.12</t>
    <phoneticPr fontId="3" type="noConversion"/>
  </si>
  <si>
    <t>2019.06.25</t>
    <phoneticPr fontId="3" type="noConversion"/>
  </si>
  <si>
    <t>2019.06.25</t>
    <phoneticPr fontId="3" type="noConversion"/>
  </si>
  <si>
    <t>7-8</t>
    <phoneticPr fontId="3" type="noConversion"/>
  </si>
  <si>
    <t>2019.12.13</t>
    <phoneticPr fontId="3" type="noConversion"/>
  </si>
  <si>
    <t>2019.12.13</t>
    <phoneticPr fontId="3" type="noConversion"/>
  </si>
  <si>
    <r>
      <t>2</t>
    </r>
    <r>
      <rPr>
        <sz val="12"/>
        <rFont val="新細明體"/>
        <family val="1"/>
        <charset val="136"/>
      </rPr>
      <t>019.01.09</t>
    </r>
    <phoneticPr fontId="3" type="noConversion"/>
  </si>
  <si>
    <r>
      <t>1</t>
    </r>
    <r>
      <rPr>
        <sz val="12"/>
        <rFont val="新細明體"/>
        <family val="1"/>
        <charset val="136"/>
      </rPr>
      <t>-8</t>
    </r>
    <phoneticPr fontId="3" type="noConversion"/>
  </si>
  <si>
    <r>
      <t>1</t>
    </r>
    <r>
      <rPr>
        <sz val="12"/>
        <rFont val="新細明體"/>
        <family val="1"/>
        <charset val="136"/>
      </rPr>
      <t>466-1473</t>
    </r>
    <phoneticPr fontId="3" type="noConversion"/>
  </si>
  <si>
    <t>1-8</t>
    <phoneticPr fontId="3" type="noConversion"/>
  </si>
  <si>
    <t>1474-1481</t>
    <phoneticPr fontId="3" type="noConversion"/>
  </si>
  <si>
    <t>1-4</t>
    <phoneticPr fontId="3" type="noConversion"/>
  </si>
  <si>
    <t>2019.03.15</t>
    <phoneticPr fontId="3" type="noConversion"/>
  </si>
  <si>
    <t>2</t>
    <phoneticPr fontId="3" type="noConversion"/>
  </si>
  <si>
    <t>8</t>
    <phoneticPr fontId="3" type="noConversion"/>
  </si>
  <si>
    <t>8</t>
    <phoneticPr fontId="3" type="noConversion"/>
  </si>
  <si>
    <t>2019.04.10</t>
    <phoneticPr fontId="3" type="noConversion"/>
  </si>
  <si>
    <t>2019.03.15</t>
    <phoneticPr fontId="3" type="noConversion"/>
  </si>
  <si>
    <t>1</t>
    <phoneticPr fontId="3" type="noConversion"/>
  </si>
  <si>
    <t>3</t>
    <phoneticPr fontId="3" type="noConversion"/>
  </si>
  <si>
    <t>4</t>
    <phoneticPr fontId="3" type="noConversion"/>
  </si>
  <si>
    <t>2019.06.24</t>
    <phoneticPr fontId="3" type="noConversion"/>
  </si>
  <si>
    <t>1-8</t>
    <phoneticPr fontId="3" type="noConversion"/>
  </si>
  <si>
    <t>1488-1495</t>
    <phoneticPr fontId="3" type="noConversion"/>
  </si>
  <si>
    <t>2019.03.25</t>
    <phoneticPr fontId="3" type="noConversion"/>
  </si>
  <si>
    <t>7</t>
    <phoneticPr fontId="3" type="noConversion"/>
  </si>
  <si>
    <t>2019.05.15</t>
    <phoneticPr fontId="3" type="noConversion"/>
  </si>
  <si>
    <t>3</t>
    <phoneticPr fontId="3" type="noConversion"/>
  </si>
  <si>
    <t>3</t>
    <phoneticPr fontId="3" type="noConversion"/>
  </si>
  <si>
    <t>9</t>
    <phoneticPr fontId="3" type="noConversion"/>
  </si>
  <si>
    <t>2019.07.15</t>
    <phoneticPr fontId="3" type="noConversion"/>
  </si>
  <si>
    <t>1-8</t>
    <phoneticPr fontId="3" type="noConversion"/>
  </si>
  <si>
    <t>1504-1511</t>
    <phoneticPr fontId="3" type="noConversion"/>
  </si>
  <si>
    <t>2019.04.10,2019.05.15,2019.06.10,2019.07.10,2019.08.10,2019.09.10,2019.10.04,2019.11.11,2019.12.26</t>
    <phoneticPr fontId="3" type="noConversion"/>
  </si>
  <si>
    <t>1-9</t>
    <phoneticPr fontId="3" type="noConversion"/>
  </si>
  <si>
    <t>月付發票開一年</t>
    <phoneticPr fontId="3" type="noConversion"/>
  </si>
  <si>
    <t>1496-1503</t>
    <phoneticPr fontId="3" type="noConversion"/>
  </si>
  <si>
    <t>1512-1520</t>
    <phoneticPr fontId="3" type="noConversion"/>
  </si>
  <si>
    <t>4</t>
    <phoneticPr fontId="3" type="noConversion"/>
  </si>
  <si>
    <t>2019.06.25</t>
    <phoneticPr fontId="3" type="noConversion"/>
  </si>
  <si>
    <t>8</t>
    <phoneticPr fontId="3" type="noConversion"/>
  </si>
  <si>
    <t>2019.08.15</t>
    <phoneticPr fontId="3" type="noConversion"/>
  </si>
  <si>
    <t>2</t>
    <phoneticPr fontId="3" type="noConversion"/>
  </si>
  <si>
    <t>2019.09.18</t>
    <phoneticPr fontId="3" type="noConversion"/>
  </si>
  <si>
    <t>1521-1528</t>
    <phoneticPr fontId="3" type="noConversion"/>
  </si>
  <si>
    <t>1534-1541</t>
    <phoneticPr fontId="3" type="noConversion"/>
  </si>
  <si>
    <t>4</t>
    <phoneticPr fontId="3" type="noConversion"/>
  </si>
  <si>
    <t>10</t>
    <phoneticPr fontId="3" type="noConversion"/>
  </si>
  <si>
    <t>2019.10.15</t>
    <phoneticPr fontId="3" type="noConversion"/>
  </si>
  <si>
    <t>2019.09.25</t>
    <phoneticPr fontId="3" type="noConversion"/>
  </si>
  <si>
    <t>2019.09.19</t>
    <phoneticPr fontId="3" type="noConversion"/>
  </si>
  <si>
    <t>2019.10.25</t>
    <phoneticPr fontId="3" type="noConversion"/>
  </si>
  <si>
    <t>2019.11.21</t>
    <phoneticPr fontId="3" type="noConversion"/>
  </si>
  <si>
    <t>5-8</t>
    <phoneticPr fontId="3" type="noConversion"/>
  </si>
  <si>
    <t>2019.09.24</t>
    <phoneticPr fontId="3" type="noConversion"/>
  </si>
  <si>
    <t>1-2</t>
    <phoneticPr fontId="3" type="noConversion"/>
  </si>
  <si>
    <t>半年約</t>
    <phoneticPr fontId="3" type="noConversion"/>
  </si>
  <si>
    <t>1-8</t>
    <phoneticPr fontId="3" type="noConversion"/>
  </si>
  <si>
    <t>1551-1558</t>
    <phoneticPr fontId="3" type="noConversion"/>
  </si>
  <si>
    <t>2019.12.13</t>
    <phoneticPr fontId="3" type="noConversion"/>
  </si>
  <si>
    <t>2019.11.14</t>
    <phoneticPr fontId="3" type="noConversion"/>
  </si>
  <si>
    <t>2019.11.18</t>
    <phoneticPr fontId="3" type="noConversion"/>
  </si>
  <si>
    <t>1559-1566</t>
    <phoneticPr fontId="3" type="noConversion"/>
  </si>
  <si>
    <t>5</t>
    <phoneticPr fontId="3" type="noConversion"/>
  </si>
  <si>
    <t>2</t>
    <phoneticPr fontId="3" type="noConversion"/>
  </si>
  <si>
    <t>5</t>
    <phoneticPr fontId="3" type="noConversion"/>
  </si>
  <si>
    <t>6</t>
    <phoneticPr fontId="3" type="noConversion"/>
  </si>
  <si>
    <t>11</t>
    <phoneticPr fontId="3" type="noConversion"/>
  </si>
  <si>
    <t>電費-201901</t>
    <phoneticPr fontId="3" type="noConversion"/>
  </si>
  <si>
    <t>電費-201903</t>
    <phoneticPr fontId="3" type="noConversion"/>
  </si>
  <si>
    <t>電費-201905</t>
    <phoneticPr fontId="3" type="noConversion"/>
  </si>
  <si>
    <t>電費-201907</t>
    <phoneticPr fontId="3" type="noConversion"/>
  </si>
  <si>
    <t>電費-201909</t>
    <phoneticPr fontId="3" type="noConversion"/>
  </si>
  <si>
    <t>電費-201911</t>
    <phoneticPr fontId="3" type="noConversion"/>
  </si>
  <si>
    <t>水費-201901</t>
    <phoneticPr fontId="3" type="noConversion"/>
  </si>
  <si>
    <t>水費-201903</t>
    <phoneticPr fontId="3" type="noConversion"/>
  </si>
  <si>
    <t>水費-201905</t>
    <phoneticPr fontId="3" type="noConversion"/>
  </si>
  <si>
    <t>水費-201907</t>
    <phoneticPr fontId="3" type="noConversion"/>
  </si>
  <si>
    <t>水費-201909</t>
    <phoneticPr fontId="3" type="noConversion"/>
  </si>
  <si>
    <t>水費-201911</t>
    <phoneticPr fontId="3" type="noConversion"/>
  </si>
  <si>
    <t>2351-8799-201901</t>
    <phoneticPr fontId="3" type="noConversion"/>
  </si>
  <si>
    <t>2351-8799-201902</t>
    <phoneticPr fontId="3" type="noConversion"/>
  </si>
  <si>
    <t>2351-8799-201903</t>
    <phoneticPr fontId="3" type="noConversion"/>
  </si>
  <si>
    <t>2351-8799-201904</t>
    <phoneticPr fontId="3" type="noConversion"/>
  </si>
  <si>
    <t>2351-8799-201905</t>
    <phoneticPr fontId="3" type="noConversion"/>
  </si>
  <si>
    <t>2351-8799-201906</t>
    <phoneticPr fontId="3" type="noConversion"/>
  </si>
  <si>
    <t>2351-8799-201907</t>
    <phoneticPr fontId="3" type="noConversion"/>
  </si>
  <si>
    <t>2351-8799-201908</t>
    <phoneticPr fontId="3" type="noConversion"/>
  </si>
  <si>
    <t>2351-8799-201909</t>
    <phoneticPr fontId="3" type="noConversion"/>
  </si>
  <si>
    <t>2351-8799-201910</t>
    <phoneticPr fontId="3" type="noConversion"/>
  </si>
  <si>
    <t>2351-8799-201911</t>
    <phoneticPr fontId="3" type="noConversion"/>
  </si>
  <si>
    <t>2351-8799-201912</t>
    <phoneticPr fontId="3" type="noConversion"/>
  </si>
  <si>
    <t>2351-8805-201901</t>
    <phoneticPr fontId="3" type="noConversion"/>
  </si>
  <si>
    <t>2351-8805-201902</t>
    <phoneticPr fontId="3" type="noConversion"/>
  </si>
  <si>
    <t>2351-8805-201903</t>
    <phoneticPr fontId="3" type="noConversion"/>
  </si>
  <si>
    <t>2351-8805-201904</t>
    <phoneticPr fontId="3" type="noConversion"/>
  </si>
  <si>
    <t>2351-8805-201905</t>
    <phoneticPr fontId="3" type="noConversion"/>
  </si>
  <si>
    <t>2351-8805-201906</t>
    <phoneticPr fontId="3" type="noConversion"/>
  </si>
  <si>
    <t>2351-8805-201907</t>
    <phoneticPr fontId="3" type="noConversion"/>
  </si>
  <si>
    <t>2351-8805-201908</t>
    <phoneticPr fontId="3" type="noConversion"/>
  </si>
  <si>
    <t>2351-8805-201909</t>
    <phoneticPr fontId="3" type="noConversion"/>
  </si>
  <si>
    <t>2351-8805-201910</t>
    <phoneticPr fontId="3" type="noConversion"/>
  </si>
  <si>
    <t>2351-8805-201911</t>
    <phoneticPr fontId="3" type="noConversion"/>
  </si>
  <si>
    <t>2351-8805-201912</t>
    <phoneticPr fontId="3" type="noConversion"/>
  </si>
  <si>
    <t>2351-8546-201901</t>
    <phoneticPr fontId="3" type="noConversion"/>
  </si>
  <si>
    <t>2351-8546-201902</t>
    <phoneticPr fontId="3" type="noConversion"/>
  </si>
  <si>
    <t>2351-8546-201903</t>
    <phoneticPr fontId="3" type="noConversion"/>
  </si>
  <si>
    <t>2351-8546-201904</t>
    <phoneticPr fontId="3" type="noConversion"/>
  </si>
  <si>
    <t>2351-8546-201905</t>
    <phoneticPr fontId="3" type="noConversion"/>
  </si>
  <si>
    <t>2351-8546-201906</t>
    <phoneticPr fontId="3" type="noConversion"/>
  </si>
  <si>
    <t>2351-8546-201907</t>
    <phoneticPr fontId="3" type="noConversion"/>
  </si>
  <si>
    <t>2351-8546-201908</t>
    <phoneticPr fontId="3" type="noConversion"/>
  </si>
  <si>
    <t>2351-8546-201909</t>
    <phoneticPr fontId="3" type="noConversion"/>
  </si>
  <si>
    <t>2351-8546-201910</t>
    <phoneticPr fontId="3" type="noConversion"/>
  </si>
  <si>
    <t>2351-8546-201911</t>
    <phoneticPr fontId="3" type="noConversion"/>
  </si>
  <si>
    <t>2351-8546-201912</t>
    <phoneticPr fontId="3" type="noConversion"/>
  </si>
  <si>
    <t>[2019]</t>
    <phoneticPr fontId="3" type="noConversion"/>
  </si>
  <si>
    <t>2019進項</t>
    <phoneticPr fontId="3" type="noConversion"/>
  </si>
  <si>
    <t>108.01 卡費</t>
    <phoneticPr fontId="3" type="noConversion"/>
  </si>
  <si>
    <t>108.02 卡費</t>
    <phoneticPr fontId="3" type="noConversion"/>
  </si>
  <si>
    <t>108.03 卡費</t>
    <phoneticPr fontId="3" type="noConversion"/>
  </si>
  <si>
    <t>108.04 卡費</t>
    <phoneticPr fontId="3" type="noConversion"/>
  </si>
  <si>
    <t>108.05 卡費</t>
    <phoneticPr fontId="3" type="noConversion"/>
  </si>
  <si>
    <t>108.06 卡費</t>
    <phoneticPr fontId="3" type="noConversion"/>
  </si>
  <si>
    <t>108.07 卡費</t>
    <phoneticPr fontId="3" type="noConversion"/>
  </si>
  <si>
    <t>108.08 卡費</t>
    <phoneticPr fontId="3" type="noConversion"/>
  </si>
  <si>
    <t>108.09 卡費</t>
    <phoneticPr fontId="3" type="noConversion"/>
  </si>
  <si>
    <t>108.10 卡費</t>
    <phoneticPr fontId="3" type="noConversion"/>
  </si>
  <si>
    <t>108.11 卡費</t>
    <phoneticPr fontId="3" type="noConversion"/>
  </si>
  <si>
    <t>108.12 卡費</t>
    <phoneticPr fontId="3" type="noConversion"/>
  </si>
  <si>
    <t>108.08.15</t>
    <phoneticPr fontId="3" type="noConversion"/>
  </si>
  <si>
    <t>108.08.16</t>
    <phoneticPr fontId="3" type="noConversion"/>
  </si>
  <si>
    <t>108.08.20</t>
    <phoneticPr fontId="3" type="noConversion"/>
  </si>
  <si>
    <t>108.08.26</t>
    <phoneticPr fontId="3" type="noConversion"/>
  </si>
  <si>
    <t>108.08.28</t>
    <phoneticPr fontId="3" type="noConversion"/>
  </si>
  <si>
    <t>108.09.02</t>
    <phoneticPr fontId="3" type="noConversion"/>
  </si>
  <si>
    <t>108.09.05</t>
    <phoneticPr fontId="3" type="noConversion"/>
  </si>
  <si>
    <t>108.09.05</t>
    <phoneticPr fontId="3" type="noConversion"/>
  </si>
  <si>
    <t>票兌---5867435</t>
    <phoneticPr fontId="3" type="noConversion"/>
  </si>
  <si>
    <t>票兌---1425132</t>
    <phoneticPr fontId="3" type="noConversion"/>
  </si>
  <si>
    <t>票兌---1425140</t>
    <phoneticPr fontId="3" type="noConversion"/>
  </si>
  <si>
    <t>票兌---1891485</t>
    <phoneticPr fontId="3" type="noConversion"/>
  </si>
  <si>
    <t>票兌---0549275</t>
    <phoneticPr fontId="3" type="noConversion"/>
  </si>
  <si>
    <t>票兌---7804221</t>
    <phoneticPr fontId="3" type="noConversion"/>
  </si>
  <si>
    <t>票兌---4912893</t>
    <phoneticPr fontId="3" type="noConversion"/>
  </si>
  <si>
    <t>票兌---1880962</t>
    <phoneticPr fontId="3" type="noConversion"/>
  </si>
  <si>
    <t>票兌---9134556</t>
    <phoneticPr fontId="3" type="noConversion"/>
  </si>
  <si>
    <t>票兌---7070006</t>
    <phoneticPr fontId="3" type="noConversion"/>
  </si>
  <si>
    <t>票兌---1561298</t>
    <phoneticPr fontId="3" type="noConversion"/>
  </si>
  <si>
    <t>鎔德---4</t>
    <phoneticPr fontId="3" type="noConversion"/>
  </si>
  <si>
    <t>依德---4</t>
    <phoneticPr fontId="3" type="noConversion"/>
  </si>
  <si>
    <t>鉑德---1</t>
    <phoneticPr fontId="3" type="noConversion"/>
  </si>
  <si>
    <t>達翌---2</t>
    <phoneticPr fontId="3" type="noConversion"/>
  </si>
  <si>
    <t>松群---8</t>
    <phoneticPr fontId="3" type="noConversion"/>
  </si>
  <si>
    <t>合碩---2</t>
    <phoneticPr fontId="3" type="noConversion"/>
  </si>
  <si>
    <t>品固CN---5</t>
    <phoneticPr fontId="3" type="noConversion"/>
  </si>
  <si>
    <t>品固---5</t>
    <phoneticPr fontId="3" type="noConversion"/>
  </si>
  <si>
    <t>108.08.21</t>
    <phoneticPr fontId="3" type="noConversion"/>
  </si>
  <si>
    <t>管理費08</t>
    <phoneticPr fontId="3" type="noConversion"/>
  </si>
  <si>
    <t>玉山</t>
    <phoneticPr fontId="3" type="noConversion"/>
  </si>
  <si>
    <t>108.08.27</t>
    <phoneticPr fontId="3" type="noConversion"/>
  </si>
  <si>
    <t>108.08.27</t>
    <phoneticPr fontId="3" type="noConversion"/>
  </si>
  <si>
    <t>108.09.02</t>
    <phoneticPr fontId="3" type="noConversion"/>
  </si>
  <si>
    <t>108.09.03</t>
    <phoneticPr fontId="3" type="noConversion"/>
  </si>
  <si>
    <t>108.09.03</t>
    <phoneticPr fontId="3" type="noConversion"/>
  </si>
  <si>
    <t>108.09.04</t>
    <phoneticPr fontId="3" type="noConversion"/>
  </si>
  <si>
    <t>108.09.05</t>
    <phoneticPr fontId="3" type="noConversion"/>
  </si>
  <si>
    <t>108.09.05</t>
    <phoneticPr fontId="3" type="noConversion"/>
  </si>
  <si>
    <t>108.09.06</t>
    <phoneticPr fontId="3" type="noConversion"/>
  </si>
  <si>
    <t>卡費---108.08</t>
    <phoneticPr fontId="3" type="noConversion"/>
  </si>
  <si>
    <t>玉山</t>
    <phoneticPr fontId="3" type="noConversion"/>
  </si>
  <si>
    <t>108.09.10</t>
    <phoneticPr fontId="3" type="noConversion"/>
  </si>
  <si>
    <t>威視---6</t>
    <phoneticPr fontId="3" type="noConversion"/>
  </si>
  <si>
    <t>108.09.12</t>
    <phoneticPr fontId="3" type="noConversion"/>
  </si>
  <si>
    <t>108.09.16</t>
    <phoneticPr fontId="3" type="noConversion"/>
  </si>
  <si>
    <t>108.09.20</t>
    <phoneticPr fontId="3" type="noConversion"/>
  </si>
  <si>
    <t>108.09.20</t>
    <phoneticPr fontId="3" type="noConversion"/>
  </si>
  <si>
    <t>108.09.25</t>
    <phoneticPr fontId="3" type="noConversion"/>
  </si>
  <si>
    <t>108.10.01</t>
    <phoneticPr fontId="3" type="noConversion"/>
  </si>
  <si>
    <t>票兌---6625524</t>
    <phoneticPr fontId="3" type="noConversion"/>
  </si>
  <si>
    <t>票兌---1556865</t>
    <phoneticPr fontId="3" type="noConversion"/>
  </si>
  <si>
    <t>票兌---1561240</t>
    <phoneticPr fontId="3" type="noConversion"/>
  </si>
  <si>
    <t>票兌---1055068</t>
    <phoneticPr fontId="3" type="noConversion"/>
  </si>
  <si>
    <t>票兌---5480315</t>
    <phoneticPr fontId="3" type="noConversion"/>
  </si>
  <si>
    <t>祥和---7</t>
    <phoneticPr fontId="3" type="noConversion"/>
  </si>
  <si>
    <t>威倫---6</t>
    <phoneticPr fontId="3" type="noConversion"/>
  </si>
  <si>
    <t>品固---7</t>
    <phoneticPr fontId="3" type="noConversion"/>
  </si>
  <si>
    <t>喜可---5</t>
    <phoneticPr fontId="3" type="noConversion"/>
  </si>
  <si>
    <t>108.09.17</t>
    <phoneticPr fontId="3" type="noConversion"/>
  </si>
  <si>
    <t>108.09.18</t>
    <phoneticPr fontId="3" type="noConversion"/>
  </si>
  <si>
    <t>108.09.19</t>
    <phoneticPr fontId="3" type="noConversion"/>
  </si>
  <si>
    <t>鎔德-CLUB-首</t>
    <phoneticPr fontId="3" type="noConversion"/>
  </si>
  <si>
    <t>108.09.23</t>
    <phoneticPr fontId="3" type="noConversion"/>
  </si>
  <si>
    <t>管理費09</t>
    <phoneticPr fontId="3" type="noConversion"/>
  </si>
  <si>
    <t>108.09.24</t>
    <phoneticPr fontId="3" type="noConversion"/>
  </si>
  <si>
    <t>泰聯---5-8</t>
    <phoneticPr fontId="3" type="noConversion"/>
  </si>
  <si>
    <t>108.09.24</t>
    <phoneticPr fontId="3" type="noConversion"/>
  </si>
  <si>
    <t>108.09.25</t>
    <phoneticPr fontId="3" type="noConversion"/>
  </si>
  <si>
    <t>依德-CLUB-首</t>
    <phoneticPr fontId="3" type="noConversion"/>
  </si>
  <si>
    <t>108.09.26</t>
    <phoneticPr fontId="3" type="noConversion"/>
  </si>
  <si>
    <t>108.09.26</t>
    <phoneticPr fontId="3" type="noConversion"/>
  </si>
  <si>
    <t>108.09.26</t>
    <phoneticPr fontId="3" type="noConversion"/>
  </si>
  <si>
    <t>108.10.02</t>
    <phoneticPr fontId="3" type="noConversion"/>
  </si>
  <si>
    <t>108.10.04</t>
    <phoneticPr fontId="3" type="noConversion"/>
  </si>
  <si>
    <t>108.10.14</t>
    <phoneticPr fontId="3" type="noConversion"/>
  </si>
  <si>
    <t>108.10.15</t>
    <phoneticPr fontId="3" type="noConversion"/>
  </si>
  <si>
    <t>108.10.15</t>
    <phoneticPr fontId="3" type="noConversion"/>
  </si>
  <si>
    <t>票兌---8348927</t>
    <phoneticPr fontId="3" type="noConversion"/>
  </si>
  <si>
    <t>票兌---6516758</t>
    <phoneticPr fontId="3" type="noConversion"/>
  </si>
  <si>
    <t>票兌---1008786</t>
    <phoneticPr fontId="3" type="noConversion"/>
  </si>
  <si>
    <t>票兌---2620004</t>
    <phoneticPr fontId="3" type="noConversion"/>
  </si>
  <si>
    <t>票兌---1008787</t>
    <phoneticPr fontId="3" type="noConversion"/>
  </si>
  <si>
    <t>票兌---0272294</t>
    <phoneticPr fontId="3" type="noConversion"/>
  </si>
  <si>
    <t>票兌---3871758</t>
    <phoneticPr fontId="3" type="noConversion"/>
  </si>
  <si>
    <t>票兌---4999724</t>
    <phoneticPr fontId="3" type="noConversion"/>
  </si>
  <si>
    <t>漢聯---6</t>
    <phoneticPr fontId="3" type="noConversion"/>
  </si>
  <si>
    <t>汎輝---1</t>
    <phoneticPr fontId="3" type="noConversion"/>
  </si>
  <si>
    <t>西拓---5</t>
    <phoneticPr fontId="3" type="noConversion"/>
  </si>
  <si>
    <t>大桐---2</t>
    <phoneticPr fontId="3" type="noConversion"/>
  </si>
  <si>
    <t>大桐---車源軟維</t>
    <phoneticPr fontId="3" type="noConversion"/>
  </si>
  <si>
    <t>邁拓---4</t>
    <phoneticPr fontId="3" type="noConversion"/>
  </si>
  <si>
    <t>108.10.01</t>
    <phoneticPr fontId="3" type="noConversion"/>
  </si>
  <si>
    <t>108.10.01</t>
    <phoneticPr fontId="3" type="noConversion"/>
  </si>
  <si>
    <t>108.10.04</t>
    <phoneticPr fontId="3" type="noConversion"/>
  </si>
  <si>
    <t>108.10.05</t>
    <phoneticPr fontId="3" type="noConversion"/>
  </si>
  <si>
    <t>108.10.05</t>
    <phoneticPr fontId="3" type="noConversion"/>
  </si>
  <si>
    <t>108.10.05</t>
    <phoneticPr fontId="3" type="noConversion"/>
  </si>
  <si>
    <t>卡費---108.09</t>
    <phoneticPr fontId="3" type="noConversion"/>
  </si>
  <si>
    <t>108.10.07</t>
    <phoneticPr fontId="3" type="noConversion"/>
  </si>
  <si>
    <t>中信</t>
    <phoneticPr fontId="3" type="noConversion"/>
  </si>
  <si>
    <t>玉山</t>
    <phoneticPr fontId="3" type="noConversion"/>
  </si>
  <si>
    <t>108.10.15</t>
    <phoneticPr fontId="3" type="noConversion"/>
  </si>
  <si>
    <t>友士---10</t>
    <phoneticPr fontId="3" type="noConversion"/>
  </si>
  <si>
    <t>108.10.16</t>
    <phoneticPr fontId="3" type="noConversion"/>
  </si>
  <si>
    <t>108.10.25</t>
    <phoneticPr fontId="3" type="noConversion"/>
  </si>
  <si>
    <t>108.10.25</t>
    <phoneticPr fontId="3" type="noConversion"/>
  </si>
  <si>
    <t>108.10.28</t>
    <phoneticPr fontId="3" type="noConversion"/>
  </si>
  <si>
    <t>108.10.28</t>
    <phoneticPr fontId="3" type="noConversion"/>
  </si>
  <si>
    <t>108.10.28</t>
    <phoneticPr fontId="3" type="noConversion"/>
  </si>
  <si>
    <t>管理費10</t>
    <phoneticPr fontId="3" type="noConversion"/>
  </si>
  <si>
    <t>108.10.30</t>
    <phoneticPr fontId="3" type="noConversion"/>
  </si>
  <si>
    <t>108.11.01</t>
    <phoneticPr fontId="3" type="noConversion"/>
  </si>
  <si>
    <t>108.11.06</t>
    <phoneticPr fontId="3" type="noConversion"/>
  </si>
  <si>
    <t>108.11.15</t>
    <phoneticPr fontId="3" type="noConversion"/>
  </si>
  <si>
    <t>108.11.15</t>
    <phoneticPr fontId="3" type="noConversion"/>
  </si>
  <si>
    <t>票兌---7541110</t>
    <phoneticPr fontId="3" type="noConversion"/>
  </si>
  <si>
    <t>票兌---3732019</t>
    <phoneticPr fontId="3" type="noConversion"/>
  </si>
  <si>
    <t>票兌---0246512</t>
    <phoneticPr fontId="3" type="noConversion"/>
  </si>
  <si>
    <t>票兌---0704957</t>
    <phoneticPr fontId="3" type="noConversion"/>
  </si>
  <si>
    <t>票兌---1891486</t>
    <phoneticPr fontId="3" type="noConversion"/>
  </si>
  <si>
    <t>票兌---1008727</t>
    <phoneticPr fontId="3" type="noConversion"/>
  </si>
  <si>
    <t>旺旺達---2</t>
    <phoneticPr fontId="3" type="noConversion"/>
  </si>
  <si>
    <t>佳尼特---8</t>
    <phoneticPr fontId="3" type="noConversion"/>
  </si>
  <si>
    <t>展鑫---8</t>
    <phoneticPr fontId="3" type="noConversion"/>
  </si>
  <si>
    <t>108.11.01</t>
    <phoneticPr fontId="3" type="noConversion"/>
  </si>
  <si>
    <t>108.11.01</t>
    <phoneticPr fontId="3" type="noConversion"/>
  </si>
  <si>
    <t>108.11.01</t>
    <phoneticPr fontId="3" type="noConversion"/>
  </si>
  <si>
    <t>108.11.05</t>
    <phoneticPr fontId="3" type="noConversion"/>
  </si>
  <si>
    <t>108.11.05</t>
    <phoneticPr fontId="3" type="noConversion"/>
  </si>
  <si>
    <t>108.11.11</t>
    <phoneticPr fontId="3" type="noConversion"/>
  </si>
  <si>
    <t>108.11.11</t>
    <phoneticPr fontId="3" type="noConversion"/>
  </si>
  <si>
    <t>108.11.12</t>
    <phoneticPr fontId="3" type="noConversion"/>
  </si>
  <si>
    <t>401----108.09/108.10</t>
    <phoneticPr fontId="3" type="noConversion"/>
  </si>
  <si>
    <t>108.11.12</t>
    <phoneticPr fontId="3" type="noConversion"/>
  </si>
  <si>
    <t>108.11.13</t>
    <phoneticPr fontId="3" type="noConversion"/>
  </si>
  <si>
    <t>108.11.14</t>
    <phoneticPr fontId="3" type="noConversion"/>
  </si>
  <si>
    <t>鉑德---車源軟維</t>
    <phoneticPr fontId="3" type="noConversion"/>
  </si>
  <si>
    <t>108.11.15</t>
    <phoneticPr fontId="3" type="noConversion"/>
  </si>
  <si>
    <t>卡費---108.10</t>
    <phoneticPr fontId="3" type="noConversion"/>
  </si>
  <si>
    <t>108.11.15</t>
    <phoneticPr fontId="3" type="noConversion"/>
  </si>
  <si>
    <t>108.11.18</t>
    <phoneticPr fontId="3" type="noConversion"/>
  </si>
  <si>
    <t>108.11.20</t>
    <phoneticPr fontId="3" type="noConversion"/>
  </si>
  <si>
    <t>108.11.25</t>
    <phoneticPr fontId="3" type="noConversion"/>
  </si>
  <si>
    <t>108.11.25</t>
    <phoneticPr fontId="3" type="noConversion"/>
  </si>
  <si>
    <t>108.11.25</t>
    <phoneticPr fontId="3" type="noConversion"/>
  </si>
  <si>
    <t>108.12.02</t>
    <phoneticPr fontId="3" type="noConversion"/>
  </si>
  <si>
    <t>108.12.02</t>
    <phoneticPr fontId="3" type="noConversion"/>
  </si>
  <si>
    <t>108.12.05</t>
    <phoneticPr fontId="3" type="noConversion"/>
  </si>
  <si>
    <t>108.12.05</t>
    <phoneticPr fontId="3" type="noConversion"/>
  </si>
  <si>
    <t>票兌---0374413</t>
    <phoneticPr fontId="3" type="noConversion"/>
  </si>
  <si>
    <t>票兌---5867436</t>
    <phoneticPr fontId="3" type="noConversion"/>
  </si>
  <si>
    <t>票兌---0549276</t>
    <phoneticPr fontId="3" type="noConversion"/>
  </si>
  <si>
    <t>票兌---1425133</t>
    <phoneticPr fontId="3" type="noConversion"/>
  </si>
  <si>
    <t>票兌---1425141</t>
    <phoneticPr fontId="3" type="noConversion"/>
  </si>
  <si>
    <t>票兌---4912894</t>
    <phoneticPr fontId="3" type="noConversion"/>
  </si>
  <si>
    <t>票兌---7804222</t>
    <phoneticPr fontId="3" type="noConversion"/>
  </si>
  <si>
    <t>票兌---9134557</t>
    <phoneticPr fontId="3" type="noConversion"/>
  </si>
  <si>
    <t>票兌---1561299</t>
    <phoneticPr fontId="3" type="noConversion"/>
  </si>
  <si>
    <t>票兌---7070007</t>
    <phoneticPr fontId="3" type="noConversion"/>
  </si>
  <si>
    <t>元超---1-2</t>
    <phoneticPr fontId="3" type="noConversion"/>
  </si>
  <si>
    <t>鉑德---2</t>
    <phoneticPr fontId="3" type="noConversion"/>
  </si>
  <si>
    <t>鎔德---5</t>
    <phoneticPr fontId="3" type="noConversion"/>
  </si>
  <si>
    <t>裕恆---3</t>
    <phoneticPr fontId="3" type="noConversion"/>
  </si>
  <si>
    <t>合碩---3</t>
    <phoneticPr fontId="3" type="noConversion"/>
  </si>
  <si>
    <t>品固---6</t>
    <phoneticPr fontId="3" type="noConversion"/>
  </si>
  <si>
    <t>品固CN---6</t>
    <phoneticPr fontId="3" type="noConversion"/>
  </si>
  <si>
    <t>108.11.21</t>
    <phoneticPr fontId="3" type="noConversion"/>
  </si>
  <si>
    <t>同皇---3</t>
    <phoneticPr fontId="3" type="noConversion"/>
  </si>
  <si>
    <t>108.11.26</t>
    <phoneticPr fontId="3" type="noConversion"/>
  </si>
  <si>
    <t>108.11.26</t>
    <phoneticPr fontId="3" type="noConversion"/>
  </si>
  <si>
    <t>108.11.26</t>
    <phoneticPr fontId="3" type="noConversion"/>
  </si>
  <si>
    <t>108.11.27</t>
    <phoneticPr fontId="3" type="noConversion"/>
  </si>
  <si>
    <t>管理費11</t>
    <phoneticPr fontId="3" type="noConversion"/>
  </si>
  <si>
    <t>108.12.01</t>
    <phoneticPr fontId="3" type="noConversion"/>
  </si>
  <si>
    <t>108.12.03</t>
    <phoneticPr fontId="3" type="noConversion"/>
  </si>
  <si>
    <t>108.12.03</t>
    <phoneticPr fontId="3" type="noConversion"/>
  </si>
  <si>
    <t>108.12.05</t>
    <phoneticPr fontId="3" type="noConversion"/>
  </si>
  <si>
    <t>薪---証---108.11</t>
    <phoneticPr fontId="3" type="noConversion"/>
  </si>
  <si>
    <t>108.12.09</t>
    <phoneticPr fontId="3" type="noConversion"/>
  </si>
  <si>
    <t>卡費---108.11</t>
    <phoneticPr fontId="3" type="noConversion"/>
  </si>
  <si>
    <t>玉山</t>
    <phoneticPr fontId="3" type="noConversion"/>
  </si>
  <si>
    <t>108.12.12</t>
    <phoneticPr fontId="3" type="noConversion"/>
  </si>
  <si>
    <t>108.12.16</t>
    <phoneticPr fontId="3" type="noConversion"/>
  </si>
  <si>
    <t>108.12.20</t>
    <phoneticPr fontId="3" type="noConversion"/>
  </si>
  <si>
    <t>108.12.25</t>
    <phoneticPr fontId="3" type="noConversion"/>
  </si>
  <si>
    <t>108.12.30</t>
    <phoneticPr fontId="3" type="noConversion"/>
  </si>
  <si>
    <t>票兌---9688763</t>
    <phoneticPr fontId="3" type="noConversion"/>
  </si>
  <si>
    <t>票兌---6625520</t>
    <phoneticPr fontId="3" type="noConversion"/>
  </si>
  <si>
    <t>票兌---0704958</t>
    <phoneticPr fontId="3" type="noConversion"/>
  </si>
  <si>
    <t>票兌---1561241</t>
    <phoneticPr fontId="3" type="noConversion"/>
  </si>
  <si>
    <t>票兌---1556866</t>
    <phoneticPr fontId="3" type="noConversion"/>
  </si>
  <si>
    <t>票兌---8348928</t>
    <phoneticPr fontId="3" type="noConversion"/>
  </si>
  <si>
    <t>票兌---5480316</t>
    <phoneticPr fontId="3" type="noConversion"/>
  </si>
  <si>
    <t>票兌---3871759</t>
    <phoneticPr fontId="3" type="noConversion"/>
  </si>
  <si>
    <t>品固---8</t>
    <phoneticPr fontId="3" type="noConversion"/>
  </si>
  <si>
    <t>威倫---7</t>
    <phoneticPr fontId="3" type="noConversion"/>
  </si>
  <si>
    <t>大成---3</t>
    <phoneticPr fontId="3" type="noConversion"/>
  </si>
  <si>
    <t>喜可---6</t>
    <phoneticPr fontId="3" type="noConversion"/>
  </si>
  <si>
    <t>汎輝---2</t>
    <phoneticPr fontId="3" type="noConversion"/>
  </si>
  <si>
    <t>電費---108.11</t>
    <phoneticPr fontId="3" type="noConversion"/>
  </si>
  <si>
    <t>108.12.17</t>
    <phoneticPr fontId="3" type="noConversion"/>
  </si>
  <si>
    <t>108.12.17</t>
    <phoneticPr fontId="3" type="noConversion"/>
  </si>
  <si>
    <t>108.12.21</t>
    <phoneticPr fontId="3" type="noConversion"/>
  </si>
  <si>
    <t>108.12.24</t>
    <phoneticPr fontId="3" type="noConversion"/>
  </si>
  <si>
    <t>管理費12</t>
    <phoneticPr fontId="3" type="noConversion"/>
  </si>
  <si>
    <t>108.12.26</t>
    <phoneticPr fontId="3" type="noConversion"/>
  </si>
  <si>
    <t>108.12.26</t>
    <phoneticPr fontId="3" type="noConversion"/>
  </si>
  <si>
    <t>108.01.03</t>
    <phoneticPr fontId="3" type="noConversion"/>
  </si>
  <si>
    <t>永馳---6</t>
    <phoneticPr fontId="3" type="noConversion"/>
  </si>
  <si>
    <t>2019.12.25</t>
    <phoneticPr fontId="3" type="noConversion"/>
  </si>
  <si>
    <t>2019.12.25</t>
    <phoneticPr fontId="3" type="noConversion"/>
  </si>
  <si>
    <t>MN2620008</t>
    <phoneticPr fontId="3" type="noConversion"/>
  </si>
  <si>
    <t>MN2620009</t>
    <phoneticPr fontId="3" type="noConversion"/>
  </si>
  <si>
    <t>2019.04.16</t>
    <phoneticPr fontId="3" type="noConversion"/>
  </si>
  <si>
    <t>2019.10.16</t>
    <phoneticPr fontId="3" type="noConversion"/>
  </si>
  <si>
    <t>2020.01.16</t>
    <phoneticPr fontId="3" type="noConversion"/>
  </si>
  <si>
    <t>2020.04.16</t>
    <phoneticPr fontId="3" type="noConversion"/>
  </si>
  <si>
    <t>2020.07.16</t>
    <phoneticPr fontId="3" type="noConversion"/>
  </si>
  <si>
    <t>2020.10.16</t>
    <phoneticPr fontId="3" type="noConversion"/>
  </si>
  <si>
    <t>TWNIC</t>
    <phoneticPr fontId="3" type="noConversion"/>
  </si>
  <si>
    <t>未報401</t>
    <phoneticPr fontId="3" type="noConversion"/>
  </si>
  <si>
    <t>PB70744399</t>
    <phoneticPr fontId="3" type="noConversion"/>
  </si>
  <si>
    <t>QY71073585</t>
    <phoneticPr fontId="3" type="noConversion"/>
  </si>
  <si>
    <t>QS31076170</t>
    <phoneticPr fontId="3" type="noConversion"/>
  </si>
  <si>
    <t>QS31076171</t>
  </si>
  <si>
    <t>QS31076172</t>
  </si>
  <si>
    <t>QY71486488</t>
    <phoneticPr fontId="3" type="noConversion"/>
  </si>
  <si>
    <t>MOMO</t>
    <phoneticPr fontId="3" type="noConversion"/>
  </si>
  <si>
    <t>SV70894865</t>
    <phoneticPr fontId="3" type="noConversion"/>
  </si>
  <si>
    <t>SV71351848</t>
    <phoneticPr fontId="3" type="noConversion"/>
  </si>
  <si>
    <t>US72066286</t>
    <phoneticPr fontId="3" type="noConversion"/>
  </si>
  <si>
    <t>US72421249</t>
    <phoneticPr fontId="3" type="noConversion"/>
  </si>
  <si>
    <t>UE37020349</t>
    <phoneticPr fontId="3" type="noConversion"/>
  </si>
  <si>
    <t>東森</t>
    <phoneticPr fontId="3" type="noConversion"/>
  </si>
  <si>
    <t>UL27776964</t>
    <phoneticPr fontId="3" type="noConversion"/>
  </si>
  <si>
    <t>MOMO</t>
    <phoneticPr fontId="3" type="noConversion"/>
  </si>
  <si>
    <t>電腦椅</t>
    <phoneticPr fontId="3" type="noConversion"/>
  </si>
  <si>
    <t>WP71660618</t>
    <phoneticPr fontId="3" type="noConversion"/>
  </si>
  <si>
    <t>WP72458786</t>
    <phoneticPr fontId="3" type="noConversion"/>
  </si>
  <si>
    <t>MX17159674</t>
    <phoneticPr fontId="3" type="noConversion"/>
  </si>
  <si>
    <t>2019年華算進貨明細</t>
    <phoneticPr fontId="3" type="noConversion"/>
  </si>
  <si>
    <t>2019-00</t>
  </si>
  <si>
    <t>2019-01</t>
  </si>
  <si>
    <t>2019發票401總計</t>
  </si>
  <si>
    <t>2019預收轉為服務收入</t>
  </si>
  <si>
    <t>2019-02</t>
  </si>
  <si>
    <t>收支票(2019發票)</t>
  </si>
  <si>
    <t>2019收票(開發票本期)</t>
  </si>
  <si>
    <t>2019收票(開發票預收)</t>
  </si>
  <si>
    <t>2019預收未兌依/鎔/鎔保/鉑/桐</t>
  </si>
  <si>
    <t>2019收票(前期已開發票)</t>
  </si>
  <si>
    <t>2019-03</t>
  </si>
  <si>
    <t>2019匯款總計</t>
  </si>
  <si>
    <t>2019-04</t>
  </si>
  <si>
    <t>2019年12月</t>
  </si>
  <si>
    <t>2019薪資總計</t>
  </si>
  <si>
    <t>2019伙食實付</t>
  </si>
  <si>
    <t>2019伙食DV+張</t>
  </si>
  <si>
    <t>支付2019薪資總計</t>
  </si>
  <si>
    <t>2019-05</t>
  </si>
  <si>
    <t>利息2019/6</t>
  </si>
  <si>
    <t>利息2019/12</t>
  </si>
  <si>
    <t>台銀城中利息2019/6</t>
  </si>
  <si>
    <t>台銀城中利息2019/12</t>
  </si>
  <si>
    <t>2019-06</t>
  </si>
  <si>
    <t>電話費2019/1-12</t>
  </si>
  <si>
    <t>2019銀行轉帳零用金</t>
  </si>
  <si>
    <t>2019-07</t>
  </si>
  <si>
    <t>水費2019/1,3,5,7,9,11</t>
  </si>
  <si>
    <t>水費免稅2019/1-12</t>
  </si>
  <si>
    <t>水費2019</t>
  </si>
  <si>
    <t>2019-08</t>
  </si>
  <si>
    <t>2019/1-12</t>
  </si>
  <si>
    <t>2019-12</t>
  </si>
  <si>
    <t>2019-09</t>
  </si>
  <si>
    <t>2019進項稅額抵扣</t>
  </si>
  <si>
    <t>2019進貨退出稅額</t>
  </si>
  <si>
    <t>401-2019/9-2019/10</t>
  </si>
  <si>
    <t>2019-10</t>
  </si>
  <si>
    <t>2019進貨總計</t>
  </si>
  <si>
    <t>2019/12達卡費玉山</t>
  </si>
  <si>
    <t>2019-11</t>
  </si>
  <si>
    <t>2019-13</t>
  </si>
  <si>
    <t>2019預留可低報扣繳薪資</t>
  </si>
  <si>
    <t>吸收2019扣繳薪資低報ADA</t>
  </si>
  <si>
    <t>吸收2019薪資差額</t>
  </si>
  <si>
    <t>2019-14</t>
  </si>
  <si>
    <t>2019預存未開發票(p1-f71)</t>
  </si>
  <si>
    <t>2018年底餘額</t>
  </si>
  <si>
    <t>沖2018預收轉為服務收入</t>
  </si>
  <si>
    <t>申報2018/12-2019/11</t>
  </si>
  <si>
    <t>2018年12月</t>
  </si>
  <si>
    <t>健保2018/11-2019/10</t>
  </si>
  <si>
    <t>勞保2018/11-2019/10</t>
  </si>
  <si>
    <t>勞退2018/10-2019/9</t>
  </si>
  <si>
    <t>沖2018/12達卡費玉山</t>
  </si>
  <si>
    <t>2018-13</t>
  </si>
  <si>
    <t>回沖2018預留可低報扣繳薪資</t>
  </si>
  <si>
    <t>2018-12</t>
  </si>
  <si>
    <t>取用2018未開發票(p1-f77)</t>
  </si>
  <si>
    <t>補充健保費2017</t>
    <phoneticPr fontId="3" type="noConversion"/>
  </si>
  <si>
    <t>電費2019/1-12</t>
    <phoneticPr fontId="3" type="noConversion"/>
  </si>
  <si>
    <t>2019/1-3</t>
    <phoneticPr fontId="3" type="noConversion"/>
  </si>
  <si>
    <t>401-2018/11-2019/10</t>
    <phoneticPr fontId="3" type="noConversion"/>
  </si>
  <si>
    <t>原價屋-匯款</t>
    <phoneticPr fontId="3" type="noConversion"/>
  </si>
  <si>
    <t>1/4 DV-MA</t>
    <phoneticPr fontId="3" type="noConversion"/>
  </si>
  <si>
    <t>3/21 PT-借支</t>
    <phoneticPr fontId="3" type="noConversion"/>
  </si>
  <si>
    <t>4/22 DV-MA</t>
    <phoneticPr fontId="3" type="noConversion"/>
  </si>
  <si>
    <t>5/31 PT</t>
    <phoneticPr fontId="3" type="noConversion"/>
  </si>
  <si>
    <t>7/30 DV</t>
    <phoneticPr fontId="3" type="noConversion"/>
  </si>
  <si>
    <t>9/26 DV-MA</t>
    <phoneticPr fontId="3" type="noConversion"/>
  </si>
  <si>
    <t>10/1 PT</t>
    <phoneticPr fontId="3" type="noConversion"/>
  </si>
  <si>
    <t>10/25 PT</t>
    <phoneticPr fontId="3" type="noConversion"/>
  </si>
  <si>
    <t>11/1 DV</t>
    <phoneticPr fontId="3" type="noConversion"/>
  </si>
  <si>
    <t>11/12 PT</t>
    <phoneticPr fontId="3" type="noConversion"/>
  </si>
  <si>
    <t>11/13 DV</t>
    <phoneticPr fontId="3" type="noConversion"/>
  </si>
  <si>
    <t>11/20 PT</t>
    <phoneticPr fontId="3" type="noConversion"/>
  </si>
  <si>
    <t>12/17 PT</t>
    <phoneticPr fontId="3" type="noConversion"/>
  </si>
  <si>
    <t>2019科目明細</t>
    <phoneticPr fontId="3" type="noConversion"/>
  </si>
  <si>
    <t>2018收未兌票x21</t>
    <phoneticPr fontId="3" type="noConversion"/>
  </si>
  <si>
    <t>2018收跨年銀行未兌x0</t>
    <phoneticPr fontId="3" type="noConversion"/>
  </si>
  <si>
    <t>2019收跨年銀行未兌x0</t>
    <phoneticPr fontId="3" type="noConversion"/>
  </si>
  <si>
    <t>2019收未兌票x61</t>
    <phoneticPr fontId="3" type="noConversion"/>
  </si>
  <si>
    <t>依德軟體維護</t>
    <phoneticPr fontId="3" type="noConversion"/>
  </si>
  <si>
    <t>同皇</t>
    <phoneticPr fontId="3" type="noConversion"/>
  </si>
  <si>
    <t>友士</t>
    <phoneticPr fontId="3" type="noConversion"/>
  </si>
  <si>
    <t>恩豪20475x4</t>
    <phoneticPr fontId="3" type="noConversion"/>
  </si>
  <si>
    <t>鴻碩</t>
    <phoneticPr fontId="3" type="noConversion"/>
  </si>
  <si>
    <t>雙安</t>
    <phoneticPr fontId="3" type="noConversion"/>
  </si>
  <si>
    <t>股往</t>
    <phoneticPr fontId="3" type="noConversion"/>
  </si>
  <si>
    <t>2018發票</t>
    <phoneticPr fontId="3" type="noConversion"/>
  </si>
  <si>
    <t>2020股往暫轉應收票據</t>
    <phoneticPr fontId="3" type="noConversion"/>
  </si>
  <si>
    <t>回沖2019股往暫轉應收票據</t>
    <phoneticPr fontId="3" type="noConversion"/>
  </si>
  <si>
    <t>2019兌現總x121票</t>
    <phoneticPr fontId="3" type="noConversion"/>
  </si>
  <si>
    <t>收回支票(前期開發票未收票)</t>
    <phoneticPr fontId="3" type="noConversion"/>
  </si>
  <si>
    <t>2019收票(前期已開發票)</t>
    <phoneticPr fontId="3" type="noConversion"/>
  </si>
  <si>
    <t>大桐 20475x5</t>
    <phoneticPr fontId="3" type="noConversion"/>
  </si>
  <si>
    <t>鉑德 20475x3</t>
    <phoneticPr fontId="3" type="noConversion"/>
  </si>
  <si>
    <t>依德 20475x3</t>
    <phoneticPr fontId="3" type="noConversion"/>
  </si>
  <si>
    <t>鎔德 20475x3</t>
    <phoneticPr fontId="3" type="noConversion"/>
  </si>
  <si>
    <t>鎔保 16380x3</t>
    <phoneticPr fontId="3" type="noConversion"/>
  </si>
  <si>
    <t>回沖2019保留少報預收貸款</t>
    <phoneticPr fontId="3" type="noConversion"/>
  </si>
  <si>
    <t>2020預留少報預收貸款</t>
    <phoneticPr fontId="3" type="noConversion"/>
  </si>
  <si>
    <t>依德</t>
    <phoneticPr fontId="3" type="noConversion"/>
  </si>
  <si>
    <t>協億通</t>
    <phoneticPr fontId="3" type="noConversion"/>
  </si>
  <si>
    <t>大桐</t>
    <phoneticPr fontId="3" type="noConversion"/>
  </si>
  <si>
    <t>2019/12</t>
    <phoneticPr fontId="3" type="noConversion"/>
  </si>
  <si>
    <t>2019/11~12</t>
    <phoneticPr fontId="3" type="noConversion"/>
  </si>
  <si>
    <t>2019/12/31庫存帳</t>
    <phoneticPr fontId="8" type="noConversion"/>
  </si>
  <si>
    <t>2019華算主機-期初</t>
    <phoneticPr fontId="3" type="noConversion"/>
  </si>
  <si>
    <t>2019華算主機-新組裝</t>
    <phoneticPr fontId="3" type="noConversion"/>
  </si>
  <si>
    <t>2019華算主機-折舊</t>
    <phoneticPr fontId="3" type="noConversion"/>
  </si>
  <si>
    <t>2019華算主機-殘值</t>
    <phoneticPr fontId="3" type="noConversion"/>
  </si>
  <si>
    <t>f77 補開上期應收未開</t>
    <phoneticPr fontId="3" type="noConversion"/>
  </si>
  <si>
    <t>票兌---1055067</t>
    <phoneticPr fontId="3" type="noConversion"/>
  </si>
  <si>
    <t>道法---7</t>
    <phoneticPr fontId="3" type="noConversion"/>
  </si>
  <si>
    <t>2019.03.12</t>
    <phoneticPr fontId="3" type="noConversion"/>
  </si>
  <si>
    <t>2017.10.13,2017.11.10,2017.12.08,2018.01.09,2018.02.09,2018.03.09,2018.04.09,2018.05.09,2018.06.08,2018.07.09,2018.08.10,2018.09.11,2018.10.09,2018.11.12,2018.12.10,2019.01.10,2019.02.01,2019.03.12</t>
    <phoneticPr fontId="3" type="noConversion"/>
  </si>
  <si>
    <t>呆帳</t>
    <phoneticPr fontId="3" type="noConversion"/>
  </si>
  <si>
    <t>2019/5-12房租匯款手續費</t>
    <phoneticPr fontId="3" type="noConversion"/>
  </si>
  <si>
    <t>2019/1-12房租</t>
    <phoneticPr fontId="3" type="noConversion"/>
  </si>
  <si>
    <t>健保---108.10</t>
    <phoneticPr fontId="3" type="noConversion"/>
  </si>
  <si>
    <t>106年度補充保費</t>
    <phoneticPr fontId="3" type="noConversion"/>
  </si>
  <si>
    <t>健保-106年度補充保費</t>
    <phoneticPr fontId="3" type="noConversion"/>
  </si>
  <si>
    <t>2019/4-12</t>
    <phoneticPr fontId="3" type="noConversion"/>
  </si>
  <si>
    <t>2019國內域名</t>
    <phoneticPr fontId="3" type="noConversion"/>
  </si>
  <si>
    <t>2019國外域名+沒報稅</t>
    <phoneticPr fontId="3" type="noConversion"/>
  </si>
  <si>
    <t>SKYPE+沒報稅</t>
    <phoneticPr fontId="3" type="noConversion"/>
  </si>
  <si>
    <t>達卡費玉山</t>
    <phoneticPr fontId="3" type="noConversion"/>
  </si>
  <si>
    <t>108.02.14</t>
    <phoneticPr fontId="3" type="noConversion"/>
  </si>
  <si>
    <t>卡費---108.01</t>
    <phoneticPr fontId="3" type="noConversion"/>
  </si>
  <si>
    <t>卡費---108.07</t>
    <phoneticPr fontId="3" type="noConversion"/>
  </si>
  <si>
    <t>USA匯入中國信託手續費</t>
    <phoneticPr fontId="3" type="noConversion"/>
  </si>
  <si>
    <t>自然人憑証費用-勞保作業用</t>
    <phoneticPr fontId="3" type="noConversion"/>
  </si>
  <si>
    <t>US匯入手續費+自然人憑証</t>
    <phoneticPr fontId="3" type="noConversion"/>
  </si>
  <si>
    <t>水費.108-05</t>
    <phoneticPr fontId="3" type="noConversion"/>
  </si>
  <si>
    <t>卡費---107.12</t>
    <phoneticPr fontId="3" type="noConversion"/>
  </si>
  <si>
    <t>刷卡合計</t>
    <phoneticPr fontId="3" type="noConversion"/>
  </si>
  <si>
    <t>電腦椅+沒報稅</t>
    <phoneticPr fontId="3" type="noConversion"/>
  </si>
  <si>
    <t>主機折舊*300月台</t>
    <phoneticPr fontId="3" type="noConversion"/>
  </si>
  <si>
    <t>2019匯款手續費16x</t>
    <phoneticPr fontId="3" type="noConversion"/>
  </si>
  <si>
    <t>扣繳申報</t>
    <phoneticPr fontId="3" type="noConversion"/>
  </si>
  <si>
    <t>股東往來-DV</t>
    <phoneticPr fontId="3" type="noConversion"/>
  </si>
  <si>
    <t>401-2018/11-2019/10應納稅額</t>
    <phoneticPr fontId="3" type="noConversion"/>
  </si>
  <si>
    <t>2019進貨刷卡+達代刷卡</t>
    <phoneticPr fontId="3" type="noConversion"/>
  </si>
  <si>
    <t>2019進貨匯款(原價屋)</t>
    <phoneticPr fontId="3" type="noConversion"/>
  </si>
  <si>
    <t>1/25 DV藥</t>
    <phoneticPr fontId="3" type="noConversion"/>
  </si>
  <si>
    <t xml:space="preserve">    現金</t>
    <phoneticPr fontId="3" type="noConversion"/>
  </si>
  <si>
    <t>回沖2019股往暫轉現金</t>
    <phoneticPr fontId="3" type="noConversion"/>
  </si>
  <si>
    <t>達算</t>
    <phoneticPr fontId="3" type="noConversion"/>
  </si>
  <si>
    <t>109.12.31</t>
    <phoneticPr fontId="3" type="noConversion"/>
  </si>
  <si>
    <t>華算</t>
    <phoneticPr fontId="3" type="noConversion"/>
  </si>
  <si>
    <t>109.12.31</t>
    <phoneticPr fontId="3" type="noConversion"/>
  </si>
  <si>
    <t>109.01.08</t>
    <phoneticPr fontId="3" type="noConversion"/>
  </si>
  <si>
    <t>109.03.12</t>
    <phoneticPr fontId="3" type="noConversion"/>
  </si>
  <si>
    <t>匯款</t>
    <phoneticPr fontId="3" type="noConversion"/>
  </si>
  <si>
    <t>109.03.18</t>
    <phoneticPr fontId="3" type="noConversion"/>
  </si>
  <si>
    <t>109.06.10</t>
    <phoneticPr fontId="3" type="noConversion"/>
  </si>
  <si>
    <t>施舒雅---3</t>
    <phoneticPr fontId="3" type="noConversion"/>
  </si>
  <si>
    <t>109.06.15</t>
    <phoneticPr fontId="3" type="noConversion"/>
  </si>
  <si>
    <t>109.06.21</t>
    <phoneticPr fontId="3" type="noConversion"/>
  </si>
  <si>
    <t>109.09.30</t>
    <phoneticPr fontId="3" type="noConversion"/>
  </si>
  <si>
    <t>109.10.06</t>
    <phoneticPr fontId="3" type="noConversion"/>
  </si>
  <si>
    <t>現金</t>
    <phoneticPr fontId="3" type="noConversion"/>
  </si>
  <si>
    <t>轉華算城中$13231寫錯$13281補現金</t>
    <phoneticPr fontId="3" type="noConversion"/>
  </si>
  <si>
    <t>109.01.02</t>
    <phoneticPr fontId="3" type="noConversion"/>
  </si>
  <si>
    <t>票兌---4999725</t>
    <phoneticPr fontId="3" type="noConversion"/>
  </si>
  <si>
    <t>漢聯---7</t>
    <phoneticPr fontId="3" type="noConversion"/>
  </si>
  <si>
    <t>109.01.02</t>
    <phoneticPr fontId="3" type="noConversion"/>
  </si>
  <si>
    <t>勞保---108.11</t>
    <phoneticPr fontId="3" type="noConversion"/>
  </si>
  <si>
    <t>勞退---108.10</t>
    <phoneticPr fontId="3" type="noConversion"/>
  </si>
  <si>
    <t>房租---北平16號---109.01</t>
    <phoneticPr fontId="3" type="noConversion"/>
  </si>
  <si>
    <t>109.01.06</t>
    <phoneticPr fontId="3" type="noConversion"/>
  </si>
  <si>
    <t>薪---証---108.12</t>
    <phoneticPr fontId="3" type="noConversion"/>
  </si>
  <si>
    <t>109.01.06</t>
    <phoneticPr fontId="3" type="noConversion"/>
  </si>
  <si>
    <t>薪---博---108.12</t>
    <phoneticPr fontId="3" type="noConversion"/>
  </si>
  <si>
    <t>薪---達---108.12</t>
    <phoneticPr fontId="3" type="noConversion"/>
  </si>
  <si>
    <t>109.01.06</t>
    <phoneticPr fontId="3" type="noConversion"/>
  </si>
  <si>
    <t>卡費---108.12</t>
    <phoneticPr fontId="3" type="noConversion"/>
  </si>
  <si>
    <t>中信</t>
    <phoneticPr fontId="3" type="noConversion"/>
  </si>
  <si>
    <t>109.01.06</t>
    <phoneticPr fontId="3" type="noConversion"/>
  </si>
  <si>
    <t>依德---車源軟維</t>
    <phoneticPr fontId="3" type="noConversion"/>
  </si>
  <si>
    <t>票兌---0572991</t>
    <phoneticPr fontId="3" type="noConversion"/>
  </si>
  <si>
    <t>鴻碩---1</t>
    <phoneticPr fontId="3" type="noConversion"/>
  </si>
  <si>
    <t>票兌---7988850</t>
    <phoneticPr fontId="3" type="noConversion"/>
  </si>
  <si>
    <t>雙安---1</t>
    <phoneticPr fontId="3" type="noConversion"/>
  </si>
  <si>
    <t>109.01.08</t>
    <phoneticPr fontId="3" type="noConversion"/>
  </si>
  <si>
    <t>401----108.11/108.12</t>
    <phoneticPr fontId="3" type="noConversion"/>
  </si>
  <si>
    <t>109.01.08</t>
    <phoneticPr fontId="3" type="noConversion"/>
  </si>
  <si>
    <t>華算信義</t>
    <phoneticPr fontId="3" type="noConversion"/>
  </si>
  <si>
    <t>109.01.10</t>
    <phoneticPr fontId="3" type="noConversion"/>
  </si>
  <si>
    <t>票兌---6516759</t>
    <phoneticPr fontId="3" type="noConversion"/>
  </si>
  <si>
    <t>西拓---6</t>
    <phoneticPr fontId="3" type="noConversion"/>
  </si>
  <si>
    <t>票兌---0272295</t>
    <phoneticPr fontId="3" type="noConversion"/>
  </si>
  <si>
    <t>109.01.13</t>
    <phoneticPr fontId="3" type="noConversion"/>
  </si>
  <si>
    <t>109.01.14</t>
    <phoneticPr fontId="3" type="noConversion"/>
  </si>
  <si>
    <t>威視---10</t>
    <phoneticPr fontId="3" type="noConversion"/>
  </si>
  <si>
    <t>109.01.15</t>
    <phoneticPr fontId="3" type="noConversion"/>
  </si>
  <si>
    <t>友士---11</t>
    <phoneticPr fontId="3" type="noConversion"/>
  </si>
  <si>
    <t>109.01.16</t>
    <phoneticPr fontId="3" type="noConversion"/>
  </si>
  <si>
    <t>票兌---2620005</t>
    <phoneticPr fontId="3" type="noConversion"/>
  </si>
  <si>
    <t>邁拓---5</t>
    <phoneticPr fontId="3" type="noConversion"/>
  </si>
  <si>
    <t>109.01.16</t>
    <phoneticPr fontId="3" type="noConversion"/>
  </si>
  <si>
    <t>健保---108.11</t>
    <phoneticPr fontId="3" type="noConversion"/>
  </si>
  <si>
    <t>109.01.20</t>
    <phoneticPr fontId="3" type="noConversion"/>
  </si>
  <si>
    <t>109.01.30</t>
    <phoneticPr fontId="3" type="noConversion"/>
  </si>
  <si>
    <t>票兌---7541111</t>
    <phoneticPr fontId="3" type="noConversion"/>
  </si>
  <si>
    <t>旺旺達---3</t>
    <phoneticPr fontId="3" type="noConversion"/>
  </si>
  <si>
    <t>109.01.30</t>
    <phoneticPr fontId="3" type="noConversion"/>
  </si>
  <si>
    <t>管理費01改ADA匯款</t>
    <phoneticPr fontId="3" type="noConversion"/>
  </si>
  <si>
    <t>109.02.03</t>
    <phoneticPr fontId="3" type="noConversion"/>
  </si>
  <si>
    <t>勞保---108.12</t>
    <phoneticPr fontId="3" type="noConversion"/>
  </si>
  <si>
    <t>109.02.03</t>
    <phoneticPr fontId="3" type="noConversion"/>
  </si>
  <si>
    <t>電話---23518546---109.01</t>
    <phoneticPr fontId="3" type="noConversion"/>
  </si>
  <si>
    <t>109.02.03</t>
    <phoneticPr fontId="3" type="noConversion"/>
  </si>
  <si>
    <t>電話---23518799---109.01</t>
    <phoneticPr fontId="3" type="noConversion"/>
  </si>
  <si>
    <t>電話---23518805---109.01</t>
    <phoneticPr fontId="3" type="noConversion"/>
  </si>
  <si>
    <t>勞退---108.11</t>
    <phoneticPr fontId="3" type="noConversion"/>
  </si>
  <si>
    <t>房租---北平16號---109.02</t>
    <phoneticPr fontId="3" type="noConversion"/>
  </si>
  <si>
    <t>109.02.05</t>
    <phoneticPr fontId="3" type="noConversion"/>
  </si>
  <si>
    <t>薪---博---109.01</t>
    <phoneticPr fontId="3" type="noConversion"/>
  </si>
  <si>
    <t>109.02.12</t>
    <phoneticPr fontId="3" type="noConversion"/>
  </si>
  <si>
    <t>威視---11</t>
    <phoneticPr fontId="3" type="noConversion"/>
  </si>
  <si>
    <t>109.02.15</t>
    <phoneticPr fontId="3" type="noConversion"/>
  </si>
  <si>
    <t>票兌---1008728</t>
    <phoneticPr fontId="3" type="noConversion"/>
  </si>
  <si>
    <t>大桐---4</t>
    <phoneticPr fontId="3" type="noConversion"/>
  </si>
  <si>
    <t>109.02.17</t>
    <phoneticPr fontId="3" type="noConversion"/>
  </si>
  <si>
    <t>電費---109.01</t>
    <phoneticPr fontId="3" type="noConversion"/>
  </si>
  <si>
    <t>健保---108.12</t>
    <phoneticPr fontId="3" type="noConversion"/>
  </si>
  <si>
    <t>109.02.20</t>
    <phoneticPr fontId="3" type="noConversion"/>
  </si>
  <si>
    <t>票兌---5867444</t>
    <phoneticPr fontId="3" type="noConversion"/>
  </si>
  <si>
    <t>恩豪---5</t>
    <phoneticPr fontId="3" type="noConversion"/>
  </si>
  <si>
    <t>109.02.21</t>
    <phoneticPr fontId="3" type="noConversion"/>
  </si>
  <si>
    <t>薪---達---109.01</t>
    <phoneticPr fontId="3" type="noConversion"/>
  </si>
  <si>
    <t>109.02.24</t>
    <phoneticPr fontId="3" type="noConversion"/>
  </si>
  <si>
    <t>同皇---4</t>
    <phoneticPr fontId="3" type="noConversion"/>
  </si>
  <si>
    <t>109.02.25</t>
    <phoneticPr fontId="3" type="noConversion"/>
  </si>
  <si>
    <t>票兌---0549277</t>
    <phoneticPr fontId="3" type="noConversion"/>
  </si>
  <si>
    <t>鉑德---3</t>
    <phoneticPr fontId="3" type="noConversion"/>
  </si>
  <si>
    <t>109.02.25</t>
    <phoneticPr fontId="3" type="noConversion"/>
  </si>
  <si>
    <t>票兌---1891487</t>
    <phoneticPr fontId="3" type="noConversion"/>
  </si>
  <si>
    <t>依德---6</t>
    <phoneticPr fontId="3" type="noConversion"/>
  </si>
  <si>
    <t>票兌---1425134</t>
    <phoneticPr fontId="3" type="noConversion"/>
  </si>
  <si>
    <t>鎔德---6</t>
    <phoneticPr fontId="3" type="noConversion"/>
  </si>
  <si>
    <t>109.02.25</t>
    <phoneticPr fontId="3" type="noConversion"/>
  </si>
  <si>
    <t>票兌---1425142</t>
    <phoneticPr fontId="3" type="noConversion"/>
  </si>
  <si>
    <t>鎔德---6</t>
    <phoneticPr fontId="3" type="noConversion"/>
  </si>
  <si>
    <t>109.02.26</t>
    <phoneticPr fontId="3" type="noConversion"/>
  </si>
  <si>
    <t>電話---23518546---109.02</t>
    <phoneticPr fontId="3" type="noConversion"/>
  </si>
  <si>
    <t>電話---23518799---109.02</t>
    <phoneticPr fontId="3" type="noConversion"/>
  </si>
  <si>
    <t>109.02.26</t>
    <phoneticPr fontId="3" type="noConversion"/>
  </si>
  <si>
    <t>電話---23518805---109.02</t>
    <phoneticPr fontId="3" type="noConversion"/>
  </si>
  <si>
    <t>109.02.26</t>
    <phoneticPr fontId="3" type="noConversion"/>
  </si>
  <si>
    <t>管理費02</t>
    <phoneticPr fontId="3" type="noConversion"/>
  </si>
  <si>
    <t>管理費02</t>
    <phoneticPr fontId="3" type="noConversion"/>
  </si>
  <si>
    <t>109.03.02</t>
    <phoneticPr fontId="3" type="noConversion"/>
  </si>
  <si>
    <t>票兌---3981607</t>
    <phoneticPr fontId="3" type="noConversion"/>
  </si>
  <si>
    <t>票兌---9688764</t>
    <phoneticPr fontId="3" type="noConversion"/>
  </si>
  <si>
    <t>票兌---4912895</t>
    <phoneticPr fontId="3" type="noConversion"/>
  </si>
  <si>
    <t>票兌---7804223</t>
    <phoneticPr fontId="3" type="noConversion"/>
  </si>
  <si>
    <t>票兌---9134558</t>
    <phoneticPr fontId="3" type="noConversion"/>
  </si>
  <si>
    <t>太暘---2</t>
    <phoneticPr fontId="3" type="noConversion"/>
  </si>
  <si>
    <t>達翌---4</t>
    <phoneticPr fontId="3" type="noConversion"/>
  </si>
  <si>
    <t>裕恆---4</t>
    <phoneticPr fontId="3" type="noConversion"/>
  </si>
  <si>
    <t>合碩---4</t>
    <phoneticPr fontId="3" type="noConversion"/>
  </si>
  <si>
    <t>109.03.02</t>
    <phoneticPr fontId="3" type="noConversion"/>
  </si>
  <si>
    <t>房租---北平16號---109.03</t>
    <phoneticPr fontId="3" type="noConversion"/>
  </si>
  <si>
    <t>109.03.03</t>
    <phoneticPr fontId="3" type="noConversion"/>
  </si>
  <si>
    <t>勞退---108.12</t>
    <phoneticPr fontId="3" type="noConversion"/>
  </si>
  <si>
    <t>109.03.03</t>
    <phoneticPr fontId="3" type="noConversion"/>
  </si>
  <si>
    <t>勞保---109.01</t>
    <phoneticPr fontId="3" type="noConversion"/>
  </si>
  <si>
    <t>109.03.03</t>
    <phoneticPr fontId="3" type="noConversion"/>
  </si>
  <si>
    <t>109.03.03</t>
    <phoneticPr fontId="3" type="noConversion"/>
  </si>
  <si>
    <t>中信</t>
    <phoneticPr fontId="3" type="noConversion"/>
  </si>
  <si>
    <t>109.03.05</t>
    <phoneticPr fontId="3" type="noConversion"/>
  </si>
  <si>
    <t>票兌---1561300</t>
    <phoneticPr fontId="3" type="noConversion"/>
  </si>
  <si>
    <t>票兌---7070008</t>
    <phoneticPr fontId="3" type="noConversion"/>
  </si>
  <si>
    <t>品固---7</t>
    <phoneticPr fontId="3" type="noConversion"/>
  </si>
  <si>
    <t>薪---博---109.02</t>
    <phoneticPr fontId="3" type="noConversion"/>
  </si>
  <si>
    <t>薪---証---109.02</t>
    <phoneticPr fontId="3" type="noConversion"/>
  </si>
  <si>
    <t>薪---達---109.02</t>
    <phoneticPr fontId="3" type="noConversion"/>
  </si>
  <si>
    <t>109.03.06</t>
    <phoneticPr fontId="3" type="noConversion"/>
  </si>
  <si>
    <t>薪---達---109.02</t>
    <phoneticPr fontId="3" type="noConversion"/>
  </si>
  <si>
    <t>109.03.13</t>
    <phoneticPr fontId="3" type="noConversion"/>
  </si>
  <si>
    <t>威視---12</t>
    <phoneticPr fontId="3" type="noConversion"/>
  </si>
  <si>
    <t>109.03.16</t>
    <phoneticPr fontId="3" type="noConversion"/>
  </si>
  <si>
    <t>票兌---0704959</t>
    <phoneticPr fontId="3" type="noConversion"/>
  </si>
  <si>
    <t>愛浪---3</t>
    <phoneticPr fontId="3" type="noConversion"/>
  </si>
  <si>
    <t>109.03.16</t>
    <phoneticPr fontId="3" type="noConversion"/>
  </si>
  <si>
    <t>健保---109.01</t>
    <phoneticPr fontId="3" type="noConversion"/>
  </si>
  <si>
    <t>華算信義</t>
    <phoneticPr fontId="3" type="noConversion"/>
  </si>
  <si>
    <t>109.03.18</t>
    <phoneticPr fontId="3" type="noConversion"/>
  </si>
  <si>
    <t>401----109.01/109.02</t>
    <phoneticPr fontId="3" type="noConversion"/>
  </si>
  <si>
    <t>109.03.20</t>
    <phoneticPr fontId="3" type="noConversion"/>
  </si>
  <si>
    <t>票兌---1556867</t>
    <phoneticPr fontId="3" type="noConversion"/>
  </si>
  <si>
    <t>109.03.24</t>
    <phoneticPr fontId="3" type="noConversion"/>
  </si>
  <si>
    <t>管理費03</t>
    <phoneticPr fontId="3" type="noConversion"/>
  </si>
  <si>
    <t>管理費03</t>
    <phoneticPr fontId="3" type="noConversion"/>
  </si>
  <si>
    <t>管理費01改ADA匯款</t>
    <phoneticPr fontId="3" type="noConversion"/>
  </si>
  <si>
    <t>109.03.24</t>
    <phoneticPr fontId="3" type="noConversion"/>
  </si>
  <si>
    <t>薪---達---109.02</t>
    <phoneticPr fontId="3" type="noConversion"/>
  </si>
  <si>
    <t>109.03.25</t>
    <phoneticPr fontId="3" type="noConversion"/>
  </si>
  <si>
    <t>永馳---7</t>
    <phoneticPr fontId="3" type="noConversion"/>
  </si>
  <si>
    <t>109.03.26</t>
    <phoneticPr fontId="3" type="noConversion"/>
  </si>
  <si>
    <t>電話---23518546---109.03</t>
    <phoneticPr fontId="3" type="noConversion"/>
  </si>
  <si>
    <t>電話---23518799---109.03</t>
    <phoneticPr fontId="3" type="noConversion"/>
  </si>
  <si>
    <t>電話---23518805---109.03</t>
    <phoneticPr fontId="3" type="noConversion"/>
  </si>
  <si>
    <t>109.03.30</t>
    <phoneticPr fontId="3" type="noConversion"/>
  </si>
  <si>
    <t>109.03.31</t>
  </si>
  <si>
    <t>票兌---5480317</t>
    <phoneticPr fontId="3" type="noConversion"/>
  </si>
  <si>
    <t>票兌---3871760</t>
    <phoneticPr fontId="3" type="noConversion"/>
  </si>
  <si>
    <t>票兌---1880965</t>
    <phoneticPr fontId="3" type="noConversion"/>
  </si>
  <si>
    <t>票兌---8348929</t>
    <phoneticPr fontId="3" type="noConversion"/>
  </si>
  <si>
    <t>票兌---3981608</t>
    <phoneticPr fontId="3" type="noConversion"/>
  </si>
  <si>
    <t>票兌---4999726</t>
    <phoneticPr fontId="3" type="noConversion"/>
  </si>
  <si>
    <t>票兌---7988851</t>
    <phoneticPr fontId="3" type="noConversion"/>
  </si>
  <si>
    <t>汎輝---3</t>
    <phoneticPr fontId="3" type="noConversion"/>
  </si>
  <si>
    <t>松群---1</t>
    <phoneticPr fontId="3" type="noConversion"/>
  </si>
  <si>
    <t>大成---4</t>
    <phoneticPr fontId="3" type="noConversion"/>
  </si>
  <si>
    <t>佳尼特---2</t>
    <phoneticPr fontId="3" type="noConversion"/>
  </si>
  <si>
    <t>漢聯---8</t>
    <phoneticPr fontId="3" type="noConversion"/>
  </si>
  <si>
    <t>雙安---2</t>
    <phoneticPr fontId="3" type="noConversion"/>
  </si>
  <si>
    <t>109.04.01</t>
    <phoneticPr fontId="3" type="noConversion"/>
  </si>
  <si>
    <t>勞保---109.02</t>
    <phoneticPr fontId="3" type="noConversion"/>
  </si>
  <si>
    <t>109.04.01</t>
    <phoneticPr fontId="3" type="noConversion"/>
  </si>
  <si>
    <t>勞退---109.01</t>
    <phoneticPr fontId="3" type="noConversion"/>
  </si>
  <si>
    <t>109.04.01</t>
    <phoneticPr fontId="3" type="noConversion"/>
  </si>
  <si>
    <t>房租---北平16號---109.04</t>
    <phoneticPr fontId="3" type="noConversion"/>
  </si>
  <si>
    <t>109.04.06</t>
    <phoneticPr fontId="3" type="noConversion"/>
  </si>
  <si>
    <t>票兌---0572992</t>
    <phoneticPr fontId="3" type="noConversion"/>
  </si>
  <si>
    <t>鴻碩---2</t>
    <phoneticPr fontId="3" type="noConversion"/>
  </si>
  <si>
    <t>薪---博---109.03</t>
    <phoneticPr fontId="3" type="noConversion"/>
  </si>
  <si>
    <t>109.04.06</t>
    <phoneticPr fontId="3" type="noConversion"/>
  </si>
  <si>
    <t>薪---証---109.03</t>
    <phoneticPr fontId="3" type="noConversion"/>
  </si>
  <si>
    <t>薪---達---109.03</t>
    <phoneticPr fontId="3" type="noConversion"/>
  </si>
  <si>
    <t>109.04.10</t>
    <phoneticPr fontId="3" type="noConversion"/>
  </si>
  <si>
    <t>票兌---0272296</t>
    <phoneticPr fontId="3" type="noConversion"/>
  </si>
  <si>
    <t>票兌---6516760</t>
    <phoneticPr fontId="3" type="noConversion"/>
  </si>
  <si>
    <t>協億通---6</t>
    <phoneticPr fontId="3" type="noConversion"/>
  </si>
  <si>
    <t>西拓---7</t>
    <phoneticPr fontId="3" type="noConversion"/>
  </si>
  <si>
    <t>威視---13</t>
    <phoneticPr fontId="3" type="noConversion"/>
  </si>
  <si>
    <t>109.04.13</t>
    <phoneticPr fontId="3" type="noConversion"/>
  </si>
  <si>
    <t>薪---達---109.03</t>
    <phoneticPr fontId="3" type="noConversion"/>
  </si>
  <si>
    <t>109.04.15</t>
    <phoneticPr fontId="3" type="noConversion"/>
  </si>
  <si>
    <t>八亨---1</t>
    <phoneticPr fontId="3" type="noConversion"/>
  </si>
  <si>
    <t>109.04.16</t>
    <phoneticPr fontId="3" type="noConversion"/>
  </si>
  <si>
    <t>票兌---2620006</t>
    <phoneticPr fontId="3" type="noConversion"/>
  </si>
  <si>
    <t>邁拓---6</t>
    <phoneticPr fontId="3" type="noConversion"/>
  </si>
  <si>
    <t>109.04.16</t>
    <phoneticPr fontId="3" type="noConversion"/>
  </si>
  <si>
    <t>健保---109.02</t>
    <phoneticPr fontId="3" type="noConversion"/>
  </si>
  <si>
    <t>109.04.16</t>
    <phoneticPr fontId="3" type="noConversion"/>
  </si>
  <si>
    <t>電費---109.03</t>
    <phoneticPr fontId="3" type="noConversion"/>
  </si>
  <si>
    <t>109.04.22</t>
    <phoneticPr fontId="3" type="noConversion"/>
  </si>
  <si>
    <t>卡費---109.03</t>
    <phoneticPr fontId="3" type="noConversion"/>
  </si>
  <si>
    <t>卡費---109.02</t>
    <phoneticPr fontId="3" type="noConversion"/>
  </si>
  <si>
    <t>卡費---109.02</t>
    <phoneticPr fontId="3" type="noConversion"/>
  </si>
  <si>
    <t>109.04.27</t>
    <phoneticPr fontId="3" type="noConversion"/>
  </si>
  <si>
    <t>管理費04</t>
    <phoneticPr fontId="3" type="noConversion"/>
  </si>
  <si>
    <t>管理費04</t>
    <phoneticPr fontId="3" type="noConversion"/>
  </si>
  <si>
    <t>109.04.28</t>
    <phoneticPr fontId="3" type="noConversion"/>
  </si>
  <si>
    <t>電話---23518546---109.04</t>
    <phoneticPr fontId="3" type="noConversion"/>
  </si>
  <si>
    <t>109.04.28</t>
    <phoneticPr fontId="3" type="noConversion"/>
  </si>
  <si>
    <t>電話---23518799---109.04</t>
    <phoneticPr fontId="3" type="noConversion"/>
  </si>
  <si>
    <t>109.04.28</t>
    <phoneticPr fontId="3" type="noConversion"/>
  </si>
  <si>
    <t>電話---23518805---109.04</t>
    <phoneticPr fontId="3" type="noConversion"/>
  </si>
  <si>
    <t>109.04.30</t>
    <phoneticPr fontId="3" type="noConversion"/>
  </si>
  <si>
    <t>票兌---7541112</t>
    <phoneticPr fontId="3" type="noConversion"/>
  </si>
  <si>
    <t>旺旺達---4</t>
    <phoneticPr fontId="3" type="noConversion"/>
  </si>
  <si>
    <t>109.05.04</t>
    <phoneticPr fontId="3" type="noConversion"/>
  </si>
  <si>
    <t>勞保---109.03</t>
    <phoneticPr fontId="3" type="noConversion"/>
  </si>
  <si>
    <t>109.05.04</t>
    <phoneticPr fontId="3" type="noConversion"/>
  </si>
  <si>
    <t>勞退---109.02</t>
    <phoneticPr fontId="3" type="noConversion"/>
  </si>
  <si>
    <t>109.05.08</t>
    <phoneticPr fontId="3" type="noConversion"/>
  </si>
  <si>
    <t>109.05.14</t>
    <phoneticPr fontId="3" type="noConversion"/>
  </si>
  <si>
    <t>401----109.03/109.04</t>
    <phoneticPr fontId="3" type="noConversion"/>
  </si>
  <si>
    <t>109.05.15</t>
    <phoneticPr fontId="3" type="noConversion"/>
  </si>
  <si>
    <t>票兌---1008729</t>
    <phoneticPr fontId="3" type="noConversion"/>
  </si>
  <si>
    <t>大桐---5</t>
    <phoneticPr fontId="3" type="noConversion"/>
  </si>
  <si>
    <t>109.05.18</t>
    <phoneticPr fontId="3" type="noConversion"/>
  </si>
  <si>
    <t>健保---109.03</t>
    <phoneticPr fontId="3" type="noConversion"/>
  </si>
  <si>
    <t>109.05.20</t>
    <phoneticPr fontId="3" type="noConversion"/>
  </si>
  <si>
    <t>票兌---5867445</t>
    <phoneticPr fontId="3" type="noConversion"/>
  </si>
  <si>
    <t>票兌---5362516</t>
    <phoneticPr fontId="3" type="noConversion"/>
  </si>
  <si>
    <t>票兌---1425143</t>
    <phoneticPr fontId="3" type="noConversion"/>
  </si>
  <si>
    <t>票兌---0549278</t>
    <phoneticPr fontId="3" type="noConversion"/>
  </si>
  <si>
    <t>票兌---1425135</t>
    <phoneticPr fontId="3" type="noConversion"/>
  </si>
  <si>
    <t>票兌---1891488</t>
    <phoneticPr fontId="3" type="noConversion"/>
  </si>
  <si>
    <t>恩豪---6</t>
    <phoneticPr fontId="3" type="noConversion"/>
  </si>
  <si>
    <t>品固SJ---1</t>
    <phoneticPr fontId="3" type="noConversion"/>
  </si>
  <si>
    <t>鎔德---7</t>
    <phoneticPr fontId="3" type="noConversion"/>
  </si>
  <si>
    <t>109.05.25</t>
    <phoneticPr fontId="3" type="noConversion"/>
  </si>
  <si>
    <t>管理費05</t>
    <phoneticPr fontId="3" type="noConversion"/>
  </si>
  <si>
    <t>109.05.25</t>
    <phoneticPr fontId="3" type="noConversion"/>
  </si>
  <si>
    <t>109.05.26</t>
    <phoneticPr fontId="3" type="noConversion"/>
  </si>
  <si>
    <t>電話---23518546---109.05</t>
    <phoneticPr fontId="3" type="noConversion"/>
  </si>
  <si>
    <t>電話---23518799---109.05</t>
    <phoneticPr fontId="3" type="noConversion"/>
  </si>
  <si>
    <t>電話---23518805---109.05</t>
    <phoneticPr fontId="3" type="noConversion"/>
  </si>
  <si>
    <t>109.05.26</t>
    <phoneticPr fontId="3" type="noConversion"/>
  </si>
  <si>
    <t>4U機殼</t>
    <phoneticPr fontId="3" type="noConversion"/>
  </si>
  <si>
    <t>109.05.28</t>
    <phoneticPr fontId="3" type="noConversion"/>
  </si>
  <si>
    <t>友士押金</t>
    <phoneticPr fontId="3" type="noConversion"/>
  </si>
  <si>
    <t>109.05.29</t>
    <phoneticPr fontId="3" type="noConversion"/>
  </si>
  <si>
    <t>109.06.01</t>
    <phoneticPr fontId="3" type="noConversion"/>
  </si>
  <si>
    <t>票兌---6590316</t>
    <phoneticPr fontId="3" type="noConversion"/>
  </si>
  <si>
    <t>票兌---6590315</t>
    <phoneticPr fontId="3" type="noConversion"/>
  </si>
  <si>
    <t>票兌---9688765</t>
    <phoneticPr fontId="3" type="noConversion"/>
  </si>
  <si>
    <t>票兌---7804224</t>
    <phoneticPr fontId="3" type="noConversion"/>
  </si>
  <si>
    <t>票兌---4912896</t>
    <phoneticPr fontId="3" type="noConversion"/>
  </si>
  <si>
    <t>票兌---9134559</t>
    <phoneticPr fontId="3" type="noConversion"/>
  </si>
  <si>
    <t>元超---3</t>
    <phoneticPr fontId="3" type="noConversion"/>
  </si>
  <si>
    <t>元超---1-2-補差額</t>
    <phoneticPr fontId="3" type="noConversion"/>
  </si>
  <si>
    <t>裕恆---5</t>
    <phoneticPr fontId="3" type="noConversion"/>
  </si>
  <si>
    <t>達翌---5</t>
    <phoneticPr fontId="3" type="noConversion"/>
  </si>
  <si>
    <t>合碩---5</t>
    <phoneticPr fontId="3" type="noConversion"/>
  </si>
  <si>
    <t>109.06.01</t>
    <phoneticPr fontId="3" type="noConversion"/>
  </si>
  <si>
    <t>房租---北平16號---109.06</t>
    <phoneticPr fontId="3" type="noConversion"/>
  </si>
  <si>
    <t>房租---北平16號---109.05</t>
    <phoneticPr fontId="3" type="noConversion"/>
  </si>
  <si>
    <t>109.05.05</t>
    <phoneticPr fontId="3" type="noConversion"/>
  </si>
  <si>
    <t>薪---博---109.04</t>
    <phoneticPr fontId="3" type="noConversion"/>
  </si>
  <si>
    <t>109.05.05</t>
    <phoneticPr fontId="3" type="noConversion"/>
  </si>
  <si>
    <t>薪---証---109.04</t>
    <phoneticPr fontId="3" type="noConversion"/>
  </si>
  <si>
    <t>109.05.07</t>
    <phoneticPr fontId="3" type="noConversion"/>
  </si>
  <si>
    <t>薪---達---109.04</t>
    <phoneticPr fontId="3" type="noConversion"/>
  </si>
  <si>
    <t>109.06.02</t>
    <phoneticPr fontId="3" type="noConversion"/>
  </si>
  <si>
    <t>勞保---109.04</t>
    <phoneticPr fontId="3" type="noConversion"/>
  </si>
  <si>
    <t>勞退---109.03</t>
    <phoneticPr fontId="3" type="noConversion"/>
  </si>
  <si>
    <t>109.06.03</t>
    <phoneticPr fontId="3" type="noConversion"/>
  </si>
  <si>
    <t>109.06.05</t>
    <phoneticPr fontId="3" type="noConversion"/>
  </si>
  <si>
    <t>票兌---7070009</t>
    <phoneticPr fontId="3" type="noConversion"/>
  </si>
  <si>
    <t>票兌---7070001</t>
    <phoneticPr fontId="3" type="noConversion"/>
  </si>
  <si>
    <t>109.06.05</t>
    <phoneticPr fontId="3" type="noConversion"/>
  </si>
  <si>
    <t>薪---博---109.05</t>
    <phoneticPr fontId="3" type="noConversion"/>
  </si>
  <si>
    <t>109.06.05</t>
    <phoneticPr fontId="3" type="noConversion"/>
  </si>
  <si>
    <t>薪---証---109.05</t>
    <phoneticPr fontId="3" type="noConversion"/>
  </si>
  <si>
    <t>109.06.05</t>
    <phoneticPr fontId="3" type="noConversion"/>
  </si>
  <si>
    <t>薪---達---109.04</t>
    <phoneticPr fontId="3" type="noConversion"/>
  </si>
  <si>
    <t>卡費---109.05</t>
    <phoneticPr fontId="3" type="noConversion"/>
  </si>
  <si>
    <t>卡費---109.05</t>
    <phoneticPr fontId="3" type="noConversion"/>
  </si>
  <si>
    <t>109.06.06</t>
    <phoneticPr fontId="3" type="noConversion"/>
  </si>
  <si>
    <t>還款-阿明 4/28 周轉</t>
    <phoneticPr fontId="3" type="noConversion"/>
  </si>
  <si>
    <t>109.06.15</t>
    <phoneticPr fontId="3" type="noConversion"/>
  </si>
  <si>
    <t>票兌---0704960</t>
    <phoneticPr fontId="3" type="noConversion"/>
  </si>
  <si>
    <t>愛浪---4</t>
    <phoneticPr fontId="3" type="noConversion"/>
  </si>
  <si>
    <t>109.06.15</t>
    <phoneticPr fontId="3" type="noConversion"/>
  </si>
  <si>
    <t>薪---達---109.05</t>
    <phoneticPr fontId="3" type="noConversion"/>
  </si>
  <si>
    <t>109.06.16</t>
    <phoneticPr fontId="3" type="noConversion"/>
  </si>
  <si>
    <t>電費---109.05</t>
    <phoneticPr fontId="3" type="noConversion"/>
  </si>
  <si>
    <t>109.06.16</t>
    <phoneticPr fontId="3" type="noConversion"/>
  </si>
  <si>
    <t>健保---109.04</t>
    <phoneticPr fontId="3" type="noConversion"/>
  </si>
  <si>
    <t>109.06.20</t>
    <phoneticPr fontId="3" type="noConversion"/>
  </si>
  <si>
    <t>票兌---1370692</t>
    <phoneticPr fontId="3" type="noConversion"/>
  </si>
  <si>
    <t>台一---1</t>
    <phoneticPr fontId="3" type="noConversion"/>
  </si>
  <si>
    <t>109.06.29</t>
    <phoneticPr fontId="3" type="noConversion"/>
  </si>
  <si>
    <t>票兌---1063194</t>
    <phoneticPr fontId="3" type="noConversion"/>
  </si>
  <si>
    <t>道法---1</t>
    <phoneticPr fontId="3" type="noConversion"/>
  </si>
  <si>
    <t>109.06.29</t>
    <phoneticPr fontId="3" type="noConversion"/>
  </si>
  <si>
    <t>109.06.30</t>
  </si>
  <si>
    <t>票兌---3871761</t>
    <phoneticPr fontId="3" type="noConversion"/>
  </si>
  <si>
    <t>票兌---8348930</t>
    <phoneticPr fontId="3" type="noConversion"/>
  </si>
  <si>
    <t>票兌---1880966</t>
    <phoneticPr fontId="3" type="noConversion"/>
  </si>
  <si>
    <t>票兌---5480318</t>
    <phoneticPr fontId="3" type="noConversion"/>
  </si>
  <si>
    <t>喜可---8</t>
    <phoneticPr fontId="3" type="noConversion"/>
  </si>
  <si>
    <t>109.06.30</t>
    <phoneticPr fontId="3" type="noConversion"/>
  </si>
  <si>
    <t>電話---23518546---109.06</t>
    <phoneticPr fontId="3" type="noConversion"/>
  </si>
  <si>
    <t>109.06.30</t>
    <phoneticPr fontId="3" type="noConversion"/>
  </si>
  <si>
    <t>電話---23518799---109.06</t>
    <phoneticPr fontId="3" type="noConversion"/>
  </si>
  <si>
    <t>電話---23518805---109.06</t>
    <phoneticPr fontId="3" type="noConversion"/>
  </si>
  <si>
    <t>109.06.30</t>
    <phoneticPr fontId="3" type="noConversion"/>
  </si>
  <si>
    <t>109.07.01</t>
    <phoneticPr fontId="3" type="noConversion"/>
  </si>
  <si>
    <t>票兌---3981609</t>
    <phoneticPr fontId="3" type="noConversion"/>
  </si>
  <si>
    <t>票兌---7988852</t>
    <phoneticPr fontId="3" type="noConversion"/>
  </si>
  <si>
    <t>票兌---4341850</t>
    <phoneticPr fontId="3" type="noConversion"/>
  </si>
  <si>
    <t>佳尼特---3</t>
    <phoneticPr fontId="3" type="noConversion"/>
  </si>
  <si>
    <t>雙安---3</t>
    <phoneticPr fontId="3" type="noConversion"/>
  </si>
  <si>
    <t>109.07.01</t>
    <phoneticPr fontId="3" type="noConversion"/>
  </si>
  <si>
    <t>勞保---109.05</t>
    <phoneticPr fontId="3" type="noConversion"/>
  </si>
  <si>
    <t>勞退---109.04</t>
    <phoneticPr fontId="3" type="noConversion"/>
  </si>
  <si>
    <t>房租---北平16號---109.07</t>
    <phoneticPr fontId="3" type="noConversion"/>
  </si>
  <si>
    <t>109.07.06</t>
    <phoneticPr fontId="3" type="noConversion"/>
  </si>
  <si>
    <t>票兌---0572993</t>
    <phoneticPr fontId="3" type="noConversion"/>
  </si>
  <si>
    <t>鴻碩---3</t>
    <phoneticPr fontId="3" type="noConversion"/>
  </si>
  <si>
    <t>109.07.06</t>
    <phoneticPr fontId="3" type="noConversion"/>
  </si>
  <si>
    <t>薪---博---109.06</t>
    <phoneticPr fontId="3" type="noConversion"/>
  </si>
  <si>
    <t>109.07.06</t>
    <phoneticPr fontId="3" type="noConversion"/>
  </si>
  <si>
    <t>薪---証---109.06</t>
    <phoneticPr fontId="3" type="noConversion"/>
  </si>
  <si>
    <t>薪---達---109.06</t>
    <phoneticPr fontId="3" type="noConversion"/>
  </si>
  <si>
    <t>109.07.10</t>
    <phoneticPr fontId="3" type="noConversion"/>
  </si>
  <si>
    <t>卡費---109.06</t>
    <phoneticPr fontId="3" type="noConversion"/>
  </si>
  <si>
    <t>109.07.15</t>
    <phoneticPr fontId="3" type="noConversion"/>
  </si>
  <si>
    <t>票兌---6516761</t>
    <phoneticPr fontId="3" type="noConversion"/>
  </si>
  <si>
    <t>109.07.15</t>
    <phoneticPr fontId="3" type="noConversion"/>
  </si>
  <si>
    <t>票兌---0272297</t>
    <phoneticPr fontId="3" type="noConversion"/>
  </si>
  <si>
    <t>票兌---2620008</t>
    <phoneticPr fontId="3" type="noConversion"/>
  </si>
  <si>
    <t>協億通---7</t>
    <phoneticPr fontId="3" type="noConversion"/>
  </si>
  <si>
    <t>邁拓---7</t>
    <phoneticPr fontId="3" type="noConversion"/>
  </si>
  <si>
    <t>八亨---2</t>
    <phoneticPr fontId="3" type="noConversion"/>
  </si>
  <si>
    <t>109.07.16</t>
    <phoneticPr fontId="3" type="noConversion"/>
  </si>
  <si>
    <t>健保---109.05</t>
    <phoneticPr fontId="3" type="noConversion"/>
  </si>
  <si>
    <t>109.07.16</t>
    <phoneticPr fontId="3" type="noConversion"/>
  </si>
  <si>
    <t>401----109.05/109.06</t>
    <phoneticPr fontId="3" type="noConversion"/>
  </si>
  <si>
    <t>109.07.22</t>
    <phoneticPr fontId="3" type="noConversion"/>
  </si>
  <si>
    <t>零用金</t>
    <phoneticPr fontId="3" type="noConversion"/>
  </si>
  <si>
    <t>109.07.27</t>
    <phoneticPr fontId="3" type="noConversion"/>
  </si>
  <si>
    <t>管理費07</t>
    <phoneticPr fontId="3" type="noConversion"/>
  </si>
  <si>
    <t>109.07.28</t>
    <phoneticPr fontId="3" type="noConversion"/>
  </si>
  <si>
    <t>電話---23518546---109.07</t>
    <phoneticPr fontId="3" type="noConversion"/>
  </si>
  <si>
    <t>109.07.28</t>
    <phoneticPr fontId="3" type="noConversion"/>
  </si>
  <si>
    <t>電話---23518799---109.07</t>
    <phoneticPr fontId="3" type="noConversion"/>
  </si>
  <si>
    <t>109.07.28</t>
    <phoneticPr fontId="3" type="noConversion"/>
  </si>
  <si>
    <t>電話---23518805---109.07</t>
    <phoneticPr fontId="3" type="noConversion"/>
  </si>
  <si>
    <t>109.07.30</t>
    <phoneticPr fontId="3" type="noConversion"/>
  </si>
  <si>
    <t>票兌---7541113</t>
    <phoneticPr fontId="3" type="noConversion"/>
  </si>
  <si>
    <t>旺旺達---5</t>
    <phoneticPr fontId="3" type="noConversion"/>
  </si>
  <si>
    <t>109.08.03</t>
    <phoneticPr fontId="3" type="noConversion"/>
  </si>
  <si>
    <t>勞保---109.06</t>
    <phoneticPr fontId="3" type="noConversion"/>
  </si>
  <si>
    <t>勞退---109.05</t>
    <phoneticPr fontId="3" type="noConversion"/>
  </si>
  <si>
    <t>109.08.03</t>
    <phoneticPr fontId="3" type="noConversion"/>
  </si>
  <si>
    <t>房租---北平16號---109.08</t>
    <phoneticPr fontId="3" type="noConversion"/>
  </si>
  <si>
    <t>109.08.05</t>
    <phoneticPr fontId="3" type="noConversion"/>
  </si>
  <si>
    <t>票兌---4011129</t>
    <phoneticPr fontId="3" type="noConversion"/>
  </si>
  <si>
    <t>票兌---4011121</t>
    <phoneticPr fontId="3" type="noConversion"/>
  </si>
  <si>
    <t>品固---1</t>
    <phoneticPr fontId="3" type="noConversion"/>
  </si>
  <si>
    <t>品固---1</t>
    <phoneticPr fontId="3" type="noConversion"/>
  </si>
  <si>
    <t>109.08.06</t>
    <phoneticPr fontId="3" type="noConversion"/>
  </si>
  <si>
    <t>薪---博---109.07</t>
    <phoneticPr fontId="3" type="noConversion"/>
  </si>
  <si>
    <t>109.08.10</t>
    <phoneticPr fontId="3" type="noConversion"/>
  </si>
  <si>
    <t>威視---15-16</t>
    <phoneticPr fontId="3" type="noConversion"/>
  </si>
  <si>
    <t>展鑫---1-8</t>
    <phoneticPr fontId="3" type="noConversion"/>
  </si>
  <si>
    <t>109.08.17</t>
    <phoneticPr fontId="3" type="noConversion"/>
  </si>
  <si>
    <t>票兌---1008730</t>
    <phoneticPr fontId="3" type="noConversion"/>
  </si>
  <si>
    <t>票兌---1010617</t>
    <phoneticPr fontId="3" type="noConversion"/>
  </si>
  <si>
    <t>大桐---車源軟維</t>
    <phoneticPr fontId="3" type="noConversion"/>
  </si>
  <si>
    <t>109.08.17</t>
    <phoneticPr fontId="3" type="noConversion"/>
  </si>
  <si>
    <t>電費---109.07</t>
    <phoneticPr fontId="3" type="noConversion"/>
  </si>
  <si>
    <t>109.08.18</t>
    <phoneticPr fontId="3" type="noConversion"/>
  </si>
  <si>
    <t>票兌---6590317</t>
    <phoneticPr fontId="3" type="noConversion"/>
  </si>
  <si>
    <t>票兌---9245941</t>
    <phoneticPr fontId="3" type="noConversion"/>
  </si>
  <si>
    <t>元超---4</t>
    <phoneticPr fontId="3" type="noConversion"/>
  </si>
  <si>
    <t>健保---109.06</t>
    <phoneticPr fontId="3" type="noConversion"/>
  </si>
  <si>
    <t>109.08.20</t>
    <phoneticPr fontId="3" type="noConversion"/>
  </si>
  <si>
    <t>票兌---5867446</t>
    <phoneticPr fontId="3" type="noConversion"/>
  </si>
  <si>
    <t>票兌---5362517</t>
    <phoneticPr fontId="3" type="noConversion"/>
  </si>
  <si>
    <t>品固---2</t>
    <phoneticPr fontId="3" type="noConversion"/>
  </si>
  <si>
    <t>109.08.24</t>
    <phoneticPr fontId="3" type="noConversion"/>
  </si>
  <si>
    <t>109.08.25</t>
    <phoneticPr fontId="3" type="noConversion"/>
  </si>
  <si>
    <t>票兌---0549279</t>
    <phoneticPr fontId="3" type="noConversion"/>
  </si>
  <si>
    <t>票兌---1891489</t>
    <phoneticPr fontId="3" type="noConversion"/>
  </si>
  <si>
    <t>票兌---1425136</t>
    <phoneticPr fontId="3" type="noConversion"/>
  </si>
  <si>
    <t>票兌---1425144</t>
    <phoneticPr fontId="3" type="noConversion"/>
  </si>
  <si>
    <t>依德---8</t>
    <phoneticPr fontId="3" type="noConversion"/>
  </si>
  <si>
    <t>鎔德---8</t>
    <phoneticPr fontId="3" type="noConversion"/>
  </si>
  <si>
    <t>鎔德---8</t>
    <phoneticPr fontId="3" type="noConversion"/>
  </si>
  <si>
    <t>109.08.26</t>
    <phoneticPr fontId="3" type="noConversion"/>
  </si>
  <si>
    <t>電話---23518546---109.08</t>
    <phoneticPr fontId="3" type="noConversion"/>
  </si>
  <si>
    <t>電話---23518799---109.08</t>
    <phoneticPr fontId="3" type="noConversion"/>
  </si>
  <si>
    <t>109.08.26</t>
    <phoneticPr fontId="3" type="noConversion"/>
  </si>
  <si>
    <t>電話---23518805---109.08</t>
    <phoneticPr fontId="3" type="noConversion"/>
  </si>
  <si>
    <t>109.08.27</t>
    <phoneticPr fontId="3" type="noConversion"/>
  </si>
  <si>
    <t>109.08.31</t>
    <phoneticPr fontId="3" type="noConversion"/>
  </si>
  <si>
    <t>票兌---9688766</t>
    <phoneticPr fontId="3" type="noConversion"/>
  </si>
  <si>
    <t>票兌---7804225</t>
    <phoneticPr fontId="3" type="noConversion"/>
  </si>
  <si>
    <t>票兌---4912897</t>
    <phoneticPr fontId="3" type="noConversion"/>
  </si>
  <si>
    <t>票兌---9134560</t>
    <phoneticPr fontId="3" type="noConversion"/>
  </si>
  <si>
    <t>109.09.01</t>
    <phoneticPr fontId="3" type="noConversion"/>
  </si>
  <si>
    <t>太暘---4</t>
    <phoneticPr fontId="3" type="noConversion"/>
  </si>
  <si>
    <t>裕恆---6</t>
    <phoneticPr fontId="3" type="noConversion"/>
  </si>
  <si>
    <t>合碩---6</t>
    <phoneticPr fontId="3" type="noConversion"/>
  </si>
  <si>
    <t>勞保---109.07</t>
    <phoneticPr fontId="3" type="noConversion"/>
  </si>
  <si>
    <t>109.09.01</t>
    <phoneticPr fontId="3" type="noConversion"/>
  </si>
  <si>
    <t>勞退---109.06</t>
    <phoneticPr fontId="3" type="noConversion"/>
  </si>
  <si>
    <t>109.09.02</t>
    <phoneticPr fontId="3" type="noConversion"/>
  </si>
  <si>
    <t>票兌---3284951</t>
    <phoneticPr fontId="3" type="noConversion"/>
  </si>
  <si>
    <t>勤業---1</t>
    <phoneticPr fontId="3" type="noConversion"/>
  </si>
  <si>
    <t>109.09.07</t>
    <phoneticPr fontId="3" type="noConversion"/>
  </si>
  <si>
    <t>薪---達---109.06</t>
    <phoneticPr fontId="3" type="noConversion"/>
  </si>
  <si>
    <t>薪---達---109.07</t>
    <phoneticPr fontId="3" type="noConversion"/>
  </si>
  <si>
    <t>薪---達---109.08</t>
    <phoneticPr fontId="3" type="noConversion"/>
  </si>
  <si>
    <t>薪---証---109.06-109.07</t>
    <phoneticPr fontId="3" type="noConversion"/>
  </si>
  <si>
    <t>薪---博---109.08</t>
    <phoneticPr fontId="3" type="noConversion"/>
  </si>
  <si>
    <t>109.09.07</t>
    <phoneticPr fontId="3" type="noConversion"/>
  </si>
  <si>
    <t>卡費---109.08</t>
    <phoneticPr fontId="3" type="noConversion"/>
  </si>
  <si>
    <t>109.09.09</t>
    <phoneticPr fontId="3" type="noConversion"/>
  </si>
  <si>
    <t>401----109.07/109.08</t>
    <phoneticPr fontId="3" type="noConversion"/>
  </si>
  <si>
    <t>109.09.15</t>
    <phoneticPr fontId="3" type="noConversion"/>
  </si>
  <si>
    <t>票兌---0704961</t>
    <phoneticPr fontId="3" type="noConversion"/>
  </si>
  <si>
    <t>109.09.16</t>
    <phoneticPr fontId="3" type="noConversion"/>
  </si>
  <si>
    <t>健保---109.07</t>
    <phoneticPr fontId="3" type="noConversion"/>
  </si>
  <si>
    <t>109.09.21</t>
    <phoneticPr fontId="3" type="noConversion"/>
  </si>
  <si>
    <t>109.09.25</t>
    <phoneticPr fontId="3" type="noConversion"/>
  </si>
  <si>
    <t>票兌---3284952</t>
    <phoneticPr fontId="3" type="noConversion"/>
  </si>
  <si>
    <t>票兌---1370693</t>
    <phoneticPr fontId="3" type="noConversion"/>
  </si>
  <si>
    <t>票兌---1063195</t>
    <phoneticPr fontId="3" type="noConversion"/>
  </si>
  <si>
    <t>勤業---2</t>
    <phoneticPr fontId="3" type="noConversion"/>
  </si>
  <si>
    <t>台一---2</t>
    <phoneticPr fontId="3" type="noConversion"/>
  </si>
  <si>
    <t>109.09.26</t>
    <phoneticPr fontId="3" type="noConversion"/>
  </si>
  <si>
    <t>電話---23518546---109.09</t>
    <phoneticPr fontId="3" type="noConversion"/>
  </si>
  <si>
    <t>109.09.26</t>
    <phoneticPr fontId="3" type="noConversion"/>
  </si>
  <si>
    <t>電話---23518799---109.09</t>
    <phoneticPr fontId="3" type="noConversion"/>
  </si>
  <si>
    <t>109.09.26</t>
    <phoneticPr fontId="3" type="noConversion"/>
  </si>
  <si>
    <t>電話---23518805---109.09</t>
    <phoneticPr fontId="3" type="noConversion"/>
  </si>
  <si>
    <t>109.09.28</t>
    <phoneticPr fontId="3" type="noConversion"/>
  </si>
  <si>
    <t>管理費09</t>
    <phoneticPr fontId="3" type="noConversion"/>
  </si>
  <si>
    <t>管理費09</t>
    <phoneticPr fontId="3" type="noConversion"/>
  </si>
  <si>
    <t>109.09.30</t>
    <phoneticPr fontId="3" type="noConversion"/>
  </si>
  <si>
    <t>109.10.05</t>
    <phoneticPr fontId="3" type="noConversion"/>
  </si>
  <si>
    <t>票兌---4341851</t>
    <phoneticPr fontId="3" type="noConversion"/>
  </si>
  <si>
    <t>票兌---3871762</t>
    <phoneticPr fontId="3" type="noConversion"/>
  </si>
  <si>
    <t>票兌---1880967</t>
    <phoneticPr fontId="3" type="noConversion"/>
  </si>
  <si>
    <t>票兌---8348931</t>
    <phoneticPr fontId="3" type="noConversion"/>
  </si>
  <si>
    <t>票兌---7988853</t>
    <phoneticPr fontId="3" type="noConversion"/>
  </si>
  <si>
    <t>票兌---0572994</t>
    <phoneticPr fontId="3" type="noConversion"/>
  </si>
  <si>
    <t>票兌---3981610</t>
    <phoneticPr fontId="3" type="noConversion"/>
  </si>
  <si>
    <t>威倫---2</t>
    <phoneticPr fontId="3" type="noConversion"/>
  </si>
  <si>
    <t>汎輝---5</t>
    <phoneticPr fontId="3" type="noConversion"/>
  </si>
  <si>
    <t>鴻碩---4</t>
    <phoneticPr fontId="3" type="noConversion"/>
  </si>
  <si>
    <t>勞保---109.08</t>
    <phoneticPr fontId="3" type="noConversion"/>
  </si>
  <si>
    <t>勞退---109.07</t>
    <phoneticPr fontId="3" type="noConversion"/>
  </si>
  <si>
    <t>109.10.05</t>
    <phoneticPr fontId="3" type="noConversion"/>
  </si>
  <si>
    <t>房租---北平16號---109.09</t>
    <phoneticPr fontId="3" type="noConversion"/>
  </si>
  <si>
    <t>薪---博---109.09</t>
    <phoneticPr fontId="3" type="noConversion"/>
  </si>
  <si>
    <t>109.10.05</t>
    <phoneticPr fontId="3" type="noConversion"/>
  </si>
  <si>
    <t>薪---証---109.09</t>
    <phoneticPr fontId="3" type="noConversion"/>
  </si>
  <si>
    <t>109.10.06</t>
    <phoneticPr fontId="3" type="noConversion"/>
  </si>
  <si>
    <t>薪---達---109.09</t>
    <phoneticPr fontId="3" type="noConversion"/>
  </si>
  <si>
    <t>華算信義</t>
    <phoneticPr fontId="3" type="noConversion"/>
  </si>
  <si>
    <t>薪---達---109.08-109.09</t>
    <phoneticPr fontId="3" type="noConversion"/>
  </si>
  <si>
    <t>ADA-109.05</t>
    <phoneticPr fontId="3" type="noConversion"/>
  </si>
  <si>
    <t>109.10.12</t>
    <phoneticPr fontId="3" type="noConversion"/>
  </si>
  <si>
    <t>票兌---0272298</t>
    <phoneticPr fontId="3" type="noConversion"/>
  </si>
  <si>
    <t>109.10.13</t>
    <phoneticPr fontId="3" type="noConversion"/>
  </si>
  <si>
    <t>109.10.15</t>
    <phoneticPr fontId="3" type="noConversion"/>
  </si>
  <si>
    <t>八亨---3</t>
    <phoneticPr fontId="3" type="noConversion"/>
  </si>
  <si>
    <t>109.10.16</t>
    <phoneticPr fontId="3" type="noConversion"/>
  </si>
  <si>
    <t>票兌---2620009</t>
    <phoneticPr fontId="3" type="noConversion"/>
  </si>
  <si>
    <t>109.10.16</t>
    <phoneticPr fontId="3" type="noConversion"/>
  </si>
  <si>
    <t>健保---109.08</t>
    <phoneticPr fontId="3" type="noConversion"/>
  </si>
  <si>
    <t>109.10.16</t>
    <phoneticPr fontId="3" type="noConversion"/>
  </si>
  <si>
    <t>電費---109.09</t>
    <phoneticPr fontId="3" type="noConversion"/>
  </si>
  <si>
    <t>109.10.06</t>
    <phoneticPr fontId="3" type="noConversion"/>
  </si>
  <si>
    <t>109.10.19</t>
    <phoneticPr fontId="3" type="noConversion"/>
  </si>
  <si>
    <t>票兌---3284953</t>
    <phoneticPr fontId="3" type="noConversion"/>
  </si>
  <si>
    <t>勤業---3</t>
    <phoneticPr fontId="3" type="noConversion"/>
  </si>
  <si>
    <t>109.10.22</t>
    <phoneticPr fontId="3" type="noConversion"/>
  </si>
  <si>
    <t>109.10.26</t>
    <phoneticPr fontId="3" type="noConversion"/>
  </si>
  <si>
    <t>管理費10</t>
    <phoneticPr fontId="3" type="noConversion"/>
  </si>
  <si>
    <t>109.10.27</t>
    <phoneticPr fontId="3" type="noConversion"/>
  </si>
  <si>
    <t>電話---23518546---109.10</t>
    <phoneticPr fontId="3" type="noConversion"/>
  </si>
  <si>
    <t>109.10.27</t>
    <phoneticPr fontId="3" type="noConversion"/>
  </si>
  <si>
    <t>電話---23518799---109.10</t>
    <phoneticPr fontId="3" type="noConversion"/>
  </si>
  <si>
    <t>電話---23518805---109.10</t>
    <phoneticPr fontId="3" type="noConversion"/>
  </si>
  <si>
    <t>109.10.28</t>
    <phoneticPr fontId="3" type="noConversion"/>
  </si>
  <si>
    <t>票兌---3165514</t>
    <phoneticPr fontId="3" type="noConversion"/>
  </si>
  <si>
    <t>109.10.30</t>
    <phoneticPr fontId="3" type="noConversion"/>
  </si>
  <si>
    <t>票兌---7541114</t>
    <phoneticPr fontId="3" type="noConversion"/>
  </si>
  <si>
    <t>109.11.02</t>
    <phoneticPr fontId="3" type="noConversion"/>
  </si>
  <si>
    <t>票兌---9245942</t>
    <phoneticPr fontId="3" type="noConversion"/>
  </si>
  <si>
    <t>漢聯---2</t>
    <phoneticPr fontId="3" type="noConversion"/>
  </si>
  <si>
    <t>109.11.02</t>
    <phoneticPr fontId="3" type="noConversion"/>
  </si>
  <si>
    <t>房租---北平16號---109.10</t>
    <phoneticPr fontId="3" type="noConversion"/>
  </si>
  <si>
    <t>109.11.03</t>
    <phoneticPr fontId="3" type="noConversion"/>
  </si>
  <si>
    <t>勞保---109.09</t>
    <phoneticPr fontId="3" type="noConversion"/>
  </si>
  <si>
    <t>109.11.05</t>
    <phoneticPr fontId="3" type="noConversion"/>
  </si>
  <si>
    <t>勞退---109.08</t>
    <phoneticPr fontId="3" type="noConversion"/>
  </si>
  <si>
    <t>109.11.05</t>
    <phoneticPr fontId="3" type="noConversion"/>
  </si>
  <si>
    <t>票兌---4011122</t>
    <phoneticPr fontId="3" type="noConversion"/>
  </si>
  <si>
    <t>票兌---4011130</t>
    <phoneticPr fontId="3" type="noConversion"/>
  </si>
  <si>
    <t>薪---博---109.10</t>
    <phoneticPr fontId="3" type="noConversion"/>
  </si>
  <si>
    <t>薪---証---109.10</t>
    <phoneticPr fontId="3" type="noConversion"/>
  </si>
  <si>
    <t>109.11.05</t>
    <phoneticPr fontId="3" type="noConversion"/>
  </si>
  <si>
    <t>薪---達---109.10</t>
    <phoneticPr fontId="3" type="noConversion"/>
  </si>
  <si>
    <t>109.11.05</t>
    <phoneticPr fontId="3" type="noConversion"/>
  </si>
  <si>
    <t>卡費---109.10</t>
    <phoneticPr fontId="3" type="noConversion"/>
  </si>
  <si>
    <t>109.11.06</t>
    <phoneticPr fontId="3" type="noConversion"/>
  </si>
  <si>
    <t>109.11.10</t>
    <phoneticPr fontId="3" type="noConversion"/>
  </si>
  <si>
    <t>鉑德---車源軟維</t>
    <phoneticPr fontId="3" type="noConversion"/>
  </si>
  <si>
    <t>崴凌---單次維護</t>
    <phoneticPr fontId="3" type="noConversion"/>
  </si>
  <si>
    <t>鎔德---PRIME-CLUB二次+尾</t>
    <phoneticPr fontId="3" type="noConversion"/>
  </si>
  <si>
    <t>依德---PRIME-CLUB二次+尾</t>
    <phoneticPr fontId="3" type="noConversion"/>
  </si>
  <si>
    <t>109.11.11</t>
    <phoneticPr fontId="3" type="noConversion"/>
  </si>
  <si>
    <t>109.11.12</t>
    <phoneticPr fontId="3" type="noConversion"/>
  </si>
  <si>
    <t>401----109.09/109.10</t>
    <phoneticPr fontId="3" type="noConversion"/>
  </si>
  <si>
    <t>109.11.16</t>
    <phoneticPr fontId="3" type="noConversion"/>
  </si>
  <si>
    <t>票兌---1008731</t>
    <phoneticPr fontId="3" type="noConversion"/>
  </si>
  <si>
    <t>109.11.17</t>
    <phoneticPr fontId="3" type="noConversion"/>
  </si>
  <si>
    <t>健保---109.09</t>
    <phoneticPr fontId="3" type="noConversion"/>
  </si>
  <si>
    <t>109.11.18</t>
    <phoneticPr fontId="3" type="noConversion"/>
  </si>
  <si>
    <t>109.11.19</t>
    <phoneticPr fontId="3" type="noConversion"/>
  </si>
  <si>
    <t>109.11.20</t>
    <phoneticPr fontId="3" type="noConversion"/>
  </si>
  <si>
    <t>票兌---6590318</t>
    <phoneticPr fontId="3" type="noConversion"/>
  </si>
  <si>
    <t>票兌---5333780</t>
    <phoneticPr fontId="3" type="noConversion"/>
  </si>
  <si>
    <t>票兌---3284954</t>
    <phoneticPr fontId="3" type="noConversion"/>
  </si>
  <si>
    <t>票兌---5867447</t>
    <phoneticPr fontId="3" type="noConversion"/>
  </si>
  <si>
    <t>票兌---5362518</t>
    <phoneticPr fontId="3" type="noConversion"/>
  </si>
  <si>
    <t>元超---5</t>
    <phoneticPr fontId="3" type="noConversion"/>
  </si>
  <si>
    <t>鉑德---1</t>
    <phoneticPr fontId="3" type="noConversion"/>
  </si>
  <si>
    <t>勤業---4</t>
    <phoneticPr fontId="3" type="noConversion"/>
  </si>
  <si>
    <t>109.11.23</t>
    <phoneticPr fontId="3" type="noConversion"/>
  </si>
  <si>
    <t>同皇---7</t>
    <phoneticPr fontId="3" type="noConversion"/>
  </si>
  <si>
    <t>109.11.24</t>
    <phoneticPr fontId="3" type="noConversion"/>
  </si>
  <si>
    <t>卡費---109.09</t>
    <phoneticPr fontId="3" type="noConversion"/>
  </si>
  <si>
    <t>卡費---109.09</t>
    <phoneticPr fontId="3" type="noConversion"/>
  </si>
  <si>
    <t>109.11.25</t>
    <phoneticPr fontId="3" type="noConversion"/>
  </si>
  <si>
    <t>票兌---6403635</t>
    <phoneticPr fontId="3" type="noConversion"/>
  </si>
  <si>
    <t>票兌---6403623</t>
    <phoneticPr fontId="3" type="noConversion"/>
  </si>
  <si>
    <t>票兌---6403622</t>
    <phoneticPr fontId="3" type="noConversion"/>
  </si>
  <si>
    <t>鎔德---1</t>
    <phoneticPr fontId="3" type="noConversion"/>
  </si>
  <si>
    <t>鎔德---1</t>
    <phoneticPr fontId="3" type="noConversion"/>
  </si>
  <si>
    <t>鎔德---車源維護</t>
    <phoneticPr fontId="3" type="noConversion"/>
  </si>
  <si>
    <t>109.11.26</t>
    <phoneticPr fontId="3" type="noConversion"/>
  </si>
  <si>
    <t>電話---23518546---109.11</t>
    <phoneticPr fontId="3" type="noConversion"/>
  </si>
  <si>
    <t>電話---23518799---109.11</t>
    <phoneticPr fontId="3" type="noConversion"/>
  </si>
  <si>
    <t>109.11.26</t>
    <phoneticPr fontId="3" type="noConversion"/>
  </si>
  <si>
    <t>電話---23518805---109.11</t>
    <phoneticPr fontId="3" type="noConversion"/>
  </si>
  <si>
    <t>109.11.26</t>
    <phoneticPr fontId="3" type="noConversion"/>
  </si>
  <si>
    <t>109.11.26</t>
    <phoneticPr fontId="3" type="noConversion"/>
  </si>
  <si>
    <t>109.11.30</t>
    <phoneticPr fontId="3" type="noConversion"/>
  </si>
  <si>
    <t>票兌---7804226</t>
    <phoneticPr fontId="3" type="noConversion"/>
  </si>
  <si>
    <t>票兌---9688767</t>
    <phoneticPr fontId="3" type="noConversion"/>
  </si>
  <si>
    <t>票兌---4912898</t>
    <phoneticPr fontId="3" type="noConversion"/>
  </si>
  <si>
    <t>太暘---5</t>
    <phoneticPr fontId="3" type="noConversion"/>
  </si>
  <si>
    <t>達翌---7</t>
    <phoneticPr fontId="3" type="noConversion"/>
  </si>
  <si>
    <t>永昌---1-4</t>
    <phoneticPr fontId="3" type="noConversion"/>
  </si>
  <si>
    <t>109.12.01</t>
    <phoneticPr fontId="3" type="noConversion"/>
  </si>
  <si>
    <t>票兌---9134561</t>
    <phoneticPr fontId="3" type="noConversion"/>
  </si>
  <si>
    <t>109.12.01</t>
    <phoneticPr fontId="3" type="noConversion"/>
  </si>
  <si>
    <t>勞保---109.10</t>
    <phoneticPr fontId="3" type="noConversion"/>
  </si>
  <si>
    <t>勞退---109.09</t>
    <phoneticPr fontId="3" type="noConversion"/>
  </si>
  <si>
    <t>房租---北平16號---109.11</t>
    <phoneticPr fontId="3" type="noConversion"/>
  </si>
  <si>
    <t>109.12.07</t>
    <phoneticPr fontId="3" type="noConversion"/>
  </si>
  <si>
    <t>票兌---5202536</t>
    <phoneticPr fontId="3" type="noConversion"/>
  </si>
  <si>
    <t>109.12.07</t>
    <phoneticPr fontId="3" type="noConversion"/>
  </si>
  <si>
    <t>薪---証---109.10</t>
    <phoneticPr fontId="3" type="noConversion"/>
  </si>
  <si>
    <t>109.12.07</t>
    <phoneticPr fontId="3" type="noConversion"/>
  </si>
  <si>
    <t>薪---博---109.11</t>
    <phoneticPr fontId="3" type="noConversion"/>
  </si>
  <si>
    <t>109.12.07</t>
    <phoneticPr fontId="3" type="noConversion"/>
  </si>
  <si>
    <t>薪---達---109.11</t>
    <phoneticPr fontId="3" type="noConversion"/>
  </si>
  <si>
    <t>卡費---109.11</t>
    <phoneticPr fontId="3" type="noConversion"/>
  </si>
  <si>
    <t>PT</t>
    <phoneticPr fontId="3" type="noConversion"/>
  </si>
  <si>
    <t>109.12.08</t>
    <phoneticPr fontId="3" type="noConversion"/>
  </si>
  <si>
    <t>109.12.08</t>
    <phoneticPr fontId="3" type="noConversion"/>
  </si>
  <si>
    <t>109.12.14</t>
    <phoneticPr fontId="3" type="noConversion"/>
  </si>
  <si>
    <t>威視---21</t>
    <phoneticPr fontId="3" type="noConversion"/>
  </si>
  <si>
    <t>109.12.15</t>
    <phoneticPr fontId="3" type="noConversion"/>
  </si>
  <si>
    <t>票兌---0704962</t>
    <phoneticPr fontId="3" type="noConversion"/>
  </si>
  <si>
    <t>愛浪---6</t>
    <phoneticPr fontId="3" type="noConversion"/>
  </si>
  <si>
    <t>109.12.16</t>
    <phoneticPr fontId="3" type="noConversion"/>
  </si>
  <si>
    <t>健保---109.10</t>
    <phoneticPr fontId="3" type="noConversion"/>
  </si>
  <si>
    <t>電費---109.11</t>
    <phoneticPr fontId="3" type="noConversion"/>
  </si>
  <si>
    <t>109.12.21</t>
    <phoneticPr fontId="3" type="noConversion"/>
  </si>
  <si>
    <t>票兌---3284955</t>
    <phoneticPr fontId="3" type="noConversion"/>
  </si>
  <si>
    <t>票兌---1370694</t>
    <phoneticPr fontId="3" type="noConversion"/>
  </si>
  <si>
    <t>勤業---5</t>
    <phoneticPr fontId="3" type="noConversion"/>
  </si>
  <si>
    <t>台一---3</t>
    <phoneticPr fontId="3" type="noConversion"/>
  </si>
  <si>
    <t>4U機殼</t>
    <phoneticPr fontId="3" type="noConversion"/>
  </si>
  <si>
    <t>109.12.25</t>
    <phoneticPr fontId="3" type="noConversion"/>
  </si>
  <si>
    <t>票兌---8348932</t>
    <phoneticPr fontId="3" type="noConversion"/>
  </si>
  <si>
    <t>票兌---1063196</t>
    <phoneticPr fontId="3" type="noConversion"/>
  </si>
  <si>
    <t>大成---7</t>
    <phoneticPr fontId="3" type="noConversion"/>
  </si>
  <si>
    <t>109.12.26</t>
    <phoneticPr fontId="3" type="noConversion"/>
  </si>
  <si>
    <t>電話---23518546---109.12</t>
    <phoneticPr fontId="3" type="noConversion"/>
  </si>
  <si>
    <t>109.12.28</t>
    <phoneticPr fontId="3" type="noConversion"/>
  </si>
  <si>
    <t>電話---23518799---109.12</t>
    <phoneticPr fontId="3" type="noConversion"/>
  </si>
  <si>
    <t>109.12.28</t>
    <phoneticPr fontId="3" type="noConversion"/>
  </si>
  <si>
    <t>電話---23518805---109.12</t>
    <phoneticPr fontId="3" type="noConversion"/>
  </si>
  <si>
    <t>109.12.30</t>
    <phoneticPr fontId="3" type="noConversion"/>
  </si>
  <si>
    <t>109.12.31</t>
  </si>
  <si>
    <t>票兌---3165515</t>
    <phoneticPr fontId="3" type="noConversion"/>
  </si>
  <si>
    <t>票兌---1880968</t>
    <phoneticPr fontId="3" type="noConversion"/>
  </si>
  <si>
    <t>票兌---4341852</t>
    <phoneticPr fontId="3" type="noConversion"/>
  </si>
  <si>
    <t>票兌---3871763</t>
    <phoneticPr fontId="3" type="noConversion"/>
  </si>
  <si>
    <t>松群---4</t>
    <phoneticPr fontId="3" type="noConversion"/>
  </si>
  <si>
    <t>XE27049600</t>
    <phoneticPr fontId="3" type="noConversion"/>
  </si>
  <si>
    <t>27763698</t>
    <phoneticPr fontId="3" type="noConversion"/>
  </si>
  <si>
    <t>XE27049601</t>
  </si>
  <si>
    <t>XE27049602</t>
  </si>
  <si>
    <t>XE27049603</t>
  </si>
  <si>
    <t>XE27049604</t>
  </si>
  <si>
    <t>XE27049605</t>
  </si>
  <si>
    <t>XE27049606</t>
  </si>
  <si>
    <t>XE27049607</t>
  </si>
  <si>
    <t>89478300</t>
    <phoneticPr fontId="3" type="noConversion"/>
  </si>
  <si>
    <t>XE27049608</t>
  </si>
  <si>
    <t>XE27049609</t>
  </si>
  <si>
    <t>松群</t>
    <phoneticPr fontId="3" type="noConversion"/>
  </si>
  <si>
    <t>89935670</t>
    <phoneticPr fontId="3" type="noConversion"/>
  </si>
  <si>
    <t>YZ27029700</t>
    <phoneticPr fontId="3" type="noConversion"/>
  </si>
  <si>
    <t>品固</t>
    <phoneticPr fontId="3" type="noConversion"/>
  </si>
  <si>
    <t>20928581</t>
    <phoneticPr fontId="3" type="noConversion"/>
  </si>
  <si>
    <t>YZ27029701</t>
  </si>
  <si>
    <t>永馳</t>
    <phoneticPr fontId="3" type="noConversion"/>
  </si>
  <si>
    <t>04825440</t>
    <phoneticPr fontId="3" type="noConversion"/>
  </si>
  <si>
    <t>YZ27029702</t>
  </si>
  <si>
    <t>同皇</t>
    <phoneticPr fontId="3" type="noConversion"/>
  </si>
  <si>
    <t>23306799</t>
    <phoneticPr fontId="3" type="noConversion"/>
  </si>
  <si>
    <t>YZ27029703</t>
  </si>
  <si>
    <t>元超</t>
    <phoneticPr fontId="3" type="noConversion"/>
  </si>
  <si>
    <t>12946185</t>
    <phoneticPr fontId="3" type="noConversion"/>
  </si>
  <si>
    <t>YZ27029704</t>
  </si>
  <si>
    <t>12946185</t>
    <phoneticPr fontId="3" type="noConversion"/>
  </si>
  <si>
    <t>AU25996200</t>
    <phoneticPr fontId="3" type="noConversion"/>
  </si>
  <si>
    <t>依德</t>
    <phoneticPr fontId="3" type="noConversion"/>
  </si>
  <si>
    <t>07656431</t>
    <phoneticPr fontId="3" type="noConversion"/>
  </si>
  <si>
    <t>AU25996201</t>
  </si>
  <si>
    <t>鎔德</t>
    <phoneticPr fontId="3" type="noConversion"/>
  </si>
  <si>
    <t>53456020</t>
    <phoneticPr fontId="3" type="noConversion"/>
  </si>
  <si>
    <t>AU25996202</t>
  </si>
  <si>
    <t>AU25996203</t>
  </si>
  <si>
    <t>鉑德</t>
    <phoneticPr fontId="3" type="noConversion"/>
  </si>
  <si>
    <t>54337826</t>
    <phoneticPr fontId="3" type="noConversion"/>
  </si>
  <si>
    <t>AU25996204</t>
  </si>
  <si>
    <t>大桐</t>
    <phoneticPr fontId="3" type="noConversion"/>
  </si>
  <si>
    <t>43871955</t>
    <phoneticPr fontId="3" type="noConversion"/>
  </si>
  <si>
    <t>AU25996205</t>
  </si>
  <si>
    <t>八亨</t>
    <phoneticPr fontId="3" type="noConversion"/>
  </si>
  <si>
    <t>23674533</t>
    <phoneticPr fontId="3" type="noConversion"/>
  </si>
  <si>
    <t>AU25996206</t>
  </si>
  <si>
    <t>威視</t>
    <phoneticPr fontId="3" type="noConversion"/>
  </si>
  <si>
    <t>96967079</t>
    <phoneticPr fontId="3" type="noConversion"/>
  </si>
  <si>
    <t>AU25996207</t>
  </si>
  <si>
    <t>施舒雅</t>
    <phoneticPr fontId="3" type="noConversion"/>
  </si>
  <si>
    <t>22663002</t>
    <phoneticPr fontId="3" type="noConversion"/>
  </si>
  <si>
    <t>AU25996208</t>
  </si>
  <si>
    <t>品固</t>
    <phoneticPr fontId="3" type="noConversion"/>
  </si>
  <si>
    <t>20928581</t>
    <phoneticPr fontId="3" type="noConversion"/>
  </si>
  <si>
    <t>AU25996209</t>
  </si>
  <si>
    <t>品固</t>
    <phoneticPr fontId="3" type="noConversion"/>
  </si>
  <si>
    <t>AU25996210</t>
  </si>
  <si>
    <t>作廢</t>
    <phoneticPr fontId="3" type="noConversion"/>
  </si>
  <si>
    <t>AU25996211</t>
  </si>
  <si>
    <t>台一</t>
    <phoneticPr fontId="3" type="noConversion"/>
  </si>
  <si>
    <t>22863276</t>
    <phoneticPr fontId="3" type="noConversion"/>
  </si>
  <si>
    <t>AU25996212</t>
  </si>
  <si>
    <t>道法</t>
    <phoneticPr fontId="3" type="noConversion"/>
  </si>
  <si>
    <t>01014093</t>
    <phoneticPr fontId="3" type="noConversion"/>
  </si>
  <si>
    <t>AU25996213</t>
  </si>
  <si>
    <t>AU25996214</t>
  </si>
  <si>
    <t>威倫</t>
    <phoneticPr fontId="3" type="noConversion"/>
  </si>
  <si>
    <t>20930144</t>
    <phoneticPr fontId="3" type="noConversion"/>
  </si>
  <si>
    <t>AU25996215</t>
  </si>
  <si>
    <t>永馳</t>
    <phoneticPr fontId="3" type="noConversion"/>
  </si>
  <si>
    <t>04825440</t>
    <phoneticPr fontId="3" type="noConversion"/>
  </si>
  <si>
    <t>AU25996216</t>
  </si>
  <si>
    <t>同皇</t>
    <phoneticPr fontId="3" type="noConversion"/>
  </si>
  <si>
    <t>23306799</t>
    <phoneticPr fontId="3" type="noConversion"/>
  </si>
  <si>
    <t>CP27056200</t>
    <phoneticPr fontId="3" type="noConversion"/>
  </si>
  <si>
    <t>同皇</t>
    <phoneticPr fontId="3" type="noConversion"/>
  </si>
  <si>
    <t>CP27056201</t>
    <phoneticPr fontId="3" type="noConversion"/>
  </si>
  <si>
    <t>八亨</t>
    <phoneticPr fontId="3" type="noConversion"/>
  </si>
  <si>
    <t>23674533</t>
    <phoneticPr fontId="3" type="noConversion"/>
  </si>
  <si>
    <t>CP27056202</t>
  </si>
  <si>
    <t>施舒雅</t>
    <phoneticPr fontId="3" type="noConversion"/>
  </si>
  <si>
    <t>22663002</t>
    <phoneticPr fontId="3" type="noConversion"/>
  </si>
  <si>
    <t>CP27056203</t>
  </si>
  <si>
    <t>漢聯</t>
    <phoneticPr fontId="3" type="noConversion"/>
  </si>
  <si>
    <t>12659198</t>
    <phoneticPr fontId="3" type="noConversion"/>
  </si>
  <si>
    <t>CP27056204</t>
  </si>
  <si>
    <t>崴凌</t>
    <phoneticPr fontId="3" type="noConversion"/>
  </si>
  <si>
    <t>16796546</t>
    <phoneticPr fontId="3" type="noConversion"/>
  </si>
  <si>
    <t>CP27056205</t>
  </si>
  <si>
    <t>依德</t>
    <phoneticPr fontId="3" type="noConversion"/>
  </si>
  <si>
    <t>07656431</t>
    <phoneticPr fontId="3" type="noConversion"/>
  </si>
  <si>
    <t>CP27056206</t>
  </si>
  <si>
    <t>鎔德</t>
    <phoneticPr fontId="3" type="noConversion"/>
  </si>
  <si>
    <t>53456020</t>
    <phoneticPr fontId="3" type="noConversion"/>
  </si>
  <si>
    <t>CP27056207</t>
  </si>
  <si>
    <t>鎔德</t>
    <phoneticPr fontId="3" type="noConversion"/>
  </si>
  <si>
    <t>53456020</t>
    <phoneticPr fontId="3" type="noConversion"/>
  </si>
  <si>
    <t>CP27056208</t>
  </si>
  <si>
    <t>鉑德</t>
    <phoneticPr fontId="3" type="noConversion"/>
  </si>
  <si>
    <t>54337826</t>
    <phoneticPr fontId="3" type="noConversion"/>
  </si>
  <si>
    <t>CP27056209</t>
  </si>
  <si>
    <t>大桐</t>
    <phoneticPr fontId="3" type="noConversion"/>
  </si>
  <si>
    <t>CP27056210</t>
  </si>
  <si>
    <t>祥和</t>
    <phoneticPr fontId="3" type="noConversion"/>
  </si>
  <si>
    <t>22650392</t>
    <phoneticPr fontId="3" type="noConversion"/>
  </si>
  <si>
    <t>CP27056211</t>
  </si>
  <si>
    <t>勤業</t>
    <phoneticPr fontId="3" type="noConversion"/>
  </si>
  <si>
    <t>00965968</t>
    <phoneticPr fontId="3" type="noConversion"/>
  </si>
  <si>
    <t>CP27056212</t>
  </si>
  <si>
    <t>CP27056213</t>
  </si>
  <si>
    <t>CP27056214</t>
  </si>
  <si>
    <t>依德</t>
    <phoneticPr fontId="3" type="noConversion"/>
  </si>
  <si>
    <t>CP27056215</t>
  </si>
  <si>
    <t>53456020</t>
    <phoneticPr fontId="3" type="noConversion"/>
  </si>
  <si>
    <t>EJ26995600</t>
    <phoneticPr fontId="3" type="noConversion"/>
  </si>
  <si>
    <t>EJ26995601</t>
  </si>
  <si>
    <t>EJ26995602</t>
  </si>
  <si>
    <t>EJ26995603</t>
  </si>
  <si>
    <t>EJ26995604</t>
  </si>
  <si>
    <t>EJ26995605</t>
  </si>
  <si>
    <t>鎔德</t>
    <phoneticPr fontId="3" type="noConversion"/>
  </si>
  <si>
    <t>EJ26995606</t>
  </si>
  <si>
    <t>GD26929300</t>
    <phoneticPr fontId="3" type="noConversion"/>
  </si>
  <si>
    <t>大桐</t>
    <phoneticPr fontId="3" type="noConversion"/>
  </si>
  <si>
    <t>43871955</t>
    <phoneticPr fontId="3" type="noConversion"/>
  </si>
  <si>
    <t>GD26929301</t>
  </si>
  <si>
    <t>同皇</t>
    <phoneticPr fontId="3" type="noConversion"/>
  </si>
  <si>
    <t>23306799</t>
    <phoneticPr fontId="3" type="noConversion"/>
  </si>
  <si>
    <t>GD26929302</t>
  </si>
  <si>
    <t>23674533</t>
    <phoneticPr fontId="3" type="noConversion"/>
  </si>
  <si>
    <t>GD26929303</t>
  </si>
  <si>
    <t>施舒雅</t>
    <phoneticPr fontId="3" type="noConversion"/>
  </si>
  <si>
    <t>22663002</t>
    <phoneticPr fontId="3" type="noConversion"/>
  </si>
  <si>
    <t>GD26929304</t>
    <phoneticPr fontId="3" type="noConversion"/>
  </si>
  <si>
    <t>永昌泰聯</t>
    <phoneticPr fontId="3" type="noConversion"/>
  </si>
  <si>
    <t>54378277</t>
    <phoneticPr fontId="3" type="noConversion"/>
  </si>
  <si>
    <t>GD26929305</t>
  </si>
  <si>
    <t>西拓</t>
    <phoneticPr fontId="3" type="noConversion"/>
  </si>
  <si>
    <t>70489361</t>
    <phoneticPr fontId="3" type="noConversion"/>
  </si>
  <si>
    <t>GD26929306</t>
  </si>
  <si>
    <t>39604416</t>
    <phoneticPr fontId="3" type="noConversion"/>
  </si>
  <si>
    <t>2020年開出發票</t>
    <phoneticPr fontId="3" type="noConversion"/>
  </si>
  <si>
    <r>
      <t>1</t>
    </r>
    <r>
      <rPr>
        <sz val="12"/>
        <rFont val="新細明體"/>
        <family val="1"/>
        <charset val="136"/>
      </rPr>
      <t>-8</t>
    </r>
    <phoneticPr fontId="3" type="noConversion"/>
  </si>
  <si>
    <r>
      <t>1</t>
    </r>
    <r>
      <rPr>
        <sz val="12"/>
        <rFont val="新細明體"/>
        <family val="1"/>
        <charset val="136"/>
      </rPr>
      <t>-8</t>
    </r>
    <phoneticPr fontId="3" type="noConversion"/>
  </si>
  <si>
    <r>
      <t>1</t>
    </r>
    <r>
      <rPr>
        <sz val="12"/>
        <rFont val="新細明體"/>
        <family val="1"/>
        <charset val="136"/>
      </rPr>
      <t>-8</t>
    </r>
    <phoneticPr fontId="3" type="noConversion"/>
  </si>
  <si>
    <r>
      <t>1</t>
    </r>
    <r>
      <rPr>
        <sz val="12"/>
        <rFont val="新細明體"/>
        <family val="1"/>
        <charset val="136"/>
      </rPr>
      <t>-12</t>
    </r>
    <phoneticPr fontId="3" type="noConversion"/>
  </si>
  <si>
    <r>
      <t>1</t>
    </r>
    <r>
      <rPr>
        <sz val="12"/>
        <rFont val="新細明體"/>
        <family val="1"/>
        <charset val="136"/>
      </rPr>
      <t>-4</t>
    </r>
    <phoneticPr fontId="3" type="noConversion"/>
  </si>
  <si>
    <r>
      <t>1</t>
    </r>
    <r>
      <rPr>
        <sz val="12"/>
        <rFont val="新細明體"/>
        <family val="1"/>
        <charset val="136"/>
      </rPr>
      <t>-8</t>
    </r>
    <phoneticPr fontId="3" type="noConversion"/>
  </si>
  <si>
    <t>8</t>
    <phoneticPr fontId="3" type="noConversion"/>
  </si>
  <si>
    <t>3</t>
    <phoneticPr fontId="3" type="noConversion"/>
  </si>
  <si>
    <r>
      <t>2</t>
    </r>
    <r>
      <rPr>
        <sz val="12"/>
        <rFont val="新細明體"/>
        <family val="1"/>
        <charset val="136"/>
      </rPr>
      <t>020.03.12</t>
    </r>
    <phoneticPr fontId="3" type="noConversion"/>
  </si>
  <si>
    <r>
      <t>2</t>
    </r>
    <r>
      <rPr>
        <sz val="12"/>
        <rFont val="新細明體"/>
        <family val="1"/>
        <charset val="136"/>
      </rPr>
      <t>020.06.10</t>
    </r>
    <phoneticPr fontId="3" type="noConversion"/>
  </si>
  <si>
    <r>
      <t>2</t>
    </r>
    <r>
      <rPr>
        <sz val="12"/>
        <rFont val="新細明體"/>
        <family val="1"/>
        <charset val="136"/>
      </rPr>
      <t>020.09.30</t>
    </r>
    <phoneticPr fontId="3" type="noConversion"/>
  </si>
  <si>
    <t>6</t>
    <phoneticPr fontId="3" type="noConversion"/>
  </si>
  <si>
    <t>6</t>
    <phoneticPr fontId="3" type="noConversion"/>
  </si>
  <si>
    <t>1</t>
    <phoneticPr fontId="3" type="noConversion"/>
  </si>
  <si>
    <r>
      <t>2</t>
    </r>
    <r>
      <rPr>
        <sz val="12"/>
        <rFont val="新細明體"/>
        <family val="1"/>
        <charset val="136"/>
      </rPr>
      <t>020.04.15</t>
    </r>
    <phoneticPr fontId="3" type="noConversion"/>
  </si>
  <si>
    <t>2020.07.15</t>
    <phoneticPr fontId="3" type="noConversion"/>
  </si>
  <si>
    <r>
      <t>2</t>
    </r>
    <r>
      <rPr>
        <sz val="12"/>
        <rFont val="新細明體"/>
        <family val="1"/>
        <charset val="136"/>
      </rPr>
      <t>020.10.15</t>
    </r>
    <phoneticPr fontId="3" type="noConversion"/>
  </si>
  <si>
    <t>4</t>
    <phoneticPr fontId="3" type="noConversion"/>
  </si>
  <si>
    <r>
      <t>2</t>
    </r>
    <r>
      <rPr>
        <sz val="12"/>
        <rFont val="新細明體"/>
        <family val="1"/>
        <charset val="136"/>
      </rPr>
      <t>020.02.24</t>
    </r>
    <phoneticPr fontId="3" type="noConversion"/>
  </si>
  <si>
    <r>
      <t>2</t>
    </r>
    <r>
      <rPr>
        <sz val="12"/>
        <rFont val="新細明體"/>
        <family val="1"/>
        <charset val="136"/>
      </rPr>
      <t>020.05.25</t>
    </r>
    <phoneticPr fontId="3" type="noConversion"/>
  </si>
  <si>
    <r>
      <t>2</t>
    </r>
    <r>
      <rPr>
        <sz val="12"/>
        <rFont val="新細明體"/>
        <family val="1"/>
        <charset val="136"/>
      </rPr>
      <t>020.08.24</t>
    </r>
    <phoneticPr fontId="3" type="noConversion"/>
  </si>
  <si>
    <t>7</t>
    <phoneticPr fontId="3" type="noConversion"/>
  </si>
  <si>
    <r>
      <t>2</t>
    </r>
    <r>
      <rPr>
        <sz val="12"/>
        <rFont val="新細明體"/>
        <family val="1"/>
        <charset val="136"/>
      </rPr>
      <t>020.11.23</t>
    </r>
    <phoneticPr fontId="3" type="noConversion"/>
  </si>
  <si>
    <t>1-12</t>
    <phoneticPr fontId="3" type="noConversion"/>
  </si>
  <si>
    <t>2020.09.25</t>
    <phoneticPr fontId="3" type="noConversion"/>
  </si>
  <si>
    <t>2020.10.05</t>
    <phoneticPr fontId="3" type="noConversion"/>
  </si>
  <si>
    <t>2020.10.05</t>
    <phoneticPr fontId="3" type="noConversion"/>
  </si>
  <si>
    <t>2020.10.05</t>
    <phoneticPr fontId="3" type="noConversion"/>
  </si>
  <si>
    <t>2020.10.05</t>
    <phoneticPr fontId="3" type="noConversion"/>
  </si>
  <si>
    <t>2020.12.07</t>
    <phoneticPr fontId="3" type="noConversion"/>
  </si>
  <si>
    <t>2020.11.10</t>
    <phoneticPr fontId="3" type="noConversion"/>
  </si>
  <si>
    <t>2019.04.10,2019.05.15,2019.06.10,2019.07.10,2019.08.10,2019.09.10,2019.10.04,2019.11.11,2019.12.26,2020.01.14,2020.02.12,2020.03.13</t>
    <phoneticPr fontId="3" type="noConversion"/>
  </si>
  <si>
    <t>2020.04.10,2020.05.08,2020.07.15,2020.07.15,2020.08.10,2020.09.15,2020.10.13,2020.11.11,2020.12.14</t>
    <phoneticPr fontId="3" type="noConversion"/>
  </si>
  <si>
    <t>2020.01.06</t>
    <phoneticPr fontId="3" type="noConversion"/>
  </si>
  <si>
    <t>2020.02.24</t>
    <phoneticPr fontId="3" type="noConversion"/>
  </si>
  <si>
    <t>2020.01.15</t>
    <phoneticPr fontId="3" type="noConversion"/>
  </si>
  <si>
    <t>2020年收票</t>
    <phoneticPr fontId="3" type="noConversion"/>
  </si>
  <si>
    <t>2019發票</t>
    <phoneticPr fontId="3" type="noConversion"/>
  </si>
  <si>
    <t>2020兌現</t>
    <phoneticPr fontId="3" type="noConversion"/>
  </si>
  <si>
    <t>2020.01.02</t>
    <phoneticPr fontId="3" type="noConversion"/>
  </si>
  <si>
    <t>2020.01.02</t>
    <phoneticPr fontId="3" type="noConversion"/>
  </si>
  <si>
    <t>2019.12.25</t>
    <phoneticPr fontId="3" type="noConversion"/>
  </si>
  <si>
    <t>HS0572991</t>
    <phoneticPr fontId="3" type="noConversion"/>
  </si>
  <si>
    <t>2020.01.05</t>
    <phoneticPr fontId="3" type="noConversion"/>
  </si>
  <si>
    <t>2020.01.08</t>
    <phoneticPr fontId="3" type="noConversion"/>
  </si>
  <si>
    <t>2020.01.08</t>
    <phoneticPr fontId="3" type="noConversion"/>
  </si>
  <si>
    <t>HS0572992</t>
  </si>
  <si>
    <t>HS0572993</t>
  </si>
  <si>
    <t>HS0572994</t>
  </si>
  <si>
    <t>HS0572995</t>
  </si>
  <si>
    <t>HS0572996</t>
  </si>
  <si>
    <t>HS0572997</t>
  </si>
  <si>
    <t>HS0572998</t>
  </si>
  <si>
    <t>2020.04.05</t>
    <phoneticPr fontId="3" type="noConversion"/>
  </si>
  <si>
    <t>2020.07.05</t>
    <phoneticPr fontId="3" type="noConversion"/>
  </si>
  <si>
    <t>2021.01.05</t>
    <phoneticPr fontId="3" type="noConversion"/>
  </si>
  <si>
    <t>2021.04.05</t>
    <phoneticPr fontId="3" type="noConversion"/>
  </si>
  <si>
    <t>2021.07.05</t>
    <phoneticPr fontId="3" type="noConversion"/>
  </si>
  <si>
    <t>2021.10.05</t>
    <phoneticPr fontId="3" type="noConversion"/>
  </si>
  <si>
    <t>雙安</t>
    <phoneticPr fontId="3" type="noConversion"/>
  </si>
  <si>
    <t>LA7988850</t>
    <phoneticPr fontId="3" type="noConversion"/>
  </si>
  <si>
    <t>2021.01.08</t>
    <phoneticPr fontId="3" type="noConversion"/>
  </si>
  <si>
    <t>LA7988851</t>
  </si>
  <si>
    <t>LA7988852</t>
  </si>
  <si>
    <t>LA7988853</t>
  </si>
  <si>
    <t>LA7988854</t>
  </si>
  <si>
    <t>LA7988855</t>
  </si>
  <si>
    <t>LA7988856</t>
  </si>
  <si>
    <t>LA7988857</t>
  </si>
  <si>
    <t>2020.04.01</t>
    <phoneticPr fontId="3" type="noConversion"/>
  </si>
  <si>
    <t>2020.07.01</t>
    <phoneticPr fontId="3" type="noConversion"/>
  </si>
  <si>
    <t>2020.10.01</t>
    <phoneticPr fontId="3" type="noConversion"/>
  </si>
  <si>
    <t>2021.01.01</t>
    <phoneticPr fontId="3" type="noConversion"/>
  </si>
  <si>
    <t>2021.04.01</t>
    <phoneticPr fontId="3" type="noConversion"/>
  </si>
  <si>
    <t>2021.07.01</t>
    <phoneticPr fontId="3" type="noConversion"/>
  </si>
  <si>
    <t>2021.10.01</t>
    <phoneticPr fontId="3" type="noConversion"/>
  </si>
  <si>
    <t>2020.01.10</t>
    <phoneticPr fontId="3" type="noConversion"/>
  </si>
  <si>
    <t>2020.01.10</t>
    <phoneticPr fontId="3" type="noConversion"/>
  </si>
  <si>
    <t>2020.01.10</t>
    <phoneticPr fontId="3" type="noConversion"/>
  </si>
  <si>
    <t>2020.01.16</t>
    <phoneticPr fontId="3" type="noConversion"/>
  </si>
  <si>
    <t>2020.01.30</t>
    <phoneticPr fontId="3" type="noConversion"/>
  </si>
  <si>
    <t>2020.02.15</t>
    <phoneticPr fontId="3" type="noConversion"/>
  </si>
  <si>
    <t>2020.02.15</t>
    <phoneticPr fontId="3" type="noConversion"/>
  </si>
  <si>
    <t>2020.01.10</t>
    <phoneticPr fontId="3" type="noConversion"/>
  </si>
  <si>
    <t>恩豪</t>
    <phoneticPr fontId="3" type="noConversion"/>
  </si>
  <si>
    <t>CA5867444</t>
    <phoneticPr fontId="3" type="noConversion"/>
  </si>
  <si>
    <t>2020.02.20</t>
    <phoneticPr fontId="3" type="noConversion"/>
  </si>
  <si>
    <t>2020.02.20</t>
    <phoneticPr fontId="3" type="noConversion"/>
  </si>
  <si>
    <t>CA5867445</t>
  </si>
  <si>
    <t>CA5867446</t>
  </si>
  <si>
    <t>CA5867447</t>
  </si>
  <si>
    <t>2020.05.20</t>
    <phoneticPr fontId="3" type="noConversion"/>
  </si>
  <si>
    <t>2020.08.20</t>
    <phoneticPr fontId="3" type="noConversion"/>
  </si>
  <si>
    <t>2020.11.20</t>
    <phoneticPr fontId="3" type="noConversion"/>
  </si>
  <si>
    <t>2020.02.25</t>
    <phoneticPr fontId="3" type="noConversion"/>
  </si>
  <si>
    <t>2020.02.25</t>
    <phoneticPr fontId="3" type="noConversion"/>
  </si>
  <si>
    <t>2020.02.25</t>
    <phoneticPr fontId="3" type="noConversion"/>
  </si>
  <si>
    <t>2020.02.25</t>
    <phoneticPr fontId="3" type="noConversion"/>
  </si>
  <si>
    <t>2020.02.25</t>
    <phoneticPr fontId="3" type="noConversion"/>
  </si>
  <si>
    <t>2020.02.25</t>
    <phoneticPr fontId="3" type="noConversion"/>
  </si>
  <si>
    <t>佳尼特</t>
    <phoneticPr fontId="3" type="noConversion"/>
  </si>
  <si>
    <t>JE3981609</t>
  </si>
  <si>
    <t>JE3981610</t>
  </si>
  <si>
    <t>JE3981611</t>
  </si>
  <si>
    <t>JE3981612</t>
  </si>
  <si>
    <t>JE3981613</t>
  </si>
  <si>
    <t>JE3981614</t>
  </si>
  <si>
    <t>2020.02.20</t>
    <phoneticPr fontId="3" type="noConversion"/>
  </si>
  <si>
    <t>JE3981608</t>
    <phoneticPr fontId="3" type="noConversion"/>
  </si>
  <si>
    <t>JE3981607</t>
    <phoneticPr fontId="3" type="noConversion"/>
  </si>
  <si>
    <t>2020.03.02</t>
    <phoneticPr fontId="3" type="noConversion"/>
  </si>
  <si>
    <t>2020.03.02</t>
    <phoneticPr fontId="3" type="noConversion"/>
  </si>
  <si>
    <t>2020.03.02</t>
    <phoneticPr fontId="3" type="noConversion"/>
  </si>
  <si>
    <t>2020.03.02</t>
    <phoneticPr fontId="3" type="noConversion"/>
  </si>
  <si>
    <t>2020.03.02</t>
    <phoneticPr fontId="3" type="noConversion"/>
  </si>
  <si>
    <t>2020.03.02</t>
    <phoneticPr fontId="3" type="noConversion"/>
  </si>
  <si>
    <t>2020.03.02</t>
    <phoneticPr fontId="3" type="noConversion"/>
  </si>
  <si>
    <t>2020.03.05</t>
    <phoneticPr fontId="3" type="noConversion"/>
  </si>
  <si>
    <t>2020.03.05</t>
    <phoneticPr fontId="3" type="noConversion"/>
  </si>
  <si>
    <t>2020.03.05</t>
    <phoneticPr fontId="3" type="noConversion"/>
  </si>
  <si>
    <t>2020.03.16</t>
    <phoneticPr fontId="3" type="noConversion"/>
  </si>
  <si>
    <t>2020.03.20</t>
    <phoneticPr fontId="3" type="noConversion"/>
  </si>
  <si>
    <t>2020.03.20</t>
    <phoneticPr fontId="3" type="noConversion"/>
  </si>
  <si>
    <t>2020.03.30</t>
    <phoneticPr fontId="3" type="noConversion"/>
  </si>
  <si>
    <t>2020.03.30</t>
    <phoneticPr fontId="3" type="noConversion"/>
  </si>
  <si>
    <t>2020.03.31</t>
    <phoneticPr fontId="3" type="noConversion"/>
  </si>
  <si>
    <t>2020.03.31</t>
    <phoneticPr fontId="3" type="noConversion"/>
  </si>
  <si>
    <t>HA1880965</t>
    <phoneticPr fontId="3" type="noConversion"/>
  </si>
  <si>
    <t>HA1880966</t>
  </si>
  <si>
    <t>HA1880967</t>
  </si>
  <si>
    <t>HA1880968</t>
  </si>
  <si>
    <t>HA1880969</t>
  </si>
  <si>
    <t>HA1880970</t>
  </si>
  <si>
    <t>HA1880971</t>
  </si>
  <si>
    <t>HA1880972</t>
  </si>
  <si>
    <t>2020.03.31</t>
    <phoneticPr fontId="3" type="noConversion"/>
  </si>
  <si>
    <t>2020.12.31</t>
    <phoneticPr fontId="3" type="noConversion"/>
  </si>
  <si>
    <t>2021.03.31</t>
    <phoneticPr fontId="3" type="noConversion"/>
  </si>
  <si>
    <t>2021.09.30</t>
    <phoneticPr fontId="3" type="noConversion"/>
  </si>
  <si>
    <t>2021.12.31</t>
    <phoneticPr fontId="3" type="noConversion"/>
  </si>
  <si>
    <t>2020.03.31</t>
    <phoneticPr fontId="3" type="noConversion"/>
  </si>
  <si>
    <t>2020.03.31</t>
    <phoneticPr fontId="3" type="noConversion"/>
  </si>
  <si>
    <t>2020.03.31</t>
    <phoneticPr fontId="3" type="noConversion"/>
  </si>
  <si>
    <t>2020.03.31</t>
    <phoneticPr fontId="3" type="noConversion"/>
  </si>
  <si>
    <t>2020.04.01</t>
    <phoneticPr fontId="3" type="noConversion"/>
  </si>
  <si>
    <t>2020.04.01</t>
    <phoneticPr fontId="3" type="noConversion"/>
  </si>
  <si>
    <t>2020.04.01</t>
    <phoneticPr fontId="3" type="noConversion"/>
  </si>
  <si>
    <t>2020.04.01</t>
    <phoneticPr fontId="3" type="noConversion"/>
  </si>
  <si>
    <t>2020.04.06</t>
    <phoneticPr fontId="3" type="noConversion"/>
  </si>
  <si>
    <t>2020.04.06</t>
    <phoneticPr fontId="3" type="noConversion"/>
  </si>
  <si>
    <t>2020.04.10</t>
    <phoneticPr fontId="3" type="noConversion"/>
  </si>
  <si>
    <t>2020.04.10</t>
    <phoneticPr fontId="3" type="noConversion"/>
  </si>
  <si>
    <t>2020.04.16</t>
    <phoneticPr fontId="3" type="noConversion"/>
  </si>
  <si>
    <t>2020.04.16</t>
    <phoneticPr fontId="3" type="noConversion"/>
  </si>
  <si>
    <t>2020.04.30</t>
    <phoneticPr fontId="3" type="noConversion"/>
  </si>
  <si>
    <t>2020.04.30</t>
    <phoneticPr fontId="3" type="noConversion"/>
  </si>
  <si>
    <t>2020.05.15</t>
    <phoneticPr fontId="3" type="noConversion"/>
  </si>
  <si>
    <t>2020.05.15</t>
    <phoneticPr fontId="3" type="noConversion"/>
  </si>
  <si>
    <t>2020.05.20</t>
    <phoneticPr fontId="3" type="noConversion"/>
  </si>
  <si>
    <t>2020.05.20</t>
    <phoneticPr fontId="3" type="noConversion"/>
  </si>
  <si>
    <t>品固</t>
    <phoneticPr fontId="3" type="noConversion"/>
  </si>
  <si>
    <t>KA5362516</t>
    <phoneticPr fontId="3" type="noConversion"/>
  </si>
  <si>
    <t>KA5362517</t>
  </si>
  <si>
    <t>KA5362518</t>
  </si>
  <si>
    <t>KA5362519</t>
  </si>
  <si>
    <t>KA5362520</t>
  </si>
  <si>
    <t>KA5362521</t>
  </si>
  <si>
    <t>KA5362522</t>
  </si>
  <si>
    <t>KA5362523</t>
  </si>
  <si>
    <t>2020.04.24</t>
    <phoneticPr fontId="3" type="noConversion"/>
  </si>
  <si>
    <t>2020.05.20</t>
    <phoneticPr fontId="3" type="noConversion"/>
  </si>
  <si>
    <t>2021.02.20</t>
    <phoneticPr fontId="3" type="noConversion"/>
  </si>
  <si>
    <t>2021.05.20</t>
    <phoneticPr fontId="3" type="noConversion"/>
  </si>
  <si>
    <t>2021.08.20</t>
    <phoneticPr fontId="3" type="noConversion"/>
  </si>
  <si>
    <t>2021.11.20</t>
    <phoneticPr fontId="3" type="noConversion"/>
  </si>
  <si>
    <t>2022.02.20</t>
    <phoneticPr fontId="3" type="noConversion"/>
  </si>
  <si>
    <t>2020.05.20</t>
    <phoneticPr fontId="3" type="noConversion"/>
  </si>
  <si>
    <t>2020.05.20</t>
    <phoneticPr fontId="3" type="noConversion"/>
  </si>
  <si>
    <t>2020.05.25</t>
    <phoneticPr fontId="3" type="noConversion"/>
  </si>
  <si>
    <t>2020.05.25</t>
    <phoneticPr fontId="3" type="noConversion"/>
  </si>
  <si>
    <t>2020.05.25</t>
    <phoneticPr fontId="3" type="noConversion"/>
  </si>
  <si>
    <t>2020.05.25</t>
    <phoneticPr fontId="3" type="noConversion"/>
  </si>
  <si>
    <t>2020.05.25</t>
    <phoneticPr fontId="3" type="noConversion"/>
  </si>
  <si>
    <t>2020.02.18</t>
    <phoneticPr fontId="3" type="noConversion"/>
  </si>
  <si>
    <t>2020.05.27</t>
    <phoneticPr fontId="3" type="noConversion"/>
  </si>
  <si>
    <t>KA6590315</t>
    <phoneticPr fontId="3" type="noConversion"/>
  </si>
  <si>
    <t>1-2</t>
    <phoneticPr fontId="3" type="noConversion"/>
  </si>
  <si>
    <t>KA6590316</t>
  </si>
  <si>
    <t>KA6590317</t>
  </si>
  <si>
    <t>KA6590318</t>
  </si>
  <si>
    <t>KA6590319</t>
  </si>
  <si>
    <t>KA6590320</t>
  </si>
  <si>
    <t>KA6590321</t>
  </si>
  <si>
    <t>2020.05.18</t>
    <phoneticPr fontId="3" type="noConversion"/>
  </si>
  <si>
    <t>2020.08.18</t>
    <phoneticPr fontId="3" type="noConversion"/>
  </si>
  <si>
    <t>2021.02.18</t>
    <phoneticPr fontId="3" type="noConversion"/>
  </si>
  <si>
    <t>2020.11.18</t>
    <phoneticPr fontId="3" type="noConversion"/>
  </si>
  <si>
    <t>2021.05.18</t>
    <phoneticPr fontId="3" type="noConversion"/>
  </si>
  <si>
    <t>2021.08.18</t>
    <phoneticPr fontId="3" type="noConversion"/>
  </si>
  <si>
    <t>2020.05.29</t>
    <phoneticPr fontId="3" type="noConversion"/>
  </si>
  <si>
    <t>2020.05.29</t>
    <phoneticPr fontId="3" type="noConversion"/>
  </si>
  <si>
    <t>2020.05.29</t>
    <phoneticPr fontId="3" type="noConversion"/>
  </si>
  <si>
    <t>2020.06.01</t>
    <phoneticPr fontId="3" type="noConversion"/>
  </si>
  <si>
    <t>2020.06.01</t>
    <phoneticPr fontId="3" type="noConversion"/>
  </si>
  <si>
    <t>2020.06.01</t>
    <phoneticPr fontId="3" type="noConversion"/>
  </si>
  <si>
    <t>2020.06.01</t>
    <phoneticPr fontId="3" type="noConversion"/>
  </si>
  <si>
    <t>2020.06.05</t>
    <phoneticPr fontId="3" type="noConversion"/>
  </si>
  <si>
    <t>2020.06.05</t>
    <phoneticPr fontId="3" type="noConversion"/>
  </si>
  <si>
    <t>2020.06.15</t>
    <phoneticPr fontId="3" type="noConversion"/>
  </si>
  <si>
    <t>2020.06.15</t>
    <phoneticPr fontId="3" type="noConversion"/>
  </si>
  <si>
    <t>2020.06.28</t>
    <phoneticPr fontId="3" type="noConversion"/>
  </si>
  <si>
    <t>GG1370692</t>
    <phoneticPr fontId="3" type="noConversion"/>
  </si>
  <si>
    <t>GG1370693</t>
  </si>
  <si>
    <t>GG1370694</t>
  </si>
  <si>
    <t>GG1370697</t>
  </si>
  <si>
    <t>GG1370698</t>
  </si>
  <si>
    <t>GG1370699</t>
  </si>
  <si>
    <t>2020.06.20</t>
    <phoneticPr fontId="3" type="noConversion"/>
  </si>
  <si>
    <t>GG1370696</t>
    <phoneticPr fontId="3" type="noConversion"/>
  </si>
  <si>
    <t>GG1382225</t>
    <phoneticPr fontId="3" type="noConversion"/>
  </si>
  <si>
    <t>2020.09.20</t>
    <phoneticPr fontId="3" type="noConversion"/>
  </si>
  <si>
    <t>2020.12.20</t>
    <phoneticPr fontId="3" type="noConversion"/>
  </si>
  <si>
    <t>2021.03.20</t>
    <phoneticPr fontId="3" type="noConversion"/>
  </si>
  <si>
    <t>2021.06.20</t>
    <phoneticPr fontId="3" type="noConversion"/>
  </si>
  <si>
    <t>2021.09.20</t>
    <phoneticPr fontId="3" type="noConversion"/>
  </si>
  <si>
    <t>2021.12.20</t>
    <phoneticPr fontId="3" type="noConversion"/>
  </si>
  <si>
    <t>2022.03.20</t>
    <phoneticPr fontId="3" type="noConversion"/>
  </si>
  <si>
    <t>2020.06.20</t>
    <phoneticPr fontId="3" type="noConversion"/>
  </si>
  <si>
    <t>2020.06.20</t>
    <phoneticPr fontId="3" type="noConversion"/>
  </si>
  <si>
    <t>2020.06.02</t>
    <phoneticPr fontId="3" type="noConversion"/>
  </si>
  <si>
    <t>道法</t>
    <phoneticPr fontId="3" type="noConversion"/>
  </si>
  <si>
    <t>2020.06.25</t>
    <phoneticPr fontId="3" type="noConversion"/>
  </si>
  <si>
    <t>MC1063194</t>
    <phoneticPr fontId="3" type="noConversion"/>
  </si>
  <si>
    <t>MC1063195</t>
  </si>
  <si>
    <t>MC1063196</t>
  </si>
  <si>
    <t>MC1063197</t>
  </si>
  <si>
    <t>MC1063198</t>
  </si>
  <si>
    <t>MC1063199</t>
  </si>
  <si>
    <t>MC1063200</t>
  </si>
  <si>
    <t>MC1063201</t>
  </si>
  <si>
    <t>2020.09.25</t>
    <phoneticPr fontId="3" type="noConversion"/>
  </si>
  <si>
    <t>2020.12.25</t>
    <phoneticPr fontId="3" type="noConversion"/>
  </si>
  <si>
    <t>2021.03.25</t>
    <phoneticPr fontId="3" type="noConversion"/>
  </si>
  <si>
    <t>2021.06.25</t>
    <phoneticPr fontId="3" type="noConversion"/>
  </si>
  <si>
    <t>2021.09.25</t>
    <phoneticPr fontId="3" type="noConversion"/>
  </si>
  <si>
    <t>2021.12.25</t>
    <phoneticPr fontId="3" type="noConversion"/>
  </si>
  <si>
    <t>2022.03.25</t>
    <phoneticPr fontId="3" type="noConversion"/>
  </si>
  <si>
    <t>2020.06.29</t>
    <phoneticPr fontId="3" type="noConversion"/>
  </si>
  <si>
    <t>2020.06.29</t>
    <phoneticPr fontId="3" type="noConversion"/>
  </si>
  <si>
    <t>2020.06.30</t>
    <phoneticPr fontId="3" type="noConversion"/>
  </si>
  <si>
    <t>2020.06.30</t>
    <phoneticPr fontId="3" type="noConversion"/>
  </si>
  <si>
    <t>2020.06.30</t>
    <phoneticPr fontId="3" type="noConversion"/>
  </si>
  <si>
    <t>2020.06.30</t>
    <phoneticPr fontId="3" type="noConversion"/>
  </si>
  <si>
    <t>2020.06.30</t>
    <phoneticPr fontId="3" type="noConversion"/>
  </si>
  <si>
    <t>2020.07.01</t>
    <phoneticPr fontId="3" type="noConversion"/>
  </si>
  <si>
    <t>2020.07.01</t>
    <phoneticPr fontId="3" type="noConversion"/>
  </si>
  <si>
    <t>2020.07.01</t>
    <phoneticPr fontId="3" type="noConversion"/>
  </si>
  <si>
    <t>2020.06.23</t>
    <phoneticPr fontId="3" type="noConversion"/>
  </si>
  <si>
    <t>威倫</t>
    <phoneticPr fontId="3" type="noConversion"/>
  </si>
  <si>
    <t>JD4341850</t>
    <phoneticPr fontId="3" type="noConversion"/>
  </si>
  <si>
    <t>JD4341851</t>
  </si>
  <si>
    <t>JD4341852</t>
  </si>
  <si>
    <t>JD4341853</t>
  </si>
  <si>
    <t>JD4341854</t>
  </si>
  <si>
    <t>JD4341855</t>
  </si>
  <si>
    <t>JD4341856</t>
  </si>
  <si>
    <t>JD4341857</t>
  </si>
  <si>
    <t>2021.03.30</t>
    <phoneticPr fontId="3" type="noConversion"/>
  </si>
  <si>
    <t>2021.06.30</t>
    <phoneticPr fontId="3" type="noConversion"/>
  </si>
  <si>
    <t>2021.09.30</t>
    <phoneticPr fontId="3" type="noConversion"/>
  </si>
  <si>
    <t>2021.12.30</t>
    <phoneticPr fontId="3" type="noConversion"/>
  </si>
  <si>
    <t>2022.03.31</t>
    <phoneticPr fontId="3" type="noConversion"/>
  </si>
  <si>
    <t>2021.12.31</t>
    <phoneticPr fontId="3" type="noConversion"/>
  </si>
  <si>
    <t>2021.03.31</t>
    <phoneticPr fontId="3" type="noConversion"/>
  </si>
  <si>
    <t>2020.12.31</t>
    <phoneticPr fontId="3" type="noConversion"/>
  </si>
  <si>
    <t>2020.07.06</t>
    <phoneticPr fontId="3" type="noConversion"/>
  </si>
  <si>
    <t>2020.07.06</t>
    <phoneticPr fontId="3" type="noConversion"/>
  </si>
  <si>
    <t>2020.07.15</t>
    <phoneticPr fontId="3" type="noConversion"/>
  </si>
  <si>
    <t>2020.07.15</t>
    <phoneticPr fontId="3" type="noConversion"/>
  </si>
  <si>
    <t>2020.07.15</t>
    <phoneticPr fontId="3" type="noConversion"/>
  </si>
  <si>
    <t>2020.07.15</t>
    <phoneticPr fontId="3" type="noConversion"/>
  </si>
  <si>
    <t>2020.07.16</t>
    <phoneticPr fontId="3" type="noConversion"/>
  </si>
  <si>
    <t>2020.07.16</t>
    <phoneticPr fontId="3" type="noConversion"/>
  </si>
  <si>
    <t>2020.07.30</t>
    <phoneticPr fontId="3" type="noConversion"/>
  </si>
  <si>
    <t>2020.08.05</t>
    <phoneticPr fontId="3" type="noConversion"/>
  </si>
  <si>
    <t>QD4011129</t>
    <phoneticPr fontId="3" type="noConversion"/>
  </si>
  <si>
    <t>QD4011130</t>
  </si>
  <si>
    <t>QD4011131</t>
  </si>
  <si>
    <t>QD4011132</t>
  </si>
  <si>
    <t>QD4011133</t>
  </si>
  <si>
    <t>QD4011134</t>
  </si>
  <si>
    <t>QD4011135</t>
  </si>
  <si>
    <t>QD4011136</t>
  </si>
  <si>
    <t>2020.11.05</t>
    <phoneticPr fontId="3" type="noConversion"/>
  </si>
  <si>
    <t>2021.02.05</t>
    <phoneticPr fontId="3" type="noConversion"/>
  </si>
  <si>
    <t>2021.05.05</t>
    <phoneticPr fontId="3" type="noConversion"/>
  </si>
  <si>
    <t>2021.08.05</t>
    <phoneticPr fontId="3" type="noConversion"/>
  </si>
  <si>
    <t>2021.11.05</t>
    <phoneticPr fontId="3" type="noConversion"/>
  </si>
  <si>
    <t>2022.02.05</t>
    <phoneticPr fontId="3" type="noConversion"/>
  </si>
  <si>
    <t>2022.05.05</t>
    <phoneticPr fontId="3" type="noConversion"/>
  </si>
  <si>
    <t>2020.08.05</t>
    <phoneticPr fontId="3" type="noConversion"/>
  </si>
  <si>
    <t>2020.08.05</t>
    <phoneticPr fontId="3" type="noConversion"/>
  </si>
  <si>
    <t>2020.07.22</t>
    <phoneticPr fontId="3" type="noConversion"/>
  </si>
  <si>
    <t>QD4011121</t>
    <phoneticPr fontId="3" type="noConversion"/>
  </si>
  <si>
    <t>QD4011122</t>
  </si>
  <si>
    <t>QD4011123</t>
  </si>
  <si>
    <t>QD4011124</t>
  </si>
  <si>
    <t>QD4011125</t>
  </si>
  <si>
    <t>QD4011126</t>
  </si>
  <si>
    <t>QD4011127</t>
  </si>
  <si>
    <t>QD4011128</t>
  </si>
  <si>
    <t>2020.07.22</t>
    <phoneticPr fontId="3" type="noConversion"/>
  </si>
  <si>
    <t>2020.08.17</t>
    <phoneticPr fontId="3" type="noConversion"/>
  </si>
  <si>
    <t>2020.08.17</t>
    <phoneticPr fontId="3" type="noConversion"/>
  </si>
  <si>
    <t>2020.08.03</t>
    <phoneticPr fontId="3" type="noConversion"/>
  </si>
  <si>
    <t>PTA1010617</t>
    <phoneticPr fontId="3" type="noConversion"/>
  </si>
  <si>
    <t>2022.08.15</t>
    <phoneticPr fontId="3" type="noConversion"/>
  </si>
  <si>
    <t>2020.08.18</t>
    <phoneticPr fontId="3" type="noConversion"/>
  </si>
  <si>
    <t>2020.08.18</t>
    <phoneticPr fontId="3" type="noConversion"/>
  </si>
  <si>
    <t>2020.08.12</t>
    <phoneticPr fontId="3" type="noConversion"/>
  </si>
  <si>
    <t>漢聯</t>
    <phoneticPr fontId="3" type="noConversion"/>
  </si>
  <si>
    <t>2020.08.01</t>
    <phoneticPr fontId="3" type="noConversion"/>
  </si>
  <si>
    <t>DA9245941</t>
    <phoneticPr fontId="3" type="noConversion"/>
  </si>
  <si>
    <t>DA9245942</t>
  </si>
  <si>
    <t>DA9245943</t>
  </si>
  <si>
    <t>DA9245944</t>
  </si>
  <si>
    <t>DA9245945</t>
  </si>
  <si>
    <t>DA9245946</t>
  </si>
  <si>
    <t>DA9245948</t>
    <phoneticPr fontId="3" type="noConversion"/>
  </si>
  <si>
    <t>DA9245949</t>
    <phoneticPr fontId="3" type="noConversion"/>
  </si>
  <si>
    <t>2020.11.01</t>
    <phoneticPr fontId="3" type="noConversion"/>
  </si>
  <si>
    <t>2021.02.01</t>
    <phoneticPr fontId="3" type="noConversion"/>
  </si>
  <si>
    <t>2021.05.01</t>
    <phoneticPr fontId="3" type="noConversion"/>
  </si>
  <si>
    <t>2021.08.01</t>
    <phoneticPr fontId="3" type="noConversion"/>
  </si>
  <si>
    <t>2021.11.01</t>
    <phoneticPr fontId="3" type="noConversion"/>
  </si>
  <si>
    <t>2022.02.01</t>
    <phoneticPr fontId="3" type="noConversion"/>
  </si>
  <si>
    <t>2022.05.01</t>
    <phoneticPr fontId="3" type="noConversion"/>
  </si>
  <si>
    <t>2020.08.18</t>
    <phoneticPr fontId="3" type="noConversion"/>
  </si>
  <si>
    <t>2020.08.18</t>
    <phoneticPr fontId="3" type="noConversion"/>
  </si>
  <si>
    <t>2020.08.20</t>
    <phoneticPr fontId="3" type="noConversion"/>
  </si>
  <si>
    <t>2020.08.20</t>
    <phoneticPr fontId="3" type="noConversion"/>
  </si>
  <si>
    <t>2020.08.20</t>
    <phoneticPr fontId="3" type="noConversion"/>
  </si>
  <si>
    <t>2020.08.25</t>
    <phoneticPr fontId="3" type="noConversion"/>
  </si>
  <si>
    <t>2020.08.25</t>
    <phoneticPr fontId="3" type="noConversion"/>
  </si>
  <si>
    <t>2020.08.25</t>
    <phoneticPr fontId="3" type="noConversion"/>
  </si>
  <si>
    <t>2020.08.25</t>
    <phoneticPr fontId="3" type="noConversion"/>
  </si>
  <si>
    <t>2020.08.25</t>
    <phoneticPr fontId="3" type="noConversion"/>
  </si>
  <si>
    <t>2020.08.25</t>
    <phoneticPr fontId="3" type="noConversion"/>
  </si>
  <si>
    <t>2020.08.25</t>
    <phoneticPr fontId="3" type="noConversion"/>
  </si>
  <si>
    <t>2020.08.31</t>
    <phoneticPr fontId="3" type="noConversion"/>
  </si>
  <si>
    <t>2020.08.31</t>
    <phoneticPr fontId="3" type="noConversion"/>
  </si>
  <si>
    <t>2020.08.31</t>
    <phoneticPr fontId="3" type="noConversion"/>
  </si>
  <si>
    <t>2020.09.01</t>
    <phoneticPr fontId="3" type="noConversion"/>
  </si>
  <si>
    <t>2020.09.01</t>
    <phoneticPr fontId="3" type="noConversion"/>
  </si>
  <si>
    <t>2020.08.25</t>
    <phoneticPr fontId="3" type="noConversion"/>
  </si>
  <si>
    <t>2020.08.19</t>
    <phoneticPr fontId="3" type="noConversion"/>
  </si>
  <si>
    <t>NN3284951</t>
    <phoneticPr fontId="3" type="noConversion"/>
  </si>
  <si>
    <t>NN3284952</t>
  </si>
  <si>
    <t>NN3284953</t>
  </si>
  <si>
    <t>NN3284954</t>
  </si>
  <si>
    <t>NN3284955</t>
  </si>
  <si>
    <t>NN3284956</t>
  </si>
  <si>
    <t>NN3284957</t>
  </si>
  <si>
    <t>NN3284958</t>
  </si>
  <si>
    <t>NN3284959</t>
  </si>
  <si>
    <t>NN3284960</t>
  </si>
  <si>
    <t>NN3284961</t>
  </si>
  <si>
    <t>NN3284962</t>
  </si>
  <si>
    <t>2020.09.19</t>
    <phoneticPr fontId="3" type="noConversion"/>
  </si>
  <si>
    <t>2020.10.19</t>
    <phoneticPr fontId="3" type="noConversion"/>
  </si>
  <si>
    <t>2020.11.19</t>
    <phoneticPr fontId="3" type="noConversion"/>
  </si>
  <si>
    <t>2020.12.19</t>
    <phoneticPr fontId="3" type="noConversion"/>
  </si>
  <si>
    <t>2021.01.19</t>
    <phoneticPr fontId="3" type="noConversion"/>
  </si>
  <si>
    <t>2021.02.19</t>
    <phoneticPr fontId="3" type="noConversion"/>
  </si>
  <si>
    <t>2021.03.19</t>
    <phoneticPr fontId="3" type="noConversion"/>
  </si>
  <si>
    <t>2021.04.19</t>
    <phoneticPr fontId="3" type="noConversion"/>
  </si>
  <si>
    <t>2021.05.19</t>
    <phoneticPr fontId="3" type="noConversion"/>
  </si>
  <si>
    <t>2021.06.19</t>
    <phoneticPr fontId="3" type="noConversion"/>
  </si>
  <si>
    <t>2021.07.19</t>
    <phoneticPr fontId="3" type="noConversion"/>
  </si>
  <si>
    <t>2020.09.02</t>
    <phoneticPr fontId="3" type="noConversion"/>
  </si>
  <si>
    <t>2020.09.15</t>
    <phoneticPr fontId="3" type="noConversion"/>
  </si>
  <si>
    <t>2020.09.15</t>
    <phoneticPr fontId="3" type="noConversion"/>
  </si>
  <si>
    <t>2020.09.21</t>
    <phoneticPr fontId="3" type="noConversion"/>
  </si>
  <si>
    <t>2020.09.21</t>
    <phoneticPr fontId="3" type="noConversion"/>
  </si>
  <si>
    <t>2020.09.21</t>
    <phoneticPr fontId="3" type="noConversion"/>
  </si>
  <si>
    <t>2020.09.25</t>
    <phoneticPr fontId="3" type="noConversion"/>
  </si>
  <si>
    <t>2020.09.25</t>
    <phoneticPr fontId="3" type="noConversion"/>
  </si>
  <si>
    <t>2020.09.30</t>
    <phoneticPr fontId="3" type="noConversion"/>
  </si>
  <si>
    <t>2020.09.30</t>
    <phoneticPr fontId="3" type="noConversion"/>
  </si>
  <si>
    <t>2020.09.30</t>
    <phoneticPr fontId="3" type="noConversion"/>
  </si>
  <si>
    <t>2020.09.30</t>
    <phoneticPr fontId="3" type="noConversion"/>
  </si>
  <si>
    <t>2020.09.30</t>
    <phoneticPr fontId="3" type="noConversion"/>
  </si>
  <si>
    <t>2020.10.05</t>
    <phoneticPr fontId="3" type="noConversion"/>
  </si>
  <si>
    <t>2020.10.05</t>
    <phoneticPr fontId="3" type="noConversion"/>
  </si>
  <si>
    <t>2020.10.05</t>
    <phoneticPr fontId="3" type="noConversion"/>
  </si>
  <si>
    <t>2020.10.05</t>
    <phoneticPr fontId="3" type="noConversion"/>
  </si>
  <si>
    <t>2020.10.12</t>
    <phoneticPr fontId="3" type="noConversion"/>
  </si>
  <si>
    <t>2020.10.12</t>
    <phoneticPr fontId="3" type="noConversion"/>
  </si>
  <si>
    <t>2020.10.16</t>
    <phoneticPr fontId="3" type="noConversion"/>
  </si>
  <si>
    <t>2020.10.16</t>
    <phoneticPr fontId="3" type="noConversion"/>
  </si>
  <si>
    <t>2020.10.19</t>
    <phoneticPr fontId="3" type="noConversion"/>
  </si>
  <si>
    <t>2020.10.19</t>
    <phoneticPr fontId="3" type="noConversion"/>
  </si>
  <si>
    <t>2020.10.26</t>
    <phoneticPr fontId="3" type="noConversion"/>
  </si>
  <si>
    <t>祥和</t>
    <phoneticPr fontId="3" type="noConversion"/>
  </si>
  <si>
    <t>2020.09.30</t>
    <phoneticPr fontId="3" type="noConversion"/>
  </si>
  <si>
    <t>NN3165514</t>
    <phoneticPr fontId="3" type="noConversion"/>
  </si>
  <si>
    <t>NN3165515</t>
  </si>
  <si>
    <t>NN3165516</t>
  </si>
  <si>
    <t>NN3165517</t>
  </si>
  <si>
    <t>NN3165518</t>
  </si>
  <si>
    <t>NN3165524</t>
    <phoneticPr fontId="3" type="noConversion"/>
  </si>
  <si>
    <t>NN3165519</t>
    <phoneticPr fontId="3" type="noConversion"/>
  </si>
  <si>
    <t>NN3165520</t>
    <phoneticPr fontId="3" type="noConversion"/>
  </si>
  <si>
    <t>2022.06.30</t>
    <phoneticPr fontId="3" type="noConversion"/>
  </si>
  <si>
    <t>2020.12.30</t>
    <phoneticPr fontId="3" type="noConversion"/>
  </si>
  <si>
    <t>2022.03.30</t>
    <phoneticPr fontId="3" type="noConversion"/>
  </si>
  <si>
    <t>2020.10.28</t>
    <phoneticPr fontId="3" type="noConversion"/>
  </si>
  <si>
    <t>2020.10.30</t>
    <phoneticPr fontId="3" type="noConversion"/>
  </si>
  <si>
    <t>2020.10.30</t>
    <phoneticPr fontId="3" type="noConversion"/>
  </si>
  <si>
    <t>2020.11.02</t>
    <phoneticPr fontId="3" type="noConversion"/>
  </si>
  <si>
    <t>2020.11.02</t>
    <phoneticPr fontId="3" type="noConversion"/>
  </si>
  <si>
    <t>2020.11.05</t>
    <phoneticPr fontId="3" type="noConversion"/>
  </si>
  <si>
    <t>2020.11.05</t>
    <phoneticPr fontId="3" type="noConversion"/>
  </si>
  <si>
    <t>2020.11.05</t>
    <phoneticPr fontId="3" type="noConversion"/>
  </si>
  <si>
    <t>2020.11.05</t>
    <phoneticPr fontId="3" type="noConversion"/>
  </si>
  <si>
    <t>2020.11.16</t>
    <phoneticPr fontId="3" type="noConversion"/>
  </si>
  <si>
    <t>2020.11.16</t>
    <phoneticPr fontId="3" type="noConversion"/>
  </si>
  <si>
    <t>2020.11.18</t>
    <phoneticPr fontId="3" type="noConversion"/>
  </si>
  <si>
    <t>2020.11.18</t>
    <phoneticPr fontId="3" type="noConversion"/>
  </si>
  <si>
    <t>2020.11.13</t>
    <phoneticPr fontId="3" type="noConversion"/>
  </si>
  <si>
    <t>鉑德</t>
    <phoneticPr fontId="3" type="noConversion"/>
  </si>
  <si>
    <t>JE5333780</t>
    <phoneticPr fontId="3" type="noConversion"/>
  </si>
  <si>
    <t>JE5333781</t>
  </si>
  <si>
    <t>JE5333782</t>
  </si>
  <si>
    <t>JE5333783</t>
  </si>
  <si>
    <t>JE5333784</t>
  </si>
  <si>
    <t>JE5333785</t>
  </si>
  <si>
    <t>JE5333786</t>
  </si>
  <si>
    <t>JE5333787</t>
  </si>
  <si>
    <t>2021.05.01</t>
    <phoneticPr fontId="3" type="noConversion"/>
  </si>
  <si>
    <t>2021.08.01</t>
    <phoneticPr fontId="3" type="noConversion"/>
  </si>
  <si>
    <t>2021.11.01</t>
    <phoneticPr fontId="3" type="noConversion"/>
  </si>
  <si>
    <t>2022.02.01</t>
    <phoneticPr fontId="3" type="noConversion"/>
  </si>
  <si>
    <t>2022.05.01</t>
    <phoneticPr fontId="3" type="noConversion"/>
  </si>
  <si>
    <t>2022.08.01</t>
    <phoneticPr fontId="3" type="noConversion"/>
  </si>
  <si>
    <t>2020.11.18</t>
    <phoneticPr fontId="3" type="noConversion"/>
  </si>
  <si>
    <t>2020.11.19</t>
    <phoneticPr fontId="3" type="noConversion"/>
  </si>
  <si>
    <t>2020.11.19</t>
    <phoneticPr fontId="3" type="noConversion"/>
  </si>
  <si>
    <t>2020.11.20</t>
    <phoneticPr fontId="3" type="noConversion"/>
  </si>
  <si>
    <t>2020.11.20</t>
    <phoneticPr fontId="3" type="noConversion"/>
  </si>
  <si>
    <t>2020.11.20</t>
    <phoneticPr fontId="3" type="noConversion"/>
  </si>
  <si>
    <t>鎔德</t>
    <phoneticPr fontId="3" type="noConversion"/>
  </si>
  <si>
    <t>2020.11.25</t>
  </si>
  <si>
    <t>2020.11.25</t>
    <phoneticPr fontId="3" type="noConversion"/>
  </si>
  <si>
    <t>JE6403623</t>
    <phoneticPr fontId="3" type="noConversion"/>
  </si>
  <si>
    <t>JE6403624</t>
  </si>
  <si>
    <t>JE6403626</t>
  </si>
  <si>
    <t>JE6403627</t>
  </si>
  <si>
    <t>JE6403628</t>
  </si>
  <si>
    <t>JE6403629</t>
  </si>
  <si>
    <t>JE6403630</t>
  </si>
  <si>
    <t>JE6403637</t>
    <phoneticPr fontId="3" type="noConversion"/>
  </si>
  <si>
    <t>JE6403638</t>
  </si>
  <si>
    <t>JE6403639</t>
  </si>
  <si>
    <t>JE6403640</t>
  </si>
  <si>
    <t>JE6403641</t>
  </si>
  <si>
    <t>JE6403642</t>
  </si>
  <si>
    <t>2021.02.25</t>
    <phoneticPr fontId="3" type="noConversion"/>
  </si>
  <si>
    <t>2021.05.25</t>
    <phoneticPr fontId="3" type="noConversion"/>
  </si>
  <si>
    <t>2021.08.25</t>
    <phoneticPr fontId="3" type="noConversion"/>
  </si>
  <si>
    <t>2021.11.25</t>
    <phoneticPr fontId="3" type="noConversion"/>
  </si>
  <si>
    <t>2022.02.25</t>
    <phoneticPr fontId="3" type="noConversion"/>
  </si>
  <si>
    <t>2022.05.25</t>
    <phoneticPr fontId="3" type="noConversion"/>
  </si>
  <si>
    <t>2022.08.25</t>
    <phoneticPr fontId="3" type="noConversion"/>
  </si>
  <si>
    <t>2020.11.25</t>
    <phoneticPr fontId="3" type="noConversion"/>
  </si>
  <si>
    <t>2020.11.25</t>
    <phoneticPr fontId="3" type="noConversion"/>
  </si>
  <si>
    <t>JE6403635</t>
    <phoneticPr fontId="3" type="noConversion"/>
  </si>
  <si>
    <t>JE6403636</t>
    <phoneticPr fontId="3" type="noConversion"/>
  </si>
  <si>
    <t>JE6403625</t>
    <phoneticPr fontId="3" type="noConversion"/>
  </si>
  <si>
    <t>JE6403622</t>
    <phoneticPr fontId="3" type="noConversion"/>
  </si>
  <si>
    <t>2020.11.30</t>
    <phoneticPr fontId="3" type="noConversion"/>
  </si>
  <si>
    <t>2020.11.30</t>
    <phoneticPr fontId="3" type="noConversion"/>
  </si>
  <si>
    <t>2020.11.30</t>
    <phoneticPr fontId="3" type="noConversion"/>
  </si>
  <si>
    <t>2020.12.01</t>
    <phoneticPr fontId="3" type="noConversion"/>
  </si>
  <si>
    <t>2020.12.01</t>
    <phoneticPr fontId="3" type="noConversion"/>
  </si>
  <si>
    <t>2020.12.03</t>
    <phoneticPr fontId="3" type="noConversion"/>
  </si>
  <si>
    <t>依德</t>
    <phoneticPr fontId="3" type="noConversion"/>
  </si>
  <si>
    <t>JE5202536</t>
    <phoneticPr fontId="3" type="noConversion"/>
  </si>
  <si>
    <t>JE5202537</t>
  </si>
  <si>
    <t>JE5202538</t>
  </si>
  <si>
    <t>JE5202539</t>
  </si>
  <si>
    <t>JE5202540</t>
  </si>
  <si>
    <t>JE5202541</t>
  </si>
  <si>
    <t>JE5202542</t>
  </si>
  <si>
    <t>JE5202543</t>
  </si>
  <si>
    <t>2020.12.07</t>
    <phoneticPr fontId="3" type="noConversion"/>
  </si>
  <si>
    <t>2020.12.07</t>
    <phoneticPr fontId="3" type="noConversion"/>
  </si>
  <si>
    <t>2020.12.15</t>
    <phoneticPr fontId="3" type="noConversion"/>
  </si>
  <si>
    <t>2020.12.15</t>
    <phoneticPr fontId="3" type="noConversion"/>
  </si>
  <si>
    <t>2020.12.21</t>
    <phoneticPr fontId="3" type="noConversion"/>
  </si>
  <si>
    <t>2020.12.21</t>
    <phoneticPr fontId="3" type="noConversion"/>
  </si>
  <si>
    <t>2020.12.21</t>
    <phoneticPr fontId="3" type="noConversion"/>
  </si>
  <si>
    <t>2020.12.21</t>
    <phoneticPr fontId="3" type="noConversion"/>
  </si>
  <si>
    <t>2020.12.25</t>
    <phoneticPr fontId="3" type="noConversion"/>
  </si>
  <si>
    <t>2020.12.25</t>
    <phoneticPr fontId="3" type="noConversion"/>
  </si>
  <si>
    <t>2020.12.30</t>
    <phoneticPr fontId="3" type="noConversion"/>
  </si>
  <si>
    <t>2020.12.30</t>
    <phoneticPr fontId="3" type="noConversion"/>
  </si>
  <si>
    <t>2020.12.31</t>
    <phoneticPr fontId="3" type="noConversion"/>
  </si>
  <si>
    <t>2020.12.31</t>
    <phoneticPr fontId="3" type="noConversion"/>
  </si>
  <si>
    <t>2020.12.31</t>
    <phoneticPr fontId="3" type="noConversion"/>
  </si>
  <si>
    <t>2020.12.31</t>
    <phoneticPr fontId="3" type="noConversion"/>
  </si>
  <si>
    <t>2020.01.06</t>
    <phoneticPr fontId="3" type="noConversion"/>
  </si>
  <si>
    <t>依德</t>
    <phoneticPr fontId="3" type="noConversion"/>
  </si>
  <si>
    <t>2020.01.06</t>
    <phoneticPr fontId="3" type="noConversion"/>
  </si>
  <si>
    <t>2020.01.14</t>
    <phoneticPr fontId="3" type="noConversion"/>
  </si>
  <si>
    <t>2020.01.14</t>
    <phoneticPr fontId="3" type="noConversion"/>
  </si>
  <si>
    <t>2020.01.15</t>
    <phoneticPr fontId="3" type="noConversion"/>
  </si>
  <si>
    <t>友士</t>
    <phoneticPr fontId="3" type="noConversion"/>
  </si>
  <si>
    <t>2020.02.12</t>
    <phoneticPr fontId="3" type="noConversion"/>
  </si>
  <si>
    <t>2020.02.12</t>
    <phoneticPr fontId="3" type="noConversion"/>
  </si>
  <si>
    <t>2020.03.13</t>
    <phoneticPr fontId="3" type="noConversion"/>
  </si>
  <si>
    <t>2020.03.13</t>
    <phoneticPr fontId="3" type="noConversion"/>
  </si>
  <si>
    <t>2020.03.25</t>
    <phoneticPr fontId="3" type="noConversion"/>
  </si>
  <si>
    <t>2020.03.25</t>
    <phoneticPr fontId="3" type="noConversion"/>
  </si>
  <si>
    <t>2020.04.10</t>
    <phoneticPr fontId="3" type="noConversion"/>
  </si>
  <si>
    <t>2020.04.10</t>
    <phoneticPr fontId="3" type="noConversion"/>
  </si>
  <si>
    <t>2020.04.15</t>
    <phoneticPr fontId="3" type="noConversion"/>
  </si>
  <si>
    <t>2020.04.15</t>
    <phoneticPr fontId="3" type="noConversion"/>
  </si>
  <si>
    <t>2020.05.08</t>
    <phoneticPr fontId="3" type="noConversion"/>
  </si>
  <si>
    <t>2020.05.08</t>
    <phoneticPr fontId="3" type="noConversion"/>
  </si>
  <si>
    <t>2020.05.25</t>
    <phoneticPr fontId="3" type="noConversion"/>
  </si>
  <si>
    <t>2020.05.25</t>
    <phoneticPr fontId="3" type="noConversion"/>
  </si>
  <si>
    <t>2020.06.03</t>
    <phoneticPr fontId="3" type="noConversion"/>
  </si>
  <si>
    <t>展鑫</t>
    <phoneticPr fontId="3" type="noConversion"/>
  </si>
  <si>
    <t>2020.06.03</t>
    <phoneticPr fontId="3" type="noConversion"/>
  </si>
  <si>
    <t>1-8</t>
    <phoneticPr fontId="3" type="noConversion"/>
  </si>
  <si>
    <t>2020.06.29</t>
    <phoneticPr fontId="3" type="noConversion"/>
  </si>
  <si>
    <t>2020.06.29</t>
    <phoneticPr fontId="3" type="noConversion"/>
  </si>
  <si>
    <t>2020.07.15</t>
    <phoneticPr fontId="3" type="noConversion"/>
  </si>
  <si>
    <t>2020.07.15</t>
    <phoneticPr fontId="3" type="noConversion"/>
  </si>
  <si>
    <t>2020.07.15</t>
    <phoneticPr fontId="3" type="noConversion"/>
  </si>
  <si>
    <t>15-16</t>
    <phoneticPr fontId="3" type="noConversion"/>
  </si>
  <si>
    <t>2020.07.15</t>
    <phoneticPr fontId="3" type="noConversion"/>
  </si>
  <si>
    <t>2020.08.10</t>
    <phoneticPr fontId="3" type="noConversion"/>
  </si>
  <si>
    <t>2020.08.10</t>
    <phoneticPr fontId="3" type="noConversion"/>
  </si>
  <si>
    <t>2020.08.24</t>
    <phoneticPr fontId="3" type="noConversion"/>
  </si>
  <si>
    <t>2020.08.24</t>
    <phoneticPr fontId="3" type="noConversion"/>
  </si>
  <si>
    <t>2020.09.15</t>
    <phoneticPr fontId="3" type="noConversion"/>
  </si>
  <si>
    <t>鎔德</t>
    <phoneticPr fontId="3" type="noConversion"/>
  </si>
  <si>
    <t>2020.10.05</t>
    <phoneticPr fontId="3" type="noConversion"/>
  </si>
  <si>
    <t>2020.10.13</t>
    <phoneticPr fontId="3" type="noConversion"/>
  </si>
  <si>
    <t>2020.10.13</t>
    <phoneticPr fontId="3" type="noConversion"/>
  </si>
  <si>
    <t>2020.10.15</t>
    <phoneticPr fontId="3" type="noConversion"/>
  </si>
  <si>
    <t>2020.10.15</t>
    <phoneticPr fontId="3" type="noConversion"/>
  </si>
  <si>
    <t>2020.11.10</t>
    <phoneticPr fontId="3" type="noConversion"/>
  </si>
  <si>
    <t>鉑德</t>
    <phoneticPr fontId="3" type="noConversion"/>
  </si>
  <si>
    <t>2020.11.10</t>
    <phoneticPr fontId="3" type="noConversion"/>
  </si>
  <si>
    <t>2020.11.11</t>
    <phoneticPr fontId="3" type="noConversion"/>
  </si>
  <si>
    <t>2020.11.11</t>
    <phoneticPr fontId="3" type="noConversion"/>
  </si>
  <si>
    <t>2020.11.23</t>
    <phoneticPr fontId="3" type="noConversion"/>
  </si>
  <si>
    <t>2020.11.23</t>
    <phoneticPr fontId="3" type="noConversion"/>
  </si>
  <si>
    <t>2020.11.30</t>
    <phoneticPr fontId="3" type="noConversion"/>
  </si>
  <si>
    <t>2020.11.30</t>
    <phoneticPr fontId="3" type="noConversion"/>
  </si>
  <si>
    <t>2020.12.07</t>
    <phoneticPr fontId="3" type="noConversion"/>
  </si>
  <si>
    <t>2020.12.14</t>
    <phoneticPr fontId="3" type="noConversion"/>
  </si>
  <si>
    <t>2020.12.14</t>
    <phoneticPr fontId="3" type="noConversion"/>
  </si>
  <si>
    <t>2020.06.10</t>
    <phoneticPr fontId="3" type="noConversion"/>
  </si>
  <si>
    <t>2020.06.10</t>
    <phoneticPr fontId="3" type="noConversion"/>
  </si>
  <si>
    <t>2020.09.30</t>
    <phoneticPr fontId="3" type="noConversion"/>
  </si>
  <si>
    <t>日期</t>
    <phoneticPr fontId="3" type="noConversion"/>
  </si>
  <si>
    <t>零用金-入</t>
    <phoneticPr fontId="3" type="noConversion"/>
  </si>
  <si>
    <t>零用金-出</t>
    <phoneticPr fontId="3" type="noConversion"/>
  </si>
  <si>
    <t>科目</t>
    <phoneticPr fontId="3" type="noConversion"/>
  </si>
  <si>
    <t>說明</t>
    <phoneticPr fontId="3" type="noConversion"/>
  </si>
  <si>
    <t>2009.7.13</t>
    <phoneticPr fontId="3" type="noConversion"/>
  </si>
  <si>
    <t>雙安裝機車資</t>
    <phoneticPr fontId="3" type="noConversion"/>
  </si>
  <si>
    <t>(餘 131)</t>
    <phoneticPr fontId="3" type="noConversion"/>
  </si>
  <si>
    <t>2009.7.15</t>
    <phoneticPr fontId="3" type="noConversion"/>
  </si>
  <si>
    <t>台銀</t>
    <phoneticPr fontId="3" type="noConversion"/>
  </si>
  <si>
    <t>98.7 SONET</t>
    <phoneticPr fontId="3" type="noConversion"/>
  </si>
  <si>
    <t>詩留現金</t>
    <phoneticPr fontId="3" type="noConversion"/>
  </si>
  <si>
    <t>2009.7.23</t>
    <phoneticPr fontId="3" type="noConversion"/>
  </si>
  <si>
    <t>2009.7.29</t>
    <phoneticPr fontId="3" type="noConversion"/>
  </si>
  <si>
    <t>匯李佳臨-045004018766</t>
    <phoneticPr fontId="3" type="noConversion"/>
  </si>
  <si>
    <t>大成車資</t>
    <phoneticPr fontId="3" type="noConversion"/>
  </si>
  <si>
    <t>(餘 2091)</t>
    <phoneticPr fontId="3" type="noConversion"/>
  </si>
  <si>
    <t>2009.8.3</t>
    <phoneticPr fontId="3" type="noConversion"/>
  </si>
  <si>
    <t>陳媽種子郵票</t>
    <phoneticPr fontId="3" type="noConversion"/>
  </si>
  <si>
    <t>8月管理費</t>
    <phoneticPr fontId="3" type="noConversion"/>
  </si>
  <si>
    <t>2009.8.19</t>
    <phoneticPr fontId="3" type="noConversion"/>
  </si>
  <si>
    <t>SO-NET 8月帳單</t>
    <phoneticPr fontId="3" type="noConversion"/>
  </si>
  <si>
    <t>9-10月發票</t>
    <phoneticPr fontId="3" type="noConversion"/>
  </si>
  <si>
    <t>詩預付</t>
    <phoneticPr fontId="3" type="noConversion"/>
  </si>
  <si>
    <t>(餘 246)</t>
    <phoneticPr fontId="3" type="noConversion"/>
  </si>
  <si>
    <t>2009.8.31</t>
    <phoneticPr fontId="3" type="noConversion"/>
  </si>
  <si>
    <t>台一車資</t>
    <phoneticPr fontId="3" type="noConversion"/>
  </si>
  <si>
    <t>(餘 46)</t>
    <phoneticPr fontId="3" type="noConversion"/>
  </si>
  <si>
    <t>(餘 1736)</t>
    <phoneticPr fontId="3" type="noConversion"/>
  </si>
  <si>
    <t>(餘 1686)</t>
    <phoneticPr fontId="3" type="noConversion"/>
  </si>
  <si>
    <t>(餘 886)</t>
    <phoneticPr fontId="3" type="noConversion"/>
  </si>
  <si>
    <t>2009.9.11</t>
    <phoneticPr fontId="3" type="noConversion"/>
  </si>
  <si>
    <t>公司悠遊卡儲值</t>
    <phoneticPr fontId="3" type="noConversion"/>
  </si>
  <si>
    <t>2009.9.14</t>
    <phoneticPr fontId="3" type="noConversion"/>
  </si>
  <si>
    <t>(餘 2786)</t>
    <phoneticPr fontId="3" type="noConversion"/>
  </si>
  <si>
    <t>98.9 SONET</t>
    <phoneticPr fontId="3" type="noConversion"/>
  </si>
  <si>
    <t>2009.9.16</t>
    <phoneticPr fontId="3" type="noConversion"/>
  </si>
  <si>
    <t>台企忠孝郵電費(手續費$100免收)</t>
    <phoneticPr fontId="3" type="noConversion"/>
  </si>
  <si>
    <t>9月管理費</t>
    <phoneticPr fontId="3" type="noConversion"/>
  </si>
  <si>
    <t>2009.9.21</t>
    <phoneticPr fontId="3" type="noConversion"/>
  </si>
  <si>
    <t>2009.9.22</t>
    <phoneticPr fontId="3" type="noConversion"/>
  </si>
  <si>
    <t>2009.9.24</t>
    <phoneticPr fontId="3" type="noConversion"/>
  </si>
  <si>
    <t>(餘 1416)</t>
    <phoneticPr fontId="3" type="noConversion"/>
  </si>
  <si>
    <t>2009.9.28</t>
    <phoneticPr fontId="3" type="noConversion"/>
  </si>
  <si>
    <t>(餘 1316)</t>
    <phoneticPr fontId="3" type="noConversion"/>
  </si>
  <si>
    <t>香皂</t>
    <phoneticPr fontId="3" type="noConversion"/>
  </si>
  <si>
    <t>EMS-陳媽中藥</t>
    <phoneticPr fontId="3" type="noConversion"/>
  </si>
  <si>
    <t>2009.10.9</t>
    <phoneticPr fontId="3" type="noConversion"/>
  </si>
  <si>
    <t>(餘 549)</t>
    <phoneticPr fontId="3" type="noConversion"/>
  </si>
  <si>
    <t>2009.10.19</t>
    <phoneticPr fontId="3" type="noConversion"/>
  </si>
  <si>
    <t>10月管理費</t>
    <phoneticPr fontId="3" type="noConversion"/>
  </si>
  <si>
    <t>掛號費(施舒雅帳單)</t>
    <phoneticPr fontId="3" type="noConversion"/>
  </si>
  <si>
    <t>車資(喜可裝機</t>
    <phoneticPr fontId="3" type="noConversion"/>
  </si>
  <si>
    <t>(餘 2084)</t>
    <phoneticPr fontId="3" type="noConversion"/>
  </si>
  <si>
    <t>2009.10.29</t>
    <phoneticPr fontId="3" type="noConversion"/>
  </si>
  <si>
    <t>$25郵票*20張</t>
    <phoneticPr fontId="3" type="noConversion"/>
  </si>
  <si>
    <t>(餘 1584)</t>
    <phoneticPr fontId="3" type="noConversion"/>
  </si>
  <si>
    <t>讀卡機</t>
    <phoneticPr fontId="3" type="noConversion"/>
  </si>
  <si>
    <t>2009.11.06</t>
    <phoneticPr fontId="3" type="noConversion"/>
  </si>
  <si>
    <t>華三聯發票</t>
    <phoneticPr fontId="3" type="noConversion"/>
  </si>
  <si>
    <t>自然人憑証工本費</t>
    <phoneticPr fontId="3" type="noConversion"/>
  </si>
  <si>
    <t>2009.11.09</t>
    <phoneticPr fontId="3" type="noConversion"/>
  </si>
  <si>
    <t>台銀網銀-達中信9810代刷</t>
    <phoneticPr fontId="3" type="noConversion"/>
  </si>
  <si>
    <t>歐視票-CN 2143981-981030</t>
    <phoneticPr fontId="3" type="noConversion"/>
  </si>
  <si>
    <t>(餘 2393)</t>
    <phoneticPr fontId="3" type="noConversion"/>
  </si>
  <si>
    <t>台企印章-順豐快遞</t>
    <phoneticPr fontId="3" type="noConversion"/>
  </si>
  <si>
    <t>2009.11.18</t>
    <phoneticPr fontId="3" type="noConversion"/>
  </si>
  <si>
    <t>展鑫裝機</t>
    <phoneticPr fontId="3" type="noConversion"/>
  </si>
  <si>
    <t>展鑫裝機</t>
    <phoneticPr fontId="3" type="noConversion"/>
  </si>
  <si>
    <t>海特裝機</t>
    <phoneticPr fontId="3" type="noConversion"/>
  </si>
  <si>
    <t>海特裝機</t>
    <phoneticPr fontId="3" type="noConversion"/>
  </si>
  <si>
    <t>掛號費-海特發票重開郵寄</t>
    <phoneticPr fontId="3" type="noConversion"/>
  </si>
  <si>
    <t>(餘 76)</t>
    <phoneticPr fontId="3" type="noConversion"/>
  </si>
  <si>
    <t>2009.11.23</t>
    <phoneticPr fontId="3" type="noConversion"/>
  </si>
  <si>
    <t>3號/4號 電池</t>
    <phoneticPr fontId="3" type="noConversion"/>
  </si>
  <si>
    <t>PT快遞-寄PT哥東西至TW恩豪</t>
    <phoneticPr fontId="3" type="noConversion"/>
  </si>
  <si>
    <t>2009.12.4</t>
    <phoneticPr fontId="3" type="noConversion"/>
  </si>
  <si>
    <t>98.11思</t>
    <phoneticPr fontId="3" type="noConversion"/>
  </si>
  <si>
    <t>98.11明</t>
    <phoneticPr fontId="3" type="noConversion"/>
  </si>
  <si>
    <t>新力美退押金手續費</t>
    <phoneticPr fontId="3" type="noConversion"/>
  </si>
  <si>
    <t>(餘 5485)</t>
    <phoneticPr fontId="3" type="noConversion"/>
  </si>
  <si>
    <t>2009.12.9</t>
    <phoneticPr fontId="3" type="noConversion"/>
  </si>
  <si>
    <t>98.12 北平房租-台銀網銀轉帳</t>
    <phoneticPr fontId="3" type="noConversion"/>
  </si>
  <si>
    <r>
      <t xml:space="preserve">48094-4000(饒當初有說一人2000)-30(匯費)=
</t>
    </r>
    <r>
      <rPr>
        <sz val="12"/>
        <color indexed="10"/>
        <rFont val="新細明體"/>
        <family val="1"/>
        <charset val="136"/>
      </rPr>
      <t>44064</t>
    </r>
    <phoneticPr fontId="3" type="noConversion"/>
  </si>
  <si>
    <t>ebay輔助款-詩轉入</t>
    <phoneticPr fontId="3" type="noConversion"/>
  </si>
  <si>
    <t>2009.12.11</t>
    <phoneticPr fontId="3" type="noConversion"/>
  </si>
  <si>
    <t>12月管理費</t>
    <phoneticPr fontId="3" type="noConversion"/>
  </si>
  <si>
    <t>(餘 4280)</t>
    <phoneticPr fontId="3" type="noConversion"/>
  </si>
  <si>
    <t>(餘 4094)</t>
    <phoneticPr fontId="3" type="noConversion"/>
  </si>
  <si>
    <t>扣 11/23, 11/30 $186</t>
    <phoneticPr fontId="3" type="noConversion"/>
  </si>
  <si>
    <t>2009.12.29</t>
    <phoneticPr fontId="3" type="noConversion"/>
  </si>
  <si>
    <t>計程車費-崴凌裝機</t>
    <phoneticPr fontId="3" type="noConversion"/>
  </si>
  <si>
    <t>2010.1~2月發票</t>
    <phoneticPr fontId="3" type="noConversion"/>
  </si>
  <si>
    <t>悠遊卡儲值</t>
    <phoneticPr fontId="3" type="noConversion"/>
  </si>
  <si>
    <t>(餘1552)</t>
    <phoneticPr fontId="3" type="noConversion"/>
  </si>
  <si>
    <t>ADA要還500</t>
    <phoneticPr fontId="3" type="noConversion"/>
  </si>
  <si>
    <t>DV--&gt;正航(2010-05-19)</t>
    <phoneticPr fontId="3" type="noConversion"/>
  </si>
  <si>
    <t>邁拓車資</t>
    <phoneticPr fontId="3" type="noConversion"/>
  </si>
  <si>
    <t>(餘567)</t>
    <phoneticPr fontId="3" type="noConversion"/>
  </si>
  <si>
    <t>台銀</t>
    <phoneticPr fontId="3" type="noConversion"/>
  </si>
  <si>
    <t>ADA-EBAY獎金</t>
    <phoneticPr fontId="3" type="noConversion"/>
  </si>
  <si>
    <t>2010.1.11</t>
    <phoneticPr fontId="3" type="noConversion"/>
  </si>
  <si>
    <t>401-98.11/98.12</t>
    <phoneticPr fontId="3" type="noConversion"/>
  </si>
  <si>
    <t>2010.1.13</t>
    <phoneticPr fontId="3" type="noConversion"/>
  </si>
  <si>
    <t>一月水費</t>
    <phoneticPr fontId="3" type="noConversion"/>
  </si>
  <si>
    <t>(餘3576)</t>
    <phoneticPr fontId="3" type="noConversion"/>
  </si>
  <si>
    <t>2010.1.15</t>
    <phoneticPr fontId="3" type="noConversion"/>
  </si>
  <si>
    <t>漢聯裝機車資</t>
    <phoneticPr fontId="3" type="noConversion"/>
  </si>
  <si>
    <t>2010.1.25</t>
    <phoneticPr fontId="3" type="noConversion"/>
  </si>
  <si>
    <t>1月管理費</t>
    <phoneticPr fontId="3" type="noConversion"/>
  </si>
  <si>
    <t>(餘1971)</t>
    <phoneticPr fontId="3" type="noConversion"/>
  </si>
  <si>
    <t>SKYPE通話費</t>
    <phoneticPr fontId="3" type="noConversion"/>
  </si>
  <si>
    <t>2010.2.1</t>
    <phoneticPr fontId="3" type="noConversion"/>
  </si>
  <si>
    <t>99.2 北平房租-台銀網銀轉帳</t>
    <phoneticPr fontId="3" type="noConversion"/>
  </si>
  <si>
    <t>達算 98/11 健保</t>
    <phoneticPr fontId="3" type="noConversion"/>
  </si>
  <si>
    <t>(餘388)</t>
    <phoneticPr fontId="3" type="noConversion"/>
  </si>
  <si>
    <t>2010.2.6</t>
    <phoneticPr fontId="3" type="noConversion"/>
  </si>
  <si>
    <t>晉偉-薪-99.01</t>
    <phoneticPr fontId="3" type="noConversion"/>
  </si>
  <si>
    <t>裝機車資-杉坤</t>
    <phoneticPr fontId="3" type="noConversion"/>
  </si>
  <si>
    <t>中信卡款-9901, 達代付</t>
    <phoneticPr fontId="3" type="noConversion"/>
  </si>
  <si>
    <t>99.3 北平房租-台銀網銀轉帳</t>
    <phoneticPr fontId="3" type="noConversion"/>
  </si>
  <si>
    <t>2月管理費</t>
    <phoneticPr fontId="3" type="noConversion"/>
  </si>
  <si>
    <t>3月管理費</t>
    <phoneticPr fontId="3" type="noConversion"/>
  </si>
  <si>
    <t>(餘2478)</t>
    <phoneticPr fontId="3" type="noConversion"/>
  </si>
  <si>
    <t>(餘2278)</t>
    <phoneticPr fontId="3" type="noConversion"/>
  </si>
  <si>
    <t>(2010.1.26 skype點數)</t>
    <phoneticPr fontId="3" type="noConversion"/>
  </si>
  <si>
    <t>2010.3.5</t>
    <phoneticPr fontId="3" type="noConversion"/>
  </si>
  <si>
    <t>2010.3.8</t>
    <phoneticPr fontId="3" type="noConversion"/>
  </si>
  <si>
    <t>(餘11878)</t>
    <phoneticPr fontId="3" type="noConversion"/>
  </si>
  <si>
    <t>達算-饒 98.12 保險費</t>
    <phoneticPr fontId="3" type="noConversion"/>
  </si>
  <si>
    <t>7-11繳款手續費</t>
    <phoneticPr fontId="3" type="noConversion"/>
  </si>
  <si>
    <t>2010.3.10</t>
    <phoneticPr fontId="3" type="noConversion"/>
  </si>
  <si>
    <t>配鎖匙 2* @25</t>
    <phoneticPr fontId="3" type="noConversion"/>
  </si>
  <si>
    <t>SO-NET 2月/3月帳單</t>
    <phoneticPr fontId="3" type="noConversion"/>
  </si>
  <si>
    <t>(餘9324)</t>
    <phoneticPr fontId="3" type="noConversion"/>
  </si>
  <si>
    <t>DV還KV (網銀)</t>
    <phoneticPr fontId="3" type="noConversion"/>
  </si>
  <si>
    <t>2010.3.12</t>
    <phoneticPr fontId="3" type="noConversion"/>
  </si>
  <si>
    <t>(餘4324)</t>
    <phoneticPr fontId="3" type="noConversion"/>
  </si>
  <si>
    <t>2010.3.12</t>
    <phoneticPr fontId="3" type="noConversion"/>
  </si>
  <si>
    <t>光興裝機(去-$750,回-$250 同一台計程車)</t>
    <phoneticPr fontId="3" type="noConversion"/>
  </si>
  <si>
    <t>(餘3324)</t>
    <phoneticPr fontId="3" type="noConversion"/>
  </si>
  <si>
    <t>甦活謝卡 (張代拿)</t>
    <phoneticPr fontId="3" type="noConversion"/>
  </si>
  <si>
    <t>(餘2925)</t>
    <phoneticPr fontId="3" type="noConversion"/>
  </si>
  <si>
    <t>2010.3.25</t>
    <phoneticPr fontId="3" type="noConversion"/>
  </si>
  <si>
    <t>垃圾袋</t>
    <phoneticPr fontId="3" type="noConversion"/>
  </si>
  <si>
    <t>(餘2559)</t>
    <phoneticPr fontId="3" type="noConversion"/>
  </si>
  <si>
    <t>DV媽 9901~9906(@6000) + 4000紅包</t>
    <phoneticPr fontId="3" type="noConversion"/>
  </si>
  <si>
    <t>99.3.25 愛浪-2 AD9472092 $14175
99.3.10 展鑫-2 AD8667467 $13500
99.3.20 台一-3 GY0961228 $13500
99.3.30 汎輝 UC7098520 $16500
99.3.31 大成-6 AD9924022 $13230
99.3.31 利泰慧-3 EJ0018295 $13500
99.3.15 光興-1 AA3419071 $13500</t>
    <phoneticPr fontId="3" type="noConversion"/>
  </si>
  <si>
    <t>99.3 達 $63796</t>
    <phoneticPr fontId="3" type="noConversion"/>
  </si>
  <si>
    <t>99.3 張 $29000</t>
    <phoneticPr fontId="3" type="noConversion"/>
  </si>
  <si>
    <t>99.3 偉 $23536 (網轉ADA-&gt;4/6 ATM)</t>
    <phoneticPr fontId="3" type="noConversion"/>
  </si>
  <si>
    <t>DMT AFAN0409F (網轉ADA-&gt;4/7 ATM)</t>
    <phoneticPr fontId="3" type="noConversion"/>
  </si>
  <si>
    <t>2010.4.7</t>
    <phoneticPr fontId="3" type="noConversion"/>
  </si>
  <si>
    <t>(華城中-&gt;ADA城中)付健保*3, 餘轉零用金)</t>
    <phoneticPr fontId="3" type="noConversion"/>
  </si>
  <si>
    <t>達算 98/12 健保  (重覆繳抵 99/03 健保)</t>
    <phoneticPr fontId="3" type="noConversion"/>
  </si>
  <si>
    <t>手續費---便利商店繳款</t>
    <phoneticPr fontId="3" type="noConversion"/>
  </si>
  <si>
    <t>手續費---DMT AFAN0409F (網轉ADA-&gt;4/7 ATM)</t>
    <phoneticPr fontId="3" type="noConversion"/>
  </si>
  <si>
    <t>(餘5523)</t>
    <phoneticPr fontId="3" type="noConversion"/>
  </si>
  <si>
    <t>(餘5323)</t>
    <phoneticPr fontId="3" type="noConversion"/>
  </si>
  <si>
    <t>2010.4.12</t>
    <phoneticPr fontId="3" type="noConversion"/>
  </si>
  <si>
    <t>邁登換RAM-油資</t>
    <phoneticPr fontId="3" type="noConversion"/>
  </si>
  <si>
    <t>4月管理費</t>
    <phoneticPr fontId="3" type="noConversion"/>
  </si>
  <si>
    <t>(餘4004)</t>
    <phoneticPr fontId="3" type="noConversion"/>
  </si>
  <si>
    <t>2010.4.13</t>
    <phoneticPr fontId="3" type="noConversion"/>
  </si>
  <si>
    <t>台銀城中-&gt;ADA,中信代刷 3/2 13328, 3/9 10439</t>
    <phoneticPr fontId="3" type="noConversion"/>
  </si>
  <si>
    <t>(餘1604)</t>
    <phoneticPr fontId="3" type="noConversion"/>
  </si>
  <si>
    <t>(餘1434)</t>
    <phoneticPr fontId="3" type="noConversion"/>
  </si>
  <si>
    <t>廣豪-BC4853944-2010.4.18-9450-1</t>
    <phoneticPr fontId="3" type="noConversion"/>
  </si>
  <si>
    <t>漢聯-AA3825077-2010.4.19-14175-2</t>
    <phoneticPr fontId="3" type="noConversion"/>
  </si>
  <si>
    <t>邁拓-AD7325163-2010.4.1-14175-2</t>
    <phoneticPr fontId="3" type="noConversion"/>
  </si>
  <si>
    <t>威倫裝機車資-155/165(未裝成)</t>
    <phoneticPr fontId="3" type="noConversion"/>
  </si>
  <si>
    <t>西拓-XA4812373-2010.4.30-12600-4</t>
    <phoneticPr fontId="3" type="noConversion"/>
  </si>
  <si>
    <t>鴻碩-HS0131170-2010.4.30-14175-1 20100420-0719</t>
    <phoneticPr fontId="3" type="noConversion"/>
  </si>
  <si>
    <t>2010.5.3</t>
    <phoneticPr fontId="3" type="noConversion"/>
  </si>
  <si>
    <t>99.5~6月發票</t>
    <phoneticPr fontId="3" type="noConversion"/>
  </si>
  <si>
    <t>(餘1096)</t>
    <phoneticPr fontId="3" type="noConversion"/>
  </si>
  <si>
    <t>2010.5.4</t>
    <phoneticPr fontId="3" type="noConversion"/>
  </si>
  <si>
    <t>(餘986)</t>
    <phoneticPr fontId="3" type="noConversion"/>
  </si>
  <si>
    <t>99.4 達</t>
    <phoneticPr fontId="3" type="noConversion"/>
  </si>
  <si>
    <t>零用金</t>
    <phoneticPr fontId="3" type="noConversion"/>
  </si>
  <si>
    <t>(餘5986)</t>
    <phoneticPr fontId="3" type="noConversion"/>
  </si>
  <si>
    <t>99.4-401費用轉達</t>
    <phoneticPr fontId="3" type="noConversion"/>
  </si>
  <si>
    <t>2010.5.10</t>
    <phoneticPr fontId="3" type="noConversion"/>
  </si>
  <si>
    <t>(餘5636)</t>
    <phoneticPr fontId="3" type="noConversion"/>
  </si>
  <si>
    <t>25元郵票*8張</t>
    <phoneticPr fontId="3" type="noConversion"/>
  </si>
  <si>
    <t>(餘4231)</t>
    <phoneticPr fontId="3" type="noConversion"/>
  </si>
  <si>
    <t>skype 帳號 koofficecn 點數 - 張用</t>
    <phoneticPr fontId="3" type="noConversion"/>
  </si>
  <si>
    <t>(餘4132)</t>
    <phoneticPr fontId="3" type="noConversion"/>
  </si>
  <si>
    <t>2010.5.11</t>
    <phoneticPr fontId="3" type="noConversion"/>
  </si>
  <si>
    <t>SO-NET 4月帳單</t>
    <phoneticPr fontId="3" type="noConversion"/>
  </si>
  <si>
    <t>SO-NET 5月帳單</t>
    <phoneticPr fontId="3" type="noConversion"/>
  </si>
  <si>
    <t>(餘1751)</t>
    <phoneticPr fontId="3" type="noConversion"/>
  </si>
  <si>
    <t>衛生紙</t>
    <phoneticPr fontId="3" type="noConversion"/>
  </si>
  <si>
    <t>文具</t>
    <phoneticPr fontId="3" type="noConversion"/>
  </si>
  <si>
    <t>報稅影印</t>
    <phoneticPr fontId="3" type="noConversion"/>
  </si>
  <si>
    <t>(餘1370)</t>
    <phoneticPr fontId="3" type="noConversion"/>
  </si>
  <si>
    <t>2010.5.26</t>
    <phoneticPr fontId="3" type="noConversion"/>
  </si>
  <si>
    <t>報稅計程車資</t>
    <phoneticPr fontId="3" type="noConversion"/>
  </si>
  <si>
    <t>2010.6.1</t>
    <phoneticPr fontId="3" type="noConversion"/>
  </si>
  <si>
    <t>2010.6.3</t>
    <phoneticPr fontId="3" type="noConversion"/>
  </si>
  <si>
    <t>道法裝機計程車車資</t>
    <phoneticPr fontId="3" type="noConversion"/>
  </si>
  <si>
    <t>(餘575)</t>
    <phoneticPr fontId="3" type="noConversion"/>
  </si>
  <si>
    <t>2010.6.3</t>
    <phoneticPr fontId="3" type="noConversion"/>
  </si>
  <si>
    <t>零用金</t>
    <phoneticPr fontId="3" type="noConversion"/>
  </si>
  <si>
    <t>2010.6.7</t>
    <phoneticPr fontId="3" type="noConversion"/>
  </si>
  <si>
    <t>99.5 晉</t>
    <phoneticPr fontId="3" type="noConversion"/>
  </si>
  <si>
    <t>(餘5238)</t>
    <phoneticPr fontId="3" type="noConversion"/>
  </si>
  <si>
    <t>2010.6.9</t>
    <phoneticPr fontId="3" type="noConversion"/>
  </si>
  <si>
    <t>FAX傳真紙</t>
    <phoneticPr fontId="3" type="noConversion"/>
  </si>
  <si>
    <t>中信卡款-9905, 達代付 ($26533欠達$6533) 7.30 己還</t>
    <phoneticPr fontId="3" type="noConversion"/>
  </si>
  <si>
    <t>2010.6.15</t>
    <phoneticPr fontId="3" type="noConversion"/>
  </si>
  <si>
    <t>愛浪II裝機計程車車資</t>
    <phoneticPr fontId="3" type="noConversion"/>
  </si>
  <si>
    <t>2010.6.14</t>
    <phoneticPr fontId="3" type="noConversion"/>
  </si>
  <si>
    <t>饒媽 99.7-99.12 零用</t>
    <phoneticPr fontId="3" type="noConversion"/>
  </si>
  <si>
    <t>2010.6.18</t>
    <phoneticPr fontId="3" type="noConversion"/>
  </si>
  <si>
    <t>6月管理費</t>
    <phoneticPr fontId="3" type="noConversion"/>
  </si>
  <si>
    <t>2010.6.22</t>
    <phoneticPr fontId="3" type="noConversion"/>
  </si>
  <si>
    <t>方還DV錢(6/3借 2千RMB還一萬NT)</t>
    <phoneticPr fontId="3" type="noConversion"/>
  </si>
  <si>
    <t>(餘13563)</t>
    <phoneticPr fontId="3" type="noConversion"/>
  </si>
  <si>
    <t>2010.6.28</t>
    <phoneticPr fontId="3" type="noConversion"/>
  </si>
  <si>
    <t>白膠帶</t>
    <phoneticPr fontId="3" type="noConversion"/>
  </si>
  <si>
    <t>(餘13386)</t>
    <phoneticPr fontId="3" type="noConversion"/>
  </si>
  <si>
    <t>客服台灣大哥大補充卡儲存延長半年至2011.1.2</t>
    <phoneticPr fontId="3" type="noConversion"/>
  </si>
  <si>
    <t>99.6 張</t>
    <phoneticPr fontId="3" type="noConversion"/>
  </si>
  <si>
    <t>99.6 達</t>
    <phoneticPr fontId="3" type="noConversion"/>
  </si>
  <si>
    <t>99.6 晉</t>
    <phoneticPr fontId="3" type="noConversion"/>
  </si>
  <si>
    <t>2010.7.6</t>
    <phoneticPr fontId="3" type="noConversion"/>
  </si>
  <si>
    <t>99.5.22 dv 拍賣</t>
    <phoneticPr fontId="3" type="noConversion"/>
  </si>
  <si>
    <t>99.6.14 dv 拍賣</t>
    <phoneticPr fontId="3" type="noConversion"/>
  </si>
  <si>
    <t>(餘23061)</t>
    <phoneticPr fontId="3" type="noConversion"/>
  </si>
  <si>
    <t>2010.7.8</t>
    <phoneticPr fontId="3" type="noConversion"/>
  </si>
  <si>
    <t>99.7水費</t>
    <phoneticPr fontId="3" type="noConversion"/>
  </si>
  <si>
    <t>(餘22882)</t>
    <phoneticPr fontId="3" type="noConversion"/>
  </si>
  <si>
    <t>2010.7.8</t>
    <phoneticPr fontId="3" type="noConversion"/>
  </si>
  <si>
    <t>中信卡款-9906, 達代付</t>
    <phoneticPr fontId="3" type="noConversion"/>
  </si>
  <si>
    <t>99.6-401費用繳款, 達代付 (欠達$37020) 7.30 己還</t>
    <phoneticPr fontId="3" type="noConversion"/>
  </si>
  <si>
    <t>2010.7.9</t>
    <phoneticPr fontId="3" type="noConversion"/>
  </si>
  <si>
    <t>7月管理費</t>
    <phoneticPr fontId="3" type="noConversion"/>
  </si>
  <si>
    <t>(餘21677)</t>
    <phoneticPr fontId="3" type="noConversion"/>
  </si>
  <si>
    <t>2010.7.14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</si>
  <si>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$150000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</si>
  <si>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2010.7.15</t>
    <phoneticPr fontId="3" type="noConversion"/>
  </si>
  <si>
    <t>(餘20861)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</si>
  <si>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$162016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</si>
  <si>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2010.7.27</t>
    <phoneticPr fontId="3" type="noConversion"/>
  </si>
  <si>
    <r>
      <rPr>
        <strike/>
        <sz val="12"/>
        <rFont val="新細明體"/>
        <family val="1"/>
        <charset val="136"/>
      </rPr>
      <t>162016</t>
    </r>
    <r>
      <rPr>
        <sz val="12"/>
        <rFont val="新細明體"/>
        <family val="1"/>
        <charset val="136"/>
      </rPr>
      <t xml:space="preserve">
118463</t>
    </r>
    <phoneticPr fontId="3" type="noConversion"/>
  </si>
  <si>
    <t>NU.PP -&gt; 達台銀 -&gt; 華台銀(扣 6.10 $6533, 7.9 $37020)</t>
    <phoneticPr fontId="3" type="noConversion"/>
  </si>
  <si>
    <t>2010.8.2</t>
    <phoneticPr fontId="3" type="noConversion"/>
  </si>
  <si>
    <t>賣偉力HD-320G</t>
    <phoneticPr fontId="3" type="noConversion"/>
  </si>
  <si>
    <t>垃圾袋*2</t>
    <phoneticPr fontId="3" type="noConversion"/>
  </si>
  <si>
    <t>2010.8.16</t>
    <phoneticPr fontId="3" type="noConversion"/>
  </si>
  <si>
    <t>台銀-華 -&gt; 郵局饒</t>
    <phoneticPr fontId="3" type="noConversion"/>
  </si>
  <si>
    <t>滙費</t>
    <phoneticPr fontId="3" type="noConversion"/>
  </si>
  <si>
    <t>2010.8.17</t>
    <phoneticPr fontId="3" type="noConversion"/>
  </si>
  <si>
    <t>戈采裝機計程車資</t>
    <phoneticPr fontId="3" type="noConversion"/>
  </si>
  <si>
    <t>2010.8.18</t>
    <phoneticPr fontId="3" type="noConversion"/>
  </si>
  <si>
    <t>太暘裝機計程車資</t>
    <phoneticPr fontId="3" type="noConversion"/>
  </si>
  <si>
    <t>太暘裝機計程車資</t>
    <phoneticPr fontId="3" type="noConversion"/>
  </si>
  <si>
    <t>庭田裝機計程車資</t>
    <phoneticPr fontId="3" type="noConversion"/>
  </si>
  <si>
    <t>詩寄DV行李</t>
    <phoneticPr fontId="3" type="noConversion"/>
  </si>
  <si>
    <t>25元郵票20張</t>
    <phoneticPr fontId="3" type="noConversion"/>
  </si>
  <si>
    <t>寄泰聯合約.發票限掛</t>
    <phoneticPr fontId="3" type="noConversion"/>
  </si>
  <si>
    <t>2010.9.1</t>
    <phoneticPr fontId="3" type="noConversion"/>
  </si>
  <si>
    <t>怡和保全退保証金</t>
    <phoneticPr fontId="3" type="noConversion"/>
  </si>
  <si>
    <t>2010.9.6</t>
    <phoneticPr fontId="3" type="noConversion"/>
  </si>
  <si>
    <t>99.8 証</t>
    <phoneticPr fontId="3" type="noConversion"/>
  </si>
  <si>
    <t>2010.9.8</t>
    <phoneticPr fontId="3" type="noConversion"/>
  </si>
  <si>
    <t>9月管理費</t>
    <phoneticPr fontId="3" type="noConversion"/>
  </si>
  <si>
    <t>(餘6271)</t>
    <phoneticPr fontId="3" type="noConversion"/>
  </si>
  <si>
    <t>99.10 北平房租-台銀網銀轉帳</t>
    <phoneticPr fontId="3" type="noConversion"/>
  </si>
  <si>
    <t>2010.10.4</t>
    <phoneticPr fontId="3" type="noConversion"/>
  </si>
  <si>
    <t>旺旺達裝機計程車資-新地址中和</t>
    <phoneticPr fontId="3" type="noConversion"/>
  </si>
  <si>
    <t>2010.10.5</t>
    <phoneticPr fontId="3" type="noConversion"/>
  </si>
  <si>
    <t>電池</t>
    <phoneticPr fontId="3" type="noConversion"/>
  </si>
  <si>
    <t>(餘4929)</t>
    <phoneticPr fontId="3" type="noConversion"/>
  </si>
  <si>
    <t>99.9 永</t>
    <phoneticPr fontId="3" type="noConversion"/>
  </si>
  <si>
    <t>99.9 達</t>
    <phoneticPr fontId="3" type="noConversion"/>
  </si>
  <si>
    <t>99.9 card ada代刷 (含代PT刷uni-case.com NT$371 +8)</t>
    <phoneticPr fontId="3" type="noConversion"/>
  </si>
  <si>
    <t>2010.10.14</t>
    <phoneticPr fontId="3" type="noConversion"/>
  </si>
  <si>
    <t>(餘3724)</t>
    <phoneticPr fontId="3" type="noConversion"/>
  </si>
  <si>
    <t>99.11 北平房租-台銀網銀轉帳</t>
    <phoneticPr fontId="3" type="noConversion"/>
  </si>
  <si>
    <t>2010.11.2</t>
    <phoneticPr fontId="3" type="noConversion"/>
  </si>
  <si>
    <t>99.11~12 購買發票</t>
    <phoneticPr fontId="3" type="noConversion"/>
  </si>
  <si>
    <t>2010.11.3</t>
    <phoneticPr fontId="3" type="noConversion"/>
  </si>
  <si>
    <t>401.9909.9910 先轉ADA繳便利商店</t>
    <phoneticPr fontId="3" type="noConversion"/>
  </si>
  <si>
    <t>2010.11.4</t>
    <phoneticPr fontId="3" type="noConversion"/>
  </si>
  <si>
    <t>9月水費</t>
    <phoneticPr fontId="3" type="noConversion"/>
  </si>
  <si>
    <t>(餘3549)</t>
    <phoneticPr fontId="3" type="noConversion"/>
  </si>
  <si>
    <t>99.10 card ada代刷</t>
    <phoneticPr fontId="3" type="noConversion"/>
  </si>
  <si>
    <t>裕恆裝機計程車資</t>
    <phoneticPr fontId="3" type="noConversion"/>
  </si>
  <si>
    <t>2010.11.19</t>
    <phoneticPr fontId="3" type="noConversion"/>
  </si>
  <si>
    <t>零用金</t>
    <phoneticPr fontId="3" type="noConversion"/>
  </si>
  <si>
    <t>(餘5872)</t>
    <phoneticPr fontId="3" type="noConversion"/>
  </si>
  <si>
    <t>2010.11.22</t>
    <phoneticPr fontId="3" type="noConversion"/>
  </si>
  <si>
    <t>2010.12.1</t>
    <phoneticPr fontId="3" type="noConversion"/>
  </si>
  <si>
    <t>99.12 北平房租-台銀網銀轉帳</t>
    <phoneticPr fontId="3" type="noConversion"/>
  </si>
  <si>
    <t>邁登換機計程車資</t>
    <phoneticPr fontId="3" type="noConversion"/>
  </si>
  <si>
    <t>(餘4222)</t>
    <phoneticPr fontId="3" type="noConversion"/>
  </si>
  <si>
    <t>2010.12.3</t>
    <phoneticPr fontId="3" type="noConversion"/>
  </si>
  <si>
    <t>(餘4177)</t>
    <phoneticPr fontId="3" type="noConversion"/>
  </si>
  <si>
    <t>2010.12.6</t>
    <phoneticPr fontId="3" type="noConversion"/>
  </si>
  <si>
    <t>99.11 証</t>
    <phoneticPr fontId="3" type="noConversion"/>
  </si>
  <si>
    <t>99.11 達</t>
    <phoneticPr fontId="3" type="noConversion"/>
  </si>
  <si>
    <t>永馳換機計程車資</t>
    <phoneticPr fontId="3" type="noConversion"/>
  </si>
  <si>
    <t>(2010.12.10 OK)</t>
    <phoneticPr fontId="3" type="noConversion"/>
  </si>
  <si>
    <t>DV-&gt;PT 大眾銀行 (814-0324) 內湖分行 ; 帳號：168-1229361-17 ; 戶名：章挺憲</t>
    <phoneticPr fontId="3" type="noConversion"/>
  </si>
  <si>
    <t>(餘3422)</t>
    <phoneticPr fontId="3" type="noConversion"/>
  </si>
  <si>
    <t>機車油資 宇權</t>
    <phoneticPr fontId="3" type="noConversion"/>
  </si>
  <si>
    <t>(餘3298)</t>
    <phoneticPr fontId="3" type="noConversion"/>
  </si>
  <si>
    <t>(餘3228)</t>
    <phoneticPr fontId="3" type="noConversion"/>
  </si>
  <si>
    <t>利泰慧維修搭國光林口來回</t>
    <phoneticPr fontId="3" type="noConversion"/>
  </si>
  <si>
    <t>2010.12.22</t>
    <phoneticPr fontId="3" type="noConversion"/>
  </si>
  <si>
    <t>吹球</t>
    <phoneticPr fontId="3" type="noConversion"/>
  </si>
  <si>
    <t>2010.12.23</t>
    <phoneticPr fontId="3" type="noConversion"/>
  </si>
  <si>
    <t>12月管理費</t>
    <phoneticPr fontId="3" type="noConversion"/>
  </si>
  <si>
    <t>掛號-友士/宇權</t>
    <phoneticPr fontId="3" type="noConversion"/>
  </si>
  <si>
    <t>2011.1.3</t>
    <phoneticPr fontId="3" type="noConversion"/>
  </si>
  <si>
    <t>2011.1.3</t>
    <phoneticPr fontId="3" type="noConversion"/>
  </si>
  <si>
    <t>客服易付卡儲值</t>
    <phoneticPr fontId="3" type="noConversion"/>
  </si>
  <si>
    <t>(餘1462)</t>
    <phoneticPr fontId="3" type="noConversion"/>
  </si>
  <si>
    <t>2010.1.5</t>
    <phoneticPr fontId="3" type="noConversion"/>
  </si>
  <si>
    <t>2011.1.11</t>
    <phoneticPr fontId="3" type="noConversion"/>
  </si>
  <si>
    <t>水費-100.1月</t>
    <phoneticPr fontId="3" type="noConversion"/>
  </si>
  <si>
    <t>2011.1.19</t>
    <phoneticPr fontId="3" type="noConversion"/>
  </si>
  <si>
    <t>計程車資-同皇裝機</t>
    <phoneticPr fontId="3" type="noConversion"/>
  </si>
  <si>
    <t>(餘5919)</t>
    <phoneticPr fontId="3" type="noConversion"/>
  </si>
  <si>
    <t>計程車資-大碩裝機</t>
    <phoneticPr fontId="3" type="noConversion"/>
  </si>
  <si>
    <t>管理費-2011.1</t>
    <phoneticPr fontId="3" type="noConversion"/>
  </si>
  <si>
    <t>(餘3949)</t>
    <phoneticPr fontId="3" type="noConversion"/>
  </si>
  <si>
    <t>2011.1.31</t>
    <phoneticPr fontId="3" type="noConversion"/>
  </si>
  <si>
    <t>2011.2.1</t>
    <phoneticPr fontId="3" type="noConversion"/>
  </si>
  <si>
    <t>100.1 達</t>
    <phoneticPr fontId="3" type="noConversion"/>
  </si>
  <si>
    <t>2011.2.10</t>
    <phoneticPr fontId="3" type="noConversion"/>
  </si>
  <si>
    <t>計程車資-威視裝機</t>
    <phoneticPr fontId="3" type="noConversion"/>
  </si>
  <si>
    <t>掛號-利明/宇權 請款單</t>
    <phoneticPr fontId="3" type="noConversion"/>
  </si>
  <si>
    <t>(餘2336)</t>
    <phoneticPr fontId="3" type="noConversion"/>
  </si>
  <si>
    <t>2011.2.21</t>
    <phoneticPr fontId="3" type="noConversion"/>
  </si>
  <si>
    <t>管理費-2011.2</t>
    <phoneticPr fontId="3" type="noConversion"/>
  </si>
  <si>
    <t>(餘611)</t>
    <phoneticPr fontId="3" type="noConversion"/>
  </si>
  <si>
    <t>2011.3.1</t>
    <phoneticPr fontId="3" type="noConversion"/>
  </si>
  <si>
    <t>2011.3.7</t>
    <phoneticPr fontId="3" type="noConversion"/>
  </si>
  <si>
    <t>100.1 証</t>
    <phoneticPr fontId="3" type="noConversion"/>
  </si>
  <si>
    <t>2011.3.9</t>
    <phoneticPr fontId="3" type="noConversion"/>
  </si>
  <si>
    <t>2011.2 card ada代刷</t>
    <phoneticPr fontId="3" type="noConversion"/>
  </si>
  <si>
    <t>雷射印表機填充碳粉($250+$17ADA台銀轉帳)</t>
    <phoneticPr fontId="3" type="noConversion"/>
  </si>
  <si>
    <t>(餘4779)</t>
    <phoneticPr fontId="3" type="noConversion"/>
  </si>
  <si>
    <t>廣豪維護油資</t>
    <phoneticPr fontId="3" type="noConversion"/>
  </si>
  <si>
    <t>2011.3.22</t>
    <phoneticPr fontId="3" type="noConversion"/>
  </si>
  <si>
    <t>水費-100.3月</t>
    <phoneticPr fontId="3" type="noConversion"/>
  </si>
  <si>
    <t>2011.3.28</t>
    <phoneticPr fontId="3" type="noConversion"/>
  </si>
  <si>
    <t>管理費-2011.3</t>
    <phoneticPr fontId="3" type="noConversion"/>
  </si>
  <si>
    <t>2011.4.1</t>
    <phoneticPr fontId="3" type="noConversion"/>
  </si>
  <si>
    <t>100.3 永</t>
    <phoneticPr fontId="3" type="noConversion"/>
  </si>
  <si>
    <t>(餘5088)</t>
    <phoneticPr fontId="3" type="noConversion"/>
  </si>
  <si>
    <t>2011.4.19</t>
    <phoneticPr fontId="3" type="noConversion"/>
  </si>
  <si>
    <t>郵票-$25 * 10 + $10 *5</t>
    <phoneticPr fontId="3" type="noConversion"/>
  </si>
  <si>
    <t>2011.4.12</t>
    <phoneticPr fontId="3" type="noConversion"/>
  </si>
  <si>
    <t>計程車資-柏周裝機</t>
    <phoneticPr fontId="3" type="noConversion"/>
  </si>
  <si>
    <t>2011.5.9</t>
    <phoneticPr fontId="3" type="noConversion"/>
  </si>
  <si>
    <t>(餘2642)</t>
    <phoneticPr fontId="3" type="noConversion"/>
  </si>
  <si>
    <t>(餘2475)</t>
    <phoneticPr fontId="3" type="noConversion"/>
  </si>
  <si>
    <t>2011.5.26</t>
    <phoneticPr fontId="3" type="noConversion"/>
  </si>
  <si>
    <t>預付張名片費用</t>
    <phoneticPr fontId="3" type="noConversion"/>
  </si>
  <si>
    <t>2011.5.26</t>
    <phoneticPr fontId="3" type="noConversion"/>
  </si>
  <si>
    <t>(餘1037)</t>
    <phoneticPr fontId="3" type="noConversion"/>
  </si>
  <si>
    <t>2011.6 北平房租-台銀網銀轉帳</t>
    <phoneticPr fontId="3" type="noConversion"/>
  </si>
  <si>
    <t>水管</t>
    <phoneticPr fontId="3" type="noConversion"/>
  </si>
  <si>
    <t>饒/陳駕照費@200</t>
    <phoneticPr fontId="3" type="noConversion"/>
  </si>
  <si>
    <t>垃圾袋</t>
    <phoneticPr fontId="3" type="noConversion"/>
  </si>
  <si>
    <t>2011.6.3</t>
    <phoneticPr fontId="3" type="noConversion"/>
  </si>
  <si>
    <t>零用金轉達</t>
    <phoneticPr fontId="3" type="noConversion"/>
  </si>
  <si>
    <t>(餘4387)</t>
    <phoneticPr fontId="3" type="noConversion"/>
  </si>
  <si>
    <t>100.5 永</t>
    <phoneticPr fontId="3" type="noConversion"/>
  </si>
  <si>
    <t>100.5 達</t>
    <phoneticPr fontId="3" type="noConversion"/>
  </si>
  <si>
    <t>2011.6.7</t>
    <phoneticPr fontId="3" type="noConversion"/>
  </si>
  <si>
    <t>2011.6.20</t>
    <phoneticPr fontId="3" type="noConversion"/>
  </si>
  <si>
    <t>計程車資-祥和裝機</t>
    <phoneticPr fontId="3" type="noConversion"/>
  </si>
  <si>
    <t>2011.6.13</t>
    <phoneticPr fontId="3" type="noConversion"/>
  </si>
  <si>
    <t>源達轉接頭</t>
    <phoneticPr fontId="3" type="noConversion"/>
  </si>
  <si>
    <t>2011.6.21</t>
    <phoneticPr fontId="3" type="noConversion"/>
  </si>
  <si>
    <t>(餘2535)</t>
    <phoneticPr fontId="3" type="noConversion"/>
  </si>
  <si>
    <t>2011.7 北平房租-台銀網銀轉帳</t>
    <phoneticPr fontId="3" type="noConversion"/>
  </si>
  <si>
    <t>計程車資-益睿裝機</t>
    <phoneticPr fontId="3" type="noConversion"/>
  </si>
  <si>
    <t>2011.7.4</t>
    <phoneticPr fontId="3" type="noConversion"/>
  </si>
  <si>
    <t>2011.7.5</t>
    <phoneticPr fontId="3" type="noConversion"/>
  </si>
  <si>
    <t>掛號-益睿</t>
    <phoneticPr fontId="3" type="noConversion"/>
  </si>
  <si>
    <t>(餘1720)</t>
    <phoneticPr fontId="3" type="noConversion"/>
  </si>
  <si>
    <t>100.6 達</t>
    <phoneticPr fontId="3" type="noConversion"/>
  </si>
  <si>
    <t>401.2011.5/2011.6</t>
    <phoneticPr fontId="3" type="noConversion"/>
  </si>
  <si>
    <t>2011.6 card ada代刷</t>
    <phoneticPr fontId="3" type="noConversion"/>
  </si>
  <si>
    <t>2011.7.11</t>
    <phoneticPr fontId="3" type="noConversion"/>
  </si>
  <si>
    <t>(餘239)</t>
    <phoneticPr fontId="3" type="noConversion"/>
  </si>
  <si>
    <t>(餘5239)</t>
    <phoneticPr fontId="3" type="noConversion"/>
  </si>
  <si>
    <t>25元郵票*10張</t>
    <phoneticPr fontId="3" type="noConversion"/>
  </si>
  <si>
    <t>衛生紙*2袋</t>
    <phoneticPr fontId="3" type="noConversion"/>
  </si>
  <si>
    <t>2011.8.5</t>
    <phoneticPr fontId="3" type="noConversion"/>
  </si>
  <si>
    <t>100.7 永</t>
    <phoneticPr fontId="3" type="noConversion"/>
  </si>
  <si>
    <t>100.7 達</t>
    <phoneticPr fontId="3" type="noConversion"/>
  </si>
  <si>
    <t>2011.8.8</t>
    <phoneticPr fontId="3" type="noConversion"/>
  </si>
  <si>
    <t>計程車資-元超裝機</t>
    <phoneticPr fontId="3" type="noConversion"/>
  </si>
  <si>
    <t>2011.8.10</t>
    <phoneticPr fontId="3" type="noConversion"/>
  </si>
  <si>
    <t>2011.8.16</t>
    <phoneticPr fontId="3" type="noConversion"/>
  </si>
  <si>
    <t>管理費-2011.8</t>
    <phoneticPr fontId="3" type="noConversion"/>
  </si>
  <si>
    <t>(餘2325)</t>
    <phoneticPr fontId="3" type="noConversion"/>
  </si>
  <si>
    <t>2011.8.30</t>
    <phoneticPr fontId="3" type="noConversion"/>
  </si>
  <si>
    <t>匯梅海</t>
    <phoneticPr fontId="3" type="noConversion"/>
  </si>
  <si>
    <t>匯梅海手續費</t>
    <phoneticPr fontId="3" type="noConversion"/>
  </si>
  <si>
    <t>2011.9.9</t>
    <phoneticPr fontId="3" type="noConversion"/>
  </si>
  <si>
    <t>99.9 中秋禮券-永誠</t>
    <phoneticPr fontId="3" type="noConversion"/>
  </si>
  <si>
    <t>(餘1295)</t>
    <phoneticPr fontId="3" type="noConversion"/>
  </si>
  <si>
    <t>2011.9.26</t>
    <phoneticPr fontId="3" type="noConversion"/>
  </si>
  <si>
    <t>(餘4712)</t>
    <phoneticPr fontId="3" type="noConversion"/>
  </si>
  <si>
    <t>2011.10.1</t>
    <phoneticPr fontId="3" type="noConversion"/>
  </si>
  <si>
    <t>2011.10 北平房租-台銀網銀轉帳</t>
    <phoneticPr fontId="3" type="noConversion"/>
  </si>
  <si>
    <t>100.9 達</t>
    <phoneticPr fontId="3" type="noConversion"/>
  </si>
  <si>
    <t>2011.9 card ada代刷</t>
    <phoneticPr fontId="3" type="noConversion"/>
  </si>
  <si>
    <t>詩貨運行李箱</t>
    <phoneticPr fontId="3" type="noConversion"/>
  </si>
  <si>
    <t>悠遊卡儲值</t>
    <phoneticPr fontId="3" type="noConversion"/>
  </si>
  <si>
    <t>(餘2779)</t>
    <phoneticPr fontId="3" type="noConversion"/>
  </si>
  <si>
    <t>2011.11 北平房租-台銀網銀轉帳</t>
    <phoneticPr fontId="3" type="noConversion"/>
  </si>
  <si>
    <t>2011.11.7</t>
    <phoneticPr fontId="3" type="noConversion"/>
  </si>
  <si>
    <t>100.10 永(已轉ADA但金融卡晶片失效,沒有轉給永, 改給ADA)</t>
    <phoneticPr fontId="3" type="noConversion"/>
  </si>
  <si>
    <t>401.2011.9/2011.10</t>
    <phoneticPr fontId="3" type="noConversion"/>
  </si>
  <si>
    <t>100.10 永(用公司存摺提款, 無摺存入永)</t>
    <phoneticPr fontId="3" type="noConversion"/>
  </si>
  <si>
    <t>2011.11.8</t>
    <phoneticPr fontId="3" type="noConversion"/>
  </si>
  <si>
    <t>請款25元掛號郵資*4</t>
    <phoneticPr fontId="3" type="noConversion"/>
  </si>
  <si>
    <t>(餘2119)</t>
    <phoneticPr fontId="3" type="noConversion"/>
  </si>
  <si>
    <t>2011.11.10</t>
    <phoneticPr fontId="3" type="noConversion"/>
  </si>
  <si>
    <t>(餘1999)</t>
    <phoneticPr fontId="3" type="noConversion"/>
  </si>
  <si>
    <t>2011.11.21</t>
    <phoneticPr fontId="3" type="noConversion"/>
  </si>
  <si>
    <t>(餘616)</t>
    <phoneticPr fontId="3" type="noConversion"/>
  </si>
  <si>
    <t>饒媽 2011.7-2011.12 零用 (餘 年節紅包))</t>
    <phoneticPr fontId="3" type="noConversion"/>
  </si>
  <si>
    <t>2011.12.5</t>
    <phoneticPr fontId="3" type="noConversion"/>
  </si>
  <si>
    <t>100.11 永</t>
    <phoneticPr fontId="3" type="noConversion"/>
  </si>
  <si>
    <t>100.11 証</t>
    <phoneticPr fontId="3" type="noConversion"/>
  </si>
  <si>
    <t>2011.11 card ada代刷</t>
    <phoneticPr fontId="3" type="noConversion"/>
  </si>
  <si>
    <t>零用金</t>
    <phoneticPr fontId="3" type="noConversion"/>
  </si>
  <si>
    <t>管理費-2011.12</t>
    <phoneticPr fontId="3" type="noConversion"/>
  </si>
  <si>
    <t>2011.12.16</t>
    <phoneticPr fontId="3" type="noConversion"/>
  </si>
  <si>
    <t>(餘4274)</t>
    <phoneticPr fontId="3" type="noConversion"/>
  </si>
  <si>
    <t>資源回收垃圾袋</t>
    <phoneticPr fontId="3" type="noConversion"/>
  </si>
  <si>
    <t>(餘4199)</t>
    <phoneticPr fontId="3" type="noConversion"/>
  </si>
  <si>
    <t>2011.12.29</t>
    <phoneticPr fontId="3" type="noConversion"/>
  </si>
  <si>
    <t>2012.1 北平房租-台銀網銀轉帳</t>
    <phoneticPr fontId="3" type="noConversion"/>
  </si>
  <si>
    <t>華算101.1-2三聯式發票</t>
    <phoneticPr fontId="3" type="noConversion"/>
  </si>
  <si>
    <t>100.12 証</t>
    <phoneticPr fontId="3" type="noConversion"/>
  </si>
  <si>
    <t>2011.12 card ada代刷</t>
    <phoneticPr fontId="3" type="noConversion"/>
  </si>
  <si>
    <t>交通費</t>
    <phoneticPr fontId="3" type="noConversion"/>
  </si>
  <si>
    <t>401.2011.11/2011.12</t>
    <phoneticPr fontId="3" type="noConversion"/>
  </si>
  <si>
    <t>2012.1.19</t>
    <phoneticPr fontId="3" type="noConversion"/>
  </si>
  <si>
    <t>2012.1.31</t>
    <phoneticPr fontId="3" type="noConversion"/>
  </si>
  <si>
    <t>水費-101.1月</t>
    <phoneticPr fontId="3" type="noConversion"/>
  </si>
  <si>
    <t>零用金轉達</t>
    <phoneticPr fontId="3" type="noConversion"/>
  </si>
  <si>
    <t>郵票 @5*2</t>
    <phoneticPr fontId="3" type="noConversion"/>
  </si>
  <si>
    <t>2012.2.2</t>
    <phoneticPr fontId="3" type="noConversion"/>
  </si>
  <si>
    <t>2012.2.6</t>
    <phoneticPr fontId="3" type="noConversion"/>
  </si>
  <si>
    <t>(餘5708)</t>
    <phoneticPr fontId="3" type="noConversion"/>
  </si>
  <si>
    <t>2012.2.20</t>
    <phoneticPr fontId="3" type="noConversion"/>
  </si>
  <si>
    <t>雜項購置</t>
    <phoneticPr fontId="3" type="noConversion"/>
  </si>
  <si>
    <t>(餘4083)</t>
    <phoneticPr fontId="3" type="noConversion"/>
  </si>
  <si>
    <t>2012.3 北平房租-台銀網銀轉帳</t>
    <phoneticPr fontId="3" type="noConversion"/>
  </si>
  <si>
    <t>文具費</t>
    <phoneticPr fontId="3" type="noConversion"/>
  </si>
  <si>
    <t>(餘3783)</t>
    <phoneticPr fontId="3" type="noConversion"/>
  </si>
  <si>
    <t>2012.3.6</t>
    <phoneticPr fontId="3" type="noConversion"/>
  </si>
  <si>
    <t>華算101.3-4三聯式發票</t>
    <phoneticPr fontId="3" type="noConversion"/>
  </si>
  <si>
    <t>(餘2715)</t>
    <phoneticPr fontId="3" type="noConversion"/>
  </si>
  <si>
    <t>交通費</t>
    <phoneticPr fontId="3" type="noConversion"/>
  </si>
  <si>
    <t>計程車資-勤業裝機</t>
    <phoneticPr fontId="3" type="noConversion"/>
  </si>
  <si>
    <t>2012.3.9</t>
    <phoneticPr fontId="3" type="noConversion"/>
  </si>
  <si>
    <t>郵費</t>
    <phoneticPr fontId="3" type="noConversion"/>
  </si>
  <si>
    <t>2012.3.12</t>
    <phoneticPr fontId="3" type="noConversion"/>
  </si>
  <si>
    <t>郵費</t>
    <phoneticPr fontId="3" type="noConversion"/>
  </si>
  <si>
    <t>順豐運貨-E3400 CPU FAN 5個</t>
    <phoneticPr fontId="3" type="noConversion"/>
  </si>
  <si>
    <t>2012.3.12</t>
    <phoneticPr fontId="3" type="noConversion"/>
  </si>
  <si>
    <t>文具-合約封面紙@39*2</t>
    <phoneticPr fontId="3" type="noConversion"/>
  </si>
  <si>
    <t>2012.3.12 與現金符合</t>
    <phoneticPr fontId="3" type="noConversion"/>
  </si>
  <si>
    <t>計程車資-雙安裝機</t>
    <phoneticPr fontId="3" type="noConversion"/>
  </si>
  <si>
    <t>進貨-電腦零件</t>
    <phoneticPr fontId="3" type="noConversion"/>
  </si>
  <si>
    <t>管理費</t>
    <phoneticPr fontId="3" type="noConversion"/>
  </si>
  <si>
    <t>(餘3677)</t>
    <phoneticPr fontId="3" type="noConversion"/>
  </si>
  <si>
    <t>2012.3.19</t>
    <phoneticPr fontId="3" type="noConversion"/>
  </si>
  <si>
    <t>計程車資-喜可裝機</t>
    <phoneticPr fontId="3" type="noConversion"/>
  </si>
  <si>
    <t>(餘2957)</t>
    <phoneticPr fontId="3" type="noConversion"/>
  </si>
  <si>
    <t>文具費</t>
    <phoneticPr fontId="3" type="noConversion"/>
  </si>
  <si>
    <t>合約紙內頁 @48*2</t>
    <phoneticPr fontId="3" type="noConversion"/>
  </si>
  <si>
    <t>雜費</t>
    <phoneticPr fontId="3" type="noConversion"/>
  </si>
  <si>
    <t>廁所清潔劑</t>
    <phoneticPr fontId="3" type="noConversion"/>
  </si>
  <si>
    <t xml:space="preserve"> </t>
    <phoneticPr fontId="3" type="noConversion"/>
  </si>
  <si>
    <t>(餘2802)</t>
    <phoneticPr fontId="3" type="noConversion"/>
  </si>
  <si>
    <t>2012.3.23</t>
    <phoneticPr fontId="3" type="noConversion"/>
  </si>
  <si>
    <t>2012.3.27</t>
    <phoneticPr fontId="3" type="noConversion"/>
  </si>
  <si>
    <t xml:space="preserve"> </t>
    <phoneticPr fontId="3" type="noConversion"/>
  </si>
  <si>
    <t>(餘2407)</t>
    <phoneticPr fontId="3" type="noConversion"/>
  </si>
  <si>
    <t>2012.3.28</t>
    <phoneticPr fontId="3" type="noConversion"/>
  </si>
  <si>
    <t>股東往來</t>
    <phoneticPr fontId="3" type="noConversion"/>
  </si>
  <si>
    <t>現金存入饒郵局, 原郵局存款$280247, 匯出 $281010 
給梅陳滿蕙 TEL:02-23912433 
台北青田郵局 #700 000 1071 0654 698</t>
    <phoneticPr fontId="3" type="noConversion"/>
  </si>
  <si>
    <t>(餘1577)</t>
    <phoneticPr fontId="3" type="noConversion"/>
  </si>
  <si>
    <t>計程車資-漢聯裝機</t>
    <phoneticPr fontId="3" type="noConversion"/>
  </si>
  <si>
    <t>(餘1322)</t>
    <phoneticPr fontId="3" type="noConversion"/>
  </si>
  <si>
    <t>2012.3.30</t>
    <phoneticPr fontId="3" type="noConversion"/>
  </si>
  <si>
    <t>交通費</t>
    <phoneticPr fontId="3" type="noConversion"/>
  </si>
  <si>
    <t>計程車資-台一裝機</t>
    <phoneticPr fontId="3" type="noConversion"/>
  </si>
  <si>
    <t>2012.4.2</t>
    <phoneticPr fontId="3" type="noConversion"/>
  </si>
  <si>
    <t>2012.4 北平房租-台銀網銀轉帳</t>
    <phoneticPr fontId="3" type="noConversion"/>
  </si>
  <si>
    <t>2012.4.2</t>
    <phoneticPr fontId="3" type="noConversion"/>
  </si>
  <si>
    <t>郵費</t>
    <phoneticPr fontId="3" type="noConversion"/>
  </si>
  <si>
    <t>掛號郵資-宇權合約(附回郵信封)</t>
    <phoneticPr fontId="3" type="noConversion"/>
  </si>
  <si>
    <t>(餘1127)</t>
    <phoneticPr fontId="3" type="noConversion"/>
  </si>
  <si>
    <t>2012.4.3</t>
    <phoneticPr fontId="3" type="noConversion"/>
  </si>
  <si>
    <t>(餘552)</t>
    <phoneticPr fontId="3" type="noConversion"/>
  </si>
  <si>
    <t>順豐運貨-E3400 CPU 3顆 E6600 CPU 2顆</t>
    <phoneticPr fontId="3" type="noConversion"/>
  </si>
  <si>
    <t>(餘411)</t>
    <phoneticPr fontId="3" type="noConversion"/>
  </si>
  <si>
    <t>2012.4.5</t>
    <phoneticPr fontId="3" type="noConversion"/>
  </si>
  <si>
    <t>101.3 欽</t>
    <phoneticPr fontId="3" type="noConversion"/>
  </si>
  <si>
    <t>101.3 永</t>
    <phoneticPr fontId="3" type="noConversion"/>
  </si>
  <si>
    <t>101.3 達</t>
    <phoneticPr fontId="3" type="noConversion"/>
  </si>
  <si>
    <t>(餘5411)</t>
    <phoneticPr fontId="3" type="noConversion"/>
  </si>
  <si>
    <t>2012.4.6</t>
    <phoneticPr fontId="3" type="noConversion"/>
  </si>
  <si>
    <t>順豐運貨-E3400 CPU 風扇 5顆</t>
    <phoneticPr fontId="3" type="noConversion"/>
  </si>
  <si>
    <t>2012.4.24</t>
    <phoneticPr fontId="3" type="noConversion"/>
  </si>
  <si>
    <t>管理費</t>
    <phoneticPr fontId="3" type="noConversion"/>
  </si>
  <si>
    <t>(餘3965)</t>
    <phoneticPr fontId="3" type="noConversion"/>
  </si>
  <si>
    <t>饒媽生日+母親節的錢</t>
    <phoneticPr fontId="3" type="noConversion"/>
  </si>
  <si>
    <t>2012.5.1</t>
    <phoneticPr fontId="3" type="noConversion"/>
  </si>
  <si>
    <t>2012.5 北平房租-台銀網銀轉帳</t>
    <phoneticPr fontId="3" type="noConversion"/>
  </si>
  <si>
    <t>2012.5.2</t>
    <phoneticPr fontId="3" type="noConversion"/>
  </si>
  <si>
    <t>華算101.5-6三聯式發票</t>
    <phoneticPr fontId="3" type="noConversion"/>
  </si>
  <si>
    <t>(餘3917)</t>
    <phoneticPr fontId="3" type="noConversion"/>
  </si>
  <si>
    <t>2012.5.7</t>
    <phoneticPr fontId="3" type="noConversion"/>
  </si>
  <si>
    <t>101.4 証</t>
    <phoneticPr fontId="3" type="noConversion"/>
  </si>
  <si>
    <t>101.4 達</t>
    <phoneticPr fontId="3" type="noConversion"/>
  </si>
  <si>
    <t>計程車資-利泰慧裝機</t>
    <phoneticPr fontId="3" type="noConversion"/>
  </si>
  <si>
    <t>計程車資-利泰慧裝機</t>
    <phoneticPr fontId="3" type="noConversion"/>
  </si>
  <si>
    <t>2012.5.11</t>
    <phoneticPr fontId="3" type="noConversion"/>
  </si>
  <si>
    <t>401.2012.3/2012.4</t>
    <phoneticPr fontId="3" type="noConversion"/>
  </si>
  <si>
    <t>附郵掛號信封 $26*20</t>
    <phoneticPr fontId="3" type="noConversion"/>
  </si>
  <si>
    <t>(餘2347)</t>
    <phoneticPr fontId="3" type="noConversion"/>
  </si>
  <si>
    <t>2012.5.16</t>
    <phoneticPr fontId="3" type="noConversion"/>
  </si>
  <si>
    <t>計程車資-威倫裝機(主機異常未裝成)</t>
    <phoneticPr fontId="3" type="noConversion"/>
  </si>
  <si>
    <t>(餘2002)</t>
    <phoneticPr fontId="3" type="noConversion"/>
  </si>
  <si>
    <t>計程車資-威倫裝機</t>
    <phoneticPr fontId="3" type="noConversion"/>
  </si>
  <si>
    <t>2012.5.18</t>
    <phoneticPr fontId="3" type="noConversion"/>
  </si>
  <si>
    <t>管理費</t>
    <phoneticPr fontId="3" type="noConversion"/>
  </si>
  <si>
    <t>管理費-2012.5</t>
    <phoneticPr fontId="3" type="noConversion"/>
  </si>
  <si>
    <t>2012.5.21</t>
    <phoneticPr fontId="3" type="noConversion"/>
  </si>
  <si>
    <t>包裹-利泰慧分享器-寄回</t>
    <phoneticPr fontId="3" type="noConversion"/>
  </si>
  <si>
    <t>包裹-海特故障硬碟-寄回</t>
    <phoneticPr fontId="3" type="noConversion"/>
  </si>
  <si>
    <t>水費-101.5月</t>
    <phoneticPr fontId="3" type="noConversion"/>
  </si>
  <si>
    <t>文具費</t>
    <phoneticPr fontId="3" type="noConversion"/>
  </si>
  <si>
    <t>文具---合約封面紙 @39*4</t>
    <phoneticPr fontId="3" type="noConversion"/>
  </si>
  <si>
    <t>電池9V---測線器用</t>
    <phoneticPr fontId="3" type="noConversion"/>
  </si>
  <si>
    <t>計程車資-品固裝機</t>
    <phoneticPr fontId="3" type="noConversion"/>
  </si>
  <si>
    <t>2012.5.24</t>
    <phoneticPr fontId="3" type="noConversion"/>
  </si>
  <si>
    <t>文具---合約膠帶 @48+@45</t>
    <phoneticPr fontId="3" type="noConversion"/>
  </si>
  <si>
    <t>掛號費---泰聯合約/發票</t>
    <phoneticPr fontId="3" type="noConversion"/>
  </si>
  <si>
    <t>2012.5.31</t>
    <phoneticPr fontId="3" type="noConversion"/>
  </si>
  <si>
    <t>計程車資-協億通裝機</t>
    <phoneticPr fontId="3" type="noConversion"/>
  </si>
  <si>
    <t>(餘4180)</t>
    <phoneticPr fontId="3" type="noConversion"/>
  </si>
  <si>
    <t>2012.6.1</t>
    <phoneticPr fontId="3" type="noConversion"/>
  </si>
  <si>
    <t>2012.6 北平房租-台銀網銀轉帳(開始漲兩千)</t>
    <phoneticPr fontId="3" type="noConversion"/>
  </si>
  <si>
    <t>101.5 証</t>
    <phoneticPr fontId="3" type="noConversion"/>
  </si>
  <si>
    <t>101.5 欽</t>
    <phoneticPr fontId="3" type="noConversion"/>
  </si>
  <si>
    <t>101.5 達</t>
    <phoneticPr fontId="3" type="noConversion"/>
  </si>
  <si>
    <t>掛號費---勞健保申訴</t>
    <phoneticPr fontId="3" type="noConversion"/>
  </si>
  <si>
    <t>(餘4175)</t>
    <phoneticPr fontId="3" type="noConversion"/>
  </si>
  <si>
    <t>2012.6.5 與現金符合</t>
    <phoneticPr fontId="3" type="noConversion"/>
  </si>
  <si>
    <t>掛號費---廣豪合約 (無發票)</t>
    <phoneticPr fontId="3" type="noConversion"/>
  </si>
  <si>
    <t>(餘2435)</t>
    <phoneticPr fontId="3" type="noConversion"/>
  </si>
  <si>
    <t>2012.6.25</t>
    <phoneticPr fontId="3" type="noConversion"/>
  </si>
  <si>
    <t>華算101.7-8三聯式發票</t>
    <phoneticPr fontId="3" type="noConversion"/>
  </si>
  <si>
    <t>中正國稅局悠遊車資</t>
    <phoneticPr fontId="3" type="noConversion"/>
  </si>
  <si>
    <t>衛生紙</t>
    <phoneticPr fontId="3" type="noConversion"/>
  </si>
  <si>
    <t>(餘2258)</t>
    <phoneticPr fontId="3" type="noConversion"/>
  </si>
  <si>
    <t>2012.07 北平房租-台銀網銀轉帳(2012.06開始漲兩千)</t>
    <phoneticPr fontId="3" type="noConversion"/>
  </si>
  <si>
    <t>101.6 達</t>
    <phoneticPr fontId="3" type="noConversion"/>
  </si>
  <si>
    <t>2012.07.09</t>
    <phoneticPr fontId="3" type="noConversion"/>
  </si>
  <si>
    <t>401.2012.05~06</t>
    <phoneticPr fontId="3" type="noConversion"/>
  </si>
  <si>
    <t>2012.07.09</t>
    <phoneticPr fontId="3" type="noConversion"/>
  </si>
  <si>
    <t>鴻碩維護車資-台鐵</t>
    <phoneticPr fontId="3" type="noConversion"/>
  </si>
  <si>
    <t>鴻碩維護車資-計程車</t>
    <phoneticPr fontId="3" type="noConversion"/>
  </si>
  <si>
    <t>鴻碩維護車資-台鐵(另加$6元月台票)</t>
    <phoneticPr fontId="3" type="noConversion"/>
  </si>
  <si>
    <t>(餘2022)</t>
    <phoneticPr fontId="3" type="noConversion"/>
  </si>
  <si>
    <t>2012.07.10</t>
    <phoneticPr fontId="3" type="noConversion"/>
  </si>
  <si>
    <t>水費</t>
    <phoneticPr fontId="3" type="noConversion"/>
  </si>
  <si>
    <t>水費-101.7月</t>
    <phoneticPr fontId="3" type="noConversion"/>
  </si>
  <si>
    <t>(餘1813)</t>
    <phoneticPr fontId="3" type="noConversion"/>
  </si>
  <si>
    <t>2012.07.11</t>
    <phoneticPr fontId="3" type="noConversion"/>
  </si>
  <si>
    <t>維護油資</t>
    <phoneticPr fontId="3" type="noConversion"/>
  </si>
  <si>
    <t>(餘1713)</t>
    <phoneticPr fontId="3" type="noConversion"/>
  </si>
  <si>
    <t>2012.07.12</t>
    <phoneticPr fontId="3" type="noConversion"/>
  </si>
  <si>
    <t>掛號費---DV健保請款(補牙)</t>
    <phoneticPr fontId="3" type="noConversion"/>
  </si>
  <si>
    <t>(餘1683)</t>
    <phoneticPr fontId="3" type="noConversion"/>
  </si>
  <si>
    <t>2012.7.23</t>
    <phoneticPr fontId="3" type="noConversion"/>
  </si>
  <si>
    <t>管理費-2012.07</t>
    <phoneticPr fontId="3" type="noConversion"/>
  </si>
  <si>
    <t>(餘478)</t>
    <phoneticPr fontId="3" type="noConversion"/>
  </si>
  <si>
    <t>2012.8.1</t>
    <phoneticPr fontId="3" type="noConversion"/>
  </si>
  <si>
    <t>2012.08 北平房租-台銀網銀轉帳(2012.06開始漲兩千)</t>
    <phoneticPr fontId="3" type="noConversion"/>
  </si>
  <si>
    <t>2012.8.7</t>
    <phoneticPr fontId="3" type="noConversion"/>
  </si>
  <si>
    <t>掛號費-杉坤合約/發票</t>
    <phoneticPr fontId="3" type="noConversion"/>
  </si>
  <si>
    <t>(餘393)</t>
    <phoneticPr fontId="3" type="noConversion"/>
  </si>
  <si>
    <t>2012.8.8</t>
    <phoneticPr fontId="3" type="noConversion"/>
  </si>
  <si>
    <t>電話費</t>
    <phoneticPr fontId="3" type="noConversion"/>
  </si>
  <si>
    <t>(餘5093)</t>
    <phoneticPr fontId="3" type="noConversion"/>
  </si>
  <si>
    <t>2012.8.14</t>
    <phoneticPr fontId="3" type="noConversion"/>
  </si>
  <si>
    <t>影印-合約封面 @2 * 12</t>
    <phoneticPr fontId="3" type="noConversion"/>
  </si>
  <si>
    <t>(餘5069)</t>
    <phoneticPr fontId="3" type="noConversion"/>
  </si>
  <si>
    <t>2012.8.16</t>
    <phoneticPr fontId="3" type="noConversion"/>
  </si>
  <si>
    <t>(餘5034)</t>
    <phoneticPr fontId="3" type="noConversion"/>
  </si>
  <si>
    <t>管理費-2012.08</t>
    <phoneticPr fontId="3" type="noConversion"/>
  </si>
  <si>
    <t>(餘3829)</t>
    <phoneticPr fontId="3" type="noConversion"/>
  </si>
  <si>
    <t>2012.8.28</t>
    <phoneticPr fontId="3" type="noConversion"/>
  </si>
  <si>
    <t>雜費</t>
    <phoneticPr fontId="3" type="noConversion"/>
  </si>
  <si>
    <t>華算101.9-10三聯式發票</t>
    <phoneticPr fontId="3" type="noConversion"/>
  </si>
  <si>
    <t>(餘3776)</t>
    <phoneticPr fontId="3" type="noConversion"/>
  </si>
  <si>
    <t>2012.9.1</t>
    <phoneticPr fontId="3" type="noConversion"/>
  </si>
  <si>
    <t>2012.09.03</t>
    <phoneticPr fontId="3" type="noConversion"/>
  </si>
  <si>
    <t>401.2012.07~08</t>
    <phoneticPr fontId="3" type="noConversion"/>
  </si>
  <si>
    <t>郵費</t>
    <phoneticPr fontId="3" type="noConversion"/>
  </si>
  <si>
    <t>掛號費-鴻碩合約(無發票)</t>
    <phoneticPr fontId="3" type="noConversion"/>
  </si>
  <si>
    <t>(餘3731)</t>
    <phoneticPr fontId="3" type="noConversion"/>
  </si>
  <si>
    <t>2012.9.5</t>
    <phoneticPr fontId="3" type="noConversion"/>
  </si>
  <si>
    <t>101.8 欽</t>
    <phoneticPr fontId="3" type="noConversion"/>
  </si>
  <si>
    <t>2012.9.6</t>
    <phoneticPr fontId="3" type="noConversion"/>
  </si>
  <si>
    <t>101.8 証</t>
    <phoneticPr fontId="3" type="noConversion"/>
  </si>
  <si>
    <t>101.8 達</t>
    <phoneticPr fontId="3" type="noConversion"/>
  </si>
  <si>
    <t>2012.9.17</t>
    <phoneticPr fontId="3" type="noConversion"/>
  </si>
  <si>
    <t>(餘2786)</t>
    <phoneticPr fontId="3" type="noConversion"/>
  </si>
  <si>
    <t>2012.9.18</t>
    <phoneticPr fontId="3" type="noConversion"/>
  </si>
  <si>
    <t>2012.6.5 與現金符合</t>
    <phoneticPr fontId="3" type="noConversion"/>
  </si>
  <si>
    <t>2012.9.20</t>
    <phoneticPr fontId="3" type="noConversion"/>
  </si>
  <si>
    <t>管理費-2012.09</t>
    <phoneticPr fontId="3" type="noConversion"/>
  </si>
  <si>
    <t>2012.9.24</t>
    <phoneticPr fontId="3" type="noConversion"/>
  </si>
  <si>
    <t>水費</t>
    <phoneticPr fontId="3" type="noConversion"/>
  </si>
  <si>
    <t>(餘6224)</t>
    <phoneticPr fontId="3" type="noConversion"/>
  </si>
  <si>
    <t>2012.10.1</t>
    <phoneticPr fontId="3" type="noConversion"/>
  </si>
  <si>
    <t>2012.10 北平房租-台銀網銀轉帳(2012.06開始漲兩千)</t>
    <phoneticPr fontId="3" type="noConversion"/>
  </si>
  <si>
    <t>DV1: 可以麻煩你給饒媽6千嗎? 本來上星期就想要給了, 因為太忙,忘了</t>
    <phoneticPr fontId="3" type="noConversion"/>
  </si>
  <si>
    <t>2012.10.3</t>
    <phoneticPr fontId="3" type="noConversion"/>
  </si>
  <si>
    <t>維護油資-大碩</t>
    <phoneticPr fontId="3" type="noConversion"/>
  </si>
  <si>
    <t>維護油資-同皇-松群</t>
    <phoneticPr fontId="3" type="noConversion"/>
  </si>
  <si>
    <t>(餘6024)</t>
    <phoneticPr fontId="3" type="noConversion"/>
  </si>
  <si>
    <t>2012.10.04</t>
    <phoneticPr fontId="3" type="noConversion"/>
  </si>
  <si>
    <t>2012.09 card ada代刷</t>
    <phoneticPr fontId="3" type="noConversion"/>
  </si>
  <si>
    <t>2012.10.5</t>
    <phoneticPr fontId="3" type="noConversion"/>
  </si>
  <si>
    <t>101.9 証</t>
    <phoneticPr fontId="3" type="noConversion"/>
  </si>
  <si>
    <t>101.9 達</t>
    <phoneticPr fontId="3" type="noConversion"/>
  </si>
  <si>
    <t>2012.10.9</t>
    <phoneticPr fontId="3" type="noConversion"/>
  </si>
  <si>
    <t>依德洽談計程車資</t>
    <phoneticPr fontId="3" type="noConversion"/>
  </si>
  <si>
    <t>UNI-CASE網址續約年費-代PT申請還款 (2012.07.09 101.06卡費)</t>
    <phoneticPr fontId="3" type="noConversion"/>
  </si>
  <si>
    <t>(餘6047)</t>
    <phoneticPr fontId="3" type="noConversion"/>
  </si>
  <si>
    <t>2012.10.11 與現金符合</t>
    <phoneticPr fontId="3" type="noConversion"/>
  </si>
  <si>
    <t>2012.10.24</t>
    <phoneticPr fontId="3" type="noConversion"/>
  </si>
  <si>
    <t>依德裝機計程車資</t>
    <phoneticPr fontId="3" type="noConversion"/>
  </si>
  <si>
    <t>依德裝機計程車資</t>
    <phoneticPr fontId="3" type="noConversion"/>
  </si>
  <si>
    <t>管理費-2012.10</t>
    <phoneticPr fontId="3" type="noConversion"/>
  </si>
  <si>
    <t>依德維護車資去程</t>
    <phoneticPr fontId="3" type="noConversion"/>
  </si>
  <si>
    <t>依德維護車資回程</t>
    <phoneticPr fontId="3" type="noConversion"/>
  </si>
  <si>
    <t>(餘4318)</t>
    <phoneticPr fontId="3" type="noConversion"/>
  </si>
  <si>
    <t>2012.10.29</t>
    <phoneticPr fontId="3" type="noConversion"/>
  </si>
  <si>
    <t>買發票悠遊卡車資</t>
    <phoneticPr fontId="3" type="noConversion"/>
  </si>
  <si>
    <t>華算101.11-12三聯式發票</t>
    <phoneticPr fontId="3" type="noConversion"/>
  </si>
  <si>
    <t>公司悠遊卡儲值</t>
    <phoneticPr fontId="3" type="noConversion"/>
  </si>
  <si>
    <t>(餘4184)</t>
    <phoneticPr fontId="3" type="noConversion"/>
  </si>
  <si>
    <t>2012.11 北平房租-台銀網銀轉帳(2012.06開始漲兩千)</t>
    <phoneticPr fontId="3" type="noConversion"/>
  </si>
  <si>
    <t>交通費</t>
    <phoneticPr fontId="3" type="noConversion"/>
  </si>
  <si>
    <t>(餘4013)</t>
    <phoneticPr fontId="3" type="noConversion"/>
  </si>
  <si>
    <t>2012.11.5</t>
    <phoneticPr fontId="3" type="noConversion"/>
  </si>
  <si>
    <t>101.10 欽</t>
    <phoneticPr fontId="3" type="noConversion"/>
  </si>
  <si>
    <t>101.10 達</t>
    <phoneticPr fontId="3" type="noConversion"/>
  </si>
  <si>
    <t>2012.11.6</t>
    <phoneticPr fontId="3" type="noConversion"/>
  </si>
  <si>
    <t>依/鎔KO獎金</t>
    <phoneticPr fontId="3" type="noConversion"/>
  </si>
  <si>
    <t>PT匯款手續費</t>
    <phoneticPr fontId="3" type="noConversion"/>
  </si>
  <si>
    <t>(餘3983)</t>
    <phoneticPr fontId="3" type="noConversion"/>
  </si>
  <si>
    <t>2012.11.7</t>
    <phoneticPr fontId="3" type="noConversion"/>
  </si>
  <si>
    <t>道法維護計程車資去程</t>
    <phoneticPr fontId="3" type="noConversion"/>
  </si>
  <si>
    <t>(餘3863)</t>
    <phoneticPr fontId="3" type="noConversion"/>
  </si>
  <si>
    <t>2012.11.07</t>
    <phoneticPr fontId="3" type="noConversion"/>
  </si>
  <si>
    <t>2012.10 card ada代刷 (另一筆在 2012.11.28)</t>
    <phoneticPr fontId="3" type="noConversion"/>
  </si>
  <si>
    <t>2012.11.08</t>
    <phoneticPr fontId="3" type="noConversion"/>
  </si>
  <si>
    <t>傳真紙</t>
    <phoneticPr fontId="3" type="noConversion"/>
  </si>
  <si>
    <t>合約用紙</t>
    <phoneticPr fontId="3" type="noConversion"/>
  </si>
  <si>
    <t>合約封面影印</t>
    <phoneticPr fontId="3" type="noConversion"/>
  </si>
  <si>
    <t>(餘3627)</t>
    <phoneticPr fontId="3" type="noConversion"/>
  </si>
  <si>
    <t>2012.11.08 與現金符合</t>
    <phoneticPr fontId="3" type="noConversion"/>
  </si>
  <si>
    <t>2012.11.09</t>
    <phoneticPr fontId="3" type="noConversion"/>
  </si>
  <si>
    <t>掛號費-愛浪合約/發票</t>
    <phoneticPr fontId="3" type="noConversion"/>
  </si>
  <si>
    <t>掛號費-恩豪合約/發票</t>
    <phoneticPr fontId="3" type="noConversion"/>
  </si>
  <si>
    <t>(餘2837)</t>
    <phoneticPr fontId="3" type="noConversion"/>
  </si>
  <si>
    <t>2012.11.12</t>
    <phoneticPr fontId="3" type="noConversion"/>
  </si>
  <si>
    <t>(餘2792)</t>
    <phoneticPr fontId="3" type="noConversion"/>
  </si>
  <si>
    <t>2012.11.16</t>
    <phoneticPr fontId="3" type="noConversion"/>
  </si>
  <si>
    <t>道法裝機計程車資</t>
    <phoneticPr fontId="3" type="noConversion"/>
  </si>
  <si>
    <t>(餘2547)</t>
    <phoneticPr fontId="3" type="noConversion"/>
  </si>
  <si>
    <t>水費.101-11</t>
    <phoneticPr fontId="3" type="noConversion"/>
  </si>
  <si>
    <t>掛號費-恩豪合約</t>
    <phoneticPr fontId="3" type="noConversion"/>
  </si>
  <si>
    <t>2012.10 card ada代刷補ADA少算 (另一筆在 2012.11.07)</t>
    <phoneticPr fontId="3" type="noConversion"/>
  </si>
  <si>
    <t>旺旺達裝機計程車資</t>
    <phoneticPr fontId="3" type="noConversion"/>
  </si>
  <si>
    <t>2012.11.30</t>
    <phoneticPr fontId="3" type="noConversion"/>
  </si>
  <si>
    <t>2012.12.03</t>
    <phoneticPr fontId="3" type="noConversion"/>
  </si>
  <si>
    <t>2012.12 北平房租-台銀網銀轉帳(2012.06開始漲兩千)</t>
    <phoneticPr fontId="3" type="noConversion"/>
  </si>
  <si>
    <t>限時掛號費-城乙支票寄回重蓋公司章</t>
    <phoneticPr fontId="3" type="noConversion"/>
  </si>
  <si>
    <t>101.11 欽</t>
    <phoneticPr fontId="3" type="noConversion"/>
  </si>
  <si>
    <t>101.11 証</t>
    <phoneticPr fontId="3" type="noConversion"/>
  </si>
  <si>
    <t>2012.12.07</t>
    <phoneticPr fontId="3" type="noConversion"/>
  </si>
  <si>
    <t>鴻碩裝機計程車資</t>
    <phoneticPr fontId="3" type="noConversion"/>
  </si>
  <si>
    <t>鴻碩裝機火車車資</t>
    <phoneticPr fontId="3" type="noConversion"/>
  </si>
  <si>
    <t>鴻碩裝機計程車資(單程,回程客戶便車)</t>
    <phoneticPr fontId="3" type="noConversion"/>
  </si>
  <si>
    <t>2012.12.10</t>
    <phoneticPr fontId="3" type="noConversion"/>
  </si>
  <si>
    <t>2012.11 card ada代刷</t>
    <phoneticPr fontId="3" type="noConversion"/>
  </si>
  <si>
    <t>2012.12.11</t>
    <phoneticPr fontId="3" type="noConversion"/>
  </si>
  <si>
    <t>鴻碩裝機計程車資(換HW重裝機)</t>
    <phoneticPr fontId="3" type="noConversion"/>
  </si>
  <si>
    <t>2012.12.12</t>
    <phoneticPr fontId="3" type="noConversion"/>
  </si>
  <si>
    <t>2012.12.12 與現金符合</t>
    <phoneticPr fontId="3" type="noConversion"/>
  </si>
  <si>
    <t>環保垃圾袋</t>
    <phoneticPr fontId="3" type="noConversion"/>
  </si>
  <si>
    <t>2012.12.18</t>
    <phoneticPr fontId="3" type="noConversion"/>
  </si>
  <si>
    <t>合約封面影印-依德</t>
    <phoneticPr fontId="3" type="noConversion"/>
  </si>
  <si>
    <t>掛號費-依德軟體合約*2限掛</t>
    <phoneticPr fontId="3" type="noConversion"/>
  </si>
  <si>
    <t>合約用紙@39*2</t>
    <phoneticPr fontId="3" type="noConversion"/>
  </si>
  <si>
    <t>2012.12.20</t>
    <phoneticPr fontId="3" type="noConversion"/>
  </si>
  <si>
    <t>管理費-2012.12</t>
    <phoneticPr fontId="3" type="noConversion"/>
  </si>
  <si>
    <t>2012.12.21</t>
    <phoneticPr fontId="3" type="noConversion"/>
  </si>
  <si>
    <t>DV1: 可以麻煩你查一下去年過年紅包多少錢嗎
rayman3t: 2011.11.25 $50000 饒媽 2011.7-2011.12 零用 (餘 年節紅包))
2011.12.30 $30000 饒媽 小孩紅包 (應轉3000聽錯轉了30000當作預付)
DV1: 所以是14000
DV1: 是嗎
DV1: 50000-36000=14000
rayman3t: 應該是吧
DV1: 麻煩轉16000 給他
DV1: 公司有錢
DV1: 嗎
rayman3t: 有
DV1: 好,3Q
DV1: 請轉
rayman3t: 已轉
DV1: 3Q
DV1: 麻煩通知一下
rayman3t: 16000紅包?
DV1: 是</t>
    <phoneticPr fontId="3" type="noConversion"/>
  </si>
  <si>
    <t>維護油資-台一/雙安</t>
    <phoneticPr fontId="3" type="noConversion"/>
  </si>
  <si>
    <t>維護油資-庭田</t>
    <phoneticPr fontId="3" type="noConversion"/>
  </si>
  <si>
    <t>2012.12.25</t>
    <phoneticPr fontId="3" type="noConversion"/>
  </si>
  <si>
    <t>鎔德移機車資</t>
    <phoneticPr fontId="3" type="noConversion"/>
  </si>
  <si>
    <t>2013.01 北平房租-台銀網銀轉帳(2012.06開始漲兩千)</t>
    <phoneticPr fontId="3" type="noConversion"/>
  </si>
  <si>
    <t>2013.1.7</t>
    <phoneticPr fontId="3" type="noConversion"/>
  </si>
  <si>
    <t>101.12 欽</t>
    <phoneticPr fontId="3" type="noConversion"/>
  </si>
  <si>
    <t>101.12 証</t>
    <phoneticPr fontId="3" type="noConversion"/>
  </si>
  <si>
    <t>101.12 達</t>
    <phoneticPr fontId="3" type="noConversion"/>
  </si>
  <si>
    <t>2013.1.9</t>
    <phoneticPr fontId="3" type="noConversion"/>
  </si>
  <si>
    <t>2012.12 card ada代刷</t>
    <phoneticPr fontId="3" type="noConversion"/>
  </si>
  <si>
    <t>2013.1.8</t>
    <phoneticPr fontId="3" type="noConversion"/>
  </si>
  <si>
    <t>庭田裝機計程車資</t>
    <phoneticPr fontId="3" type="noConversion"/>
  </si>
  <si>
    <t>2013.1.14</t>
    <phoneticPr fontId="3" type="noConversion"/>
  </si>
  <si>
    <t>太暘裝機計程車資</t>
    <phoneticPr fontId="3" type="noConversion"/>
  </si>
  <si>
    <t>2013.1.21</t>
    <phoneticPr fontId="3" type="noConversion"/>
  </si>
  <si>
    <t>雜項購置</t>
    <phoneticPr fontId="3" type="noConversion"/>
  </si>
  <si>
    <t>電池9V---電話搖控器用</t>
    <phoneticPr fontId="3" type="noConversion"/>
  </si>
  <si>
    <t>庭田取回舊機停車費</t>
    <phoneticPr fontId="3" type="noConversion"/>
  </si>
  <si>
    <t>2013.1.23</t>
    <phoneticPr fontId="3" type="noConversion"/>
  </si>
  <si>
    <t>同皇裝機計程車資</t>
    <phoneticPr fontId="3" type="noConversion"/>
  </si>
  <si>
    <t>合約用紙@48*2, A4紙@120</t>
    <phoneticPr fontId="3" type="noConversion"/>
  </si>
  <si>
    <t>DV1: 我在想要如何給pt
DV1: 最好是可以換成人民幣
DV1: PT 欠我一萬人民幣 所以240000 - 46700 = 193300 
DV1: 帳上仍算是24萬都給他了
下午 1:03:29  DV1: 我現在可能要少付給PT4萬下午 1:03:42  rayman3t: OK下午 1:04:02  DV1: 193300 - 40000 = 153300</t>
    <phoneticPr fontId="3" type="noConversion"/>
  </si>
  <si>
    <t>2013.01.24</t>
    <phoneticPr fontId="3" type="noConversion"/>
  </si>
  <si>
    <t>2013.01.25</t>
    <phoneticPr fontId="3" type="noConversion"/>
  </si>
  <si>
    <t>水費.102-01</t>
    <phoneticPr fontId="3" type="noConversion"/>
  </si>
  <si>
    <t>2013.02.01</t>
    <phoneticPr fontId="3" type="noConversion"/>
  </si>
  <si>
    <t>Peter Chang: 你幫我問一下阿達...何時可以領到錢及轉帳
dvonsky: 所以直接轉 200000 扣 10000 * 4.75 = 152500 給梅海是嗎
dvonsky: 請給我梅海的台灣帳號
Peter Chang: 不是...直接將二十萬轉給梅海
Peter Chang: 我這裏幫你付運費，我還差你一萬人民幣，付人運費剩下的等你回來再算
dvonsky: 好
DV1: 開戶銀行：聯邦銀行 安康分行
開戶名： 黃亞嬌
帳號： 0815 080 12066
DV1: 請問可以網上轉嗎
rayman3t: 不行
DV1: 那你有空去嗎
rayman3t: OK
rayman3t: 轉20萬嗎?
DV1: 是</t>
    <phoneticPr fontId="3" type="noConversion"/>
  </si>
  <si>
    <t>2013.02 北平房租-台銀網銀轉帳(2012.06開始漲兩千)</t>
    <phoneticPr fontId="3" type="noConversion"/>
  </si>
  <si>
    <t>102.01 欽</t>
    <phoneticPr fontId="3" type="noConversion"/>
  </si>
  <si>
    <t>102.01 欽-年終</t>
    <phoneticPr fontId="3" type="noConversion"/>
  </si>
  <si>
    <t>102.01 証</t>
    <phoneticPr fontId="3" type="noConversion"/>
  </si>
  <si>
    <t>透明膠布</t>
    <phoneticPr fontId="3" type="noConversion"/>
  </si>
  <si>
    <t>PT20萬匯費</t>
    <phoneticPr fontId="3" type="noConversion"/>
  </si>
  <si>
    <t>鎔德領支票車資</t>
    <phoneticPr fontId="3" type="noConversion"/>
  </si>
  <si>
    <t>鎔德領支票車資</t>
    <phoneticPr fontId="3" type="noConversion"/>
  </si>
  <si>
    <t>客服易付卡儲值</t>
    <phoneticPr fontId="3" type="noConversion"/>
  </si>
  <si>
    <t>(與現金相符)</t>
    <phoneticPr fontId="3" type="noConversion"/>
  </si>
  <si>
    <t>2013.02.21</t>
    <phoneticPr fontId="3" type="noConversion"/>
  </si>
  <si>
    <t>rayman3t: 梅海 024186629388 匯豐銀行 永和分行
匯 NT$19萬嗎
DV1: 請匯40000 x 4.76=190400</t>
    <phoneticPr fontId="3" type="noConversion"/>
  </si>
  <si>
    <t>2013.02.26</t>
    <phoneticPr fontId="3" type="noConversion"/>
  </si>
  <si>
    <t>詩菁抽屜零錢</t>
    <phoneticPr fontId="3" type="noConversion"/>
  </si>
  <si>
    <t>購買發票車資-改聯邦銀行代售</t>
    <phoneticPr fontId="3" type="noConversion"/>
  </si>
  <si>
    <t>華算102.03-04三聯式發票</t>
    <phoneticPr fontId="3" type="noConversion"/>
  </si>
  <si>
    <t>2013.3.1</t>
    <phoneticPr fontId="3" type="noConversion"/>
  </si>
  <si>
    <t>郵票 @5 * 10張</t>
    <phoneticPr fontId="3" type="noConversion"/>
  </si>
  <si>
    <t>2013.03.05</t>
    <phoneticPr fontId="3" type="noConversion"/>
  </si>
  <si>
    <t>102.01 達</t>
    <phoneticPr fontId="3" type="noConversion"/>
  </si>
  <si>
    <t>(達先轉$33248餘$3萬待轉)</t>
    <phoneticPr fontId="3" type="noConversion"/>
  </si>
  <si>
    <t>鏍絲起子/斜口鉗/尖嘴鉗</t>
    <phoneticPr fontId="3" type="noConversion"/>
  </si>
  <si>
    <t>(達先轉$15000餘$1萬5待轉)</t>
    <phoneticPr fontId="3" type="noConversion"/>
  </si>
  <si>
    <t>掛號費-八亨合約*2發票</t>
    <phoneticPr fontId="3" type="noConversion"/>
  </si>
  <si>
    <t>2013.03.13</t>
    <phoneticPr fontId="3" type="noConversion"/>
  </si>
  <si>
    <t>401.2013.01~02</t>
    <phoneticPr fontId="3" type="noConversion"/>
  </si>
  <si>
    <t>(達轉餘額$15000)</t>
    <phoneticPr fontId="3" type="noConversion"/>
  </si>
  <si>
    <t>2013.03.13</t>
    <phoneticPr fontId="3" type="noConversion"/>
  </si>
  <si>
    <t>掛號費-大成合約*2發票</t>
    <phoneticPr fontId="3" type="noConversion"/>
  </si>
  <si>
    <t>2013.4.1</t>
    <phoneticPr fontId="3" type="noConversion"/>
  </si>
  <si>
    <t>2013.04 北平房租-台銀網銀轉帳(2012.06開始漲兩千)</t>
    <phoneticPr fontId="3" type="noConversion"/>
  </si>
  <si>
    <t>維護油資-宏觀/達翌/合碩</t>
    <phoneticPr fontId="3" type="noConversion"/>
  </si>
  <si>
    <t>2013.04.08</t>
    <phoneticPr fontId="3" type="noConversion"/>
  </si>
  <si>
    <t>102.03 欽</t>
    <phoneticPr fontId="3" type="noConversion"/>
  </si>
  <si>
    <t>102.03 張</t>
    <phoneticPr fontId="3" type="noConversion"/>
  </si>
  <si>
    <t>102.03 達</t>
    <phoneticPr fontId="3" type="noConversion"/>
  </si>
  <si>
    <t>2013.4.10</t>
    <phoneticPr fontId="3" type="noConversion"/>
  </si>
  <si>
    <t>威視裝機計程車資</t>
    <phoneticPr fontId="3" type="noConversion"/>
  </si>
  <si>
    <t>交通費</t>
    <phoneticPr fontId="3" type="noConversion"/>
  </si>
  <si>
    <t>2013.4.17</t>
    <phoneticPr fontId="3" type="noConversion"/>
  </si>
  <si>
    <t>購買發票車資-改聯邦銀行代售</t>
    <phoneticPr fontId="3" type="noConversion"/>
  </si>
  <si>
    <t>2013.4.19</t>
    <phoneticPr fontId="3" type="noConversion"/>
  </si>
  <si>
    <t>八亨換機悠遊卡車資</t>
    <phoneticPr fontId="3" type="noConversion"/>
  </si>
  <si>
    <t>八亨換機計程車資</t>
    <phoneticPr fontId="3" type="noConversion"/>
  </si>
  <si>
    <t>2013.04.25</t>
    <phoneticPr fontId="3" type="noConversion"/>
  </si>
  <si>
    <t>管理費-2013.04</t>
    <phoneticPr fontId="3" type="noConversion"/>
  </si>
  <si>
    <t>2013.4.29</t>
    <phoneticPr fontId="3" type="noConversion"/>
  </si>
  <si>
    <t>順豐寄101年度營所稅申報書一份</t>
    <phoneticPr fontId="3" type="noConversion"/>
  </si>
  <si>
    <t>2013.4.30</t>
    <phoneticPr fontId="3" type="noConversion"/>
  </si>
  <si>
    <t>悠遊卡加值西拓</t>
    <phoneticPr fontId="3" type="noConversion"/>
  </si>
  <si>
    <t>2013.5.2</t>
    <phoneticPr fontId="3" type="noConversion"/>
  </si>
  <si>
    <t>饒媽
DV1: 請匯 6000 * 6 (2013/7 - 12月)+3000 母親節
DV1: 39000</t>
    <phoneticPr fontId="3" type="noConversion"/>
  </si>
  <si>
    <t>2013.05.06</t>
    <phoneticPr fontId="3" type="noConversion"/>
  </si>
  <si>
    <t>102.04 達 (餘額不足先轉, 餘$30000)</t>
    <phoneticPr fontId="3" type="noConversion"/>
  </si>
  <si>
    <t>悠遊卡加值依德</t>
    <phoneticPr fontId="3" type="noConversion"/>
  </si>
  <si>
    <t>2013.05.07</t>
    <phoneticPr fontId="3" type="noConversion"/>
  </si>
  <si>
    <t>102.04 達 (薪餘額不足-補)</t>
    <phoneticPr fontId="3" type="noConversion"/>
  </si>
  <si>
    <t>2013.4 card ada代刷</t>
    <phoneticPr fontId="3" type="noConversion"/>
  </si>
  <si>
    <t>2013.05.08</t>
    <phoneticPr fontId="3" type="noConversion"/>
  </si>
  <si>
    <t>車源二次款
[上午 10:19:16] Peter Chang: 你再注意一下...二筆都入帳後，要麻煩你轉匯....資料如下：
戶名：黃亞嬌
銀行：聯邦銀行安康分行
帳號：024 186629 388</t>
    <phoneticPr fontId="3" type="noConversion"/>
  </si>
  <si>
    <t>2013.05.09</t>
    <phoneticPr fontId="3" type="noConversion"/>
  </si>
  <si>
    <t>2013.05.15</t>
    <phoneticPr fontId="3" type="noConversion"/>
  </si>
  <si>
    <t>2013.05.23</t>
    <phoneticPr fontId="3" type="noConversion"/>
  </si>
  <si>
    <t>管理費-2013.05</t>
    <phoneticPr fontId="3" type="noConversion"/>
  </si>
  <si>
    <t>2013.05.31</t>
    <phoneticPr fontId="3" type="noConversion"/>
  </si>
  <si>
    <t>水費.102-05</t>
    <phoneticPr fontId="3" type="noConversion"/>
  </si>
  <si>
    <t>102.05 欽</t>
    <phoneticPr fontId="3" type="noConversion"/>
  </si>
  <si>
    <t>102.05 達</t>
    <phoneticPr fontId="3" type="noConversion"/>
  </si>
  <si>
    <t>白膠布,矽利康</t>
    <phoneticPr fontId="3" type="noConversion"/>
  </si>
  <si>
    <t>2013.06.6</t>
    <phoneticPr fontId="3" type="noConversion"/>
  </si>
  <si>
    <t>國稅局辦達算停業車資</t>
    <phoneticPr fontId="3" type="noConversion"/>
  </si>
  <si>
    <t>2013.6.10</t>
    <phoneticPr fontId="3" type="noConversion"/>
  </si>
  <si>
    <t>掛號費-國稅局營所稅網路申報,紙本寄送</t>
    <phoneticPr fontId="3" type="noConversion"/>
  </si>
  <si>
    <t>2013.6.14</t>
    <phoneticPr fontId="3" type="noConversion"/>
  </si>
  <si>
    <t>2013.6.17</t>
    <phoneticPr fontId="3" type="noConversion"/>
  </si>
  <si>
    <t>松群換機計程車資</t>
    <phoneticPr fontId="3" type="noConversion"/>
  </si>
  <si>
    <t>2013.6.18</t>
    <phoneticPr fontId="3" type="noConversion"/>
  </si>
  <si>
    <t>2013.6.25</t>
    <phoneticPr fontId="3" type="noConversion"/>
  </si>
  <si>
    <t>2013.6 card ada代刷</t>
    <phoneticPr fontId="3" type="noConversion"/>
  </si>
  <si>
    <t>2013.6.26</t>
    <phoneticPr fontId="3" type="noConversion"/>
  </si>
  <si>
    <t>大碩換機計程車資</t>
    <phoneticPr fontId="3" type="noConversion"/>
  </si>
  <si>
    <t>2013.07.01</t>
    <phoneticPr fontId="3" type="noConversion"/>
  </si>
  <si>
    <t>2013.07 北平房租-台銀網銀轉帳(2012.06開始漲兩千)</t>
    <phoneticPr fontId="3" type="noConversion"/>
  </si>
  <si>
    <t>2013.07.02</t>
    <phoneticPr fontId="3" type="noConversion"/>
  </si>
  <si>
    <t>車源三次款
戶名：黃亞嬌
銀行：聯邦銀行安康分行
帳號：024 186629 388</t>
    <phoneticPr fontId="3" type="noConversion"/>
  </si>
  <si>
    <t>2013.07.03</t>
    <phoneticPr fontId="3" type="noConversion"/>
  </si>
  <si>
    <t>喜可查內網車資</t>
    <phoneticPr fontId="3" type="noConversion"/>
  </si>
  <si>
    <t>102.06 欽</t>
    <phoneticPr fontId="3" type="noConversion"/>
  </si>
  <si>
    <t>102.06 張</t>
    <phoneticPr fontId="3" type="noConversion"/>
  </si>
  <si>
    <t>102.06 達</t>
    <phoneticPr fontId="3" type="noConversion"/>
  </si>
  <si>
    <t>2013.07.08</t>
    <phoneticPr fontId="3" type="noConversion"/>
  </si>
  <si>
    <t>SKYPE 儲值 koofficecn(刷澳盛卡 2013.6.6)</t>
    <phoneticPr fontId="3" type="noConversion"/>
  </si>
  <si>
    <t>郵費</t>
    <phoneticPr fontId="3" type="noConversion"/>
  </si>
  <si>
    <t>掛號費-施舒雅續約/回郵</t>
    <phoneticPr fontId="3" type="noConversion"/>
  </si>
  <si>
    <t>管理費-2013.06</t>
    <phoneticPr fontId="3" type="noConversion"/>
  </si>
  <si>
    <t>2013.07.11</t>
    <phoneticPr fontId="3" type="noConversion"/>
  </si>
  <si>
    <t>2013.07.16</t>
    <phoneticPr fontId="3" type="noConversion"/>
  </si>
  <si>
    <t>刻阿達印章-變股東持股變動</t>
    <phoneticPr fontId="3" type="noConversion"/>
  </si>
  <si>
    <t>悠遊卡加值</t>
    <phoneticPr fontId="3" type="noConversion"/>
  </si>
  <si>
    <t>2013.7.23</t>
    <phoneticPr fontId="3" type="noConversion"/>
  </si>
  <si>
    <t>祥和換機計程車資</t>
    <phoneticPr fontId="3" type="noConversion"/>
  </si>
  <si>
    <t>2013.7.24</t>
    <phoneticPr fontId="3" type="noConversion"/>
  </si>
  <si>
    <t>永馳換機計程車資</t>
    <phoneticPr fontId="3" type="noConversion"/>
  </si>
  <si>
    <t>2013.7.25</t>
    <phoneticPr fontId="3" type="noConversion"/>
  </si>
  <si>
    <t>2013.7.26</t>
    <phoneticPr fontId="3" type="noConversion"/>
  </si>
  <si>
    <t>管理費-2013.07</t>
    <phoneticPr fontId="3" type="noConversion"/>
  </si>
  <si>
    <t>城乙維護火車車資</t>
    <phoneticPr fontId="3" type="noConversion"/>
  </si>
  <si>
    <t>城乙維護計程車資</t>
    <phoneticPr fontId="3" type="noConversion"/>
  </si>
  <si>
    <t>水費.102-07</t>
    <phoneticPr fontId="3" type="noConversion"/>
  </si>
  <si>
    <t>2013.7.31</t>
    <phoneticPr fontId="3" type="noConversion"/>
  </si>
  <si>
    <t>鉑德裝機計程車車資</t>
    <phoneticPr fontId="3" type="noConversion"/>
  </si>
  <si>
    <t>光華捷運車資</t>
    <phoneticPr fontId="3" type="noConversion"/>
  </si>
  <si>
    <t>六角扳手</t>
    <phoneticPr fontId="3" type="noConversion"/>
  </si>
  <si>
    <t>2013.08.02</t>
    <phoneticPr fontId="3" type="noConversion"/>
  </si>
  <si>
    <t>鉑德愛浪維護計程車車資</t>
    <phoneticPr fontId="3" type="noConversion"/>
  </si>
  <si>
    <t>愛浪維護捷運車資</t>
    <phoneticPr fontId="3" type="noConversion"/>
  </si>
  <si>
    <t>2013.08.05</t>
    <phoneticPr fontId="3" type="noConversion"/>
  </si>
  <si>
    <t>102.07 欽</t>
    <phoneticPr fontId="3" type="noConversion"/>
  </si>
  <si>
    <t>102.07 張</t>
    <phoneticPr fontId="3" type="noConversion"/>
  </si>
  <si>
    <t>102.07 達</t>
    <phoneticPr fontId="3" type="noConversion"/>
  </si>
  <si>
    <t>鉑德上架計程車車資</t>
    <phoneticPr fontId="3" type="noConversion"/>
  </si>
  <si>
    <t>鉑德上架捷運車資</t>
    <phoneticPr fontId="3" type="noConversion"/>
  </si>
  <si>
    <t>2013.08.07</t>
    <phoneticPr fontId="3" type="noConversion"/>
  </si>
  <si>
    <t>2013.7 card ada代刷</t>
    <phoneticPr fontId="3" type="noConversion"/>
  </si>
  <si>
    <t>2013.08.10</t>
    <phoneticPr fontId="3" type="noConversion"/>
  </si>
  <si>
    <t>掛號費-合碩合約*2,發票</t>
    <phoneticPr fontId="3" type="noConversion"/>
  </si>
  <si>
    <t>掛號費-依德/ 鎔德/ 友士/ 同皇發票</t>
    <phoneticPr fontId="3" type="noConversion"/>
  </si>
  <si>
    <t>機箱風扇電源3轉5轉接頭*2</t>
    <phoneticPr fontId="3" type="noConversion"/>
  </si>
  <si>
    <t>2013.08.14</t>
    <phoneticPr fontId="3" type="noConversion"/>
  </si>
  <si>
    <t>掛號費-益睿報價,合約*2未押日期,鉑德第一期發票 依-葉收</t>
    <phoneticPr fontId="3" type="noConversion"/>
  </si>
  <si>
    <t>2013.08.15</t>
    <phoneticPr fontId="3" type="noConversion"/>
  </si>
  <si>
    <t>合碩換機計程車資</t>
    <phoneticPr fontId="3" type="noConversion"/>
  </si>
  <si>
    <t>2013.08.23</t>
    <phoneticPr fontId="3" type="noConversion"/>
  </si>
  <si>
    <t>牛皮紙A4信封套</t>
    <phoneticPr fontId="3" type="noConversion"/>
  </si>
  <si>
    <t>利明押金及匯款手續費</t>
    <phoneticPr fontId="3" type="noConversion"/>
  </si>
  <si>
    <t>2013.08.26</t>
    <phoneticPr fontId="3" type="noConversion"/>
  </si>
  <si>
    <t>2013.08.27</t>
    <phoneticPr fontId="3" type="noConversion"/>
  </si>
  <si>
    <t>管理費-2013.08</t>
    <phoneticPr fontId="3" type="noConversion"/>
  </si>
  <si>
    <t>2013.08.30</t>
    <phoneticPr fontId="3" type="noConversion"/>
  </si>
  <si>
    <t>購買發票車資</t>
    <phoneticPr fontId="3" type="noConversion"/>
  </si>
  <si>
    <t>2013.09.01</t>
    <phoneticPr fontId="3" type="noConversion"/>
  </si>
  <si>
    <t>2013.09 北平房租-台銀網銀轉帳(2012.06開始漲兩千)</t>
    <phoneticPr fontId="3" type="noConversion"/>
  </si>
  <si>
    <t>2013.09.02</t>
    <phoneticPr fontId="3" type="noConversion"/>
  </si>
  <si>
    <t>2013.8 card ada代刷-富邦</t>
    <phoneticPr fontId="3" type="noConversion"/>
  </si>
  <si>
    <t>2013.09.05</t>
    <phoneticPr fontId="3" type="noConversion"/>
  </si>
  <si>
    <t>102.08 欽 華算-台銀信義</t>
    <phoneticPr fontId="3" type="noConversion"/>
  </si>
  <si>
    <t>102.08 張</t>
    <phoneticPr fontId="3" type="noConversion"/>
  </si>
  <si>
    <t>2013.8 card ada代刷-中信</t>
    <phoneticPr fontId="3" type="noConversion"/>
  </si>
  <si>
    <t>2013.09.10</t>
    <phoneticPr fontId="3" type="noConversion"/>
  </si>
  <si>
    <t>401.2013.07~08</t>
    <phoneticPr fontId="3" type="noConversion"/>
  </si>
  <si>
    <t>依德領鉑德票</t>
    <phoneticPr fontId="3" type="noConversion"/>
  </si>
  <si>
    <t>雜項購置</t>
    <phoneticPr fontId="3" type="noConversion"/>
  </si>
  <si>
    <t>2013.09.17</t>
    <phoneticPr fontId="3" type="noConversion"/>
  </si>
  <si>
    <t>管理費-2013.09</t>
    <phoneticPr fontId="3" type="noConversion"/>
  </si>
  <si>
    <t>尖嘴鉗</t>
    <phoneticPr fontId="3" type="noConversion"/>
  </si>
  <si>
    <t>風扇電源轉接線 @45*2</t>
    <phoneticPr fontId="3" type="noConversion"/>
  </si>
  <si>
    <t>2013.9.30</t>
    <phoneticPr fontId="3" type="noConversion"/>
  </si>
  <si>
    <t>5公升垃圾袋 @36*4</t>
    <phoneticPr fontId="3" type="noConversion"/>
  </si>
  <si>
    <t>2013.10.01</t>
    <phoneticPr fontId="3" type="noConversion"/>
  </si>
  <si>
    <t>2013.9 card ada代刷-富邦</t>
    <phoneticPr fontId="3" type="noConversion"/>
  </si>
  <si>
    <t>2013.10.03</t>
    <phoneticPr fontId="3" type="noConversion"/>
  </si>
  <si>
    <t>益睿續約換機計程車資</t>
    <phoneticPr fontId="3" type="noConversion"/>
  </si>
  <si>
    <t>102.09 欽</t>
    <phoneticPr fontId="3" type="noConversion"/>
  </si>
  <si>
    <t>102.09 達</t>
    <phoneticPr fontId="3" type="noConversion"/>
  </si>
  <si>
    <t>2013.10.8</t>
    <phoneticPr fontId="3" type="noConversion"/>
  </si>
  <si>
    <t>雜費</t>
    <phoneticPr fontId="3" type="noConversion"/>
  </si>
  <si>
    <t>蟑螂藥/馬桶清潔劑</t>
    <phoneticPr fontId="3" type="noConversion"/>
  </si>
  <si>
    <t>掛號費-依德/ 鎔德/ 鉑德網址發票寄葉</t>
    <phoneticPr fontId="3" type="noConversion"/>
  </si>
  <si>
    <t>2013.10.9</t>
    <phoneticPr fontId="3" type="noConversion"/>
  </si>
  <si>
    <t>2013.10.11</t>
    <phoneticPr fontId="3" type="noConversion"/>
  </si>
  <si>
    <t>2013.10.14</t>
    <phoneticPr fontId="3" type="noConversion"/>
  </si>
  <si>
    <t>掛號費-依德/鎔德/德鎔/鉑德 合約/發票 寄吳美玲協理</t>
    <phoneticPr fontId="3" type="noConversion"/>
  </si>
  <si>
    <t>合約封面</t>
    <phoneticPr fontId="3" type="noConversion"/>
  </si>
  <si>
    <t>饒媽 要請你匯 6 * 6000 (1-6月) + 14000 紅包 = 50000</t>
    <phoneticPr fontId="3" type="noConversion"/>
  </si>
  <si>
    <t>管理費-2013.10</t>
    <phoneticPr fontId="3" type="noConversion"/>
  </si>
  <si>
    <t>2013.10.31</t>
    <phoneticPr fontId="3" type="noConversion"/>
  </si>
  <si>
    <t>華算102.11-12三聯式發票</t>
    <phoneticPr fontId="3" type="noConversion"/>
  </si>
  <si>
    <t>2013.11.01</t>
    <phoneticPr fontId="3" type="noConversion"/>
  </si>
  <si>
    <t>2013.11 北平房租-台銀網銀轉帳(2012.06開始漲兩千)</t>
    <phoneticPr fontId="3" type="noConversion"/>
  </si>
  <si>
    <t>2013.11.05</t>
    <phoneticPr fontId="3" type="noConversion"/>
  </si>
  <si>
    <t>102.10 欽</t>
    <phoneticPr fontId="3" type="noConversion"/>
  </si>
  <si>
    <t>102.10 達</t>
    <phoneticPr fontId="3" type="noConversion"/>
  </si>
  <si>
    <t>40W燈管 $70*4</t>
    <phoneticPr fontId="3" type="noConversion"/>
  </si>
  <si>
    <t>401.2013.09~10</t>
    <phoneticPr fontId="3" type="noConversion"/>
  </si>
  <si>
    <t>PETER-匯豐銀行-永和分行-梅華-024190266388</t>
    <phoneticPr fontId="3" type="noConversion"/>
  </si>
  <si>
    <t>PETER-大眾銀行-內湖分行-章挺憲-168122936117</t>
    <phoneticPr fontId="3" type="noConversion"/>
  </si>
  <si>
    <t>2013.11.27</t>
    <phoneticPr fontId="3" type="noConversion"/>
  </si>
  <si>
    <t>水費.102-11</t>
    <phoneticPr fontId="3" type="noConversion"/>
  </si>
  <si>
    <t>管理費-2013.11</t>
    <phoneticPr fontId="3" type="noConversion"/>
  </si>
  <si>
    <t>悠遊卡加值</t>
    <phoneticPr fontId="3" type="noConversion"/>
  </si>
  <si>
    <t>2013.11.29</t>
    <phoneticPr fontId="3" type="noConversion"/>
  </si>
  <si>
    <t>起子</t>
    <phoneticPr fontId="3" type="noConversion"/>
  </si>
  <si>
    <t>風扇電源轉接線 @55*4</t>
    <phoneticPr fontId="3" type="noConversion"/>
  </si>
  <si>
    <t>2013.12.01</t>
    <phoneticPr fontId="3" type="noConversion"/>
  </si>
  <si>
    <t>2013.11 card ada代刷-中信</t>
    <phoneticPr fontId="3" type="noConversion"/>
  </si>
  <si>
    <t>2013.12.06</t>
    <phoneticPr fontId="3" type="noConversion"/>
  </si>
  <si>
    <t>代刷PT-UNI-CASE網址1YEAR</t>
    <phoneticPr fontId="3" type="noConversion"/>
  </si>
  <si>
    <t>2013.12.23</t>
    <phoneticPr fontId="3" type="noConversion"/>
  </si>
  <si>
    <t>掛號費-依德合約回郵信封</t>
    <phoneticPr fontId="3" type="noConversion"/>
  </si>
  <si>
    <t>2013.12.25</t>
    <phoneticPr fontId="3" type="noConversion"/>
  </si>
  <si>
    <t>八亨換機計程車資</t>
    <phoneticPr fontId="3" type="noConversion"/>
  </si>
  <si>
    <t>2013.12.26</t>
    <phoneticPr fontId="3" type="noConversion"/>
  </si>
  <si>
    <t>掛號費-依德發票/品固合約</t>
    <phoneticPr fontId="3" type="noConversion"/>
  </si>
  <si>
    <t>管理費-2013.12</t>
    <phoneticPr fontId="3" type="noConversion"/>
  </si>
  <si>
    <t>雷凌RT3070 150M無線USB-WIFI模組無線網卡</t>
    <phoneticPr fontId="3" type="noConversion"/>
  </si>
  <si>
    <t>2013.12.31</t>
    <phoneticPr fontId="3" type="noConversion"/>
  </si>
  <si>
    <t>2014.01.01</t>
    <phoneticPr fontId="3" type="noConversion"/>
  </si>
  <si>
    <t>2014.01 北平房租-台銀網銀轉帳(2012.06開始漲兩千)</t>
    <phoneticPr fontId="3" type="noConversion"/>
  </si>
  <si>
    <t>資源回收袋</t>
    <phoneticPr fontId="3" type="noConversion"/>
  </si>
  <si>
    <t>102.12 欽</t>
    <phoneticPr fontId="3" type="noConversion"/>
  </si>
  <si>
    <t>102.12 達</t>
    <phoneticPr fontId="3" type="noConversion"/>
  </si>
  <si>
    <t>西拓換機計程車資</t>
    <phoneticPr fontId="3" type="noConversion"/>
  </si>
  <si>
    <t>展鑫換機計程車資</t>
    <phoneticPr fontId="3" type="noConversion"/>
  </si>
  <si>
    <t>2014.01.10</t>
    <phoneticPr fontId="3" type="noConversion"/>
  </si>
  <si>
    <t>掛號費-西拓合約</t>
    <phoneticPr fontId="3" type="noConversion"/>
  </si>
  <si>
    <t>2014.01.13</t>
    <phoneticPr fontId="3" type="noConversion"/>
  </si>
  <si>
    <t>掛號費-展鑫主機鎖匙</t>
    <phoneticPr fontId="3" type="noConversion"/>
  </si>
  <si>
    <t>2014.01.21</t>
    <phoneticPr fontId="3" type="noConversion"/>
  </si>
  <si>
    <t>管理費-2014.01</t>
    <phoneticPr fontId="3" type="noConversion"/>
  </si>
  <si>
    <t>水費.103-01</t>
    <phoneticPr fontId="3" type="noConversion"/>
  </si>
  <si>
    <t>2014.01.28</t>
    <phoneticPr fontId="3" type="noConversion"/>
  </si>
  <si>
    <t>2014.02 北平房租-台銀網銀轉帳(2012.06開始漲兩千)</t>
    <phoneticPr fontId="3" type="noConversion"/>
  </si>
  <si>
    <t>103.1 欽</t>
    <phoneticPr fontId="3" type="noConversion"/>
  </si>
  <si>
    <t>103.1 証</t>
    <phoneticPr fontId="3" type="noConversion"/>
  </si>
  <si>
    <t>2014.01.29</t>
    <phoneticPr fontId="3" type="noConversion"/>
  </si>
  <si>
    <t>2014.02.06</t>
    <phoneticPr fontId="3" type="noConversion"/>
  </si>
  <si>
    <t>風扇電源轉接線 @55*4/WIFI-RT@499</t>
    <phoneticPr fontId="3" type="noConversion"/>
  </si>
  <si>
    <t>掛號費-展鑫支票/友士/依德/鎔德/鉑德發票</t>
    <phoneticPr fontId="3" type="noConversion"/>
  </si>
  <si>
    <t>26473(32071-5598),存摺為32071</t>
    <phoneticPr fontId="3" type="noConversion"/>
  </si>
  <si>
    <t>2014.1 card ada代刷-中信 $19335 富邦 $12736
2013.12.29 $5598 (包含在中信 $19335內)
rayman3t: DV1: 5598 我不確定, 銀行也沒支出--&gt;不作就不平衡了 -&gt; 昨天說的那筆 2013.12 刷卡 $5598, 是在2014.2 銀行支出ADA代刷
rayman3t: 因為那筆是 2013.12.29, 在2014.2 才付帳單
rayman3t: 昨天已作2013零用金
DV1: 沒關係,請你在帳上註明就好
DV1: 然後改作補零用金
rayman3t: 作在零用金, 那筆2月刷卡改補零用金嗎
DV1: 等於我是在2013年已經用零用金付了你的卡費
DV1: 然後2014年2月你又從銀行把錢領出來
DV1: 補回零用金</t>
    <phoneticPr fontId="3" type="noConversion"/>
  </si>
  <si>
    <t>2013零用金支付2013.12.29 刷卡</t>
    <phoneticPr fontId="3" type="noConversion"/>
  </si>
  <si>
    <t>2014補回零用金</t>
    <phoneticPr fontId="3" type="noConversion"/>
  </si>
  <si>
    <t>2014.02.11</t>
    <phoneticPr fontId="3" type="noConversion"/>
  </si>
  <si>
    <t>客服易付卡儲值</t>
    <phoneticPr fontId="3" type="noConversion"/>
  </si>
  <si>
    <t>2014.02.18</t>
    <phoneticPr fontId="3" type="noConversion"/>
  </si>
  <si>
    <t>DV身駕健影印</t>
    <phoneticPr fontId="3" type="noConversion"/>
  </si>
  <si>
    <t>2014.02.19</t>
    <phoneticPr fontId="3" type="noConversion"/>
  </si>
  <si>
    <t>下午 2:50:33  DV1: 請問轉3100至 台銀城中分行 張彩玲 045 ０047 11607 要不要手續費
下午 3:10:30  DV1: 是幫美國那個小嘉付錢給旅行社辦台胞證</t>
    <phoneticPr fontId="3" type="noConversion"/>
  </si>
  <si>
    <t>2014.02.20</t>
    <phoneticPr fontId="3" type="noConversion"/>
  </si>
  <si>
    <t>管理費-2014.02</t>
    <phoneticPr fontId="3" type="noConversion"/>
  </si>
  <si>
    <t>2014.03.04</t>
    <phoneticPr fontId="3" type="noConversion"/>
  </si>
  <si>
    <t>購發票悠遊卡車資</t>
    <phoneticPr fontId="3" type="noConversion"/>
  </si>
  <si>
    <t>2014.03.05</t>
    <phoneticPr fontId="3" type="noConversion"/>
  </si>
  <si>
    <t>2014.02 card ada代刷-中信</t>
    <phoneticPr fontId="3" type="noConversion"/>
  </si>
  <si>
    <t>103.2 欽 (103.02 開始調$25500)</t>
    <phoneticPr fontId="3" type="noConversion"/>
  </si>
  <si>
    <t>103.2 達</t>
    <phoneticPr fontId="3" type="noConversion"/>
  </si>
  <si>
    <t>DV1: 麻煩幫我轉3萬台幣到我郵局好嗎</t>
    <phoneticPr fontId="3" type="noConversion"/>
  </si>
  <si>
    <t>ATM轉郵局手續費</t>
    <phoneticPr fontId="3" type="noConversion"/>
  </si>
  <si>
    <t>網卡PCI-E交通費</t>
    <phoneticPr fontId="3" type="noConversion"/>
  </si>
  <si>
    <t>鎔德行銷裝機捷運車資</t>
    <phoneticPr fontId="3" type="noConversion"/>
  </si>
  <si>
    <t>2014.03.21</t>
    <phoneticPr fontId="3" type="noConversion"/>
  </si>
  <si>
    <t>管理費-2014.03</t>
    <phoneticPr fontId="3" type="noConversion"/>
  </si>
  <si>
    <t>2014.03.28</t>
    <phoneticPr fontId="3" type="noConversion"/>
  </si>
  <si>
    <t>掛號費-依鎔德財務業務軟體開發合約*4,發票*4,附1回郵</t>
    <phoneticPr fontId="3" type="noConversion"/>
  </si>
  <si>
    <t>2014.04.01</t>
    <phoneticPr fontId="3" type="noConversion"/>
  </si>
  <si>
    <t>掛號費-鎔德行銷VPN合約*2,發票,附1回郵</t>
    <phoneticPr fontId="3" type="noConversion"/>
  </si>
  <si>
    <t>水費.103-03</t>
    <phoneticPr fontId="3" type="noConversion"/>
  </si>
  <si>
    <t>2014.04.03</t>
    <phoneticPr fontId="3" type="noConversion"/>
  </si>
  <si>
    <t>2014.03 card ada代刷-中信</t>
    <phoneticPr fontId="3" type="noConversion"/>
  </si>
  <si>
    <t>2014.03 card ada代刷-富邦</t>
    <phoneticPr fontId="3" type="noConversion"/>
  </si>
  <si>
    <t>2014.04.07</t>
    <phoneticPr fontId="3" type="noConversion"/>
  </si>
  <si>
    <t>103.2 証</t>
    <phoneticPr fontId="3" type="noConversion"/>
  </si>
  <si>
    <t>文具---標準信封100入/封面膠帶/A4紙包</t>
    <phoneticPr fontId="3" type="noConversion"/>
  </si>
  <si>
    <t>2014.04.17</t>
    <phoneticPr fontId="3" type="noConversion"/>
  </si>
  <si>
    <t>掛號費-泰聯報價/維護合約2份-無回郵無發票</t>
    <phoneticPr fontId="3" type="noConversion"/>
  </si>
  <si>
    <t>2014.04.23</t>
    <phoneticPr fontId="3" type="noConversion"/>
  </si>
  <si>
    <t>請給 6 * 6000 (7-12月) + 6000 母親節紅包 = 42000</t>
    <phoneticPr fontId="3" type="noConversion"/>
  </si>
  <si>
    <t>2014.04.24</t>
    <phoneticPr fontId="3" type="noConversion"/>
  </si>
  <si>
    <t>管理費-2014.04</t>
    <phoneticPr fontId="3" type="noConversion"/>
  </si>
  <si>
    <t>領營所稅申報書,友士網卡,悠遊卡車資</t>
    <phoneticPr fontId="3" type="noConversion"/>
  </si>
  <si>
    <t>2014.4.28</t>
    <phoneticPr fontId="3" type="noConversion"/>
  </si>
  <si>
    <t>郵局EMS-品固東莞FD16-HD*2,TOP LINK PCIE-LAN CARD*2,申報書*2</t>
    <phoneticPr fontId="3" type="noConversion"/>
  </si>
  <si>
    <t>2014.5.1</t>
    <phoneticPr fontId="3" type="noConversion"/>
  </si>
  <si>
    <t>2014.05.02</t>
    <phoneticPr fontId="3" type="noConversion"/>
  </si>
  <si>
    <t>喜可裝機計程車資</t>
    <phoneticPr fontId="3" type="noConversion"/>
  </si>
  <si>
    <t>切WORK報稅</t>
    <phoneticPr fontId="3" type="noConversion"/>
  </si>
  <si>
    <t>2014.05.05</t>
    <phoneticPr fontId="3" type="noConversion"/>
  </si>
  <si>
    <t>郵票 @25 * 20張</t>
    <phoneticPr fontId="3" type="noConversion"/>
  </si>
  <si>
    <t>2014.04 card ada代刷-中信</t>
    <phoneticPr fontId="3" type="noConversion"/>
  </si>
  <si>
    <t>2014.05.07</t>
    <phoneticPr fontId="3" type="noConversion"/>
  </si>
  <si>
    <t>中華易付卡儲值(含3G-1G$180已扣, 餘NT$120)</t>
    <phoneticPr fontId="3" type="noConversion"/>
  </si>
  <si>
    <t>2014.05.12</t>
    <phoneticPr fontId="3" type="noConversion"/>
  </si>
  <si>
    <t>2014.05.13</t>
    <phoneticPr fontId="3" type="noConversion"/>
  </si>
  <si>
    <t>威倫裝機計程車資</t>
    <phoneticPr fontId="3" type="noConversion"/>
  </si>
  <si>
    <t>現金相符</t>
    <phoneticPr fontId="3" type="noConversion"/>
  </si>
  <si>
    <t>2014.05.16</t>
    <phoneticPr fontId="3" type="noConversion"/>
  </si>
  <si>
    <t>順豐貨運HD一顆 (ATOM-FD19)</t>
    <phoneticPr fontId="3" type="noConversion"/>
  </si>
  <si>
    <t>2014.05.20</t>
    <phoneticPr fontId="3" type="noConversion"/>
  </si>
  <si>
    <t>水費.103-05</t>
    <phoneticPr fontId="3" type="noConversion"/>
  </si>
  <si>
    <t>電池3號</t>
    <phoneticPr fontId="3" type="noConversion"/>
  </si>
  <si>
    <t>2014.05.21</t>
    <phoneticPr fontId="3" type="noConversion"/>
  </si>
  <si>
    <t>漢聯裝機計程車資</t>
    <phoneticPr fontId="3" type="noConversion"/>
  </si>
  <si>
    <t>2014.05.21</t>
    <phoneticPr fontId="3" type="noConversion"/>
  </si>
  <si>
    <t>2014.05.22</t>
    <phoneticPr fontId="3" type="noConversion"/>
  </si>
  <si>
    <t>邁拓裝機計程車資</t>
    <phoneticPr fontId="3" type="noConversion"/>
  </si>
  <si>
    <t>2014.05.23</t>
    <phoneticPr fontId="3" type="noConversion"/>
  </si>
  <si>
    <t>悠遊卡車資</t>
    <phoneticPr fontId="3" type="noConversion"/>
  </si>
  <si>
    <t>鏍絲起子</t>
    <phoneticPr fontId="3" type="noConversion"/>
  </si>
  <si>
    <t>2014.05.28</t>
    <phoneticPr fontId="3" type="noConversion"/>
  </si>
  <si>
    <t>品固裝機計程車資</t>
    <phoneticPr fontId="3" type="noConversion"/>
  </si>
  <si>
    <t>品固裝機計程車資</t>
    <phoneticPr fontId="3" type="noConversion"/>
  </si>
  <si>
    <t>2014.06.03</t>
    <phoneticPr fontId="3" type="noConversion"/>
  </si>
  <si>
    <t>2014.06 北平房租-台銀網銀轉帳(2012.06開始漲兩千)</t>
    <phoneticPr fontId="3" type="noConversion"/>
  </si>
  <si>
    <t>宅急便貨運HD二顆寄恩豪AMY (ATOM-FD19)</t>
    <phoneticPr fontId="3" type="noConversion"/>
  </si>
  <si>
    <t>2014.06.05</t>
    <phoneticPr fontId="3" type="noConversion"/>
  </si>
  <si>
    <t>2014.05 card ada代刷-中信</t>
    <phoneticPr fontId="3" type="noConversion"/>
  </si>
  <si>
    <t>103.2 欽</t>
    <phoneticPr fontId="3" type="noConversion"/>
  </si>
  <si>
    <t>掛號費-元超合約*2/發票 回郵信封*2</t>
    <phoneticPr fontId="3" type="noConversion"/>
  </si>
  <si>
    <t>2014.06.18</t>
    <phoneticPr fontId="3" type="noConversion"/>
  </si>
  <si>
    <t>冷氣機</t>
    <phoneticPr fontId="3" type="noConversion"/>
  </si>
  <si>
    <t>冷氣機稅金</t>
    <phoneticPr fontId="3" type="noConversion"/>
  </si>
  <si>
    <t>2014.06.23</t>
    <phoneticPr fontId="3" type="noConversion"/>
  </si>
  <si>
    <t>2014.06.23</t>
    <phoneticPr fontId="3" type="noConversion"/>
  </si>
  <si>
    <t>管理費-2014.06</t>
    <phoneticPr fontId="3" type="noConversion"/>
  </si>
  <si>
    <t>2014.06.26</t>
    <phoneticPr fontId="3" type="noConversion"/>
  </si>
  <si>
    <t>華算103.07-08三聯式發票</t>
    <phoneticPr fontId="3" type="noConversion"/>
  </si>
  <si>
    <t>2014.06.30</t>
    <phoneticPr fontId="3" type="noConversion"/>
  </si>
  <si>
    <t>饒媽冷氣也壞了, 她裝分離式的, 4萬5, 要請你補貼
rayman3t: 一點
DV1: 出一半
DV1: 2萬5</t>
    <phoneticPr fontId="3" type="noConversion"/>
  </si>
  <si>
    <t>2014.07.01</t>
    <phoneticPr fontId="3" type="noConversion"/>
  </si>
  <si>
    <t>2014.07 北平房租-台銀網銀轉帳(2012.06開始漲兩千)</t>
    <phoneticPr fontId="3" type="noConversion"/>
  </si>
  <si>
    <t>2014.06 card ada代刷-中信</t>
    <phoneticPr fontId="3" type="noConversion"/>
  </si>
  <si>
    <t>2014.07.03</t>
    <phoneticPr fontId="3" type="noConversion"/>
  </si>
  <si>
    <t>城乙維護車資-博欽</t>
    <phoneticPr fontId="3" type="noConversion"/>
  </si>
  <si>
    <t>2014.07.04</t>
    <phoneticPr fontId="3" type="noConversion"/>
  </si>
  <si>
    <t>城乙維護車資-達</t>
    <phoneticPr fontId="3" type="noConversion"/>
  </si>
  <si>
    <t>2014.07.07</t>
    <phoneticPr fontId="3" type="noConversion"/>
  </si>
  <si>
    <t>103.6 欽</t>
    <phoneticPr fontId="3" type="noConversion"/>
  </si>
  <si>
    <t>103.6 達</t>
    <phoneticPr fontId="3" type="noConversion"/>
  </si>
  <si>
    <t>103.6 証</t>
    <phoneticPr fontId="3" type="noConversion"/>
  </si>
  <si>
    <t>401.2014.05~06</t>
    <phoneticPr fontId="3" type="noConversion"/>
  </si>
  <si>
    <t>2014.07.24</t>
    <phoneticPr fontId="3" type="noConversion"/>
  </si>
  <si>
    <t>管理費-2014.07</t>
    <phoneticPr fontId="3" type="noConversion"/>
  </si>
  <si>
    <t>2014.08.01</t>
    <phoneticPr fontId="3" type="noConversion"/>
  </si>
  <si>
    <t>2014.08 北平房租-台銀網銀轉帳(2012.06開始漲兩千)</t>
    <phoneticPr fontId="3" type="noConversion"/>
  </si>
  <si>
    <t>2014.08.04</t>
    <phoneticPr fontId="3" type="noConversion"/>
  </si>
  <si>
    <t>2014.07 card ada代刷-中信</t>
    <phoneticPr fontId="3" type="noConversion"/>
  </si>
  <si>
    <t>悠遊卡儲值</t>
    <phoneticPr fontId="3" type="noConversion"/>
  </si>
  <si>
    <t>2014.08.05</t>
    <phoneticPr fontId="3" type="noConversion"/>
  </si>
  <si>
    <t>103.7 達</t>
    <phoneticPr fontId="3" type="noConversion"/>
  </si>
  <si>
    <t>103.7 証</t>
    <phoneticPr fontId="3" type="noConversion"/>
  </si>
  <si>
    <t>2014.08.20</t>
    <phoneticPr fontId="3" type="noConversion"/>
  </si>
  <si>
    <t>掛號費-廣豪合約*2附大回郵, 無日期無發票</t>
    <phoneticPr fontId="3" type="noConversion"/>
  </si>
  <si>
    <t>合約封面紙</t>
    <phoneticPr fontId="3" type="noConversion"/>
  </si>
  <si>
    <t>2014.08.25</t>
    <phoneticPr fontId="3" type="noConversion"/>
  </si>
  <si>
    <t>管理費-2014.08</t>
    <phoneticPr fontId="3" type="noConversion"/>
  </si>
  <si>
    <t>2014.08.26</t>
    <phoneticPr fontId="3" type="noConversion"/>
  </si>
  <si>
    <t>2014.08.26</t>
    <phoneticPr fontId="3" type="noConversion"/>
  </si>
  <si>
    <t>華算103.09-10三聯式發票</t>
    <phoneticPr fontId="3" type="noConversion"/>
  </si>
  <si>
    <t>2014.09.01</t>
    <phoneticPr fontId="3" type="noConversion"/>
  </si>
  <si>
    <t>2014.09 北平房租-台銀網銀轉帳(2012.06開始漲兩千)</t>
    <phoneticPr fontId="3" type="noConversion"/>
  </si>
  <si>
    <t>2014.09.03</t>
    <phoneticPr fontId="3" type="noConversion"/>
  </si>
  <si>
    <t>401.2014.07~08</t>
    <phoneticPr fontId="3" type="noConversion"/>
  </si>
  <si>
    <t>水管清潔條</t>
    <phoneticPr fontId="3" type="noConversion"/>
  </si>
  <si>
    <t>2014.09.15</t>
    <phoneticPr fontId="3" type="noConversion"/>
  </si>
  <si>
    <t>裕恆維護車資</t>
    <phoneticPr fontId="3" type="noConversion"/>
  </si>
  <si>
    <t>2014.09.22</t>
    <phoneticPr fontId="3" type="noConversion"/>
  </si>
  <si>
    <t>水費.103-09</t>
    <phoneticPr fontId="3" type="noConversion"/>
  </si>
  <si>
    <t>管理費-2014.09</t>
    <phoneticPr fontId="3" type="noConversion"/>
  </si>
  <si>
    <t>協億通裝機計程車資</t>
    <phoneticPr fontId="3" type="noConversion"/>
  </si>
  <si>
    <t>2014.09.25</t>
    <phoneticPr fontId="3" type="noConversion"/>
  </si>
  <si>
    <t>2014.09.30</t>
    <phoneticPr fontId="3" type="noConversion"/>
  </si>
  <si>
    <t>雙安裝機計程車資</t>
    <phoneticPr fontId="3" type="noConversion"/>
  </si>
  <si>
    <t>2014.09.30</t>
    <phoneticPr fontId="3" type="noConversion"/>
  </si>
  <si>
    <t>2014.10.01</t>
    <phoneticPr fontId="3" type="noConversion"/>
  </si>
  <si>
    <t>2014.10 北平房租-台銀網銀轉帳(2012.06開始漲兩千)</t>
    <phoneticPr fontId="3" type="noConversion"/>
  </si>
  <si>
    <t>2014.10.02</t>
    <phoneticPr fontId="3" type="noConversion"/>
  </si>
  <si>
    <t>2014.09 card ada代刷-中信</t>
    <phoneticPr fontId="3" type="noConversion"/>
  </si>
  <si>
    <t>2014.10.15</t>
    <phoneticPr fontId="3" type="noConversion"/>
  </si>
  <si>
    <t>燈泡</t>
    <phoneticPr fontId="3" type="noConversion"/>
  </si>
  <si>
    <t>2014.10.17</t>
    <phoneticPr fontId="3" type="noConversion"/>
  </si>
  <si>
    <t>掛號費-城乙合約*2附大回郵, 發票</t>
    <phoneticPr fontId="3" type="noConversion"/>
  </si>
  <si>
    <t>2014.10.24</t>
    <phoneticPr fontId="3" type="noConversion"/>
  </si>
  <si>
    <t>管理費-2014.10</t>
    <phoneticPr fontId="3" type="noConversion"/>
  </si>
  <si>
    <t>2014.10.27</t>
    <phoneticPr fontId="3" type="noConversion"/>
  </si>
  <si>
    <t>轉接線</t>
    <phoneticPr fontId="3" type="noConversion"/>
  </si>
  <si>
    <t>華算103.11-12三聯式發票</t>
    <phoneticPr fontId="3" type="noConversion"/>
  </si>
  <si>
    <t>2014.10.28</t>
    <phoneticPr fontId="3" type="noConversion"/>
  </si>
  <si>
    <t>崴凌裝機計程車資</t>
    <phoneticPr fontId="3" type="noConversion"/>
  </si>
  <si>
    <t>崴凌裝機計程車資第二趟</t>
    <phoneticPr fontId="3" type="noConversion"/>
  </si>
  <si>
    <t>2014.10.28</t>
    <phoneticPr fontId="3" type="noConversion"/>
  </si>
  <si>
    <t>2014.10.29</t>
    <phoneticPr fontId="3" type="noConversion"/>
  </si>
  <si>
    <t>2014.11 北平房租-台銀網銀轉帳(2012.06開始漲兩千)</t>
    <phoneticPr fontId="3" type="noConversion"/>
  </si>
  <si>
    <t>2014.11.03</t>
    <phoneticPr fontId="3" type="noConversion"/>
  </si>
  <si>
    <t>掛號費-城乙回郵, 發票重開</t>
    <phoneticPr fontId="3" type="noConversion"/>
  </si>
  <si>
    <t>2014.11.03</t>
    <phoneticPr fontId="3" type="noConversion"/>
  </si>
  <si>
    <t>2014.11.04</t>
    <phoneticPr fontId="3" type="noConversion"/>
  </si>
  <si>
    <t>合約紙,筆,膠水</t>
    <phoneticPr fontId="3" type="noConversion"/>
  </si>
  <si>
    <t>103.10 欽</t>
    <phoneticPr fontId="3" type="noConversion"/>
  </si>
  <si>
    <t>2014.11.05</t>
    <phoneticPr fontId="3" type="noConversion"/>
  </si>
  <si>
    <t>103.10 達</t>
    <phoneticPr fontId="3" type="noConversion"/>
  </si>
  <si>
    <t>103.10 証</t>
    <phoneticPr fontId="3" type="noConversion"/>
  </si>
  <si>
    <t>掛號費-勤業合約*2/發票 ,依德發票*5</t>
    <phoneticPr fontId="3" type="noConversion"/>
  </si>
  <si>
    <t>光華車資</t>
    <phoneticPr fontId="3" type="noConversion"/>
  </si>
  <si>
    <t>維護合約封面影印</t>
    <phoneticPr fontId="3" type="noConversion"/>
  </si>
  <si>
    <t>2014.11.11</t>
    <phoneticPr fontId="3" type="noConversion"/>
  </si>
  <si>
    <t>勤業裝機計程車資</t>
    <phoneticPr fontId="3" type="noConversion"/>
  </si>
  <si>
    <t>2014.11.14</t>
    <phoneticPr fontId="3" type="noConversion"/>
  </si>
  <si>
    <t>掛號費-元超保密</t>
    <phoneticPr fontId="3" type="noConversion"/>
  </si>
  <si>
    <t>鎔德保養廠裝機計程車資</t>
    <phoneticPr fontId="3" type="noConversion"/>
  </si>
  <si>
    <t>2014.11.20</t>
    <phoneticPr fontId="3" type="noConversion"/>
  </si>
  <si>
    <t>管理費-2014.11</t>
    <phoneticPr fontId="3" type="noConversion"/>
  </si>
  <si>
    <t>掛號費達翌合約發票回郵</t>
    <phoneticPr fontId="3" type="noConversion"/>
  </si>
  <si>
    <t>郵票10/25 各20張</t>
    <phoneticPr fontId="3" type="noConversion"/>
  </si>
  <si>
    <t>水費.103-11</t>
    <phoneticPr fontId="3" type="noConversion"/>
  </si>
  <si>
    <t>2014.11.25</t>
    <phoneticPr fontId="3" type="noConversion"/>
  </si>
  <si>
    <t>2014.11.26</t>
    <phoneticPr fontId="3" type="noConversion"/>
  </si>
  <si>
    <t>工商憑証費用@420*2</t>
    <phoneticPr fontId="3" type="noConversion"/>
  </si>
  <si>
    <t>2014.12.01</t>
    <phoneticPr fontId="3" type="noConversion"/>
  </si>
  <si>
    <t>2014.12.09</t>
    <phoneticPr fontId="3" type="noConversion"/>
  </si>
  <si>
    <t>掛號費鴻碩合約*2發票*1</t>
    <phoneticPr fontId="3" type="noConversion"/>
  </si>
  <si>
    <t>2014.12.16</t>
    <phoneticPr fontId="3" type="noConversion"/>
  </si>
  <si>
    <t>掛號費依鎔軟維合約*2發票*2回郵信封*1</t>
    <phoneticPr fontId="3" type="noConversion"/>
  </si>
  <si>
    <t>2014.12.17</t>
    <phoneticPr fontId="3" type="noConversion"/>
  </si>
  <si>
    <t>鴻碩裝機車資過路費</t>
    <phoneticPr fontId="3" type="noConversion"/>
  </si>
  <si>
    <t>管理費-2014.12</t>
    <phoneticPr fontId="3" type="noConversion"/>
  </si>
  <si>
    <t>饒媽(2015,1-6月)
請給他6000*6+14000=50000,並祝他冬至快樂</t>
    <phoneticPr fontId="3" type="noConversion"/>
  </si>
  <si>
    <t>2014.12.29</t>
    <phoneticPr fontId="3" type="noConversion"/>
  </si>
  <si>
    <t>華算104.01-02三聯式發票</t>
    <phoneticPr fontId="3" type="noConversion"/>
  </si>
  <si>
    <t>2014.12.31</t>
    <phoneticPr fontId="3" type="noConversion"/>
  </si>
  <si>
    <t>掛號費依鎔支票簽回聯</t>
    <phoneticPr fontId="3" type="noConversion"/>
  </si>
  <si>
    <t>2015.01 北平房租-台銀網銀轉帳(2012.06開始漲兩千)</t>
    <phoneticPr fontId="3" type="noConversion"/>
  </si>
  <si>
    <t>2015.01.05</t>
    <phoneticPr fontId="3" type="noConversion"/>
  </si>
  <si>
    <t>103.12 欽</t>
    <phoneticPr fontId="3" type="noConversion"/>
  </si>
  <si>
    <t>103.12 達</t>
    <phoneticPr fontId="3" type="noConversion"/>
  </si>
  <si>
    <t>103.12 証</t>
    <phoneticPr fontId="3" type="noConversion"/>
  </si>
  <si>
    <t>2015.01.05</t>
    <phoneticPr fontId="3" type="noConversion"/>
  </si>
  <si>
    <t>2014.12 card ada代刷-富邦</t>
    <phoneticPr fontId="3" type="noConversion"/>
  </si>
  <si>
    <t>2014.12 card ada代刷-中信</t>
    <phoneticPr fontId="3" type="noConversion"/>
  </si>
  <si>
    <t>客服易付卡儲值-中華</t>
    <phoneticPr fontId="3" type="noConversion"/>
  </si>
  <si>
    <t>2015.01.07</t>
    <phoneticPr fontId="3" type="noConversion"/>
  </si>
  <si>
    <t>PETER:
NT$493951 (匯率 4.150845) HK$119000
匯費NT$247, 郵電費NT$300
總計NT$494498
中國銀行(香港)有限公司
BANK OF CHINA(HONE KONG)LIMITED
陳達強
CHEN DAQIANG
0123-54-0000-7355
SWIFT CODE: BKCH HKHH
銀行地址: 香港九龍土瓜灣北帝街4-6號</t>
    <phoneticPr fontId="3" type="noConversion"/>
  </si>
  <si>
    <t>401.2014.11~12</t>
    <phoneticPr fontId="3" type="noConversion"/>
  </si>
  <si>
    <t>2015.01.20</t>
    <phoneticPr fontId="3" type="noConversion"/>
  </si>
  <si>
    <t>PETER: 姐
匯款資料：
台灣中小企業銀行
10262087161
050-1024 世貿分行
陳相雄
金額：NT59,000</t>
    <phoneticPr fontId="3" type="noConversion"/>
  </si>
  <si>
    <t>2015.01.30</t>
    <phoneticPr fontId="3" type="noConversion"/>
  </si>
  <si>
    <t>水費.104-01</t>
    <phoneticPr fontId="3" type="noConversion"/>
  </si>
  <si>
    <t>2015.02.02</t>
    <phoneticPr fontId="3" type="noConversion"/>
  </si>
  <si>
    <t>2015.02 北平房租-台銀網銀轉帳(2012.06開始漲兩千)</t>
    <phoneticPr fontId="3" type="noConversion"/>
  </si>
  <si>
    <t>2015.02.03</t>
    <phoneticPr fontId="3" type="noConversion"/>
  </si>
  <si>
    <t>2015.02.05</t>
    <phoneticPr fontId="3" type="noConversion"/>
  </si>
  <si>
    <t>104.01 欽</t>
    <phoneticPr fontId="3" type="noConversion"/>
  </si>
  <si>
    <t>2015.02.05</t>
    <phoneticPr fontId="3" type="noConversion"/>
  </si>
  <si>
    <t>104.01 達--達算信義</t>
    <phoneticPr fontId="3" type="noConversion"/>
  </si>
  <si>
    <t>104.01 証</t>
    <phoneticPr fontId="3" type="noConversion"/>
  </si>
  <si>
    <t>2015.02.09</t>
    <phoneticPr fontId="3" type="noConversion"/>
  </si>
  <si>
    <t>2015.01 card ada代刷-中信</t>
    <phoneticPr fontId="3" type="noConversion"/>
  </si>
  <si>
    <t>2015.02.12</t>
    <phoneticPr fontId="3" type="noConversion"/>
  </si>
  <si>
    <t>愛浪裝機計程車資</t>
    <phoneticPr fontId="3" type="noConversion"/>
  </si>
  <si>
    <t>2015.02.12</t>
    <phoneticPr fontId="3" type="noConversion"/>
  </si>
  <si>
    <t>2015.02.16</t>
    <phoneticPr fontId="3" type="noConversion"/>
  </si>
  <si>
    <t>安力裝機計程車資</t>
    <phoneticPr fontId="3" type="noConversion"/>
  </si>
  <si>
    <t>安力裝機捷運車資</t>
    <phoneticPr fontId="3" type="noConversion"/>
  </si>
  <si>
    <t>管理費-2015.02</t>
    <phoneticPr fontId="3" type="noConversion"/>
  </si>
  <si>
    <t>2015.03.01</t>
    <phoneticPr fontId="3" type="noConversion"/>
  </si>
  <si>
    <t>2015.03 北平房租-台銀網銀轉帳(2012.06開始漲兩千)</t>
    <phoneticPr fontId="3" type="noConversion"/>
  </si>
  <si>
    <t>2015.03.02</t>
    <phoneticPr fontId="3" type="noConversion"/>
  </si>
  <si>
    <t>華算104.03-04三聯式發票</t>
    <phoneticPr fontId="3" type="noConversion"/>
  </si>
  <si>
    <t>合約紙</t>
    <phoneticPr fontId="3" type="noConversion"/>
  </si>
  <si>
    <t>2015.03.05</t>
    <phoneticPr fontId="3" type="noConversion"/>
  </si>
  <si>
    <t>104.02 欽</t>
    <phoneticPr fontId="3" type="noConversion"/>
  </si>
  <si>
    <t>104.02 証</t>
    <phoneticPr fontId="3" type="noConversion"/>
  </si>
  <si>
    <t>2015.02 card ada代刷-中信</t>
    <phoneticPr fontId="3" type="noConversion"/>
  </si>
  <si>
    <t>2015.03.09</t>
    <phoneticPr fontId="3" type="noConversion"/>
  </si>
  <si>
    <t>掛號費安力合約*2發票回郵信封*1</t>
    <phoneticPr fontId="3" type="noConversion"/>
  </si>
  <si>
    <t>401.2015.01~02</t>
    <phoneticPr fontId="3" type="noConversion"/>
  </si>
  <si>
    <t>2015.03.11</t>
    <phoneticPr fontId="3" type="noConversion"/>
  </si>
  <si>
    <t>2015.03.18</t>
    <phoneticPr fontId="3" type="noConversion"/>
  </si>
  <si>
    <t>2015.03.26</t>
    <phoneticPr fontId="3" type="noConversion"/>
  </si>
  <si>
    <t>管理費-2015.03</t>
    <phoneticPr fontId="3" type="noConversion"/>
  </si>
  <si>
    <t>2015.03.27</t>
    <phoneticPr fontId="3" type="noConversion"/>
  </si>
  <si>
    <t>2015.03.30</t>
    <phoneticPr fontId="3" type="noConversion"/>
  </si>
  <si>
    <t>2015.03.31</t>
    <phoneticPr fontId="3" type="noConversion"/>
  </si>
  <si>
    <t>掛號費</t>
    <phoneticPr fontId="3" type="noConversion"/>
  </si>
  <si>
    <t>2015.04.01</t>
    <phoneticPr fontId="3" type="noConversion"/>
  </si>
  <si>
    <t>2015.04 北平房租-台銀網銀轉帳(2012.06開始漲兩千)</t>
    <phoneticPr fontId="3" type="noConversion"/>
  </si>
  <si>
    <t>2015.04.07</t>
    <phoneticPr fontId="3" type="noConversion"/>
  </si>
  <si>
    <t>104.03 達</t>
    <phoneticPr fontId="3" type="noConversion"/>
  </si>
  <si>
    <t>104.03 証 (實轉$31000, 另外$5000還PT)</t>
    <phoneticPr fontId="3" type="noConversion"/>
  </si>
  <si>
    <t>2015.03 card ada代刷-富邦</t>
    <phoneticPr fontId="3" type="noConversion"/>
  </si>
  <si>
    <t>2015.03 card ada代刷-中信</t>
    <phoneticPr fontId="3" type="noConversion"/>
  </si>
  <si>
    <t>PETER
匯款資料：
大眾銀行：814-內湖分行
活儲：168-1229361-17
章挺憲
金額：NT35,000
安力佣金 $30000
代張還款 $5000</t>
    <phoneticPr fontId="3" type="noConversion"/>
  </si>
  <si>
    <t>2015.04.15</t>
    <phoneticPr fontId="3" type="noConversion"/>
  </si>
  <si>
    <t>品固維修計程車資</t>
    <phoneticPr fontId="3" type="noConversion"/>
  </si>
  <si>
    <t>2015.04.20</t>
    <phoneticPr fontId="3" type="noConversion"/>
  </si>
  <si>
    <t>5公升垃圾袋 @45*4</t>
    <phoneticPr fontId="3" type="noConversion"/>
  </si>
  <si>
    <t>2015.04.21</t>
    <phoneticPr fontId="3" type="noConversion"/>
  </si>
  <si>
    <t>2015.04.24</t>
    <phoneticPr fontId="3" type="noConversion"/>
  </si>
  <si>
    <t>掛號費太暘合約*2回郵*1無發票</t>
    <phoneticPr fontId="3" type="noConversion"/>
  </si>
  <si>
    <t>2015.04.29</t>
    <phoneticPr fontId="3" type="noConversion"/>
  </si>
  <si>
    <t>2015.05.01</t>
    <phoneticPr fontId="3" type="noConversion"/>
  </si>
  <si>
    <t>2015.05 北平房租-台銀網銀轉帳(2012.06開始漲兩千)</t>
    <phoneticPr fontId="3" type="noConversion"/>
  </si>
  <si>
    <t>2015.05.04</t>
    <phoneticPr fontId="3" type="noConversion"/>
  </si>
  <si>
    <t>掛號費大成維護合約*2回郵*2發票*1</t>
    <phoneticPr fontId="3" type="noConversion"/>
  </si>
  <si>
    <t>104.04 欽</t>
    <phoneticPr fontId="3" type="noConversion"/>
  </si>
  <si>
    <t>104.04 達</t>
    <phoneticPr fontId="3" type="noConversion"/>
  </si>
  <si>
    <t>2015.04 card ada代刷-中信</t>
    <phoneticPr fontId="3" type="noConversion"/>
  </si>
  <si>
    <t>2015.05.05</t>
    <phoneticPr fontId="3" type="noConversion"/>
  </si>
  <si>
    <t>2015.05.07</t>
    <phoneticPr fontId="3" type="noConversion"/>
  </si>
  <si>
    <t>401.2015.03~04</t>
    <phoneticPr fontId="3" type="noConversion"/>
  </si>
  <si>
    <t>2015.05.11</t>
    <phoneticPr fontId="3" type="noConversion"/>
  </si>
  <si>
    <t>順豐申報書</t>
    <phoneticPr fontId="3" type="noConversion"/>
  </si>
  <si>
    <t>掛號信封*20,郵票*20</t>
    <phoneticPr fontId="3" type="noConversion"/>
  </si>
  <si>
    <t>2015.05.12</t>
    <phoneticPr fontId="3" type="noConversion"/>
  </si>
  <si>
    <t>2015.05.14</t>
    <phoneticPr fontId="3" type="noConversion"/>
  </si>
  <si>
    <t>道法裝機計程車資</t>
    <phoneticPr fontId="3" type="noConversion"/>
  </si>
  <si>
    <t>道法裝機計程車資(回公司拿東西)</t>
    <phoneticPr fontId="3" type="noConversion"/>
  </si>
  <si>
    <t>2015.05.18</t>
    <phoneticPr fontId="3" type="noConversion"/>
  </si>
  <si>
    <t>管理費-2015.05</t>
    <phoneticPr fontId="3" type="noConversion"/>
  </si>
  <si>
    <t>水費.104-05</t>
    <phoneticPr fontId="3" type="noConversion"/>
  </si>
  <si>
    <t>2015.05.20</t>
    <phoneticPr fontId="3" type="noConversion"/>
  </si>
  <si>
    <t>2015.05.21</t>
    <phoneticPr fontId="3" type="noConversion"/>
  </si>
  <si>
    <t>庭田掛號回郵.發票</t>
    <phoneticPr fontId="3" type="noConversion"/>
  </si>
  <si>
    <t>2015.05.29</t>
    <phoneticPr fontId="3" type="noConversion"/>
  </si>
  <si>
    <t>饒媽(2015,7-12月)
DV1: 好,麻煩請給5萬=6*6000+端午節+補母親節</t>
    <phoneticPr fontId="3" type="noConversion"/>
  </si>
  <si>
    <t>2015.06.01</t>
    <phoneticPr fontId="3" type="noConversion"/>
  </si>
  <si>
    <t>2015.06 北平房租-台銀網銀轉帳(2012.06開始漲兩千)</t>
    <phoneticPr fontId="3" type="noConversion"/>
  </si>
  <si>
    <t>2015.06.02</t>
    <phoneticPr fontId="3" type="noConversion"/>
  </si>
  <si>
    <t>零用金ATM手續費</t>
    <phoneticPr fontId="3" type="noConversion"/>
  </si>
  <si>
    <t>2015.06.03</t>
    <phoneticPr fontId="3" type="noConversion"/>
  </si>
  <si>
    <t>護照續辦費用</t>
    <phoneticPr fontId="3" type="noConversion"/>
  </si>
  <si>
    <t>護照續辦加速件費用</t>
    <phoneticPr fontId="3" type="noConversion"/>
  </si>
  <si>
    <t>護照照片翻拍費用</t>
    <phoneticPr fontId="3" type="noConversion"/>
  </si>
  <si>
    <t>護照順豐取件計程車資</t>
    <phoneticPr fontId="3" type="noConversion"/>
  </si>
  <si>
    <t>護照外交部送件計程車資</t>
    <phoneticPr fontId="3" type="noConversion"/>
  </si>
  <si>
    <t>護照順豐送件計程車資</t>
    <phoneticPr fontId="3" type="noConversion"/>
  </si>
  <si>
    <t>2015.06.04</t>
    <phoneticPr fontId="3" type="noConversion"/>
  </si>
  <si>
    <t>順豐申報書夾護照</t>
    <phoneticPr fontId="3" type="noConversion"/>
  </si>
  <si>
    <t>2015.06.17</t>
    <phoneticPr fontId="3" type="noConversion"/>
  </si>
  <si>
    <t>A4紙/合約紙</t>
    <phoneticPr fontId="3" type="noConversion"/>
  </si>
  <si>
    <t>2015.06.18</t>
    <phoneticPr fontId="3" type="noConversion"/>
  </si>
  <si>
    <t>2015.06.22</t>
    <phoneticPr fontId="3" type="noConversion"/>
  </si>
  <si>
    <t>依德維護計程車資</t>
    <phoneticPr fontId="3" type="noConversion"/>
  </si>
  <si>
    <t>管理費-2015.06</t>
    <phoneticPr fontId="3" type="noConversion"/>
  </si>
  <si>
    <t>2015.06.26</t>
    <phoneticPr fontId="3" type="noConversion"/>
  </si>
  <si>
    <t>2015.06.26</t>
    <phoneticPr fontId="3" type="noConversion"/>
  </si>
  <si>
    <t>銀行領發票車資</t>
    <phoneticPr fontId="3" type="noConversion"/>
  </si>
  <si>
    <t>2015.07 北平房租-台銀網銀轉帳(2012.06開始漲兩千)</t>
    <phoneticPr fontId="3" type="noConversion"/>
  </si>
  <si>
    <t>2015.07.03</t>
    <phoneticPr fontId="3" type="noConversion"/>
  </si>
  <si>
    <t>2015.06 card ada代刷-中信</t>
    <phoneticPr fontId="3" type="noConversion"/>
  </si>
  <si>
    <t>2015.07.06</t>
    <phoneticPr fontId="3" type="noConversion"/>
  </si>
  <si>
    <t>401.2015.05~06-達算信義</t>
    <phoneticPr fontId="3" type="noConversion"/>
  </si>
  <si>
    <t>104.06 達</t>
    <phoneticPr fontId="3" type="noConversion"/>
  </si>
  <si>
    <t>104.06 張</t>
    <phoneticPr fontId="3" type="noConversion"/>
  </si>
  <si>
    <t>2015.07.08</t>
    <phoneticPr fontId="3" type="noConversion"/>
  </si>
  <si>
    <t>八亨掛號回郵合約*2,發票*1,大信封*1</t>
    <phoneticPr fontId="3" type="noConversion"/>
  </si>
  <si>
    <t>2015.07.20</t>
    <phoneticPr fontId="3" type="noConversion"/>
  </si>
  <si>
    <t>汎輝掛號回郵,發票*1,改限掛</t>
    <phoneticPr fontId="3" type="noConversion"/>
  </si>
  <si>
    <t>2015.07.23</t>
    <phoneticPr fontId="3" type="noConversion"/>
  </si>
  <si>
    <t>管理費-2015.07</t>
    <phoneticPr fontId="3" type="noConversion"/>
  </si>
  <si>
    <t>2015.07.24</t>
    <phoneticPr fontId="3" type="noConversion"/>
  </si>
  <si>
    <t>配電箱上方水管止漏</t>
    <phoneticPr fontId="3" type="noConversion"/>
  </si>
  <si>
    <t>2015.07.24</t>
    <phoneticPr fontId="3" type="noConversion"/>
  </si>
  <si>
    <t>施舒雅維護合約*2,掛號回郵,發票*1</t>
    <phoneticPr fontId="3" type="noConversion"/>
  </si>
  <si>
    <t>汎輝掛號回郵,合約*2</t>
    <phoneticPr fontId="3" type="noConversion"/>
  </si>
  <si>
    <t>水費.104-07</t>
    <phoneticPr fontId="3" type="noConversion"/>
  </si>
  <si>
    <t>2015.07.27</t>
    <phoneticPr fontId="3" type="noConversion"/>
  </si>
  <si>
    <t>合約紙/筆/合約膠帶</t>
    <phoneticPr fontId="3" type="noConversion"/>
  </si>
  <si>
    <t>2015.07.31</t>
    <phoneticPr fontId="3" type="noConversion"/>
  </si>
  <si>
    <t>掛號費DV綜所稅補件</t>
    <phoneticPr fontId="3" type="noConversion"/>
  </si>
  <si>
    <t>2015.08 北平房租-台銀網銀轉帳(2012.06開始漲兩千)</t>
    <phoneticPr fontId="3" type="noConversion"/>
  </si>
  <si>
    <t>2015.08.04</t>
    <phoneticPr fontId="3" type="noConversion"/>
  </si>
  <si>
    <t>104.07 欽</t>
    <phoneticPr fontId="3" type="noConversion"/>
  </si>
  <si>
    <t>2015.08.05</t>
    <phoneticPr fontId="3" type="noConversion"/>
  </si>
  <si>
    <t>104.07 達</t>
    <phoneticPr fontId="3" type="noConversion"/>
  </si>
  <si>
    <t>2015.07 card ada代刷-中信</t>
    <phoneticPr fontId="3" type="noConversion"/>
  </si>
  <si>
    <t>2015.07 card ada代刷-富邦</t>
    <phoneticPr fontId="3" type="noConversion"/>
  </si>
  <si>
    <t>2015.08.07</t>
    <phoneticPr fontId="3" type="noConversion"/>
  </si>
  <si>
    <t>汎費維護車資</t>
    <phoneticPr fontId="3" type="noConversion"/>
  </si>
  <si>
    <t>4號充電電池</t>
    <phoneticPr fontId="3" type="noConversion"/>
  </si>
  <si>
    <t>4號電池</t>
    <phoneticPr fontId="3" type="noConversion"/>
  </si>
  <si>
    <t>2015.08.10</t>
    <phoneticPr fontId="3" type="noConversion"/>
  </si>
  <si>
    <t>泰聯維護油資</t>
    <phoneticPr fontId="3" type="noConversion"/>
  </si>
  <si>
    <t>2015.08.14</t>
    <phoneticPr fontId="3" type="noConversion"/>
  </si>
  <si>
    <t>東訊電話總機(未開發票)</t>
    <phoneticPr fontId="3" type="noConversion"/>
  </si>
  <si>
    <t>庭田維護換機計程車資</t>
    <phoneticPr fontId="3" type="noConversion"/>
  </si>
  <si>
    <t>2015.08.18</t>
    <phoneticPr fontId="3" type="noConversion"/>
  </si>
  <si>
    <t>2015.08.23</t>
    <phoneticPr fontId="3" type="noConversion"/>
  </si>
  <si>
    <t>管理費-2015.08</t>
    <phoneticPr fontId="3" type="noConversion"/>
  </si>
  <si>
    <t>2015.08.26</t>
    <phoneticPr fontId="3" type="noConversion"/>
  </si>
  <si>
    <t>華算104.09-10三聯式發票</t>
    <phoneticPr fontId="3" type="noConversion"/>
  </si>
  <si>
    <t>2015.09.01</t>
    <phoneticPr fontId="3" type="noConversion"/>
  </si>
  <si>
    <t>2015.09 北平房租-台銀網銀轉帳(2012.06開始漲兩千)</t>
    <phoneticPr fontId="3" type="noConversion"/>
  </si>
  <si>
    <t>八亨裝機計程車資</t>
    <phoneticPr fontId="3" type="noConversion"/>
  </si>
  <si>
    <t>104.08 欽</t>
    <phoneticPr fontId="3" type="noConversion"/>
  </si>
  <si>
    <t>2015.09.07</t>
    <phoneticPr fontId="3" type="noConversion"/>
  </si>
  <si>
    <t>104.08 達</t>
    <phoneticPr fontId="3" type="noConversion"/>
  </si>
  <si>
    <t>2015.09.10</t>
    <phoneticPr fontId="3" type="noConversion"/>
  </si>
  <si>
    <t>401.2015.07~08</t>
    <phoneticPr fontId="3" type="noConversion"/>
  </si>
  <si>
    <t>2015.09.17</t>
    <phoneticPr fontId="3" type="noConversion"/>
  </si>
  <si>
    <t>104年度查核102年度補充保費</t>
    <phoneticPr fontId="3" type="noConversion"/>
  </si>
  <si>
    <t>八亨/同皇掛號費</t>
    <phoneticPr fontId="3" type="noConversion"/>
  </si>
  <si>
    <t>2015.09.24</t>
    <phoneticPr fontId="3" type="noConversion"/>
  </si>
  <si>
    <t>2015.09.25</t>
    <phoneticPr fontId="3" type="noConversion"/>
  </si>
  <si>
    <t>水費.104-09</t>
    <phoneticPr fontId="3" type="noConversion"/>
  </si>
  <si>
    <t>管理費-2015.09</t>
    <phoneticPr fontId="3" type="noConversion"/>
  </si>
  <si>
    <t>2015.10.02</t>
    <phoneticPr fontId="3" type="noConversion"/>
  </si>
  <si>
    <t>元超換機計程車資</t>
    <phoneticPr fontId="3" type="noConversion"/>
  </si>
  <si>
    <t>元超換機計程車資</t>
    <phoneticPr fontId="3" type="noConversion"/>
  </si>
  <si>
    <t>2015.10.05</t>
    <phoneticPr fontId="3" type="noConversion"/>
  </si>
  <si>
    <t>2015.09 card ada代刷-中信</t>
    <phoneticPr fontId="3" type="noConversion"/>
  </si>
  <si>
    <t>2015.09 card ada代刷-玉山</t>
    <phoneticPr fontId="3" type="noConversion"/>
  </si>
  <si>
    <t>2015.10.13</t>
    <phoneticPr fontId="3" type="noConversion"/>
  </si>
  <si>
    <t>車源合約封面影印</t>
    <phoneticPr fontId="3" type="noConversion"/>
  </si>
  <si>
    <t>2015.10.14</t>
    <phoneticPr fontId="3" type="noConversion"/>
  </si>
  <si>
    <t>掛號費-依/鎔車源維護合約</t>
    <phoneticPr fontId="3" type="noConversion"/>
  </si>
  <si>
    <t>國際牌電話交換機檢修費</t>
    <phoneticPr fontId="3" type="noConversion"/>
  </si>
  <si>
    <t>掛號費-房租合約回郵</t>
    <phoneticPr fontId="3" type="noConversion"/>
  </si>
  <si>
    <t>管理費-2015.10</t>
    <phoneticPr fontId="3" type="noConversion"/>
  </si>
  <si>
    <t>2015.10.23</t>
    <phoneticPr fontId="3" type="noConversion"/>
  </si>
  <si>
    <t>2015.10.23</t>
    <phoneticPr fontId="3" type="noConversion"/>
  </si>
  <si>
    <t>掛號費-鉑德KO維護合約發票回郵</t>
    <phoneticPr fontId="3" type="noConversion"/>
  </si>
  <si>
    <t>掛號郵票</t>
    <phoneticPr fontId="3" type="noConversion"/>
  </si>
  <si>
    <t>2015.10.27</t>
    <phoneticPr fontId="3" type="noConversion"/>
  </si>
  <si>
    <t>華算104.11-12三聯式發票</t>
    <phoneticPr fontId="3" type="noConversion"/>
  </si>
  <si>
    <t>2015.11.02</t>
    <phoneticPr fontId="3" type="noConversion"/>
  </si>
  <si>
    <t>2015.11 北平房租-台銀網銀轉帳(2012.06開始漲兩千)</t>
    <phoneticPr fontId="3" type="noConversion"/>
  </si>
  <si>
    <t>2015.11.05</t>
    <phoneticPr fontId="3" type="noConversion"/>
  </si>
  <si>
    <t>2015.10 card ada代刷-玉山</t>
    <phoneticPr fontId="3" type="noConversion"/>
  </si>
  <si>
    <t>401.2015.9~10</t>
    <phoneticPr fontId="3" type="noConversion"/>
  </si>
  <si>
    <t>2015.11.19</t>
    <phoneticPr fontId="3" type="noConversion"/>
  </si>
  <si>
    <t>鉑德續約換機計程車資</t>
    <phoneticPr fontId="3" type="noConversion"/>
  </si>
  <si>
    <t>2015.11.20</t>
    <phoneticPr fontId="3" type="noConversion"/>
  </si>
  <si>
    <t>DV1: 那麻煩再給他6千x3 (2016,4-6月)+ 過年1萬2千=3萬</t>
    <phoneticPr fontId="3" type="noConversion"/>
  </si>
  <si>
    <t>順豐品固SJ-HD*2-LAN*2</t>
    <phoneticPr fontId="3" type="noConversion"/>
  </si>
  <si>
    <t>2015.11.22</t>
    <phoneticPr fontId="3" type="noConversion"/>
  </si>
  <si>
    <t>2015.11.24</t>
    <phoneticPr fontId="3" type="noConversion"/>
  </si>
  <si>
    <t>水費.104-11</t>
    <phoneticPr fontId="3" type="noConversion"/>
  </si>
  <si>
    <t>2015.11.26</t>
    <phoneticPr fontId="3" type="noConversion"/>
  </si>
  <si>
    <t>2015.12 北平房租-台銀網銀轉帳(2012.06開始漲兩千)</t>
    <phoneticPr fontId="3" type="noConversion"/>
  </si>
  <si>
    <t>2015.12.02</t>
    <phoneticPr fontId="3" type="noConversion"/>
  </si>
  <si>
    <t>2015.11 card ada代刷-玉山</t>
    <phoneticPr fontId="3" type="noConversion"/>
  </si>
  <si>
    <t>2015.11 card ada代刷-中信</t>
    <phoneticPr fontId="3" type="noConversion"/>
  </si>
  <si>
    <t>2015.12.07</t>
    <phoneticPr fontId="3" type="noConversion"/>
  </si>
  <si>
    <t>104.11 達</t>
    <phoneticPr fontId="3" type="noConversion"/>
  </si>
  <si>
    <t>104.11 張</t>
    <phoneticPr fontId="3" type="noConversion"/>
  </si>
  <si>
    <t>祥和裝機計程車資</t>
    <phoneticPr fontId="3" type="noConversion"/>
  </si>
  <si>
    <t>2015.12.10</t>
    <phoneticPr fontId="3" type="noConversion"/>
  </si>
  <si>
    <t>2015.12.14</t>
    <phoneticPr fontId="3" type="noConversion"/>
  </si>
  <si>
    <t>掛號費-品固蘇州合約發票回郵</t>
    <phoneticPr fontId="3" type="noConversion"/>
  </si>
  <si>
    <t>2015.12.15</t>
    <phoneticPr fontId="3" type="noConversion"/>
  </si>
  <si>
    <t>佳尼特裝機計程車資</t>
    <phoneticPr fontId="3" type="noConversion"/>
  </si>
  <si>
    <t>2015.12.16</t>
    <phoneticPr fontId="3" type="noConversion"/>
  </si>
  <si>
    <t>2015.12.18</t>
    <phoneticPr fontId="3" type="noConversion"/>
  </si>
  <si>
    <t>ADA借給公司</t>
    <phoneticPr fontId="3" type="noConversion"/>
  </si>
  <si>
    <t>PETER-台北富邦玉成分行-章挺憲-303168146496</t>
    <phoneticPr fontId="3" type="noConversion"/>
  </si>
  <si>
    <t>2015.12.23</t>
    <phoneticPr fontId="3" type="noConversion"/>
  </si>
  <si>
    <t>阿明匯入</t>
    <phoneticPr fontId="3" type="noConversion"/>
  </si>
  <si>
    <t>管理費-2015.12</t>
    <phoneticPr fontId="3" type="noConversion"/>
  </si>
  <si>
    <t>2016.01.04</t>
    <phoneticPr fontId="3" type="noConversion"/>
  </si>
  <si>
    <t>2016.01 北平房租-台銀網銀轉帳(2012.06開始漲兩千)</t>
    <phoneticPr fontId="3" type="noConversion"/>
  </si>
  <si>
    <t>104.12 欽</t>
    <phoneticPr fontId="3" type="noConversion"/>
  </si>
  <si>
    <t>104.12 達</t>
    <phoneticPr fontId="3" type="noConversion"/>
  </si>
  <si>
    <t>104.12 張</t>
    <phoneticPr fontId="3" type="noConversion"/>
  </si>
  <si>
    <t>ADA借給公司-還</t>
    <phoneticPr fontId="3" type="noConversion"/>
  </si>
  <si>
    <t>2015.12 card ada代刷-富邦</t>
    <phoneticPr fontId="3" type="noConversion"/>
  </si>
  <si>
    <t>2015.12 card ada代刷-中信</t>
    <phoneticPr fontId="3" type="noConversion"/>
  </si>
  <si>
    <t>華算105.01-02三聯式發票</t>
    <phoneticPr fontId="3" type="noConversion"/>
  </si>
  <si>
    <t>2016.01.11</t>
    <phoneticPr fontId="3" type="noConversion"/>
  </si>
  <si>
    <t>2015.12 card ada代刷-玉山</t>
    <phoneticPr fontId="3" type="noConversion"/>
  </si>
  <si>
    <t>401.2015.11~12</t>
    <phoneticPr fontId="3" type="noConversion"/>
  </si>
  <si>
    <t>2016.01.14</t>
    <phoneticPr fontId="3" type="noConversion"/>
  </si>
  <si>
    <t>電池9V---電話遙控電源用</t>
    <phoneticPr fontId="3" type="noConversion"/>
  </si>
  <si>
    <t>2016.01.27</t>
    <phoneticPr fontId="3" type="noConversion"/>
  </si>
  <si>
    <t>2016.01.28</t>
    <phoneticPr fontId="3" type="noConversion"/>
  </si>
  <si>
    <t>管理費-2016.01</t>
    <phoneticPr fontId="3" type="noConversion"/>
  </si>
  <si>
    <t>掛號費-漢聯廈門INVOICE</t>
    <phoneticPr fontId="3" type="noConversion"/>
  </si>
  <si>
    <t>2016.01.29</t>
    <phoneticPr fontId="3" type="noConversion"/>
  </si>
  <si>
    <t>2016.02.02</t>
    <phoneticPr fontId="3" type="noConversion"/>
  </si>
  <si>
    <t>廣華電子轉帳費</t>
    <phoneticPr fontId="3" type="noConversion"/>
  </si>
  <si>
    <t>2016.02.05</t>
    <phoneticPr fontId="3" type="noConversion"/>
  </si>
  <si>
    <t>105.01 達</t>
    <phoneticPr fontId="3" type="noConversion"/>
  </si>
  <si>
    <t>2016.02.05</t>
    <phoneticPr fontId="3" type="noConversion"/>
  </si>
  <si>
    <t>105.01 張</t>
    <phoneticPr fontId="3" type="noConversion"/>
  </si>
  <si>
    <t>2016.02.22</t>
    <phoneticPr fontId="3" type="noConversion"/>
  </si>
  <si>
    <t>請問上周提到饒媽要$, 只有講說掛號費貴, 要你給她些$
DV1: 那請給他7-9月生活費18000</t>
    <phoneticPr fontId="3" type="noConversion"/>
  </si>
  <si>
    <t>2016.02.23</t>
    <phoneticPr fontId="3" type="noConversion"/>
  </si>
  <si>
    <t>華算105.03-04三聯式發票</t>
    <phoneticPr fontId="3" type="noConversion"/>
  </si>
  <si>
    <t>管理費-2016.02</t>
    <phoneticPr fontId="3" type="noConversion"/>
  </si>
  <si>
    <t>悠遊卡儲值車資</t>
    <phoneticPr fontId="3" type="noConversion"/>
  </si>
  <si>
    <t>2016.02.24</t>
    <phoneticPr fontId="3" type="noConversion"/>
  </si>
  <si>
    <t>掛號費-限掛-依德/鎔德/鉑德/安力-發票</t>
    <phoneticPr fontId="3" type="noConversion"/>
  </si>
  <si>
    <t>掛號回郵信封*20</t>
    <phoneticPr fontId="3" type="noConversion"/>
  </si>
  <si>
    <t>2016.03.01</t>
    <phoneticPr fontId="3" type="noConversion"/>
  </si>
  <si>
    <t>2016.03.07</t>
    <phoneticPr fontId="3" type="noConversion"/>
  </si>
  <si>
    <t>105.02 欽</t>
    <phoneticPr fontId="3" type="noConversion"/>
  </si>
  <si>
    <t>105.02 達</t>
    <phoneticPr fontId="3" type="noConversion"/>
  </si>
  <si>
    <t>2016.03.08</t>
    <phoneticPr fontId="3" type="noConversion"/>
  </si>
  <si>
    <t>2016.02 card ada代刷-玉山</t>
    <phoneticPr fontId="3" type="noConversion"/>
  </si>
  <si>
    <t>2016.03.11</t>
    <phoneticPr fontId="3" type="noConversion"/>
  </si>
  <si>
    <t>401.2016.01~02</t>
    <phoneticPr fontId="3" type="noConversion"/>
  </si>
  <si>
    <t>永馳裝機計程車資</t>
    <phoneticPr fontId="3" type="noConversion"/>
  </si>
  <si>
    <t>2016.03.14</t>
    <phoneticPr fontId="3" type="noConversion"/>
  </si>
  <si>
    <t>環保袋/清潔劑</t>
    <phoneticPr fontId="3" type="noConversion"/>
  </si>
  <si>
    <t>2016.03.16</t>
    <phoneticPr fontId="3" type="noConversion"/>
  </si>
  <si>
    <t>西拓裝機計程車資</t>
    <phoneticPr fontId="3" type="noConversion"/>
  </si>
  <si>
    <t>2016.03.23</t>
    <phoneticPr fontId="3" type="noConversion"/>
  </si>
  <si>
    <t>2016.04.01</t>
    <phoneticPr fontId="3" type="noConversion"/>
  </si>
  <si>
    <t>2016.04 北平房租-台銀網銀轉帳(2012.06開始漲兩千)</t>
    <phoneticPr fontId="3" type="noConversion"/>
  </si>
  <si>
    <t>105.03 欽</t>
    <phoneticPr fontId="3" type="noConversion"/>
  </si>
  <si>
    <t>2016.04.08</t>
    <phoneticPr fontId="3" type="noConversion"/>
  </si>
  <si>
    <t>交通費</t>
    <phoneticPr fontId="3" type="noConversion"/>
  </si>
  <si>
    <t>展鑫裝機計程車資</t>
    <phoneticPr fontId="3" type="noConversion"/>
  </si>
  <si>
    <t>2016.04.22</t>
    <phoneticPr fontId="3" type="noConversion"/>
  </si>
  <si>
    <t>2016.04.22</t>
    <phoneticPr fontId="3" type="noConversion"/>
  </si>
  <si>
    <t>永馳維護換機車資</t>
    <phoneticPr fontId="3" type="noConversion"/>
  </si>
  <si>
    <t>雜費</t>
    <phoneticPr fontId="3" type="noConversion"/>
  </si>
  <si>
    <t>2016.04.27</t>
    <phoneticPr fontId="3" type="noConversion"/>
  </si>
  <si>
    <t>零用金</t>
    <phoneticPr fontId="3" type="noConversion"/>
  </si>
  <si>
    <t>郵費</t>
    <phoneticPr fontId="3" type="noConversion"/>
  </si>
  <si>
    <t>順豐申報書</t>
    <phoneticPr fontId="3" type="noConversion"/>
  </si>
  <si>
    <t>2016.05 北平房租-台銀網銀轉帳(2012.06開始漲兩千)</t>
    <phoneticPr fontId="3" type="noConversion"/>
  </si>
  <si>
    <t>401.2016.03~04</t>
    <phoneticPr fontId="3" type="noConversion"/>
  </si>
  <si>
    <t>文具費</t>
    <phoneticPr fontId="3" type="noConversion"/>
  </si>
  <si>
    <t>2015.05.03</t>
    <phoneticPr fontId="3" type="noConversion"/>
  </si>
  <si>
    <t>合約封面紙,文具</t>
    <phoneticPr fontId="3" type="noConversion"/>
  </si>
  <si>
    <t>郵費</t>
    <phoneticPr fontId="3" type="noConversion"/>
  </si>
  <si>
    <t>大成維護車資</t>
    <phoneticPr fontId="3" type="noConversion"/>
  </si>
  <si>
    <t>陽信銀行大屯分行 006020060615 蘇政仁-PT 25萬</t>
    <phoneticPr fontId="3" type="noConversion"/>
  </si>
  <si>
    <t>管理費-2016.05</t>
    <phoneticPr fontId="3" type="noConversion"/>
  </si>
  <si>
    <t>水費</t>
    <phoneticPr fontId="3" type="noConversion"/>
  </si>
  <si>
    <t>水費.105-05</t>
    <phoneticPr fontId="3" type="noConversion"/>
  </si>
  <si>
    <t>品固續約換機車資</t>
    <phoneticPr fontId="3" type="noConversion"/>
  </si>
  <si>
    <t>2016.06.06</t>
    <phoneticPr fontId="3" type="noConversion"/>
  </si>
  <si>
    <t>105.05 欽</t>
    <phoneticPr fontId="3" type="noConversion"/>
  </si>
  <si>
    <t>105.05 張</t>
    <phoneticPr fontId="3" type="noConversion"/>
  </si>
  <si>
    <t>2016.06.06</t>
    <phoneticPr fontId="3" type="noConversion"/>
  </si>
  <si>
    <t>2016.05 card ada代刷-玉山</t>
    <phoneticPr fontId="3" type="noConversion"/>
  </si>
  <si>
    <t>2016.06.21</t>
    <phoneticPr fontId="3" type="noConversion"/>
  </si>
  <si>
    <t>DV1: 啊,已經給到年底了哦
DV1: 不然請給12000,祝他中秋節快樂
DV1 正在輸入...
DV1: 請再加3000,一共15000,算上次去機場的車費</t>
    <phoneticPr fontId="3" type="noConversion"/>
  </si>
  <si>
    <t>2016.06.27</t>
    <phoneticPr fontId="3" type="noConversion"/>
  </si>
  <si>
    <t>管理費-2016.06</t>
    <phoneticPr fontId="3" type="noConversion"/>
  </si>
  <si>
    <t>2016.06.29</t>
    <phoneticPr fontId="3" type="noConversion"/>
  </si>
  <si>
    <t>2016.07.05</t>
    <phoneticPr fontId="3" type="noConversion"/>
  </si>
  <si>
    <t>2016.07.13</t>
    <phoneticPr fontId="3" type="noConversion"/>
  </si>
  <si>
    <t>雜項購置</t>
    <phoneticPr fontId="3" type="noConversion"/>
  </si>
  <si>
    <t>雜項購置</t>
    <phoneticPr fontId="3" type="noConversion"/>
  </si>
  <si>
    <t>源達束線-黑</t>
    <phoneticPr fontId="3" type="noConversion"/>
  </si>
  <si>
    <t>2016.07.13</t>
    <phoneticPr fontId="3" type="noConversion"/>
  </si>
  <si>
    <t>2016.07.13</t>
    <phoneticPr fontId="3" type="noConversion"/>
  </si>
  <si>
    <t>2016.07.29</t>
    <phoneticPr fontId="3" type="noConversion"/>
  </si>
  <si>
    <t>管理費</t>
    <phoneticPr fontId="3" type="noConversion"/>
  </si>
  <si>
    <t>2016.08.02</t>
    <phoneticPr fontId="3" type="noConversion"/>
  </si>
  <si>
    <t>105.07 欽</t>
    <phoneticPr fontId="3" type="noConversion"/>
  </si>
  <si>
    <t>105.07 達-台銀城中-華算</t>
    <phoneticPr fontId="3" type="noConversion"/>
  </si>
  <si>
    <t>105.07 達-台銀信義-華算</t>
    <phoneticPr fontId="3" type="noConversion"/>
  </si>
  <si>
    <t>2016.08.05</t>
    <phoneticPr fontId="3" type="noConversion"/>
  </si>
  <si>
    <t>2016.08.05</t>
    <phoneticPr fontId="3" type="noConversion"/>
  </si>
  <si>
    <t>2016.07 card ada代刷-玉山</t>
    <phoneticPr fontId="3" type="noConversion"/>
  </si>
  <si>
    <t>2016.08.29</t>
    <phoneticPr fontId="3" type="noConversion"/>
  </si>
  <si>
    <t>管理費</t>
    <phoneticPr fontId="3" type="noConversion"/>
  </si>
  <si>
    <t>2016.08.31</t>
    <phoneticPr fontId="3" type="noConversion"/>
  </si>
  <si>
    <t>零用金</t>
    <phoneticPr fontId="3" type="noConversion"/>
  </si>
  <si>
    <t>交通費</t>
    <phoneticPr fontId="3" type="noConversion"/>
  </si>
  <si>
    <t>2016.09.01</t>
    <phoneticPr fontId="3" type="noConversion"/>
  </si>
  <si>
    <t>邁拓續約換機車資</t>
    <phoneticPr fontId="3" type="noConversion"/>
  </si>
  <si>
    <t>2016.09.02</t>
    <phoneticPr fontId="3" type="noConversion"/>
  </si>
  <si>
    <t>2016.09 北平房租-台銀網銀轉帳(2012.06開始漲兩千)</t>
    <phoneticPr fontId="3" type="noConversion"/>
  </si>
  <si>
    <t>2016.09.02</t>
    <phoneticPr fontId="3" type="noConversion"/>
  </si>
  <si>
    <t>105.08 欽</t>
    <phoneticPr fontId="3" type="noConversion"/>
  </si>
  <si>
    <t>2016.09.19</t>
    <phoneticPr fontId="3" type="noConversion"/>
  </si>
  <si>
    <t>管理費</t>
    <phoneticPr fontId="3" type="noConversion"/>
  </si>
  <si>
    <t>管理費-2016.09</t>
    <phoneticPr fontId="3" type="noConversion"/>
  </si>
  <si>
    <t>2016.09.26</t>
    <phoneticPr fontId="3" type="noConversion"/>
  </si>
  <si>
    <t>水費</t>
    <phoneticPr fontId="3" type="noConversion"/>
  </si>
  <si>
    <t>水費.105-09</t>
    <phoneticPr fontId="3" type="noConversion"/>
  </si>
  <si>
    <t>2016.10.05</t>
    <phoneticPr fontId="3" type="noConversion"/>
  </si>
  <si>
    <t>105.09 達</t>
    <phoneticPr fontId="3" type="noConversion"/>
  </si>
  <si>
    <t>2016.10.05</t>
    <phoneticPr fontId="3" type="noConversion"/>
  </si>
  <si>
    <t>105.09 張</t>
    <phoneticPr fontId="3" type="noConversion"/>
  </si>
  <si>
    <t>2016.10.11</t>
    <phoneticPr fontId="3" type="noConversion"/>
  </si>
  <si>
    <t>殺蟲劑</t>
    <phoneticPr fontId="3" type="noConversion"/>
  </si>
  <si>
    <t>2016.10.17</t>
    <phoneticPr fontId="3" type="noConversion"/>
  </si>
  <si>
    <t>交通費</t>
    <phoneticPr fontId="3" type="noConversion"/>
  </si>
  <si>
    <t>雜費</t>
    <phoneticPr fontId="3" type="noConversion"/>
  </si>
  <si>
    <t>2016.10.26</t>
    <phoneticPr fontId="3" type="noConversion"/>
  </si>
  <si>
    <t>管理費-2016.10</t>
    <phoneticPr fontId="3" type="noConversion"/>
  </si>
  <si>
    <t>現金相符</t>
    <phoneticPr fontId="3" type="noConversion"/>
  </si>
  <si>
    <t>2016.11.07</t>
    <phoneticPr fontId="3" type="noConversion"/>
  </si>
  <si>
    <t>105.10 達</t>
    <phoneticPr fontId="3" type="noConversion"/>
  </si>
  <si>
    <t>2016.11.16</t>
    <phoneticPr fontId="3" type="noConversion"/>
  </si>
  <si>
    <t>郵費</t>
    <phoneticPr fontId="3" type="noConversion"/>
  </si>
  <si>
    <t>2016.11.17</t>
    <phoneticPr fontId="3" type="noConversion"/>
  </si>
  <si>
    <t>汎輝悠遊卡儲值</t>
    <phoneticPr fontId="3" type="noConversion"/>
  </si>
  <si>
    <t>2016.11.22</t>
    <phoneticPr fontId="3" type="noConversion"/>
  </si>
  <si>
    <t>文具費</t>
    <phoneticPr fontId="3" type="noConversion"/>
  </si>
  <si>
    <t>合約封面影印</t>
    <phoneticPr fontId="3" type="noConversion"/>
  </si>
  <si>
    <t>2016.11.22</t>
    <phoneticPr fontId="3" type="noConversion"/>
  </si>
  <si>
    <t>2016.11.24</t>
    <phoneticPr fontId="3" type="noConversion"/>
  </si>
  <si>
    <t>2016.11.29</t>
    <phoneticPr fontId="3" type="noConversion"/>
  </si>
  <si>
    <t>零用金</t>
    <phoneticPr fontId="3" type="noConversion"/>
  </si>
  <si>
    <t>管理費-2016.11</t>
    <phoneticPr fontId="3" type="noConversion"/>
  </si>
  <si>
    <t>2016.12.01</t>
    <phoneticPr fontId="3" type="noConversion"/>
  </si>
  <si>
    <t>水費.105-11</t>
    <phoneticPr fontId="3" type="noConversion"/>
  </si>
  <si>
    <t>我要出2萬買家電的錢,請幫我轉饒媽帳戶,</t>
    <phoneticPr fontId="3" type="noConversion"/>
  </si>
  <si>
    <t>2016.12.02</t>
    <phoneticPr fontId="3" type="noConversion"/>
  </si>
  <si>
    <t>2016.12.05</t>
    <phoneticPr fontId="3" type="noConversion"/>
  </si>
  <si>
    <t>2016.12 北平房租-台銀網銀轉帳(2012.06開始漲兩千)</t>
    <phoneticPr fontId="3" type="noConversion"/>
  </si>
  <si>
    <t>105.11 欽</t>
    <phoneticPr fontId="3" type="noConversion"/>
  </si>
  <si>
    <t>2016.12.05</t>
    <phoneticPr fontId="3" type="noConversion"/>
  </si>
  <si>
    <t>2016.11 card ada代刷-玉山</t>
    <phoneticPr fontId="3" type="noConversion"/>
  </si>
  <si>
    <t>掛號 永馳/同皇/八亨 發票</t>
    <phoneticPr fontId="3" type="noConversion"/>
  </si>
  <si>
    <t>2016.12.07</t>
    <phoneticPr fontId="3" type="noConversion"/>
  </si>
  <si>
    <t>合約紙/膠帶</t>
    <phoneticPr fontId="3" type="noConversion"/>
  </si>
  <si>
    <t>2016.12.12</t>
    <phoneticPr fontId="3" type="noConversion"/>
  </si>
  <si>
    <t>阿明匯入</t>
    <phoneticPr fontId="3" type="noConversion"/>
  </si>
  <si>
    <t>掛號費依鎔支票簽回聯</t>
    <phoneticPr fontId="3" type="noConversion"/>
  </si>
  <si>
    <t>2016.12.13</t>
    <phoneticPr fontId="3" type="noConversion"/>
  </si>
  <si>
    <t>管理費-2016.12</t>
    <phoneticPr fontId="3" type="noConversion"/>
  </si>
  <si>
    <t>華算106.1-2三聯式發票及車資</t>
    <phoneticPr fontId="3" type="noConversion"/>
  </si>
  <si>
    <t>2017.01 北平房租-台銀網銀轉帳(2012.06開始漲兩千)</t>
    <phoneticPr fontId="3" type="noConversion"/>
  </si>
  <si>
    <t>2017.01.04</t>
    <phoneticPr fontId="3" type="noConversion"/>
  </si>
  <si>
    <t>協億通續約換機車資</t>
    <phoneticPr fontId="3" type="noConversion"/>
  </si>
  <si>
    <t>2017.01.04</t>
    <phoneticPr fontId="3" type="noConversion"/>
  </si>
  <si>
    <t>2017.01.05</t>
    <phoneticPr fontId="3" type="noConversion"/>
  </si>
  <si>
    <t>掛號 恩豪 合約/發票</t>
    <phoneticPr fontId="3" type="noConversion"/>
  </si>
  <si>
    <t>105.12 達</t>
    <phoneticPr fontId="3" type="noConversion"/>
  </si>
  <si>
    <t>2017.02.06</t>
    <phoneticPr fontId="3" type="noConversion"/>
  </si>
  <si>
    <t>105.12 達-二月才領</t>
    <phoneticPr fontId="3" type="noConversion"/>
  </si>
  <si>
    <t>2016.12 card ada代刷-中信</t>
    <phoneticPr fontId="3" type="noConversion"/>
  </si>
  <si>
    <t>2016.12 card ada代刷-玉山</t>
    <phoneticPr fontId="3" type="noConversion"/>
  </si>
  <si>
    <t>2017.01.25</t>
    <phoneticPr fontId="3" type="noConversion"/>
  </si>
  <si>
    <t>106.01 欽</t>
    <phoneticPr fontId="3" type="noConversion"/>
  </si>
  <si>
    <t>水費.106-01</t>
    <phoneticPr fontId="3" type="noConversion"/>
  </si>
  <si>
    <t>管理費-2017.01</t>
    <phoneticPr fontId="3" type="noConversion"/>
  </si>
  <si>
    <t>2017.01 card ada代刷-中信</t>
    <phoneticPr fontId="3" type="noConversion"/>
  </si>
  <si>
    <t>2017.01 card ada代刷-玉山</t>
    <phoneticPr fontId="3" type="noConversion"/>
  </si>
  <si>
    <t>106.01 達</t>
    <phoneticPr fontId="3" type="noConversion"/>
  </si>
  <si>
    <t>文具費</t>
    <phoneticPr fontId="3" type="noConversion"/>
  </si>
  <si>
    <t>掛號 安力 合約/發票</t>
    <phoneticPr fontId="3" type="noConversion"/>
  </si>
  <si>
    <t>2017.02.08</t>
    <phoneticPr fontId="3" type="noConversion"/>
  </si>
  <si>
    <t>順豐 品固東莞第三張網卡 INTEL</t>
    <phoneticPr fontId="3" type="noConversion"/>
  </si>
  <si>
    <t>限掛 協億通補發票, 5元郵票*10</t>
    <phoneticPr fontId="3" type="noConversion"/>
  </si>
  <si>
    <t>2017.02.14</t>
    <phoneticPr fontId="3" type="noConversion"/>
  </si>
  <si>
    <t>華算106.3-4三聯式發票及車資</t>
    <phoneticPr fontId="3" type="noConversion"/>
  </si>
  <si>
    <t>安力續約換機車資</t>
    <phoneticPr fontId="3" type="noConversion"/>
  </si>
  <si>
    <t>電源維修包裹</t>
    <phoneticPr fontId="3" type="noConversion"/>
  </si>
  <si>
    <t>鎔德舊宗續約換機車資</t>
    <phoneticPr fontId="3" type="noConversion"/>
  </si>
  <si>
    <t>2017.03.02</t>
    <phoneticPr fontId="3" type="noConversion"/>
  </si>
  <si>
    <t>2017.03.09</t>
    <phoneticPr fontId="3" type="noConversion"/>
  </si>
  <si>
    <t>依德續約換機車資</t>
    <phoneticPr fontId="3" type="noConversion"/>
  </si>
  <si>
    <t>限掛 達翌 發票</t>
    <phoneticPr fontId="3" type="noConversion"/>
  </si>
  <si>
    <t>2017.02 card ada代刷-玉山</t>
    <phoneticPr fontId="3" type="noConversion"/>
  </si>
  <si>
    <t>2017.03.13</t>
    <phoneticPr fontId="3" type="noConversion"/>
  </si>
  <si>
    <t>401.2017.01~02</t>
    <phoneticPr fontId="3" type="noConversion"/>
  </si>
  <si>
    <t>2017.03.21</t>
    <phoneticPr fontId="3" type="noConversion"/>
  </si>
  <si>
    <t>麻煩給他3萬…安力
11000不用…恩豪第一年</t>
    <phoneticPr fontId="3" type="noConversion"/>
  </si>
  <si>
    <t>源達起子</t>
    <phoneticPr fontId="3" type="noConversion"/>
  </si>
  <si>
    <t>限掛 元超 合約,發票,回郵</t>
    <phoneticPr fontId="3" type="noConversion"/>
  </si>
  <si>
    <t>2017.03.29</t>
    <phoneticPr fontId="3" type="noConversion"/>
  </si>
  <si>
    <t>台一續約換機車資</t>
    <phoneticPr fontId="3" type="noConversion"/>
  </si>
  <si>
    <t>2017.03.29</t>
    <phoneticPr fontId="3" type="noConversion"/>
  </si>
  <si>
    <t>台一續約換機車資</t>
    <phoneticPr fontId="3" type="noConversion"/>
  </si>
  <si>
    <t>2017.04 北平房租-台銀網銀轉帳(2012.06開始漲兩千)</t>
    <phoneticPr fontId="3" type="noConversion"/>
  </si>
  <si>
    <t>106.03 達-1</t>
    <phoneticPr fontId="3" type="noConversion"/>
  </si>
  <si>
    <t>2017.04.05</t>
    <phoneticPr fontId="3" type="noConversion"/>
  </si>
  <si>
    <t>106.03 張</t>
    <phoneticPr fontId="3" type="noConversion"/>
  </si>
  <si>
    <t>水費</t>
    <phoneticPr fontId="3" type="noConversion"/>
  </si>
  <si>
    <t>水費.106-03</t>
    <phoneticPr fontId="3" type="noConversion"/>
  </si>
  <si>
    <t>源碩續約換機車資</t>
    <phoneticPr fontId="3" type="noConversion"/>
  </si>
  <si>
    <t>2017.04.10</t>
    <phoneticPr fontId="3" type="noConversion"/>
  </si>
  <si>
    <t>裕恆續約換機車資</t>
    <phoneticPr fontId="3" type="noConversion"/>
  </si>
  <si>
    <t>2017.04.07</t>
    <phoneticPr fontId="3" type="noConversion"/>
  </si>
  <si>
    <t>106.03 達-3</t>
    <phoneticPr fontId="3" type="noConversion"/>
  </si>
  <si>
    <t>2017.04.11</t>
    <phoneticPr fontId="3" type="noConversion"/>
  </si>
  <si>
    <t>旺旺達續約換機車資</t>
    <phoneticPr fontId="3" type="noConversion"/>
  </si>
  <si>
    <t>2017.04.20</t>
    <phoneticPr fontId="3" type="noConversion"/>
  </si>
  <si>
    <t>威視續約換機車資</t>
    <phoneticPr fontId="3" type="noConversion"/>
  </si>
  <si>
    <t>華算106.5-6三聯式發票及車資</t>
    <phoneticPr fontId="3" type="noConversion"/>
  </si>
  <si>
    <t>2017.04.24</t>
    <phoneticPr fontId="3" type="noConversion"/>
  </si>
  <si>
    <t>管理費</t>
    <phoneticPr fontId="3" type="noConversion"/>
  </si>
  <si>
    <t>管理費-2017.04</t>
    <phoneticPr fontId="3" type="noConversion"/>
  </si>
  <si>
    <t>2017.04.25</t>
    <phoneticPr fontId="3" type="noConversion"/>
  </si>
  <si>
    <t>106.03 達-4</t>
    <phoneticPr fontId="3" type="noConversion"/>
  </si>
  <si>
    <t>2017.04.27</t>
    <phoneticPr fontId="3" type="noConversion"/>
  </si>
  <si>
    <t>宇陽單次維護換機車資</t>
    <phoneticPr fontId="3" type="noConversion"/>
  </si>
  <si>
    <t>2017.04.27</t>
    <phoneticPr fontId="3" type="noConversion"/>
  </si>
  <si>
    <t>悠遊卡儲值</t>
    <phoneticPr fontId="3" type="noConversion"/>
  </si>
  <si>
    <t>106.04 欽</t>
    <phoneticPr fontId="3" type="noConversion"/>
  </si>
  <si>
    <t>餘50000</t>
    <phoneticPr fontId="3" type="noConversion"/>
  </si>
  <si>
    <t>106.04 張</t>
    <phoneticPr fontId="3" type="noConversion"/>
  </si>
  <si>
    <t>401.2017.03~04 $36703 宇陽單次維護$25000(未)裝機費$3000(未)</t>
    <phoneticPr fontId="3" type="noConversion"/>
  </si>
  <si>
    <t>2017.05.08</t>
    <phoneticPr fontId="3" type="noConversion"/>
  </si>
  <si>
    <t>掛號 依,鎔,鎔保,鉑,安力 發票</t>
    <phoneticPr fontId="3" type="noConversion"/>
  </si>
  <si>
    <t>2017.05.08</t>
    <phoneticPr fontId="3" type="noConversion"/>
  </si>
  <si>
    <t>2017.04 card ada代刷-中信</t>
    <phoneticPr fontId="3" type="noConversion"/>
  </si>
  <si>
    <t>2017.04 card ada代刷-玉山 應$72658</t>
    <phoneticPr fontId="3" type="noConversion"/>
  </si>
  <si>
    <t>2017.05.16</t>
    <phoneticPr fontId="3" type="noConversion"/>
  </si>
  <si>
    <t>2017.04 card ada代刷-玉山 應$72658</t>
    <phoneticPr fontId="3" type="noConversion"/>
  </si>
  <si>
    <t>2017.05.19</t>
    <phoneticPr fontId="3" type="noConversion"/>
  </si>
  <si>
    <t>2017.05.23</t>
    <phoneticPr fontId="3" type="noConversion"/>
  </si>
  <si>
    <t>雜項購置</t>
    <phoneticPr fontId="3" type="noConversion"/>
  </si>
  <si>
    <t>電池9V---電話搖控器用</t>
    <phoneticPr fontId="3" type="noConversion"/>
  </si>
  <si>
    <t>2017.06 北平房租-台銀網銀轉帳(2012.06開始漲兩千)</t>
    <phoneticPr fontId="3" type="noConversion"/>
  </si>
  <si>
    <t>2017.06.05</t>
    <phoneticPr fontId="3" type="noConversion"/>
  </si>
  <si>
    <t>2017.06.05</t>
    <phoneticPr fontId="3" type="noConversion"/>
  </si>
  <si>
    <t>106.04 張-補上月餘款</t>
    <phoneticPr fontId="3" type="noConversion"/>
  </si>
  <si>
    <t>餘 33000</t>
    <phoneticPr fontId="3" type="noConversion"/>
  </si>
  <si>
    <t>106.05 張</t>
    <phoneticPr fontId="3" type="noConversion"/>
  </si>
  <si>
    <t>餘 61454</t>
    <phoneticPr fontId="3" type="noConversion"/>
  </si>
  <si>
    <t>合計 $ 81454</t>
    <phoneticPr fontId="3" type="noConversion"/>
  </si>
  <si>
    <t>2017.05 card ada代刷-玉山</t>
    <phoneticPr fontId="3" type="noConversion"/>
  </si>
  <si>
    <t>水費.106-05</t>
    <phoneticPr fontId="3" type="noConversion"/>
  </si>
  <si>
    <t>2017.06.13</t>
    <phoneticPr fontId="3" type="noConversion"/>
  </si>
  <si>
    <t>2017.06.19</t>
    <phoneticPr fontId="3" type="noConversion"/>
  </si>
  <si>
    <t>106.05 達--補</t>
    <phoneticPr fontId="3" type="noConversion"/>
  </si>
  <si>
    <t>106.05 張--補</t>
    <phoneticPr fontId="3" type="noConversion"/>
  </si>
  <si>
    <t>PETER
匯款資料：
大眾銀行：814-內湖分行
活儲：168-1229361-17
章挺憲
金額：NT175800
車源首次$150000,大桐佣金 $30000,扣二代健103-105$42000</t>
    <phoneticPr fontId="3" type="noConversion"/>
  </si>
  <si>
    <t>2017.06.23</t>
    <phoneticPr fontId="3" type="noConversion"/>
  </si>
  <si>
    <t>管理費-2017.05</t>
    <phoneticPr fontId="3" type="noConversion"/>
  </si>
  <si>
    <t>華算106.7-8三聯式發票及車資</t>
    <phoneticPr fontId="3" type="noConversion"/>
  </si>
  <si>
    <t>2017.07 北平房租-台銀網銀轉帳(2012.06開始漲兩千)</t>
    <phoneticPr fontId="3" type="noConversion"/>
  </si>
  <si>
    <t>2017.07.04</t>
    <phoneticPr fontId="3" type="noConversion"/>
  </si>
  <si>
    <t>106.06 欽</t>
    <phoneticPr fontId="3" type="noConversion"/>
  </si>
  <si>
    <t>2017.07.05</t>
    <phoneticPr fontId="3" type="noConversion"/>
  </si>
  <si>
    <t>106.06 張</t>
    <phoneticPr fontId="3" type="noConversion"/>
  </si>
  <si>
    <t>2017.06 card ada代刷-玉山</t>
    <phoneticPr fontId="3" type="noConversion"/>
  </si>
  <si>
    <t>401.2017.05~06</t>
    <phoneticPr fontId="3" type="noConversion"/>
  </si>
  <si>
    <t>2017.07.21</t>
    <phoneticPr fontId="3" type="noConversion"/>
  </si>
  <si>
    <t>衛生紙</t>
    <phoneticPr fontId="3" type="noConversion"/>
  </si>
  <si>
    <t>2017.07.26</t>
    <phoneticPr fontId="3" type="noConversion"/>
  </si>
  <si>
    <t>水費.106-07</t>
    <phoneticPr fontId="3" type="noConversion"/>
  </si>
  <si>
    <t>2017.07.26</t>
    <phoneticPr fontId="3" type="noConversion"/>
  </si>
  <si>
    <t>2017.08 北平房租-台銀網銀轉帳(2012.06開始漲兩千)</t>
    <phoneticPr fontId="3" type="noConversion"/>
  </si>
  <si>
    <t>2017.08.07</t>
    <phoneticPr fontId="3" type="noConversion"/>
  </si>
  <si>
    <t>106.07 欽</t>
    <phoneticPr fontId="3" type="noConversion"/>
  </si>
  <si>
    <t>106.07 張</t>
    <phoneticPr fontId="3" type="noConversion"/>
  </si>
  <si>
    <t>106.06 達-2-信義華算</t>
    <phoneticPr fontId="3" type="noConversion"/>
  </si>
  <si>
    <t>2017.08.08</t>
    <phoneticPr fontId="3" type="noConversion"/>
  </si>
  <si>
    <t>2017.07 card ada代刷-玉山</t>
    <phoneticPr fontId="3" type="noConversion"/>
  </si>
  <si>
    <t>2017.08.10</t>
    <phoneticPr fontId="3" type="noConversion"/>
  </si>
  <si>
    <t>2017.08.14</t>
    <phoneticPr fontId="3" type="noConversion"/>
  </si>
  <si>
    <t>2017.08.17</t>
    <phoneticPr fontId="3" type="noConversion"/>
  </si>
  <si>
    <t>華算106.9-10三聯式發票及車資</t>
    <phoneticPr fontId="3" type="noConversion"/>
  </si>
  <si>
    <t>2017.08.30</t>
    <phoneticPr fontId="3" type="noConversion"/>
  </si>
  <si>
    <t>勤業續約換機車資</t>
    <phoneticPr fontId="3" type="noConversion"/>
  </si>
  <si>
    <t>2017.09 北平房租-台銀網銀轉帳(2012.06開始漲兩千)</t>
    <phoneticPr fontId="3" type="noConversion"/>
  </si>
  <si>
    <t>106.08 欽</t>
    <phoneticPr fontId="3" type="noConversion"/>
  </si>
  <si>
    <t>106.08 張</t>
    <phoneticPr fontId="3" type="noConversion"/>
  </si>
  <si>
    <t>2017.09.07</t>
    <phoneticPr fontId="3" type="noConversion"/>
  </si>
  <si>
    <t>2017.08 card ada代刷-富邦</t>
    <phoneticPr fontId="3" type="noConversion"/>
  </si>
  <si>
    <t>2017.09.11</t>
    <phoneticPr fontId="3" type="noConversion"/>
  </si>
  <si>
    <t>八亨合約發票掛號</t>
    <phoneticPr fontId="3" type="noConversion"/>
  </si>
  <si>
    <t>2017.09.12</t>
    <phoneticPr fontId="3" type="noConversion"/>
  </si>
  <si>
    <t>(62211匯款+509現金)</t>
    <phoneticPr fontId="3" type="noConversion"/>
  </si>
  <si>
    <t>PETER
匯款資料：
大眾銀行：814-內湖分行
活儲：168-1229361-17
章挺憲
20170912 鉑德 PT 佣金
鉑德軟体系統維護費(106-107年)-&gt;72000?-?4000(名義上扣4千給你)/2=34000
鉑德KO-佣金(106-108年)-&gt;30000
合計?64000
健保補充費64000@2%---&gt;PT要再減1280
抵106度的補充保費嗎
DV??上午?08:55:14
106年1-6月上次已扣
1280是扣這次的
以後都每次扣
才不會漏了
總計 $62720 (還ADA - UNI-CASE.COM 續約)</t>
    <phoneticPr fontId="3" type="noConversion"/>
  </si>
  <si>
    <t>2017.09.13</t>
    <phoneticPr fontId="3" type="noConversion"/>
  </si>
  <si>
    <t>施舒雅合約發票掛號</t>
    <phoneticPr fontId="3" type="noConversion"/>
  </si>
  <si>
    <t>2017.09.18</t>
    <phoneticPr fontId="3" type="noConversion"/>
  </si>
  <si>
    <t>鉑德支票簽收回條掛號</t>
    <phoneticPr fontId="3" type="noConversion"/>
  </si>
  <si>
    <t>2017.09.25</t>
    <phoneticPr fontId="3" type="noConversion"/>
  </si>
  <si>
    <t>2017.09.28</t>
    <phoneticPr fontId="3" type="noConversion"/>
  </si>
  <si>
    <t>管理費-2017.09 106.8月開始調漲$20, (原$95+$20=$115/坪) * 12.68坪=$1458</t>
    <phoneticPr fontId="3" type="noConversion"/>
  </si>
  <si>
    <t>2017.10.05</t>
    <phoneticPr fontId="3" type="noConversion"/>
  </si>
  <si>
    <t>悠遊卡儲值依德</t>
    <phoneticPr fontId="3" type="noConversion"/>
  </si>
  <si>
    <t>106.09 欽</t>
    <phoneticPr fontId="3" type="noConversion"/>
  </si>
  <si>
    <t>2017.10.24</t>
    <phoneticPr fontId="3" type="noConversion"/>
  </si>
  <si>
    <t>2017.10.24</t>
    <phoneticPr fontId="3" type="noConversion"/>
  </si>
  <si>
    <t>松群續約換機車資</t>
    <phoneticPr fontId="3" type="noConversion"/>
  </si>
  <si>
    <t>恩豪維修第二趟計程車資</t>
    <phoneticPr fontId="3" type="noConversion"/>
  </si>
  <si>
    <t>管理費-2017.10 106.8月開始調漲$20, (原$95+$20=$115/坪) * 12.68坪=$1458</t>
    <phoneticPr fontId="3" type="noConversion"/>
  </si>
  <si>
    <t>2017.11.01</t>
    <phoneticPr fontId="3" type="noConversion"/>
  </si>
  <si>
    <t>2017.11 北平房租-台銀網銀轉帳(2012.06開始漲兩千)</t>
    <phoneticPr fontId="3" type="noConversion"/>
  </si>
  <si>
    <t>106.09 達</t>
    <phoneticPr fontId="3" type="noConversion"/>
  </si>
  <si>
    <t>106.10 張</t>
    <phoneticPr fontId="3" type="noConversion"/>
  </si>
  <si>
    <t>2017.11.06</t>
    <phoneticPr fontId="3" type="noConversion"/>
  </si>
  <si>
    <t>2017.11.13</t>
    <phoneticPr fontId="3" type="noConversion"/>
  </si>
  <si>
    <t>401.2017.09~10</t>
    <phoneticPr fontId="3" type="noConversion"/>
  </si>
  <si>
    <t>水費.106-11</t>
    <phoneticPr fontId="3" type="noConversion"/>
  </si>
  <si>
    <t>2017.11.30</t>
    <phoneticPr fontId="3" type="noConversion"/>
  </si>
  <si>
    <t>道法續約換機車資</t>
    <phoneticPr fontId="3" type="noConversion"/>
  </si>
  <si>
    <t>2017.12.01</t>
    <phoneticPr fontId="3" type="noConversion"/>
  </si>
  <si>
    <t>2017.12.05</t>
    <phoneticPr fontId="3" type="noConversion"/>
  </si>
  <si>
    <t>106.11 達</t>
    <phoneticPr fontId="3" type="noConversion"/>
  </si>
  <si>
    <t>106.11 欽</t>
    <phoneticPr fontId="3" type="noConversion"/>
  </si>
  <si>
    <t>2017.12.13</t>
    <phoneticPr fontId="3" type="noConversion"/>
  </si>
  <si>
    <t>2017.12.14</t>
    <phoneticPr fontId="3" type="noConversion"/>
  </si>
  <si>
    <t>鉑德續約換機車資</t>
    <phoneticPr fontId="3" type="noConversion"/>
  </si>
  <si>
    <t>2017.12.25</t>
    <phoneticPr fontId="3" type="noConversion"/>
  </si>
  <si>
    <t>大桐車源二次款發票*4限掛</t>
    <phoneticPr fontId="3" type="noConversion"/>
  </si>
  <si>
    <t>106.12 張</t>
    <phoneticPr fontId="3" type="noConversion"/>
  </si>
  <si>
    <t>2018.01.05</t>
    <phoneticPr fontId="3" type="noConversion"/>
  </si>
  <si>
    <t>DV 2018/1/5 上午 09:11:07
麻煩有空轉給饒媽3000*6(1-6月)+12000過年紅包=30000</t>
    <phoneticPr fontId="3" type="noConversion"/>
  </si>
  <si>
    <t>2018.01.10</t>
    <phoneticPr fontId="3" type="noConversion"/>
  </si>
  <si>
    <t>2018.01.17</t>
    <phoneticPr fontId="3" type="noConversion"/>
  </si>
  <si>
    <t>2018.01.23</t>
    <phoneticPr fontId="3" type="noConversion"/>
  </si>
  <si>
    <t>106.12 達---年終-1</t>
    <phoneticPr fontId="3" type="noConversion"/>
  </si>
  <si>
    <t>掛號費-漢聯廈門INVOICE</t>
    <phoneticPr fontId="3" type="noConversion"/>
  </si>
  <si>
    <t>2018.01.25</t>
    <phoneticPr fontId="3" type="noConversion"/>
  </si>
  <si>
    <t>佳尼特續約換機車資</t>
    <phoneticPr fontId="3" type="noConversion"/>
  </si>
  <si>
    <t>2018.01.30</t>
    <phoneticPr fontId="3" type="noConversion"/>
  </si>
  <si>
    <t>2018.02 北平房租-台銀網銀轉帳(2012.06開始漲兩千)</t>
    <phoneticPr fontId="3" type="noConversion"/>
  </si>
  <si>
    <t>2018.02.02</t>
    <phoneticPr fontId="3" type="noConversion"/>
  </si>
  <si>
    <t>2018.02.05</t>
    <phoneticPr fontId="3" type="noConversion"/>
  </si>
  <si>
    <t>107.01 張</t>
    <phoneticPr fontId="3" type="noConversion"/>
  </si>
  <si>
    <t>2018.02.05</t>
    <phoneticPr fontId="3" type="noConversion"/>
  </si>
  <si>
    <t>107.01 欽 (2018.1月 調薪 $30150)</t>
    <phoneticPr fontId="3" type="noConversion"/>
  </si>
  <si>
    <t>2018.02.06</t>
    <phoneticPr fontId="3" type="noConversion"/>
  </si>
  <si>
    <t>2018.02.08</t>
    <phoneticPr fontId="3" type="noConversion"/>
  </si>
  <si>
    <t>七家發票掛號</t>
    <phoneticPr fontId="3" type="noConversion"/>
  </si>
  <si>
    <t>106.12 達---年終-2</t>
    <phoneticPr fontId="3" type="noConversion"/>
  </si>
  <si>
    <t>2018.02.15</t>
    <phoneticPr fontId="3" type="noConversion"/>
  </si>
  <si>
    <t>106.12 達---年終-3</t>
    <phoneticPr fontId="3" type="noConversion"/>
  </si>
  <si>
    <t>2018.02.22</t>
    <phoneticPr fontId="3" type="noConversion"/>
  </si>
  <si>
    <t>DV 2018/2/21 上午 10:46:39
如果公司有錢的時侯,麻煩轉給饒媽追加新年紅包-16000元</t>
    <phoneticPr fontId="3" type="noConversion"/>
  </si>
  <si>
    <t>管理費-2018.2 106.8月開始調漲$20, (原$95+$20=$115/坪) * 12.68坪=$1458</t>
    <phoneticPr fontId="3" type="noConversion"/>
  </si>
  <si>
    <t>領發票車資</t>
    <phoneticPr fontId="3" type="noConversion"/>
  </si>
  <si>
    <t>環保垃圾袋</t>
    <phoneticPr fontId="3" type="noConversion"/>
  </si>
  <si>
    <t>2018.03.01</t>
    <phoneticPr fontId="3" type="noConversion"/>
  </si>
  <si>
    <t>領發票悠遊卡儲值</t>
    <phoneticPr fontId="3" type="noConversion"/>
  </si>
  <si>
    <t>2018.03.01</t>
    <phoneticPr fontId="3" type="noConversion"/>
  </si>
  <si>
    <t>2018.03.05</t>
    <phoneticPr fontId="3" type="noConversion"/>
  </si>
  <si>
    <t>電費.107-01區間 106.11.15~107.01.15, 銀行存款不足扣款失敗, 改零用金繳款</t>
    <phoneticPr fontId="3" type="noConversion"/>
  </si>
  <si>
    <t>401.2018.01~02</t>
    <phoneticPr fontId="3" type="noConversion"/>
  </si>
  <si>
    <t>107.02 達</t>
    <phoneticPr fontId="3" type="noConversion"/>
  </si>
  <si>
    <t>2018.03.22</t>
    <phoneticPr fontId="3" type="noConversion"/>
  </si>
  <si>
    <t>祥和續約換機車資</t>
    <phoneticPr fontId="3" type="noConversion"/>
  </si>
  <si>
    <t>2018.03.23</t>
    <phoneticPr fontId="3" type="noConversion"/>
  </si>
  <si>
    <t>管理費-2018.3 106.8月開始調漲$20, (原$95+$20=$115/坪) * 12.68坪=$1458</t>
    <phoneticPr fontId="3" type="noConversion"/>
  </si>
  <si>
    <t>2018.03.28</t>
    <phoneticPr fontId="3" type="noConversion"/>
  </si>
  <si>
    <t>DV  上午 10:28:42
麻煩有空幫我轉帳饒媽6000元母親節紅包</t>
    <phoneticPr fontId="3" type="noConversion"/>
  </si>
  <si>
    <t>2018.04 北平房租-台銀網銀轉帳(2012.06開始漲兩千)</t>
    <phoneticPr fontId="3" type="noConversion"/>
  </si>
  <si>
    <t>107.03 達</t>
    <phoneticPr fontId="3" type="noConversion"/>
  </si>
  <si>
    <t>2018.04.09</t>
    <phoneticPr fontId="3" type="noConversion"/>
  </si>
  <si>
    <t>2018.04.18</t>
    <phoneticPr fontId="3" type="noConversion"/>
  </si>
  <si>
    <t>2018.04.24</t>
    <phoneticPr fontId="3" type="noConversion"/>
  </si>
  <si>
    <t>管理費-2018.4 106.8月開始調漲$20, (原$95+$20=$115/坪) * 12.68坪=$1458</t>
    <phoneticPr fontId="3" type="noConversion"/>
  </si>
  <si>
    <t>華算107.05-06三聯式發票</t>
    <phoneticPr fontId="3" type="noConversion"/>
  </si>
  <si>
    <t>2018.05.07</t>
    <phoneticPr fontId="3" type="noConversion"/>
  </si>
  <si>
    <t>2018.05.08</t>
    <phoneticPr fontId="3" type="noConversion"/>
  </si>
  <si>
    <t>2018.05.22</t>
    <phoneticPr fontId="3" type="noConversion"/>
  </si>
  <si>
    <t>2018.05.23</t>
    <phoneticPr fontId="3" type="noConversion"/>
  </si>
  <si>
    <t>2018.05.31</t>
    <phoneticPr fontId="3" type="noConversion"/>
  </si>
  <si>
    <t>汎輝帳號盜用法院提供記錄掛號費</t>
    <phoneticPr fontId="3" type="noConversion"/>
  </si>
  <si>
    <t>2018.06.01</t>
    <phoneticPr fontId="3" type="noConversion"/>
  </si>
  <si>
    <t>2018.06 北平房租-台銀網銀轉帳(2012.06開始漲兩千)</t>
    <phoneticPr fontId="3" type="noConversion"/>
  </si>
  <si>
    <t>2018.06.05</t>
    <phoneticPr fontId="3" type="noConversion"/>
  </si>
  <si>
    <t>107.05 達</t>
    <phoneticPr fontId="3" type="noConversion"/>
  </si>
  <si>
    <t>2018.05 card ada代刷-玉山</t>
    <phoneticPr fontId="3" type="noConversion"/>
  </si>
  <si>
    <t>水費.107-05</t>
    <phoneticPr fontId="3" type="noConversion"/>
  </si>
  <si>
    <t>2018.06.21</t>
    <phoneticPr fontId="3" type="noConversion"/>
  </si>
  <si>
    <t>八亨發票, 品固CN合約掛號</t>
    <phoneticPr fontId="3" type="noConversion"/>
  </si>
  <si>
    <t>2018.06.21</t>
    <phoneticPr fontId="3" type="noConversion"/>
  </si>
  <si>
    <t>管理費-2018.6 106.8月開始調漲$20, (原$95+$20=$115/坪) * 12.68坪=$1458</t>
    <phoneticPr fontId="3" type="noConversion"/>
  </si>
  <si>
    <t>2018.06.28</t>
    <phoneticPr fontId="3" type="noConversion"/>
  </si>
  <si>
    <t>品固CN掛號</t>
    <phoneticPr fontId="3" type="noConversion"/>
  </si>
  <si>
    <t>2018.07.05</t>
    <phoneticPr fontId="3" type="noConversion"/>
  </si>
  <si>
    <t>2018.07.10</t>
    <phoneticPr fontId="3" type="noConversion"/>
  </si>
  <si>
    <t>2018.07.16</t>
    <phoneticPr fontId="3" type="noConversion"/>
  </si>
  <si>
    <t>DV 2018/7/9 上午 09:53:25
麻煩公司錢夠的時侯, 請轉饒媽10000*3(7-9月) 因為7月1日起饒媽的退休金減少了</t>
    <phoneticPr fontId="3" type="noConversion"/>
  </si>
  <si>
    <t>2018.07.17</t>
    <phoneticPr fontId="3" type="noConversion"/>
  </si>
  <si>
    <t>品固續約換機車資-博</t>
    <phoneticPr fontId="3" type="noConversion"/>
  </si>
  <si>
    <t>2018.07.18</t>
    <phoneticPr fontId="3" type="noConversion"/>
  </si>
  <si>
    <t>2018.07.24</t>
    <phoneticPr fontId="3" type="noConversion"/>
  </si>
  <si>
    <t>品固續約換機車資-達2</t>
    <phoneticPr fontId="3" type="noConversion"/>
  </si>
  <si>
    <t>2018.07.25</t>
    <phoneticPr fontId="3" type="noConversion"/>
  </si>
  <si>
    <t>管理費-2018.7 106.8月開始調漲$20, (原$95+$20=$115/坪) * 12.68坪=$1458</t>
    <phoneticPr fontId="3" type="noConversion"/>
  </si>
  <si>
    <t>水費.107-07</t>
    <phoneticPr fontId="3" type="noConversion"/>
  </si>
  <si>
    <t>2018.08.01</t>
    <phoneticPr fontId="3" type="noConversion"/>
  </si>
  <si>
    <t>2018.08 北平房租-台銀網銀轉帳(2012.06開始漲兩千)</t>
    <phoneticPr fontId="3" type="noConversion"/>
  </si>
  <si>
    <t>2018.08.07</t>
    <phoneticPr fontId="3" type="noConversion"/>
  </si>
  <si>
    <t>2018.08.21</t>
    <phoneticPr fontId="3" type="noConversion"/>
  </si>
  <si>
    <t>2018.08.23</t>
    <phoneticPr fontId="3" type="noConversion"/>
  </si>
  <si>
    <t>華算107.09-10三聯式發票</t>
    <phoneticPr fontId="3" type="noConversion"/>
  </si>
  <si>
    <t>2018.09.03</t>
    <phoneticPr fontId="3" type="noConversion"/>
  </si>
  <si>
    <t>2018.09 北平房租-台銀網銀轉帳(2012.06開始漲兩千)</t>
    <phoneticPr fontId="3" type="noConversion"/>
  </si>
  <si>
    <t>永馳續約換機車資-博</t>
    <phoneticPr fontId="3" type="noConversion"/>
  </si>
  <si>
    <t>2018.09.04</t>
    <phoneticPr fontId="3" type="noConversion"/>
  </si>
  <si>
    <t>永馳續約換機車資-博2</t>
    <phoneticPr fontId="3" type="noConversion"/>
  </si>
  <si>
    <t>2018.09.04</t>
    <phoneticPr fontId="3" type="noConversion"/>
  </si>
  <si>
    <t>2018.08 card ada代刷-中信</t>
    <phoneticPr fontId="3" type="noConversion"/>
  </si>
  <si>
    <t>2018.09.05</t>
    <phoneticPr fontId="3" type="noConversion"/>
  </si>
  <si>
    <t>107.08 張</t>
    <phoneticPr fontId="3" type="noConversion"/>
  </si>
  <si>
    <t>2018.09.05</t>
    <phoneticPr fontId="3" type="noConversion"/>
  </si>
  <si>
    <t>永馳續約換機車資-博3</t>
    <phoneticPr fontId="3" type="noConversion"/>
  </si>
  <si>
    <t>2018.09.06</t>
    <phoneticPr fontId="3" type="noConversion"/>
  </si>
  <si>
    <t>2018.09.11</t>
    <phoneticPr fontId="3" type="noConversion"/>
  </si>
  <si>
    <t>401.2018.07~08</t>
    <phoneticPr fontId="3" type="noConversion"/>
  </si>
  <si>
    <t>2018.09.12</t>
    <phoneticPr fontId="3" type="noConversion"/>
  </si>
  <si>
    <t>2018.09.18</t>
    <phoneticPr fontId="3" type="noConversion"/>
  </si>
  <si>
    <t>請款發票, 喜可合約發票</t>
    <phoneticPr fontId="3" type="noConversion"/>
  </si>
  <si>
    <t>2018.09.18</t>
    <phoneticPr fontId="3" type="noConversion"/>
  </si>
  <si>
    <t>房屋租約</t>
    <phoneticPr fontId="3" type="noConversion"/>
  </si>
  <si>
    <t>2018.09.21</t>
    <phoneticPr fontId="3" type="noConversion"/>
  </si>
  <si>
    <t>管理費-2018.9 106.8月開始調漲$20, (原$95+$20=$115/坪) * 12.68坪=$1458</t>
    <phoneticPr fontId="3" type="noConversion"/>
  </si>
  <si>
    <t>水費.107-09</t>
    <phoneticPr fontId="3" type="noConversion"/>
  </si>
  <si>
    <t>2018.10.05</t>
    <phoneticPr fontId="3" type="noConversion"/>
  </si>
  <si>
    <t>2018.09 card ada代刷-中信</t>
    <phoneticPr fontId="3" type="noConversion"/>
  </si>
  <si>
    <t>2018.10.08</t>
    <phoneticPr fontId="3" type="noConversion"/>
  </si>
  <si>
    <t>2018.10.19</t>
    <phoneticPr fontId="3" type="noConversion"/>
  </si>
  <si>
    <t>2018.10.22</t>
    <phoneticPr fontId="3" type="noConversion"/>
  </si>
  <si>
    <t>2018.10.30</t>
    <phoneticPr fontId="3" type="noConversion"/>
  </si>
  <si>
    <t>鉑德/安力/大桐/友士/同皇發票,依鎔鎔KO合約發票, 依鎔鉑車源合約發票,依鎔鉑DNS報價發票</t>
    <phoneticPr fontId="3" type="noConversion"/>
  </si>
  <si>
    <t>2018.11.01</t>
    <phoneticPr fontId="3" type="noConversion"/>
  </si>
  <si>
    <t>2018.11.05</t>
    <phoneticPr fontId="3" type="noConversion"/>
  </si>
  <si>
    <t>107.10 欽 (2018.1月 調薪 $30150)</t>
    <phoneticPr fontId="3" type="noConversion"/>
  </si>
  <si>
    <t>2018.11.09</t>
    <phoneticPr fontId="3" type="noConversion"/>
  </si>
  <si>
    <t>2018.11.13</t>
    <phoneticPr fontId="3" type="noConversion"/>
  </si>
  <si>
    <t>2018.11.15</t>
    <phoneticPr fontId="3" type="noConversion"/>
  </si>
  <si>
    <t>DV回國看診</t>
    <phoneticPr fontId="3" type="noConversion"/>
  </si>
  <si>
    <t>2018.11.26</t>
    <phoneticPr fontId="3" type="noConversion"/>
  </si>
  <si>
    <t>2018.11.27</t>
    <phoneticPr fontId="3" type="noConversion"/>
  </si>
  <si>
    <t>元大銀行：806-瑞光分行
活儲：00168122936117
章挺憲
DV 2018/11/27 上午 06:24:50
請問是不是只有鎔德的款未到? 如果是就請匯(218491-105650=112841)元--&gt;不好意思, 這個才對
koofficecn  上午 08:37:51
依德的網域 $6300 也還沒匯
$105650 看要不要先扣 $1650 = $104000 (給錯, 這應該是要扣的)
DV  上午 08:39:15
OK
手續費 $30</t>
    <phoneticPr fontId="3" type="noConversion"/>
  </si>
  <si>
    <t>欠$30000</t>
    <phoneticPr fontId="3" type="noConversion"/>
  </si>
  <si>
    <t>水費.107-11</t>
    <phoneticPr fontId="3" type="noConversion"/>
  </si>
  <si>
    <t>管理費-2018.11 106.8月開始調漲$20, (原$95+$20=$115/坪) * 12.68坪=$1458</t>
    <phoneticPr fontId="3" type="noConversion"/>
  </si>
  <si>
    <t>2018.12 北平房租-台銀網銀轉帳(2018.11開始)-轉ADA再轉房東</t>
    <phoneticPr fontId="3" type="noConversion"/>
  </si>
  <si>
    <t>107.11 欽 (2018.1月 調薪 $30150)</t>
    <phoneticPr fontId="3" type="noConversion"/>
  </si>
  <si>
    <t>2018.12.05</t>
    <phoneticPr fontId="3" type="noConversion"/>
  </si>
  <si>
    <t>2018.12.05</t>
    <phoneticPr fontId="3" type="noConversion"/>
  </si>
  <si>
    <t>汎輝帳號盜用法院提供記錄掛號費-少股重寄</t>
    <phoneticPr fontId="3" type="noConversion"/>
  </si>
  <si>
    <t>107.11 達</t>
    <phoneticPr fontId="3" type="noConversion"/>
  </si>
  <si>
    <t>2018.11 card ada代刷-中信 DV回國看診---ADA代刷卡, $308283 - 刷退 $5319(卡$5042,現$277) = $2964, 11/3 周六 維康加停車費 $868</t>
    <phoneticPr fontId="3" type="noConversion"/>
  </si>
  <si>
    <t>永馳/八亨/施舒雅 發票</t>
    <phoneticPr fontId="3" type="noConversion"/>
  </si>
  <si>
    <t>2018.12.14</t>
    <phoneticPr fontId="3" type="noConversion"/>
  </si>
  <si>
    <t>太暘移機車資</t>
    <phoneticPr fontId="3" type="noConversion"/>
  </si>
  <si>
    <t>2018.12.18</t>
    <phoneticPr fontId="3" type="noConversion"/>
  </si>
  <si>
    <t>鎔德行善續約換機車資</t>
    <phoneticPr fontId="3" type="noConversion"/>
  </si>
  <si>
    <t>2018.12.28</t>
    <phoneticPr fontId="3" type="noConversion"/>
  </si>
  <si>
    <t>管理費-2018.12 106.8月開始調漲$20, (原$95+$20=$115/坪) * 12.68坪=$1458</t>
    <phoneticPr fontId="3" type="noConversion"/>
  </si>
  <si>
    <t>2019.01.02</t>
    <phoneticPr fontId="3" type="noConversion"/>
  </si>
  <si>
    <t>605-60502112121093</t>
    <phoneticPr fontId="3" type="noConversion"/>
  </si>
  <si>
    <t>汎輝維護車資</t>
    <phoneticPr fontId="3" type="noConversion"/>
  </si>
  <si>
    <t>107.12 達</t>
    <phoneticPr fontId="3" type="noConversion"/>
  </si>
  <si>
    <t>107.12 張</t>
    <phoneticPr fontId="3" type="noConversion"/>
  </si>
  <si>
    <t>2019.01.08</t>
    <phoneticPr fontId="3" type="noConversion"/>
  </si>
  <si>
    <t>401.2018.11~12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</si>
  <si>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年終$40000-1-台銀信義</t>
    </r>
    <phoneticPr fontId="3" type="noConversion"/>
  </si>
  <si>
    <t>2019.01.15</t>
    <phoneticPr fontId="3" type="noConversion"/>
  </si>
  <si>
    <t>邁拓維護車資</t>
    <phoneticPr fontId="3" type="noConversion"/>
  </si>
  <si>
    <t>2019.01.25</t>
    <phoneticPr fontId="3" type="noConversion"/>
  </si>
  <si>
    <t>好, 藥局說杏輝那顆現在要$5/粒, 我還是跟他拿240
羅得的$3/粒, 因為杏輝漲價, 羅得他算我們 $2.5/粒, 我也拿240</t>
    <phoneticPr fontId="3" type="noConversion"/>
  </si>
  <si>
    <t>2019.01.28</t>
    <phoneticPr fontId="3" type="noConversion"/>
  </si>
  <si>
    <t>水費.108-01</t>
    <phoneticPr fontId="3" type="noConversion"/>
  </si>
  <si>
    <t>2019.02.01</t>
    <phoneticPr fontId="3" type="noConversion"/>
  </si>
  <si>
    <t>108.01 欽 (2018.1月 調薪 $30150)</t>
    <phoneticPr fontId="3" type="noConversion"/>
  </si>
  <si>
    <t>108.01 張</t>
    <phoneticPr fontId="3" type="noConversion"/>
  </si>
  <si>
    <t>2019.01 card ada代刷-中信</t>
    <phoneticPr fontId="3" type="noConversion"/>
  </si>
  <si>
    <t>依德/鎔德/鉑德/大桐/友士/同皇發票,安力合約發票回郵</t>
    <phoneticPr fontId="3" type="noConversion"/>
  </si>
  <si>
    <t>2019.02.13</t>
    <phoneticPr fontId="3" type="noConversion"/>
  </si>
  <si>
    <t>郵票 @28x10, @8x10</t>
    <phoneticPr fontId="3" type="noConversion"/>
  </si>
  <si>
    <t>2019.02.14</t>
    <phoneticPr fontId="3" type="noConversion"/>
  </si>
  <si>
    <t>2019.02.14</t>
    <phoneticPr fontId="3" type="noConversion"/>
  </si>
  <si>
    <t>恩豪合約發票回郵</t>
    <phoneticPr fontId="3" type="noConversion"/>
  </si>
  <si>
    <t>2019.02.18</t>
    <phoneticPr fontId="3" type="noConversion"/>
  </si>
  <si>
    <t>電池</t>
    <phoneticPr fontId="3" type="noConversion"/>
  </si>
  <si>
    <t>管理費-2019.2 106.8月開始調漲$20, (原$95+$20=$115/坪) * 12.68坪=$1458</t>
    <phoneticPr fontId="3" type="noConversion"/>
  </si>
  <si>
    <t>華算108.03-04三聯式發票</t>
    <phoneticPr fontId="3" type="noConversion"/>
  </si>
  <si>
    <t>2019.02.26</t>
    <phoneticPr fontId="3" type="noConversion"/>
  </si>
  <si>
    <t>2019.03.04</t>
    <phoneticPr fontId="3" type="noConversion"/>
  </si>
  <si>
    <t>2019.03 北平房租-台銀網銀轉帳(2018.11開始)-轉ADA再轉房東</t>
    <phoneticPr fontId="3" type="noConversion"/>
  </si>
  <si>
    <t>八亨/永馳/施舒雅發票掛號, @8郵票</t>
    <phoneticPr fontId="3" type="noConversion"/>
  </si>
  <si>
    <t>2019.03.07</t>
    <phoneticPr fontId="3" type="noConversion"/>
  </si>
  <si>
    <t>2019.02 card ada代刷-玉山</t>
    <phoneticPr fontId="3" type="noConversion"/>
  </si>
  <si>
    <t>2019.03.12</t>
    <phoneticPr fontId="3" type="noConversion"/>
  </si>
  <si>
    <t>合碩續約換機車資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</si>
  <si>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</si>
  <si>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</si>
  <si>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2019.04.01</t>
    <phoneticPr fontId="3" type="noConversion"/>
  </si>
  <si>
    <t>2019.04 北平房租-台銀網銀轉帳(2018.11開始)-轉ADA再轉房東</t>
    <phoneticPr fontId="3" type="noConversion"/>
  </si>
  <si>
    <t>2019.04.08</t>
    <phoneticPr fontId="3" type="noConversion"/>
  </si>
  <si>
    <t>108.03 張</t>
    <phoneticPr fontId="3" type="noConversion"/>
  </si>
  <si>
    <t>2019.04.22</t>
    <phoneticPr fontId="3" type="noConversion"/>
  </si>
  <si>
    <t>不好意思, 請問公司有沒有現金6600元, 請轉給饒媽生日紅包</t>
    <phoneticPr fontId="3" type="noConversion"/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</si>
  <si>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</si>
  <si>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</si>
  <si>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華算108.05-06三聯式發票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</si>
  <si>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</si>
  <si>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</si>
  <si>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</si>
  <si>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2019.05.06</t>
    <phoneticPr fontId="3" type="noConversion"/>
  </si>
  <si>
    <t>401.2019.03~04</t>
    <phoneticPr fontId="3" type="noConversion"/>
  </si>
  <si>
    <t>2019.05.06 轉 WORK</t>
    <phoneticPr fontId="3" type="noConversion"/>
  </si>
  <si>
    <t>依德CLUB 合約掛號補林銘皇</t>
    <phoneticPr fontId="3" type="noConversion"/>
  </si>
  <si>
    <t>郵費</t>
    <phoneticPr fontId="3" type="noConversion"/>
  </si>
  <si>
    <t>2019.05.22</t>
    <phoneticPr fontId="3" type="noConversion"/>
  </si>
  <si>
    <t>大成 合約發票掛號</t>
    <phoneticPr fontId="3" type="noConversion"/>
  </si>
  <si>
    <t>2019.05.28</t>
    <phoneticPr fontId="3" type="noConversion"/>
  </si>
  <si>
    <r>
      <t xml:space="preserve">管理費-2019.5 106.8月開始調漲$20,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</si>
  <si>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2019.05.29</t>
    <phoneticPr fontId="3" type="noConversion"/>
  </si>
  <si>
    <t>大桐續約換機車資</t>
    <phoneticPr fontId="3" type="noConversion"/>
  </si>
  <si>
    <t>2019.05.31</t>
    <phoneticPr fontId="3" type="noConversion"/>
  </si>
  <si>
    <t>2019.05.31</t>
    <phoneticPr fontId="3" type="noConversion"/>
  </si>
  <si>
    <r>
      <t>零用金,</t>
    </r>
    <r>
      <rPr>
        <sz val="12"/>
        <color indexed="10"/>
        <rFont val="新細明體"/>
        <family val="1"/>
        <charset val="136"/>
      </rPr>
      <t>100000(補陳$362040到40萬=$37960),扣匯費$30,餘$62010,轉$61454達108.05薪,餘$556,轉零用金)</t>
    </r>
    <phoneticPr fontId="3" type="noConversion"/>
  </si>
  <si>
    <t>2019.06.03</t>
    <phoneticPr fontId="3" type="noConversion"/>
  </si>
  <si>
    <t>2019.06 北平房租-台銀網銀轉帳(2018.11開始)-轉ADA再轉房東</t>
    <phoneticPr fontId="3" type="noConversion"/>
  </si>
  <si>
    <t>605-60502112121093</t>
    <phoneticPr fontId="3" type="noConversion"/>
  </si>
  <si>
    <t>水費.108-05</t>
    <phoneticPr fontId="3" type="noConversion"/>
  </si>
  <si>
    <t>108.05 欽 (2018.1月 調薪 $30150)</t>
    <phoneticPr fontId="3" type="noConversion"/>
  </si>
  <si>
    <t>2019.06.05</t>
    <phoneticPr fontId="3" type="noConversion"/>
  </si>
  <si>
    <t>2019.06.05</t>
    <phoneticPr fontId="3" type="noConversion"/>
  </si>
  <si>
    <t>國稅局達算停業車資</t>
    <phoneticPr fontId="3" type="noConversion"/>
  </si>
  <si>
    <t>現金相符</t>
    <phoneticPr fontId="3" type="noConversion"/>
  </si>
  <si>
    <t>施舒雅補第三期漏開款開108/6月發票</t>
    <phoneticPr fontId="3" type="noConversion"/>
  </si>
  <si>
    <t>2019.06.24</t>
    <phoneticPr fontId="3" type="noConversion"/>
  </si>
  <si>
    <r>
      <t xml:space="preserve">管理費-2019.6 106.8月開始調漲$20,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</si>
  <si>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華算108.07-08三聯式發票</t>
    <phoneticPr fontId="3" type="noConversion"/>
  </si>
  <si>
    <t>同皇續約換機車資</t>
    <phoneticPr fontId="3" type="noConversion"/>
  </si>
  <si>
    <t>2019.06.27</t>
    <phoneticPr fontId="3" type="noConversion"/>
  </si>
  <si>
    <t>交通費</t>
    <phoneticPr fontId="3" type="noConversion"/>
  </si>
  <si>
    <t>2019.07.05</t>
    <phoneticPr fontId="3" type="noConversion"/>
  </si>
  <si>
    <t>108.06 欽 (2018.1月 調薪 $30150)</t>
    <phoneticPr fontId="3" type="noConversion"/>
  </si>
  <si>
    <t>108.06 張</t>
    <phoneticPr fontId="3" type="noConversion"/>
  </si>
  <si>
    <t>2019.07.05</t>
    <phoneticPr fontId="3" type="noConversion"/>
  </si>
  <si>
    <t>108.06 達</t>
    <phoneticPr fontId="3" type="noConversion"/>
  </si>
  <si>
    <t>2019.06 card ada代刷-玉山</t>
    <phoneticPr fontId="3" type="noConversion"/>
  </si>
  <si>
    <t>401.2019.05~06</t>
    <phoneticPr fontId="3" type="noConversion"/>
  </si>
  <si>
    <t>2019.07.16</t>
    <phoneticPr fontId="3" type="noConversion"/>
  </si>
  <si>
    <t>2019.07.24</t>
    <phoneticPr fontId="3" type="noConversion"/>
  </si>
  <si>
    <r>
      <t xml:space="preserve">管理費-2019.7 106.8月開始調漲$20,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</si>
  <si>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鉑德合約發票回郵信封</t>
    <phoneticPr fontId="3" type="noConversion"/>
  </si>
  <si>
    <t>2019.07.30</t>
    <phoneticPr fontId="3" type="noConversion"/>
  </si>
  <si>
    <t>DV輝雄</t>
    <phoneticPr fontId="3" type="noConversion"/>
  </si>
  <si>
    <t>2019.08.01</t>
    <phoneticPr fontId="3" type="noConversion"/>
  </si>
  <si>
    <t>2019.08 北平房租-台銀網銀轉帳(2018.11開始)-轉ADA再轉房東</t>
    <phoneticPr fontId="3" type="noConversion"/>
  </si>
  <si>
    <t>2019.08.05</t>
    <phoneticPr fontId="3" type="noConversion"/>
  </si>
  <si>
    <t>108.07 欽 (2018.1月 調薪 $30150)</t>
    <phoneticPr fontId="3" type="noConversion"/>
  </si>
  <si>
    <t>108.07 達</t>
    <phoneticPr fontId="3" type="noConversion"/>
  </si>
  <si>
    <t>2019.08.05</t>
    <phoneticPr fontId="3" type="noConversion"/>
  </si>
  <si>
    <t>2019.07 card ada代刷-玉山-1</t>
    <phoneticPr fontId="3" type="noConversion"/>
  </si>
  <si>
    <t>2019.08.19</t>
    <phoneticPr fontId="3" type="noConversion"/>
  </si>
  <si>
    <t>2019.08.29</t>
    <phoneticPr fontId="3" type="noConversion"/>
  </si>
  <si>
    <t>2019.08.21</t>
    <phoneticPr fontId="3" type="noConversion"/>
  </si>
  <si>
    <t>2019.08.21</t>
    <phoneticPr fontId="3" type="noConversion"/>
  </si>
  <si>
    <t>2019.07 card ada代刷-玉山-2</t>
    <phoneticPr fontId="3" type="noConversion"/>
  </si>
  <si>
    <t>2019.08.23</t>
    <phoneticPr fontId="3" type="noConversion"/>
  </si>
  <si>
    <t>2019.08.27</t>
    <phoneticPr fontId="3" type="noConversion"/>
  </si>
  <si>
    <t>華算108.09-10三聯式發票</t>
    <phoneticPr fontId="3" type="noConversion"/>
  </si>
  <si>
    <t>冷氣維修</t>
    <phoneticPr fontId="3" type="noConversion"/>
  </si>
  <si>
    <t>2019.09.04</t>
    <phoneticPr fontId="3" type="noConversion"/>
  </si>
  <si>
    <t>依德PRIME-CLUB合約三份發票二份回郵信封一份</t>
    <phoneticPr fontId="3" type="noConversion"/>
  </si>
  <si>
    <t>2019.09.05</t>
    <phoneticPr fontId="3" type="noConversion"/>
  </si>
  <si>
    <t>108.08 欽 (2018.1月 調薪 $30150)</t>
    <phoneticPr fontId="3" type="noConversion"/>
  </si>
  <si>
    <t>2019.09.23</t>
    <phoneticPr fontId="3" type="noConversion"/>
  </si>
  <si>
    <t>水費.108-09</t>
    <phoneticPr fontId="3" type="noConversion"/>
  </si>
  <si>
    <t>衛生紙</t>
    <phoneticPr fontId="3" type="noConversion"/>
  </si>
  <si>
    <t>2019.09.25</t>
    <phoneticPr fontId="3" type="noConversion"/>
  </si>
  <si>
    <t>元超合約掛號</t>
    <phoneticPr fontId="3" type="noConversion"/>
  </si>
  <si>
    <t>祥和維修油資</t>
    <phoneticPr fontId="3" type="noConversion"/>
  </si>
  <si>
    <t>2019.10.01</t>
    <phoneticPr fontId="3" type="noConversion"/>
  </si>
  <si>
    <t>PT 上海銀行 儲蓄部分行 楊淑雅 03203005001517, 手續費 $10
麻煩請匯台幣13萬給PT的朋友換人民幣,謝謝</t>
    <phoneticPr fontId="3" type="noConversion"/>
  </si>
  <si>
    <t>自然人憑証費用-勞保作業用</t>
    <phoneticPr fontId="3" type="noConversion"/>
  </si>
  <si>
    <t>108.09 張</t>
    <phoneticPr fontId="3" type="noConversion"/>
  </si>
  <si>
    <t>2019.10.05</t>
    <phoneticPr fontId="3" type="noConversion"/>
  </si>
  <si>
    <t>108.09 欽 (2018.1月 調薪 $30150),調勞保</t>
    <phoneticPr fontId="3" type="noConversion"/>
  </si>
  <si>
    <t>2019.09 card ada代刷-中信</t>
    <phoneticPr fontId="3" type="noConversion"/>
  </si>
  <si>
    <t>2019.10.07</t>
    <phoneticPr fontId="3" type="noConversion"/>
  </si>
  <si>
    <t>2019.09 card ada代刷-玉山</t>
    <phoneticPr fontId="3" type="noConversion"/>
  </si>
  <si>
    <t>2019.10.22</t>
    <phoneticPr fontId="3" type="noConversion"/>
  </si>
  <si>
    <t>華算108.11-12三聯式發票</t>
    <phoneticPr fontId="3" type="noConversion"/>
  </si>
  <si>
    <t>愛浪續約換機車資</t>
    <phoneticPr fontId="3" type="noConversion"/>
  </si>
  <si>
    <t>愛浪續約換機車資</t>
    <phoneticPr fontId="3" type="noConversion"/>
  </si>
  <si>
    <t>2019.10.23</t>
    <phoneticPr fontId="3" type="noConversion"/>
  </si>
  <si>
    <t>"@28"郵票, "@8"郵票</t>
    <phoneticPr fontId="3" type="noConversion"/>
  </si>
  <si>
    <t>2019.10.24</t>
    <phoneticPr fontId="3" type="noConversion"/>
  </si>
  <si>
    <t>2019.10.25</t>
    <phoneticPr fontId="3" type="noConversion"/>
  </si>
  <si>
    <r>
      <t xml:space="preserve">"-1"
PT 手續費 $10
麻煩你幫我匯150,000.元至以下帳號資料。
上海商業儲蓄銀行 儲蓄部分行 (011-0037)
楊淑雅 03203005001517
</t>
    </r>
    <r>
      <rPr>
        <strike/>
        <sz val="12"/>
        <color indexed="10"/>
        <rFont val="新細明體"/>
        <family val="1"/>
        <charset val="136"/>
      </rPr>
      <t>(總額$175175, 餘$25175未匯)</t>
    </r>
    <phoneticPr fontId="3" type="noConversion"/>
  </si>
  <si>
    <t>2019.10.28</t>
    <phoneticPr fontId="3" type="noConversion"/>
  </si>
  <si>
    <t>2019.10.30</t>
    <phoneticPr fontId="3" type="noConversion"/>
  </si>
  <si>
    <t>2019.11.01</t>
    <phoneticPr fontId="3" type="noConversion"/>
  </si>
  <si>
    <t>2019.11 北平房租-台銀網銀轉帳(2018.11開始)-轉ADA再轉房東</t>
    <phoneticPr fontId="3" type="noConversion"/>
  </si>
  <si>
    <t>2019.11.01</t>
    <phoneticPr fontId="3" type="noConversion"/>
  </si>
  <si>
    <t>2019.11.04</t>
    <phoneticPr fontId="3" type="noConversion"/>
  </si>
  <si>
    <t>掛號</t>
    <phoneticPr fontId="3" type="noConversion"/>
  </si>
  <si>
    <t>108.10 張</t>
    <phoneticPr fontId="3" type="noConversion"/>
  </si>
  <si>
    <t>108.10 欽 (2018.1月 調薪 $30150),調勞保</t>
    <phoneticPr fontId="3" type="noConversion"/>
  </si>
  <si>
    <t>2019.11.05</t>
    <phoneticPr fontId="3" type="noConversion"/>
  </si>
  <si>
    <t>108.10 達,調勞保-2 尚欠19000</t>
    <phoneticPr fontId="3" type="noConversion"/>
  </si>
  <si>
    <t>2019.11.11</t>
    <phoneticPr fontId="3" type="noConversion"/>
  </si>
  <si>
    <t>太暘續約換機車資</t>
    <phoneticPr fontId="3" type="noConversion"/>
  </si>
  <si>
    <t>2019.11.11</t>
    <phoneticPr fontId="3" type="noConversion"/>
  </si>
  <si>
    <t>401.2019.09~10</t>
    <phoneticPr fontId="3" type="noConversion"/>
  </si>
  <si>
    <t>2019.11.13</t>
    <phoneticPr fontId="3" type="noConversion"/>
  </si>
  <si>
    <t>掛號</t>
    <phoneticPr fontId="3" type="noConversion"/>
  </si>
  <si>
    <t>2019.11.13</t>
    <phoneticPr fontId="3" type="noConversion"/>
  </si>
  <si>
    <t>2019.10 card ada代刷-玉山, 11/12 ADA代墊</t>
    <phoneticPr fontId="3" type="noConversion"/>
  </si>
  <si>
    <t>同皇/友士發票</t>
    <phoneticPr fontId="3" type="noConversion"/>
  </si>
  <si>
    <t>2019.11.20</t>
    <phoneticPr fontId="3" type="noConversion"/>
  </si>
  <si>
    <t>"-3"
PeterChang 2019/11/12 下午 03:17:44
元大銀行 內湖分行 168-1229361-1 章挺憲
元大銀行：806-瑞光分行
活儲：00168122936117
章挺憲
(總額$175175)</t>
    <phoneticPr fontId="3" type="noConversion"/>
  </si>
  <si>
    <t>2019.11.26</t>
    <phoneticPr fontId="3" type="noConversion"/>
  </si>
  <si>
    <t>管理費</t>
    <phoneticPr fontId="3" type="noConversion"/>
  </si>
  <si>
    <t>掛號博欽勞保請款</t>
    <phoneticPr fontId="3" type="noConversion"/>
  </si>
  <si>
    <t>水費.108-11</t>
    <phoneticPr fontId="3" type="noConversion"/>
  </si>
  <si>
    <t>2019.12.02</t>
    <phoneticPr fontId="3" type="noConversion"/>
  </si>
  <si>
    <t>2019.12 北平房租-台銀網銀轉帳(2018.11開始)-轉ADA再轉房東</t>
    <phoneticPr fontId="3" type="noConversion"/>
  </si>
  <si>
    <t>2019.12.04</t>
    <phoneticPr fontId="3" type="noConversion"/>
  </si>
  <si>
    <t>108.11 欽 (2018.1月 調薪 $30150),調勞保</t>
    <phoneticPr fontId="3" type="noConversion"/>
  </si>
  <si>
    <t>108.11 達</t>
    <phoneticPr fontId="3" type="noConversion"/>
  </si>
  <si>
    <t>2019.12.09</t>
    <phoneticPr fontId="3" type="noConversion"/>
  </si>
  <si>
    <t>2019.12.17</t>
    <phoneticPr fontId="3" type="noConversion"/>
  </si>
  <si>
    <t>郵費</t>
    <phoneticPr fontId="3" type="noConversion"/>
  </si>
  <si>
    <t>DV 2019/12/16 下午 09:49:50
PT明天(周二)應該會找你要先算錢,依德的錢等下次再算,這一次請直接跟PT算他的金額是81320(131320-50000)元
DV 2019/12/16 下午 09:57:56
這一次應該會請你匯16萬(PT:8+DV:8)
上海商業儲蓄銀行 儲蓄部分行 (011-0037)
楊淑雅 03203005001517</t>
    <phoneticPr fontId="3" type="noConversion"/>
  </si>
  <si>
    <t>鴻碩續約換機車資</t>
    <phoneticPr fontId="3" type="noConversion"/>
  </si>
  <si>
    <t>鴻碩續約換機車資</t>
    <phoneticPr fontId="3" type="noConversion"/>
  </si>
  <si>
    <t>2019.12.24</t>
    <phoneticPr fontId="3" type="noConversion"/>
  </si>
  <si>
    <t>華算109.01-02三聯式發票</t>
    <phoneticPr fontId="3" type="noConversion"/>
  </si>
  <si>
    <t>2020.01 北平房租-台銀網銀轉帳(2018.11開始)-轉ADA再轉房東</t>
    <phoneticPr fontId="3" type="noConversion"/>
  </si>
  <si>
    <t>2020.01.06</t>
    <phoneticPr fontId="3" type="noConversion"/>
  </si>
  <si>
    <t>108.12 張</t>
    <phoneticPr fontId="3" type="noConversion"/>
  </si>
  <si>
    <t>2019.12 card ada代刷-中信</t>
    <phoneticPr fontId="3" type="noConversion"/>
  </si>
  <si>
    <t>108.12 達-1</t>
    <phoneticPr fontId="3" type="noConversion"/>
  </si>
  <si>
    <t>2020.01.08</t>
    <phoneticPr fontId="3" type="noConversion"/>
  </si>
  <si>
    <t>2019.12 card ada代刷-玉山</t>
    <phoneticPr fontId="3" type="noConversion"/>
  </si>
  <si>
    <t>401.2019.11~12</t>
    <phoneticPr fontId="3" type="noConversion"/>
  </si>
  <si>
    <t>2020.01.13</t>
    <phoneticPr fontId="3" type="noConversion"/>
  </si>
  <si>
    <t>2020.01.20</t>
    <phoneticPr fontId="3" type="noConversion"/>
  </si>
  <si>
    <t>元大銀行 00168122936117 章挺憲</t>
    <phoneticPr fontId="3" type="noConversion"/>
  </si>
  <si>
    <t>2020.01.30</t>
    <phoneticPr fontId="3" type="noConversion"/>
  </si>
  <si>
    <t>管理費-2020.01 106.8月開始調漲$20, (原$95+$20=$115/坪) * 12.68坪=$1458
4月開始銀行轉帳 $1458 + $10</t>
    <phoneticPr fontId="3" type="noConversion"/>
  </si>
  <si>
    <t>2020.02.03</t>
    <phoneticPr fontId="3" type="noConversion"/>
  </si>
  <si>
    <t>2020.02 北平房租-台銀網銀轉帳(2018.11開始)-轉ADA再轉房東</t>
    <phoneticPr fontId="3" type="noConversion"/>
  </si>
  <si>
    <t>109.1 欽 (2018.1月 調薪 $30150),調勞保
$26000 台銀, $3575 零用金</t>
    <phoneticPr fontId="3" type="noConversion"/>
  </si>
  <si>
    <t>109.1 欽 (2018.1月 調薪 $30150),調勞保
$26000 台銀, $3575 零用金</t>
    <phoneticPr fontId="3" type="noConversion"/>
  </si>
  <si>
    <t>掛號八亨/松群合約,發票,回郵信封</t>
    <phoneticPr fontId="3" type="noConversion"/>
  </si>
  <si>
    <t>2020.02.20</t>
    <phoneticPr fontId="3" type="noConversion"/>
  </si>
  <si>
    <t>佳尼特續約換機車資</t>
    <phoneticPr fontId="3" type="noConversion"/>
  </si>
  <si>
    <t>發票車資</t>
    <phoneticPr fontId="3" type="noConversion"/>
  </si>
  <si>
    <t>2020.03.02</t>
    <phoneticPr fontId="3" type="noConversion"/>
  </si>
  <si>
    <t>2020.03 北平房租-台銀網銀轉帳(2018.11開始)-轉ADA再轉房東</t>
    <phoneticPr fontId="3" type="noConversion"/>
  </si>
  <si>
    <t>605-60502112121093</t>
    <phoneticPr fontId="3" type="noConversion"/>
  </si>
  <si>
    <t>2020.03.03</t>
    <phoneticPr fontId="3" type="noConversion"/>
  </si>
  <si>
    <t>109.1 達-2</t>
    <phoneticPr fontId="3" type="noConversion"/>
  </si>
  <si>
    <t>2020.1 card ada代刷-玉山</t>
    <phoneticPr fontId="3" type="noConversion"/>
  </si>
  <si>
    <t>掛號品固蘇州合約發票/同皇發票</t>
    <phoneticPr fontId="3" type="noConversion"/>
  </si>
  <si>
    <t>2020.03.05</t>
    <phoneticPr fontId="3" type="noConversion"/>
  </si>
  <si>
    <t>109.02 張</t>
    <phoneticPr fontId="3" type="noConversion"/>
  </si>
  <si>
    <t>2020.03.05</t>
    <phoneticPr fontId="3" type="noConversion"/>
  </si>
  <si>
    <t>109.02 欽 (2018.1月 調薪 $30150),調勞保</t>
    <phoneticPr fontId="3" type="noConversion"/>
  </si>
  <si>
    <t>2020.03.09</t>
    <phoneticPr fontId="3" type="noConversion"/>
  </si>
  <si>
    <t>文具費</t>
    <phoneticPr fontId="3" type="noConversion"/>
  </si>
  <si>
    <t>A4紙</t>
    <phoneticPr fontId="3" type="noConversion"/>
  </si>
  <si>
    <t>2020.03.10</t>
    <phoneticPr fontId="3" type="noConversion"/>
  </si>
  <si>
    <t>展鑫續約換機車資</t>
    <phoneticPr fontId="3" type="noConversion"/>
  </si>
  <si>
    <t>2020.03.10</t>
    <phoneticPr fontId="3" type="noConversion"/>
  </si>
  <si>
    <t>2020.03.12</t>
    <phoneticPr fontId="3" type="noConversion"/>
  </si>
  <si>
    <t>掛號大陸函件漢聯廈門INVOICE</t>
    <phoneticPr fontId="3" type="noConversion"/>
  </si>
  <si>
    <t>401.2020.01~02</t>
    <phoneticPr fontId="3" type="noConversion"/>
  </si>
  <si>
    <t>2020.03.24</t>
    <phoneticPr fontId="3" type="noConversion"/>
  </si>
  <si>
    <t>管理費-2020.03 106.8月開始調漲$20, (原$95+$20=$115/坪) * 12.68坪=$1458
4月開始銀行轉帳 $1458 + $10</t>
    <phoneticPr fontId="3" type="noConversion"/>
  </si>
  <si>
    <t>109.02 達-3</t>
    <phoneticPr fontId="3" type="noConversion"/>
  </si>
  <si>
    <t>2020.04.01</t>
    <phoneticPr fontId="3" type="noConversion"/>
  </si>
  <si>
    <t>109.03 張</t>
    <phoneticPr fontId="3" type="noConversion"/>
  </si>
  <si>
    <t>2020.04.06</t>
    <phoneticPr fontId="3" type="noConversion"/>
  </si>
  <si>
    <t>109.03 欽 (2018.1月 調薪 $30150),調勞保</t>
    <phoneticPr fontId="3" type="noConversion"/>
  </si>
  <si>
    <t>109.03 達-2</t>
    <phoneticPr fontId="3" type="noConversion"/>
  </si>
  <si>
    <t>雜費</t>
    <phoneticPr fontId="3" type="noConversion"/>
  </si>
  <si>
    <t>2020.04.21</t>
    <phoneticPr fontId="3" type="noConversion"/>
  </si>
  <si>
    <t>2020.04.22</t>
    <phoneticPr fontId="3" type="noConversion"/>
  </si>
  <si>
    <t>2020.04.27</t>
    <phoneticPr fontId="3" type="noConversion"/>
  </si>
  <si>
    <t>管理費-2020.04 106.8月開始調漲$20, (原$95+$20=$115/坪) * 12.68坪=$1458
4月開始銀行轉帳 $1458 + $10</t>
    <phoneticPr fontId="3" type="noConversion"/>
  </si>
  <si>
    <t>2020.04.28</t>
    <phoneticPr fontId="3" type="noConversion"/>
  </si>
  <si>
    <r>
      <rPr>
        <sz val="12"/>
        <color rgb="FFFF000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2020.05 北平房租-台銀網銀轉帳(2018.11開始)-轉ADA再轉房東</t>
    </r>
    <phoneticPr fontId="3" type="noConversion"/>
  </si>
  <si>
    <r>
      <rPr>
        <sz val="12"/>
        <color rgb="FFFF000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109.04 欽 (2018.1月 調薪 $30150),調勞保</t>
    </r>
    <phoneticPr fontId="3" type="noConversion"/>
  </si>
  <si>
    <r>
      <rPr>
        <sz val="12"/>
        <color rgb="FFFF0000"/>
        <rFont val="新細明體"/>
        <family val="1"/>
        <charset val="136"/>
      </rPr>
      <t xml:space="preserve">(明10萬) </t>
    </r>
    <r>
      <rPr>
        <sz val="12"/>
        <rFont val="新細明體"/>
        <family val="1"/>
        <charset val="136"/>
      </rPr>
      <t>109.04 張</t>
    </r>
    <phoneticPr fontId="3" type="noConversion"/>
  </si>
  <si>
    <r>
      <rPr>
        <sz val="12"/>
        <color rgb="FFFF000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109.04 達-1</t>
    </r>
    <phoneticPr fontId="3" type="noConversion"/>
  </si>
  <si>
    <t>2020.05.07</t>
    <phoneticPr fontId="3" type="noConversion"/>
  </si>
  <si>
    <t>祥和維護車資</t>
    <phoneticPr fontId="3" type="noConversion"/>
  </si>
  <si>
    <t>順豐貨運-品固CN-2.5KG-30*30*15
HD寄了, 3.5HD*2, LAN CARD*3, CPU+FAN*1, 擋板*3,SATA線*4,墊片*1
號碼: 886239793834-1P</t>
    <phoneticPr fontId="3" type="noConversion"/>
  </si>
  <si>
    <t>2020.05.14</t>
    <phoneticPr fontId="3" type="noConversion"/>
  </si>
  <si>
    <t>標準信封</t>
    <phoneticPr fontId="3" type="noConversion"/>
  </si>
  <si>
    <t>2020.05.14</t>
    <phoneticPr fontId="3" type="noConversion"/>
  </si>
  <si>
    <t>掛號依鎔鉑大桐威視施八發票</t>
    <phoneticPr fontId="3" type="noConversion"/>
  </si>
  <si>
    <t>蝦皮4U工業機箱*2, ADA非約定轉帳</t>
    <phoneticPr fontId="3" type="noConversion"/>
  </si>
  <si>
    <t>2020.05.28</t>
    <phoneticPr fontId="3" type="noConversion"/>
  </si>
  <si>
    <t>2020.06.01</t>
    <phoneticPr fontId="3" type="noConversion"/>
  </si>
  <si>
    <t>2020.06 北平房租-台銀網銀轉帳(2018.11開始)-轉ADA再轉房東</t>
    <phoneticPr fontId="3" type="noConversion"/>
  </si>
  <si>
    <t>水費.109-05</t>
    <phoneticPr fontId="3" type="noConversion"/>
  </si>
  <si>
    <t>2020.06.01</t>
    <phoneticPr fontId="3" type="noConversion"/>
  </si>
  <si>
    <t>掛號台一合約發票重寄</t>
    <phoneticPr fontId="3" type="noConversion"/>
  </si>
  <si>
    <t>道法續約換機車資</t>
    <phoneticPr fontId="3" type="noConversion"/>
  </si>
  <si>
    <t>道法續約換機車資</t>
    <phoneticPr fontId="3" type="noConversion"/>
  </si>
  <si>
    <t>品固TW續約換機車資</t>
    <phoneticPr fontId="3" type="noConversion"/>
  </si>
  <si>
    <t>品固TW續約換機車資</t>
    <phoneticPr fontId="3" type="noConversion"/>
  </si>
  <si>
    <t>2020.06.05</t>
    <phoneticPr fontId="3" type="noConversion"/>
  </si>
  <si>
    <r>
      <rPr>
        <sz val="12"/>
        <color rgb="FFFF0000"/>
        <rFont val="新細明體"/>
        <family val="1"/>
        <charset val="136"/>
      </rPr>
      <t>(明10萬不足)</t>
    </r>
    <r>
      <rPr>
        <sz val="12"/>
        <rFont val="新細明體"/>
        <family val="1"/>
        <charset val="136"/>
      </rPr>
      <t xml:space="preserve"> 109.04 達-2</t>
    </r>
    <phoneticPr fontId="3" type="noConversion"/>
  </si>
  <si>
    <t>2020.5 card ada代刷-中信</t>
    <phoneticPr fontId="3" type="noConversion"/>
  </si>
  <si>
    <t>2020.06.05</t>
    <phoneticPr fontId="3" type="noConversion"/>
  </si>
  <si>
    <t>2020.5 card ada代刷-玉山(其中一筆分6期, 1/6)</t>
    <phoneticPr fontId="3" type="noConversion"/>
  </si>
  <si>
    <t>明10萬還款---033-018-0002005-6 永豐銀行 807 東門分門 王偉明</t>
    <phoneticPr fontId="3" type="noConversion"/>
  </si>
  <si>
    <t>掛號大桐車源合約發票/威倫合約發票/永馳/同皇發票</t>
    <phoneticPr fontId="3" type="noConversion"/>
  </si>
  <si>
    <t>2020.06.11</t>
    <phoneticPr fontId="3" type="noConversion"/>
  </si>
  <si>
    <t>松群維修, 道法-B250MK機器, 展鑫HD</t>
    <phoneticPr fontId="3" type="noConversion"/>
  </si>
  <si>
    <t>2020.06.15</t>
    <phoneticPr fontId="3" type="noConversion"/>
  </si>
  <si>
    <t>109.05 達-1 華算信義</t>
    <phoneticPr fontId="3" type="noConversion"/>
  </si>
  <si>
    <t>2020.06.15</t>
    <phoneticPr fontId="3" type="noConversion"/>
  </si>
  <si>
    <t>109.05 達-2 華算城中</t>
    <phoneticPr fontId="3" type="noConversion"/>
  </si>
  <si>
    <t>威倫續約換機車資</t>
    <phoneticPr fontId="3" type="noConversion"/>
  </si>
  <si>
    <t>2020.06.23</t>
    <phoneticPr fontId="3" type="noConversion"/>
  </si>
  <si>
    <t>管理費-2020.06 106.8月開始調漲$20, (原$95+$20=$115/坪) * 12.68坪=$1458
4月開始銀行轉帳 $1458 + $10</t>
    <phoneticPr fontId="3" type="noConversion"/>
  </si>
  <si>
    <t>華算109.07-08三聯式發票</t>
    <phoneticPr fontId="3" type="noConversion"/>
  </si>
  <si>
    <t>2020.07.01</t>
    <phoneticPr fontId="3" type="noConversion"/>
  </si>
  <si>
    <t>2020.07 北平房租-台銀網銀轉帳(2018.11開始)-轉ADA再轉房東</t>
    <phoneticPr fontId="3" type="noConversion"/>
  </si>
  <si>
    <t>2020.07.05</t>
    <phoneticPr fontId="3" type="noConversion"/>
  </si>
  <si>
    <t>109.06 欽 (2018.1月 調薪 $30150),調勞保</t>
    <phoneticPr fontId="3" type="noConversion"/>
  </si>
  <si>
    <t>109.06 張-1</t>
    <phoneticPr fontId="3" type="noConversion"/>
  </si>
  <si>
    <t>2020.07.05</t>
    <phoneticPr fontId="3" type="noConversion"/>
  </si>
  <si>
    <t>109.06 達-1</t>
    <phoneticPr fontId="3" type="noConversion"/>
  </si>
  <si>
    <t>2020.07.14</t>
    <phoneticPr fontId="3" type="noConversion"/>
  </si>
  <si>
    <t>達停業車資</t>
    <phoneticPr fontId="3" type="noConversion"/>
  </si>
  <si>
    <t>401.2020.05~06</t>
    <phoneticPr fontId="3" type="noConversion"/>
  </si>
  <si>
    <t>2020.07.22</t>
    <phoneticPr fontId="3" type="noConversion"/>
  </si>
  <si>
    <t>2020.07.22</t>
    <phoneticPr fontId="3" type="noConversion"/>
  </si>
  <si>
    <t>DV振興券-饒媽</t>
    <phoneticPr fontId="3" type="noConversion"/>
  </si>
  <si>
    <t>2020.07.27</t>
    <phoneticPr fontId="3" type="noConversion"/>
  </si>
  <si>
    <t>水費</t>
    <phoneticPr fontId="3" type="noConversion"/>
  </si>
  <si>
    <t>水費.109-07</t>
    <phoneticPr fontId="3" type="noConversion"/>
  </si>
  <si>
    <t>2020.07.27</t>
    <phoneticPr fontId="3" type="noConversion"/>
  </si>
  <si>
    <t>管理費-2020.07 106.8月開始調漲$20, (原$95+$20=$115/坪) * 12.68坪=$1458
4月開始銀行轉帳 $1458 + $10</t>
    <phoneticPr fontId="3" type="noConversion"/>
  </si>
  <si>
    <t>2020.08.04</t>
    <phoneticPr fontId="3" type="noConversion"/>
  </si>
  <si>
    <t>掛號同皇/八亨/施舒雅發票</t>
    <phoneticPr fontId="3" type="noConversion"/>
  </si>
  <si>
    <t>2020.08.04</t>
    <phoneticPr fontId="3" type="noConversion"/>
  </si>
  <si>
    <t>掛號漢聯合約發票回郵</t>
    <phoneticPr fontId="3" type="noConversion"/>
  </si>
  <si>
    <t>2020.08.06</t>
    <phoneticPr fontId="3" type="noConversion"/>
  </si>
  <si>
    <t>109.07 欽 (2018.1月 調薪 $30150),調勞保</t>
    <phoneticPr fontId="3" type="noConversion"/>
  </si>
  <si>
    <t>2020.7 card ada代刷-玉山(原價屋分3期)</t>
    <phoneticPr fontId="3" type="noConversion"/>
  </si>
  <si>
    <t>2020.08.06</t>
    <phoneticPr fontId="3" type="noConversion"/>
  </si>
  <si>
    <t>109.07 張</t>
    <phoneticPr fontId="3" type="noConversion"/>
  </si>
  <si>
    <t>2020.08.06</t>
    <phoneticPr fontId="3" type="noConversion"/>
  </si>
  <si>
    <t>109.07 達</t>
    <phoneticPr fontId="3" type="noConversion"/>
  </si>
  <si>
    <t>2020.08.11</t>
    <phoneticPr fontId="3" type="noConversion"/>
  </si>
  <si>
    <t>掛號崴凌發票回郵</t>
    <phoneticPr fontId="3" type="noConversion"/>
  </si>
  <si>
    <t>2020.08.13</t>
    <phoneticPr fontId="3" type="noConversion"/>
  </si>
  <si>
    <t>漢聯續約換機車資</t>
    <phoneticPr fontId="3" type="noConversion"/>
  </si>
  <si>
    <t>2020.08.13</t>
    <phoneticPr fontId="3" type="noConversion"/>
  </si>
  <si>
    <t>2020.08.17</t>
    <phoneticPr fontId="3" type="noConversion"/>
  </si>
  <si>
    <t>掛號依德/鎔德/鉑德/大桐發票回郵</t>
    <phoneticPr fontId="3" type="noConversion"/>
  </si>
  <si>
    <t>2020.08.18</t>
    <phoneticPr fontId="3" type="noConversion"/>
  </si>
  <si>
    <t>掛號祥和發票回郵</t>
    <phoneticPr fontId="3" type="noConversion"/>
  </si>
  <si>
    <t>2020.08.19</t>
    <phoneticPr fontId="3" type="noConversion"/>
  </si>
  <si>
    <t>掛號勤業發票回郵</t>
    <phoneticPr fontId="3" type="noConversion"/>
  </si>
  <si>
    <t>2020.08.25</t>
    <phoneticPr fontId="3" type="noConversion"/>
  </si>
  <si>
    <t>管理費-2020.08 106.8月開始調漲$20, (原$95+$20=$115/坪) * 12.68坪=$1458
4月開始銀行轉帳 $1458 + $10</t>
    <phoneticPr fontId="3" type="noConversion"/>
  </si>
  <si>
    <t>2020.08.26</t>
  </si>
  <si>
    <t>華算109.08-09三聯式發票</t>
    <phoneticPr fontId="3" type="noConversion"/>
  </si>
  <si>
    <t>2020.08.27</t>
    <phoneticPr fontId="3" type="noConversion"/>
  </si>
  <si>
    <t>PT 上海銀行 儲蓄部分行 楊淑雅 03203005001517, 手續費 $10
實際匯出 $52910</t>
    <phoneticPr fontId="3" type="noConversion"/>
  </si>
  <si>
    <t>2020.08.28</t>
  </si>
  <si>
    <t>2020.09.01</t>
    <phoneticPr fontId="3" type="noConversion"/>
  </si>
  <si>
    <t>2020.09 北平房租-台銀網銀轉帳(2018.11開始)-轉ADA再轉房東</t>
    <phoneticPr fontId="3" type="noConversion"/>
  </si>
  <si>
    <t>掛號依/鎔PRIME-CLUB二次/尾款發票</t>
    <phoneticPr fontId="3" type="noConversion"/>
  </si>
  <si>
    <t>馬桶座</t>
    <phoneticPr fontId="3" type="noConversion"/>
  </si>
  <si>
    <t>2020.09.05</t>
    <phoneticPr fontId="3" type="noConversion"/>
  </si>
  <si>
    <t>109.08 欽 (2018.1月 調薪 $30150),調勞保</t>
    <phoneticPr fontId="3" type="noConversion"/>
  </si>
  <si>
    <t>2020.09.05</t>
    <phoneticPr fontId="3" type="noConversion"/>
  </si>
  <si>
    <t>109.08 張</t>
    <phoneticPr fontId="3" type="noConversion"/>
  </si>
  <si>
    <t>109.08 達</t>
    <phoneticPr fontId="3" type="noConversion"/>
  </si>
  <si>
    <t>2020.09.07</t>
    <phoneticPr fontId="3" type="noConversion"/>
  </si>
  <si>
    <t>2020.8 card ada代刷-中信-順發</t>
    <phoneticPr fontId="3" type="noConversion"/>
  </si>
  <si>
    <t>2020.09.07</t>
    <phoneticPr fontId="3" type="noConversion"/>
  </si>
  <si>
    <t>2020.8 card ada代刷-玉山(原價屋分3期)</t>
    <phoneticPr fontId="3" type="noConversion"/>
  </si>
  <si>
    <t>2020.09.08</t>
    <phoneticPr fontId="3" type="noConversion"/>
  </si>
  <si>
    <t>2020.09.09</t>
  </si>
  <si>
    <t>401.2020.07~08</t>
    <phoneticPr fontId="3" type="noConversion"/>
  </si>
  <si>
    <t>2020.09.10</t>
    <phoneticPr fontId="3" type="noConversion"/>
  </si>
  <si>
    <t>掛號依/鎔PRIME-CLUB匯款申請書</t>
    <phoneticPr fontId="3" type="noConversion"/>
  </si>
  <si>
    <t>2020.09.26</t>
    <phoneticPr fontId="3" type="noConversion"/>
  </si>
  <si>
    <t>2020.09.28</t>
    <phoneticPr fontId="3" type="noConversion"/>
  </si>
  <si>
    <t>管理費-2020.09 106.8月開始調漲$20, (原$95+$20=$115/坪) * 12.68坪=$1458
4月開始銀行轉帳 $1458 + $10</t>
    <phoneticPr fontId="3" type="noConversion"/>
  </si>
  <si>
    <t>2020.10 北平房租-台銀網銀轉帳(2018.11開始)-轉ADA再轉房東</t>
    <phoneticPr fontId="3" type="noConversion"/>
  </si>
  <si>
    <t>2020.10.05</t>
    <phoneticPr fontId="3" type="noConversion"/>
  </si>
  <si>
    <t>109.09 欽 (2018.1月 調薪 $30150),調勞保</t>
    <phoneticPr fontId="3" type="noConversion"/>
  </si>
  <si>
    <t>109.09 張</t>
    <phoneticPr fontId="3" type="noConversion"/>
  </si>
  <si>
    <t>2020.10.16</t>
    <phoneticPr fontId="3" type="noConversion"/>
  </si>
  <si>
    <t>PT 上海銀行 儲蓄部分行 楊淑雅 03203005001517, 手續費 $20
實際匯出 $111720</t>
    <phoneticPr fontId="3" type="noConversion"/>
  </si>
  <si>
    <t>2020.10.22</t>
    <phoneticPr fontId="3" type="noConversion"/>
  </si>
  <si>
    <t>合約封面5份</t>
    <phoneticPr fontId="3" type="noConversion"/>
  </si>
  <si>
    <t>2020.10.22</t>
    <phoneticPr fontId="3" type="noConversion"/>
  </si>
  <si>
    <t>限掛號依/鎔/鉑-車源合約發票,依/鎔/鎔/鉑-KO合約發票,郵票$28@10,$8@10</t>
    <phoneticPr fontId="3" type="noConversion"/>
  </si>
  <si>
    <t>2020.10.26</t>
    <phoneticPr fontId="3" type="noConversion"/>
  </si>
  <si>
    <t>管理費-2020.10 106.8月開始調漲$20, (原$95+$20=$115/坪) * 12.68坪=$1458
4月開始銀行轉帳 $1458 + $10</t>
    <phoneticPr fontId="3" type="noConversion"/>
  </si>
  <si>
    <t>2020.10.27</t>
  </si>
  <si>
    <t>華算109.11-12三聯式發票</t>
    <phoneticPr fontId="3" type="noConversion"/>
  </si>
  <si>
    <t>發票車資</t>
    <phoneticPr fontId="3" type="noConversion"/>
  </si>
  <si>
    <t>2020.10.29</t>
    <phoneticPr fontId="3" type="noConversion"/>
  </si>
  <si>
    <t>合約牛皮紙信封</t>
    <phoneticPr fontId="3" type="noConversion"/>
  </si>
  <si>
    <t>2020.10.29</t>
    <phoneticPr fontId="3" type="noConversion"/>
  </si>
  <si>
    <t>限掛號鉑-KO合約-修正</t>
    <phoneticPr fontId="3" type="noConversion"/>
  </si>
  <si>
    <t>2020.11.02</t>
    <phoneticPr fontId="3" type="noConversion"/>
  </si>
  <si>
    <t>2020.11 北平房租-台銀網銀轉帳(2018.11開始)-轉ADA再轉房東</t>
    <phoneticPr fontId="3" type="noConversion"/>
  </si>
  <si>
    <t>2020.11.05</t>
    <phoneticPr fontId="3" type="noConversion"/>
  </si>
  <si>
    <t>掛號大桐/同皇/八亨/施舒雅發票</t>
    <phoneticPr fontId="3" type="noConversion"/>
  </si>
  <si>
    <t>109.10 欽 (2018.1月 調薪 $30150),調勞保</t>
    <phoneticPr fontId="3" type="noConversion"/>
  </si>
  <si>
    <t>2020.11.05</t>
    <phoneticPr fontId="3" type="noConversion"/>
  </si>
  <si>
    <t>109.10 張</t>
    <phoneticPr fontId="3" type="noConversion"/>
  </si>
  <si>
    <t>2020.11.05</t>
    <phoneticPr fontId="3" type="noConversion"/>
  </si>
  <si>
    <t>109.10 達</t>
    <phoneticPr fontId="3" type="noConversion"/>
  </si>
  <si>
    <t>2020.9 card ada代刷-玉山</t>
    <phoneticPr fontId="3" type="noConversion"/>
  </si>
  <si>
    <t>2020.9 card ada代刷-中信</t>
    <phoneticPr fontId="3" type="noConversion"/>
  </si>
  <si>
    <t>2020.11.06</t>
  </si>
  <si>
    <t>4U機箱-COOL3C-未開發票</t>
    <phoneticPr fontId="3" type="noConversion"/>
  </si>
  <si>
    <t>2020.11.12</t>
    <phoneticPr fontId="3" type="noConversion"/>
  </si>
  <si>
    <t>401.2020.09~10</t>
    <phoneticPr fontId="3" type="noConversion"/>
  </si>
  <si>
    <t>環保垃圾袋</t>
    <phoneticPr fontId="3" type="noConversion"/>
  </si>
  <si>
    <t>2020.11.17</t>
  </si>
  <si>
    <t>掛號鎔德支票簽單</t>
    <phoneticPr fontId="3" type="noConversion"/>
  </si>
  <si>
    <t>2020.11.18</t>
  </si>
  <si>
    <t>2020.11.20</t>
    <phoneticPr fontId="3" type="noConversion"/>
  </si>
  <si>
    <t>掛號永昌泰聯合約發票回郵</t>
    <phoneticPr fontId="3" type="noConversion"/>
  </si>
  <si>
    <t>2020.11.24</t>
    <phoneticPr fontId="3" type="noConversion"/>
  </si>
  <si>
    <t>2020.10 card ada代刷-玉山</t>
    <phoneticPr fontId="3" type="noConversion"/>
  </si>
  <si>
    <t>109.10 達</t>
    <phoneticPr fontId="3" type="noConversion"/>
  </si>
  <si>
    <t>鎔德續約換機車資</t>
    <phoneticPr fontId="3" type="noConversion"/>
  </si>
  <si>
    <t>2020.11.26</t>
  </si>
  <si>
    <t>掛號西拓喜可合約發票回郵</t>
    <phoneticPr fontId="3" type="noConversion"/>
  </si>
  <si>
    <t>水費.10911</t>
    <phoneticPr fontId="3" type="noConversion"/>
  </si>
  <si>
    <t>管理費-2020.11 106.8月開始調漲$20, (原$95+$20=$115/坪) * 12.68坪=$1458
4月開始銀行轉帳 $1458 + $10</t>
    <phoneticPr fontId="3" type="noConversion"/>
  </si>
  <si>
    <t>現金相符</t>
    <phoneticPr fontId="3" type="noConversion"/>
  </si>
  <si>
    <t>西拓續約換機車資</t>
    <phoneticPr fontId="3" type="noConversion"/>
  </si>
  <si>
    <t>2020.12.03</t>
    <phoneticPr fontId="3" type="noConversion"/>
  </si>
  <si>
    <t>西拓續約換機車資</t>
    <phoneticPr fontId="3" type="noConversion"/>
  </si>
  <si>
    <t>2020.12.04</t>
  </si>
  <si>
    <t>掛號依德</t>
    <phoneticPr fontId="3" type="noConversion"/>
  </si>
  <si>
    <t>PT 中國信託銀行
代號-822
帳號-218540142430
復北分行
戶名-黃婷詒
電話-0956636028
共要匯 PT $243040 + DV $96960 = $340000
第一個帳戶匯 $170000</t>
    <phoneticPr fontId="3" type="noConversion"/>
  </si>
  <si>
    <t>2020.12.08</t>
    <phoneticPr fontId="3" type="noConversion"/>
  </si>
  <si>
    <t>PT 中國信託銀行
代號-822
帳號-296540061834
分行— 東民生分行
戶名-陳奕成
電話-0956636028
共要匯 PT $243040 + DV $96960 = $340000
第二個帳戶匯 $170000</t>
    <phoneticPr fontId="3" type="noConversion"/>
  </si>
  <si>
    <t>2020.12.08</t>
    <phoneticPr fontId="3" type="noConversion"/>
  </si>
  <si>
    <t>DV 匯 PT 戶頭
PT 中國信託銀行
代號-822
帳號-296540061834
分行— 東民生分行
戶名-陳奕成
電話-0956636028
共要匯 PT $243040 + DV $96960 = $340000
第二個帳戶匯 $170000</t>
    <phoneticPr fontId="3" type="noConversion"/>
  </si>
  <si>
    <t>2020.12.09</t>
  </si>
  <si>
    <t>鉑德續約換機車資</t>
    <phoneticPr fontId="3" type="noConversion"/>
  </si>
  <si>
    <t>2020.12.16</t>
    <phoneticPr fontId="3" type="noConversion"/>
  </si>
  <si>
    <t>2020.12.16</t>
    <phoneticPr fontId="3" type="noConversion"/>
  </si>
  <si>
    <t>2020.12.21</t>
    <phoneticPr fontId="3" type="noConversion"/>
  </si>
  <si>
    <t>4U機箱-COOL3C</t>
    <phoneticPr fontId="3" type="noConversion"/>
  </si>
  <si>
    <t>2020.12.23</t>
    <phoneticPr fontId="3" type="noConversion"/>
  </si>
  <si>
    <t>華算110.1-2三聯式發票</t>
    <phoneticPr fontId="3" type="noConversion"/>
  </si>
  <si>
    <t>2020.12.23</t>
    <phoneticPr fontId="3" type="noConversion"/>
  </si>
  <si>
    <t>發票車資</t>
    <phoneticPr fontId="3" type="noConversion"/>
  </si>
  <si>
    <t>管理費-2020.12 106.8月開始調漲$20, (原$95+$20=$115/坪) * 12.68坪=$1458
4月開始銀行轉帳 $1458 + $10</t>
    <phoneticPr fontId="3" type="noConversion"/>
  </si>
  <si>
    <t>2021.01.04</t>
    <phoneticPr fontId="3" type="noConversion"/>
  </si>
  <si>
    <t>依德車源/蘭陽鎔德車源/KO合約發票回郵</t>
    <phoneticPr fontId="3" type="noConversion"/>
  </si>
  <si>
    <t>協億通KO合約發票回郵, 郵票 @28 / @8 各十張</t>
    <phoneticPr fontId="3" type="noConversion"/>
  </si>
  <si>
    <t>2021.01.05</t>
    <phoneticPr fontId="3" type="noConversion"/>
  </si>
  <si>
    <t>合約膠帶</t>
    <phoneticPr fontId="3" type="noConversion"/>
  </si>
  <si>
    <t>2020.12 card ada代刷-玉山</t>
    <phoneticPr fontId="3" type="noConversion"/>
  </si>
  <si>
    <t>2020.12 card ada代刷-中信</t>
    <phoneticPr fontId="3" type="noConversion"/>
  </si>
  <si>
    <t>2021.01.05</t>
    <phoneticPr fontId="3" type="noConversion"/>
  </si>
  <si>
    <t>109.12 欽 (2018.1月 調薪 $30150),調勞保</t>
    <phoneticPr fontId="3" type="noConversion"/>
  </si>
  <si>
    <t>2021.01.05</t>
    <phoneticPr fontId="3" type="noConversion"/>
  </si>
  <si>
    <t>109.12 達</t>
    <phoneticPr fontId="3" type="noConversion"/>
  </si>
  <si>
    <t>2021.01.12</t>
    <phoneticPr fontId="3" type="noConversion"/>
  </si>
  <si>
    <t>蘭陽鎔德續約換機車資</t>
    <phoneticPr fontId="3" type="noConversion"/>
  </si>
  <si>
    <t>2021.01.12</t>
    <phoneticPr fontId="3" type="noConversion"/>
  </si>
  <si>
    <t>蘭陽鎔德續約換機車資</t>
    <phoneticPr fontId="3" type="noConversion"/>
  </si>
  <si>
    <t>2021.01.13</t>
    <phoneticPr fontId="3" type="noConversion"/>
  </si>
  <si>
    <t>欣易聯</t>
    <phoneticPr fontId="3" type="noConversion"/>
  </si>
  <si>
    <t>2021.01.13</t>
    <phoneticPr fontId="3" type="noConversion"/>
  </si>
  <si>
    <t>401.2020.11~11</t>
    <phoneticPr fontId="3" type="noConversion"/>
  </si>
  <si>
    <t>2021.01.20</t>
    <phoneticPr fontId="3" type="noConversion"/>
  </si>
  <si>
    <t>交通費</t>
    <phoneticPr fontId="3" type="noConversion"/>
  </si>
  <si>
    <t>2021.01.25</t>
    <phoneticPr fontId="3" type="noConversion"/>
  </si>
  <si>
    <t>管理費-2021.1 106.8月開始調漲$20, (原$95+$20=$115/坪) * 12.68坪=$1458
4月開始銀行轉帳 $1458 + $10</t>
    <phoneticPr fontId="3" type="noConversion"/>
  </si>
  <si>
    <t>2021.02.01</t>
    <phoneticPr fontId="3" type="noConversion"/>
  </si>
  <si>
    <t>2021.02 北平房租-台銀網銀轉帳(2018.11開始)-轉ADA再轉房東</t>
    <phoneticPr fontId="3" type="noConversion"/>
  </si>
  <si>
    <t>2021.02.02</t>
    <phoneticPr fontId="3" type="noConversion"/>
  </si>
  <si>
    <t>2021.02.02</t>
    <phoneticPr fontId="3" type="noConversion"/>
  </si>
  <si>
    <t>水費</t>
    <phoneticPr fontId="3" type="noConversion"/>
  </si>
  <si>
    <t>水費.11001</t>
    <phoneticPr fontId="3" type="noConversion"/>
  </si>
  <si>
    <t>2021.02.04</t>
    <phoneticPr fontId="3" type="noConversion"/>
  </si>
  <si>
    <t>依德車源/蘭陽鎔德車源/KO合約發票回郵</t>
    <phoneticPr fontId="3" type="noConversion"/>
  </si>
  <si>
    <t>2021.02.05</t>
    <phoneticPr fontId="3" type="noConversion"/>
  </si>
  <si>
    <t>110.01 達</t>
    <phoneticPr fontId="3" type="noConversion"/>
  </si>
  <si>
    <t>2021.02.05</t>
    <phoneticPr fontId="3" type="noConversion"/>
  </si>
  <si>
    <t>110.01 欽 (2018.1月 調薪 $30150),調勞保</t>
    <phoneticPr fontId="3" type="noConversion"/>
  </si>
  <si>
    <t>110.01 達</t>
    <phoneticPr fontId="3" type="noConversion"/>
  </si>
  <si>
    <t>2021.02.05</t>
    <phoneticPr fontId="3" type="noConversion"/>
  </si>
  <si>
    <t>2021.01 card ada代刷-玉山</t>
    <phoneticPr fontId="3" type="noConversion"/>
  </si>
  <si>
    <t>2021.01 card ada代刷-中信</t>
    <phoneticPr fontId="3" type="noConversion"/>
  </si>
  <si>
    <t>2021.02.17</t>
    <phoneticPr fontId="3" type="noConversion"/>
  </si>
  <si>
    <t>108各類所得扣繳更正申請書</t>
    <phoneticPr fontId="3" type="noConversion"/>
  </si>
  <si>
    <t>2021.02.22</t>
    <phoneticPr fontId="3" type="noConversion"/>
  </si>
  <si>
    <t>發票車資-總行</t>
    <phoneticPr fontId="3" type="noConversion"/>
  </si>
  <si>
    <t>2021.02.23</t>
    <phoneticPr fontId="3" type="noConversion"/>
  </si>
  <si>
    <t>華算110.3-4三聯式發票</t>
    <phoneticPr fontId="3" type="noConversion"/>
  </si>
  <si>
    <t>2021.02.23</t>
    <phoneticPr fontId="3" type="noConversion"/>
  </si>
  <si>
    <t>發票車資-分行</t>
    <phoneticPr fontId="3" type="noConversion"/>
  </si>
  <si>
    <t>2021.02.23</t>
    <phoneticPr fontId="3" type="noConversion"/>
  </si>
  <si>
    <t>恩豪合約發票回郵/蘭陽鎔德回條</t>
    <phoneticPr fontId="3" type="noConversion"/>
  </si>
  <si>
    <t>2021.02.26</t>
    <phoneticPr fontId="3" type="noConversion"/>
  </si>
  <si>
    <t>管理費-2021.2 106.8月開始調漲$20, (原$95+$20=$115/坪) * 12.68坪=$1458
4月開始銀行轉帳 $1458 + $10</t>
    <phoneticPr fontId="3" type="noConversion"/>
  </si>
  <si>
    <t>2021.03.02</t>
    <phoneticPr fontId="3" type="noConversion"/>
  </si>
  <si>
    <t>2021.03 北平房租-台銀網銀轉帳(2018.11開始)-轉ADA再轉房東</t>
    <phoneticPr fontId="3" type="noConversion"/>
  </si>
  <si>
    <t>2021.03.10</t>
    <phoneticPr fontId="3" type="noConversion"/>
  </si>
  <si>
    <t>同皇合約發票回郵</t>
    <phoneticPr fontId="3" type="noConversion"/>
  </si>
  <si>
    <t>2021.03.12</t>
    <phoneticPr fontId="3" type="noConversion"/>
  </si>
  <si>
    <t>401.2021.01~02</t>
    <phoneticPr fontId="3" type="noConversion"/>
  </si>
  <si>
    <t>2021.03.16</t>
    <phoneticPr fontId="3" type="noConversion"/>
  </si>
  <si>
    <t>永馳合約回郵</t>
    <phoneticPr fontId="3" type="noConversion"/>
  </si>
  <si>
    <t>2021.03.17</t>
    <phoneticPr fontId="3" type="noConversion"/>
  </si>
  <si>
    <t>2021.03.23</t>
    <phoneticPr fontId="3" type="noConversion"/>
  </si>
  <si>
    <t>PT 中國信託銀行
麻煩幫我匯 NT$68,800.元到以下帳戶：
中國信託銀行  代號：822
帳號：218540142430
復北分行
戶名：黃婷詒
TEL: 0956636028
匯費由我這裡支付。
扣除 匯款+匯費 之後，剩餘的金額，麻煩你有空去 台灣之星電訊門市 幫我存入【0921103305】我的行動電話預存。
已匯中信 $68800 , 扣 $30 匯費, 會存 $1730 到 台星 0921103305</t>
    <phoneticPr fontId="3" type="noConversion"/>
  </si>
  <si>
    <t>2021.03.24</t>
  </si>
  <si>
    <t>永馳續約換機車資</t>
    <phoneticPr fontId="3" type="noConversion"/>
  </si>
  <si>
    <t>永馳續約換機車資</t>
    <phoneticPr fontId="3" type="noConversion"/>
  </si>
  <si>
    <t>管理費-2021.3 106.8月開始調漲$20, (原$95+$20=$115/坪) * 12.68坪=$1458
4月開始銀行轉帳 $1458 + $10</t>
    <phoneticPr fontId="3" type="noConversion"/>
  </si>
  <si>
    <t>2021.04.01</t>
    <phoneticPr fontId="3" type="noConversion"/>
  </si>
  <si>
    <t>水費.11003</t>
    <phoneticPr fontId="3" type="noConversion"/>
  </si>
  <si>
    <t>2021.04.12</t>
    <phoneticPr fontId="3" type="noConversion"/>
  </si>
  <si>
    <t>德鎔保代修改發票</t>
    <phoneticPr fontId="3" type="noConversion"/>
  </si>
  <si>
    <t>2021.04.13</t>
    <phoneticPr fontId="3" type="noConversion"/>
  </si>
  <si>
    <t>DV  下午 03:38:53
請問公司有錢嗎? 請幫我轉8888元給饒媽生日禮金</t>
    <phoneticPr fontId="3" type="noConversion"/>
  </si>
  <si>
    <t>2021.04.27</t>
    <phoneticPr fontId="3" type="noConversion"/>
  </si>
  <si>
    <t>雜費</t>
    <phoneticPr fontId="3" type="noConversion"/>
  </si>
  <si>
    <t>華算110.5-6三聯式發票</t>
    <phoneticPr fontId="3" type="noConversion"/>
  </si>
  <si>
    <t>發票車資-分行</t>
    <phoneticPr fontId="3" type="noConversion"/>
  </si>
  <si>
    <t>2021.04.29</t>
    <phoneticPr fontId="3" type="noConversion"/>
  </si>
  <si>
    <t>永昌-泰聯-維護車資</t>
    <phoneticPr fontId="3" type="noConversion"/>
  </si>
  <si>
    <t>2021.05.03</t>
    <phoneticPr fontId="3" type="noConversion"/>
  </si>
  <si>
    <t>2021.05 北平房租-台銀網銀轉帳(2018.11開始)-轉ADA再轉房東</t>
    <phoneticPr fontId="3" type="noConversion"/>
  </si>
  <si>
    <t>2021.05.04</t>
  </si>
  <si>
    <t>永昌/依德/鎔德/鉑德/蘭陽/施舒雅/八亨發票</t>
    <phoneticPr fontId="3" type="noConversion"/>
  </si>
  <si>
    <t>6月 達算停業續停</t>
    <phoneticPr fontId="3" type="noConversion"/>
  </si>
  <si>
    <t>109/01</t>
    <phoneticPr fontId="5" type="noConversion"/>
  </si>
  <si>
    <t>楊博欽</t>
    <phoneticPr fontId="29" type="noConversion"/>
  </si>
  <si>
    <t>109/02</t>
    <phoneticPr fontId="5" type="noConversion"/>
  </si>
  <si>
    <t>109/03</t>
    <phoneticPr fontId="5" type="noConversion"/>
  </si>
  <si>
    <t>109/04</t>
    <phoneticPr fontId="5" type="noConversion"/>
  </si>
  <si>
    <t>109/05</t>
    <phoneticPr fontId="5" type="noConversion"/>
  </si>
  <si>
    <t>109/06</t>
    <phoneticPr fontId="5" type="noConversion"/>
  </si>
  <si>
    <t>楊博欽</t>
    <phoneticPr fontId="29" type="noConversion"/>
  </si>
  <si>
    <t>109/07</t>
    <phoneticPr fontId="5" type="noConversion"/>
  </si>
  <si>
    <t>109/08</t>
    <phoneticPr fontId="5" type="noConversion"/>
  </si>
  <si>
    <t>109/09</t>
    <phoneticPr fontId="5" type="noConversion"/>
  </si>
  <si>
    <t>109/10</t>
    <phoneticPr fontId="5" type="noConversion"/>
  </si>
  <si>
    <t>109/11</t>
    <phoneticPr fontId="5" type="noConversion"/>
  </si>
  <si>
    <t>109/12</t>
    <phoneticPr fontId="5" type="noConversion"/>
  </si>
  <si>
    <t>109年終</t>
    <phoneticPr fontId="5" type="noConversion"/>
  </si>
  <si>
    <t>109年實付薪資(小計)</t>
    <phoneticPr fontId="5" type="noConversion"/>
  </si>
  <si>
    <t>109全年</t>
    <phoneticPr fontId="5" type="noConversion"/>
  </si>
  <si>
    <t>109年其他應申報(應加項目)</t>
    <phoneticPr fontId="5" type="noConversion"/>
  </si>
  <si>
    <t>109/01~109/12</t>
    <phoneticPr fontId="5" type="noConversion"/>
  </si>
  <si>
    <t>108年保留未申報(應加項目)</t>
    <phoneticPr fontId="3" type="noConversion"/>
  </si>
  <si>
    <t>108/12</t>
    <phoneticPr fontId="5" type="noConversion"/>
  </si>
  <si>
    <t>109年保留不申報(應減項目)</t>
    <phoneticPr fontId="5" type="noConversion"/>
  </si>
  <si>
    <t>109/12</t>
    <phoneticPr fontId="5" type="noConversion"/>
  </si>
  <si>
    <t>109年應付</t>
    <phoneticPr fontId="3" type="noConversion"/>
  </si>
  <si>
    <t>109年其他不申報(應減項目)</t>
    <phoneticPr fontId="5" type="noConversion"/>
  </si>
  <si>
    <t>109低報</t>
    <phoneticPr fontId="5" type="noConversion"/>
  </si>
  <si>
    <t>109年應申報金額(合計)</t>
    <phoneticPr fontId="5" type="noConversion"/>
  </si>
  <si>
    <t>小計</t>
    <phoneticPr fontId="3" type="noConversion"/>
  </si>
  <si>
    <t>平均每月</t>
    <phoneticPr fontId="3" type="noConversion"/>
  </si>
  <si>
    <t>1567-1574</t>
    <phoneticPr fontId="3" type="noConversion"/>
  </si>
  <si>
    <t>1575-1582</t>
    <phoneticPr fontId="3" type="noConversion"/>
  </si>
  <si>
    <t>2020.06.03</t>
    <phoneticPr fontId="3" type="noConversion"/>
  </si>
  <si>
    <t>1595-1602</t>
    <phoneticPr fontId="3" type="noConversion"/>
  </si>
  <si>
    <t>1587-1594</t>
    <phoneticPr fontId="3" type="noConversion"/>
  </si>
  <si>
    <t>1603-1610</t>
    <phoneticPr fontId="3" type="noConversion"/>
  </si>
  <si>
    <t>2020.03.25</t>
    <phoneticPr fontId="3" type="noConversion"/>
  </si>
  <si>
    <t>1-2</t>
    <phoneticPr fontId="3" type="noConversion"/>
  </si>
  <si>
    <t>3-8</t>
    <phoneticPr fontId="3" type="noConversion"/>
  </si>
  <si>
    <t>1612-1617</t>
    <phoneticPr fontId="3" type="noConversion"/>
  </si>
  <si>
    <t>1603-1610</t>
    <phoneticPr fontId="3" type="noConversion"/>
  </si>
  <si>
    <t>1650-1657</t>
    <phoneticPr fontId="3" type="noConversion"/>
  </si>
  <si>
    <t>1634-1641</t>
    <phoneticPr fontId="3" type="noConversion"/>
  </si>
  <si>
    <t>1618-1625</t>
    <phoneticPr fontId="3" type="noConversion"/>
  </si>
  <si>
    <t>1626-1633</t>
    <phoneticPr fontId="3" type="noConversion"/>
  </si>
  <si>
    <t>2020.06.29</t>
    <phoneticPr fontId="3" type="noConversion"/>
  </si>
  <si>
    <t>1659-1666</t>
    <phoneticPr fontId="3" type="noConversion"/>
  </si>
  <si>
    <t>1679-1686</t>
    <phoneticPr fontId="3" type="noConversion"/>
  </si>
  <si>
    <t>1667-1678</t>
    <phoneticPr fontId="3" type="noConversion"/>
  </si>
  <si>
    <t>4</t>
    <phoneticPr fontId="3" type="noConversion"/>
  </si>
  <si>
    <t>2020.11.30</t>
    <phoneticPr fontId="3" type="noConversion"/>
  </si>
  <si>
    <t>機殼風扇8吋*2-展鑫</t>
    <phoneticPr fontId="3" type="noConversion"/>
  </si>
  <si>
    <t>交通費</t>
    <phoneticPr fontId="3" type="noConversion"/>
  </si>
  <si>
    <t>雜項購置</t>
    <phoneticPr fontId="3" type="noConversion"/>
  </si>
  <si>
    <t>[2020]</t>
    <phoneticPr fontId="3" type="noConversion"/>
  </si>
  <si>
    <t>2020.03.03</t>
    <phoneticPr fontId="3" type="noConversion"/>
  </si>
  <si>
    <t>109.01 卡費</t>
    <phoneticPr fontId="3" type="noConversion"/>
  </si>
  <si>
    <t>2020.03.03</t>
    <phoneticPr fontId="3" type="noConversion"/>
  </si>
  <si>
    <t>109.02 卡費</t>
    <phoneticPr fontId="3" type="noConversion"/>
  </si>
  <si>
    <t>109.02 卡費</t>
    <phoneticPr fontId="3" type="noConversion"/>
  </si>
  <si>
    <t>2020.04.22</t>
    <phoneticPr fontId="3" type="noConversion"/>
  </si>
  <si>
    <t>109.03 卡費</t>
    <phoneticPr fontId="3" type="noConversion"/>
  </si>
  <si>
    <t>109.04 卡費</t>
    <phoneticPr fontId="3" type="noConversion"/>
  </si>
  <si>
    <r>
      <t>2</t>
    </r>
    <r>
      <rPr>
        <sz val="12"/>
        <rFont val="新細明體"/>
        <family val="1"/>
        <charset val="136"/>
      </rPr>
      <t>020.06.05</t>
    </r>
    <phoneticPr fontId="3" type="noConversion"/>
  </si>
  <si>
    <r>
      <t>2</t>
    </r>
    <r>
      <rPr>
        <sz val="12"/>
        <rFont val="新細明體"/>
        <family val="1"/>
        <charset val="136"/>
      </rPr>
      <t>020.06.05</t>
    </r>
    <phoneticPr fontId="3" type="noConversion"/>
  </si>
  <si>
    <t>109.05 卡費</t>
    <phoneticPr fontId="3" type="noConversion"/>
  </si>
  <si>
    <t>109.05 卡費</t>
    <phoneticPr fontId="3" type="noConversion"/>
  </si>
  <si>
    <r>
      <t>2</t>
    </r>
    <r>
      <rPr>
        <sz val="12"/>
        <rFont val="新細明體"/>
        <family val="1"/>
        <charset val="136"/>
      </rPr>
      <t>020.07.10</t>
    </r>
    <phoneticPr fontId="3" type="noConversion"/>
  </si>
  <si>
    <t>109.06 卡費</t>
    <phoneticPr fontId="3" type="noConversion"/>
  </si>
  <si>
    <t>109.07 卡費</t>
    <phoneticPr fontId="3" type="noConversion"/>
  </si>
  <si>
    <r>
      <t>2</t>
    </r>
    <r>
      <rPr>
        <sz val="12"/>
        <rFont val="新細明體"/>
        <family val="1"/>
        <charset val="136"/>
      </rPr>
      <t>020.09.07</t>
    </r>
    <phoneticPr fontId="3" type="noConversion"/>
  </si>
  <si>
    <r>
      <t>2</t>
    </r>
    <r>
      <rPr>
        <sz val="12"/>
        <rFont val="新細明體"/>
        <family val="1"/>
        <charset val="136"/>
      </rPr>
      <t>020.09.07</t>
    </r>
    <phoneticPr fontId="3" type="noConversion"/>
  </si>
  <si>
    <t>109.08 卡費</t>
    <phoneticPr fontId="3" type="noConversion"/>
  </si>
  <si>
    <t>109.08 卡費</t>
    <phoneticPr fontId="3" type="noConversion"/>
  </si>
  <si>
    <r>
      <t>2</t>
    </r>
    <r>
      <rPr>
        <sz val="12"/>
        <rFont val="新細明體"/>
        <family val="1"/>
        <charset val="136"/>
      </rPr>
      <t>020.11.05</t>
    </r>
    <phoneticPr fontId="3" type="noConversion"/>
  </si>
  <si>
    <t>109.09 卡費</t>
    <phoneticPr fontId="3" type="noConversion"/>
  </si>
  <si>
    <t>109.09 卡費</t>
    <phoneticPr fontId="3" type="noConversion"/>
  </si>
  <si>
    <r>
      <t>2</t>
    </r>
    <r>
      <rPr>
        <sz val="12"/>
        <rFont val="新細明體"/>
        <family val="1"/>
        <charset val="136"/>
      </rPr>
      <t>020.11.24</t>
    </r>
    <phoneticPr fontId="3" type="noConversion"/>
  </si>
  <si>
    <t>109.10 卡費</t>
    <phoneticPr fontId="3" type="noConversion"/>
  </si>
  <si>
    <r>
      <t>2</t>
    </r>
    <r>
      <rPr>
        <sz val="12"/>
        <rFont val="新細明體"/>
        <family val="1"/>
        <charset val="136"/>
      </rPr>
      <t>020.12.07</t>
    </r>
    <phoneticPr fontId="3" type="noConversion"/>
  </si>
  <si>
    <t>109.11 卡費</t>
    <phoneticPr fontId="3" type="noConversion"/>
  </si>
  <si>
    <r>
      <t>2</t>
    </r>
    <r>
      <rPr>
        <sz val="12"/>
        <rFont val="新細明體"/>
        <family val="1"/>
        <charset val="136"/>
      </rPr>
      <t>021.01.05</t>
    </r>
    <phoneticPr fontId="3" type="noConversion"/>
  </si>
  <si>
    <r>
      <t>2</t>
    </r>
    <r>
      <rPr>
        <sz val="12"/>
        <rFont val="新細明體"/>
        <family val="1"/>
        <charset val="136"/>
      </rPr>
      <t>021.01.05</t>
    </r>
    <phoneticPr fontId="3" type="noConversion"/>
  </si>
  <si>
    <t>109.12 卡費</t>
    <phoneticPr fontId="3" type="noConversion"/>
  </si>
  <si>
    <t>109.12 卡費</t>
    <phoneticPr fontId="3" type="noConversion"/>
  </si>
  <si>
    <t>碳粉匣</t>
    <phoneticPr fontId="3" type="noConversion"/>
  </si>
  <si>
    <t>YL38880360</t>
    <phoneticPr fontId="3" type="noConversion"/>
  </si>
  <si>
    <t>ZN40801256</t>
    <phoneticPr fontId="3" type="noConversion"/>
  </si>
  <si>
    <t>CA38789557</t>
    <phoneticPr fontId="3" type="noConversion"/>
  </si>
  <si>
    <t>CA39386623</t>
    <phoneticPr fontId="3" type="noConversion"/>
  </si>
  <si>
    <t>CA39867513</t>
    <phoneticPr fontId="3" type="noConversion"/>
  </si>
  <si>
    <t>DV39746486</t>
    <phoneticPr fontId="3" type="noConversion"/>
  </si>
  <si>
    <t>EG42370220</t>
    <phoneticPr fontId="3" type="noConversion"/>
  </si>
  <si>
    <t>原價屋</t>
    <phoneticPr fontId="3" type="noConversion"/>
  </si>
  <si>
    <t>EC15892649</t>
    <phoneticPr fontId="3" type="noConversion"/>
  </si>
  <si>
    <t>順發</t>
    <phoneticPr fontId="3" type="noConversion"/>
  </si>
  <si>
    <t>HK38379521</t>
    <phoneticPr fontId="3" type="noConversion"/>
  </si>
  <si>
    <t>HK39318745</t>
    <phoneticPr fontId="3" type="noConversion"/>
  </si>
  <si>
    <t>HK39906394</t>
    <phoneticPr fontId="3" type="noConversion"/>
  </si>
  <si>
    <t>HK40854154</t>
    <phoneticPr fontId="3" type="noConversion"/>
  </si>
  <si>
    <t>HK40921770</t>
    <phoneticPr fontId="3" type="noConversion"/>
  </si>
  <si>
    <t>HK41016553</t>
    <phoneticPr fontId="3" type="noConversion"/>
  </si>
  <si>
    <t>座墊</t>
    <phoneticPr fontId="3" type="noConversion"/>
  </si>
  <si>
    <t>JB49080967</t>
  </si>
  <si>
    <t>GD16163860</t>
    <phoneticPr fontId="3" type="noConversion"/>
  </si>
  <si>
    <t>多元化</t>
    <phoneticPr fontId="3" type="noConversion"/>
  </si>
  <si>
    <t>JB49090832</t>
    <phoneticPr fontId="3" type="noConversion"/>
  </si>
  <si>
    <t>水費-202001</t>
    <phoneticPr fontId="3" type="noConversion"/>
  </si>
  <si>
    <t>水費-202003</t>
    <phoneticPr fontId="3" type="noConversion"/>
  </si>
  <si>
    <t>水費-202005</t>
    <phoneticPr fontId="3" type="noConversion"/>
  </si>
  <si>
    <t>水費-202007</t>
    <phoneticPr fontId="3" type="noConversion"/>
  </si>
  <si>
    <t>水費-202009</t>
    <phoneticPr fontId="3" type="noConversion"/>
  </si>
  <si>
    <t>水費-202011</t>
    <phoneticPr fontId="3" type="noConversion"/>
  </si>
  <si>
    <t>電費-202001</t>
    <phoneticPr fontId="3" type="noConversion"/>
  </si>
  <si>
    <t>電費-202003</t>
    <phoneticPr fontId="3" type="noConversion"/>
  </si>
  <si>
    <t>電費-202005</t>
    <phoneticPr fontId="3" type="noConversion"/>
  </si>
  <si>
    <t>電費-202007</t>
    <phoneticPr fontId="3" type="noConversion"/>
  </si>
  <si>
    <t>電費-202009</t>
    <phoneticPr fontId="3" type="noConversion"/>
  </si>
  <si>
    <t>電費-202011</t>
    <phoneticPr fontId="3" type="noConversion"/>
  </si>
  <si>
    <t>2351-8799-202001</t>
    <phoneticPr fontId="3" type="noConversion"/>
  </si>
  <si>
    <t>2351-8799-202002</t>
    <phoneticPr fontId="3" type="noConversion"/>
  </si>
  <si>
    <t>2351-8799-202003</t>
    <phoneticPr fontId="3" type="noConversion"/>
  </si>
  <si>
    <t>2351-8799-202004</t>
    <phoneticPr fontId="3" type="noConversion"/>
  </si>
  <si>
    <t>2351-8799-202005</t>
    <phoneticPr fontId="3" type="noConversion"/>
  </si>
  <si>
    <t>2351-8799-202006</t>
    <phoneticPr fontId="3" type="noConversion"/>
  </si>
  <si>
    <t>2351-8799-202007</t>
    <phoneticPr fontId="3" type="noConversion"/>
  </si>
  <si>
    <t>2351-8799-202008</t>
    <phoneticPr fontId="3" type="noConversion"/>
  </si>
  <si>
    <t>2351-8799-202009</t>
    <phoneticPr fontId="3" type="noConversion"/>
  </si>
  <si>
    <t>2351-8799-202010</t>
    <phoneticPr fontId="3" type="noConversion"/>
  </si>
  <si>
    <t>2351-8799-202011</t>
    <phoneticPr fontId="3" type="noConversion"/>
  </si>
  <si>
    <t>2351-8799-202012</t>
    <phoneticPr fontId="3" type="noConversion"/>
  </si>
  <si>
    <t>2351-8805-202001</t>
    <phoneticPr fontId="3" type="noConversion"/>
  </si>
  <si>
    <t>2351-8805-202002</t>
    <phoneticPr fontId="3" type="noConversion"/>
  </si>
  <si>
    <t>2351-8805-202003</t>
    <phoneticPr fontId="3" type="noConversion"/>
  </si>
  <si>
    <t>2351-8805-202004</t>
    <phoneticPr fontId="3" type="noConversion"/>
  </si>
  <si>
    <t>2351-8805-202005</t>
    <phoneticPr fontId="3" type="noConversion"/>
  </si>
  <si>
    <t>2351-8805-202006</t>
    <phoneticPr fontId="3" type="noConversion"/>
  </si>
  <si>
    <t>2351-8805-202007</t>
    <phoneticPr fontId="3" type="noConversion"/>
  </si>
  <si>
    <t>2351-8805-202008</t>
    <phoneticPr fontId="3" type="noConversion"/>
  </si>
  <si>
    <t>2351-8805-202009</t>
    <phoneticPr fontId="3" type="noConversion"/>
  </si>
  <si>
    <t>2351-8805-202010</t>
    <phoneticPr fontId="3" type="noConversion"/>
  </si>
  <si>
    <t>2351-8805-202011</t>
    <phoneticPr fontId="3" type="noConversion"/>
  </si>
  <si>
    <t>2351-8805-202012</t>
    <phoneticPr fontId="3" type="noConversion"/>
  </si>
  <si>
    <t>2351-8546-202001</t>
    <phoneticPr fontId="3" type="noConversion"/>
  </si>
  <si>
    <t>2351-8546-202002</t>
    <phoneticPr fontId="3" type="noConversion"/>
  </si>
  <si>
    <t>2351-8546-202003</t>
    <phoneticPr fontId="3" type="noConversion"/>
  </si>
  <si>
    <t>2351-8546-202004</t>
    <phoneticPr fontId="3" type="noConversion"/>
  </si>
  <si>
    <t>2351-8546-202005</t>
    <phoneticPr fontId="3" type="noConversion"/>
  </si>
  <si>
    <t>2351-8546-202006</t>
    <phoneticPr fontId="3" type="noConversion"/>
  </si>
  <si>
    <t>2351-8546-202007</t>
    <phoneticPr fontId="3" type="noConversion"/>
  </si>
  <si>
    <t>2351-8546-202008</t>
    <phoneticPr fontId="3" type="noConversion"/>
  </si>
  <si>
    <t>2351-8546-202009</t>
    <phoneticPr fontId="3" type="noConversion"/>
  </si>
  <si>
    <t>2351-8546-202010</t>
    <phoneticPr fontId="3" type="noConversion"/>
  </si>
  <si>
    <t>2351-8546-202011</t>
    <phoneticPr fontId="3" type="noConversion"/>
  </si>
  <si>
    <t>2351-8546-202012</t>
    <phoneticPr fontId="3" type="noConversion"/>
  </si>
  <si>
    <t>2020進項</t>
    <phoneticPr fontId="3" type="noConversion"/>
  </si>
  <si>
    <t>AV17172405</t>
    <phoneticPr fontId="3" type="noConversion"/>
  </si>
  <si>
    <t>平價屋</t>
    <phoneticPr fontId="3" type="noConversion"/>
  </si>
  <si>
    <t>匯款</t>
    <phoneticPr fontId="3" type="noConversion"/>
  </si>
  <si>
    <t>2020年華算進貨明細</t>
    <phoneticPr fontId="3" type="noConversion"/>
  </si>
  <si>
    <t>2020/12/31庫存帳</t>
    <phoneticPr fontId="8" type="noConversion"/>
  </si>
  <si>
    <t>2020華算主機-期初</t>
    <phoneticPr fontId="3" type="noConversion"/>
  </si>
  <si>
    <t>2020華算主機-新組裝</t>
    <phoneticPr fontId="3" type="noConversion"/>
  </si>
  <si>
    <t>2020華算主機-折舊</t>
    <phoneticPr fontId="3" type="noConversion"/>
  </si>
  <si>
    <t>2020華算主機-殘值</t>
    <phoneticPr fontId="3" type="noConversion"/>
  </si>
  <si>
    <t>GE16832761</t>
    <phoneticPr fontId="3" type="noConversion"/>
  </si>
  <si>
    <t>GE16832774</t>
    <phoneticPr fontId="3" type="noConversion"/>
  </si>
  <si>
    <t>2020-00</t>
  </si>
  <si>
    <t>2020-01</t>
  </si>
  <si>
    <t>2020發票401總計</t>
  </si>
  <si>
    <t>2020預收轉為服務收入</t>
  </si>
  <si>
    <t>2020-02</t>
  </si>
  <si>
    <t>收支票(2020發票)</t>
  </si>
  <si>
    <t>2020收票(前期已開發票)</t>
  </si>
  <si>
    <t>2020收票(開發票本期)</t>
  </si>
  <si>
    <t>2020收票(開發票預收)</t>
  </si>
  <si>
    <t>2020預收未兌依/鎔/鎔保/鉑/桐</t>
  </si>
  <si>
    <t>2020-03</t>
  </si>
  <si>
    <t>2020匯款總計</t>
  </si>
  <si>
    <t>2020-04</t>
  </si>
  <si>
    <t>2020年12月</t>
  </si>
  <si>
    <t>2020薪資總計</t>
  </si>
  <si>
    <t>2020伙食實付</t>
  </si>
  <si>
    <t>2020伙食DV+張</t>
  </si>
  <si>
    <t>支付2020薪資總計</t>
  </si>
  <si>
    <t>2020-05</t>
  </si>
  <si>
    <t>2020/1-12房租</t>
  </si>
  <si>
    <t>2020/5-12房租匯款手續費</t>
  </si>
  <si>
    <t>利息2020/6</t>
  </si>
  <si>
    <t>利息2020/12</t>
  </si>
  <si>
    <t>台銀城中利息2020/6</t>
  </si>
  <si>
    <t>台銀城中利息2020/12</t>
  </si>
  <si>
    <t>2020-06</t>
  </si>
  <si>
    <t>電話費2020/1-12</t>
  </si>
  <si>
    <t>電費2020/1-12</t>
  </si>
  <si>
    <t>2020銀行轉帳零用金</t>
  </si>
  <si>
    <t>2020-07</t>
  </si>
  <si>
    <t>水費2020/1,3,5,7,9,11</t>
  </si>
  <si>
    <t>水費免稅2020/1-12</t>
  </si>
  <si>
    <t>水費2020</t>
  </si>
  <si>
    <t>2020-08</t>
  </si>
  <si>
    <t>2020/1-3</t>
  </si>
  <si>
    <t>2020-12</t>
  </si>
  <si>
    <t>2020-09</t>
  </si>
  <si>
    <t>2020進項稅額抵扣</t>
  </si>
  <si>
    <t>2020進貨退出稅額</t>
  </si>
  <si>
    <t>2020/1-12</t>
  </si>
  <si>
    <t>401-2020/9-2020/10</t>
  </si>
  <si>
    <t>2020-10</t>
  </si>
  <si>
    <t>2020進貨總計</t>
  </si>
  <si>
    <t>2020國內域名</t>
  </si>
  <si>
    <t>2020國外域名+沒報稅</t>
  </si>
  <si>
    <t>2020/12達卡費玉山</t>
  </si>
  <si>
    <t>2020進貨刷卡+達代刷卡</t>
  </si>
  <si>
    <t>2020進貨匯款(原價屋)</t>
  </si>
  <si>
    <t>2020-11</t>
  </si>
  <si>
    <t>2020-13</t>
  </si>
  <si>
    <t>2020預留可低報扣繳薪資</t>
  </si>
  <si>
    <t>吸收2020扣繳薪資低報ADA</t>
  </si>
  <si>
    <t>吸收2020薪資差額</t>
  </si>
  <si>
    <t>2020-14</t>
  </si>
  <si>
    <t>2020預存未開發票(p1-f71)</t>
  </si>
  <si>
    <t>回沖2020保留少報預收貸款</t>
  </si>
  <si>
    <t>回沖2020股往暫轉現金</t>
  </si>
  <si>
    <t>回沖2020股往暫轉應收票據</t>
  </si>
  <si>
    <t>2019年底餘額</t>
  </si>
  <si>
    <t>沖2019預收轉為服務收入</t>
  </si>
  <si>
    <t>申報2019/12-2020/11</t>
  </si>
  <si>
    <t>健保2019/11-2020/10</t>
  </si>
  <si>
    <t>勞保2019/11-2020/10</t>
  </si>
  <si>
    <t>勞退2019/10-2020/9</t>
  </si>
  <si>
    <t>401-2019/11-2020/10</t>
  </si>
  <si>
    <t>401-2019/11-2020/10應納稅額</t>
  </si>
  <si>
    <t>沖2019/12達卡費玉山</t>
  </si>
  <si>
    <t>回沖2019預留可低報扣繳薪資</t>
  </si>
  <si>
    <t>取用2019未開發票(p1-f77)</t>
  </si>
  <si>
    <t>補充健保費2018</t>
  </si>
  <si>
    <t>2020/1-12</t>
    <phoneticPr fontId="3" type="noConversion"/>
  </si>
  <si>
    <t>主機成本*17台</t>
    <phoneticPr fontId="3" type="noConversion"/>
  </si>
  <si>
    <t>1/13 DV-MA</t>
    <phoneticPr fontId="3" type="noConversion"/>
  </si>
  <si>
    <t>1/20 PT</t>
    <phoneticPr fontId="3" type="noConversion"/>
  </si>
  <si>
    <t>4/16 DV-MA</t>
    <phoneticPr fontId="3" type="noConversion"/>
  </si>
  <si>
    <t>8/27 PT</t>
    <phoneticPr fontId="3" type="noConversion"/>
  </si>
  <si>
    <t>10/06 DV</t>
    <phoneticPr fontId="3" type="noConversion"/>
  </si>
  <si>
    <t>12/07 PT</t>
    <phoneticPr fontId="3" type="noConversion"/>
  </si>
  <si>
    <t>12/08 PT</t>
    <phoneticPr fontId="3" type="noConversion"/>
  </si>
  <si>
    <t>12/08 PT</t>
    <phoneticPr fontId="3" type="noConversion"/>
  </si>
  <si>
    <t>7/22 DV-MA</t>
    <phoneticPr fontId="3" type="noConversion"/>
  </si>
  <si>
    <t>9票</t>
    <phoneticPr fontId="3" type="noConversion"/>
  </si>
  <si>
    <t>2020科目明細</t>
    <phoneticPr fontId="3" type="noConversion"/>
  </si>
  <si>
    <t>2019收跨年銀行未兌x0</t>
    <phoneticPr fontId="3" type="noConversion"/>
  </si>
  <si>
    <t>2020收跨年銀行未兌x0</t>
    <phoneticPr fontId="3" type="noConversion"/>
  </si>
  <si>
    <t>2019收未兌票x22</t>
    <phoneticPr fontId="3" type="noConversion"/>
  </si>
  <si>
    <t>2020收未兌票x90</t>
    <phoneticPr fontId="3" type="noConversion"/>
  </si>
  <si>
    <t>2020兌現總x123票</t>
    <phoneticPr fontId="3" type="noConversion"/>
  </si>
  <si>
    <t>2020發票</t>
    <phoneticPr fontId="3" type="noConversion"/>
  </si>
  <si>
    <t>城乙14175x6</t>
    <phoneticPr fontId="3" type="noConversion"/>
  </si>
  <si>
    <t>八亨</t>
    <phoneticPr fontId="3" type="noConversion"/>
  </si>
  <si>
    <t>鴻碩</t>
    <phoneticPr fontId="3" type="noConversion"/>
  </si>
  <si>
    <t>雙安</t>
    <phoneticPr fontId="3" type="noConversion"/>
  </si>
  <si>
    <t>2020匯款手續費16x</t>
    <phoneticPr fontId="3" type="noConversion"/>
  </si>
  <si>
    <t>??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</si>
</sst>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6" formatCode="&quot;$&quot;#,##0;[Red]\-&quot;$&quot;#,##0"/>
    <numFmt numFmtId="43" formatCode="_-* #,##0.00_-;\-* #,##0.00_-;_-* &quot;-&quot;??_-;_-@_-"/>
    <numFmt numFmtId="176" formatCode="_(* #,##0.00_);_(* \(#,##0.00\);_(* &quot;-&quot;??_);_(@_)"/>
    <numFmt numFmtId="177" formatCode="0_);[Red]\(0\)"/>
    <numFmt numFmtId="178" formatCode="_-* #,##0.0_-;\-* #,##0.0_-;_-* &quot;-&quot;??_-;_-@_-"/>
    <numFmt numFmtId="179" formatCode="_-* #,##0_-;\-* #,##0_-;_-* &quot;-&quot;??_-;_-@_-"/>
    <numFmt numFmtId="180" formatCode="_-* #,##0.00\ _D_M_-;\-* #,##0.00\ _D_M_-;_-* &quot;-&quot;??\ _D_M_-;_-@_-"/>
    <numFmt numFmtId="181" formatCode="0_ ;[Red]\-0\ "/>
    <numFmt numFmtId="182" formatCode="0.0"/>
    <numFmt numFmtId="183" formatCode="#,##0;[Red]#,##0"/>
    <numFmt numFmtId="184" formatCode="_-* #,##0.0000_-;\-* #,##0.0000_-;_-* &quot;-&quot;??_-;_-@_-"/>
    <numFmt numFmtId="185" formatCode="0.000%"/>
    <numFmt numFmtId="186" formatCode="#,##0_ ;\-#,##0\ "/>
    <numFmt numFmtId="187" formatCode="#,##0.00000000000"/>
    <numFmt numFmtId="188" formatCode="0_ "/>
  </numFmts>
  <fonts count="76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12"/>
      <name val="Times New Roman"/>
      <family val="1"/>
    </font>
    <font>
      <sz val="12"/>
      <name val="細明體"/>
      <family val="3"/>
      <charset val="136"/>
    </font>
    <font>
      <u/>
      <sz val="9"/>
      <color indexed="12"/>
      <name val="新細明體"/>
      <family val="1"/>
      <charset val="136"/>
    </font>
    <font>
      <sz val="10"/>
      <name val="Arial"/>
      <family val="2"/>
    </font>
    <font>
      <sz val="9"/>
      <name val="細明體"/>
      <family val="3"/>
      <charset val="136"/>
    </font>
    <font>
      <sz val="12"/>
      <color indexed="8"/>
      <name val="細明體"/>
      <family val="3"/>
      <charset val="136"/>
    </font>
    <font>
      <sz val="12"/>
      <color indexed="8"/>
      <name val="Times New Roman"/>
      <family val="1"/>
    </font>
    <font>
      <b/>
      <sz val="12"/>
      <color indexed="81"/>
      <name val="Times New Roman"/>
      <family val="1"/>
    </font>
    <font>
      <b/>
      <sz val="12"/>
      <color indexed="81"/>
      <name val="細明體"/>
      <family val="3"/>
      <charset val="136"/>
    </font>
    <font>
      <sz val="12"/>
      <color indexed="8"/>
      <name val="新細明體"/>
      <family val="1"/>
      <charset val="136"/>
    </font>
    <font>
      <sz val="9"/>
      <color indexed="81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81"/>
      <name val="新細明體"/>
      <family val="1"/>
      <charset val="136"/>
    </font>
    <font>
      <b/>
      <sz val="9"/>
      <color indexed="81"/>
      <name val="Times New Roman"/>
      <family val="1"/>
    </font>
    <font>
      <sz val="12"/>
      <name val="新細明體"/>
      <family val="1"/>
      <charset val="136"/>
    </font>
    <font>
      <sz val="12"/>
      <color indexed="10"/>
      <name val="Times New Roman"/>
      <family val="1"/>
    </font>
    <font>
      <sz val="12"/>
      <color indexed="81"/>
      <name val="宋体"/>
      <charset val="134"/>
    </font>
    <font>
      <b/>
      <sz val="9"/>
      <color indexed="81"/>
      <name val="新細明體"/>
      <family val="1"/>
      <charset val="136"/>
    </font>
    <font>
      <sz val="12"/>
      <color indexed="8"/>
      <name val="宋体"/>
      <charset val="134"/>
    </font>
    <font>
      <sz val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b/>
      <sz val="18"/>
      <color indexed="81"/>
      <name val="Tahoma"/>
      <family val="2"/>
    </font>
    <font>
      <b/>
      <sz val="18"/>
      <color indexed="81"/>
      <name val="細明體"/>
      <family val="3"/>
      <charset val="136"/>
    </font>
    <font>
      <b/>
      <sz val="16"/>
      <color indexed="81"/>
      <name val="Tahoma"/>
      <family val="2"/>
    </font>
    <font>
      <b/>
      <sz val="16"/>
      <color indexed="81"/>
      <name val="細明體"/>
      <family val="3"/>
      <charset val="136"/>
    </font>
    <font>
      <sz val="16"/>
      <color indexed="81"/>
      <name val="細明體"/>
      <family val="3"/>
      <charset val="136"/>
    </font>
    <font>
      <sz val="16"/>
      <color indexed="81"/>
      <name val="Tahoma"/>
      <family val="2"/>
    </font>
    <font>
      <sz val="18"/>
      <color indexed="81"/>
      <name val="細明體"/>
      <family val="3"/>
      <charset val="136"/>
    </font>
    <font>
      <sz val="18"/>
      <color indexed="81"/>
      <name val="Tahoma"/>
      <family val="2"/>
    </font>
    <font>
      <b/>
      <sz val="12"/>
      <color indexed="81"/>
      <name val="新細明體"/>
      <family val="1"/>
      <charset val="136"/>
    </font>
    <font>
      <sz val="12"/>
      <name val="新細明體"/>
      <family val="1"/>
      <charset val="136"/>
    </font>
    <font>
      <sz val="12"/>
      <color indexed="53"/>
      <name val="新細明體"/>
      <family val="1"/>
      <charset val="136"/>
    </font>
    <font>
      <b/>
      <sz val="9"/>
      <color indexed="81"/>
      <name val="細明體"/>
      <family val="3"/>
      <charset val="136"/>
    </font>
    <font>
      <b/>
      <sz val="9"/>
      <color indexed="81"/>
      <name val="Tahoma"/>
      <family val="2"/>
    </font>
    <font>
      <sz val="12"/>
      <color indexed="12"/>
      <name val="新細明體"/>
      <family val="1"/>
      <charset val="136"/>
    </font>
    <font>
      <strike/>
      <sz val="12"/>
      <name val="新細明體"/>
      <family val="1"/>
      <charset val="136"/>
    </font>
    <font>
      <strike/>
      <sz val="12"/>
      <color indexed="10"/>
      <name val="新細明體"/>
      <family val="1"/>
      <charset val="136"/>
    </font>
    <font>
      <b/>
      <sz val="12"/>
      <name val="新細明體"/>
      <family val="1"/>
      <charset val="136"/>
    </font>
    <font>
      <b/>
      <sz val="12"/>
      <color indexed="81"/>
      <name val="Tahoma"/>
      <family val="2"/>
    </font>
    <font>
      <b/>
      <sz val="12"/>
      <color indexed="81"/>
      <name val="MingLiU"/>
      <family val="3"/>
      <charset val="136"/>
    </font>
    <font>
      <b/>
      <sz val="12"/>
      <color indexed="81"/>
      <name val="新細明體"/>
      <family val="1"/>
    </font>
    <font>
      <b/>
      <sz val="9"/>
      <color indexed="81"/>
      <name val="MingLiU"/>
      <family val="3"/>
      <charset val="136"/>
    </font>
    <font>
      <sz val="12"/>
      <color indexed="81"/>
      <name val="細明體"/>
      <family val="3"/>
      <charset val="136"/>
    </font>
    <font>
      <b/>
      <sz val="12"/>
      <name val="新細明體"/>
      <family val="1"/>
      <charset val="136"/>
    </font>
    <font>
      <sz val="12"/>
      <color indexed="8"/>
      <name val="新細明體"/>
      <family val="1"/>
      <charset val="136"/>
    </font>
    <font>
      <b/>
      <sz val="9"/>
      <color indexed="81"/>
      <name val="宋体"/>
      <charset val="134"/>
    </font>
    <font>
      <sz val="9"/>
      <color indexed="10"/>
      <name val="新細明體"/>
      <family val="1"/>
      <charset val="136"/>
    </font>
    <font>
      <sz val="12"/>
      <color theme="1"/>
      <name val="新細明體"/>
      <family val="1"/>
      <charset val="136"/>
    </font>
    <font>
      <sz val="12"/>
      <color rgb="FFFF0000"/>
      <name val="新細明體"/>
      <family val="1"/>
      <charset val="136"/>
    </font>
    <font>
      <sz val="9"/>
      <color rgb="FFFF0000"/>
      <name val="新細明體"/>
      <family val="1"/>
      <charset val="136"/>
    </font>
    <font>
      <sz val="12"/>
      <color rgb="FFFF0000"/>
      <name val="細明體"/>
      <family val="3"/>
      <charset val="136"/>
    </font>
    <font>
      <sz val="12"/>
      <color rgb="FFFF0000"/>
      <name val="新細明體"/>
      <family val="1"/>
    </font>
    <font>
      <sz val="10"/>
      <color rgb="FF000000"/>
      <name val="微軟正黑體"/>
      <family val="2"/>
      <charset val="136"/>
    </font>
    <font>
      <sz val="12"/>
      <color rgb="FFFFFF00"/>
      <name val="新細明體"/>
      <family val="1"/>
      <charset val="136"/>
    </font>
    <font>
      <b/>
      <sz val="9"/>
      <color indexed="81"/>
      <name val="宋体"/>
      <family val="3"/>
      <charset val="134"/>
    </font>
    <font>
      <sz val="9"/>
      <color indexed="81"/>
      <name val="Tahoma"/>
      <family val="2"/>
    </font>
    <font>
      <sz val="9"/>
      <color indexed="81"/>
      <name val="細明體"/>
      <family val="3"/>
      <charset val="136"/>
    </font>
    <font>
      <sz val="12"/>
      <color rgb="FF00B050"/>
      <name val="新細明體"/>
      <family val="1"/>
      <charset val="136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7"/>
        <bgColor indexed="11"/>
      </patternFill>
    </fill>
    <fill>
      <patternFill patternType="solid">
        <fgColor indexed="45"/>
        <bgColor indexed="11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11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CCFF"/>
        <bgColor indexed="64"/>
      </patternFill>
    </fill>
  </fills>
  <borders count="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90">
    <xf numFmtId="0" fontId="0" fillId="0" borderId="0"/>
    <xf numFmtId="0" fontId="13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>
      <alignment vertical="center"/>
    </xf>
    <xf numFmtId="0" fontId="65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7" fillId="0" borderId="0"/>
    <xf numFmtId="0" fontId="7" fillId="0" borderId="0"/>
    <xf numFmtId="0" fontId="18" fillId="0" borderId="0">
      <alignment vertical="center"/>
    </xf>
    <xf numFmtId="0" fontId="2" fillId="0" borderId="0">
      <alignment vertical="center"/>
    </xf>
    <xf numFmtId="0" fontId="18" fillId="0" borderId="0">
      <alignment vertical="center"/>
    </xf>
    <xf numFmtId="0" fontId="2" fillId="0" borderId="0">
      <alignment vertical="center"/>
    </xf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2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25" fillId="22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9" fontId="2" fillId="0" borderId="0" applyFont="0" applyFill="0" applyBorder="0" applyAlignment="0" applyProtection="0"/>
    <xf numFmtId="0" fontId="34" fillId="20" borderId="1" applyNumberFormat="0" applyAlignment="0" applyProtection="0">
      <alignment vertical="center"/>
    </xf>
    <xf numFmtId="0" fontId="38" fillId="0" borderId="6" applyNumberFormat="0" applyFill="0" applyAlignment="0" applyProtection="0">
      <alignment vertical="center"/>
    </xf>
    <xf numFmtId="0" fontId="1" fillId="23" borderId="7" applyNumberFormat="0" applyFont="0" applyAlignment="0" applyProtection="0">
      <alignment vertical="center"/>
    </xf>
    <xf numFmtId="0" fontId="1" fillId="23" borderId="7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6" fillId="7" borderId="1" applyNumberFormat="0" applyAlignment="0" applyProtection="0">
      <alignment vertical="center"/>
    </xf>
    <xf numFmtId="0" fontId="37" fillId="20" borderId="8" applyNumberFormat="0" applyAlignment="0" applyProtection="0">
      <alignment vertical="center"/>
    </xf>
    <xf numFmtId="0" fontId="33" fillId="21" borderId="2" applyNumberFormat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44">
    <xf numFmtId="0" fontId="0" fillId="0" borderId="0" xfId="0"/>
    <xf numFmtId="14" fontId="0" fillId="0" borderId="0" xfId="0" applyNumberFormat="1" applyAlignment="1">
      <alignment horizontal="center"/>
    </xf>
    <xf numFmtId="179" fontId="0" fillId="0" borderId="0" xfId="0" applyNumberFormat="1"/>
    <xf numFmtId="0" fontId="0" fillId="0" borderId="0" xfId="0" applyAlignment="1">
      <alignment horizontal="center"/>
    </xf>
    <xf numFmtId="0" fontId="0" fillId="0" borderId="0" xfId="0" applyFill="1" applyBorder="1"/>
    <xf numFmtId="0" fontId="0" fillId="0" borderId="0" xfId="0" applyBorder="1"/>
    <xf numFmtId="0" fontId="2" fillId="0" borderId="0" xfId="0" applyFont="1" applyAlignment="1">
      <alignment horizontal="left"/>
    </xf>
    <xf numFmtId="0" fontId="0" fillId="0" borderId="0" xfId="0" applyFill="1"/>
    <xf numFmtId="0" fontId="0" fillId="24" borderId="0" xfId="0" applyFill="1"/>
    <xf numFmtId="3" fontId="0" fillId="0" borderId="0" xfId="0" applyNumberFormat="1"/>
    <xf numFmtId="0" fontId="0" fillId="0" borderId="0" xfId="0" applyAlignment="1">
      <alignment horizontal="right"/>
    </xf>
    <xf numFmtId="179" fontId="0" fillId="25" borderId="0" xfId="0" applyNumberFormat="1" applyFill="1"/>
    <xf numFmtId="0" fontId="2" fillId="0" borderId="0" xfId="0" applyFont="1" applyAlignment="1">
      <alignment horizontal="center"/>
    </xf>
    <xf numFmtId="0" fontId="2" fillId="0" borderId="0" xfId="0" applyFont="1"/>
    <xf numFmtId="43" fontId="2" fillId="0" borderId="0" xfId="55" applyFont="1" applyAlignment="1">
      <alignment horizontal="center"/>
    </xf>
    <xf numFmtId="43" fontId="2" fillId="0" borderId="0" xfId="55" applyNumberFormat="1" applyFont="1" applyAlignment="1">
      <alignment horizontal="center"/>
    </xf>
    <xf numFmtId="43" fontId="2" fillId="0" borderId="0" xfId="0" applyNumberFormat="1" applyFont="1"/>
    <xf numFmtId="14" fontId="9" fillId="0" borderId="0" xfId="40" applyNumberFormat="1" applyFont="1" applyAlignment="1">
      <alignment horizontal="center"/>
    </xf>
    <xf numFmtId="38" fontId="9" fillId="0" borderId="0" xfId="56" applyNumberFormat="1" applyFont="1" applyAlignment="1">
      <alignment horizontal="center"/>
    </xf>
    <xf numFmtId="0" fontId="9" fillId="0" borderId="0" xfId="40" applyFont="1" applyAlignment="1">
      <alignment horizontal="center"/>
    </xf>
    <xf numFmtId="0" fontId="10" fillId="0" borderId="0" xfId="40" applyFont="1" applyAlignment="1">
      <alignment horizontal="center"/>
    </xf>
    <xf numFmtId="0" fontId="5" fillId="0" borderId="0" xfId="40" applyFont="1" applyAlignment="1">
      <alignment horizontal="center"/>
    </xf>
    <xf numFmtId="0" fontId="5" fillId="0" borderId="0" xfId="40" applyFont="1"/>
    <xf numFmtId="38" fontId="9" fillId="0" borderId="0" xfId="56" applyNumberFormat="1" applyFont="1" applyAlignment="1">
      <alignment horizontal="right"/>
    </xf>
    <xf numFmtId="0" fontId="9" fillId="26" borderId="0" xfId="40" applyFont="1" applyFill="1" applyAlignment="1">
      <alignment horizontal="center"/>
    </xf>
    <xf numFmtId="0" fontId="5" fillId="25" borderId="0" xfId="40" applyFont="1" applyFill="1"/>
    <xf numFmtId="38" fontId="9" fillId="27" borderId="0" xfId="56" applyNumberFormat="1" applyFont="1" applyFill="1" applyAlignment="1">
      <alignment horizontal="right"/>
    </xf>
    <xf numFmtId="0" fontId="9" fillId="27" borderId="0" xfId="40" applyFont="1" applyFill="1" applyAlignment="1">
      <alignment horizontal="center"/>
    </xf>
    <xf numFmtId="0" fontId="5" fillId="24" borderId="0" xfId="40" applyFont="1" applyFill="1"/>
    <xf numFmtId="38" fontId="9" fillId="0" borderId="0" xfId="56" applyNumberFormat="1" applyFont="1" applyFill="1" applyAlignment="1">
      <alignment horizontal="right"/>
    </xf>
    <xf numFmtId="0" fontId="9" fillId="0" borderId="0" xfId="40" applyFont="1" applyFill="1" applyAlignment="1">
      <alignment horizontal="center"/>
    </xf>
    <xf numFmtId="0" fontId="5" fillId="0" borderId="0" xfId="40" applyFont="1" applyFill="1"/>
    <xf numFmtId="38" fontId="5" fillId="0" borderId="0" xfId="56" applyNumberFormat="1" applyFont="1" applyAlignment="1">
      <alignment horizontal="center"/>
    </xf>
    <xf numFmtId="179" fontId="9" fillId="0" borderId="0" xfId="40" applyNumberFormat="1" applyFont="1" applyAlignment="1">
      <alignment horizontal="center"/>
    </xf>
    <xf numFmtId="179" fontId="9" fillId="26" borderId="0" xfId="40" applyNumberFormat="1" applyFont="1" applyFill="1" applyAlignment="1">
      <alignment horizontal="center"/>
    </xf>
    <xf numFmtId="179" fontId="9" fillId="27" borderId="0" xfId="40" applyNumberFormat="1" applyFont="1" applyFill="1" applyAlignment="1">
      <alignment horizontal="center"/>
    </xf>
    <xf numFmtId="14" fontId="5" fillId="0" borderId="0" xfId="40" applyNumberFormat="1" applyFont="1" applyAlignment="1">
      <alignment horizontal="center"/>
    </xf>
    <xf numFmtId="0" fontId="5" fillId="28" borderId="0" xfId="40" applyFont="1" applyFill="1" applyAlignment="1">
      <alignment horizontal="center"/>
    </xf>
    <xf numFmtId="0" fontId="4" fillId="28" borderId="0" xfId="40" applyFont="1" applyFill="1" applyAlignment="1">
      <alignment horizontal="center"/>
    </xf>
    <xf numFmtId="0" fontId="9" fillId="29" borderId="0" xfId="40" applyFont="1" applyFill="1" applyAlignment="1">
      <alignment horizontal="center"/>
    </xf>
    <xf numFmtId="0" fontId="10" fillId="29" borderId="0" xfId="40" applyFont="1" applyFill="1" applyAlignment="1">
      <alignment horizontal="center"/>
    </xf>
    <xf numFmtId="43" fontId="2" fillId="30" borderId="0" xfId="55" applyNumberFormat="1" applyFont="1" applyFill="1" applyAlignment="1">
      <alignment horizontal="center"/>
    </xf>
    <xf numFmtId="40" fontId="9" fillId="0" borderId="0" xfId="56" applyNumberFormat="1" applyFont="1" applyAlignment="1"/>
    <xf numFmtId="38" fontId="9" fillId="0" borderId="0" xfId="56" applyNumberFormat="1" applyFont="1" applyAlignment="1"/>
    <xf numFmtId="0" fontId="9" fillId="0" borderId="0" xfId="55" applyNumberFormat="1" applyFont="1" applyFill="1" applyAlignment="1">
      <alignment horizontal="center"/>
    </xf>
    <xf numFmtId="0" fontId="5" fillId="0" borderId="0" xfId="40" applyNumberFormat="1" applyFont="1" applyFill="1" applyAlignment="1">
      <alignment horizontal="center"/>
    </xf>
    <xf numFmtId="38" fontId="9" fillId="27" borderId="0" xfId="56" applyNumberFormat="1" applyFont="1" applyFill="1" applyAlignment="1">
      <alignment horizontal="center"/>
    </xf>
    <xf numFmtId="178" fontId="2" fillId="0" borderId="0" xfId="55" applyNumberFormat="1" applyFont="1" applyAlignment="1">
      <alignment horizontal="center"/>
    </xf>
    <xf numFmtId="178" fontId="2" fillId="0" borderId="0" xfId="55" applyNumberFormat="1" applyFont="1" applyAlignment="1"/>
    <xf numFmtId="40" fontId="9" fillId="0" borderId="0" xfId="56" applyNumberFormat="1" applyFont="1" applyFill="1" applyAlignment="1">
      <alignment horizontal="right"/>
    </xf>
    <xf numFmtId="1" fontId="9" fillId="0" borderId="0" xfId="40" applyNumberFormat="1" applyFont="1" applyAlignment="1"/>
    <xf numFmtId="1" fontId="9" fillId="0" borderId="0" xfId="55" applyNumberFormat="1" applyFont="1" applyFill="1" applyAlignment="1"/>
    <xf numFmtId="179" fontId="9" fillId="24" borderId="0" xfId="55" applyNumberFormat="1" applyFont="1" applyFill="1" applyAlignment="1">
      <alignment horizontal="right"/>
    </xf>
    <xf numFmtId="179" fontId="9" fillId="24" borderId="0" xfId="55" applyNumberFormat="1" applyFont="1" applyFill="1" applyAlignment="1">
      <alignment horizontal="center"/>
    </xf>
    <xf numFmtId="179" fontId="18" fillId="0" borderId="0" xfId="55" applyNumberFormat="1" applyFont="1" applyAlignment="1">
      <alignment vertical="center"/>
    </xf>
    <xf numFmtId="179" fontId="15" fillId="0" borderId="0" xfId="55" applyNumberFormat="1" applyFont="1"/>
    <xf numFmtId="0" fontId="2" fillId="25" borderId="0" xfId="0" applyFont="1" applyFill="1" applyAlignment="1">
      <alignment horizontal="center"/>
    </xf>
    <xf numFmtId="43" fontId="2" fillId="0" borderId="0" xfId="55" applyFont="1"/>
    <xf numFmtId="0" fontId="2" fillId="30" borderId="0" xfId="0" applyFont="1" applyFill="1" applyAlignment="1">
      <alignment horizontal="center"/>
    </xf>
    <xf numFmtId="179" fontId="5" fillId="0" borderId="0" xfId="40" applyNumberFormat="1" applyFont="1"/>
    <xf numFmtId="38" fontId="9" fillId="24" borderId="0" xfId="56" applyNumberFormat="1" applyFont="1" applyFill="1" applyAlignment="1">
      <alignment horizontal="right"/>
    </xf>
    <xf numFmtId="0" fontId="1" fillId="0" borderId="0" xfId="0" applyFont="1" applyAlignment="1">
      <alignment horizontal="left"/>
    </xf>
    <xf numFmtId="179" fontId="15" fillId="0" borderId="0" xfId="55" applyNumberFormat="1" applyFont="1" applyAlignment="1">
      <alignment vertical="center"/>
    </xf>
    <xf numFmtId="179" fontId="15" fillId="0" borderId="0" xfId="55" applyNumberFormat="1" applyFont="1" applyFill="1" applyAlignment="1">
      <alignment vertical="center"/>
    </xf>
    <xf numFmtId="179" fontId="13" fillId="0" borderId="0" xfId="55" applyNumberFormat="1" applyFont="1" applyAlignment="1">
      <alignment vertical="center"/>
    </xf>
    <xf numFmtId="179" fontId="15" fillId="25" borderId="0" xfId="55" applyNumberFormat="1" applyFont="1" applyFill="1" applyAlignment="1">
      <alignment vertical="center"/>
    </xf>
    <xf numFmtId="181" fontId="18" fillId="0" borderId="0" xfId="55" applyNumberFormat="1" applyFont="1" applyAlignment="1">
      <alignment vertical="center"/>
    </xf>
    <xf numFmtId="181" fontId="18" fillId="0" borderId="0" xfId="55" applyNumberFormat="1" applyFont="1" applyFill="1" applyAlignment="1">
      <alignment vertical="center"/>
    </xf>
    <xf numFmtId="0" fontId="18" fillId="25" borderId="0" xfId="42" applyFill="1">
      <alignment vertical="center"/>
    </xf>
    <xf numFmtId="0" fontId="18" fillId="0" borderId="0" xfId="42">
      <alignment vertical="center"/>
    </xf>
    <xf numFmtId="0" fontId="18" fillId="0" borderId="0" xfId="42" applyFill="1" applyAlignment="1">
      <alignment horizontal="left"/>
    </xf>
    <xf numFmtId="179" fontId="18" fillId="25" borderId="0" xfId="42" applyNumberFormat="1" applyFill="1">
      <alignment vertical="center"/>
    </xf>
    <xf numFmtId="0" fontId="15" fillId="0" borderId="0" xfId="42" applyFont="1">
      <alignment vertical="center"/>
    </xf>
    <xf numFmtId="0" fontId="18" fillId="0" borderId="0" xfId="42" applyFont="1">
      <alignment vertical="center"/>
    </xf>
    <xf numFmtId="0" fontId="13" fillId="0" borderId="0" xfId="42" applyFont="1">
      <alignment vertical="center"/>
    </xf>
    <xf numFmtId="0" fontId="15" fillId="25" borderId="0" xfId="42" applyFont="1" applyFill="1">
      <alignment vertical="center"/>
    </xf>
    <xf numFmtId="3" fontId="18" fillId="0" borderId="0" xfId="42" applyNumberFormat="1">
      <alignment vertical="center"/>
    </xf>
    <xf numFmtId="49" fontId="18" fillId="24" borderId="0" xfId="42" applyNumberFormat="1" applyFill="1">
      <alignment vertical="center"/>
    </xf>
    <xf numFmtId="0" fontId="18" fillId="24" borderId="0" xfId="42" applyFill="1">
      <alignment vertical="center"/>
    </xf>
    <xf numFmtId="179" fontId="18" fillId="24" borderId="0" xfId="42" applyNumberFormat="1" applyFill="1">
      <alignment vertical="center"/>
    </xf>
    <xf numFmtId="0" fontId="4" fillId="25" borderId="0" xfId="42" applyFont="1" applyFill="1" applyAlignment="1">
      <alignment horizontal="left"/>
    </xf>
    <xf numFmtId="0" fontId="0" fillId="0" borderId="0" xfId="0" applyFill="1" applyBorder="1" applyAlignment="1">
      <alignment vertical="center"/>
    </xf>
    <xf numFmtId="0" fontId="18" fillId="25" borderId="0" xfId="42" applyFill="1" applyAlignment="1">
      <alignment horizontal="left"/>
    </xf>
    <xf numFmtId="3" fontId="18" fillId="25" borderId="0" xfId="42" applyNumberFormat="1" applyFill="1">
      <alignment vertical="center"/>
    </xf>
    <xf numFmtId="0" fontId="18" fillId="0" borderId="0" xfId="42" applyFill="1">
      <alignment vertical="center"/>
    </xf>
    <xf numFmtId="43" fontId="18" fillId="0" borderId="0" xfId="55" applyNumberFormat="1" applyFont="1" applyAlignment="1">
      <alignment vertical="center"/>
    </xf>
    <xf numFmtId="181" fontId="18" fillId="0" borderId="0" xfId="42" applyNumberFormat="1" applyFill="1">
      <alignment vertical="center"/>
    </xf>
    <xf numFmtId="38" fontId="18" fillId="0" borderId="0" xfId="42" applyNumberFormat="1">
      <alignment vertical="center"/>
    </xf>
    <xf numFmtId="38" fontId="18" fillId="25" borderId="0" xfId="42" applyNumberFormat="1" applyFill="1">
      <alignment vertical="center"/>
    </xf>
    <xf numFmtId="38" fontId="18" fillId="0" borderId="0" xfId="42" applyNumberFormat="1" applyFill="1">
      <alignment vertical="center"/>
    </xf>
    <xf numFmtId="4" fontId="18" fillId="0" borderId="0" xfId="42" applyNumberFormat="1">
      <alignment vertical="center"/>
    </xf>
    <xf numFmtId="0" fontId="18" fillId="25" borderId="0" xfId="42" applyFont="1" applyFill="1">
      <alignment vertical="center"/>
    </xf>
    <xf numFmtId="179" fontId="18" fillId="0" borderId="0" xfId="42" applyNumberFormat="1">
      <alignment vertical="center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28" borderId="0" xfId="0" applyFill="1"/>
    <xf numFmtId="0" fontId="18" fillId="24" borderId="0" xfId="44" applyFill="1" applyBorder="1" applyAlignment="1">
      <alignment horizontal="center" vertical="center"/>
    </xf>
    <xf numFmtId="3" fontId="0" fillId="0" borderId="0" xfId="0" applyNumberFormat="1" applyFill="1" applyBorder="1"/>
    <xf numFmtId="179" fontId="13" fillId="0" borderId="0" xfId="55" applyNumberFormat="1" applyFont="1" applyFill="1" applyBorder="1" applyAlignment="1">
      <alignment horizontal="center"/>
    </xf>
    <xf numFmtId="2" fontId="0" fillId="0" borderId="0" xfId="0" applyNumberFormat="1"/>
    <xf numFmtId="182" fontId="0" fillId="0" borderId="0" xfId="0" applyNumberFormat="1"/>
    <xf numFmtId="0" fontId="15" fillId="0" borderId="0" xfId="41" applyFont="1"/>
    <xf numFmtId="0" fontId="5" fillId="24" borderId="0" xfId="40" applyFont="1" applyFill="1" applyAlignment="1">
      <alignment horizontal="center"/>
    </xf>
    <xf numFmtId="0" fontId="18" fillId="25" borderId="0" xfId="44" applyFill="1" applyBorder="1" applyAlignment="1">
      <alignment horizontal="center" vertical="center"/>
    </xf>
    <xf numFmtId="38" fontId="9" fillId="0" borderId="0" xfId="4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Font="1" applyFill="1"/>
    <xf numFmtId="43" fontId="2" fillId="0" borderId="0" xfId="55" applyFont="1" applyFill="1" applyAlignment="1">
      <alignment horizontal="center"/>
    </xf>
    <xf numFmtId="43" fontId="2" fillId="0" borderId="0" xfId="55" applyNumberFormat="1" applyFont="1" applyFill="1" applyAlignment="1">
      <alignment horizontal="center"/>
    </xf>
    <xf numFmtId="43" fontId="2" fillId="0" borderId="0" xfId="0" applyNumberFormat="1" applyFont="1" applyFill="1"/>
    <xf numFmtId="178" fontId="2" fillId="0" borderId="0" xfId="55" applyNumberFormat="1" applyFont="1" applyFill="1" applyAlignment="1"/>
    <xf numFmtId="43" fontId="2" fillId="25" borderId="0" xfId="55" applyNumberFormat="1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0" fontId="2" fillId="31" borderId="0" xfId="0" applyFont="1" applyFill="1"/>
    <xf numFmtId="0" fontId="0" fillId="25" borderId="0" xfId="0" applyFill="1"/>
    <xf numFmtId="0" fontId="0" fillId="0" borderId="0" xfId="0" applyFill="1" applyAlignment="1">
      <alignment horizontal="left"/>
    </xf>
    <xf numFmtId="0" fontId="0" fillId="25" borderId="0" xfId="42" applyFont="1" applyFill="1">
      <alignment vertical="center"/>
    </xf>
    <xf numFmtId="0" fontId="2" fillId="25" borderId="0" xfId="42" applyFont="1" applyFill="1">
      <alignment vertical="center"/>
    </xf>
    <xf numFmtId="179" fontId="2" fillId="25" borderId="0" xfId="55" applyNumberFormat="1" applyFont="1" applyFill="1" applyAlignment="1">
      <alignment vertical="center"/>
    </xf>
    <xf numFmtId="3" fontId="15" fillId="0" borderId="0" xfId="0" applyNumberFormat="1" applyFont="1"/>
    <xf numFmtId="179" fontId="2" fillId="0" borderId="0" xfId="55" applyNumberFormat="1" applyAlignment="1">
      <alignment vertical="center"/>
    </xf>
    <xf numFmtId="179" fontId="2" fillId="0" borderId="0" xfId="55" applyNumberFormat="1" applyFill="1" applyAlignment="1">
      <alignment vertical="center"/>
    </xf>
    <xf numFmtId="0" fontId="2" fillId="0" borderId="0" xfId="42" applyFont="1">
      <alignment vertical="center"/>
    </xf>
    <xf numFmtId="179" fontId="2" fillId="0" borderId="0" xfId="55" applyNumberFormat="1" applyFont="1" applyAlignment="1">
      <alignment vertical="center"/>
    </xf>
    <xf numFmtId="179" fontId="0" fillId="0" borderId="0" xfId="55" applyNumberFormat="1" applyFont="1" applyAlignment="1">
      <alignment vertical="center"/>
    </xf>
    <xf numFmtId="0" fontId="2" fillId="25" borderId="0" xfId="0" applyFont="1" applyFill="1"/>
    <xf numFmtId="0" fontId="15" fillId="25" borderId="0" xfId="0" applyFont="1" applyFill="1"/>
    <xf numFmtId="179" fontId="2" fillId="25" borderId="0" xfId="55" applyNumberFormat="1" applyFill="1" applyAlignment="1">
      <alignment vertical="center"/>
    </xf>
    <xf numFmtId="0" fontId="15" fillId="30" borderId="0" xfId="0" applyFont="1" applyFill="1"/>
    <xf numFmtId="3" fontId="15" fillId="30" borderId="0" xfId="0" applyNumberFormat="1" applyFont="1" applyFill="1"/>
    <xf numFmtId="43" fontId="2" fillId="31" borderId="0" xfId="55" applyNumberFormat="1" applyFont="1" applyFill="1" applyAlignment="1">
      <alignment horizontal="center"/>
    </xf>
    <xf numFmtId="179" fontId="0" fillId="0" borderId="0" xfId="55" applyNumberFormat="1" applyFont="1" applyFill="1" applyAlignment="1">
      <alignment vertical="center"/>
    </xf>
    <xf numFmtId="179" fontId="15" fillId="30" borderId="0" xfId="55" applyNumberFormat="1" applyFont="1" applyFill="1" applyAlignment="1">
      <alignment vertical="center"/>
    </xf>
    <xf numFmtId="49" fontId="18" fillId="24" borderId="0" xfId="42" applyNumberFormat="1" applyFont="1" applyFill="1">
      <alignment vertical="center"/>
    </xf>
    <xf numFmtId="0" fontId="5" fillId="0" borderId="0" xfId="0" applyFont="1" applyFill="1"/>
    <xf numFmtId="176" fontId="2" fillId="0" borderId="0" xfId="0" applyNumberFormat="1" applyFont="1" applyFill="1"/>
    <xf numFmtId="0" fontId="5" fillId="25" borderId="0" xfId="40" applyFont="1" applyFill="1" applyAlignment="1">
      <alignment horizontal="center"/>
    </xf>
    <xf numFmtId="1" fontId="9" fillId="0" borderId="0" xfId="55" applyNumberFormat="1" applyFont="1" applyFill="1" applyAlignment="1">
      <alignment horizontal="center"/>
    </xf>
    <xf numFmtId="0" fontId="5" fillId="0" borderId="0" xfId="40" applyFont="1" applyFill="1" applyAlignment="1">
      <alignment horizontal="center"/>
    </xf>
    <xf numFmtId="1" fontId="9" fillId="0" borderId="0" xfId="40" applyNumberFormat="1" applyFont="1" applyAlignment="1">
      <alignment horizontal="center"/>
    </xf>
    <xf numFmtId="183" fontId="0" fillId="0" borderId="0" xfId="0" applyNumberFormat="1"/>
    <xf numFmtId="179" fontId="2" fillId="0" borderId="0" xfId="55" applyNumberFormat="1" applyFont="1" applyAlignment="1">
      <alignment horizontal="center"/>
    </xf>
    <xf numFmtId="179" fontId="0" fillId="25" borderId="0" xfId="55" applyNumberFormat="1" applyFont="1" applyFill="1" applyAlignment="1">
      <alignment vertical="center"/>
    </xf>
    <xf numFmtId="0" fontId="0" fillId="0" borderId="0" xfId="0" applyAlignment="1">
      <alignment horizontal="left" vertical="center"/>
    </xf>
    <xf numFmtId="0" fontId="15" fillId="0" borderId="0" xfId="0" applyFont="1"/>
    <xf numFmtId="183" fontId="0" fillId="0" borderId="0" xfId="55" applyNumberFormat="1" applyFont="1" applyAlignment="1">
      <alignment vertical="center"/>
    </xf>
    <xf numFmtId="179" fontId="0" fillId="0" borderId="0" xfId="0" applyNumberFormat="1" applyFill="1"/>
    <xf numFmtId="3" fontId="0" fillId="25" borderId="0" xfId="0" applyNumberFormat="1" applyFill="1"/>
    <xf numFmtId="3" fontId="0" fillId="0" borderId="0" xfId="0" applyNumberFormat="1" applyFill="1"/>
    <xf numFmtId="0" fontId="0" fillId="0" borderId="0" xfId="0" applyFill="1" applyAlignment="1">
      <alignment horizontal="left" vertical="center"/>
    </xf>
    <xf numFmtId="0" fontId="5" fillId="31" borderId="0" xfId="40" applyFont="1" applyFill="1" applyAlignment="1">
      <alignment horizontal="center"/>
    </xf>
    <xf numFmtId="0" fontId="4" fillId="0" borderId="0" xfId="0" quotePrefix="1" applyFont="1" applyFill="1"/>
    <xf numFmtId="178" fontId="2" fillId="0" borderId="0" xfId="0" applyNumberFormat="1" applyFont="1" applyFill="1" applyAlignment="1">
      <alignment horizontal="center"/>
    </xf>
    <xf numFmtId="183" fontId="15" fillId="0" borderId="0" xfId="55" applyNumberFormat="1" applyFont="1" applyAlignment="1">
      <alignment vertical="center"/>
    </xf>
    <xf numFmtId="0" fontId="0" fillId="25" borderId="0" xfId="0" applyFill="1" applyAlignment="1">
      <alignment horizontal="left" vertical="center"/>
    </xf>
    <xf numFmtId="179" fontId="1" fillId="25" borderId="0" xfId="55" applyNumberFormat="1" applyFont="1" applyFill="1" applyAlignment="1">
      <alignment vertical="center"/>
    </xf>
    <xf numFmtId="0" fontId="1" fillId="25" borderId="0" xfId="42" applyFont="1" applyFill="1" applyAlignment="1">
      <alignment horizontal="left" vertical="center"/>
    </xf>
    <xf numFmtId="0" fontId="1" fillId="25" borderId="0" xfId="42" applyFont="1" applyFill="1">
      <alignment vertical="center"/>
    </xf>
    <xf numFmtId="0" fontId="15" fillId="0" borderId="0" xfId="0" applyFont="1" applyAlignment="1">
      <alignment horizontal="left" vertical="center"/>
    </xf>
    <xf numFmtId="179" fontId="1" fillId="0" borderId="0" xfId="55" applyNumberFormat="1" applyFont="1" applyAlignment="1">
      <alignment vertical="center"/>
    </xf>
    <xf numFmtId="0" fontId="1" fillId="25" borderId="0" xfId="0" applyFont="1" applyFill="1" applyAlignment="1">
      <alignment horizontal="left" vertical="center"/>
    </xf>
    <xf numFmtId="179" fontId="2" fillId="0" borderId="0" xfId="0" applyNumberFormat="1" applyFont="1" applyFill="1"/>
    <xf numFmtId="179" fontId="2" fillId="0" borderId="0" xfId="55" applyNumberFormat="1" applyFont="1" applyFill="1" applyAlignment="1">
      <alignment horizontal="left"/>
    </xf>
    <xf numFmtId="0" fontId="0" fillId="31" borderId="0" xfId="0" applyFill="1"/>
    <xf numFmtId="14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left"/>
    </xf>
    <xf numFmtId="0" fontId="15" fillId="0" borderId="0" xfId="0" applyFont="1" applyAlignment="1">
      <alignment horizontal="left"/>
    </xf>
    <xf numFmtId="179" fontId="1" fillId="30" borderId="0" xfId="55" applyNumberFormat="1" applyFont="1" applyFill="1" applyAlignment="1">
      <alignment vertical="center"/>
    </xf>
    <xf numFmtId="179" fontId="0" fillId="30" borderId="0" xfId="0" applyNumberFormat="1" applyFill="1"/>
    <xf numFmtId="3" fontId="0" fillId="30" borderId="0" xfId="0" applyNumberFormat="1" applyFill="1"/>
    <xf numFmtId="179" fontId="0" fillId="32" borderId="0" xfId="55" applyNumberFormat="1" applyFont="1" applyFill="1" applyAlignment="1">
      <alignment vertical="center"/>
    </xf>
    <xf numFmtId="179" fontId="2" fillId="0" borderId="0" xfId="55" applyNumberFormat="1" applyFont="1" applyFill="1"/>
    <xf numFmtId="17" fontId="0" fillId="0" borderId="0" xfId="0" quotePrefix="1" applyNumberFormat="1" applyAlignment="1">
      <alignment horizontal="left" vertical="center"/>
    </xf>
    <xf numFmtId="0" fontId="4" fillId="0" borderId="0" xfId="47" applyFont="1" applyBorder="1"/>
    <xf numFmtId="0" fontId="0" fillId="0" borderId="0" xfId="0" quotePrefix="1"/>
    <xf numFmtId="0" fontId="0" fillId="30" borderId="0" xfId="0" applyFill="1"/>
    <xf numFmtId="0" fontId="0" fillId="0" borderId="0" xfId="50" applyFont="1">
      <alignment vertical="center"/>
    </xf>
    <xf numFmtId="0" fontId="0" fillId="0" borderId="0" xfId="0" applyAlignment="1">
      <alignment horizontal="center" vertical="center"/>
    </xf>
    <xf numFmtId="0" fontId="0" fillId="28" borderId="0" xfId="0" applyFill="1" applyAlignment="1">
      <alignment horizontal="center"/>
    </xf>
    <xf numFmtId="0" fontId="0" fillId="33" borderId="0" xfId="0" applyFill="1"/>
    <xf numFmtId="0" fontId="0" fillId="33" borderId="0" xfId="0" applyFill="1" applyAlignment="1">
      <alignment horizontal="center"/>
    </xf>
    <xf numFmtId="0" fontId="0" fillId="28" borderId="0" xfId="0" applyFill="1" applyAlignment="1">
      <alignment horizontal="center" vertical="center"/>
    </xf>
    <xf numFmtId="0" fontId="0" fillId="0" borderId="0" xfId="0" applyAlignment="1">
      <alignment vertical="center"/>
    </xf>
    <xf numFmtId="0" fontId="0" fillId="24" borderId="0" xfId="0" applyFill="1" applyAlignment="1">
      <alignment horizontal="center"/>
    </xf>
    <xf numFmtId="0" fontId="0" fillId="30" borderId="0" xfId="0" applyFill="1" applyAlignment="1">
      <alignment horizontal="center"/>
    </xf>
    <xf numFmtId="0" fontId="1" fillId="0" borderId="0" xfId="0" applyFont="1"/>
    <xf numFmtId="0" fontId="1" fillId="0" borderId="0" xfId="0" applyFont="1" applyFill="1"/>
    <xf numFmtId="179" fontId="0" fillId="0" borderId="0" xfId="0" applyNumberFormat="1" applyFill="1" applyAlignment="1">
      <alignment horizontal="center"/>
    </xf>
    <xf numFmtId="179" fontId="0" fillId="30" borderId="0" xfId="55" applyNumberFormat="1" applyFont="1" applyFill="1" applyAlignment="1">
      <alignment vertical="center"/>
    </xf>
    <xf numFmtId="179" fontId="0" fillId="34" borderId="0" xfId="55" applyNumberFormat="1" applyFont="1" applyFill="1" applyAlignment="1">
      <alignment vertical="center"/>
    </xf>
    <xf numFmtId="179" fontId="1" fillId="34" borderId="0" xfId="55" applyNumberFormat="1" applyFont="1" applyFill="1" applyAlignment="1">
      <alignment vertical="center"/>
    </xf>
    <xf numFmtId="0" fontId="0" fillId="0" borderId="0" xfId="0" quotePrefix="1" applyAlignment="1">
      <alignment horizontal="left" vertical="center"/>
    </xf>
    <xf numFmtId="0" fontId="9" fillId="0" borderId="0" xfId="40" applyFont="1" applyAlignment="1">
      <alignment horizontal="left"/>
    </xf>
    <xf numFmtId="185" fontId="2" fillId="0" borderId="0" xfId="60" applyNumberFormat="1" applyFont="1" applyFill="1"/>
    <xf numFmtId="0" fontId="4" fillId="0" borderId="0" xfId="0" quotePrefix="1" applyFont="1" applyFill="1" applyAlignment="1">
      <alignment horizontal="left"/>
    </xf>
    <xf numFmtId="0" fontId="2" fillId="0" borderId="0" xfId="0" applyFont="1" applyFill="1" applyAlignment="1">
      <alignment horizontal="right"/>
    </xf>
    <xf numFmtId="179" fontId="48" fillId="0" borderId="0" xfId="55" applyNumberFormat="1" applyFont="1" applyAlignment="1">
      <alignment horizontal="center"/>
    </xf>
    <xf numFmtId="184" fontId="2" fillId="0" borderId="0" xfId="0" applyNumberFormat="1" applyFont="1" applyFill="1"/>
    <xf numFmtId="0" fontId="0" fillId="0" borderId="0" xfId="0" applyFill="1" applyAlignment="1">
      <alignment vertical="center"/>
    </xf>
    <xf numFmtId="0" fontId="22" fillId="30" borderId="0" xfId="0" quotePrefix="1" applyFont="1" applyFill="1" applyAlignment="1">
      <alignment horizontal="center" vertical="center"/>
    </xf>
    <xf numFmtId="0" fontId="22" fillId="30" borderId="0" xfId="0" applyFont="1" applyFill="1" applyAlignment="1">
      <alignment vertical="center"/>
    </xf>
    <xf numFmtId="0" fontId="0" fillId="30" borderId="0" xfId="0" applyFill="1" applyAlignment="1">
      <alignment horizontal="center" vertical="center"/>
    </xf>
    <xf numFmtId="0" fontId="22" fillId="30" borderId="0" xfId="0" applyFont="1" applyFill="1" applyAlignment="1">
      <alignment horizontal="center" vertical="center"/>
    </xf>
    <xf numFmtId="0" fontId="0" fillId="35" borderId="0" xfId="0" applyFont="1" applyFill="1" applyAlignment="1">
      <alignment vertical="center"/>
    </xf>
    <xf numFmtId="0" fontId="0" fillId="35" borderId="0" xfId="0" applyFill="1" applyAlignment="1">
      <alignment vertical="center"/>
    </xf>
    <xf numFmtId="0" fontId="0" fillId="0" borderId="0" xfId="0" applyFont="1" applyAlignment="1">
      <alignment vertical="center"/>
    </xf>
    <xf numFmtId="0" fontId="0" fillId="24" borderId="0" xfId="0" applyFill="1" applyAlignment="1">
      <alignment vertical="center"/>
    </xf>
    <xf numFmtId="0" fontId="0" fillId="24" borderId="0" xfId="0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28" borderId="0" xfId="0" applyFill="1" applyAlignment="1">
      <alignment vertical="center"/>
    </xf>
    <xf numFmtId="0" fontId="0" fillId="25" borderId="0" xfId="0" applyFill="1" applyAlignment="1">
      <alignment horizontal="center"/>
    </xf>
    <xf numFmtId="0" fontId="0" fillId="25" borderId="0" xfId="0" applyFill="1" applyAlignment="1">
      <alignment horizontal="left"/>
    </xf>
    <xf numFmtId="0" fontId="0" fillId="25" borderId="0" xfId="0" applyFill="1" applyAlignment="1">
      <alignment vertical="center"/>
    </xf>
    <xf numFmtId="0" fontId="0" fillId="25" borderId="0" xfId="0" applyFill="1" applyAlignment="1">
      <alignment horizontal="center" vertical="center"/>
    </xf>
    <xf numFmtId="0" fontId="0" fillId="36" borderId="0" xfId="0" applyFill="1" applyAlignment="1">
      <alignment vertical="center"/>
    </xf>
    <xf numFmtId="0" fontId="0" fillId="36" borderId="0" xfId="0" applyFill="1" applyAlignment="1">
      <alignment horizontal="center" vertical="center"/>
    </xf>
    <xf numFmtId="0" fontId="0" fillId="36" borderId="0" xfId="0" applyFill="1" applyAlignment="1">
      <alignment horizontal="center"/>
    </xf>
    <xf numFmtId="0" fontId="0" fillId="36" borderId="0" xfId="0" applyFill="1"/>
    <xf numFmtId="14" fontId="0" fillId="0" borderId="0" xfId="0" applyNumberFormat="1" applyFill="1" applyAlignment="1">
      <alignment horizontal="left"/>
    </xf>
    <xf numFmtId="0" fontId="1" fillId="0" borderId="0" xfId="0" applyFont="1" applyFill="1" applyAlignment="1">
      <alignment horizontal="left"/>
    </xf>
    <xf numFmtId="0" fontId="0" fillId="28" borderId="0" xfId="0" applyFill="1" applyAlignment="1"/>
    <xf numFmtId="0" fontId="0" fillId="25" borderId="0" xfId="0" applyFill="1" applyAlignment="1"/>
    <xf numFmtId="14" fontId="0" fillId="25" borderId="0" xfId="0" applyNumberFormat="1" applyFill="1" applyAlignment="1">
      <alignment horizontal="left"/>
    </xf>
    <xf numFmtId="179" fontId="0" fillId="25" borderId="0" xfId="0" applyNumberFormat="1" applyFill="1" applyAlignment="1">
      <alignment horizontal="center"/>
    </xf>
    <xf numFmtId="14" fontId="0" fillId="25" borderId="0" xfId="0" applyNumberFormat="1" applyFill="1" applyAlignment="1">
      <alignment horizontal="center"/>
    </xf>
    <xf numFmtId="0" fontId="0" fillId="37" borderId="0" xfId="0" applyFill="1" applyAlignment="1">
      <alignment vertical="center"/>
    </xf>
    <xf numFmtId="0" fontId="2" fillId="0" borderId="0" xfId="50" applyNumberFormat="1" applyFont="1" applyAlignment="1">
      <alignment horizontal="left" vertical="center"/>
    </xf>
    <xf numFmtId="0" fontId="2" fillId="38" borderId="0" xfId="0" applyFont="1" applyFill="1"/>
    <xf numFmtId="43" fontId="1" fillId="0" borderId="0" xfId="55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quotePrefix="1" applyFont="1" applyAlignment="1">
      <alignment horizontal="left"/>
    </xf>
    <xf numFmtId="179" fontId="1" fillId="0" borderId="0" xfId="0" applyNumberFormat="1" applyFont="1" applyFill="1"/>
    <xf numFmtId="179" fontId="1" fillId="0" borderId="0" xfId="0" applyNumberFormat="1" applyFont="1"/>
    <xf numFmtId="43" fontId="1" fillId="0" borderId="0" xfId="55" applyNumberFormat="1" applyFont="1" applyAlignment="1">
      <alignment horizontal="center"/>
    </xf>
    <xf numFmtId="179" fontId="1" fillId="0" borderId="0" xfId="55" applyNumberFormat="1" applyFont="1" applyFill="1" applyAlignment="1">
      <alignment horizontal="left"/>
    </xf>
    <xf numFmtId="179" fontId="1" fillId="0" borderId="0" xfId="55" applyNumberFormat="1" applyFont="1" applyFill="1" applyAlignment="1">
      <alignment horizontal="center"/>
    </xf>
    <xf numFmtId="179" fontId="1" fillId="0" borderId="0" xfId="55" applyNumberFormat="1" applyFont="1" applyAlignment="1">
      <alignment horizontal="center"/>
    </xf>
    <xf numFmtId="43" fontId="1" fillId="0" borderId="0" xfId="0" applyNumberFormat="1" applyFont="1"/>
    <xf numFmtId="179" fontId="1" fillId="0" borderId="0" xfId="55" applyNumberFormat="1" applyFont="1" applyFill="1"/>
    <xf numFmtId="0" fontId="1" fillId="0" borderId="0" xfId="0" applyFont="1" applyAlignment="1"/>
    <xf numFmtId="0" fontId="1" fillId="0" borderId="0" xfId="31" applyFont="1" applyAlignment="1">
      <alignment horizontal="center"/>
    </xf>
    <xf numFmtId="0" fontId="1" fillId="0" borderId="0" xfId="31" applyFont="1" applyFill="1"/>
    <xf numFmtId="0" fontId="1" fillId="0" borderId="0" xfId="31" quotePrefix="1" applyFont="1" applyAlignment="1"/>
    <xf numFmtId="14" fontId="5" fillId="0" borderId="0" xfId="0" applyNumberFormat="1" applyFont="1" applyFill="1"/>
    <xf numFmtId="14" fontId="5" fillId="0" borderId="0" xfId="0" quotePrefix="1" applyNumberFormat="1" applyFont="1" applyFill="1"/>
    <xf numFmtId="43" fontId="52" fillId="24" borderId="0" xfId="55" applyNumberFormat="1" applyFont="1" applyFill="1" applyAlignment="1">
      <alignment horizontal="center"/>
    </xf>
    <xf numFmtId="2" fontId="9" fillId="0" borderId="0" xfId="55" applyNumberFormat="1" applyFont="1" applyFill="1" applyAlignment="1">
      <alignment horizontal="center"/>
    </xf>
    <xf numFmtId="40" fontId="9" fillId="27" borderId="0" xfId="56" applyNumberFormat="1" applyFont="1" applyFill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39" borderId="0" xfId="0" applyFill="1" applyAlignment="1">
      <alignment vertical="center"/>
    </xf>
    <xf numFmtId="0" fontId="2" fillId="40" borderId="0" xfId="0" applyFont="1" applyFill="1"/>
    <xf numFmtId="0" fontId="2" fillId="41" borderId="0" xfId="0" applyFont="1" applyFill="1"/>
    <xf numFmtId="0" fontId="0" fillId="0" borderId="0" xfId="51" applyFont="1">
      <alignment vertical="center"/>
    </xf>
    <xf numFmtId="0" fontId="0" fillId="42" borderId="0" xfId="0" applyFill="1" applyAlignment="1">
      <alignment vertical="center"/>
    </xf>
    <xf numFmtId="0" fontId="2" fillId="0" borderId="0" xfId="51" applyNumberFormat="1" applyFont="1">
      <alignment vertical="center"/>
    </xf>
    <xf numFmtId="0" fontId="0" fillId="42" borderId="0" xfId="0" applyFont="1" applyFill="1" applyAlignment="1">
      <alignment vertical="center"/>
    </xf>
    <xf numFmtId="0" fontId="0" fillId="42" borderId="0" xfId="0" applyFill="1"/>
    <xf numFmtId="0" fontId="0" fillId="42" borderId="0" xfId="0" applyFill="1" applyAlignment="1">
      <alignment horizontal="center" vertical="center"/>
    </xf>
    <xf numFmtId="0" fontId="0" fillId="0" borderId="0" xfId="0" quotePrefix="1" applyFont="1" applyAlignment="1"/>
    <xf numFmtId="0" fontId="0" fillId="0" borderId="0" xfId="31" quotePrefix="1" applyFont="1" applyAlignment="1">
      <alignment horizontal="center"/>
    </xf>
    <xf numFmtId="0" fontId="0" fillId="0" borderId="0" xfId="31" applyFont="1" applyAlignment="1">
      <alignment horizontal="center"/>
    </xf>
    <xf numFmtId="0" fontId="0" fillId="0" borderId="0" xfId="31" applyFont="1" applyFill="1"/>
    <xf numFmtId="0" fontId="4" fillId="0" borderId="0" xfId="0" quotePrefix="1" applyFont="1" applyFill="1" applyAlignment="1">
      <alignment horizontal="center"/>
    </xf>
    <xf numFmtId="0" fontId="0" fillId="0" borderId="0" xfId="0" quotePrefix="1" applyAlignment="1">
      <alignment vertical="center"/>
    </xf>
    <xf numFmtId="0" fontId="0" fillId="35" borderId="0" xfId="0" applyFill="1" applyBorder="1" applyAlignment="1">
      <alignment vertical="center"/>
    </xf>
    <xf numFmtId="0" fontId="0" fillId="37" borderId="0" xfId="0" applyFill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33" borderId="0" xfId="0" applyFill="1" applyBorder="1" applyAlignment="1">
      <alignment horizontal="center"/>
    </xf>
    <xf numFmtId="0" fontId="0" fillId="33" borderId="0" xfId="0" applyFill="1" applyBorder="1"/>
    <xf numFmtId="0" fontId="0" fillId="42" borderId="0" xfId="0" applyFill="1" applyAlignment="1">
      <alignment horizontal="center"/>
    </xf>
    <xf numFmtId="179" fontId="1" fillId="0" borderId="0" xfId="31" applyNumberFormat="1" applyFont="1" applyFill="1"/>
    <xf numFmtId="0" fontId="13" fillId="0" borderId="0" xfId="28">
      <alignment vertical="center"/>
    </xf>
    <xf numFmtId="0" fontId="15" fillId="0" borderId="0" xfId="28" applyFont="1">
      <alignment vertical="center"/>
    </xf>
    <xf numFmtId="0" fontId="13" fillId="0" borderId="0" xfId="28" applyFont="1">
      <alignment vertical="center"/>
    </xf>
    <xf numFmtId="0" fontId="13" fillId="37" borderId="0" xfId="28" applyFill="1">
      <alignment vertical="center"/>
    </xf>
    <xf numFmtId="0" fontId="13" fillId="0" borderId="0" xfId="28" applyFill="1" applyBorder="1">
      <alignment vertical="center"/>
    </xf>
    <xf numFmtId="0" fontId="13" fillId="0" borderId="0" xfId="28" applyFill="1">
      <alignment vertical="center"/>
    </xf>
    <xf numFmtId="0" fontId="0" fillId="31" borderId="0" xfId="0" applyFill="1" applyBorder="1" applyAlignment="1">
      <alignment horizontal="center" vertical="center"/>
    </xf>
    <xf numFmtId="0" fontId="0" fillId="31" borderId="0" xfId="0" applyFill="1" applyBorder="1" applyAlignment="1">
      <alignment horizontal="center"/>
    </xf>
    <xf numFmtId="0" fontId="0" fillId="31" borderId="0" xfId="0" applyFill="1" applyAlignment="1">
      <alignment horizontal="center" vertical="center"/>
    </xf>
    <xf numFmtId="0" fontId="0" fillId="31" borderId="0" xfId="0" applyFill="1" applyBorder="1" applyAlignment="1">
      <alignment vertical="center"/>
    </xf>
    <xf numFmtId="0" fontId="0" fillId="31" borderId="0" xfId="0" applyFill="1" applyBorder="1"/>
    <xf numFmtId="0" fontId="0" fillId="31" borderId="0" xfId="0" applyFill="1" applyAlignment="1">
      <alignment horizontal="center"/>
    </xf>
    <xf numFmtId="0" fontId="1" fillId="0" borderId="0" xfId="52" applyFont="1">
      <alignment vertical="center"/>
    </xf>
    <xf numFmtId="0" fontId="1" fillId="0" borderId="0" xfId="52" applyFont="1" applyFill="1">
      <alignment vertical="center"/>
    </xf>
    <xf numFmtId="0" fontId="13" fillId="0" borderId="0" xfId="29" applyFont="1" applyFill="1" applyBorder="1">
      <alignment vertical="center"/>
    </xf>
    <xf numFmtId="0" fontId="13" fillId="0" borderId="0" xfId="29" applyFill="1">
      <alignment vertical="center"/>
    </xf>
    <xf numFmtId="0" fontId="13" fillId="0" borderId="0" xfId="29" applyFill="1" applyBorder="1">
      <alignment vertical="center"/>
    </xf>
    <xf numFmtId="0" fontId="13" fillId="0" borderId="0" xfId="29">
      <alignment vertical="center"/>
    </xf>
    <xf numFmtId="179" fontId="0" fillId="31" borderId="0" xfId="0" applyNumberFormat="1" applyFill="1"/>
    <xf numFmtId="3" fontId="0" fillId="31" borderId="0" xfId="0" applyNumberFormat="1" applyFill="1"/>
    <xf numFmtId="179" fontId="1" fillId="31" borderId="0" xfId="55" applyNumberFormat="1" applyFont="1" applyFill="1" applyAlignment="1">
      <alignment vertical="center"/>
    </xf>
    <xf numFmtId="0" fontId="13" fillId="0" borderId="0" xfId="28" applyFill="1" applyAlignment="1">
      <alignment vertical="center" wrapText="1"/>
    </xf>
    <xf numFmtId="0" fontId="1" fillId="0" borderId="0" xfId="33" applyFont="1" applyAlignment="1">
      <alignment horizontal="center"/>
    </xf>
    <xf numFmtId="0" fontId="1" fillId="0" borderId="0" xfId="33" applyFont="1" applyFill="1"/>
    <xf numFmtId="0" fontId="0" fillId="30" borderId="0" xfId="0" applyFill="1" applyAlignment="1">
      <alignment vertical="center"/>
    </xf>
    <xf numFmtId="38" fontId="9" fillId="26" borderId="0" xfId="56" applyNumberFormat="1" applyFont="1" applyFill="1" applyAlignment="1">
      <alignment horizontal="righ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/>
    </xf>
    <xf numFmtId="179" fontId="0" fillId="0" borderId="0" xfId="0" applyNumberFormat="1" applyAlignment="1">
      <alignment horizontal="left" vertical="center"/>
    </xf>
    <xf numFmtId="179" fontId="1" fillId="43" borderId="0" xfId="55" applyNumberFormat="1" applyFont="1" applyFill="1" applyAlignment="1">
      <alignment vertical="center"/>
    </xf>
    <xf numFmtId="179" fontId="0" fillId="0" borderId="0" xfId="0" quotePrefix="1" applyNumberFormat="1" applyAlignment="1">
      <alignment vertical="center"/>
    </xf>
    <xf numFmtId="0" fontId="0" fillId="24" borderId="0" xfId="0" applyFill="1" applyBorder="1" applyAlignment="1">
      <alignment horizontal="center"/>
    </xf>
    <xf numFmtId="0" fontId="15" fillId="25" borderId="0" xfId="0" applyFont="1" applyFill="1" applyAlignment="1">
      <alignment horizontal="center" vertical="center"/>
    </xf>
    <xf numFmtId="179" fontId="0" fillId="0" borderId="0" xfId="0" applyNumberFormat="1" applyFill="1" applyAlignment="1">
      <alignment horizontal="left" vertical="center"/>
    </xf>
    <xf numFmtId="0" fontId="0" fillId="25" borderId="0" xfId="0" applyFill="1" applyBorder="1" applyAlignment="1">
      <alignment horizontal="center"/>
    </xf>
    <xf numFmtId="176" fontId="0" fillId="0" borderId="0" xfId="0" applyNumberFormat="1"/>
    <xf numFmtId="179" fontId="0" fillId="0" borderId="0" xfId="55" applyNumberFormat="1" applyFont="1" applyFill="1" applyAlignment="1">
      <alignment horizontal="center"/>
    </xf>
    <xf numFmtId="0" fontId="0" fillId="0" borderId="0" xfId="0" quotePrefix="1" applyFont="1" applyAlignment="1">
      <alignment horizontal="left"/>
    </xf>
    <xf numFmtId="0" fontId="0" fillId="0" borderId="0" xfId="0" applyFont="1" applyAlignment="1"/>
    <xf numFmtId="0" fontId="0" fillId="25" borderId="0" xfId="42" applyFont="1" applyFill="1" applyAlignment="1">
      <alignment horizontal="left" vertical="center"/>
    </xf>
    <xf numFmtId="0" fontId="0" fillId="0" borderId="0" xfId="0" applyAlignment="1"/>
    <xf numFmtId="0" fontId="0" fillId="0" borderId="0" xfId="0" applyFont="1" applyFill="1"/>
    <xf numFmtId="0" fontId="0" fillId="0" borderId="0" xfId="32" applyFont="1" applyAlignment="1">
      <alignment horizontal="center"/>
    </xf>
    <xf numFmtId="0" fontId="55" fillId="0" borderId="0" xfId="32" applyFont="1" applyAlignment="1">
      <alignment horizontal="right"/>
    </xf>
    <xf numFmtId="0" fontId="0" fillId="0" borderId="0" xfId="32" applyFont="1"/>
    <xf numFmtId="0" fontId="0" fillId="0" borderId="0" xfId="32" quotePrefix="1" applyFont="1" applyAlignment="1">
      <alignment horizontal="center"/>
    </xf>
    <xf numFmtId="0" fontId="0" fillId="0" borderId="0" xfId="32" applyFont="1" applyFill="1"/>
    <xf numFmtId="0" fontId="2" fillId="0" borderId="0" xfId="32" applyFont="1" applyFill="1"/>
    <xf numFmtId="0" fontId="0" fillId="31" borderId="0" xfId="32" applyFont="1" applyFill="1" applyAlignment="1"/>
    <xf numFmtId="0" fontId="0" fillId="44" borderId="0" xfId="32" applyFont="1" applyFill="1" applyAlignment="1"/>
    <xf numFmtId="0" fontId="0" fillId="24" borderId="0" xfId="32" applyFont="1" applyFill="1" applyAlignment="1"/>
    <xf numFmtId="0" fontId="0" fillId="33" borderId="0" xfId="32" applyFont="1" applyFill="1" applyAlignment="1"/>
    <xf numFmtId="0" fontId="0" fillId="33" borderId="0" xfId="32" applyFont="1" applyFill="1" applyAlignment="1">
      <alignment horizontal="center"/>
    </xf>
    <xf numFmtId="0" fontId="15" fillId="0" borderId="0" xfId="32" applyFont="1" applyFill="1"/>
    <xf numFmtId="0" fontId="15" fillId="0" borderId="0" xfId="32" applyFont="1" applyAlignment="1">
      <alignment horizontal="center"/>
    </xf>
    <xf numFmtId="0" fontId="0" fillId="0" borderId="0" xfId="32" applyFont="1" applyFill="1" applyAlignment="1"/>
    <xf numFmtId="0" fontId="0" fillId="0" borderId="0" xfId="35" applyFont="1">
      <alignment vertical="center"/>
    </xf>
    <xf numFmtId="179" fontId="1" fillId="0" borderId="0" xfId="55" applyNumberFormat="1" applyFont="1" applyFill="1" applyAlignment="1">
      <alignment vertical="center"/>
    </xf>
    <xf numFmtId="179" fontId="1" fillId="46" borderId="0" xfId="55" applyNumberFormat="1" applyFont="1" applyFill="1" applyAlignment="1">
      <alignment vertical="center"/>
    </xf>
    <xf numFmtId="179" fontId="0" fillId="46" borderId="0" xfId="0" applyNumberFormat="1" applyFill="1"/>
    <xf numFmtId="3" fontId="0" fillId="46" borderId="0" xfId="0" applyNumberFormat="1" applyFill="1"/>
    <xf numFmtId="0" fontId="13" fillId="0" borderId="0" xfId="28" applyAlignment="1">
      <alignment vertical="center" wrapText="1"/>
    </xf>
    <xf numFmtId="179" fontId="2" fillId="31" borderId="0" xfId="55" applyNumberFormat="1" applyFont="1" applyFill="1"/>
    <xf numFmtId="0" fontId="0" fillId="0" borderId="0" xfId="0" applyFont="1" applyFill="1" applyAlignment="1">
      <alignment horizontal="center"/>
    </xf>
    <xf numFmtId="0" fontId="0" fillId="47" borderId="0" xfId="0" applyFill="1" applyAlignment="1">
      <alignment horizontal="center" vertical="center"/>
    </xf>
    <xf numFmtId="0" fontId="0" fillId="47" borderId="0" xfId="0" applyFill="1" applyAlignment="1">
      <alignment horizontal="center"/>
    </xf>
    <xf numFmtId="0" fontId="0" fillId="47" borderId="0" xfId="0" applyFill="1"/>
    <xf numFmtId="49" fontId="0" fillId="31" borderId="0" xfId="0" applyNumberFormat="1" applyFill="1" applyAlignment="1">
      <alignment horizontal="center" vertical="center"/>
    </xf>
    <xf numFmtId="0" fontId="2" fillId="0" borderId="0" xfId="53" applyAlignment="1">
      <alignment horizontal="center"/>
    </xf>
    <xf numFmtId="38" fontId="2" fillId="0" borderId="0" xfId="53" applyNumberFormat="1" applyAlignment="1">
      <alignment horizontal="center"/>
    </xf>
    <xf numFmtId="0" fontId="2" fillId="28" borderId="0" xfId="53" applyFont="1" applyFill="1" applyAlignment="1">
      <alignment horizontal="center" vertical="center"/>
    </xf>
    <xf numFmtId="0" fontId="2" fillId="0" borderId="0" xfId="53" applyFont="1" applyAlignment="1">
      <alignment horizontal="center" vertical="center"/>
    </xf>
    <xf numFmtId="0" fontId="2" fillId="0" borderId="0" xfId="53">
      <alignment vertical="center"/>
    </xf>
    <xf numFmtId="0" fontId="2" fillId="33" borderId="0" xfId="53" applyFont="1" applyFill="1">
      <alignment vertical="center"/>
    </xf>
    <xf numFmtId="0" fontId="2" fillId="33" borderId="0" xfId="53" applyFill="1">
      <alignment vertical="center"/>
    </xf>
    <xf numFmtId="0" fontId="2" fillId="33" borderId="0" xfId="53" applyFont="1" applyFill="1" applyAlignment="1">
      <alignment horizontal="center" vertical="center"/>
    </xf>
    <xf numFmtId="0" fontId="2" fillId="33" borderId="0" xfId="53" applyFill="1" applyAlignment="1">
      <alignment horizontal="center" vertical="center"/>
    </xf>
    <xf numFmtId="0" fontId="2" fillId="28" borderId="0" xfId="53" applyFill="1" applyAlignment="1">
      <alignment horizontal="center" vertical="center"/>
    </xf>
    <xf numFmtId="0" fontId="2" fillId="0" borderId="0" xfId="53" applyAlignment="1">
      <alignment horizontal="center" vertical="center"/>
    </xf>
    <xf numFmtId="0" fontId="2" fillId="0" borderId="0" xfId="53" applyFont="1">
      <alignment vertical="center"/>
    </xf>
    <xf numFmtId="179" fontId="2" fillId="0" borderId="0" xfId="53" applyNumberFormat="1" applyAlignment="1">
      <alignment horizontal="center" vertical="center"/>
    </xf>
    <xf numFmtId="0" fontId="2" fillId="28" borderId="0" xfId="53" quotePrefix="1" applyFont="1" applyFill="1" applyAlignment="1">
      <alignment horizontal="center" vertical="center"/>
    </xf>
    <xf numFmtId="16" fontId="2" fillId="28" borderId="0" xfId="53" quotePrefix="1" applyNumberFormat="1" applyFont="1" applyFill="1" applyAlignment="1">
      <alignment horizontal="center" vertical="center"/>
    </xf>
    <xf numFmtId="0" fontId="2" fillId="0" borderId="0" xfId="43">
      <alignment vertical="center"/>
    </xf>
    <xf numFmtId="0" fontId="2" fillId="28" borderId="0" xfId="43" quotePrefix="1" applyFont="1" applyFill="1" applyAlignment="1">
      <alignment horizontal="center" vertical="center"/>
    </xf>
    <xf numFmtId="0" fontId="2" fillId="0" borderId="0" xfId="43" applyFill="1">
      <alignment vertical="center"/>
    </xf>
    <xf numFmtId="0" fontId="2" fillId="42" borderId="0" xfId="53" applyFont="1" applyFill="1" applyAlignment="1">
      <alignment horizontal="center" vertical="center"/>
    </xf>
    <xf numFmtId="0" fontId="2" fillId="0" borderId="0" xfId="53" applyFill="1">
      <alignment vertical="center"/>
    </xf>
    <xf numFmtId="0" fontId="2" fillId="0" borderId="0" xfId="43" applyFill="1" applyAlignment="1">
      <alignment horizontal="center" vertical="center"/>
    </xf>
    <xf numFmtId="0" fontId="2" fillId="0" borderId="0" xfId="53" applyFill="1" applyAlignment="1">
      <alignment horizontal="center" vertical="center"/>
    </xf>
    <xf numFmtId="0" fontId="2" fillId="25" borderId="0" xfId="43" applyFill="1">
      <alignment vertical="center"/>
    </xf>
    <xf numFmtId="0" fontId="15" fillId="0" borderId="0" xfId="53" applyFont="1">
      <alignment vertical="center"/>
    </xf>
    <xf numFmtId="0" fontId="2" fillId="25" borderId="0" xfId="53" applyFill="1">
      <alignment vertical="center"/>
    </xf>
    <xf numFmtId="14" fontId="2" fillId="0" borderId="0" xfId="53" applyNumberFormat="1" applyFill="1">
      <alignment vertical="center"/>
    </xf>
    <xf numFmtId="0" fontId="2" fillId="0" borderId="0" xfId="53" applyFont="1" applyFill="1">
      <alignment vertical="center"/>
    </xf>
    <xf numFmtId="0" fontId="2" fillId="0" borderId="0" xfId="43" quotePrefix="1" applyFont="1" applyFill="1" applyAlignment="1">
      <alignment horizontal="center" vertical="center"/>
    </xf>
    <xf numFmtId="0" fontId="2" fillId="30" borderId="0" xfId="43" applyFill="1">
      <alignment vertical="center"/>
    </xf>
    <xf numFmtId="0" fontId="2" fillId="30" borderId="0" xfId="53" applyFont="1" applyFill="1">
      <alignment vertical="center"/>
    </xf>
    <xf numFmtId="0" fontId="2" fillId="42" borderId="0" xfId="53" applyFont="1" applyFill="1">
      <alignment vertical="center"/>
    </xf>
    <xf numFmtId="0" fontId="2" fillId="30" borderId="0" xfId="53" applyFill="1">
      <alignment vertical="center"/>
    </xf>
    <xf numFmtId="0" fontId="2" fillId="30" borderId="0" xfId="43" quotePrefix="1" applyFont="1" applyFill="1" applyAlignment="1">
      <alignment horizontal="center" vertical="center"/>
    </xf>
    <xf numFmtId="0" fontId="2" fillId="30" borderId="0" xfId="53" applyFill="1" applyAlignment="1">
      <alignment horizontal="center" vertical="center"/>
    </xf>
    <xf numFmtId="14" fontId="2" fillId="28" borderId="0" xfId="53" quotePrefix="1" applyNumberFormat="1" applyFont="1" applyFill="1" applyAlignment="1">
      <alignment horizontal="center" vertical="center"/>
    </xf>
    <xf numFmtId="38" fontId="2" fillId="33" borderId="0" xfId="53" applyNumberFormat="1" applyFill="1" applyAlignment="1">
      <alignment horizontal="center" vertical="center"/>
    </xf>
    <xf numFmtId="49" fontId="2" fillId="28" borderId="0" xfId="53" applyNumberFormat="1" applyFont="1" applyFill="1" applyAlignment="1">
      <alignment horizontal="center" vertical="center"/>
    </xf>
    <xf numFmtId="49" fontId="2" fillId="0" borderId="0" xfId="53" applyNumberFormat="1" applyFont="1">
      <alignment vertical="center"/>
    </xf>
    <xf numFmtId="49" fontId="2" fillId="28" borderId="0" xfId="53" applyNumberFormat="1" applyFill="1" applyAlignment="1">
      <alignment horizontal="center" vertical="center"/>
    </xf>
    <xf numFmtId="0" fontId="2" fillId="0" borderId="0" xfId="53" applyNumberFormat="1" applyFont="1">
      <alignment vertical="center"/>
    </xf>
    <xf numFmtId="49" fontId="2" fillId="0" borderId="0" xfId="53" applyNumberFormat="1" applyFont="1" applyAlignment="1">
      <alignment vertical="center"/>
    </xf>
    <xf numFmtId="38" fontId="2" fillId="0" borderId="0" xfId="53" applyNumberFormat="1" applyAlignment="1">
      <alignment horizontal="center" vertical="center"/>
    </xf>
    <xf numFmtId="38" fontId="2" fillId="33" borderId="0" xfId="53" applyNumberFormat="1" applyFill="1">
      <alignment vertical="center"/>
    </xf>
    <xf numFmtId="0" fontId="2" fillId="39" borderId="0" xfId="53" applyFont="1" applyFill="1">
      <alignment vertical="center"/>
    </xf>
    <xf numFmtId="49" fontId="2" fillId="42" borderId="0" xfId="53" applyNumberFormat="1" applyFont="1" applyFill="1" applyAlignment="1">
      <alignment horizontal="center" vertical="center"/>
    </xf>
    <xf numFmtId="49" fontId="2" fillId="30" borderId="0" xfId="53" applyNumberFormat="1" applyFont="1" applyFill="1" applyAlignment="1">
      <alignment horizontal="center" vertical="center"/>
    </xf>
    <xf numFmtId="0" fontId="2" fillId="30" borderId="0" xfId="53" applyFont="1" applyFill="1" applyAlignment="1">
      <alignment horizontal="center" vertical="center"/>
    </xf>
    <xf numFmtId="49" fontId="2" fillId="30" borderId="0" xfId="53" applyNumberFormat="1" applyFont="1" applyFill="1" applyAlignment="1">
      <alignment vertical="center"/>
    </xf>
    <xf numFmtId="0" fontId="2" fillId="42" borderId="0" xfId="53" applyFill="1" applyAlignment="1">
      <alignment horizontal="center" vertical="center"/>
    </xf>
    <xf numFmtId="0" fontId="2" fillId="25" borderId="0" xfId="53" applyFill="1" applyAlignment="1">
      <alignment horizontal="center" vertical="center"/>
    </xf>
    <xf numFmtId="49" fontId="2" fillId="33" borderId="0" xfId="53" applyNumberFormat="1" applyFill="1">
      <alignment vertical="center"/>
    </xf>
    <xf numFmtId="49" fontId="2" fillId="0" borderId="0" xfId="53" applyNumberFormat="1">
      <alignment vertical="center"/>
    </xf>
    <xf numFmtId="0" fontId="2" fillId="0" borderId="0" xfId="54">
      <alignment vertical="center"/>
    </xf>
    <xf numFmtId="49" fontId="2" fillId="0" borderId="0" xfId="54" applyNumberFormat="1" applyFont="1">
      <alignment vertical="center"/>
    </xf>
    <xf numFmtId="0" fontId="2" fillId="0" borderId="0" xfId="54" applyFont="1">
      <alignment vertical="center"/>
    </xf>
    <xf numFmtId="49" fontId="2" fillId="0" borderId="0" xfId="54" applyNumberFormat="1">
      <alignment vertical="center"/>
    </xf>
    <xf numFmtId="14" fontId="2" fillId="28" borderId="0" xfId="53" applyNumberFormat="1" applyFont="1" applyFill="1" applyAlignment="1">
      <alignment horizontal="center" vertical="center"/>
    </xf>
    <xf numFmtId="0" fontId="0" fillId="28" borderId="0" xfId="53" applyFont="1" applyFill="1" applyAlignment="1">
      <alignment horizontal="center" vertical="center"/>
    </xf>
    <xf numFmtId="49" fontId="0" fillId="28" borderId="0" xfId="53" applyNumberFormat="1" applyFont="1" applyFill="1" applyAlignment="1">
      <alignment horizontal="center" vertical="center"/>
    </xf>
    <xf numFmtId="0" fontId="66" fillId="0" borderId="0" xfId="53" applyFont="1">
      <alignment vertical="center"/>
    </xf>
    <xf numFmtId="0" fontId="0" fillId="33" borderId="0" xfId="53" applyFont="1" applyFill="1">
      <alignment vertical="center"/>
    </xf>
    <xf numFmtId="49" fontId="0" fillId="0" borderId="0" xfId="54" applyNumberFormat="1" applyFont="1">
      <alignment vertical="center"/>
    </xf>
    <xf numFmtId="0" fontId="0" fillId="0" borderId="0" xfId="53" applyFont="1">
      <alignment vertical="center"/>
    </xf>
    <xf numFmtId="6" fontId="66" fillId="0" borderId="0" xfId="53" applyNumberFormat="1" applyFont="1">
      <alignment vertical="center"/>
    </xf>
    <xf numFmtId="0" fontId="0" fillId="48" borderId="0" xfId="0" applyFill="1" applyAlignment="1">
      <alignment horizontal="center"/>
    </xf>
    <xf numFmtId="0" fontId="0" fillId="48" borderId="0" xfId="0" applyFill="1" applyAlignment="1">
      <alignment horizontal="center" vertical="center"/>
    </xf>
    <xf numFmtId="0" fontId="0" fillId="48" borderId="0" xfId="0" applyFill="1"/>
    <xf numFmtId="0" fontId="0" fillId="48" borderId="0" xfId="0" applyFill="1" applyBorder="1" applyAlignment="1">
      <alignment horizontal="center" vertical="center"/>
    </xf>
    <xf numFmtId="0" fontId="0" fillId="48" borderId="0" xfId="0" applyFill="1" applyAlignment="1">
      <alignment horizontal="right"/>
    </xf>
    <xf numFmtId="0" fontId="0" fillId="0" borderId="0" xfId="52" applyFont="1">
      <alignment vertical="center"/>
    </xf>
    <xf numFmtId="179" fontId="0" fillId="49" borderId="0" xfId="0" applyNumberFormat="1" applyFill="1"/>
    <xf numFmtId="0" fontId="0" fillId="0" borderId="0" xfId="21" applyFont="1" applyAlignment="1">
      <alignment horizontal="center"/>
    </xf>
    <xf numFmtId="0" fontId="2" fillId="0" borderId="0" xfId="21" applyFont="1" applyAlignment="1">
      <alignment horizontal="left"/>
    </xf>
    <xf numFmtId="3" fontId="2" fillId="0" borderId="0" xfId="21" applyNumberFormat="1" applyFont="1" applyFill="1"/>
    <xf numFmtId="0" fontId="2" fillId="0" borderId="0" xfId="21" applyFont="1"/>
    <xf numFmtId="177" fontId="2" fillId="0" borderId="0" xfId="21" applyNumberFormat="1" applyFont="1" applyFill="1"/>
    <xf numFmtId="0" fontId="2" fillId="0" borderId="0" xfId="21" applyFont="1" applyBorder="1" applyAlignment="1">
      <alignment horizontal="center"/>
    </xf>
    <xf numFmtId="49" fontId="2" fillId="0" borderId="0" xfId="21" applyNumberFormat="1" applyFont="1" applyBorder="1" applyAlignment="1">
      <alignment horizontal="center"/>
    </xf>
    <xf numFmtId="38" fontId="2" fillId="0" borderId="0" xfId="21" applyNumberFormat="1" applyFont="1" applyBorder="1" applyAlignment="1">
      <alignment horizontal="center"/>
    </xf>
    <xf numFmtId="177" fontId="2" fillId="0" borderId="0" xfId="21" applyNumberFormat="1" applyFont="1" applyBorder="1" applyAlignment="1">
      <alignment horizontal="center"/>
    </xf>
    <xf numFmtId="49" fontId="2" fillId="0" borderId="0" xfId="21" applyNumberFormat="1" applyFont="1" applyFill="1" applyBorder="1" applyAlignment="1">
      <alignment horizontal="center"/>
    </xf>
    <xf numFmtId="177" fontId="2" fillId="0" borderId="0" xfId="21" applyNumberFormat="1" applyFont="1" applyFill="1" applyBorder="1" applyAlignment="1">
      <alignment horizontal="center"/>
    </xf>
    <xf numFmtId="0" fontId="2" fillId="0" borderId="0" xfId="21" applyFont="1" applyBorder="1"/>
    <xf numFmtId="14" fontId="2" fillId="39" borderId="0" xfId="21" applyNumberFormat="1" applyFont="1" applyFill="1" applyBorder="1" applyAlignment="1">
      <alignment horizontal="center"/>
    </xf>
    <xf numFmtId="0" fontId="4" fillId="0" borderId="0" xfId="21" applyNumberFormat="1" applyFont="1" applyBorder="1" applyAlignment="1">
      <alignment horizontal="center"/>
    </xf>
    <xf numFmtId="177" fontId="4" fillId="24" borderId="0" xfId="21" applyNumberFormat="1" applyFont="1" applyFill="1" applyBorder="1" applyAlignment="1">
      <alignment horizontal="center"/>
    </xf>
    <xf numFmtId="177" fontId="2" fillId="24" borderId="0" xfId="21" applyNumberFormat="1" applyFont="1" applyFill="1"/>
    <xf numFmtId="0" fontId="4" fillId="0" borderId="0" xfId="21" applyNumberFormat="1" applyFont="1" applyFill="1" applyBorder="1" applyAlignment="1">
      <alignment horizontal="center"/>
    </xf>
    <xf numFmtId="3" fontId="2" fillId="50" borderId="0" xfId="21" applyNumberFormat="1" applyFont="1" applyFill="1"/>
    <xf numFmtId="0" fontId="5" fillId="0" borderId="0" xfId="21" applyFont="1" applyFill="1" applyBorder="1" applyAlignment="1">
      <alignment horizontal="center"/>
    </xf>
    <xf numFmtId="177" fontId="5" fillId="0" borderId="0" xfId="21" applyNumberFormat="1" applyFont="1" applyFill="1" applyBorder="1" applyAlignment="1">
      <alignment horizontal="center"/>
    </xf>
    <xf numFmtId="177" fontId="4" fillId="0" borderId="0" xfId="21" applyNumberFormat="1" applyFont="1" applyFill="1" applyBorder="1" applyAlignment="1">
      <alignment horizontal="center"/>
    </xf>
    <xf numFmtId="0" fontId="2" fillId="35" borderId="0" xfId="21" applyFont="1" applyFill="1" applyAlignment="1">
      <alignment horizontal="center"/>
    </xf>
    <xf numFmtId="0" fontId="2" fillId="35" borderId="0" xfId="21" applyFont="1" applyFill="1" applyAlignment="1">
      <alignment horizontal="left"/>
    </xf>
    <xf numFmtId="38" fontId="2" fillId="35" borderId="0" xfId="21" applyNumberFormat="1" applyFont="1" applyFill="1"/>
    <xf numFmtId="177" fontId="2" fillId="35" borderId="0" xfId="21" applyNumberFormat="1" applyFont="1" applyFill="1" applyAlignment="1">
      <alignment horizontal="center"/>
    </xf>
    <xf numFmtId="177" fontId="2" fillId="35" borderId="0" xfId="21" applyNumberFormat="1" applyFont="1" applyFill="1"/>
    <xf numFmtId="3" fontId="2" fillId="35" borderId="0" xfId="21" applyNumberFormat="1" applyFont="1" applyFill="1"/>
    <xf numFmtId="0" fontId="2" fillId="35" borderId="0" xfId="21" applyFont="1" applyFill="1"/>
    <xf numFmtId="14" fontId="2" fillId="0" borderId="0" xfId="21" applyNumberFormat="1" applyFont="1" applyFill="1" applyAlignment="1">
      <alignment horizontal="center"/>
    </xf>
    <xf numFmtId="38" fontId="2" fillId="0" borderId="0" xfId="21" applyNumberFormat="1" applyFont="1"/>
    <xf numFmtId="0" fontId="2" fillId="0" borderId="0" xfId="21" applyFont="1" applyAlignment="1">
      <alignment horizontal="center"/>
    </xf>
    <xf numFmtId="177" fontId="2" fillId="0" borderId="0" xfId="21" applyNumberFormat="1" applyFont="1" applyAlignment="1">
      <alignment horizontal="center"/>
    </xf>
    <xf numFmtId="177" fontId="2" fillId="0" borderId="0" xfId="21" applyNumberFormat="1" applyFont="1"/>
    <xf numFmtId="0" fontId="2" fillId="0" borderId="0" xfId="21" applyFont="1" applyFill="1" applyAlignment="1">
      <alignment horizontal="center"/>
    </xf>
    <xf numFmtId="0" fontId="2" fillId="39" borderId="0" xfId="21" applyFont="1" applyFill="1" applyAlignment="1">
      <alignment horizontal="center"/>
    </xf>
    <xf numFmtId="177" fontId="2" fillId="50" borderId="0" xfId="21" applyNumberFormat="1" applyFont="1" applyFill="1" applyAlignment="1">
      <alignment horizontal="center"/>
    </xf>
    <xf numFmtId="0" fontId="0" fillId="0" borderId="0" xfId="21" applyFont="1" applyFill="1" applyAlignment="1">
      <alignment horizontal="left"/>
    </xf>
    <xf numFmtId="14" fontId="2" fillId="35" borderId="0" xfId="21" applyNumberFormat="1" applyFont="1" applyFill="1" applyAlignment="1">
      <alignment horizontal="center"/>
    </xf>
    <xf numFmtId="3" fontId="2" fillId="35" borderId="0" xfId="21" applyNumberFormat="1" applyFont="1" applyFill="1" applyAlignment="1">
      <alignment horizontal="center"/>
    </xf>
    <xf numFmtId="0" fontId="2" fillId="0" borderId="0" xfId="21" applyFont="1" applyFill="1"/>
    <xf numFmtId="0" fontId="2" fillId="0" borderId="0" xfId="37" applyFill="1">
      <alignment vertical="center"/>
    </xf>
    <xf numFmtId="3" fontId="2" fillId="50" borderId="0" xfId="21" applyNumberFormat="1" applyFont="1" applyFill="1" applyAlignment="1">
      <alignment horizontal="center"/>
    </xf>
    <xf numFmtId="0" fontId="2" fillId="39" borderId="0" xfId="37" applyFill="1">
      <alignment vertical="center"/>
    </xf>
    <xf numFmtId="14" fontId="2" fillId="0" borderId="0" xfId="21" applyNumberFormat="1" applyFont="1" applyAlignment="1">
      <alignment horizontal="center"/>
    </xf>
    <xf numFmtId="0" fontId="0" fillId="0" borderId="0" xfId="21" applyFont="1"/>
    <xf numFmtId="38" fontId="2" fillId="38" borderId="0" xfId="21" applyNumberFormat="1" applyFont="1" applyFill="1"/>
    <xf numFmtId="0" fontId="2" fillId="38" borderId="0" xfId="21" applyFont="1" applyFill="1" applyAlignment="1">
      <alignment horizontal="center"/>
    </xf>
    <xf numFmtId="177" fontId="2" fillId="38" borderId="0" xfId="21" applyNumberFormat="1" applyFont="1" applyFill="1"/>
    <xf numFmtId="49" fontId="5" fillId="0" borderId="0" xfId="48" applyNumberFormat="1" applyFont="1" applyBorder="1" applyAlignment="1">
      <alignment horizontal="center"/>
    </xf>
    <xf numFmtId="38" fontId="2" fillId="0" borderId="0" xfId="21" applyNumberFormat="1" applyFont="1" applyBorder="1"/>
    <xf numFmtId="177" fontId="2" fillId="0" borderId="0" xfId="21" applyNumberFormat="1" applyFont="1" applyBorder="1"/>
    <xf numFmtId="0" fontId="2" fillId="0" borderId="0" xfId="21" applyFont="1" applyFill="1" applyBorder="1" applyAlignment="1">
      <alignment horizontal="center"/>
    </xf>
    <xf numFmtId="177" fontId="2" fillId="0" borderId="0" xfId="21" applyNumberFormat="1" applyFont="1" applyFill="1" applyBorder="1"/>
    <xf numFmtId="0" fontId="2" fillId="0" borderId="0" xfId="48" applyBorder="1" applyAlignment="1">
      <alignment horizontal="center"/>
    </xf>
    <xf numFmtId="0" fontId="2" fillId="39" borderId="0" xfId="48" applyFill="1" applyBorder="1" applyAlignment="1">
      <alignment horizontal="center"/>
    </xf>
    <xf numFmtId="0" fontId="2" fillId="0" borderId="0" xfId="48" applyBorder="1"/>
    <xf numFmtId="14" fontId="2" fillId="0" borderId="10" xfId="48" applyNumberFormat="1" applyBorder="1" applyAlignment="1">
      <alignment horizontal="center"/>
    </xf>
    <xf numFmtId="49" fontId="5" fillId="0" borderId="10" xfId="48" applyNumberFormat="1" applyFont="1" applyBorder="1" applyAlignment="1">
      <alignment horizontal="center"/>
    </xf>
    <xf numFmtId="14" fontId="2" fillId="0" borderId="11" xfId="48" applyNumberFormat="1" applyBorder="1" applyAlignment="1">
      <alignment horizontal="center"/>
    </xf>
    <xf numFmtId="14" fontId="2" fillId="0" borderId="12" xfId="49" applyNumberFormat="1" applyBorder="1" applyAlignment="1">
      <alignment horizontal="center"/>
    </xf>
    <xf numFmtId="0" fontId="2" fillId="0" borderId="0" xfId="48" applyFont="1" applyFill="1" applyBorder="1" applyAlignment="1">
      <alignment horizontal="center"/>
    </xf>
    <xf numFmtId="0" fontId="2" fillId="0" borderId="0" xfId="48" applyFill="1" applyBorder="1" applyAlignment="1">
      <alignment horizontal="center"/>
    </xf>
    <xf numFmtId="49" fontId="2" fillId="0" borderId="0" xfId="48" applyNumberFormat="1" applyFont="1" applyBorder="1" applyAlignment="1">
      <alignment horizontal="center"/>
    </xf>
    <xf numFmtId="14" fontId="5" fillId="0" borderId="12" xfId="48" applyNumberFormat="1" applyFont="1" applyBorder="1"/>
    <xf numFmtId="0" fontId="2" fillId="39" borderId="0" xfId="48" applyFont="1" applyFill="1" applyBorder="1" applyAlignment="1">
      <alignment horizontal="center"/>
    </xf>
    <xf numFmtId="14" fontId="2" fillId="0" borderId="12" xfId="48" applyNumberFormat="1" applyFont="1" applyBorder="1" applyAlignment="1">
      <alignment horizontal="center"/>
    </xf>
    <xf numFmtId="177" fontId="0" fillId="0" borderId="0" xfId="21" applyNumberFormat="1" applyFont="1" applyFill="1"/>
    <xf numFmtId="38" fontId="2" fillId="0" borderId="0" xfId="21" applyNumberFormat="1" applyFont="1" applyFill="1"/>
    <xf numFmtId="0" fontId="3" fillId="0" borderId="0" xfId="36" applyFont="1">
      <alignment vertical="center"/>
    </xf>
    <xf numFmtId="0" fontId="3" fillId="0" borderId="0" xfId="35" applyFont="1">
      <alignment vertical="center"/>
    </xf>
    <xf numFmtId="0" fontId="67" fillId="0" borderId="0" xfId="35" applyFont="1">
      <alignment vertical="center"/>
    </xf>
    <xf numFmtId="0" fontId="2" fillId="0" borderId="0" xfId="35">
      <alignment vertical="center"/>
    </xf>
    <xf numFmtId="0" fontId="15" fillId="0" borderId="0" xfId="35" applyFont="1">
      <alignment vertical="center"/>
    </xf>
    <xf numFmtId="0" fontId="2" fillId="51" borderId="0" xfId="35" applyFill="1">
      <alignment vertical="center"/>
    </xf>
    <xf numFmtId="0" fontId="2" fillId="0" borderId="0" xfId="35" applyAlignment="1">
      <alignment vertical="center" wrapText="1"/>
    </xf>
    <xf numFmtId="0" fontId="66" fillId="0" borderId="0" xfId="35" applyFont="1">
      <alignment vertical="center"/>
    </xf>
    <xf numFmtId="0" fontId="0" fillId="0" borderId="0" xfId="35" applyFont="1" applyAlignment="1">
      <alignment vertical="center" wrapText="1"/>
    </xf>
    <xf numFmtId="0" fontId="66" fillId="0" borderId="0" xfId="35" applyFont="1" applyAlignment="1">
      <alignment vertical="center" wrapText="1"/>
    </xf>
    <xf numFmtId="0" fontId="15" fillId="42" borderId="0" xfId="35" applyFont="1" applyFill="1">
      <alignment vertical="center"/>
    </xf>
    <xf numFmtId="0" fontId="13" fillId="0" borderId="0" xfId="35" applyFont="1">
      <alignment vertical="center"/>
    </xf>
    <xf numFmtId="0" fontId="53" fillId="0" borderId="0" xfId="35" applyFont="1">
      <alignment vertical="center"/>
    </xf>
    <xf numFmtId="49" fontId="2" fillId="0" borderId="0" xfId="35" applyNumberFormat="1">
      <alignment vertical="center"/>
    </xf>
    <xf numFmtId="0" fontId="2" fillId="0" borderId="0" xfId="35" applyFill="1">
      <alignment vertical="center"/>
    </xf>
    <xf numFmtId="0" fontId="25" fillId="0" borderId="0" xfId="35" applyFont="1">
      <alignment vertical="center"/>
    </xf>
    <xf numFmtId="0" fontId="65" fillId="0" borderId="0" xfId="35" applyFont="1">
      <alignment vertical="center"/>
    </xf>
    <xf numFmtId="0" fontId="15" fillId="51" borderId="0" xfId="35" applyFont="1" applyFill="1">
      <alignment vertical="center"/>
    </xf>
    <xf numFmtId="0" fontId="0" fillId="41" borderId="0" xfId="41" applyFont="1" applyFill="1" applyAlignment="1"/>
    <xf numFmtId="0" fontId="2" fillId="41" borderId="0" xfId="41" applyFont="1" applyFill="1" applyAlignment="1"/>
    <xf numFmtId="0" fontId="2" fillId="0" borderId="0" xfId="41" applyFont="1"/>
    <xf numFmtId="0" fontId="13" fillId="0" borderId="0" xfId="46" applyFont="1" applyFill="1" applyBorder="1" applyAlignment="1">
      <alignment horizontal="left"/>
    </xf>
    <xf numFmtId="0" fontId="13" fillId="0" borderId="0" xfId="46" applyFont="1" applyFill="1" applyBorder="1" applyAlignment="1">
      <alignment horizontal="center"/>
    </xf>
    <xf numFmtId="0" fontId="2" fillId="0" borderId="0" xfId="41" applyFont="1" applyFill="1" applyBorder="1"/>
    <xf numFmtId="0" fontId="2" fillId="0" borderId="0" xfId="45" applyFill="1" applyBorder="1" applyAlignment="1">
      <alignment horizontal="center" vertical="center"/>
    </xf>
    <xf numFmtId="1" fontId="2" fillId="0" borderId="0" xfId="39" applyNumberFormat="1" applyFont="1" applyAlignment="1">
      <alignment horizontal="center"/>
    </xf>
    <xf numFmtId="0" fontId="2" fillId="0" borderId="0" xfId="41" applyFont="1" applyAlignment="1">
      <alignment horizontal="left"/>
    </xf>
    <xf numFmtId="0" fontId="2" fillId="0" borderId="0" xfId="45" applyFont="1" applyFill="1" applyBorder="1" applyAlignment="1">
      <alignment horizontal="center" vertical="center"/>
    </xf>
    <xf numFmtId="0" fontId="4" fillId="0" borderId="0" xfId="46" applyFont="1" applyAlignment="1">
      <alignment horizontal="right"/>
    </xf>
    <xf numFmtId="49" fontId="2" fillId="0" borderId="0" xfId="45" applyNumberFormat="1" applyFill="1" applyBorder="1" applyAlignment="1">
      <alignment horizontal="center" vertical="center"/>
    </xf>
    <xf numFmtId="0" fontId="2" fillId="0" borderId="0" xfId="46" applyFont="1"/>
    <xf numFmtId="43" fontId="2" fillId="30" borderId="0" xfId="55" applyFont="1" applyFill="1"/>
    <xf numFmtId="0" fontId="13" fillId="0" borderId="0" xfId="46" applyFont="1" applyFill="1" applyBorder="1"/>
    <xf numFmtId="0" fontId="15" fillId="0" borderId="0" xfId="46" applyFont="1"/>
    <xf numFmtId="0" fontId="2" fillId="0" borderId="0" xfId="41" applyFont="1" applyAlignment="1">
      <alignment horizontal="center"/>
    </xf>
    <xf numFmtId="0" fontId="2" fillId="0" borderId="0" xfId="46"/>
    <xf numFmtId="0" fontId="2" fillId="40" borderId="0" xfId="41" applyFont="1" applyFill="1" applyAlignment="1"/>
    <xf numFmtId="0" fontId="15" fillId="0" borderId="0" xfId="46" applyFont="1" applyFill="1"/>
    <xf numFmtId="0" fontId="2" fillId="0" borderId="0" xfId="46" applyFill="1"/>
    <xf numFmtId="0" fontId="2" fillId="38" borderId="0" xfId="41" applyFont="1" applyFill="1" applyAlignment="1"/>
    <xf numFmtId="0" fontId="2" fillId="43" borderId="0" xfId="41" applyFont="1" applyFill="1" applyAlignment="1"/>
    <xf numFmtId="0" fontId="2" fillId="45" borderId="0" xfId="41" applyFont="1" applyFill="1" applyAlignment="1"/>
    <xf numFmtId="3" fontId="2" fillId="30" borderId="0" xfId="46" applyNumberFormat="1" applyFill="1"/>
    <xf numFmtId="3" fontId="2" fillId="25" borderId="0" xfId="46" applyNumberFormat="1" applyFill="1"/>
    <xf numFmtId="49" fontId="2" fillId="0" borderId="0" xfId="39" applyNumberFormat="1" applyAlignment="1">
      <alignment horizontal="center"/>
    </xf>
    <xf numFmtId="2" fontId="2" fillId="0" borderId="0" xfId="41" applyNumberFormat="1" applyFont="1"/>
    <xf numFmtId="0" fontId="2" fillId="0" borderId="0" xfId="39" applyBorder="1" applyAlignment="1">
      <alignment horizontal="left"/>
    </xf>
    <xf numFmtId="0" fontId="2" fillId="0" borderId="0" xfId="39" applyFill="1" applyBorder="1"/>
    <xf numFmtId="0" fontId="2" fillId="0" borderId="0" xfId="39" applyAlignment="1">
      <alignment horizontal="left"/>
    </xf>
    <xf numFmtId="43" fontId="2" fillId="0" borderId="0" xfId="55" applyFont="1" applyFill="1" applyBorder="1"/>
    <xf numFmtId="43" fontId="2" fillId="0" borderId="0" xfId="41" applyNumberFormat="1" applyFont="1"/>
    <xf numFmtId="3" fontId="2" fillId="30" borderId="0" xfId="46" applyNumberFormat="1" applyFill="1" applyAlignment="1">
      <alignment horizontal="center"/>
    </xf>
    <xf numFmtId="0" fontId="2" fillId="28" borderId="0" xfId="41" applyFont="1" applyFill="1" applyAlignment="1"/>
    <xf numFmtId="49" fontId="2" fillId="0" borderId="0" xfId="45" applyNumberFormat="1" applyFont="1" applyFill="1" applyBorder="1" applyAlignment="1">
      <alignment horizontal="center" vertical="center"/>
    </xf>
    <xf numFmtId="0" fontId="2" fillId="30" borderId="0" xfId="41" applyFont="1" applyFill="1" applyAlignment="1">
      <alignment horizontal="center"/>
    </xf>
    <xf numFmtId="3" fontId="2" fillId="0" borderId="0" xfId="46" applyNumberFormat="1"/>
    <xf numFmtId="0" fontId="2" fillId="45" borderId="0" xfId="41" applyFont="1" applyFill="1" applyAlignment="1">
      <alignment horizontal="center"/>
    </xf>
    <xf numFmtId="3" fontId="2" fillId="0" borderId="0" xfId="46" applyNumberFormat="1" applyFill="1"/>
    <xf numFmtId="0" fontId="2" fillId="0" borderId="0" xfId="41" applyFont="1" applyFill="1" applyAlignment="1">
      <alignment horizontal="left"/>
    </xf>
    <xf numFmtId="0" fontId="2" fillId="0" borderId="0" xfId="41" applyFont="1" applyFill="1"/>
    <xf numFmtId="0" fontId="2" fillId="31" borderId="0" xfId="41" applyFont="1" applyFill="1" applyAlignment="1"/>
    <xf numFmtId="0" fontId="2" fillId="31" borderId="0" xfId="41" applyFont="1" applyFill="1" applyAlignment="1">
      <alignment horizontal="center"/>
    </xf>
    <xf numFmtId="0" fontId="13" fillId="0" borderId="0" xfId="46" applyFont="1" applyFill="1" applyBorder="1" applyAlignment="1"/>
    <xf numFmtId="14" fontId="19" fillId="0" borderId="0" xfId="46" applyNumberFormat="1" applyFont="1"/>
    <xf numFmtId="0" fontId="2" fillId="30" borderId="0" xfId="46" applyFill="1"/>
    <xf numFmtId="0" fontId="15" fillId="30" borderId="0" xfId="46" applyFont="1" applyFill="1"/>
    <xf numFmtId="0" fontId="13" fillId="30" borderId="0" xfId="46" applyFont="1" applyFill="1" applyBorder="1" applyAlignment="1">
      <alignment horizontal="center"/>
    </xf>
    <xf numFmtId="14" fontId="19" fillId="0" borderId="0" xfId="46" applyNumberFormat="1" applyFont="1" applyFill="1"/>
    <xf numFmtId="0" fontId="2" fillId="0" borderId="0" xfId="46" applyFont="1" applyFill="1"/>
    <xf numFmtId="0" fontId="19" fillId="0" borderId="0" xfId="46" applyFont="1"/>
    <xf numFmtId="14" fontId="2" fillId="0" borderId="0" xfId="46" applyNumberFormat="1"/>
    <xf numFmtId="0" fontId="4" fillId="0" borderId="0" xfId="46" applyFont="1"/>
    <xf numFmtId="0" fontId="2" fillId="30" borderId="0" xfId="46" applyFont="1" applyFill="1"/>
    <xf numFmtId="0" fontId="2" fillId="25" borderId="0" xfId="46" applyFill="1"/>
    <xf numFmtId="17" fontId="5" fillId="0" borderId="0" xfId="0" quotePrefix="1" applyNumberFormat="1" applyFont="1" applyFill="1"/>
    <xf numFmtId="0" fontId="0" fillId="49" borderId="0" xfId="0" applyFill="1"/>
    <xf numFmtId="0" fontId="0" fillId="51" borderId="0" xfId="0" applyFill="1" applyAlignment="1">
      <alignment horizontal="center"/>
    </xf>
    <xf numFmtId="179" fontId="1" fillId="49" borderId="0" xfId="55" applyNumberFormat="1" applyFont="1" applyFill="1" applyAlignment="1">
      <alignment vertical="center"/>
    </xf>
    <xf numFmtId="3" fontId="0" fillId="49" borderId="0" xfId="0" applyNumberFormat="1" applyFill="1"/>
    <xf numFmtId="179" fontId="0" fillId="0" borderId="0" xfId="0" applyNumberFormat="1" applyFill="1" applyAlignment="1">
      <alignment horizontal="left"/>
    </xf>
    <xf numFmtId="0" fontId="0" fillId="0" borderId="0" xfId="0" quotePrefix="1" applyAlignment="1">
      <alignment horizontal="left"/>
    </xf>
    <xf numFmtId="0" fontId="2" fillId="0" borderId="0" xfId="35" applyAlignment="1">
      <alignment horizontal="center" vertical="center"/>
    </xf>
    <xf numFmtId="0" fontId="66" fillId="0" borderId="0" xfId="28" applyFont="1">
      <alignment vertical="center"/>
    </xf>
    <xf numFmtId="0" fontId="2" fillId="0" borderId="0" xfId="51">
      <alignment vertical="center"/>
    </xf>
    <xf numFmtId="49" fontId="0" fillId="0" borderId="0" xfId="51" applyNumberFormat="1" applyFont="1">
      <alignment vertical="center"/>
    </xf>
    <xf numFmtId="0" fontId="66" fillId="0" borderId="0" xfId="0" applyFont="1" applyFill="1" applyAlignment="1">
      <alignment horizontal="center"/>
    </xf>
    <xf numFmtId="0" fontId="2" fillId="0" borderId="0" xfId="38">
      <alignment vertical="center"/>
    </xf>
    <xf numFmtId="0" fontId="3" fillId="0" borderId="0" xfId="38" applyFont="1">
      <alignment vertical="center"/>
    </xf>
    <xf numFmtId="14" fontId="0" fillId="0" borderId="12" xfId="49" applyNumberFormat="1" applyFont="1" applyBorder="1" applyAlignment="1">
      <alignment horizontal="center"/>
    </xf>
    <xf numFmtId="14" fontId="0" fillId="0" borderId="0" xfId="21" applyNumberFormat="1" applyFont="1" applyFill="1" applyAlignment="1">
      <alignment horizontal="center"/>
    </xf>
    <xf numFmtId="0" fontId="2" fillId="0" borderId="0" xfId="21" applyNumberFormat="1" applyFont="1"/>
    <xf numFmtId="177" fontId="2" fillId="47" borderId="0" xfId="21" applyNumberFormat="1" applyFont="1" applyFill="1" applyAlignment="1">
      <alignment horizontal="center"/>
    </xf>
    <xf numFmtId="3" fontId="0" fillId="0" borderId="0" xfId="21" applyNumberFormat="1" applyFont="1" applyFill="1"/>
    <xf numFmtId="0" fontId="0" fillId="0" borderId="0" xfId="52" applyFont="1" applyFill="1">
      <alignment vertical="center"/>
    </xf>
    <xf numFmtId="179" fontId="1" fillId="52" borderId="0" xfId="55" applyNumberFormat="1" applyFont="1" applyFill="1" applyAlignment="1">
      <alignment horizontal="left"/>
    </xf>
    <xf numFmtId="179" fontId="1" fillId="52" borderId="0" xfId="55" applyNumberFormat="1" applyFont="1" applyFill="1" applyAlignment="1">
      <alignment horizontal="center"/>
    </xf>
    <xf numFmtId="0" fontId="0" fillId="0" borderId="0" xfId="0" quotePrefix="1" applyAlignment="1">
      <alignment horizontal="center"/>
    </xf>
    <xf numFmtId="0" fontId="0" fillId="0" borderId="0" xfId="0" quotePrefix="1" applyFont="1" applyAlignment="1">
      <alignment horizontal="center"/>
    </xf>
    <xf numFmtId="0" fontId="1" fillId="0" borderId="0" xfId="0" quotePrefix="1" applyFont="1" applyAlignment="1">
      <alignment horizontal="center"/>
    </xf>
    <xf numFmtId="0" fontId="1" fillId="0" borderId="0" xfId="0" quotePrefix="1" applyFont="1" applyFill="1" applyAlignment="1">
      <alignment horizontal="center"/>
    </xf>
    <xf numFmtId="186" fontId="1" fillId="48" borderId="0" xfId="55" applyNumberFormat="1" applyFont="1" applyFill="1" applyAlignment="1">
      <alignment horizontal="center"/>
    </xf>
    <xf numFmtId="186" fontId="1" fillId="53" borderId="0" xfId="55" applyNumberFormat="1" applyFont="1" applyFill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0" fontId="1" fillId="48" borderId="0" xfId="0" applyFont="1" applyFill="1"/>
    <xf numFmtId="179" fontId="1" fillId="48" borderId="0" xfId="0" applyNumberFormat="1" applyFont="1" applyFill="1"/>
    <xf numFmtId="43" fontId="0" fillId="0" borderId="0" xfId="55" applyNumberFormat="1" applyFont="1" applyAlignment="1">
      <alignment horizontal="center"/>
    </xf>
    <xf numFmtId="17" fontId="4" fillId="0" borderId="0" xfId="0" quotePrefix="1" applyNumberFormat="1" applyFont="1" applyFill="1" applyAlignment="1">
      <alignment horizontal="center"/>
    </xf>
    <xf numFmtId="179" fontId="1" fillId="54" borderId="0" xfId="55" applyNumberFormat="1" applyFont="1" applyFill="1" applyAlignment="1">
      <alignment horizontal="center"/>
    </xf>
    <xf numFmtId="179" fontId="1" fillId="54" borderId="0" xfId="0" applyNumberFormat="1" applyFont="1" applyFill="1"/>
    <xf numFmtId="16" fontId="0" fillId="0" borderId="0" xfId="0" applyNumberFormat="1"/>
    <xf numFmtId="179" fontId="2" fillId="54" borderId="0" xfId="55" applyNumberFormat="1" applyFont="1" applyFill="1" applyAlignment="1">
      <alignment horizontal="center"/>
    </xf>
    <xf numFmtId="0" fontId="0" fillId="0" borderId="0" xfId="0" quotePrefix="1" applyFont="1" applyFill="1" applyAlignment="1">
      <alignment horizontal="left"/>
    </xf>
    <xf numFmtId="0" fontId="0" fillId="0" borderId="0" xfId="0" quotePrefix="1" applyFont="1" applyFill="1"/>
    <xf numFmtId="179" fontId="2" fillId="54" borderId="0" xfId="55" applyNumberFormat="1" applyFont="1" applyFill="1"/>
    <xf numFmtId="43" fontId="2" fillId="54" borderId="0" xfId="55" applyNumberFormat="1" applyFont="1" applyFill="1" applyAlignment="1">
      <alignment horizontal="center"/>
    </xf>
    <xf numFmtId="179" fontId="2" fillId="54" borderId="0" xfId="55" applyNumberFormat="1" applyFont="1" applyFill="1" applyAlignment="1">
      <alignment horizontal="center"/>
    </xf>
    <xf numFmtId="179" fontId="1" fillId="55" borderId="0" xfId="55" applyNumberFormat="1" applyFont="1" applyFill="1" applyAlignment="1">
      <alignment vertical="center"/>
    </xf>
    <xf numFmtId="0" fontId="0" fillId="55" borderId="0" xfId="0" applyFill="1"/>
    <xf numFmtId="179" fontId="0" fillId="55" borderId="0" xfId="0" applyNumberFormat="1" applyFill="1"/>
    <xf numFmtId="179" fontId="1" fillId="55" borderId="0" xfId="55" applyNumberFormat="1" applyFont="1" applyFill="1" applyAlignment="1">
      <alignment horizontal="center"/>
    </xf>
    <xf numFmtId="0" fontId="2" fillId="48" borderId="0" xfId="53" applyFill="1" applyAlignment="1">
      <alignment horizontal="center" vertical="center"/>
    </xf>
    <xf numFmtId="3" fontId="0" fillId="55" borderId="0" xfId="0" applyNumberFormat="1" applyFill="1"/>
    <xf numFmtId="14" fontId="5" fillId="0" borderId="0" xfId="0" applyNumberFormat="1" applyFont="1" applyFill="1" applyAlignment="1">
      <alignment horizontal="center"/>
    </xf>
    <xf numFmtId="179" fontId="1" fillId="54" borderId="0" xfId="55" applyNumberFormat="1" applyFont="1" applyFill="1" applyAlignment="1">
      <alignment horizontal="left"/>
    </xf>
    <xf numFmtId="43" fontId="1" fillId="0" borderId="0" xfId="55" applyNumberFormat="1" applyFont="1" applyFill="1"/>
    <xf numFmtId="10" fontId="1" fillId="0" borderId="0" xfId="60" applyNumberFormat="1" applyFont="1"/>
    <xf numFmtId="0" fontId="66" fillId="0" borderId="0" xfId="32" applyFont="1" applyFill="1"/>
    <xf numFmtId="0" fontId="66" fillId="24" borderId="0" xfId="32" applyFont="1" applyFill="1" applyAlignment="1"/>
    <xf numFmtId="0" fontId="66" fillId="0" borderId="0" xfId="32" applyFont="1"/>
    <xf numFmtId="0" fontId="6" fillId="0" borderId="0" xfId="65" applyAlignment="1" applyProtection="1"/>
    <xf numFmtId="14" fontId="0" fillId="39" borderId="0" xfId="21" applyNumberFormat="1" applyFont="1" applyFill="1" applyBorder="1" applyAlignment="1">
      <alignment horizontal="center"/>
    </xf>
    <xf numFmtId="0" fontId="2" fillId="47" borderId="0" xfId="21" applyFont="1" applyFill="1"/>
    <xf numFmtId="0" fontId="2" fillId="47" borderId="0" xfId="48" applyFill="1" applyBorder="1" applyAlignment="1">
      <alignment horizontal="center"/>
    </xf>
    <xf numFmtId="3" fontId="61" fillId="47" borderId="0" xfId="21" applyNumberFormat="1" applyFont="1" applyFill="1" applyAlignment="1">
      <alignment horizontal="left"/>
    </xf>
    <xf numFmtId="0" fontId="2" fillId="48" borderId="0" xfId="21" applyFont="1" applyFill="1" applyAlignment="1">
      <alignment horizontal="left"/>
    </xf>
    <xf numFmtId="0" fontId="2" fillId="47" borderId="0" xfId="48" applyFont="1" applyFill="1" applyBorder="1"/>
    <xf numFmtId="0" fontId="2" fillId="0" borderId="0" xfId="51" applyFont="1">
      <alignment vertical="center"/>
    </xf>
    <xf numFmtId="0" fontId="0" fillId="0" borderId="0" xfId="51" applyFont="1" applyAlignment="1">
      <alignment horizontal="center" vertical="center"/>
    </xf>
    <xf numFmtId="3" fontId="66" fillId="50" borderId="0" xfId="21" applyNumberFormat="1" applyFont="1" applyFill="1"/>
    <xf numFmtId="177" fontId="66" fillId="50" borderId="0" xfId="21" applyNumberFormat="1" applyFont="1" applyFill="1" applyAlignment="1">
      <alignment horizontal="center"/>
    </xf>
    <xf numFmtId="0" fontId="66" fillId="28" borderId="0" xfId="53" applyFont="1" applyFill="1" applyAlignment="1">
      <alignment horizontal="center" vertical="center"/>
    </xf>
    <xf numFmtId="58" fontId="0" fillId="28" borderId="0" xfId="53" applyNumberFormat="1" applyFont="1" applyFill="1" applyAlignment="1">
      <alignment horizontal="center" vertical="center"/>
    </xf>
    <xf numFmtId="0" fontId="66" fillId="0" borderId="0" xfId="0" applyFont="1" applyFill="1" applyAlignment="1">
      <alignment vertical="center"/>
    </xf>
    <xf numFmtId="0" fontId="0" fillId="51" borderId="0" xfId="0" applyFill="1" applyAlignment="1">
      <alignment horizontal="center" vertical="center"/>
    </xf>
    <xf numFmtId="0" fontId="0" fillId="47" borderId="0" xfId="0" applyFill="1" applyBorder="1" applyAlignment="1">
      <alignment horizontal="center" vertical="center"/>
    </xf>
    <xf numFmtId="0" fontId="66" fillId="0" borderId="0" xfId="53" applyFont="1" applyAlignment="1">
      <alignment horizontal="center" vertical="center"/>
    </xf>
    <xf numFmtId="0" fontId="0" fillId="51" borderId="0" xfId="0" applyFill="1"/>
    <xf numFmtId="0" fontId="66" fillId="47" borderId="0" xfId="0" applyFont="1" applyFill="1"/>
    <xf numFmtId="0" fontId="66" fillId="0" borderId="0" xfId="0" applyFont="1" applyAlignment="1">
      <alignment horizontal="center"/>
    </xf>
    <xf numFmtId="0" fontId="2" fillId="51" borderId="0" xfId="35" applyFont="1" applyFill="1">
      <alignment vertical="center"/>
    </xf>
    <xf numFmtId="0" fontId="67" fillId="47" borderId="0" xfId="35" applyFont="1" applyFill="1">
      <alignment vertical="center"/>
    </xf>
    <xf numFmtId="179" fontId="0" fillId="50" borderId="0" xfId="0" applyNumberFormat="1" applyFill="1"/>
    <xf numFmtId="179" fontId="2" fillId="0" borderId="0" xfId="55" applyNumberFormat="1" applyFont="1" applyFill="1" applyAlignment="1">
      <alignment vertical="center"/>
    </xf>
    <xf numFmtId="0" fontId="2" fillId="56" borderId="0" xfId="53" applyFill="1" applyAlignment="1">
      <alignment horizontal="center" vertical="center"/>
    </xf>
    <xf numFmtId="0" fontId="66" fillId="56" borderId="0" xfId="53" applyFont="1" applyFill="1" applyAlignment="1">
      <alignment horizontal="center" vertical="center"/>
    </xf>
    <xf numFmtId="179" fontId="2" fillId="50" borderId="0" xfId="55" applyNumberFormat="1" applyFont="1" applyFill="1" applyAlignment="1">
      <alignment vertical="center"/>
    </xf>
    <xf numFmtId="3" fontId="0" fillId="50" borderId="0" xfId="0" applyNumberFormat="1" applyFill="1"/>
    <xf numFmtId="3" fontId="0" fillId="35" borderId="0" xfId="21" applyNumberFormat="1" applyFont="1" applyFill="1"/>
    <xf numFmtId="43" fontId="5" fillId="0" borderId="0" xfId="55" applyFont="1" applyFill="1" applyBorder="1" applyAlignment="1">
      <alignment horizontal="center"/>
    </xf>
    <xf numFmtId="3" fontId="2" fillId="48" borderId="0" xfId="21" applyNumberFormat="1" applyFont="1" applyFill="1"/>
    <xf numFmtId="187" fontId="2" fillId="0" borderId="0" xfId="41" applyNumberFormat="1" applyFont="1"/>
    <xf numFmtId="179" fontId="1" fillId="50" borderId="0" xfId="55" applyNumberFormat="1" applyFont="1" applyFill="1" applyAlignment="1">
      <alignment vertical="center"/>
    </xf>
    <xf numFmtId="1" fontId="1" fillId="0" borderId="0" xfId="0" applyNumberFormat="1" applyFont="1"/>
    <xf numFmtId="2" fontId="1" fillId="0" borderId="0" xfId="0" applyNumberFormat="1" applyFont="1"/>
    <xf numFmtId="43" fontId="1" fillId="0" borderId="0" xfId="55" applyFont="1"/>
    <xf numFmtId="179" fontId="0" fillId="0" borderId="0" xfId="31" applyNumberFormat="1" applyFont="1" applyFill="1"/>
    <xf numFmtId="0" fontId="1" fillId="0" borderId="0" xfId="0" applyFont="1" applyFill="1" applyAlignment="1">
      <alignment horizontal="center"/>
    </xf>
    <xf numFmtId="0" fontId="0" fillId="0" borderId="0" xfId="0" applyFont="1" applyFill="1" applyAlignment="1"/>
    <xf numFmtId="0" fontId="1" fillId="50" borderId="0" xfId="0" applyFont="1" applyFill="1"/>
    <xf numFmtId="179" fontId="1" fillId="50" borderId="0" xfId="0" applyNumberFormat="1" applyFont="1" applyFill="1"/>
    <xf numFmtId="0" fontId="2" fillId="51" borderId="0" xfId="35" applyFont="1" applyFill="1">
      <alignment vertical="center"/>
    </xf>
    <xf numFmtId="0" fontId="2" fillId="0" borderId="0" xfId="35" applyFont="1" applyAlignment="1">
      <alignment vertical="center" wrapText="1"/>
    </xf>
    <xf numFmtId="0" fontId="66" fillId="51" borderId="0" xfId="35" applyFont="1" applyFill="1">
      <alignment vertical="center"/>
    </xf>
    <xf numFmtId="6" fontId="2" fillId="0" borderId="0" xfId="35" applyNumberFormat="1">
      <alignment vertical="center"/>
    </xf>
    <xf numFmtId="0" fontId="13" fillId="47" borderId="0" xfId="28" applyFill="1">
      <alignment vertical="center"/>
    </xf>
    <xf numFmtId="0" fontId="62" fillId="47" borderId="0" xfId="28" applyFont="1" applyFill="1">
      <alignment vertical="center"/>
    </xf>
    <xf numFmtId="0" fontId="0" fillId="0" borderId="0" xfId="28" applyFont="1" applyFill="1">
      <alignment vertical="center"/>
    </xf>
    <xf numFmtId="188" fontId="13" fillId="0" borderId="0" xfId="28" applyNumberFormat="1" applyFill="1" applyBorder="1">
      <alignment vertical="center"/>
    </xf>
    <xf numFmtId="188" fontId="13" fillId="0" borderId="0" xfId="28" applyNumberFormat="1">
      <alignment vertical="center"/>
    </xf>
    <xf numFmtId="188" fontId="13" fillId="47" borderId="0" xfId="28" applyNumberFormat="1" applyFill="1" applyBorder="1">
      <alignment vertical="center"/>
    </xf>
    <xf numFmtId="188" fontId="13" fillId="47" borderId="0" xfId="28" applyNumberFormat="1" applyFill="1">
      <alignment vertical="center"/>
    </xf>
    <xf numFmtId="188" fontId="2" fillId="0" borderId="0" xfId="28" applyNumberFormat="1" applyFont="1" applyFill="1" applyBorder="1">
      <alignment vertical="center"/>
    </xf>
    <xf numFmtId="0" fontId="3" fillId="51" borderId="0" xfId="35" applyFont="1" applyFill="1">
      <alignment vertical="center"/>
    </xf>
    <xf numFmtId="0" fontId="0" fillId="57" borderId="0" xfId="0" applyFill="1" applyAlignment="1">
      <alignment horizontal="center" vertical="center"/>
    </xf>
    <xf numFmtId="0" fontId="13" fillId="57" borderId="0" xfId="28" applyFill="1">
      <alignment vertical="center"/>
    </xf>
    <xf numFmtId="0" fontId="0" fillId="57" borderId="0" xfId="0" applyFill="1" applyBorder="1" applyAlignment="1">
      <alignment horizontal="center"/>
    </xf>
    <xf numFmtId="0" fontId="13" fillId="57" borderId="0" xfId="28" applyFill="1" applyAlignment="1">
      <alignment horizontal="center" vertical="center"/>
    </xf>
    <xf numFmtId="0" fontId="0" fillId="57" borderId="0" xfId="0" applyFill="1" applyAlignment="1">
      <alignment horizontal="center"/>
    </xf>
    <xf numFmtId="188" fontId="13" fillId="57" borderId="0" xfId="28" applyNumberFormat="1" applyFill="1" applyBorder="1">
      <alignment vertical="center"/>
    </xf>
    <xf numFmtId="0" fontId="13" fillId="57" borderId="0" xfId="28" applyFont="1" applyFill="1">
      <alignment vertical="center"/>
    </xf>
    <xf numFmtId="49" fontId="0" fillId="57" borderId="0" xfId="0" applyNumberFormat="1" applyFill="1" applyAlignment="1">
      <alignment horizontal="center"/>
    </xf>
    <xf numFmtId="0" fontId="0" fillId="57" borderId="0" xfId="0" applyFill="1"/>
    <xf numFmtId="0" fontId="0" fillId="0" borderId="0" xfId="21" applyNumberFormat="1" applyFont="1"/>
    <xf numFmtId="3" fontId="2" fillId="47" borderId="0" xfId="21" applyNumberFormat="1" applyFont="1" applyFill="1" applyAlignment="1">
      <alignment horizontal="center"/>
    </xf>
    <xf numFmtId="49" fontId="68" fillId="0" borderId="0" xfId="48" applyNumberFormat="1" applyFont="1" applyBorder="1" applyAlignment="1">
      <alignment horizontal="center"/>
    </xf>
    <xf numFmtId="0" fontId="66" fillId="47" borderId="0" xfId="21" applyFont="1" applyFill="1" applyAlignment="1">
      <alignment horizontal="left"/>
    </xf>
    <xf numFmtId="177" fontId="66" fillId="0" borderId="0" xfId="21" applyNumberFormat="1" applyFont="1" applyFill="1"/>
    <xf numFmtId="0" fontId="0" fillId="0" borderId="0" xfId="0" quotePrefix="1" applyAlignment="1">
      <alignment horizontal="center" vertical="center"/>
    </xf>
    <xf numFmtId="186" fontId="1" fillId="0" borderId="0" xfId="0" applyNumberFormat="1" applyFont="1"/>
    <xf numFmtId="0" fontId="0" fillId="50" borderId="0" xfId="0" applyFill="1" applyAlignment="1">
      <alignment horizontal="center"/>
    </xf>
    <xf numFmtId="0" fontId="2" fillId="50" borderId="0" xfId="53" applyFill="1" applyAlignment="1">
      <alignment horizontal="center" vertical="center"/>
    </xf>
    <xf numFmtId="0" fontId="2" fillId="51" borderId="0" xfId="53" applyFill="1" applyAlignment="1">
      <alignment horizontal="center" vertical="center"/>
    </xf>
    <xf numFmtId="177" fontId="2" fillId="51" borderId="0" xfId="21" applyNumberFormat="1" applyFont="1" applyFill="1" applyBorder="1"/>
    <xf numFmtId="1" fontId="2" fillId="48" borderId="0" xfId="39" applyNumberFormat="1" applyFont="1" applyFill="1" applyAlignment="1">
      <alignment horizontal="center"/>
    </xf>
    <xf numFmtId="1" fontId="0" fillId="53" borderId="0" xfId="0" applyNumberFormat="1" applyFill="1"/>
    <xf numFmtId="188" fontId="66" fillId="0" borderId="0" xfId="28" applyNumberFormat="1" applyFont="1" applyFill="1" applyBorder="1">
      <alignment vertical="center"/>
    </xf>
    <xf numFmtId="0" fontId="66" fillId="0" borderId="0" xfId="28" applyFont="1" applyFill="1" applyBorder="1">
      <alignment vertical="center"/>
    </xf>
    <xf numFmtId="0" fontId="13" fillId="57" borderId="0" xfId="28" applyFill="1" applyAlignment="1">
      <alignment horizontal="center"/>
    </xf>
    <xf numFmtId="188" fontId="13" fillId="57" borderId="0" xfId="28" applyNumberFormat="1" applyFill="1" applyBorder="1" applyAlignment="1">
      <alignment horizontal="center"/>
    </xf>
    <xf numFmtId="188" fontId="13" fillId="57" borderId="0" xfId="28" applyNumberFormat="1" applyFill="1" applyAlignment="1">
      <alignment horizontal="center"/>
    </xf>
    <xf numFmtId="0" fontId="66" fillId="47" borderId="0" xfId="0" applyFont="1" applyFill="1" applyAlignment="1">
      <alignment horizontal="center"/>
    </xf>
    <xf numFmtId="49" fontId="0" fillId="0" borderId="0" xfId="0" applyNumberFormat="1" applyFill="1" applyAlignment="1">
      <alignment horizontal="center"/>
    </xf>
    <xf numFmtId="0" fontId="0" fillId="0" borderId="0" xfId="35" applyFont="1" applyFill="1">
      <alignment vertical="center"/>
    </xf>
    <xf numFmtId="0" fontId="0" fillId="0" borderId="0" xfId="0" applyAlignment="1">
      <alignment vertical="center" wrapText="1"/>
    </xf>
    <xf numFmtId="0" fontId="66" fillId="51" borderId="0" xfId="0" applyFont="1" applyFill="1" applyAlignment="1">
      <alignment vertical="center"/>
    </xf>
    <xf numFmtId="0" fontId="66" fillId="0" borderId="0" xfId="0" applyFont="1" applyAlignment="1">
      <alignment vertical="center"/>
    </xf>
    <xf numFmtId="0" fontId="0" fillId="0" borderId="0" xfId="0" applyFont="1" applyAlignment="1">
      <alignment vertical="center" wrapText="1"/>
    </xf>
    <xf numFmtId="0" fontId="0" fillId="50" borderId="0" xfId="0" applyFont="1" applyFill="1" applyAlignment="1">
      <alignment vertical="center"/>
    </xf>
    <xf numFmtId="0" fontId="15" fillId="0" borderId="0" xfId="0" applyFont="1" applyAlignment="1">
      <alignment vertical="center"/>
    </xf>
    <xf numFmtId="0" fontId="15" fillId="42" borderId="0" xfId="0" applyFont="1" applyFill="1" applyAlignment="1">
      <alignment vertical="center"/>
    </xf>
    <xf numFmtId="0" fontId="13" fillId="0" borderId="0" xfId="0" applyFont="1" applyAlignment="1">
      <alignment vertical="center"/>
    </xf>
    <xf numFmtId="0" fontId="53" fillId="0" borderId="0" xfId="0" applyFont="1" applyAlignment="1">
      <alignment vertical="center"/>
    </xf>
    <xf numFmtId="49" fontId="0" fillId="0" borderId="0" xfId="0" applyNumberFormat="1" applyAlignment="1">
      <alignment vertical="center"/>
    </xf>
    <xf numFmtId="0" fontId="0" fillId="51" borderId="0" xfId="0" applyFill="1" applyAlignment="1">
      <alignment vertical="center"/>
    </xf>
    <xf numFmtId="0" fontId="25" fillId="0" borderId="0" xfId="0" applyFont="1" applyAlignment="1">
      <alignment vertical="center"/>
    </xf>
    <xf numFmtId="0" fontId="66" fillId="0" borderId="0" xfId="0" applyFont="1" applyAlignment="1">
      <alignment vertical="center" wrapText="1"/>
    </xf>
    <xf numFmtId="0" fontId="65" fillId="0" borderId="0" xfId="0" applyFont="1" applyAlignment="1">
      <alignment vertical="center"/>
    </xf>
    <xf numFmtId="0" fontId="0" fillId="51" borderId="0" xfId="0" applyFont="1" applyFill="1" applyAlignment="1">
      <alignment vertical="center"/>
    </xf>
    <xf numFmtId="0" fontId="15" fillId="51" borderId="0" xfId="0" applyFont="1" applyFill="1" applyAlignment="1">
      <alignment vertical="center"/>
    </xf>
    <xf numFmtId="0" fontId="2" fillId="0" borderId="0" xfId="0" applyFont="1" applyAlignment="1">
      <alignment vertical="center" wrapText="1"/>
    </xf>
    <xf numFmtId="6" fontId="0" fillId="0" borderId="0" xfId="0" applyNumberFormat="1" applyAlignment="1">
      <alignment vertical="center"/>
    </xf>
    <xf numFmtId="0" fontId="66" fillId="47" borderId="0" xfId="0" applyFont="1" applyFill="1" applyAlignment="1">
      <alignment vertical="center"/>
    </xf>
    <xf numFmtId="0" fontId="0" fillId="47" borderId="0" xfId="0" applyFont="1" applyFill="1" applyAlignment="1">
      <alignment vertical="center"/>
    </xf>
    <xf numFmtId="6" fontId="0" fillId="0" borderId="0" xfId="0" applyNumberFormat="1" applyFont="1" applyAlignment="1">
      <alignment vertical="center"/>
    </xf>
    <xf numFmtId="6" fontId="66" fillId="0" borderId="0" xfId="0" applyNumberFormat="1" applyFont="1" applyAlignment="1">
      <alignment vertical="center"/>
    </xf>
    <xf numFmtId="0" fontId="3" fillId="47" borderId="0" xfId="35" applyFont="1" applyFill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67" fillId="51" borderId="0" xfId="0" applyFont="1" applyFill="1" applyAlignment="1">
      <alignment vertical="center"/>
    </xf>
    <xf numFmtId="0" fontId="3" fillId="51" borderId="0" xfId="0" applyFont="1" applyFill="1" applyAlignment="1">
      <alignment vertical="center"/>
    </xf>
    <xf numFmtId="0" fontId="0" fillId="0" borderId="0" xfId="83" applyFont="1" applyAlignment="1">
      <alignment horizontal="center"/>
    </xf>
    <xf numFmtId="0" fontId="55" fillId="0" borderId="0" xfId="83" applyFont="1" applyAlignment="1">
      <alignment horizontal="right"/>
    </xf>
    <xf numFmtId="0" fontId="0" fillId="0" borderId="0" xfId="83" applyFont="1"/>
    <xf numFmtId="0" fontId="0" fillId="0" borderId="0" xfId="83" quotePrefix="1" applyFont="1" applyAlignment="1">
      <alignment horizontal="center"/>
    </xf>
    <xf numFmtId="0" fontId="0" fillId="0" borderId="0" xfId="83" applyFont="1" applyFill="1"/>
    <xf numFmtId="0" fontId="1" fillId="0" borderId="0" xfId="83" applyFont="1" applyFill="1"/>
    <xf numFmtId="0" fontId="0" fillId="31" borderId="0" xfId="83" applyFont="1" applyFill="1" applyAlignment="1"/>
    <xf numFmtId="0" fontId="0" fillId="44" borderId="0" xfId="83" applyFont="1" applyFill="1" applyAlignment="1"/>
    <xf numFmtId="0" fontId="69" fillId="0" borderId="0" xfId="83" applyFont="1" applyFill="1"/>
    <xf numFmtId="0" fontId="0" fillId="24" borderId="0" xfId="83" applyFont="1" applyFill="1" applyAlignment="1"/>
    <xf numFmtId="0" fontId="69" fillId="24" borderId="0" xfId="83" applyFont="1" applyFill="1" applyAlignment="1"/>
    <xf numFmtId="0" fontId="0" fillId="33" borderId="0" xfId="83" applyFont="1" applyFill="1" applyAlignment="1"/>
    <xf numFmtId="0" fontId="0" fillId="33" borderId="0" xfId="83" applyFont="1" applyFill="1" applyAlignment="1">
      <alignment horizontal="center"/>
    </xf>
    <xf numFmtId="0" fontId="15" fillId="0" borderId="0" xfId="83" applyFont="1" applyFill="1"/>
    <xf numFmtId="0" fontId="15" fillId="0" borderId="0" xfId="83" applyFont="1" applyAlignment="1">
      <alignment horizontal="center"/>
    </xf>
    <xf numFmtId="0" fontId="69" fillId="0" borderId="0" xfId="83" applyFont="1"/>
    <xf numFmtId="0" fontId="70" fillId="0" borderId="0" xfId="84" applyFont="1">
      <alignment vertical="center"/>
    </xf>
    <xf numFmtId="0" fontId="0" fillId="0" borderId="0" xfId="83" applyFont="1" applyFill="1" applyAlignment="1"/>
    <xf numFmtId="0" fontId="1" fillId="0" borderId="0" xfId="85">
      <alignment vertical="center"/>
    </xf>
    <xf numFmtId="0" fontId="1" fillId="0" borderId="0" xfId="85" applyAlignment="1">
      <alignment horizontal="center" vertical="center"/>
    </xf>
    <xf numFmtId="0" fontId="0" fillId="0" borderId="0" xfId="85" applyFont="1">
      <alignment vertical="center"/>
    </xf>
    <xf numFmtId="0" fontId="1" fillId="0" borderId="0" xfId="84">
      <alignment vertical="center"/>
    </xf>
    <xf numFmtId="0" fontId="1" fillId="48" borderId="0" xfId="85" applyFill="1">
      <alignment vertical="center"/>
    </xf>
    <xf numFmtId="1" fontId="0" fillId="0" borderId="0" xfId="83" applyNumberFormat="1" applyFont="1" applyAlignment="1"/>
    <xf numFmtId="0" fontId="0" fillId="47" borderId="0" xfId="0" applyFill="1" applyAlignment="1">
      <alignment vertical="center"/>
    </xf>
    <xf numFmtId="0" fontId="2" fillId="47" borderId="0" xfId="51" applyFont="1" applyFill="1">
      <alignment vertical="center"/>
    </xf>
    <xf numFmtId="0" fontId="2" fillId="47" borderId="0" xfId="51" applyFill="1">
      <alignment vertical="center"/>
    </xf>
    <xf numFmtId="49" fontId="2" fillId="47" borderId="0" xfId="53" applyNumberFormat="1" applyFill="1" applyAlignment="1">
      <alignment horizontal="center" vertical="center"/>
    </xf>
    <xf numFmtId="0" fontId="2" fillId="47" borderId="0" xfId="53" applyFill="1" applyAlignment="1">
      <alignment horizontal="center" vertical="center"/>
    </xf>
    <xf numFmtId="49" fontId="0" fillId="47" borderId="0" xfId="51" applyNumberFormat="1" applyFont="1" applyFill="1">
      <alignment vertical="center"/>
    </xf>
    <xf numFmtId="0" fontId="2" fillId="47" borderId="0" xfId="53" applyFill="1">
      <alignment vertical="center"/>
    </xf>
    <xf numFmtId="0" fontId="0" fillId="47" borderId="0" xfId="51" applyFont="1" applyFill="1" applyAlignment="1">
      <alignment horizontal="center" vertical="center"/>
    </xf>
    <xf numFmtId="49" fontId="0" fillId="47" borderId="0" xfId="53" applyNumberFormat="1" applyFont="1" applyFill="1" applyAlignment="1">
      <alignment horizontal="center" vertical="center"/>
    </xf>
    <xf numFmtId="0" fontId="0" fillId="47" borderId="0" xfId="53" applyFont="1" applyFill="1" applyAlignment="1">
      <alignment horizontal="center" vertical="center"/>
    </xf>
    <xf numFmtId="177" fontId="2" fillId="47" borderId="0" xfId="21" applyNumberFormat="1" applyFont="1" applyFill="1" applyBorder="1"/>
    <xf numFmtId="0" fontId="0" fillId="39" borderId="0" xfId="37" applyFont="1" applyFill="1">
      <alignment vertical="center"/>
    </xf>
    <xf numFmtId="3" fontId="1" fillId="50" borderId="0" xfId="21" applyNumberFormat="1" applyFont="1" applyFill="1"/>
    <xf numFmtId="177" fontId="1" fillId="50" borderId="0" xfId="21" applyNumberFormat="1" applyFont="1" applyFill="1" applyAlignment="1">
      <alignment horizontal="center"/>
    </xf>
    <xf numFmtId="3" fontId="66" fillId="47" borderId="0" xfId="21" applyNumberFormat="1" applyFont="1" applyFill="1"/>
    <xf numFmtId="0" fontId="68" fillId="0" borderId="0" xfId="21" applyFont="1" applyFill="1" applyBorder="1" applyAlignment="1">
      <alignment horizontal="center"/>
    </xf>
    <xf numFmtId="1" fontId="2" fillId="47" borderId="0" xfId="39" applyNumberFormat="1" applyFont="1" applyFill="1" applyAlignment="1">
      <alignment horizontal="center"/>
    </xf>
    <xf numFmtId="43" fontId="2" fillId="47" borderId="0" xfId="55" applyFont="1" applyFill="1"/>
    <xf numFmtId="0" fontId="71" fillId="51" borderId="0" xfId="0" applyFont="1" applyFill="1"/>
    <xf numFmtId="179" fontId="0" fillId="0" borderId="0" xfId="0" applyNumberFormat="1" applyFont="1"/>
    <xf numFmtId="0" fontId="2" fillId="25" borderId="0" xfId="0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0" fontId="0" fillId="48" borderId="0" xfId="0" applyFill="1" applyBorder="1" applyAlignment="1">
      <alignment horizontal="center"/>
    </xf>
    <xf numFmtId="1" fontId="5" fillId="0" borderId="0" xfId="40" applyNumberFormat="1" applyFont="1"/>
    <xf numFmtId="4" fontId="2" fillId="0" borderId="0" xfId="21" applyNumberFormat="1" applyFont="1" applyFill="1"/>
    <xf numFmtId="0" fontId="0" fillId="0" borderId="0" xfId="0" applyFill="1"/>
    <xf numFmtId="0" fontId="1" fillId="0" borderId="0" xfId="0" applyFont="1"/>
    <xf numFmtId="14" fontId="9" fillId="0" borderId="0" xfId="40" applyNumberFormat="1" applyFont="1" applyAlignment="1">
      <alignment horizontal="center"/>
    </xf>
    <xf numFmtId="38" fontId="9" fillId="0" borderId="0" xfId="56" applyNumberFormat="1" applyFont="1" applyAlignment="1">
      <alignment horizontal="center"/>
    </xf>
    <xf numFmtId="0" fontId="9" fillId="0" borderId="0" xfId="40" applyFont="1" applyAlignment="1">
      <alignment horizontal="center"/>
    </xf>
    <xf numFmtId="0" fontId="5" fillId="0" borderId="0" xfId="40" applyFont="1" applyAlignment="1">
      <alignment horizontal="center"/>
    </xf>
    <xf numFmtId="0" fontId="5" fillId="0" borderId="0" xfId="40" applyFont="1"/>
    <xf numFmtId="38" fontId="9" fillId="0" borderId="0" xfId="56" applyNumberFormat="1" applyFont="1" applyAlignment="1">
      <alignment horizontal="right"/>
    </xf>
    <xf numFmtId="0" fontId="9" fillId="26" borderId="0" xfId="40" applyFont="1" applyFill="1" applyAlignment="1">
      <alignment horizontal="center"/>
    </xf>
    <xf numFmtId="0" fontId="5" fillId="25" borderId="0" xfId="40" applyFont="1" applyFill="1"/>
    <xf numFmtId="38" fontId="9" fillId="27" borderId="0" xfId="56" applyNumberFormat="1" applyFont="1" applyFill="1" applyAlignment="1">
      <alignment horizontal="right"/>
    </xf>
    <xf numFmtId="0" fontId="9" fillId="27" borderId="0" xfId="40" applyFont="1" applyFill="1" applyAlignment="1">
      <alignment horizontal="center"/>
    </xf>
    <xf numFmtId="0" fontId="5" fillId="24" borderId="0" xfId="40" applyFont="1" applyFill="1"/>
    <xf numFmtId="38" fontId="9" fillId="0" borderId="0" xfId="56" applyNumberFormat="1" applyFont="1" applyFill="1" applyAlignment="1">
      <alignment horizontal="right"/>
    </xf>
    <xf numFmtId="0" fontId="9" fillId="0" borderId="0" xfId="40" applyFont="1" applyFill="1" applyAlignment="1">
      <alignment horizontal="center"/>
    </xf>
    <xf numFmtId="0" fontId="5" fillId="0" borderId="0" xfId="40" applyFont="1" applyFill="1"/>
    <xf numFmtId="179" fontId="9" fillId="0" borderId="0" xfId="40" applyNumberFormat="1" applyFont="1" applyAlignment="1">
      <alignment horizontal="center"/>
    </xf>
    <xf numFmtId="179" fontId="9" fillId="26" borderId="0" xfId="40" applyNumberFormat="1" applyFont="1" applyFill="1" applyAlignment="1">
      <alignment horizontal="center"/>
    </xf>
    <xf numFmtId="179" fontId="9" fillId="27" borderId="0" xfId="40" applyNumberFormat="1" applyFont="1" applyFill="1" applyAlignment="1">
      <alignment horizontal="center"/>
    </xf>
    <xf numFmtId="0" fontId="5" fillId="28" borderId="0" xfId="40" applyFont="1" applyFill="1" applyAlignment="1">
      <alignment horizontal="center"/>
    </xf>
    <xf numFmtId="0" fontId="9" fillId="29" borderId="0" xfId="40" applyFont="1" applyFill="1" applyAlignment="1">
      <alignment horizontal="center"/>
    </xf>
    <xf numFmtId="0" fontId="10" fillId="29" borderId="0" xfId="40" applyFont="1" applyFill="1" applyAlignment="1">
      <alignment horizontal="center"/>
    </xf>
    <xf numFmtId="0" fontId="5" fillId="0" borderId="0" xfId="40" applyNumberFormat="1" applyFont="1" applyFill="1" applyAlignment="1">
      <alignment horizontal="center"/>
    </xf>
    <xf numFmtId="38" fontId="9" fillId="27" borderId="0" xfId="56" applyNumberFormat="1" applyFont="1" applyFill="1" applyAlignment="1">
      <alignment horizontal="center"/>
    </xf>
    <xf numFmtId="40" fontId="9" fillId="0" borderId="0" xfId="56" applyNumberFormat="1" applyFont="1" applyFill="1" applyAlignment="1">
      <alignment horizontal="right"/>
    </xf>
    <xf numFmtId="2" fontId="0" fillId="0" borderId="0" xfId="0" applyNumberFormat="1"/>
    <xf numFmtId="182" fontId="0" fillId="0" borderId="0" xfId="0" applyNumberFormat="1"/>
    <xf numFmtId="0" fontId="5" fillId="24" borderId="0" xfId="40" applyFont="1" applyFill="1" applyAlignment="1">
      <alignment horizontal="center"/>
    </xf>
    <xf numFmtId="38" fontId="9" fillId="0" borderId="0" xfId="40" applyNumberFormat="1" applyFont="1" applyFill="1" applyAlignment="1">
      <alignment horizontal="center"/>
    </xf>
    <xf numFmtId="0" fontId="0" fillId="0" borderId="0" xfId="0" applyFill="1" applyAlignment="1">
      <alignment horizontal="left"/>
    </xf>
    <xf numFmtId="0" fontId="5" fillId="25" borderId="0" xfId="40" applyFont="1" applyFill="1" applyAlignment="1">
      <alignment horizontal="center"/>
    </xf>
    <xf numFmtId="0" fontId="5" fillId="0" borderId="0" xfId="40" applyFont="1" applyFill="1" applyAlignment="1">
      <alignment horizontal="center"/>
    </xf>
    <xf numFmtId="0" fontId="5" fillId="31" borderId="0" xfId="40" applyFont="1" applyFill="1" applyAlignment="1">
      <alignment horizontal="center"/>
    </xf>
    <xf numFmtId="179" fontId="1" fillId="0" borderId="0" xfId="0" applyNumberFormat="1" applyFont="1" applyFill="1"/>
    <xf numFmtId="0" fontId="9" fillId="0" borderId="0" xfId="40" applyFont="1" applyAlignment="1">
      <alignment horizontal="left"/>
    </xf>
    <xf numFmtId="179" fontId="1" fillId="0" borderId="0" xfId="88" applyNumberFormat="1" applyFont="1" applyFill="1" applyAlignment="1">
      <alignment horizontal="center"/>
    </xf>
    <xf numFmtId="0" fontId="1" fillId="0" borderId="0" xfId="0" applyFont="1" applyAlignment="1"/>
    <xf numFmtId="14" fontId="5" fillId="0" borderId="0" xfId="0" applyNumberFormat="1" applyFont="1" applyFill="1"/>
    <xf numFmtId="40" fontId="9" fillId="27" borderId="0" xfId="56" applyNumberFormat="1" applyFont="1" applyFill="1" applyAlignment="1">
      <alignment horizontal="right"/>
    </xf>
    <xf numFmtId="0" fontId="0" fillId="0" borderId="0" xfId="31" applyFont="1" applyFill="1"/>
    <xf numFmtId="38" fontId="9" fillId="26" borderId="0" xfId="56" applyNumberFormat="1" applyFont="1" applyFill="1" applyAlignment="1">
      <alignment horizontal="right"/>
    </xf>
    <xf numFmtId="0" fontId="0" fillId="0" borderId="0" xfId="0" quotePrefix="1" applyAlignment="1">
      <alignment horizontal="center"/>
    </xf>
    <xf numFmtId="17" fontId="4" fillId="0" borderId="0" xfId="0" quotePrefix="1" applyNumberFormat="1" applyFont="1" applyFill="1" applyAlignment="1">
      <alignment horizontal="center"/>
    </xf>
    <xf numFmtId="0" fontId="66" fillId="0" borderId="0" xfId="28" applyFont="1" applyFill="1">
      <alignment vertical="center"/>
    </xf>
    <xf numFmtId="0" fontId="1" fillId="28" borderId="0" xfId="53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0" fillId="0" borderId="0" xfId="0" quotePrefix="1" applyFont="1" applyFill="1" applyAlignment="1">
      <alignment horizontal="center"/>
    </xf>
    <xf numFmtId="0" fontId="67" fillId="0" borderId="0" xfId="0" applyFont="1" applyAlignment="1">
      <alignment vertical="center"/>
    </xf>
    <xf numFmtId="1" fontId="66" fillId="0" borderId="0" xfId="39" applyNumberFormat="1" applyFont="1" applyAlignment="1">
      <alignment horizontal="center"/>
    </xf>
    <xf numFmtId="3" fontId="2" fillId="0" borderId="0" xfId="21" applyNumberFormat="1" applyFont="1"/>
    <xf numFmtId="0" fontId="66" fillId="0" borderId="0" xfId="28" applyFont="1" applyAlignment="1">
      <alignment horizontal="center" vertical="center"/>
    </xf>
    <xf numFmtId="0" fontId="66" fillId="0" borderId="0" xfId="28" applyFont="1" applyAlignment="1">
      <alignment vertical="center" wrapText="1"/>
    </xf>
    <xf numFmtId="188" fontId="1" fillId="0" borderId="0" xfId="28" applyNumberFormat="1" applyFont="1" applyFill="1" applyBorder="1">
      <alignment vertical="center"/>
    </xf>
    <xf numFmtId="0" fontId="1" fillId="0" borderId="0" xfId="28" applyFont="1">
      <alignment vertical="center"/>
    </xf>
    <xf numFmtId="0" fontId="1" fillId="0" borderId="0" xfId="28" applyFont="1" applyFill="1" applyBorder="1">
      <alignment vertical="center"/>
    </xf>
    <xf numFmtId="0" fontId="1" fillId="0" borderId="0" xfId="28" applyFont="1" applyFill="1">
      <alignment vertical="center"/>
    </xf>
    <xf numFmtId="0" fontId="1" fillId="0" borderId="0" xfId="50" applyFont="1">
      <alignment vertical="center"/>
    </xf>
    <xf numFmtId="0" fontId="1" fillId="0" borderId="0" xfId="50">
      <alignment vertical="center"/>
    </xf>
    <xf numFmtId="49" fontId="0" fillId="0" borderId="0" xfId="50" applyNumberFormat="1" applyFont="1">
      <alignment vertical="center"/>
    </xf>
    <xf numFmtId="0" fontId="0" fillId="0" borderId="0" xfId="50" applyFont="1" applyAlignment="1">
      <alignment horizontal="center" vertical="center"/>
    </xf>
    <xf numFmtId="49" fontId="0" fillId="0" borderId="0" xfId="50" applyNumberFormat="1" applyFont="1" applyAlignment="1">
      <alignment horizontal="center" vertical="center"/>
    </xf>
    <xf numFmtId="49" fontId="1" fillId="0" borderId="0" xfId="50" applyNumberFormat="1" applyAlignment="1">
      <alignment horizontal="center" vertical="center"/>
    </xf>
    <xf numFmtId="188" fontId="0" fillId="30" borderId="0" xfId="0" applyNumberFormat="1" applyFill="1" applyAlignment="1">
      <alignment horizontal="center"/>
    </xf>
    <xf numFmtId="0" fontId="13" fillId="57" borderId="0" xfId="28" applyFont="1" applyFill="1" applyAlignment="1">
      <alignment horizontal="center" vertical="center"/>
    </xf>
    <xf numFmtId="0" fontId="15" fillId="0" borderId="0" xfId="85" applyFont="1">
      <alignment vertical="center"/>
    </xf>
    <xf numFmtId="0" fontId="1" fillId="42" borderId="0" xfId="85" applyFill="1">
      <alignment vertical="center"/>
    </xf>
    <xf numFmtId="0" fontId="1" fillId="0" borderId="0" xfId="85" applyAlignment="1">
      <alignment vertical="center" wrapText="1"/>
    </xf>
    <xf numFmtId="0" fontId="15" fillId="42" borderId="0" xfId="85" applyFont="1" applyFill="1">
      <alignment vertical="center"/>
    </xf>
    <xf numFmtId="0" fontId="13" fillId="0" borderId="0" xfId="85" applyFont="1">
      <alignment vertical="center"/>
    </xf>
    <xf numFmtId="0" fontId="53" fillId="0" borderId="0" xfId="85" applyFont="1">
      <alignment vertical="center"/>
    </xf>
    <xf numFmtId="49" fontId="1" fillId="0" borderId="0" xfId="85" applyNumberFormat="1">
      <alignment vertical="center"/>
    </xf>
    <xf numFmtId="0" fontId="1" fillId="0" borderId="0" xfId="85" applyFill="1">
      <alignment vertical="center"/>
    </xf>
    <xf numFmtId="0" fontId="1" fillId="51" borderId="0" xfId="85" applyFill="1">
      <alignment vertical="center"/>
    </xf>
    <xf numFmtId="0" fontId="25" fillId="0" borderId="0" xfId="85" applyFont="1">
      <alignment vertical="center"/>
    </xf>
    <xf numFmtId="0" fontId="66" fillId="0" borderId="0" xfId="85" applyFont="1" applyAlignment="1">
      <alignment vertical="center" wrapText="1"/>
    </xf>
    <xf numFmtId="0" fontId="65" fillId="0" borderId="0" xfId="85" applyFont="1">
      <alignment vertical="center"/>
    </xf>
    <xf numFmtId="0" fontId="66" fillId="0" borderId="0" xfId="85" applyFont="1">
      <alignment vertical="center"/>
    </xf>
    <xf numFmtId="0" fontId="0" fillId="0" borderId="0" xfId="85" applyFont="1" applyAlignment="1">
      <alignment vertical="center" wrapText="1"/>
    </xf>
    <xf numFmtId="0" fontId="0" fillId="51" borderId="0" xfId="85" applyFont="1" applyFill="1">
      <alignment vertical="center"/>
    </xf>
    <xf numFmtId="0" fontId="15" fillId="51" borderId="0" xfId="85" applyFont="1" applyFill="1">
      <alignment vertical="center"/>
    </xf>
    <xf numFmtId="0" fontId="1" fillId="0" borderId="0" xfId="85" applyFont="1" applyAlignment="1">
      <alignment vertical="center" wrapText="1"/>
    </xf>
    <xf numFmtId="0" fontId="66" fillId="51" borderId="0" xfId="85" applyFont="1" applyFill="1">
      <alignment vertical="center"/>
    </xf>
    <xf numFmtId="6" fontId="1" fillId="0" borderId="0" xfId="85" applyNumberFormat="1">
      <alignment vertical="center"/>
    </xf>
    <xf numFmtId="0" fontId="0" fillId="0" borderId="0" xfId="85" applyFont="1" applyFill="1">
      <alignment vertical="center"/>
    </xf>
    <xf numFmtId="0" fontId="0" fillId="50" borderId="0" xfId="85" applyFont="1" applyFill="1">
      <alignment vertical="center"/>
    </xf>
    <xf numFmtId="0" fontId="66" fillId="47" borderId="0" xfId="85" applyFont="1" applyFill="1">
      <alignment vertical="center"/>
    </xf>
    <xf numFmtId="0" fontId="0" fillId="47" borderId="0" xfId="85" applyFont="1" applyFill="1">
      <alignment vertical="center"/>
    </xf>
    <xf numFmtId="6" fontId="0" fillId="0" borderId="0" xfId="85" applyNumberFormat="1" applyFont="1">
      <alignment vertical="center"/>
    </xf>
    <xf numFmtId="6" fontId="66" fillId="0" borderId="0" xfId="85" applyNumberFormat="1" applyFont="1">
      <alignment vertical="center"/>
    </xf>
    <xf numFmtId="0" fontId="0" fillId="0" borderId="0" xfId="85" applyNumberFormat="1" applyFont="1">
      <alignment vertical="center"/>
    </xf>
    <xf numFmtId="0" fontId="66" fillId="0" borderId="0" xfId="85" applyNumberFormat="1" applyFont="1">
      <alignment vertical="center"/>
    </xf>
    <xf numFmtId="0" fontId="66" fillId="0" borderId="0" xfId="83" applyFont="1" applyFill="1"/>
    <xf numFmtId="0" fontId="66" fillId="24" borderId="0" xfId="83" applyFont="1" applyFill="1" applyAlignment="1"/>
    <xf numFmtId="0" fontId="66" fillId="0" borderId="0" xfId="83" applyFont="1"/>
    <xf numFmtId="0" fontId="70" fillId="0" borderId="0" xfId="85" applyFont="1">
      <alignment vertical="center"/>
    </xf>
    <xf numFmtId="0" fontId="0" fillId="0" borderId="0" xfId="85" applyFont="1" applyAlignment="1">
      <alignment horizontal="center" vertical="center"/>
    </xf>
    <xf numFmtId="0" fontId="1" fillId="0" borderId="0" xfId="50" applyAlignment="1">
      <alignment horizontal="center" vertical="center"/>
    </xf>
    <xf numFmtId="0" fontId="3" fillId="0" borderId="0" xfId="85" applyFont="1">
      <alignment vertical="center"/>
    </xf>
    <xf numFmtId="0" fontId="3" fillId="0" borderId="0" xfId="85" applyFont="1" applyAlignment="1">
      <alignment vertical="center" wrapText="1"/>
    </xf>
    <xf numFmtId="0" fontId="3" fillId="51" borderId="0" xfId="85" applyFont="1" applyFill="1">
      <alignment vertical="center"/>
    </xf>
    <xf numFmtId="14" fontId="0" fillId="0" borderId="0" xfId="21" applyNumberFormat="1" applyFont="1" applyAlignment="1">
      <alignment horizontal="center"/>
    </xf>
    <xf numFmtId="0" fontId="1" fillId="47" borderId="0" xfId="21" applyFont="1" applyFill="1" applyAlignment="1">
      <alignment horizontal="left"/>
    </xf>
    <xf numFmtId="177" fontId="4" fillId="0" borderId="0" xfId="21" applyNumberFormat="1" applyFont="1" applyBorder="1" applyAlignment="1">
      <alignment horizontal="center"/>
    </xf>
    <xf numFmtId="177" fontId="2" fillId="50" borderId="0" xfId="21" applyNumberFormat="1" applyFont="1" applyFill="1"/>
    <xf numFmtId="177" fontId="1" fillId="50" borderId="0" xfId="21" applyNumberFormat="1" applyFont="1" applyFill="1"/>
    <xf numFmtId="177" fontId="2" fillId="0" borderId="0" xfId="21" applyNumberFormat="1" applyFont="1" applyFill="1" applyAlignment="1">
      <alignment horizontal="center"/>
    </xf>
    <xf numFmtId="177" fontId="2" fillId="39" borderId="0" xfId="21" applyNumberFormat="1" applyFont="1" applyFill="1" applyAlignment="1">
      <alignment horizontal="center"/>
    </xf>
    <xf numFmtId="177" fontId="0" fillId="35" borderId="0" xfId="21" applyNumberFormat="1" applyFont="1" applyFill="1"/>
    <xf numFmtId="177" fontId="2" fillId="0" borderId="0" xfId="37" applyNumberFormat="1" applyFill="1">
      <alignment vertical="center"/>
    </xf>
    <xf numFmtId="177" fontId="61" fillId="47" borderId="0" xfId="21" applyNumberFormat="1" applyFont="1" applyFill="1" applyAlignment="1">
      <alignment horizontal="left"/>
    </xf>
    <xf numFmtId="177" fontId="13" fillId="0" borderId="0" xfId="28" applyNumberFormat="1">
      <alignment vertical="center"/>
    </xf>
    <xf numFmtId="177" fontId="13" fillId="0" borderId="0" xfId="28" applyNumberFormat="1" applyFill="1" applyBorder="1">
      <alignment vertical="center"/>
    </xf>
    <xf numFmtId="177" fontId="2" fillId="39" borderId="0" xfId="37" applyNumberFormat="1" applyFill="1">
      <alignment vertical="center"/>
    </xf>
    <xf numFmtId="177" fontId="0" fillId="39" borderId="0" xfId="37" applyNumberFormat="1" applyFont="1" applyFill="1">
      <alignment vertical="center"/>
    </xf>
    <xf numFmtId="177" fontId="0" fillId="0" borderId="0" xfId="21" applyNumberFormat="1" applyFont="1"/>
    <xf numFmtId="177" fontId="2" fillId="38" borderId="0" xfId="21" applyNumberFormat="1" applyFont="1" applyFill="1" applyAlignment="1">
      <alignment horizontal="center"/>
    </xf>
    <xf numFmtId="177" fontId="0" fillId="0" borderId="0" xfId="21" applyNumberFormat="1" applyFont="1" applyAlignment="1">
      <alignment horizontal="center"/>
    </xf>
    <xf numFmtId="177" fontId="2" fillId="0" borderId="0" xfId="48" applyNumberFormat="1" applyBorder="1" applyAlignment="1">
      <alignment horizontal="center"/>
    </xf>
    <xf numFmtId="177" fontId="2" fillId="39" borderId="0" xfId="48" applyNumberFormat="1" applyFill="1" applyBorder="1" applyAlignment="1">
      <alignment horizontal="center"/>
    </xf>
    <xf numFmtId="177" fontId="2" fillId="0" borderId="0" xfId="48" applyNumberFormat="1" applyFill="1" applyBorder="1" applyAlignment="1">
      <alignment horizontal="center"/>
    </xf>
    <xf numFmtId="177" fontId="2" fillId="0" borderId="0" xfId="48" applyNumberFormat="1" applyBorder="1"/>
    <xf numFmtId="177" fontId="2" fillId="47" borderId="0" xfId="48" applyNumberFormat="1" applyFill="1" applyBorder="1" applyAlignment="1">
      <alignment horizontal="center"/>
    </xf>
    <xf numFmtId="177" fontId="2" fillId="0" borderId="0" xfId="48" applyNumberFormat="1" applyFont="1" applyFill="1" applyBorder="1" applyAlignment="1">
      <alignment horizontal="center"/>
    </xf>
    <xf numFmtId="177" fontId="2" fillId="39" borderId="0" xfId="48" applyNumberFormat="1" applyFont="1" applyFill="1" applyBorder="1" applyAlignment="1">
      <alignment horizontal="center"/>
    </xf>
    <xf numFmtId="177" fontId="2" fillId="47" borderId="0" xfId="48" applyNumberFormat="1" applyFont="1" applyFill="1" applyBorder="1"/>
    <xf numFmtId="177" fontId="2" fillId="47" borderId="0" xfId="21" applyNumberFormat="1" applyFont="1" applyFill="1"/>
    <xf numFmtId="177" fontId="2" fillId="58" borderId="0" xfId="21" applyNumberFormat="1" applyFont="1" applyFill="1"/>
    <xf numFmtId="177" fontId="2" fillId="49" borderId="0" xfId="21" applyNumberFormat="1" applyFont="1" applyFill="1"/>
    <xf numFmtId="177" fontId="1" fillId="49" borderId="0" xfId="21" applyNumberFormat="1" applyFont="1" applyFill="1"/>
    <xf numFmtId="0" fontId="2" fillId="25" borderId="0" xfId="0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177" fontId="1" fillId="0" borderId="0" xfId="21" applyNumberFormat="1" applyFont="1" applyFill="1"/>
    <xf numFmtId="49" fontId="5" fillId="48" borderId="0" xfId="48" applyNumberFormat="1" applyFont="1" applyFill="1" applyBorder="1" applyAlignment="1">
      <alignment horizontal="center"/>
    </xf>
    <xf numFmtId="14" fontId="2" fillId="48" borderId="12" xfId="48" applyNumberFormat="1" applyFont="1" applyFill="1" applyBorder="1" applyAlignment="1">
      <alignment horizontal="center"/>
    </xf>
    <xf numFmtId="177" fontId="2" fillId="48" borderId="0" xfId="21" applyNumberFormat="1" applyFont="1" applyFill="1" applyBorder="1" applyAlignment="1">
      <alignment horizontal="center"/>
    </xf>
    <xf numFmtId="177" fontId="13" fillId="48" borderId="0" xfId="28" applyNumberFormat="1" applyFill="1">
      <alignment vertical="center"/>
    </xf>
    <xf numFmtId="177" fontId="13" fillId="48" borderId="0" xfId="28" applyNumberFormat="1" applyFill="1" applyBorder="1">
      <alignment vertical="center"/>
    </xf>
    <xf numFmtId="177" fontId="2" fillId="48" borderId="0" xfId="21" applyNumberFormat="1" applyFont="1" applyFill="1" applyBorder="1"/>
    <xf numFmtId="177" fontId="2" fillId="48" borderId="0" xfId="48" applyNumberFormat="1" applyFill="1" applyBorder="1" applyAlignment="1">
      <alignment horizontal="center"/>
    </xf>
    <xf numFmtId="177" fontId="2" fillId="48" borderId="0" xfId="48" applyNumberFormat="1" applyFill="1" applyBorder="1"/>
    <xf numFmtId="188" fontId="13" fillId="48" borderId="0" xfId="28" applyNumberFormat="1" applyFill="1" applyBorder="1">
      <alignment vertical="center"/>
    </xf>
    <xf numFmtId="177" fontId="2" fillId="48" borderId="0" xfId="21" applyNumberFormat="1" applyFont="1" applyFill="1"/>
    <xf numFmtId="0" fontId="2" fillId="48" borderId="0" xfId="21" applyFont="1" applyFill="1"/>
    <xf numFmtId="0" fontId="0" fillId="47" borderId="0" xfId="21" applyFont="1" applyFill="1"/>
    <xf numFmtId="14" fontId="2" fillId="0" borderId="0" xfId="21" applyNumberFormat="1" applyFont="1" applyFill="1" applyAlignment="1">
      <alignment horizontal="center" vertical="center"/>
    </xf>
    <xf numFmtId="177" fontId="2" fillId="0" borderId="0" xfId="21" applyNumberFormat="1" applyFont="1" applyFill="1" applyAlignment="1">
      <alignment horizontal="center" vertical="center"/>
    </xf>
    <xf numFmtId="0" fontId="0" fillId="0" borderId="0" xfId="21" applyFont="1" applyFill="1" applyAlignment="1">
      <alignment horizontal="center" vertical="center"/>
    </xf>
    <xf numFmtId="177" fontId="2" fillId="39" borderId="0" xfId="21" applyNumberFormat="1" applyFont="1" applyFill="1" applyAlignment="1">
      <alignment horizontal="right"/>
    </xf>
    <xf numFmtId="0" fontId="2" fillId="48" borderId="0" xfId="48" applyNumberFormat="1" applyFill="1" applyBorder="1" applyAlignment="1">
      <alignment horizontal="center"/>
    </xf>
    <xf numFmtId="0" fontId="2" fillId="0" borderId="0" xfId="48" applyNumberFormat="1" applyFill="1" applyBorder="1" applyAlignment="1">
      <alignment horizontal="center"/>
    </xf>
    <xf numFmtId="0" fontId="2" fillId="0" borderId="0" xfId="48" applyNumberFormat="1" applyBorder="1" applyAlignment="1">
      <alignment horizontal="center"/>
    </xf>
    <xf numFmtId="1" fontId="1" fillId="0" borderId="0" xfId="39" applyNumberFormat="1" applyFont="1" applyAlignment="1">
      <alignment horizontal="center"/>
    </xf>
    <xf numFmtId="0" fontId="0" fillId="0" borderId="0" xfId="21" applyFont="1" applyFill="1" applyAlignment="1">
      <alignment horizontal="center"/>
    </xf>
    <xf numFmtId="179" fontId="75" fillId="0" borderId="0" xfId="55" applyNumberFormat="1" applyFont="1" applyFill="1" applyAlignment="1">
      <alignment horizontal="center"/>
    </xf>
    <xf numFmtId="179" fontId="75" fillId="0" borderId="0" xfId="55" applyNumberFormat="1" applyFont="1" applyFill="1"/>
    <xf numFmtId="179" fontId="75" fillId="0" borderId="0" xfId="0" applyNumberFormat="1" applyFont="1"/>
    <xf numFmtId="179" fontId="75" fillId="54" borderId="0" xfId="55" applyNumberFormat="1" applyFont="1" applyFill="1" applyAlignment="1">
      <alignment horizontal="center"/>
    </xf>
    <xf numFmtId="179" fontId="75" fillId="0" borderId="0" xfId="0" applyNumberFormat="1" applyFont="1" applyFill="1"/>
    <xf numFmtId="179" fontId="75" fillId="0" borderId="0" xfId="55" applyNumberFormat="1" applyFont="1" applyAlignment="1">
      <alignment horizontal="center"/>
    </xf>
    <xf numFmtId="43" fontId="75" fillId="0" borderId="0" xfId="55" applyNumberFormat="1" applyFont="1" applyFill="1" applyAlignment="1">
      <alignment horizontal="center"/>
    </xf>
    <xf numFmtId="0" fontId="0" fillId="45" borderId="0" xfId="0" applyFill="1" applyAlignment="1">
      <alignment horizontal="center"/>
    </xf>
    <xf numFmtId="0" fontId="2" fillId="45" borderId="0" xfId="0" applyFont="1" applyFill="1" applyAlignment="1">
      <alignment horizontal="center"/>
    </xf>
    <xf numFmtId="0" fontId="2" fillId="25" borderId="0" xfId="0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0" fontId="2" fillId="33" borderId="0" xfId="0" applyFont="1" applyFill="1" applyAlignment="1">
      <alignment horizontal="center"/>
    </xf>
    <xf numFmtId="0" fontId="2" fillId="28" borderId="0" xfId="0" applyFont="1" applyFill="1" applyAlignment="1">
      <alignment horizontal="center"/>
    </xf>
    <xf numFmtId="0" fontId="2" fillId="41" borderId="0" xfId="0" applyFont="1" applyFill="1" applyAlignment="1">
      <alignment horizontal="center"/>
    </xf>
    <xf numFmtId="0" fontId="2" fillId="40" borderId="0" xfId="0" applyFont="1" applyFill="1" applyAlignment="1">
      <alignment horizontal="center"/>
    </xf>
    <xf numFmtId="0" fontId="2" fillId="38" borderId="0" xfId="0" applyFont="1" applyFill="1" applyAlignment="1">
      <alignment horizontal="center"/>
    </xf>
    <xf numFmtId="0" fontId="2" fillId="43" borderId="0" xfId="0" applyFont="1" applyFill="1" applyAlignment="1">
      <alignment horizontal="center"/>
    </xf>
    <xf numFmtId="0" fontId="0" fillId="48" borderId="0" xfId="0" applyFont="1" applyFill="1" applyAlignment="1">
      <alignment horizontal="center"/>
    </xf>
    <xf numFmtId="0" fontId="1" fillId="48" borderId="0" xfId="0" applyFont="1" applyFill="1" applyAlignment="1">
      <alignment horizontal="center"/>
    </xf>
    <xf numFmtId="43" fontId="1" fillId="0" borderId="0" xfId="0" applyNumberFormat="1" applyFont="1" applyFill="1"/>
    <xf numFmtId="179" fontId="0" fillId="51" borderId="0" xfId="55" applyNumberFormat="1" applyFont="1" applyFill="1" applyAlignment="1">
      <alignment horizontal="center"/>
    </xf>
  </cellXfs>
  <cellStyles count="90">
    <cellStyle name="20% - 輔色1" xfId="1"/>
    <cellStyle name="20% - 輔色2" xfId="2"/>
    <cellStyle name="20% - 輔色3" xfId="3"/>
    <cellStyle name="20% - 輔色4" xfId="4"/>
    <cellStyle name="20% - 輔色5" xfId="5"/>
    <cellStyle name="20% - 輔色6" xfId="6"/>
    <cellStyle name="40% - 輔色1" xfId="7"/>
    <cellStyle name="40% - 輔色2" xfId="8"/>
    <cellStyle name="40% - 輔色3" xfId="9"/>
    <cellStyle name="40% - 輔色4" xfId="10"/>
    <cellStyle name="40% - 輔色5" xfId="11"/>
    <cellStyle name="40% - 輔色6" xfId="12"/>
    <cellStyle name="60% - 輔色1" xfId="13"/>
    <cellStyle name="60% - 輔色2" xfId="14"/>
    <cellStyle name="60% - 輔色3" xfId="15"/>
    <cellStyle name="60% - 輔色4" xfId="16"/>
    <cellStyle name="60% - 輔色5" xfId="17"/>
    <cellStyle name="60% - 輔色6" xfId="18"/>
    <cellStyle name="一般" xfId="0" builtinId="0"/>
    <cellStyle name="一般 2" xfId="19"/>
    <cellStyle name="一般 2 2" xfId="20"/>
    <cellStyle name="一般 2 2 2" xfId="86"/>
    <cellStyle name="一般 2 2_Work-2014-tax-20140519-4 2" xfId="21"/>
    <cellStyle name="一般 2_3票" xfId="22"/>
    <cellStyle name="一般 3" xfId="23"/>
    <cellStyle name="一般 3 2" xfId="24"/>
    <cellStyle name="一般 3_3票" xfId="25"/>
    <cellStyle name="一般 4" xfId="26"/>
    <cellStyle name="一般 4 2" xfId="27"/>
    <cellStyle name="一般 4 2_Work-2014-tax-20140428-1" xfId="28"/>
    <cellStyle name="一般 4 2_Work-2014-tax-20140519-3" xfId="29"/>
    <cellStyle name="一般 4_ada-source-20120515" xfId="30"/>
    <cellStyle name="一般 5" xfId="31"/>
    <cellStyle name="一般 5 2" xfId="32"/>
    <cellStyle name="一般 5 2 2" xfId="83"/>
    <cellStyle name="一般 5 2_Work-2014-tax-20150518-103Y度" xfId="33"/>
    <cellStyle name="一般 5_3票" xfId="34"/>
    <cellStyle name="一般 6" xfId="35"/>
    <cellStyle name="一般 6 2" xfId="85"/>
    <cellStyle name="一般 6_Work-2014-tax-20140428-1 2" xfId="36"/>
    <cellStyle name="一般 6_Work-2014-tax-20140519-4 2" xfId="37"/>
    <cellStyle name="一般 7" xfId="38"/>
    <cellStyle name="一般 7 2" xfId="87"/>
    <cellStyle name="一般 8" xfId="84"/>
    <cellStyle name="一般_1-2月進項_Work-2014-tax-20140519-4 2" xfId="39"/>
    <cellStyle name="一般_91-進銷存-0519-1" xfId="40"/>
    <cellStyle name="一般_92年進貨-4" xfId="41"/>
    <cellStyle name="一般_94-HS餘額-0518-1" xfId="42"/>
    <cellStyle name="一般_ada-1223-2-進項進貨-for-dv-pay-20101223-2 2_Work-2014-tax-20140519-3 2" xfId="43"/>
    <cellStyle name="一般_Komodo-6" xfId="44"/>
    <cellStyle name="一般_Komodo-6_Work-2014-tax-20140519-4 2" xfId="45"/>
    <cellStyle name="一般_代購-940523_Work-2014-tax-20140519-4 2" xfId="46"/>
    <cellStyle name="一般_進項進貨" xfId="47"/>
    <cellStyle name="一般_進項進貨 2_Work-2014-tax-20140519-4 2" xfId="48"/>
    <cellStyle name="一般_進項進貨 2_Work-2014-tax-20150518-103Y度 2" xfId="49"/>
    <cellStyle name="一般_銷項" xfId="50"/>
    <cellStyle name="一般_銷項 2" xfId="51"/>
    <cellStyle name="一般_銷項 2_Work-2014-tax-20140519-3" xfId="52"/>
    <cellStyle name="一般_銷項 2_Work-2014-tax-20140519-3 2" xfId="53"/>
    <cellStyle name="一般_銷項 2_Work-2014-tax-20150518-103Y度 2" xfId="54"/>
    <cellStyle name="千分位" xfId="55" builtinId="3"/>
    <cellStyle name="千分位 2" xfId="88"/>
    <cellStyle name="千分位_91-進銷存-0519-1" xfId="56"/>
    <cellStyle name="中等" xfId="57"/>
    <cellStyle name="合計" xfId="58"/>
    <cellStyle name="好" xfId="59"/>
    <cellStyle name="百分比" xfId="60" builtinId="5"/>
    <cellStyle name="百分比 2" xfId="89"/>
    <cellStyle name="計算方式" xfId="61"/>
    <cellStyle name="連結的儲存格" xfId="62"/>
    <cellStyle name="備註" xfId="63"/>
    <cellStyle name="備註 2" xfId="64"/>
    <cellStyle name="超連結" xfId="65" builtinId="8"/>
    <cellStyle name="說明文字" xfId="66"/>
    <cellStyle name="輔色1" xfId="67"/>
    <cellStyle name="輔色2" xfId="68"/>
    <cellStyle name="輔色3" xfId="69"/>
    <cellStyle name="輔色4" xfId="70"/>
    <cellStyle name="輔色5" xfId="71"/>
    <cellStyle name="輔色6" xfId="72"/>
    <cellStyle name="標題" xfId="73"/>
    <cellStyle name="標題 1" xfId="74"/>
    <cellStyle name="標題 2" xfId="75"/>
    <cellStyle name="標題 3" xfId="76"/>
    <cellStyle name="標題 4" xfId="77"/>
    <cellStyle name="輸入" xfId="78"/>
    <cellStyle name="輸出" xfId="79"/>
    <cellStyle name="檢查儲存格" xfId="80"/>
    <cellStyle name="壞" xfId="81"/>
    <cellStyle name="警告文字" xfId="82"/>
  </cellStyles>
  <dxfs count="0"/>
  <tableStyles count="0" defaultTableStyle="TableStyleMedium9" defaultPivotStyle="PivotStyleLight16"/>
  <colors>
    <mruColors>
      <color rgb="FF00CCFF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3358</xdr:row>
      <xdr:rowOff>0</xdr:rowOff>
    </xdr:from>
    <xdr:to>
      <xdr:col>21</xdr:col>
      <xdr:colOff>121920</xdr:colOff>
      <xdr:row>3358</xdr:row>
      <xdr:rowOff>1531620</xdr:rowOff>
    </xdr:to>
    <xdr:pic>
      <xdr:nvPicPr>
        <xdr:cNvPr id="94729" name="圖片 1" descr="C:\Users\win764\Documents\Tencent Files\2901783383\Image\C2C\`Q)8KLQBKTVNCOA4~LBAO9Y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1040" y="755172480"/>
          <a:ext cx="7437120" cy="153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3359</xdr:row>
      <xdr:rowOff>0</xdr:rowOff>
    </xdr:from>
    <xdr:to>
      <xdr:col>20</xdr:col>
      <xdr:colOff>205740</xdr:colOff>
      <xdr:row>3359</xdr:row>
      <xdr:rowOff>1531620</xdr:rowOff>
    </xdr:to>
    <xdr:pic>
      <xdr:nvPicPr>
        <xdr:cNvPr id="2" name="圖片 1" descr="C:\Users\win764\Documents\Tencent Files\2901783383\Image\C2C\`Q)8KLQBKTVNCOA4~LBAO9Y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791610050"/>
          <a:ext cx="7451090" cy="153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3507</xdr:row>
      <xdr:rowOff>0</xdr:rowOff>
    </xdr:from>
    <xdr:to>
      <xdr:col>22</xdr:col>
      <xdr:colOff>121920</xdr:colOff>
      <xdr:row>3507</xdr:row>
      <xdr:rowOff>1539240</xdr:rowOff>
    </xdr:to>
    <xdr:pic>
      <xdr:nvPicPr>
        <xdr:cNvPr id="3" name="圖片 3" descr="C:\Users\win1064\Documents\Tencent Files\2901783383\Image\C2C\T9EFZD1SOHA5BMIX4NGZ52D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6600" y="837520550"/>
          <a:ext cx="7437120" cy="1539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3523</xdr:row>
      <xdr:rowOff>0</xdr:rowOff>
    </xdr:from>
    <xdr:to>
      <xdr:col>19</xdr:col>
      <xdr:colOff>441960</xdr:colOff>
      <xdr:row>3524</xdr:row>
      <xdr:rowOff>83820</xdr:rowOff>
    </xdr:to>
    <xdr:pic>
      <xdr:nvPicPr>
        <xdr:cNvPr id="4" name="圖片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6600" y="842962500"/>
          <a:ext cx="5928360" cy="1525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0</xdr:colOff>
      <xdr:row>3533</xdr:row>
      <xdr:rowOff>0</xdr:rowOff>
    </xdr:from>
    <xdr:ext cx="5928360" cy="1524000"/>
    <xdr:pic>
      <xdr:nvPicPr>
        <xdr:cNvPr id="5" name="圖片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6600" y="847210650"/>
          <a:ext cx="592836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76200</xdr:colOff>
      <xdr:row>3737</xdr:row>
      <xdr:rowOff>57150</xdr:rowOff>
    </xdr:from>
    <xdr:to>
      <xdr:col>20</xdr:col>
      <xdr:colOff>589628</xdr:colOff>
      <xdr:row>3737</xdr:row>
      <xdr:rowOff>1847626</xdr:rowOff>
    </xdr:to>
    <xdr:pic>
      <xdr:nvPicPr>
        <xdr:cNvPr id="6" name="圖片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02800" y="903833600"/>
          <a:ext cx="6609428" cy="17904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69</xdr:row>
      <xdr:rowOff>0</xdr:rowOff>
    </xdr:from>
    <xdr:to>
      <xdr:col>29</xdr:col>
      <xdr:colOff>190500</xdr:colOff>
      <xdr:row>86</xdr:row>
      <xdr:rowOff>91440</xdr:rowOff>
    </xdr:to>
    <xdr:pic>
      <xdr:nvPicPr>
        <xdr:cNvPr id="93700" name="圖片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4280" y="14196060"/>
          <a:ext cx="6979920" cy="3589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www.etax.nat.gov.tw/etwmain/front/ETW118W/CON/526/8834575894388476791?tagCode=" TargetMode="External"/><Relationship Id="rId4" Type="http://schemas.openxmlformats.org/officeDocument/2006/relationships/comments" Target="../comments1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s://www.ntbt.gov.tw/etwmain/web/ETW118W/CON/2102/5814642093583102744" TargetMode="External"/><Relationship Id="rId1" Type="http://schemas.openxmlformats.org/officeDocument/2006/relationships/hyperlink" Target="https://www.etax.nat.gov.tw/etwmain/front/ETW118W/CON/526/8834575894388476791?tagCode=" TargetMode="External"/><Relationship Id="rId6" Type="http://schemas.openxmlformats.org/officeDocument/2006/relationships/comments" Target="../comments13.xml"/><Relationship Id="rId5" Type="http://schemas.openxmlformats.org/officeDocument/2006/relationships/vmlDrawing" Target="../drawings/vmlDrawing13.vml"/><Relationship Id="rId4" Type="http://schemas.openxmlformats.org/officeDocument/2006/relationships/drawing" Target="../drawings/drawing3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www.etax.nat.gov.tw/etwmain/front/ETW118W/CON/526/8834575894388476791?tagCode=" TargetMode="External"/><Relationship Id="rId4" Type="http://schemas.openxmlformats.org/officeDocument/2006/relationships/comments" Target="../comments14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www.etax.nat.gov.tw/etwmain/front/ETW118W/CON/526/8834575894388476791?tagCode=" TargetMode="External"/><Relationship Id="rId4" Type="http://schemas.openxmlformats.org/officeDocument/2006/relationships/comments" Target="../comments1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610"/>
  <sheetViews>
    <sheetView zoomScale="90" zoomScaleNormal="90" workbookViewId="0">
      <pane ySplit="2" topLeftCell="A533" activePane="bottomLeft" state="frozen"/>
      <selection pane="bottomLeft" activeCell="E538" sqref="E538"/>
    </sheetView>
  </sheetViews>
  <sheetFormatPr defaultColWidth="9" defaultRowHeight="16.5"/>
  <cols>
    <col min="1" max="1" width="11" style="345" bestFit="1" customWidth="1"/>
    <col min="2" max="2" width="13" style="345" bestFit="1" customWidth="1"/>
    <col min="3" max="3" width="9" style="345"/>
    <col min="4" max="4" width="6.125" style="345" bestFit="1" customWidth="1"/>
    <col min="5" max="5" width="10" style="345" bestFit="1" customWidth="1"/>
    <col min="6" max="6" width="9" style="345"/>
    <col min="7" max="7" width="10" style="345" customWidth="1"/>
    <col min="8" max="8" width="10.875" style="350" customWidth="1"/>
    <col min="9" max="9" width="10" style="350" customWidth="1"/>
    <col min="10" max="10" width="9.75" style="350" bestFit="1" customWidth="1"/>
    <col min="11" max="11" width="9.75" style="350" customWidth="1"/>
    <col min="12" max="12" width="9.125" style="350" customWidth="1"/>
    <col min="13" max="13" width="9.75" style="350" bestFit="1" customWidth="1"/>
    <col min="14" max="14" width="9" style="351"/>
    <col min="15" max="15" width="10" style="351" bestFit="1" customWidth="1"/>
    <col min="16" max="16" width="9.75" style="345" customWidth="1"/>
    <col min="17" max="16384" width="9" style="345"/>
  </cols>
  <sheetData>
    <row r="1" spans="1:16">
      <c r="A1" s="341" t="s">
        <v>241</v>
      </c>
      <c r="B1" s="341" t="s">
        <v>2680</v>
      </c>
      <c r="C1" s="341" t="s">
        <v>2681</v>
      </c>
      <c r="D1" s="341" t="s">
        <v>1373</v>
      </c>
      <c r="E1" s="342" t="s">
        <v>2682</v>
      </c>
      <c r="F1" s="342" t="s">
        <v>2683</v>
      </c>
      <c r="G1" s="341" t="s">
        <v>2684</v>
      </c>
      <c r="H1" s="343" t="s">
        <v>1275</v>
      </c>
      <c r="I1" s="343" t="s">
        <v>2435</v>
      </c>
      <c r="J1" s="343" t="s">
        <v>3740</v>
      </c>
      <c r="K1" s="398" t="s">
        <v>4467</v>
      </c>
      <c r="L1" s="343" t="s">
        <v>3741</v>
      </c>
      <c r="M1" s="343" t="s">
        <v>2436</v>
      </c>
      <c r="N1" s="344" t="s">
        <v>2420</v>
      </c>
      <c r="O1" s="344" t="s">
        <v>2419</v>
      </c>
      <c r="P1" s="344" t="s">
        <v>2437</v>
      </c>
    </row>
    <row r="2" spans="1:16" s="114" customFormat="1" ht="9.75" customHeight="1">
      <c r="A2" s="223"/>
      <c r="B2" s="211"/>
      <c r="C2" s="224"/>
      <c r="D2" s="211"/>
      <c r="F2" s="224"/>
      <c r="G2" s="225"/>
      <c r="H2" s="211"/>
      <c r="I2" s="224"/>
      <c r="J2" s="211"/>
      <c r="K2" s="211"/>
      <c r="M2" s="211"/>
      <c r="O2" s="211"/>
    </row>
    <row r="3" spans="1:16" s="347" customFormat="1">
      <c r="A3" s="346" t="s">
        <v>1387</v>
      </c>
      <c r="D3" s="348" t="s">
        <v>2377</v>
      </c>
      <c r="E3" s="349">
        <f>SUM(E4:E10)</f>
        <v>27000</v>
      </c>
      <c r="F3" s="349">
        <f>SUM(F4:F10)</f>
        <v>1350</v>
      </c>
      <c r="G3" s="349">
        <f>SUM(G4:G10)</f>
        <v>173600</v>
      </c>
      <c r="H3" s="349"/>
      <c r="J3" s="349">
        <f>SUM(J4:J10)</f>
        <v>129750</v>
      </c>
      <c r="K3" s="349"/>
      <c r="L3" s="349">
        <f>SUM(L4:L10)</f>
        <v>35985</v>
      </c>
      <c r="M3" s="349">
        <f>SUM(M4:M10)</f>
        <v>165735</v>
      </c>
      <c r="N3" s="349">
        <f>SUM(N4:N10)</f>
        <v>105</v>
      </c>
      <c r="O3" s="349">
        <f>SUM(O4:O10)</f>
        <v>5700</v>
      </c>
    </row>
    <row r="4" spans="1:16">
      <c r="A4" s="166">
        <v>98032001</v>
      </c>
      <c r="C4" t="s">
        <v>2685</v>
      </c>
      <c r="G4" s="123">
        <v>12915</v>
      </c>
      <c r="H4" s="350">
        <v>8</v>
      </c>
      <c r="I4" s="350">
        <v>54</v>
      </c>
      <c r="L4" s="350">
        <v>12900</v>
      </c>
      <c r="M4" s="350">
        <f t="shared" ref="M4:M10" si="0">J4+L4</f>
        <v>12900</v>
      </c>
      <c r="N4" s="351">
        <v>15</v>
      </c>
      <c r="O4" s="351">
        <f>G4-M4-N4</f>
        <v>0</v>
      </c>
      <c r="P4" s="352" t="s">
        <v>2420</v>
      </c>
    </row>
    <row r="5" spans="1:16">
      <c r="A5" s="166">
        <v>98051901</v>
      </c>
      <c r="B5" t="s">
        <v>1389</v>
      </c>
      <c r="C5" s="352" t="s">
        <v>1390</v>
      </c>
      <c r="G5" s="123">
        <v>2000</v>
      </c>
      <c r="M5" s="350">
        <f t="shared" si="0"/>
        <v>0</v>
      </c>
      <c r="O5" s="353">
        <f>G5-M5-N5-2000</f>
        <v>0</v>
      </c>
      <c r="P5" s="352" t="s">
        <v>318</v>
      </c>
    </row>
    <row r="6" spans="1:16">
      <c r="A6" s="166">
        <v>98111801</v>
      </c>
      <c r="B6" t="s">
        <v>1391</v>
      </c>
      <c r="C6" s="352" t="s">
        <v>3825</v>
      </c>
      <c r="D6" s="352" t="s">
        <v>1233</v>
      </c>
      <c r="E6" s="345">
        <v>13500</v>
      </c>
      <c r="F6" s="345">
        <v>675</v>
      </c>
      <c r="G6" s="123">
        <v>14175</v>
      </c>
      <c r="H6" s="350">
        <v>6</v>
      </c>
      <c r="I6" s="343">
        <v>35</v>
      </c>
      <c r="L6" s="350">
        <v>14145</v>
      </c>
      <c r="M6" s="350">
        <f t="shared" si="0"/>
        <v>14145</v>
      </c>
      <c r="N6" s="351">
        <v>30</v>
      </c>
      <c r="O6" s="351">
        <f>G6-M6-N6</f>
        <v>0</v>
      </c>
      <c r="P6" s="352" t="s">
        <v>2420</v>
      </c>
    </row>
    <row r="7" spans="1:16">
      <c r="A7" s="166">
        <v>98111801</v>
      </c>
      <c r="B7" t="s">
        <v>1392</v>
      </c>
      <c r="C7" s="352" t="s">
        <v>606</v>
      </c>
      <c r="G7" s="123">
        <v>5700</v>
      </c>
      <c r="M7" s="350">
        <f t="shared" si="0"/>
        <v>0</v>
      </c>
      <c r="O7" s="351">
        <f>G7-M7-N7</f>
        <v>5700</v>
      </c>
      <c r="P7" s="352" t="s">
        <v>317</v>
      </c>
    </row>
    <row r="8" spans="1:16">
      <c r="A8" s="166">
        <v>98111801</v>
      </c>
      <c r="B8" s="352" t="s">
        <v>3594</v>
      </c>
      <c r="C8" t="s">
        <v>1237</v>
      </c>
      <c r="D8" s="352" t="s">
        <v>1233</v>
      </c>
      <c r="E8" s="345">
        <v>13500</v>
      </c>
      <c r="F8" s="345">
        <v>675</v>
      </c>
      <c r="G8" s="63">
        <v>9030</v>
      </c>
      <c r="H8" s="343" t="s">
        <v>3595</v>
      </c>
      <c r="I8" s="343" t="s">
        <v>3596</v>
      </c>
      <c r="L8" s="350">
        <v>8940</v>
      </c>
      <c r="M8" s="350">
        <f t="shared" si="0"/>
        <v>8940</v>
      </c>
      <c r="N8" s="351">
        <v>60</v>
      </c>
      <c r="O8" s="353">
        <f>G8-M8-N8-30</f>
        <v>0</v>
      </c>
      <c r="P8" s="352" t="s">
        <v>319</v>
      </c>
    </row>
    <row r="9" spans="1:16">
      <c r="A9" s="166">
        <v>98120101</v>
      </c>
      <c r="B9" t="s">
        <v>1822</v>
      </c>
      <c r="C9" s="352" t="s">
        <v>1232</v>
      </c>
      <c r="G9" s="123">
        <v>16380</v>
      </c>
      <c r="H9" s="350">
        <v>7</v>
      </c>
      <c r="I9" s="350">
        <v>36</v>
      </c>
      <c r="J9" s="350">
        <v>16380</v>
      </c>
      <c r="M9" s="350">
        <f t="shared" si="0"/>
        <v>16380</v>
      </c>
      <c r="N9" s="351">
        <v>0</v>
      </c>
      <c r="O9" s="351">
        <f>G9-M9-N9</f>
        <v>0</v>
      </c>
    </row>
    <row r="10" spans="1:16">
      <c r="A10" s="166">
        <v>98120101</v>
      </c>
      <c r="B10" t="s">
        <v>1393</v>
      </c>
      <c r="C10" s="352" t="s">
        <v>1305</v>
      </c>
      <c r="G10" s="123">
        <v>113400</v>
      </c>
      <c r="H10" s="354" t="s">
        <v>1276</v>
      </c>
      <c r="I10" s="355" t="s">
        <v>1276</v>
      </c>
      <c r="J10" s="350">
        <f>113400-30</f>
        <v>113370</v>
      </c>
      <c r="L10" s="355"/>
      <c r="M10" s="350">
        <f t="shared" si="0"/>
        <v>113370</v>
      </c>
      <c r="N10" s="351">
        <v>0</v>
      </c>
      <c r="O10" s="353">
        <f>G10-M10-N10-30</f>
        <v>0</v>
      </c>
      <c r="P10" s="352" t="s">
        <v>320</v>
      </c>
    </row>
    <row r="11" spans="1:16" s="347" customFormat="1">
      <c r="A11" s="346" t="s">
        <v>1388</v>
      </c>
      <c r="D11" s="348" t="s">
        <v>2377</v>
      </c>
      <c r="E11" s="349">
        <f>SUM(E12:E62)</f>
        <v>2740128</v>
      </c>
      <c r="F11" s="349">
        <f>SUM(F12:F62)</f>
        <v>137007</v>
      </c>
      <c r="G11" s="349">
        <f>SUM(G12:G62)</f>
        <v>2877135</v>
      </c>
      <c r="H11" s="349"/>
      <c r="J11" s="349">
        <f>SUM(J12:J62)</f>
        <v>2774205</v>
      </c>
      <c r="K11" s="349"/>
      <c r="L11" s="349">
        <f>SUM(L12:L62)</f>
        <v>108380</v>
      </c>
      <c r="M11" s="349">
        <f>SUM(M12:M62)</f>
        <v>2882585</v>
      </c>
      <c r="N11" s="349">
        <f>SUM(N12:N62)</f>
        <v>250</v>
      </c>
      <c r="O11" s="349">
        <f>SUM(O12:O62)</f>
        <v>-5700</v>
      </c>
    </row>
    <row r="12" spans="1:16">
      <c r="A12" s="356">
        <v>20100104</v>
      </c>
      <c r="B12" s="356" t="s">
        <v>1225</v>
      </c>
      <c r="C12" s="356" t="s">
        <v>2424</v>
      </c>
      <c r="D12" s="352"/>
      <c r="E12" s="356">
        <v>108000</v>
      </c>
      <c r="F12" s="356">
        <v>5400</v>
      </c>
      <c r="G12" s="345">
        <f>E12+F12</f>
        <v>113400</v>
      </c>
      <c r="H12" s="357" t="s">
        <v>1276</v>
      </c>
      <c r="I12" s="355" t="s">
        <v>1278</v>
      </c>
      <c r="J12" s="343">
        <v>113400</v>
      </c>
      <c r="K12" s="343"/>
      <c r="L12" s="355"/>
      <c r="M12" s="350">
        <f>J12+L12</f>
        <v>113400</v>
      </c>
      <c r="N12" s="351">
        <v>0</v>
      </c>
      <c r="O12" s="351">
        <f t="shared" ref="O12:O62" si="1">G12-M12-N12</f>
        <v>0</v>
      </c>
    </row>
    <row r="13" spans="1:16" s="360" customFormat="1">
      <c r="A13" s="358"/>
      <c r="B13" s="358" t="s">
        <v>1226</v>
      </c>
      <c r="C13" s="358"/>
      <c r="D13" s="359" t="s">
        <v>1235</v>
      </c>
      <c r="E13" s="358"/>
      <c r="F13" s="358"/>
      <c r="H13" s="361"/>
      <c r="I13" s="362"/>
      <c r="J13" s="362"/>
      <c r="K13" s="362"/>
      <c r="L13" s="362"/>
      <c r="M13" s="362"/>
      <c r="N13" s="362"/>
      <c r="O13" s="362">
        <f t="shared" si="1"/>
        <v>0</v>
      </c>
    </row>
    <row r="14" spans="1:16">
      <c r="A14" s="356">
        <v>20100118</v>
      </c>
      <c r="B14" s="356" t="s">
        <v>1227</v>
      </c>
      <c r="C14" s="358" t="s">
        <v>1304</v>
      </c>
      <c r="D14" s="344"/>
      <c r="E14" s="363">
        <v>72000</v>
      </c>
      <c r="F14" s="356">
        <v>3600</v>
      </c>
      <c r="G14" s="345">
        <f>E14+F14</f>
        <v>75600</v>
      </c>
      <c r="H14" s="357" t="s">
        <v>1276</v>
      </c>
      <c r="I14" s="354" t="s">
        <v>1823</v>
      </c>
      <c r="J14" s="343">
        <v>75600</v>
      </c>
      <c r="K14" s="343"/>
      <c r="L14" s="354"/>
      <c r="M14" s="350">
        <f>J14+L14</f>
        <v>75600</v>
      </c>
      <c r="N14" s="351">
        <v>0</v>
      </c>
      <c r="O14" s="351">
        <f t="shared" si="1"/>
        <v>0</v>
      </c>
    </row>
    <row r="15" spans="1:16">
      <c r="A15" s="356">
        <v>20100119</v>
      </c>
      <c r="B15" s="356" t="s">
        <v>1228</v>
      </c>
      <c r="C15" s="358" t="s">
        <v>2690</v>
      </c>
      <c r="D15" s="352"/>
      <c r="E15" s="356">
        <v>108000</v>
      </c>
      <c r="F15" s="356">
        <v>5400</v>
      </c>
      <c r="G15" s="345">
        <f>E15+F15</f>
        <v>113400</v>
      </c>
      <c r="H15" s="357" t="s">
        <v>1276</v>
      </c>
      <c r="I15" s="354" t="s">
        <v>1279</v>
      </c>
      <c r="J15" s="350">
        <v>113400</v>
      </c>
      <c r="L15" s="354"/>
      <c r="M15" s="350">
        <f>J15+L15</f>
        <v>113400</v>
      </c>
      <c r="N15" s="351">
        <v>0</v>
      </c>
      <c r="O15" s="351">
        <f t="shared" si="1"/>
        <v>0</v>
      </c>
    </row>
    <row r="16" spans="1:16">
      <c r="A16" s="356">
        <v>20100126</v>
      </c>
      <c r="B16" s="356" t="s">
        <v>1229</v>
      </c>
      <c r="C16" s="358" t="s">
        <v>1230</v>
      </c>
      <c r="D16" s="352"/>
      <c r="E16" s="363">
        <v>11400</v>
      </c>
      <c r="F16" s="356">
        <v>570</v>
      </c>
      <c r="G16" s="345">
        <f>E16+F16</f>
        <v>11970</v>
      </c>
      <c r="H16" s="357">
        <v>1</v>
      </c>
      <c r="I16" s="350">
        <v>34</v>
      </c>
      <c r="L16" s="350">
        <v>11940</v>
      </c>
      <c r="M16" s="350">
        <f>J16+L16</f>
        <v>11940</v>
      </c>
      <c r="N16" s="351">
        <v>30</v>
      </c>
      <c r="O16" s="351">
        <f t="shared" si="1"/>
        <v>0</v>
      </c>
      <c r="P16" s="364" t="s">
        <v>2420</v>
      </c>
    </row>
    <row r="17" spans="1:16">
      <c r="A17" s="356">
        <v>20100308</v>
      </c>
      <c r="B17" s="352" t="s">
        <v>1231</v>
      </c>
      <c r="C17" s="352" t="s">
        <v>1232</v>
      </c>
      <c r="D17" s="352" t="s">
        <v>1233</v>
      </c>
      <c r="E17" s="365">
        <v>15600</v>
      </c>
      <c r="F17" s="345">
        <v>780</v>
      </c>
      <c r="G17" s="345">
        <f>E17+F17</f>
        <v>16380</v>
      </c>
      <c r="H17" s="357">
        <v>8</v>
      </c>
      <c r="I17" s="350">
        <v>81</v>
      </c>
      <c r="J17" s="350">
        <v>16380</v>
      </c>
      <c r="M17" s="350">
        <f>J17+L17</f>
        <v>16380</v>
      </c>
      <c r="N17" s="351">
        <v>0</v>
      </c>
      <c r="O17" s="351">
        <f t="shared" si="1"/>
        <v>0</v>
      </c>
    </row>
    <row r="18" spans="1:16">
      <c r="A18" s="356">
        <v>20100308</v>
      </c>
      <c r="B18" s="352" t="s">
        <v>1477</v>
      </c>
      <c r="C18" s="352" t="s">
        <v>3825</v>
      </c>
      <c r="D18" s="352" t="s">
        <v>1233</v>
      </c>
      <c r="E18" s="365">
        <v>13500</v>
      </c>
      <c r="F18" s="345">
        <v>675</v>
      </c>
      <c r="G18" s="345">
        <f>E18+F18</f>
        <v>14175</v>
      </c>
      <c r="H18" s="357">
        <v>7</v>
      </c>
      <c r="I18" s="350">
        <v>82</v>
      </c>
      <c r="L18" s="350">
        <v>14145</v>
      </c>
      <c r="M18" s="350">
        <f>J18+L18</f>
        <v>14145</v>
      </c>
      <c r="N18" s="351">
        <v>30</v>
      </c>
      <c r="O18" s="351">
        <f t="shared" si="1"/>
        <v>0</v>
      </c>
      <c r="P18" s="364" t="s">
        <v>2420</v>
      </c>
    </row>
    <row r="19" spans="1:16" s="360" customFormat="1">
      <c r="A19" s="366"/>
      <c r="B19" s="367" t="s">
        <v>1234</v>
      </c>
      <c r="C19" s="367"/>
      <c r="D19" s="359" t="s">
        <v>1235</v>
      </c>
      <c r="H19" s="368"/>
      <c r="I19" s="362"/>
      <c r="J19" s="362"/>
      <c r="K19" s="362"/>
      <c r="L19" s="362"/>
      <c r="M19" s="362"/>
      <c r="N19" s="362"/>
      <c r="O19" s="362">
        <f t="shared" si="1"/>
        <v>0</v>
      </c>
    </row>
    <row r="20" spans="1:16">
      <c r="A20" s="356">
        <v>20100310</v>
      </c>
      <c r="B20" s="352" t="s">
        <v>1236</v>
      </c>
      <c r="C20" s="352" t="s">
        <v>1237</v>
      </c>
      <c r="D20" s="352" t="s">
        <v>1233</v>
      </c>
      <c r="E20" s="365">
        <v>4500</v>
      </c>
      <c r="F20" s="345">
        <v>225</v>
      </c>
      <c r="G20" s="345">
        <f>E20+F20</f>
        <v>4725</v>
      </c>
      <c r="H20" s="357">
        <v>19</v>
      </c>
      <c r="I20" s="350">
        <v>55</v>
      </c>
      <c r="L20" s="350">
        <v>4695</v>
      </c>
      <c r="M20" s="350">
        <f>J20+L20</f>
        <v>4695</v>
      </c>
      <c r="N20" s="351">
        <v>30</v>
      </c>
      <c r="O20" s="351">
        <f t="shared" si="1"/>
        <v>0</v>
      </c>
      <c r="P20" s="364" t="s">
        <v>2420</v>
      </c>
    </row>
    <row r="21" spans="1:16">
      <c r="A21" s="356">
        <v>20100310</v>
      </c>
      <c r="B21" s="352" t="s">
        <v>1238</v>
      </c>
      <c r="C21" s="352" t="s">
        <v>1239</v>
      </c>
      <c r="D21" s="352" t="s">
        <v>1233</v>
      </c>
      <c r="E21" s="365">
        <v>22500</v>
      </c>
      <c r="F21" s="345">
        <v>1125</v>
      </c>
      <c r="G21" s="345">
        <f>E21+F21</f>
        <v>23625</v>
      </c>
      <c r="H21" s="357">
        <v>8</v>
      </c>
      <c r="I21" s="350">
        <v>64</v>
      </c>
      <c r="J21" s="350">
        <v>23625</v>
      </c>
      <c r="M21" s="350">
        <f>J21+L21</f>
        <v>23625</v>
      </c>
      <c r="N21" s="351">
        <v>0</v>
      </c>
      <c r="O21" s="351">
        <f t="shared" si="1"/>
        <v>0</v>
      </c>
    </row>
    <row r="22" spans="1:16" s="360" customFormat="1">
      <c r="A22" s="366"/>
      <c r="B22" s="367" t="s">
        <v>1240</v>
      </c>
      <c r="C22" s="367"/>
      <c r="D22" s="359" t="s">
        <v>1235</v>
      </c>
      <c r="H22" s="368"/>
      <c r="I22" s="362"/>
      <c r="J22" s="362"/>
      <c r="K22" s="362"/>
      <c r="L22" s="362"/>
      <c r="M22" s="362"/>
      <c r="N22" s="362"/>
      <c r="O22" s="362">
        <f t="shared" si="1"/>
        <v>0</v>
      </c>
    </row>
    <row r="23" spans="1:16">
      <c r="A23" s="356">
        <v>20100331</v>
      </c>
      <c r="B23" s="352" t="s">
        <v>1241</v>
      </c>
      <c r="C23" s="352" t="s">
        <v>2688</v>
      </c>
      <c r="D23" s="352" t="s">
        <v>1233</v>
      </c>
      <c r="E23" s="345">
        <v>108000</v>
      </c>
      <c r="F23" s="345">
        <v>5400</v>
      </c>
      <c r="G23" s="345">
        <f t="shared" ref="G23:G62" si="2">E23+F23</f>
        <v>113400</v>
      </c>
      <c r="H23" s="357" t="s">
        <v>1276</v>
      </c>
      <c r="I23" s="354" t="s">
        <v>1478</v>
      </c>
      <c r="J23" s="350">
        <v>113400</v>
      </c>
      <c r="L23" s="354"/>
      <c r="M23" s="350">
        <f t="shared" ref="M23:M29" si="3">J23+L23</f>
        <v>113400</v>
      </c>
      <c r="N23" s="351">
        <v>0</v>
      </c>
      <c r="O23" s="351">
        <f t="shared" si="1"/>
        <v>0</v>
      </c>
    </row>
    <row r="24" spans="1:16">
      <c r="A24" s="356">
        <v>20100331</v>
      </c>
      <c r="B24" s="352" t="s">
        <v>1242</v>
      </c>
      <c r="C24" s="352" t="s">
        <v>1775</v>
      </c>
      <c r="D24" s="352" t="s">
        <v>1233</v>
      </c>
      <c r="E24" s="345">
        <v>82286</v>
      </c>
      <c r="F24" s="345">
        <v>4114</v>
      </c>
      <c r="G24" s="345">
        <f t="shared" si="2"/>
        <v>86400</v>
      </c>
      <c r="H24" s="357" t="s">
        <v>1276</v>
      </c>
      <c r="I24" s="343" t="s">
        <v>1479</v>
      </c>
      <c r="J24" s="350">
        <v>86400</v>
      </c>
      <c r="L24" s="343"/>
      <c r="M24" s="350">
        <f t="shared" si="3"/>
        <v>86400</v>
      </c>
      <c r="N24" s="351">
        <v>0</v>
      </c>
      <c r="O24" s="351">
        <f t="shared" si="1"/>
        <v>0</v>
      </c>
    </row>
    <row r="25" spans="1:16">
      <c r="A25" s="356">
        <v>20100420</v>
      </c>
      <c r="B25" s="352" t="s">
        <v>1243</v>
      </c>
      <c r="C25" s="352" t="s">
        <v>1781</v>
      </c>
      <c r="D25" s="352" t="s">
        <v>1233</v>
      </c>
      <c r="E25" s="345">
        <v>108000</v>
      </c>
      <c r="F25" s="345">
        <v>5400</v>
      </c>
      <c r="G25" s="345">
        <f t="shared" si="2"/>
        <v>113400</v>
      </c>
      <c r="H25" s="357" t="s">
        <v>1276</v>
      </c>
      <c r="I25" s="343" t="s">
        <v>1480</v>
      </c>
      <c r="J25" s="350">
        <v>113400</v>
      </c>
      <c r="L25" s="343"/>
      <c r="M25" s="350">
        <f t="shared" si="3"/>
        <v>113400</v>
      </c>
      <c r="N25" s="351">
        <v>0</v>
      </c>
      <c r="O25" s="351">
        <f t="shared" si="1"/>
        <v>0</v>
      </c>
    </row>
    <row r="26" spans="1:16">
      <c r="A26" s="356">
        <v>20100422</v>
      </c>
      <c r="B26" s="352" t="s">
        <v>1244</v>
      </c>
      <c r="C26" s="352" t="s">
        <v>1301</v>
      </c>
      <c r="D26" s="352" t="s">
        <v>1233</v>
      </c>
      <c r="E26" s="345">
        <v>108000</v>
      </c>
      <c r="F26" s="345">
        <v>5400</v>
      </c>
      <c r="G26" s="345">
        <f t="shared" si="2"/>
        <v>113400</v>
      </c>
      <c r="H26" s="357" t="s">
        <v>1276</v>
      </c>
      <c r="I26" s="343" t="s">
        <v>1481</v>
      </c>
      <c r="J26" s="350">
        <v>113400</v>
      </c>
      <c r="L26" s="343"/>
      <c r="M26" s="350">
        <f t="shared" si="3"/>
        <v>113400</v>
      </c>
      <c r="N26" s="351">
        <v>0</v>
      </c>
      <c r="O26" s="351">
        <f t="shared" si="1"/>
        <v>0</v>
      </c>
    </row>
    <row r="27" spans="1:16">
      <c r="A27" s="356">
        <v>20100501</v>
      </c>
      <c r="B27" s="352" t="s">
        <v>1245</v>
      </c>
      <c r="C27" s="352" t="s">
        <v>1246</v>
      </c>
      <c r="D27" s="352" t="s">
        <v>1233</v>
      </c>
      <c r="E27" s="345">
        <v>102857</v>
      </c>
      <c r="F27" s="345">
        <v>5143</v>
      </c>
      <c r="G27" s="345">
        <f t="shared" si="2"/>
        <v>108000</v>
      </c>
      <c r="H27" s="357" t="s">
        <v>1276</v>
      </c>
      <c r="I27" s="343" t="s">
        <v>1482</v>
      </c>
      <c r="J27" s="350">
        <v>108000</v>
      </c>
      <c r="L27" s="343"/>
      <c r="M27" s="350">
        <f t="shared" si="3"/>
        <v>108000</v>
      </c>
      <c r="N27" s="351">
        <v>0</v>
      </c>
      <c r="O27" s="351">
        <f t="shared" si="1"/>
        <v>0</v>
      </c>
    </row>
    <row r="28" spans="1:16">
      <c r="A28" s="356">
        <v>20100510</v>
      </c>
      <c r="B28" s="352" t="s">
        <v>1247</v>
      </c>
      <c r="C28" s="352" t="s">
        <v>1230</v>
      </c>
      <c r="D28" s="352" t="s">
        <v>1233</v>
      </c>
      <c r="E28" s="365">
        <v>11400</v>
      </c>
      <c r="F28" s="345">
        <v>570</v>
      </c>
      <c r="G28" s="345">
        <f t="shared" si="2"/>
        <v>11970</v>
      </c>
      <c r="H28" s="357">
        <v>2</v>
      </c>
      <c r="I28" s="350">
        <v>111</v>
      </c>
      <c r="L28" s="350">
        <v>11940</v>
      </c>
      <c r="M28" s="350">
        <f t="shared" si="3"/>
        <v>11940</v>
      </c>
      <c r="N28" s="351">
        <v>30</v>
      </c>
      <c r="O28" s="351">
        <f t="shared" si="1"/>
        <v>0</v>
      </c>
      <c r="P28" s="364" t="s">
        <v>2420</v>
      </c>
    </row>
    <row r="29" spans="1:16">
      <c r="A29" s="356">
        <v>20100511</v>
      </c>
      <c r="B29" s="352" t="s">
        <v>1248</v>
      </c>
      <c r="C29" s="352" t="s">
        <v>1249</v>
      </c>
      <c r="D29" s="352" t="s">
        <v>1233</v>
      </c>
      <c r="E29" s="365">
        <v>54000</v>
      </c>
      <c r="F29" s="345">
        <v>2700</v>
      </c>
      <c r="G29" s="345">
        <f t="shared" si="2"/>
        <v>56700</v>
      </c>
      <c r="H29" s="357" t="s">
        <v>1277</v>
      </c>
      <c r="I29" s="343" t="s">
        <v>1483</v>
      </c>
      <c r="J29" s="350">
        <v>56700</v>
      </c>
      <c r="L29" s="343"/>
      <c r="M29" s="350">
        <f t="shared" si="3"/>
        <v>56700</v>
      </c>
      <c r="N29" s="351">
        <v>0</v>
      </c>
      <c r="O29" s="351">
        <f t="shared" si="1"/>
        <v>0</v>
      </c>
    </row>
    <row r="30" spans="1:16">
      <c r="A30" s="369">
        <v>20100514</v>
      </c>
      <c r="B30" s="370" t="s">
        <v>1484</v>
      </c>
      <c r="C30" s="370" t="s">
        <v>606</v>
      </c>
      <c r="D30" s="371" t="s">
        <v>2439</v>
      </c>
      <c r="E30" s="372">
        <v>-5429</v>
      </c>
      <c r="F30" s="372">
        <v>-271</v>
      </c>
      <c r="G30" s="372">
        <f t="shared" si="2"/>
        <v>-5700</v>
      </c>
      <c r="H30" s="373" t="s">
        <v>1276</v>
      </c>
      <c r="I30" s="374"/>
      <c r="J30" s="374"/>
      <c r="K30" s="374"/>
      <c r="L30" s="374"/>
      <c r="M30" s="374"/>
      <c r="N30" s="374"/>
      <c r="O30" s="374">
        <f t="shared" si="1"/>
        <v>-5700</v>
      </c>
      <c r="P30" s="364" t="s">
        <v>1485</v>
      </c>
    </row>
    <row r="31" spans="1:16">
      <c r="A31" s="356">
        <v>20100526</v>
      </c>
      <c r="B31" s="352" t="s">
        <v>1250</v>
      </c>
      <c r="C31" s="352" t="s">
        <v>2</v>
      </c>
      <c r="D31" s="352" t="s">
        <v>1233</v>
      </c>
      <c r="E31" s="345">
        <v>187200</v>
      </c>
      <c r="F31" s="345">
        <v>9360</v>
      </c>
      <c r="G31" s="345">
        <f t="shared" si="2"/>
        <v>196560</v>
      </c>
      <c r="H31" s="357" t="s">
        <v>1276</v>
      </c>
      <c r="I31" s="343" t="s">
        <v>1486</v>
      </c>
      <c r="J31" s="350">
        <v>196560</v>
      </c>
      <c r="L31" s="343"/>
      <c r="M31" s="350">
        <f t="shared" ref="M31:M36" si="4">J31+L31</f>
        <v>196560</v>
      </c>
      <c r="N31" s="351">
        <v>0</v>
      </c>
      <c r="O31" s="351">
        <f t="shared" si="1"/>
        <v>0</v>
      </c>
    </row>
    <row r="32" spans="1:16">
      <c r="A32" s="356">
        <v>20100526</v>
      </c>
      <c r="B32" s="352" t="s">
        <v>1251</v>
      </c>
      <c r="C32" s="352" t="s">
        <v>2</v>
      </c>
      <c r="D32" s="352" t="s">
        <v>1233</v>
      </c>
      <c r="E32" s="345">
        <v>108000</v>
      </c>
      <c r="F32" s="345">
        <v>5400</v>
      </c>
      <c r="G32" s="345">
        <f t="shared" si="2"/>
        <v>113400</v>
      </c>
      <c r="H32" s="357" t="s">
        <v>1276</v>
      </c>
      <c r="I32" s="343" t="s">
        <v>1487</v>
      </c>
      <c r="J32" s="350">
        <v>113400</v>
      </c>
      <c r="L32" s="343"/>
      <c r="M32" s="350">
        <f t="shared" si="4"/>
        <v>113400</v>
      </c>
      <c r="N32" s="351">
        <v>0</v>
      </c>
      <c r="O32" s="351">
        <f t="shared" si="1"/>
        <v>0</v>
      </c>
    </row>
    <row r="33" spans="1:16">
      <c r="A33" s="356">
        <v>20100603</v>
      </c>
      <c r="B33" s="352" t="s">
        <v>1252</v>
      </c>
      <c r="C33" s="352" t="s">
        <v>2687</v>
      </c>
      <c r="D33" s="352" t="s">
        <v>1233</v>
      </c>
      <c r="E33" s="345">
        <v>108000</v>
      </c>
      <c r="F33" s="345">
        <v>5400</v>
      </c>
      <c r="G33" s="345">
        <f t="shared" si="2"/>
        <v>113400</v>
      </c>
      <c r="H33" s="357" t="s">
        <v>1276</v>
      </c>
      <c r="I33" s="343" t="s">
        <v>1488</v>
      </c>
      <c r="J33" s="350">
        <v>113400</v>
      </c>
      <c r="L33" s="343"/>
      <c r="M33" s="350">
        <f t="shared" si="4"/>
        <v>113400</v>
      </c>
      <c r="N33" s="351">
        <v>0</v>
      </c>
      <c r="O33" s="351">
        <f t="shared" si="1"/>
        <v>0</v>
      </c>
    </row>
    <row r="34" spans="1:16">
      <c r="A34" s="356">
        <v>20100610</v>
      </c>
      <c r="B34" s="352" t="s">
        <v>1253</v>
      </c>
      <c r="C34" s="352" t="s">
        <v>1232</v>
      </c>
      <c r="D34" s="352" t="s">
        <v>1233</v>
      </c>
      <c r="E34" s="365">
        <v>15600</v>
      </c>
      <c r="F34" s="345">
        <v>780</v>
      </c>
      <c r="G34" s="345">
        <f t="shared" si="2"/>
        <v>16380</v>
      </c>
      <c r="H34" s="357">
        <v>9</v>
      </c>
      <c r="I34" s="350">
        <v>136</v>
      </c>
      <c r="J34" s="350">
        <v>16380</v>
      </c>
      <c r="M34" s="350">
        <f t="shared" si="4"/>
        <v>16380</v>
      </c>
      <c r="N34" s="351">
        <v>0</v>
      </c>
      <c r="O34" s="351">
        <f t="shared" si="1"/>
        <v>0</v>
      </c>
    </row>
    <row r="35" spans="1:16">
      <c r="A35" s="356">
        <v>20100610</v>
      </c>
      <c r="B35" s="352" t="s">
        <v>1254</v>
      </c>
      <c r="C35" s="352" t="s">
        <v>3825</v>
      </c>
      <c r="D35" s="352" t="s">
        <v>1233</v>
      </c>
      <c r="E35" s="365">
        <v>13500</v>
      </c>
      <c r="F35" s="345">
        <v>675</v>
      </c>
      <c r="G35" s="345">
        <f t="shared" si="2"/>
        <v>14175</v>
      </c>
      <c r="H35" s="357">
        <v>8</v>
      </c>
      <c r="I35" s="350">
        <v>137</v>
      </c>
      <c r="L35" s="350">
        <v>14145</v>
      </c>
      <c r="M35" s="350">
        <f t="shared" si="4"/>
        <v>14145</v>
      </c>
      <c r="N35" s="351">
        <v>30</v>
      </c>
      <c r="O35" s="351">
        <f t="shared" si="1"/>
        <v>0</v>
      </c>
      <c r="P35" s="364" t="s">
        <v>2420</v>
      </c>
    </row>
    <row r="36" spans="1:16">
      <c r="A36" s="356">
        <v>20100615</v>
      </c>
      <c r="B36" s="352" t="s">
        <v>1255</v>
      </c>
      <c r="C36" s="352" t="s">
        <v>1761</v>
      </c>
      <c r="D36" s="352" t="s">
        <v>1233</v>
      </c>
      <c r="E36" s="345">
        <v>96000</v>
      </c>
      <c r="F36" s="345">
        <v>4800</v>
      </c>
      <c r="G36" s="345">
        <f t="shared" si="2"/>
        <v>100800</v>
      </c>
      <c r="H36" s="357" t="s">
        <v>1276</v>
      </c>
      <c r="I36" s="343" t="s">
        <v>1489</v>
      </c>
      <c r="J36" s="350">
        <v>100800</v>
      </c>
      <c r="L36" s="343"/>
      <c r="M36" s="350">
        <f t="shared" si="4"/>
        <v>100800</v>
      </c>
      <c r="N36" s="351">
        <v>0</v>
      </c>
      <c r="O36" s="351">
        <f t="shared" si="1"/>
        <v>0</v>
      </c>
    </row>
    <row r="37" spans="1:16">
      <c r="A37" s="356">
        <v>20100622</v>
      </c>
      <c r="B37" s="352" t="s">
        <v>1256</v>
      </c>
      <c r="C37" s="352" t="s">
        <v>2693</v>
      </c>
      <c r="D37" s="352" t="s">
        <v>1233</v>
      </c>
      <c r="E37" s="345">
        <v>100800</v>
      </c>
      <c r="F37" s="345">
        <v>5040</v>
      </c>
      <c r="G37" s="345">
        <f t="shared" si="2"/>
        <v>105840</v>
      </c>
      <c r="H37" s="357" t="s">
        <v>1276</v>
      </c>
      <c r="O37" s="351">
        <f t="shared" si="1"/>
        <v>105840</v>
      </c>
    </row>
    <row r="38" spans="1:16">
      <c r="A38" s="176">
        <v>20100728</v>
      </c>
      <c r="B38" s="370" t="s">
        <v>1256</v>
      </c>
      <c r="C38" s="370" t="s">
        <v>2693</v>
      </c>
      <c r="D38" s="371" t="s">
        <v>2556</v>
      </c>
      <c r="E38" s="372">
        <v>-100800</v>
      </c>
      <c r="F38" s="372">
        <v>-5040</v>
      </c>
      <c r="G38" s="372">
        <f t="shared" si="2"/>
        <v>-105840</v>
      </c>
      <c r="H38" s="373" t="s">
        <v>1276</v>
      </c>
      <c r="I38" s="374"/>
      <c r="J38" s="374"/>
      <c r="K38" s="374"/>
      <c r="L38" s="374"/>
      <c r="M38" s="374"/>
      <c r="N38" s="374"/>
      <c r="O38" s="374">
        <f t="shared" si="1"/>
        <v>-105840</v>
      </c>
    </row>
    <row r="39" spans="1:16">
      <c r="A39">
        <v>20100728</v>
      </c>
      <c r="B39" t="s">
        <v>1257</v>
      </c>
      <c r="C39" s="352" t="s">
        <v>2693</v>
      </c>
      <c r="D39" s="178"/>
      <c r="E39" s="365">
        <v>33600</v>
      </c>
      <c r="F39" s="345">
        <v>1680</v>
      </c>
      <c r="G39" s="345">
        <f t="shared" si="2"/>
        <v>35280</v>
      </c>
      <c r="H39" s="357" t="s">
        <v>1276</v>
      </c>
      <c r="I39" s="343" t="s">
        <v>1490</v>
      </c>
      <c r="J39" s="350">
        <v>39690</v>
      </c>
      <c r="L39" s="343"/>
      <c r="M39" s="350">
        <f t="shared" ref="M39:M62" si="5">J39+L39</f>
        <v>39690</v>
      </c>
      <c r="N39" s="351">
        <v>-4410</v>
      </c>
      <c r="O39" s="351">
        <f t="shared" si="1"/>
        <v>0</v>
      </c>
      <c r="P39" s="364" t="s">
        <v>1491</v>
      </c>
    </row>
    <row r="40" spans="1:16">
      <c r="A40">
        <v>20100728</v>
      </c>
      <c r="B40" t="s">
        <v>1258</v>
      </c>
      <c r="C40" s="352" t="s">
        <v>2693</v>
      </c>
      <c r="D40" s="178"/>
      <c r="E40" s="365">
        <v>33600</v>
      </c>
      <c r="F40" s="345">
        <v>1680</v>
      </c>
      <c r="G40" s="345">
        <f t="shared" si="2"/>
        <v>35280</v>
      </c>
      <c r="H40" s="357" t="s">
        <v>1278</v>
      </c>
      <c r="I40" s="343" t="s">
        <v>1492</v>
      </c>
      <c r="J40" s="350">
        <v>39690</v>
      </c>
      <c r="L40" s="343"/>
      <c r="M40" s="350">
        <f t="shared" si="5"/>
        <v>39690</v>
      </c>
      <c r="N40" s="351">
        <v>-4410</v>
      </c>
      <c r="O40" s="351">
        <f t="shared" si="1"/>
        <v>0</v>
      </c>
      <c r="P40" s="364" t="s">
        <v>1491</v>
      </c>
    </row>
    <row r="41" spans="1:16">
      <c r="A41">
        <v>20100728</v>
      </c>
      <c r="B41" t="s">
        <v>1259</v>
      </c>
      <c r="C41" s="352" t="s">
        <v>2693</v>
      </c>
      <c r="D41" s="178"/>
      <c r="E41" s="365">
        <v>33600</v>
      </c>
      <c r="F41" s="345">
        <v>1680</v>
      </c>
      <c r="G41" s="345">
        <f t="shared" si="2"/>
        <v>35280</v>
      </c>
      <c r="H41" s="357" t="s">
        <v>1279</v>
      </c>
      <c r="I41" s="343" t="s">
        <v>1493</v>
      </c>
      <c r="J41" s="350">
        <v>26460</v>
      </c>
      <c r="L41" s="343"/>
      <c r="M41" s="350">
        <f t="shared" si="5"/>
        <v>26460</v>
      </c>
      <c r="N41" s="351">
        <v>8820</v>
      </c>
      <c r="O41" s="351">
        <f t="shared" si="1"/>
        <v>0</v>
      </c>
      <c r="P41" s="364" t="s">
        <v>1491</v>
      </c>
    </row>
    <row r="42" spans="1:16">
      <c r="A42">
        <v>20100806</v>
      </c>
      <c r="B42" t="s">
        <v>1260</v>
      </c>
      <c r="C42" s="352" t="s">
        <v>1792</v>
      </c>
      <c r="D42" s="178"/>
      <c r="E42" s="345">
        <v>108000</v>
      </c>
      <c r="F42" s="345">
        <v>5400</v>
      </c>
      <c r="G42" s="345">
        <f t="shared" si="2"/>
        <v>113400</v>
      </c>
      <c r="H42" s="357" t="s">
        <v>1276</v>
      </c>
      <c r="I42" s="343" t="s">
        <v>1494</v>
      </c>
      <c r="J42" s="350">
        <v>113400</v>
      </c>
      <c r="L42" s="343"/>
      <c r="M42" s="350">
        <f t="shared" si="5"/>
        <v>113400</v>
      </c>
      <c r="N42" s="351">
        <v>0</v>
      </c>
      <c r="O42" s="351">
        <f t="shared" si="1"/>
        <v>0</v>
      </c>
    </row>
    <row r="43" spans="1:16">
      <c r="A43">
        <v>20100818</v>
      </c>
      <c r="B43" t="s">
        <v>1261</v>
      </c>
      <c r="C43" t="s">
        <v>1789</v>
      </c>
      <c r="D43" s="352"/>
      <c r="E43">
        <v>108000</v>
      </c>
      <c r="F43">
        <v>5400</v>
      </c>
      <c r="G43" s="345">
        <f t="shared" si="2"/>
        <v>113400</v>
      </c>
      <c r="H43" s="357" t="s">
        <v>1276</v>
      </c>
      <c r="I43" s="343" t="s">
        <v>1495</v>
      </c>
      <c r="J43" s="350">
        <v>113400</v>
      </c>
      <c r="L43" s="343"/>
      <c r="M43" s="350">
        <f t="shared" si="5"/>
        <v>113400</v>
      </c>
      <c r="N43" s="351">
        <v>0</v>
      </c>
      <c r="O43" s="351">
        <f t="shared" si="1"/>
        <v>0</v>
      </c>
    </row>
    <row r="44" spans="1:16">
      <c r="A44">
        <v>20100826</v>
      </c>
      <c r="B44" t="s">
        <v>1262</v>
      </c>
      <c r="C44" t="s">
        <v>1299</v>
      </c>
      <c r="D44" s="352"/>
      <c r="E44">
        <v>86400</v>
      </c>
      <c r="F44">
        <v>4320</v>
      </c>
      <c r="G44" s="345">
        <f t="shared" si="2"/>
        <v>90720</v>
      </c>
      <c r="H44" s="357" t="s">
        <v>1276</v>
      </c>
      <c r="I44" s="343" t="s">
        <v>1496</v>
      </c>
      <c r="J44" s="350">
        <v>90720</v>
      </c>
      <c r="L44" s="343"/>
      <c r="M44" s="350">
        <f t="shared" si="5"/>
        <v>90720</v>
      </c>
      <c r="N44" s="351">
        <v>0</v>
      </c>
      <c r="O44" s="351">
        <f t="shared" si="1"/>
        <v>0</v>
      </c>
    </row>
    <row r="45" spans="1:16">
      <c r="A45">
        <v>20100827</v>
      </c>
      <c r="B45" t="s">
        <v>1263</v>
      </c>
      <c r="C45" t="s">
        <v>1264</v>
      </c>
      <c r="D45" s="352"/>
      <c r="E45">
        <v>86400</v>
      </c>
      <c r="F45">
        <v>4320</v>
      </c>
      <c r="G45" s="345">
        <f t="shared" si="2"/>
        <v>90720</v>
      </c>
      <c r="H45" s="357" t="s">
        <v>1276</v>
      </c>
      <c r="I45" s="343" t="s">
        <v>1067</v>
      </c>
      <c r="J45" s="350">
        <v>90720</v>
      </c>
      <c r="L45" s="343"/>
      <c r="M45" s="350">
        <f t="shared" si="5"/>
        <v>90720</v>
      </c>
      <c r="N45" s="351">
        <v>0</v>
      </c>
      <c r="O45" s="351">
        <f t="shared" si="1"/>
        <v>0</v>
      </c>
      <c r="P45" s="364" t="s">
        <v>1497</v>
      </c>
    </row>
    <row r="46" spans="1:16">
      <c r="A46">
        <v>20100901</v>
      </c>
      <c r="B46" t="s">
        <v>1265</v>
      </c>
      <c r="C46" t="s">
        <v>2689</v>
      </c>
      <c r="D46" s="352"/>
      <c r="E46">
        <v>108000</v>
      </c>
      <c r="F46">
        <v>5400</v>
      </c>
      <c r="G46" s="345">
        <f t="shared" si="2"/>
        <v>113400</v>
      </c>
      <c r="H46" s="357" t="s">
        <v>1276</v>
      </c>
      <c r="I46" s="343" t="s">
        <v>1498</v>
      </c>
      <c r="J46" s="350">
        <v>113400</v>
      </c>
      <c r="L46" s="343"/>
      <c r="M46" s="350">
        <f t="shared" si="5"/>
        <v>113400</v>
      </c>
      <c r="N46" s="351">
        <v>0</v>
      </c>
      <c r="O46" s="351">
        <f t="shared" si="1"/>
        <v>0</v>
      </c>
    </row>
    <row r="47" spans="1:16">
      <c r="A47">
        <v>20100901</v>
      </c>
      <c r="B47" t="s">
        <v>1266</v>
      </c>
      <c r="C47" t="s">
        <v>1232</v>
      </c>
      <c r="D47" s="352"/>
      <c r="E47" s="114">
        <v>15600</v>
      </c>
      <c r="F47">
        <v>780</v>
      </c>
      <c r="G47" s="345">
        <f t="shared" si="2"/>
        <v>16380</v>
      </c>
      <c r="H47" s="357">
        <v>10</v>
      </c>
      <c r="I47" s="350">
        <v>201</v>
      </c>
      <c r="J47" s="350">
        <v>16380</v>
      </c>
      <c r="M47" s="350">
        <f t="shared" si="5"/>
        <v>16380</v>
      </c>
      <c r="N47" s="351">
        <v>0</v>
      </c>
      <c r="O47" s="351">
        <f t="shared" si="1"/>
        <v>0</v>
      </c>
    </row>
    <row r="48" spans="1:16">
      <c r="A48">
        <v>20100901</v>
      </c>
      <c r="B48" t="s">
        <v>1267</v>
      </c>
      <c r="C48" t="s">
        <v>1230</v>
      </c>
      <c r="D48" s="352"/>
      <c r="E48" s="114">
        <v>11400</v>
      </c>
      <c r="F48">
        <v>570</v>
      </c>
      <c r="G48" s="345">
        <f t="shared" si="2"/>
        <v>11970</v>
      </c>
      <c r="H48" s="357">
        <v>3</v>
      </c>
      <c r="I48" s="350">
        <v>200</v>
      </c>
      <c r="L48" s="350">
        <v>11940</v>
      </c>
      <c r="M48" s="350">
        <f t="shared" si="5"/>
        <v>11940</v>
      </c>
      <c r="N48" s="351">
        <v>30</v>
      </c>
      <c r="O48" s="351">
        <f t="shared" si="1"/>
        <v>0</v>
      </c>
      <c r="P48" s="364" t="s">
        <v>2420</v>
      </c>
    </row>
    <row r="49" spans="1:16">
      <c r="A49">
        <v>20100901</v>
      </c>
      <c r="B49" t="s">
        <v>1268</v>
      </c>
      <c r="C49" t="s">
        <v>1270</v>
      </c>
      <c r="D49" s="352"/>
      <c r="E49" s="114">
        <v>19500</v>
      </c>
      <c r="F49">
        <v>975</v>
      </c>
      <c r="G49" s="345">
        <f t="shared" si="2"/>
        <v>20475</v>
      </c>
      <c r="H49" s="357">
        <v>1</v>
      </c>
      <c r="I49" s="350">
        <v>196</v>
      </c>
      <c r="J49" s="350">
        <v>20475</v>
      </c>
      <c r="M49" s="350">
        <f t="shared" si="5"/>
        <v>20475</v>
      </c>
      <c r="N49" s="351">
        <v>0</v>
      </c>
      <c r="O49" s="351">
        <f t="shared" si="1"/>
        <v>0</v>
      </c>
    </row>
    <row r="50" spans="1:16">
      <c r="A50">
        <v>20100901</v>
      </c>
      <c r="B50" t="s">
        <v>1269</v>
      </c>
      <c r="C50" t="s">
        <v>1270</v>
      </c>
      <c r="D50" s="352"/>
      <c r="E50" s="114">
        <v>19500</v>
      </c>
      <c r="F50">
        <v>975</v>
      </c>
      <c r="G50" s="345">
        <f t="shared" si="2"/>
        <v>20475</v>
      </c>
      <c r="H50" s="357">
        <v>2</v>
      </c>
      <c r="I50" s="350">
        <v>197</v>
      </c>
      <c r="J50" s="350">
        <v>20475</v>
      </c>
      <c r="M50" s="350">
        <f t="shared" si="5"/>
        <v>20475</v>
      </c>
      <c r="N50" s="351">
        <v>0</v>
      </c>
      <c r="O50" s="351">
        <f t="shared" si="1"/>
        <v>0</v>
      </c>
    </row>
    <row r="51" spans="1:16">
      <c r="A51">
        <v>20100901</v>
      </c>
      <c r="B51" t="s">
        <v>1271</v>
      </c>
      <c r="C51" t="s">
        <v>1270</v>
      </c>
      <c r="D51" s="352"/>
      <c r="E51" s="114">
        <v>19500</v>
      </c>
      <c r="F51">
        <v>975</v>
      </c>
      <c r="G51" s="345">
        <f t="shared" si="2"/>
        <v>20475</v>
      </c>
      <c r="H51" s="357">
        <v>3</v>
      </c>
      <c r="I51" s="350">
        <v>198</v>
      </c>
      <c r="J51" s="350">
        <v>20475</v>
      </c>
      <c r="M51" s="350">
        <f t="shared" si="5"/>
        <v>20475</v>
      </c>
      <c r="N51" s="351">
        <v>0</v>
      </c>
      <c r="O51" s="351">
        <f t="shared" si="1"/>
        <v>0</v>
      </c>
    </row>
    <row r="52" spans="1:16">
      <c r="A52">
        <v>20100901</v>
      </c>
      <c r="B52" t="s">
        <v>1272</v>
      </c>
      <c r="C52" t="s">
        <v>1270</v>
      </c>
      <c r="D52" s="352"/>
      <c r="E52" s="114">
        <v>19500</v>
      </c>
      <c r="F52">
        <v>975</v>
      </c>
      <c r="G52" s="345">
        <f t="shared" si="2"/>
        <v>20475</v>
      </c>
      <c r="H52" s="357">
        <v>4</v>
      </c>
      <c r="I52" s="350">
        <v>199</v>
      </c>
      <c r="J52" s="350">
        <v>20475</v>
      </c>
      <c r="M52" s="350">
        <f t="shared" si="5"/>
        <v>20475</v>
      </c>
      <c r="N52" s="351">
        <v>0</v>
      </c>
      <c r="O52" s="351">
        <f t="shared" si="1"/>
        <v>0</v>
      </c>
    </row>
    <row r="53" spans="1:16">
      <c r="A53">
        <v>20100928</v>
      </c>
      <c r="B53" t="s">
        <v>1273</v>
      </c>
      <c r="C53" t="s">
        <v>2691</v>
      </c>
      <c r="D53" s="352"/>
      <c r="E53">
        <v>108000</v>
      </c>
      <c r="F53">
        <v>5400</v>
      </c>
      <c r="G53" s="345">
        <f t="shared" si="2"/>
        <v>113400</v>
      </c>
      <c r="H53" s="357" t="s">
        <v>1276</v>
      </c>
      <c r="I53" s="343" t="s">
        <v>1499</v>
      </c>
      <c r="J53" s="350">
        <v>113400</v>
      </c>
      <c r="L53" s="343"/>
      <c r="M53" s="350">
        <f t="shared" si="5"/>
        <v>113400</v>
      </c>
      <c r="N53" s="351">
        <v>0</v>
      </c>
      <c r="O53" s="351">
        <f t="shared" si="1"/>
        <v>0</v>
      </c>
    </row>
    <row r="54" spans="1:16">
      <c r="A54">
        <v>20101004</v>
      </c>
      <c r="B54" t="s">
        <v>1274</v>
      </c>
      <c r="C54" t="s">
        <v>1764</v>
      </c>
      <c r="D54" s="352"/>
      <c r="E54">
        <v>108000</v>
      </c>
      <c r="F54">
        <v>5400</v>
      </c>
      <c r="G54" s="345">
        <f t="shared" si="2"/>
        <v>113400</v>
      </c>
      <c r="H54" s="357" t="s">
        <v>1276</v>
      </c>
      <c r="I54" s="343" t="s">
        <v>1500</v>
      </c>
      <c r="J54" s="350">
        <v>113400</v>
      </c>
      <c r="L54" s="343"/>
      <c r="M54" s="350">
        <f t="shared" si="5"/>
        <v>113400</v>
      </c>
      <c r="N54" s="351">
        <v>0</v>
      </c>
      <c r="O54" s="351">
        <f t="shared" si="1"/>
        <v>0</v>
      </c>
    </row>
    <row r="55" spans="1:16">
      <c r="A55" s="183">
        <v>20101109</v>
      </c>
      <c r="B55" s="183" t="s">
        <v>1501</v>
      </c>
      <c r="C55" s="183" t="s">
        <v>1699</v>
      </c>
      <c r="D55" s="352" t="s">
        <v>1233</v>
      </c>
      <c r="E55" s="183">
        <v>12857</v>
      </c>
      <c r="F55" s="183">
        <v>643</v>
      </c>
      <c r="G55" s="352">
        <f t="shared" si="2"/>
        <v>13500</v>
      </c>
      <c r="H55" s="357">
        <v>1</v>
      </c>
      <c r="I55" s="343">
        <v>218</v>
      </c>
      <c r="J55" s="350">
        <v>13500</v>
      </c>
      <c r="L55" s="343"/>
      <c r="M55" s="350">
        <f t="shared" si="5"/>
        <v>13500</v>
      </c>
      <c r="N55" s="351">
        <v>0</v>
      </c>
      <c r="O55" s="351">
        <f t="shared" si="1"/>
        <v>0</v>
      </c>
    </row>
    <row r="56" spans="1:16">
      <c r="A56" s="183">
        <v>20101111</v>
      </c>
      <c r="B56" s="183" t="s">
        <v>1502</v>
      </c>
      <c r="C56" s="183" t="s">
        <v>2423</v>
      </c>
      <c r="D56" s="352" t="s">
        <v>1233</v>
      </c>
      <c r="E56" s="183">
        <v>108000</v>
      </c>
      <c r="F56" s="183">
        <v>5400</v>
      </c>
      <c r="G56" s="352">
        <f t="shared" si="2"/>
        <v>113400</v>
      </c>
      <c r="H56" s="354" t="s">
        <v>1276</v>
      </c>
      <c r="I56" s="343" t="s">
        <v>1503</v>
      </c>
      <c r="J56" s="350">
        <v>113400</v>
      </c>
      <c r="M56" s="350">
        <f t="shared" si="5"/>
        <v>113400</v>
      </c>
      <c r="N56" s="351">
        <v>0</v>
      </c>
      <c r="O56" s="351">
        <f t="shared" si="1"/>
        <v>0</v>
      </c>
    </row>
    <row r="57" spans="1:16">
      <c r="A57" s="183">
        <v>20101116</v>
      </c>
      <c r="B57" s="183" t="s">
        <v>1504</v>
      </c>
      <c r="C57" s="183" t="s">
        <v>1532</v>
      </c>
      <c r="D57" s="352" t="s">
        <v>1233</v>
      </c>
      <c r="E57" s="183">
        <v>12857</v>
      </c>
      <c r="F57" s="183">
        <v>643</v>
      </c>
      <c r="G57" s="352">
        <f t="shared" si="2"/>
        <v>13500</v>
      </c>
      <c r="H57" s="350">
        <v>1</v>
      </c>
      <c r="I57" s="350">
        <v>219</v>
      </c>
      <c r="L57" s="350">
        <v>13470</v>
      </c>
      <c r="M57" s="350">
        <f t="shared" si="5"/>
        <v>13470</v>
      </c>
      <c r="N57" s="351">
        <v>30</v>
      </c>
      <c r="O57" s="351">
        <f t="shared" si="1"/>
        <v>0</v>
      </c>
      <c r="P57" s="364" t="s">
        <v>2420</v>
      </c>
    </row>
    <row r="58" spans="1:16">
      <c r="A58" s="183">
        <v>20101202</v>
      </c>
      <c r="B58" s="183" t="s">
        <v>1505</v>
      </c>
      <c r="C58" s="183" t="s">
        <v>1306</v>
      </c>
      <c r="D58" s="352" t="s">
        <v>1233</v>
      </c>
      <c r="E58" s="183">
        <v>108000</v>
      </c>
      <c r="F58" s="183">
        <v>5400</v>
      </c>
      <c r="G58" s="352">
        <f t="shared" si="2"/>
        <v>113400</v>
      </c>
      <c r="H58" s="375" t="s">
        <v>1276</v>
      </c>
      <c r="I58" s="343" t="s">
        <v>1506</v>
      </c>
      <c r="J58" s="350">
        <v>113400</v>
      </c>
      <c r="M58" s="350">
        <f t="shared" si="5"/>
        <v>113400</v>
      </c>
      <c r="N58" s="351">
        <v>0</v>
      </c>
      <c r="O58" s="351">
        <f t="shared" si="1"/>
        <v>0</v>
      </c>
    </row>
    <row r="59" spans="1:16">
      <c r="A59" s="183">
        <v>20101202</v>
      </c>
      <c r="B59" s="183" t="s">
        <v>1889</v>
      </c>
      <c r="C59" s="183" t="s">
        <v>255</v>
      </c>
      <c r="D59" s="352" t="s">
        <v>1233</v>
      </c>
      <c r="E59" s="183">
        <v>86400</v>
      </c>
      <c r="F59" s="183">
        <v>4320</v>
      </c>
      <c r="G59" s="352">
        <f t="shared" si="2"/>
        <v>90720</v>
      </c>
      <c r="H59" s="375" t="s">
        <v>1276</v>
      </c>
      <c r="I59" s="343" t="s">
        <v>1068</v>
      </c>
      <c r="J59" s="350">
        <v>90720</v>
      </c>
      <c r="M59" s="350">
        <f t="shared" si="5"/>
        <v>90720</v>
      </c>
      <c r="N59" s="351">
        <v>0</v>
      </c>
      <c r="O59" s="351">
        <f t="shared" si="1"/>
        <v>0</v>
      </c>
    </row>
    <row r="60" spans="1:16">
      <c r="A60" s="183">
        <v>20101208</v>
      </c>
      <c r="B60" s="183" t="s">
        <v>1507</v>
      </c>
      <c r="C60" s="183" t="s">
        <v>2421</v>
      </c>
      <c r="D60" s="352" t="s">
        <v>1233</v>
      </c>
      <c r="E60" s="183">
        <v>13500</v>
      </c>
      <c r="F60" s="183">
        <v>675</v>
      </c>
      <c r="G60" s="352">
        <f t="shared" si="2"/>
        <v>14175</v>
      </c>
      <c r="H60" s="350">
        <v>1</v>
      </c>
      <c r="I60" s="350">
        <v>220</v>
      </c>
      <c r="L60" s="350">
        <v>14165</v>
      </c>
      <c r="M60" s="350">
        <f t="shared" si="5"/>
        <v>14165</v>
      </c>
      <c r="N60" s="351">
        <v>10</v>
      </c>
      <c r="O60" s="351">
        <f t="shared" si="1"/>
        <v>0</v>
      </c>
      <c r="P60" s="364" t="s">
        <v>2420</v>
      </c>
    </row>
    <row r="61" spans="1:16">
      <c r="A61" s="183">
        <v>20101209</v>
      </c>
      <c r="B61" s="183" t="s">
        <v>1890</v>
      </c>
      <c r="C61" s="183" t="s">
        <v>1232</v>
      </c>
      <c r="D61" s="352" t="s">
        <v>1233</v>
      </c>
      <c r="E61" s="183">
        <v>15600</v>
      </c>
      <c r="F61" s="183">
        <v>780</v>
      </c>
      <c r="G61" s="352">
        <f t="shared" si="2"/>
        <v>16380</v>
      </c>
      <c r="H61" s="350">
        <v>11</v>
      </c>
      <c r="I61" s="350">
        <v>316</v>
      </c>
      <c r="J61" s="350">
        <v>16380</v>
      </c>
      <c r="M61" s="350">
        <f t="shared" si="5"/>
        <v>16380</v>
      </c>
      <c r="N61" s="351">
        <v>0</v>
      </c>
      <c r="O61" s="351">
        <f t="shared" si="1"/>
        <v>0</v>
      </c>
    </row>
    <row r="62" spans="1:16">
      <c r="A62" s="183">
        <v>20101209</v>
      </c>
      <c r="B62" s="183" t="s">
        <v>1891</v>
      </c>
      <c r="C62" s="183" t="s">
        <v>1230</v>
      </c>
      <c r="D62" s="352" t="s">
        <v>1233</v>
      </c>
      <c r="E62" s="183">
        <v>11400</v>
      </c>
      <c r="F62" s="183">
        <v>570</v>
      </c>
      <c r="G62" s="352">
        <f t="shared" si="2"/>
        <v>11970</v>
      </c>
      <c r="H62" s="350">
        <v>4</v>
      </c>
      <c r="I62" s="343" t="s">
        <v>420</v>
      </c>
      <c r="L62" s="350">
        <v>11940</v>
      </c>
      <c r="M62" s="350">
        <f t="shared" si="5"/>
        <v>11940</v>
      </c>
      <c r="N62" s="351">
        <v>30</v>
      </c>
      <c r="O62" s="351">
        <f t="shared" si="1"/>
        <v>0</v>
      </c>
    </row>
    <row r="63" spans="1:16" s="347" customFormat="1">
      <c r="A63" s="346" t="s">
        <v>1508</v>
      </c>
      <c r="D63" s="348" t="s">
        <v>2377</v>
      </c>
      <c r="E63" s="376">
        <f>SUM(E64:E114)</f>
        <v>1669889</v>
      </c>
      <c r="F63" s="376">
        <f>SUM(F64:F114)</f>
        <v>83496</v>
      </c>
      <c r="G63" s="376">
        <f>SUM(G64:G114)</f>
        <v>1753385</v>
      </c>
      <c r="H63" s="349"/>
      <c r="J63" s="376">
        <f>SUM(J64:J114)</f>
        <v>1490580</v>
      </c>
      <c r="K63" s="376"/>
      <c r="L63" s="376">
        <f>SUM(L64:L114)</f>
        <v>233510</v>
      </c>
      <c r="M63" s="376">
        <f>SUM(M64:M114)</f>
        <v>1724090</v>
      </c>
      <c r="N63" s="376">
        <f>SUM(N64:N114)</f>
        <v>355</v>
      </c>
      <c r="O63" s="376">
        <f>SUM(O64:O114)</f>
        <v>28940</v>
      </c>
    </row>
    <row r="64" spans="1:16">
      <c r="A64" s="183">
        <v>20110110</v>
      </c>
      <c r="B64" s="183" t="s">
        <v>1069</v>
      </c>
      <c r="C64" s="183" t="s">
        <v>7</v>
      </c>
      <c r="D64" s="352"/>
      <c r="E64" s="183">
        <v>100800</v>
      </c>
      <c r="F64" s="183">
        <v>5040</v>
      </c>
      <c r="G64" s="352">
        <f t="shared" ref="G64:G78" si="6">E64+F64</f>
        <v>105840</v>
      </c>
      <c r="H64" s="377" t="s">
        <v>1276</v>
      </c>
      <c r="I64" s="343" t="s">
        <v>1070</v>
      </c>
      <c r="J64" s="350">
        <v>105840</v>
      </c>
      <c r="M64" s="350">
        <f>J64+L64</f>
        <v>105840</v>
      </c>
      <c r="O64" s="351">
        <f t="shared" ref="O64:O88" si="7">G64-M64-N64</f>
        <v>0</v>
      </c>
      <c r="P64" s="378" t="s">
        <v>1071</v>
      </c>
    </row>
    <row r="65" spans="1:16">
      <c r="A65" s="183">
        <v>20110119</v>
      </c>
      <c r="B65" s="183" t="s">
        <v>1821</v>
      </c>
      <c r="C65" s="183" t="s">
        <v>3825</v>
      </c>
      <c r="D65" s="344"/>
      <c r="E65" s="183">
        <v>13500</v>
      </c>
      <c r="F65" s="183">
        <v>675</v>
      </c>
      <c r="G65" s="352">
        <f t="shared" si="6"/>
        <v>14175</v>
      </c>
      <c r="H65" s="377" t="s">
        <v>904</v>
      </c>
      <c r="I65" s="343" t="s">
        <v>1979</v>
      </c>
      <c r="L65" s="350">
        <v>14145</v>
      </c>
      <c r="M65" s="350">
        <f>J65+L65</f>
        <v>14145</v>
      </c>
      <c r="N65" s="351">
        <v>30</v>
      </c>
      <c r="O65" s="351">
        <f t="shared" si="7"/>
        <v>0</v>
      </c>
      <c r="P65" s="378" t="s">
        <v>1072</v>
      </c>
    </row>
    <row r="66" spans="1:16">
      <c r="A66" s="183">
        <v>20110120</v>
      </c>
      <c r="B66" s="183" t="s">
        <v>2658</v>
      </c>
      <c r="C66" s="199" t="s">
        <v>1884</v>
      </c>
      <c r="D66" s="344"/>
      <c r="E66" s="199">
        <v>108000</v>
      </c>
      <c r="F66" s="183">
        <v>5400</v>
      </c>
      <c r="G66" s="352">
        <f t="shared" si="6"/>
        <v>113400</v>
      </c>
      <c r="H66" s="377" t="s">
        <v>1276</v>
      </c>
      <c r="I66" s="343" t="s">
        <v>1073</v>
      </c>
      <c r="J66" s="350">
        <v>113400</v>
      </c>
      <c r="M66" s="350">
        <f>J66+L66</f>
        <v>113400</v>
      </c>
      <c r="O66" s="351">
        <f t="shared" si="7"/>
        <v>0</v>
      </c>
      <c r="P66" s="378" t="s">
        <v>1074</v>
      </c>
    </row>
    <row r="67" spans="1:16">
      <c r="A67" s="183">
        <v>20110210</v>
      </c>
      <c r="B67" s="183" t="s">
        <v>3497</v>
      </c>
      <c r="C67" s="199" t="s">
        <v>2422</v>
      </c>
      <c r="D67" s="352"/>
      <c r="E67" s="183">
        <v>100800</v>
      </c>
      <c r="F67" s="183">
        <v>5040</v>
      </c>
      <c r="G67" s="352">
        <f t="shared" si="6"/>
        <v>105840</v>
      </c>
      <c r="H67" s="377" t="s">
        <v>1276</v>
      </c>
      <c r="I67" s="343" t="s">
        <v>1075</v>
      </c>
      <c r="J67" s="350">
        <v>105840</v>
      </c>
      <c r="M67" s="350">
        <f>J67+L67</f>
        <v>105840</v>
      </c>
      <c r="O67" s="351">
        <f t="shared" si="7"/>
        <v>0</v>
      </c>
      <c r="P67" s="378" t="s">
        <v>1076</v>
      </c>
    </row>
    <row r="68" spans="1:16">
      <c r="A68" s="183"/>
      <c r="B68" s="183" t="s">
        <v>3498</v>
      </c>
      <c r="C68" s="199" t="s">
        <v>1235</v>
      </c>
      <c r="D68" s="352"/>
      <c r="E68" s="199"/>
      <c r="F68" s="183"/>
      <c r="G68" s="352">
        <f t="shared" si="6"/>
        <v>0</v>
      </c>
      <c r="H68" s="379"/>
      <c r="O68" s="351">
        <f t="shared" si="7"/>
        <v>0</v>
      </c>
      <c r="P68" s="378"/>
    </row>
    <row r="69" spans="1:16">
      <c r="A69" s="183">
        <v>20110210</v>
      </c>
      <c r="B69" s="183" t="s">
        <v>3499</v>
      </c>
      <c r="C69" s="352" t="s">
        <v>1230</v>
      </c>
      <c r="D69" s="352"/>
      <c r="E69" s="352">
        <v>11400</v>
      </c>
      <c r="F69" s="352">
        <v>570</v>
      </c>
      <c r="G69" s="352">
        <f t="shared" si="6"/>
        <v>11970</v>
      </c>
      <c r="H69" s="377" t="s">
        <v>1077</v>
      </c>
      <c r="I69" s="343" t="s">
        <v>2040</v>
      </c>
      <c r="L69" s="350">
        <v>11940</v>
      </c>
      <c r="M69" s="350">
        <f>J69+L69</f>
        <v>11940</v>
      </c>
      <c r="N69" s="351">
        <v>30</v>
      </c>
      <c r="O69" s="351">
        <f t="shared" si="7"/>
        <v>0</v>
      </c>
      <c r="P69" s="378">
        <v>12545554</v>
      </c>
    </row>
    <row r="70" spans="1:16">
      <c r="A70" s="183">
        <v>20110210</v>
      </c>
      <c r="B70" s="183" t="s">
        <v>3500</v>
      </c>
      <c r="C70" s="352" t="s">
        <v>1699</v>
      </c>
      <c r="D70" s="352"/>
      <c r="E70" s="352">
        <v>12857</v>
      </c>
      <c r="F70" s="352">
        <v>643</v>
      </c>
      <c r="G70" s="352">
        <f t="shared" si="6"/>
        <v>13500</v>
      </c>
      <c r="H70" s="377" t="s">
        <v>905</v>
      </c>
      <c r="I70" s="350">
        <v>346</v>
      </c>
      <c r="J70" s="350">
        <v>13500</v>
      </c>
      <c r="M70" s="350">
        <f>J70+L70</f>
        <v>13500</v>
      </c>
      <c r="O70" s="351">
        <f t="shared" si="7"/>
        <v>0</v>
      </c>
      <c r="P70" s="378">
        <v>33002211</v>
      </c>
    </row>
    <row r="71" spans="1:16">
      <c r="A71" s="183">
        <v>20110210</v>
      </c>
      <c r="B71" s="183" t="s">
        <v>3501</v>
      </c>
      <c r="C71" s="352" t="s">
        <v>1532</v>
      </c>
      <c r="D71" s="352"/>
      <c r="E71" s="352">
        <v>12857</v>
      </c>
      <c r="F71" s="352">
        <v>643</v>
      </c>
      <c r="G71" s="352">
        <f t="shared" si="6"/>
        <v>13500</v>
      </c>
      <c r="H71" s="377" t="s">
        <v>905</v>
      </c>
      <c r="I71" s="343" t="s">
        <v>421</v>
      </c>
      <c r="L71" s="350">
        <v>13485</v>
      </c>
      <c r="M71" s="350">
        <f>J71+L71</f>
        <v>13485</v>
      </c>
      <c r="N71" s="351">
        <v>15</v>
      </c>
      <c r="O71" s="351">
        <f t="shared" si="7"/>
        <v>0</v>
      </c>
      <c r="P71" s="378">
        <v>23674533</v>
      </c>
    </row>
    <row r="72" spans="1:16">
      <c r="A72" s="183">
        <v>20110214</v>
      </c>
      <c r="B72" s="183" t="s">
        <v>3502</v>
      </c>
      <c r="C72" s="352" t="s">
        <v>1300</v>
      </c>
      <c r="D72" s="352"/>
      <c r="E72" s="352">
        <v>108000</v>
      </c>
      <c r="F72" s="352">
        <v>5400</v>
      </c>
      <c r="G72" s="352">
        <f t="shared" si="6"/>
        <v>113400</v>
      </c>
      <c r="H72" s="377" t="s">
        <v>1276</v>
      </c>
      <c r="I72" s="343" t="s">
        <v>1078</v>
      </c>
      <c r="J72" s="350">
        <v>113400</v>
      </c>
      <c r="M72" s="350">
        <f>J72+L72</f>
        <v>113400</v>
      </c>
      <c r="O72" s="351">
        <f t="shared" si="7"/>
        <v>0</v>
      </c>
      <c r="P72" s="378">
        <v>22449539</v>
      </c>
    </row>
    <row r="73" spans="1:16">
      <c r="A73" s="183">
        <v>20110215</v>
      </c>
      <c r="B73" s="183" t="s">
        <v>3503</v>
      </c>
      <c r="C73" s="352" t="s">
        <v>1232</v>
      </c>
      <c r="D73" s="352"/>
      <c r="E73" s="352">
        <v>15600</v>
      </c>
      <c r="F73" s="352">
        <v>780</v>
      </c>
      <c r="G73" s="352">
        <f t="shared" si="6"/>
        <v>16380</v>
      </c>
      <c r="H73" s="377" t="s">
        <v>1079</v>
      </c>
      <c r="I73" s="350">
        <v>345</v>
      </c>
      <c r="J73" s="350">
        <v>16380</v>
      </c>
      <c r="M73" s="350">
        <f>J73+L73</f>
        <v>16380</v>
      </c>
      <c r="O73" s="351">
        <f t="shared" si="7"/>
        <v>0</v>
      </c>
      <c r="P73" s="378" t="s">
        <v>1080</v>
      </c>
    </row>
    <row r="74" spans="1:16">
      <c r="A74" s="380"/>
      <c r="B74" s="352" t="s">
        <v>1081</v>
      </c>
      <c r="C74" s="352" t="s">
        <v>1235</v>
      </c>
      <c r="D74" s="352"/>
      <c r="E74" s="367"/>
      <c r="F74" s="352"/>
      <c r="G74" s="352">
        <f t="shared" si="6"/>
        <v>0</v>
      </c>
      <c r="H74" s="379"/>
      <c r="O74" s="351">
        <f t="shared" si="7"/>
        <v>0</v>
      </c>
      <c r="P74" s="378"/>
    </row>
    <row r="75" spans="1:16">
      <c r="A75" s="380"/>
      <c r="B75" s="352" t="s">
        <v>3504</v>
      </c>
      <c r="C75" s="352" t="s">
        <v>1235</v>
      </c>
      <c r="D75" s="352"/>
      <c r="E75" s="367"/>
      <c r="F75" s="352"/>
      <c r="G75" s="352">
        <f t="shared" si="6"/>
        <v>0</v>
      </c>
      <c r="H75" s="379"/>
      <c r="O75" s="351">
        <f t="shared" si="7"/>
        <v>0</v>
      </c>
      <c r="P75" s="378"/>
    </row>
    <row r="76" spans="1:16">
      <c r="A76" s="380">
        <v>20110419</v>
      </c>
      <c r="B76" s="352" t="s">
        <v>3505</v>
      </c>
      <c r="C76" s="352" t="s">
        <v>857</v>
      </c>
      <c r="D76" s="352" t="s">
        <v>1233</v>
      </c>
      <c r="E76" s="367">
        <v>108000</v>
      </c>
      <c r="F76" s="352">
        <v>5400</v>
      </c>
      <c r="G76" s="352">
        <f t="shared" si="6"/>
        <v>113400</v>
      </c>
      <c r="H76" s="377" t="s">
        <v>1276</v>
      </c>
      <c r="I76" s="343" t="s">
        <v>1082</v>
      </c>
      <c r="J76" s="350">
        <v>113400</v>
      </c>
      <c r="M76" s="350">
        <f>J76+L76</f>
        <v>113400</v>
      </c>
      <c r="O76" s="351">
        <f t="shared" si="7"/>
        <v>0</v>
      </c>
      <c r="P76" s="378" t="s">
        <v>1083</v>
      </c>
    </row>
    <row r="77" spans="1:16">
      <c r="A77" s="380">
        <v>20110419</v>
      </c>
      <c r="B77" s="352" t="s">
        <v>3506</v>
      </c>
      <c r="C77" s="352" t="s">
        <v>2421</v>
      </c>
      <c r="D77" s="352" t="s">
        <v>1233</v>
      </c>
      <c r="E77" s="367">
        <v>13500</v>
      </c>
      <c r="F77" s="352">
        <v>675</v>
      </c>
      <c r="G77" s="352">
        <f t="shared" si="6"/>
        <v>14175</v>
      </c>
      <c r="H77" s="377" t="s">
        <v>905</v>
      </c>
      <c r="I77" s="343" t="s">
        <v>446</v>
      </c>
      <c r="L77" s="350">
        <v>14165</v>
      </c>
      <c r="M77" s="350">
        <f>J77+L77</f>
        <v>14165</v>
      </c>
      <c r="N77" s="351">
        <v>10</v>
      </c>
      <c r="O77" s="351">
        <f t="shared" si="7"/>
        <v>0</v>
      </c>
      <c r="P77" s="378" t="s">
        <v>1084</v>
      </c>
    </row>
    <row r="78" spans="1:16">
      <c r="A78" s="380">
        <v>20110425</v>
      </c>
      <c r="B78" s="352" t="s">
        <v>3507</v>
      </c>
      <c r="C78" s="352" t="s">
        <v>2027</v>
      </c>
      <c r="D78" s="352" t="s">
        <v>1233</v>
      </c>
      <c r="E78" s="367">
        <v>86400</v>
      </c>
      <c r="F78" s="352">
        <v>4320</v>
      </c>
      <c r="G78" s="352">
        <f t="shared" si="6"/>
        <v>90720</v>
      </c>
      <c r="H78" s="377" t="s">
        <v>1276</v>
      </c>
      <c r="I78" s="343" t="s">
        <v>1085</v>
      </c>
      <c r="J78" s="350">
        <v>90720</v>
      </c>
      <c r="M78" s="350">
        <f>J78+L78</f>
        <v>90720</v>
      </c>
      <c r="O78" s="351">
        <f t="shared" si="7"/>
        <v>0</v>
      </c>
      <c r="P78" s="378" t="s">
        <v>1086</v>
      </c>
    </row>
    <row r="79" spans="1:16">
      <c r="A79" s="380"/>
      <c r="B79" s="352" t="s">
        <v>3508</v>
      </c>
      <c r="D79" s="371" t="s">
        <v>1235</v>
      </c>
      <c r="E79" s="367"/>
      <c r="F79" s="352"/>
      <c r="G79" s="352">
        <v>0</v>
      </c>
      <c r="H79" s="379"/>
      <c r="O79" s="351">
        <f t="shared" si="7"/>
        <v>0</v>
      </c>
      <c r="P79" s="378"/>
    </row>
    <row r="80" spans="1:16">
      <c r="A80" s="380">
        <v>20110426</v>
      </c>
      <c r="B80" s="352" t="s">
        <v>3509</v>
      </c>
      <c r="C80" s="352" t="s">
        <v>2739</v>
      </c>
      <c r="D80" s="352" t="s">
        <v>1233</v>
      </c>
      <c r="E80" s="352">
        <v>102857</v>
      </c>
      <c r="F80" s="352">
        <v>5143</v>
      </c>
      <c r="G80" s="352">
        <f t="shared" ref="G80:G109" si="8">E80+F80</f>
        <v>108000</v>
      </c>
      <c r="H80" s="377" t="s">
        <v>1276</v>
      </c>
      <c r="I80" s="343" t="s">
        <v>1087</v>
      </c>
      <c r="J80" s="350">
        <v>108000</v>
      </c>
      <c r="M80" s="350">
        <f t="shared" ref="M80:M87" si="9">J80+L80</f>
        <v>108000</v>
      </c>
      <c r="O80" s="351">
        <f t="shared" si="7"/>
        <v>0</v>
      </c>
      <c r="P80" s="378" t="s">
        <v>1088</v>
      </c>
    </row>
    <row r="81" spans="1:16">
      <c r="A81" s="380">
        <v>20110505</v>
      </c>
      <c r="B81" s="352" t="s">
        <v>1089</v>
      </c>
      <c r="C81" s="352" t="s">
        <v>1232</v>
      </c>
      <c r="D81" s="352" t="s">
        <v>1233</v>
      </c>
      <c r="E81" s="352">
        <v>15600</v>
      </c>
      <c r="F81" s="352">
        <v>780</v>
      </c>
      <c r="G81" s="352">
        <f t="shared" si="8"/>
        <v>16380</v>
      </c>
      <c r="H81" s="377" t="s">
        <v>904</v>
      </c>
      <c r="I81" s="350">
        <v>372</v>
      </c>
      <c r="J81" s="350">
        <v>16380</v>
      </c>
      <c r="M81" s="350">
        <f t="shared" si="9"/>
        <v>16380</v>
      </c>
      <c r="O81" s="351">
        <f t="shared" si="7"/>
        <v>0</v>
      </c>
      <c r="P81" s="378" t="s">
        <v>1080</v>
      </c>
    </row>
    <row r="82" spans="1:16">
      <c r="A82" s="380">
        <v>20110511</v>
      </c>
      <c r="B82" s="352" t="s">
        <v>1090</v>
      </c>
      <c r="C82" s="352" t="s">
        <v>1230</v>
      </c>
      <c r="D82" s="352" t="s">
        <v>1233</v>
      </c>
      <c r="E82" s="352">
        <v>11400</v>
      </c>
      <c r="F82" s="352">
        <v>570</v>
      </c>
      <c r="G82" s="352">
        <f t="shared" si="8"/>
        <v>11970</v>
      </c>
      <c r="H82" s="377" t="s">
        <v>1091</v>
      </c>
      <c r="I82" s="343" t="s">
        <v>455</v>
      </c>
      <c r="L82" s="350">
        <v>11940</v>
      </c>
      <c r="M82" s="350">
        <f t="shared" si="9"/>
        <v>11940</v>
      </c>
      <c r="N82" s="351">
        <v>30</v>
      </c>
      <c r="O82" s="351">
        <f t="shared" si="7"/>
        <v>0</v>
      </c>
      <c r="P82" s="378" t="s">
        <v>1092</v>
      </c>
    </row>
    <row r="83" spans="1:16">
      <c r="A83" s="380">
        <v>20110511</v>
      </c>
      <c r="B83" s="352" t="s">
        <v>1093</v>
      </c>
      <c r="C83" s="352" t="s">
        <v>3825</v>
      </c>
      <c r="D83" s="352" t="s">
        <v>1233</v>
      </c>
      <c r="E83" s="352">
        <v>13500</v>
      </c>
      <c r="F83" s="352">
        <v>675</v>
      </c>
      <c r="G83" s="352">
        <f t="shared" si="8"/>
        <v>14175</v>
      </c>
      <c r="H83" s="377" t="s">
        <v>905</v>
      </c>
      <c r="I83" s="343" t="s">
        <v>450</v>
      </c>
      <c r="L83" s="350">
        <v>14145</v>
      </c>
      <c r="M83" s="350">
        <f t="shared" si="9"/>
        <v>14145</v>
      </c>
      <c r="N83" s="351">
        <v>30</v>
      </c>
      <c r="O83" s="351">
        <f t="shared" si="7"/>
        <v>0</v>
      </c>
      <c r="P83" s="378" t="s">
        <v>1072</v>
      </c>
    </row>
    <row r="84" spans="1:16">
      <c r="A84" s="380">
        <v>20110511</v>
      </c>
      <c r="B84" s="352" t="s">
        <v>1094</v>
      </c>
      <c r="C84" s="352" t="s">
        <v>1699</v>
      </c>
      <c r="D84" s="352" t="s">
        <v>1233</v>
      </c>
      <c r="E84" s="352">
        <v>12857</v>
      </c>
      <c r="F84" s="352">
        <v>643</v>
      </c>
      <c r="G84" s="352">
        <f t="shared" si="8"/>
        <v>13500</v>
      </c>
      <c r="H84" s="377" t="s">
        <v>2780</v>
      </c>
      <c r="I84" s="350">
        <v>371</v>
      </c>
      <c r="J84" s="350">
        <v>13500</v>
      </c>
      <c r="M84" s="350">
        <f t="shared" si="9"/>
        <v>13500</v>
      </c>
      <c r="O84" s="351">
        <f t="shared" si="7"/>
        <v>0</v>
      </c>
      <c r="P84" s="378" t="s">
        <v>1095</v>
      </c>
    </row>
    <row r="85" spans="1:16">
      <c r="A85" s="380">
        <v>20110511</v>
      </c>
      <c r="B85" s="352" t="s">
        <v>1096</v>
      </c>
      <c r="C85" s="352" t="s">
        <v>1532</v>
      </c>
      <c r="D85" s="352" t="s">
        <v>1233</v>
      </c>
      <c r="E85" s="352">
        <v>12857</v>
      </c>
      <c r="F85" s="352">
        <v>643</v>
      </c>
      <c r="G85" s="352">
        <f t="shared" si="8"/>
        <v>13500</v>
      </c>
      <c r="H85" s="377" t="s">
        <v>2780</v>
      </c>
      <c r="I85" s="343" t="s">
        <v>448</v>
      </c>
      <c r="L85" s="350">
        <v>13500</v>
      </c>
      <c r="M85" s="350">
        <f t="shared" si="9"/>
        <v>13500</v>
      </c>
      <c r="O85" s="351">
        <f t="shared" si="7"/>
        <v>0</v>
      </c>
      <c r="P85" s="378" t="s">
        <v>1097</v>
      </c>
    </row>
    <row r="86" spans="1:16">
      <c r="A86" s="380">
        <v>20110601</v>
      </c>
      <c r="B86" s="352" t="s">
        <v>1098</v>
      </c>
      <c r="C86" s="352" t="s">
        <v>2060</v>
      </c>
      <c r="D86" s="352" t="s">
        <v>1233</v>
      </c>
      <c r="E86" s="352">
        <v>13500</v>
      </c>
      <c r="F86" s="352">
        <v>675</v>
      </c>
      <c r="G86" s="352">
        <f t="shared" si="8"/>
        <v>14175</v>
      </c>
      <c r="H86" s="377" t="s">
        <v>904</v>
      </c>
      <c r="I86" s="343" t="s">
        <v>455</v>
      </c>
      <c r="L86" s="350">
        <v>14145</v>
      </c>
      <c r="M86" s="350">
        <f t="shared" si="9"/>
        <v>14145</v>
      </c>
      <c r="N86" s="351">
        <v>30</v>
      </c>
      <c r="O86" s="351">
        <f t="shared" si="7"/>
        <v>0</v>
      </c>
      <c r="P86" s="378" t="s">
        <v>1099</v>
      </c>
    </row>
    <row r="87" spans="1:16">
      <c r="A87" s="380">
        <v>20110620</v>
      </c>
      <c r="B87" s="352" t="s">
        <v>1100</v>
      </c>
      <c r="C87" s="352" t="s">
        <v>2041</v>
      </c>
      <c r="D87" s="352" t="s">
        <v>1233</v>
      </c>
      <c r="E87" s="352">
        <v>108000</v>
      </c>
      <c r="F87" s="352">
        <v>5400</v>
      </c>
      <c r="G87" s="352">
        <f t="shared" si="8"/>
        <v>113400</v>
      </c>
      <c r="H87" s="377" t="s">
        <v>1276</v>
      </c>
      <c r="I87" s="343" t="s">
        <v>1101</v>
      </c>
      <c r="J87" s="350">
        <v>113400</v>
      </c>
      <c r="M87" s="350">
        <f t="shared" si="9"/>
        <v>113400</v>
      </c>
      <c r="O87" s="351">
        <f t="shared" si="7"/>
        <v>0</v>
      </c>
      <c r="P87" s="378" t="s">
        <v>1102</v>
      </c>
    </row>
    <row r="88" spans="1:16">
      <c r="A88" s="380">
        <v>20110531</v>
      </c>
      <c r="B88" s="370" t="s">
        <v>1103</v>
      </c>
      <c r="C88" s="370" t="s">
        <v>1104</v>
      </c>
      <c r="D88" s="371" t="s">
        <v>1105</v>
      </c>
      <c r="E88" s="352">
        <v>4762</v>
      </c>
      <c r="F88" s="370">
        <v>238</v>
      </c>
      <c r="G88" s="370">
        <f t="shared" si="8"/>
        <v>5000</v>
      </c>
      <c r="H88" s="379"/>
      <c r="O88" s="351">
        <f t="shared" si="7"/>
        <v>5000</v>
      </c>
      <c r="P88" s="352"/>
    </row>
    <row r="89" spans="1:16">
      <c r="A89" s="380"/>
      <c r="B89" s="183" t="s">
        <v>1106</v>
      </c>
      <c r="C89" s="352"/>
      <c r="D89" s="371" t="s">
        <v>1235</v>
      </c>
      <c r="E89" s="352"/>
      <c r="F89" s="352"/>
      <c r="G89" s="352">
        <f t="shared" si="8"/>
        <v>0</v>
      </c>
      <c r="H89" s="379"/>
      <c r="P89" s="352"/>
    </row>
    <row r="90" spans="1:16">
      <c r="A90" s="183">
        <v>20110704</v>
      </c>
      <c r="B90" s="183" t="s">
        <v>1107</v>
      </c>
      <c r="C90" s="352" t="s">
        <v>1307</v>
      </c>
      <c r="D90" s="178"/>
      <c r="E90" s="352">
        <v>102857</v>
      </c>
      <c r="F90" s="352">
        <v>5143</v>
      </c>
      <c r="G90" s="352">
        <f t="shared" si="8"/>
        <v>108000</v>
      </c>
      <c r="H90" s="377" t="s">
        <v>1276</v>
      </c>
      <c r="I90" s="343" t="s">
        <v>1108</v>
      </c>
      <c r="J90" s="350">
        <v>108000</v>
      </c>
      <c r="M90" s="350">
        <f t="shared" ref="M90:M109" si="10">J90+L90</f>
        <v>108000</v>
      </c>
      <c r="O90" s="351">
        <f t="shared" ref="O90:O109" si="11">G90-M90-N90</f>
        <v>0</v>
      </c>
      <c r="P90" s="378">
        <v>36025531</v>
      </c>
    </row>
    <row r="91" spans="1:16">
      <c r="A91" s="183">
        <v>20110801</v>
      </c>
      <c r="B91" s="183" t="s">
        <v>1109</v>
      </c>
      <c r="C91" s="352" t="s">
        <v>2421</v>
      </c>
      <c r="D91" s="178"/>
      <c r="E91" s="352">
        <v>13500</v>
      </c>
      <c r="F91" s="352">
        <v>675</v>
      </c>
      <c r="G91" s="352">
        <f t="shared" si="8"/>
        <v>14175</v>
      </c>
      <c r="H91" s="377" t="s">
        <v>2780</v>
      </c>
      <c r="I91" s="343" t="s">
        <v>457</v>
      </c>
      <c r="L91" s="350">
        <v>14165</v>
      </c>
      <c r="M91" s="350">
        <f t="shared" si="10"/>
        <v>14165</v>
      </c>
      <c r="N91" s="351">
        <v>10</v>
      </c>
      <c r="O91" s="351">
        <f t="shared" si="11"/>
        <v>0</v>
      </c>
      <c r="P91" s="378" t="s">
        <v>1084</v>
      </c>
    </row>
    <row r="92" spans="1:16">
      <c r="A92" s="183">
        <v>20110802</v>
      </c>
      <c r="B92" s="183" t="s">
        <v>1110</v>
      </c>
      <c r="C92" s="352" t="s">
        <v>3825</v>
      </c>
      <c r="D92" s="178"/>
      <c r="E92" s="352">
        <v>13500</v>
      </c>
      <c r="F92" s="352">
        <v>675</v>
      </c>
      <c r="G92" s="352">
        <f t="shared" si="8"/>
        <v>14175</v>
      </c>
      <c r="H92" s="377" t="s">
        <v>2780</v>
      </c>
      <c r="I92" s="343" t="s">
        <v>2081</v>
      </c>
      <c r="L92" s="350">
        <v>14145</v>
      </c>
      <c r="M92" s="350">
        <f t="shared" si="10"/>
        <v>14145</v>
      </c>
      <c r="N92" s="351">
        <v>30</v>
      </c>
      <c r="O92" s="351">
        <f t="shared" si="11"/>
        <v>0</v>
      </c>
      <c r="P92" s="378">
        <v>23306799</v>
      </c>
    </row>
    <row r="93" spans="1:16">
      <c r="A93" s="183">
        <v>20110802</v>
      </c>
      <c r="B93" s="183" t="s">
        <v>1111</v>
      </c>
      <c r="C93" s="183" t="s">
        <v>1532</v>
      </c>
      <c r="D93" s="352"/>
      <c r="E93" s="352">
        <v>12857</v>
      </c>
      <c r="F93" s="183">
        <v>643</v>
      </c>
      <c r="G93" s="352">
        <f t="shared" si="8"/>
        <v>13500</v>
      </c>
      <c r="H93" s="377" t="s">
        <v>1112</v>
      </c>
      <c r="I93" s="343" t="s">
        <v>2080</v>
      </c>
      <c r="L93" s="350">
        <v>13485</v>
      </c>
      <c r="M93" s="350">
        <f t="shared" si="10"/>
        <v>13485</v>
      </c>
      <c r="N93" s="351">
        <v>15</v>
      </c>
      <c r="O93" s="351">
        <f t="shared" si="11"/>
        <v>0</v>
      </c>
      <c r="P93" s="378" t="s">
        <v>1097</v>
      </c>
    </row>
    <row r="94" spans="1:16">
      <c r="A94" s="183">
        <v>20110802</v>
      </c>
      <c r="B94" s="183" t="s">
        <v>1113</v>
      </c>
      <c r="C94" s="183" t="s">
        <v>1699</v>
      </c>
      <c r="D94" s="352"/>
      <c r="E94" s="352">
        <v>12857</v>
      </c>
      <c r="F94" s="183">
        <v>643</v>
      </c>
      <c r="G94" s="352">
        <f t="shared" si="8"/>
        <v>13500</v>
      </c>
      <c r="H94" s="377" t="s">
        <v>1112</v>
      </c>
      <c r="I94" s="350">
        <v>389</v>
      </c>
      <c r="J94" s="350">
        <v>13500</v>
      </c>
      <c r="M94" s="350">
        <f t="shared" si="10"/>
        <v>13500</v>
      </c>
      <c r="O94" s="351">
        <f t="shared" si="11"/>
        <v>0</v>
      </c>
      <c r="P94" s="378" t="s">
        <v>1095</v>
      </c>
    </row>
    <row r="95" spans="1:16">
      <c r="A95" s="183">
        <v>20110802</v>
      </c>
      <c r="B95" s="183" t="s">
        <v>1114</v>
      </c>
      <c r="C95" s="183" t="s">
        <v>1230</v>
      </c>
      <c r="D95" s="352"/>
      <c r="E95" s="352">
        <v>11400</v>
      </c>
      <c r="F95" s="183">
        <v>570</v>
      </c>
      <c r="G95" s="352">
        <f t="shared" si="8"/>
        <v>11970</v>
      </c>
      <c r="H95" s="379"/>
      <c r="M95" s="350">
        <f t="shared" si="10"/>
        <v>0</v>
      </c>
      <c r="O95" s="351">
        <f t="shared" si="11"/>
        <v>11970</v>
      </c>
      <c r="P95" s="378" t="s">
        <v>1092</v>
      </c>
    </row>
    <row r="96" spans="1:16">
      <c r="A96" s="183">
        <v>20110802</v>
      </c>
      <c r="B96" s="183" t="s">
        <v>1115</v>
      </c>
      <c r="C96" s="183" t="s">
        <v>1232</v>
      </c>
      <c r="D96" s="352"/>
      <c r="E96" s="352">
        <v>15600</v>
      </c>
      <c r="F96" s="183">
        <v>780</v>
      </c>
      <c r="G96" s="352">
        <f t="shared" si="8"/>
        <v>16380</v>
      </c>
      <c r="H96" s="377" t="s">
        <v>905</v>
      </c>
      <c r="I96" s="350">
        <v>390</v>
      </c>
      <c r="J96" s="350">
        <v>16380</v>
      </c>
      <c r="M96" s="350">
        <f t="shared" si="10"/>
        <v>16380</v>
      </c>
      <c r="O96" s="351">
        <f t="shared" si="11"/>
        <v>0</v>
      </c>
      <c r="P96" s="378" t="s">
        <v>1080</v>
      </c>
    </row>
    <row r="97" spans="1:16">
      <c r="A97" s="183">
        <v>20110809</v>
      </c>
      <c r="B97" s="183" t="s">
        <v>1116</v>
      </c>
      <c r="C97" s="183" t="s">
        <v>8</v>
      </c>
      <c r="D97" s="352"/>
      <c r="E97" s="352">
        <v>108000</v>
      </c>
      <c r="F97" s="183">
        <v>5400</v>
      </c>
      <c r="G97" s="352">
        <f t="shared" si="8"/>
        <v>113400</v>
      </c>
      <c r="H97" s="377" t="s">
        <v>1276</v>
      </c>
      <c r="I97" s="343" t="s">
        <v>1117</v>
      </c>
      <c r="J97" s="350">
        <v>113400</v>
      </c>
      <c r="M97" s="350">
        <f t="shared" si="10"/>
        <v>113400</v>
      </c>
      <c r="O97" s="351">
        <f t="shared" si="11"/>
        <v>0</v>
      </c>
      <c r="P97" s="378">
        <v>12946185</v>
      </c>
    </row>
    <row r="98" spans="1:16">
      <c r="A98" s="183">
        <v>20111003</v>
      </c>
      <c r="B98" s="183" t="s">
        <v>1118</v>
      </c>
      <c r="C98" s="183" t="s">
        <v>1302</v>
      </c>
      <c r="D98" s="352"/>
      <c r="E98" s="352">
        <v>91200</v>
      </c>
      <c r="F98" s="183">
        <v>4560</v>
      </c>
      <c r="G98" s="352">
        <f t="shared" si="8"/>
        <v>95760</v>
      </c>
      <c r="H98" s="377" t="s">
        <v>1119</v>
      </c>
      <c r="I98" s="343" t="s">
        <v>1120</v>
      </c>
      <c r="J98" s="350">
        <v>95760</v>
      </c>
      <c r="M98" s="350">
        <f t="shared" si="10"/>
        <v>95760</v>
      </c>
      <c r="O98" s="351">
        <f t="shared" si="11"/>
        <v>0</v>
      </c>
      <c r="P98" s="378" t="s">
        <v>1121</v>
      </c>
    </row>
    <row r="99" spans="1:16">
      <c r="A99" s="183">
        <v>20111003</v>
      </c>
      <c r="B99" s="183" t="s">
        <v>1122</v>
      </c>
      <c r="C99" s="183" t="s">
        <v>2060</v>
      </c>
      <c r="D99" s="352"/>
      <c r="E99" s="352">
        <v>13500</v>
      </c>
      <c r="F99" s="183">
        <v>675</v>
      </c>
      <c r="G99" s="352">
        <f t="shared" si="8"/>
        <v>14175</v>
      </c>
      <c r="H99" s="377" t="s">
        <v>905</v>
      </c>
      <c r="I99" s="343" t="s">
        <v>2112</v>
      </c>
      <c r="L99" s="350">
        <v>14145</v>
      </c>
      <c r="M99" s="350">
        <f t="shared" si="10"/>
        <v>14145</v>
      </c>
      <c r="N99" s="351">
        <v>30</v>
      </c>
      <c r="O99" s="351">
        <f t="shared" si="11"/>
        <v>0</v>
      </c>
      <c r="P99" s="378" t="s">
        <v>1099</v>
      </c>
    </row>
    <row r="100" spans="1:16">
      <c r="A100" s="183">
        <v>20111003</v>
      </c>
      <c r="B100" s="183" t="s">
        <v>1123</v>
      </c>
      <c r="C100" s="183" t="s">
        <v>3825</v>
      </c>
      <c r="D100" s="352"/>
      <c r="E100" s="352">
        <v>13500</v>
      </c>
      <c r="F100" s="183">
        <v>675</v>
      </c>
      <c r="G100" s="352">
        <f t="shared" si="8"/>
        <v>14175</v>
      </c>
      <c r="H100" s="377" t="s">
        <v>1112</v>
      </c>
      <c r="I100" s="343" t="s">
        <v>2100</v>
      </c>
      <c r="L100" s="350">
        <v>14145</v>
      </c>
      <c r="M100" s="350">
        <f t="shared" si="10"/>
        <v>14145</v>
      </c>
      <c r="N100" s="351">
        <v>30</v>
      </c>
      <c r="O100" s="351">
        <f t="shared" si="11"/>
        <v>0</v>
      </c>
      <c r="P100" s="378" t="s">
        <v>1072</v>
      </c>
    </row>
    <row r="101" spans="1:16">
      <c r="A101" s="183">
        <v>20111003</v>
      </c>
      <c r="B101" s="183" t="s">
        <v>1124</v>
      </c>
      <c r="C101" s="183" t="s">
        <v>2421</v>
      </c>
      <c r="D101" s="352"/>
      <c r="E101" s="352">
        <v>13500</v>
      </c>
      <c r="F101" s="183">
        <v>675</v>
      </c>
      <c r="G101" s="352">
        <f t="shared" si="8"/>
        <v>14175</v>
      </c>
      <c r="H101" s="377" t="s">
        <v>1112</v>
      </c>
      <c r="I101" s="343" t="s">
        <v>2087</v>
      </c>
      <c r="L101" s="350">
        <v>14165</v>
      </c>
      <c r="M101" s="350">
        <f t="shared" si="10"/>
        <v>14165</v>
      </c>
      <c r="N101" s="351">
        <v>10</v>
      </c>
      <c r="O101" s="351">
        <f t="shared" si="11"/>
        <v>0</v>
      </c>
      <c r="P101" s="378" t="s">
        <v>1084</v>
      </c>
    </row>
    <row r="102" spans="1:16">
      <c r="A102" s="183">
        <v>20111108</v>
      </c>
      <c r="B102" s="183" t="s">
        <v>1125</v>
      </c>
      <c r="C102" s="183" t="s">
        <v>1532</v>
      </c>
      <c r="D102" s="352"/>
      <c r="E102" s="183">
        <v>12857</v>
      </c>
      <c r="F102" s="183">
        <v>643</v>
      </c>
      <c r="G102" s="352">
        <f t="shared" si="8"/>
        <v>13500</v>
      </c>
      <c r="H102" s="377" t="s">
        <v>1077</v>
      </c>
      <c r="I102" s="343" t="s">
        <v>2568</v>
      </c>
      <c r="L102" s="350">
        <v>13485</v>
      </c>
      <c r="M102" s="350">
        <f t="shared" si="10"/>
        <v>13485</v>
      </c>
      <c r="N102" s="351">
        <v>15</v>
      </c>
      <c r="O102" s="351">
        <f t="shared" si="11"/>
        <v>0</v>
      </c>
      <c r="P102" s="381" t="s">
        <v>1097</v>
      </c>
    </row>
    <row r="103" spans="1:16">
      <c r="A103" s="183">
        <v>20111108</v>
      </c>
      <c r="B103" s="183" t="s">
        <v>1126</v>
      </c>
      <c r="C103" s="183" t="s">
        <v>1699</v>
      </c>
      <c r="D103" s="352"/>
      <c r="E103" s="183">
        <v>12857</v>
      </c>
      <c r="F103" s="183">
        <v>643</v>
      </c>
      <c r="G103" s="352">
        <f t="shared" si="8"/>
        <v>13500</v>
      </c>
      <c r="H103" s="377" t="s">
        <v>1077</v>
      </c>
      <c r="I103" s="350">
        <v>403</v>
      </c>
      <c r="J103" s="350">
        <v>13500</v>
      </c>
      <c r="M103" s="350">
        <f t="shared" si="10"/>
        <v>13500</v>
      </c>
      <c r="O103" s="351">
        <f t="shared" si="11"/>
        <v>0</v>
      </c>
      <c r="P103" s="381" t="s">
        <v>1095</v>
      </c>
    </row>
    <row r="104" spans="1:16">
      <c r="A104" s="183">
        <v>20111108</v>
      </c>
      <c r="B104" s="183" t="s">
        <v>1127</v>
      </c>
      <c r="C104" s="183" t="s">
        <v>1230</v>
      </c>
      <c r="D104" s="352"/>
      <c r="E104" s="183">
        <v>11400</v>
      </c>
      <c r="F104" s="183">
        <v>570</v>
      </c>
      <c r="G104" s="352">
        <f t="shared" si="8"/>
        <v>11970</v>
      </c>
      <c r="H104" s="379"/>
      <c r="M104" s="350">
        <f t="shared" si="10"/>
        <v>0</v>
      </c>
      <c r="O104" s="351">
        <f t="shared" si="11"/>
        <v>11970</v>
      </c>
      <c r="P104" s="381" t="s">
        <v>1092</v>
      </c>
    </row>
    <row r="105" spans="1:16">
      <c r="A105" s="183">
        <v>20111108</v>
      </c>
      <c r="B105" s="183" t="s">
        <v>1128</v>
      </c>
      <c r="C105" s="183" t="s">
        <v>1232</v>
      </c>
      <c r="D105" s="352"/>
      <c r="E105" s="183">
        <v>15600</v>
      </c>
      <c r="F105" s="183">
        <v>780</v>
      </c>
      <c r="G105" s="352">
        <f t="shared" si="8"/>
        <v>16380</v>
      </c>
      <c r="H105" s="377" t="s">
        <v>2780</v>
      </c>
      <c r="I105" s="350">
        <v>420</v>
      </c>
      <c r="J105" s="350">
        <v>16380</v>
      </c>
      <c r="M105" s="350">
        <f t="shared" si="10"/>
        <v>16380</v>
      </c>
      <c r="O105" s="351">
        <f t="shared" si="11"/>
        <v>0</v>
      </c>
      <c r="P105" s="381" t="s">
        <v>1080</v>
      </c>
    </row>
    <row r="106" spans="1:16">
      <c r="A106" s="183">
        <v>20111108</v>
      </c>
      <c r="B106" s="183" t="s">
        <v>1129</v>
      </c>
      <c r="C106" s="183" t="s">
        <v>1270</v>
      </c>
      <c r="D106" s="352"/>
      <c r="E106" s="183">
        <v>19500</v>
      </c>
      <c r="F106" s="183">
        <v>975</v>
      </c>
      <c r="G106" s="352">
        <f t="shared" si="8"/>
        <v>20475</v>
      </c>
      <c r="H106" s="377" t="s">
        <v>1077</v>
      </c>
      <c r="I106" s="350">
        <v>399</v>
      </c>
      <c r="J106" s="350">
        <v>20475</v>
      </c>
      <c r="M106" s="350">
        <f t="shared" si="10"/>
        <v>20475</v>
      </c>
      <c r="O106" s="351">
        <f t="shared" si="11"/>
        <v>0</v>
      </c>
      <c r="P106" s="381" t="s">
        <v>1130</v>
      </c>
    </row>
    <row r="107" spans="1:16">
      <c r="A107" s="183">
        <v>20111108</v>
      </c>
      <c r="B107" s="183" t="s">
        <v>1374</v>
      </c>
      <c r="C107" s="183" t="s">
        <v>1270</v>
      </c>
      <c r="D107" s="352"/>
      <c r="E107" s="183">
        <v>19500</v>
      </c>
      <c r="F107" s="183">
        <v>975</v>
      </c>
      <c r="G107" s="352">
        <f t="shared" si="8"/>
        <v>20475</v>
      </c>
      <c r="H107" s="377" t="s">
        <v>1091</v>
      </c>
      <c r="I107" s="350">
        <v>400</v>
      </c>
      <c r="J107" s="350">
        <v>20475</v>
      </c>
      <c r="M107" s="350">
        <f t="shared" si="10"/>
        <v>20475</v>
      </c>
      <c r="O107" s="351">
        <f t="shared" si="11"/>
        <v>0</v>
      </c>
      <c r="P107" s="381" t="s">
        <v>1130</v>
      </c>
    </row>
    <row r="108" spans="1:16">
      <c r="A108" s="183">
        <v>20111108</v>
      </c>
      <c r="B108" s="183" t="s">
        <v>1375</v>
      </c>
      <c r="C108" s="183" t="s">
        <v>1270</v>
      </c>
      <c r="D108" s="352"/>
      <c r="E108" s="183">
        <v>19500</v>
      </c>
      <c r="F108" s="183">
        <v>975</v>
      </c>
      <c r="G108" s="352">
        <f t="shared" si="8"/>
        <v>20475</v>
      </c>
      <c r="H108" s="377" t="s">
        <v>1131</v>
      </c>
      <c r="I108" s="350">
        <v>401</v>
      </c>
      <c r="J108" s="350">
        <v>20475</v>
      </c>
      <c r="M108" s="350">
        <f t="shared" si="10"/>
        <v>20475</v>
      </c>
      <c r="O108" s="351">
        <f t="shared" si="11"/>
        <v>0</v>
      </c>
      <c r="P108" s="381" t="s">
        <v>1130</v>
      </c>
    </row>
    <row r="109" spans="1:16">
      <c r="A109" s="183">
        <v>20111108</v>
      </c>
      <c r="B109" s="183" t="s">
        <v>1376</v>
      </c>
      <c r="C109" s="183" t="s">
        <v>1270</v>
      </c>
      <c r="D109" s="352"/>
      <c r="E109" s="183">
        <v>19500</v>
      </c>
      <c r="F109" s="183">
        <v>975</v>
      </c>
      <c r="G109" s="352">
        <f t="shared" si="8"/>
        <v>20475</v>
      </c>
      <c r="H109" s="377" t="s">
        <v>1132</v>
      </c>
      <c r="I109" s="350">
        <v>402</v>
      </c>
      <c r="J109" s="350">
        <v>20475</v>
      </c>
      <c r="M109" s="350">
        <f t="shared" si="10"/>
        <v>20475</v>
      </c>
      <c r="O109" s="351">
        <f t="shared" si="11"/>
        <v>0</v>
      </c>
      <c r="P109" s="381" t="s">
        <v>1130</v>
      </c>
    </row>
    <row r="110" spans="1:16">
      <c r="A110" s="183"/>
      <c r="B110" s="183" t="s">
        <v>1377</v>
      </c>
      <c r="C110" s="183"/>
      <c r="D110" s="371" t="s">
        <v>1235</v>
      </c>
      <c r="E110" s="183"/>
      <c r="F110" s="183"/>
      <c r="G110" s="352"/>
      <c r="H110" s="379"/>
      <c r="P110" s="381"/>
    </row>
    <row r="111" spans="1:16">
      <c r="A111" s="183"/>
      <c r="B111" s="183" t="s">
        <v>1378</v>
      </c>
      <c r="C111" s="183"/>
      <c r="D111" s="371" t="s">
        <v>1235</v>
      </c>
      <c r="E111" s="183"/>
      <c r="F111" s="183"/>
      <c r="G111" s="352"/>
      <c r="H111" s="379"/>
      <c r="P111" s="381"/>
    </row>
    <row r="112" spans="1:16">
      <c r="A112" s="183">
        <v>20111207</v>
      </c>
      <c r="B112" s="183" t="s">
        <v>1133</v>
      </c>
      <c r="C112" s="183" t="s">
        <v>606</v>
      </c>
      <c r="D112" s="352"/>
      <c r="E112" s="183">
        <v>102857</v>
      </c>
      <c r="F112" s="183">
        <v>5143</v>
      </c>
      <c r="G112" s="352">
        <f>E112+F112</f>
        <v>108000</v>
      </c>
      <c r="H112" s="377" t="s">
        <v>1119</v>
      </c>
      <c r="I112" s="343" t="s">
        <v>1134</v>
      </c>
      <c r="J112" s="350">
        <v>108000</v>
      </c>
      <c r="M112" s="350">
        <f>J112+L112</f>
        <v>108000</v>
      </c>
      <c r="O112" s="351">
        <f>G112-M112-N112</f>
        <v>0</v>
      </c>
      <c r="P112" s="381">
        <v>27763698</v>
      </c>
    </row>
    <row r="113" spans="1:18">
      <c r="A113" s="183">
        <v>20111214</v>
      </c>
      <c r="B113" s="183" t="s">
        <v>1135</v>
      </c>
      <c r="C113" s="183" t="s">
        <v>2060</v>
      </c>
      <c r="D113" s="352"/>
      <c r="E113" s="183">
        <v>13500</v>
      </c>
      <c r="F113" s="183">
        <v>675</v>
      </c>
      <c r="G113" s="352">
        <f>E113+F113</f>
        <v>14175</v>
      </c>
      <c r="H113" s="377" t="s">
        <v>2780</v>
      </c>
      <c r="I113" s="343" t="s">
        <v>819</v>
      </c>
      <c r="L113" s="350">
        <v>14145</v>
      </c>
      <c r="M113" s="350">
        <f>J113+L113</f>
        <v>14145</v>
      </c>
      <c r="N113" s="351">
        <v>30</v>
      </c>
      <c r="O113" s="351">
        <f>G113-M113-N113</f>
        <v>0</v>
      </c>
      <c r="P113" s="381">
        <v>22663002</v>
      </c>
    </row>
    <row r="114" spans="1:18">
      <c r="A114" s="183">
        <v>20111214</v>
      </c>
      <c r="B114" s="352" t="s">
        <v>1136</v>
      </c>
      <c r="C114" s="352" t="s">
        <v>2421</v>
      </c>
      <c r="D114" s="352"/>
      <c r="E114" s="352">
        <v>13500</v>
      </c>
      <c r="F114" s="352">
        <v>675</v>
      </c>
      <c r="G114" s="352">
        <v>14175</v>
      </c>
      <c r="H114" s="377" t="s">
        <v>1077</v>
      </c>
      <c r="I114" s="343" t="s">
        <v>1137</v>
      </c>
      <c r="L114" s="350">
        <v>14165</v>
      </c>
      <c r="M114" s="350">
        <f>J114+L114</f>
        <v>14165</v>
      </c>
      <c r="N114" s="351">
        <v>10</v>
      </c>
      <c r="O114" s="351">
        <f>G114-M114-N114</f>
        <v>0</v>
      </c>
      <c r="P114" s="381" t="s">
        <v>1084</v>
      </c>
    </row>
    <row r="115" spans="1:18">
      <c r="A115"/>
      <c r="B115"/>
      <c r="C115"/>
      <c r="D115"/>
      <c r="E115"/>
      <c r="F115"/>
      <c r="G115"/>
      <c r="P115"/>
    </row>
    <row r="116" spans="1:18">
      <c r="N116" s="382"/>
    </row>
    <row r="117" spans="1:18" s="347" customFormat="1">
      <c r="A117" s="346" t="s">
        <v>1138</v>
      </c>
      <c r="D117" s="348" t="s">
        <v>2377</v>
      </c>
      <c r="E117" s="376">
        <f>SUM(E118:E174)</f>
        <v>2550357</v>
      </c>
      <c r="F117" s="376">
        <f>SUM(F118:F174)</f>
        <v>127518</v>
      </c>
      <c r="G117" s="376">
        <f>SUM(G118:G174)</f>
        <v>2677875</v>
      </c>
      <c r="H117" s="349"/>
      <c r="I117" s="383"/>
      <c r="J117" s="376">
        <f>SUM(J118:J174)</f>
        <v>2481446</v>
      </c>
      <c r="K117" s="376"/>
      <c r="L117" s="376">
        <f>SUM(L118:L174)</f>
        <v>196190</v>
      </c>
      <c r="M117" s="376">
        <f>SUM(M118:M174)</f>
        <v>2677636</v>
      </c>
      <c r="N117" s="376">
        <f>SUM(N118:N174)</f>
        <v>239</v>
      </c>
      <c r="O117" s="376">
        <f>SUM(O118:O174)</f>
        <v>0</v>
      </c>
    </row>
    <row r="118" spans="1:18">
      <c r="A118" s="183">
        <v>20120109</v>
      </c>
      <c r="B118" s="183" t="s">
        <v>1139</v>
      </c>
      <c r="C118" s="183" t="s">
        <v>3825</v>
      </c>
      <c r="D118" s="352"/>
      <c r="E118" s="183">
        <v>13500</v>
      </c>
      <c r="F118" s="183">
        <v>675</v>
      </c>
      <c r="G118" s="352">
        <f t="shared" ref="G118:G174" si="12">E118+F118</f>
        <v>14175</v>
      </c>
      <c r="H118" s="379">
        <v>5</v>
      </c>
      <c r="I118" s="343" t="s">
        <v>1140</v>
      </c>
      <c r="L118" s="350">
        <v>14145</v>
      </c>
      <c r="M118" s="350">
        <v>14145</v>
      </c>
      <c r="N118" s="351">
        <v>30</v>
      </c>
      <c r="O118" s="351">
        <f t="shared" ref="O118:O174" si="13">G118-M118-N118</f>
        <v>0</v>
      </c>
      <c r="P118" s="378" t="s">
        <v>1072</v>
      </c>
      <c r="Q118" s="287"/>
      <c r="R118" s="288"/>
    </row>
    <row r="119" spans="1:18">
      <c r="A119" s="183">
        <v>20120202</v>
      </c>
      <c r="B119" s="183" t="s">
        <v>177</v>
      </c>
      <c r="C119" s="183" t="s">
        <v>1532</v>
      </c>
      <c r="D119" s="344"/>
      <c r="E119" s="183">
        <v>12857</v>
      </c>
      <c r="F119" s="183">
        <v>643</v>
      </c>
      <c r="G119" s="352">
        <f t="shared" si="12"/>
        <v>13500</v>
      </c>
      <c r="H119" s="379">
        <v>6</v>
      </c>
      <c r="I119" s="343" t="s">
        <v>1141</v>
      </c>
      <c r="L119" s="350">
        <v>13485</v>
      </c>
      <c r="M119" s="350">
        <v>13485</v>
      </c>
      <c r="N119" s="351">
        <v>15</v>
      </c>
      <c r="O119" s="351">
        <f t="shared" si="13"/>
        <v>0</v>
      </c>
      <c r="P119" s="378" t="s">
        <v>1097</v>
      </c>
      <c r="Q119" s="289"/>
      <c r="R119" s="288"/>
    </row>
    <row r="120" spans="1:18">
      <c r="A120" s="183">
        <v>20120202</v>
      </c>
      <c r="B120" s="183" t="s">
        <v>178</v>
      </c>
      <c r="C120" s="199" t="s">
        <v>1699</v>
      </c>
      <c r="D120" s="344"/>
      <c r="E120" s="199">
        <v>12857</v>
      </c>
      <c r="F120" s="183">
        <v>643</v>
      </c>
      <c r="G120" s="352">
        <f t="shared" si="12"/>
        <v>13500</v>
      </c>
      <c r="H120" s="379">
        <v>6</v>
      </c>
      <c r="I120" s="350">
        <v>422</v>
      </c>
      <c r="J120" s="350">
        <v>13500</v>
      </c>
      <c r="M120" s="350">
        <f t="shared" ref="M120:M174" si="14">J120+L120</f>
        <v>13500</v>
      </c>
      <c r="O120" s="351">
        <f t="shared" si="13"/>
        <v>0</v>
      </c>
      <c r="P120" s="378" t="s">
        <v>1095</v>
      </c>
      <c r="Q120" s="289"/>
      <c r="R120" s="288"/>
    </row>
    <row r="121" spans="1:18">
      <c r="A121" s="183">
        <v>20120202</v>
      </c>
      <c r="B121" s="183" t="s">
        <v>179</v>
      </c>
      <c r="C121" s="199" t="s">
        <v>1232</v>
      </c>
      <c r="D121" s="352"/>
      <c r="E121" s="183">
        <v>15600</v>
      </c>
      <c r="F121" s="183">
        <v>780</v>
      </c>
      <c r="G121" s="352">
        <f t="shared" si="12"/>
        <v>16380</v>
      </c>
      <c r="H121" s="379">
        <v>4</v>
      </c>
      <c r="I121" s="350">
        <v>421</v>
      </c>
      <c r="J121" s="350">
        <v>16380</v>
      </c>
      <c r="M121" s="350">
        <f t="shared" si="14"/>
        <v>16380</v>
      </c>
      <c r="O121" s="351">
        <f t="shared" si="13"/>
        <v>0</v>
      </c>
      <c r="P121" s="378" t="s">
        <v>1080</v>
      </c>
      <c r="Q121" s="289"/>
      <c r="R121" s="288"/>
    </row>
    <row r="122" spans="1:18">
      <c r="A122" s="380">
        <v>20120307</v>
      </c>
      <c r="B122" s="352" t="s">
        <v>1142</v>
      </c>
      <c r="C122" s="352" t="s">
        <v>1249</v>
      </c>
      <c r="D122" s="352"/>
      <c r="E122" s="367">
        <v>43200</v>
      </c>
      <c r="F122" s="352">
        <v>2160</v>
      </c>
      <c r="G122" s="352">
        <f t="shared" si="12"/>
        <v>45360</v>
      </c>
      <c r="H122" s="377" t="s">
        <v>1143</v>
      </c>
      <c r="I122" s="343" t="s">
        <v>1144</v>
      </c>
      <c r="J122" s="350">
        <v>45360</v>
      </c>
      <c r="M122" s="350">
        <f t="shared" si="14"/>
        <v>45360</v>
      </c>
      <c r="O122" s="351">
        <f t="shared" si="13"/>
        <v>0</v>
      </c>
      <c r="P122" s="378" t="s">
        <v>1145</v>
      </c>
      <c r="Q122" s="289"/>
      <c r="R122" s="288"/>
    </row>
    <row r="123" spans="1:18">
      <c r="A123" s="380">
        <v>20120312</v>
      </c>
      <c r="B123" s="352" t="s">
        <v>180</v>
      </c>
      <c r="C123" s="352" t="s">
        <v>2421</v>
      </c>
      <c r="D123" s="352"/>
      <c r="E123" s="367">
        <v>13500</v>
      </c>
      <c r="F123" s="352">
        <v>675</v>
      </c>
      <c r="G123" s="352">
        <f t="shared" si="12"/>
        <v>14175</v>
      </c>
      <c r="H123" s="377" t="s">
        <v>1091</v>
      </c>
      <c r="I123" s="343" t="s">
        <v>1146</v>
      </c>
      <c r="L123" s="350">
        <v>14165</v>
      </c>
      <c r="M123" s="350">
        <f t="shared" si="14"/>
        <v>14165</v>
      </c>
      <c r="N123" s="351">
        <v>10</v>
      </c>
      <c r="O123" s="351">
        <f t="shared" si="13"/>
        <v>0</v>
      </c>
      <c r="P123" s="378" t="s">
        <v>1084</v>
      </c>
      <c r="Q123" s="289"/>
      <c r="R123" s="288"/>
    </row>
    <row r="124" spans="1:18">
      <c r="A124" s="380">
        <v>20120312</v>
      </c>
      <c r="B124" s="352" t="s">
        <v>181</v>
      </c>
      <c r="C124" s="352" t="s">
        <v>2060</v>
      </c>
      <c r="D124" s="352"/>
      <c r="E124" s="367">
        <v>13500</v>
      </c>
      <c r="F124" s="352">
        <v>675</v>
      </c>
      <c r="G124" s="352">
        <f t="shared" si="12"/>
        <v>14175</v>
      </c>
      <c r="H124" s="377" t="s">
        <v>1112</v>
      </c>
      <c r="I124" s="343" t="s">
        <v>1147</v>
      </c>
      <c r="L124" s="350">
        <v>14145</v>
      </c>
      <c r="M124" s="350">
        <f t="shared" si="14"/>
        <v>14145</v>
      </c>
      <c r="N124" s="351">
        <v>30</v>
      </c>
      <c r="O124" s="351">
        <f t="shared" si="13"/>
        <v>0</v>
      </c>
      <c r="P124" s="378" t="s">
        <v>1099</v>
      </c>
      <c r="Q124" s="289"/>
      <c r="R124" s="288"/>
    </row>
    <row r="125" spans="1:18">
      <c r="A125" s="380">
        <v>20120312</v>
      </c>
      <c r="B125" s="352" t="s">
        <v>182</v>
      </c>
      <c r="C125" s="352" t="s">
        <v>2692</v>
      </c>
      <c r="D125" s="352"/>
      <c r="E125" s="367">
        <v>96000</v>
      </c>
      <c r="F125" s="352">
        <v>4800</v>
      </c>
      <c r="G125" s="352">
        <f t="shared" si="12"/>
        <v>100800</v>
      </c>
      <c r="H125" s="377" t="s">
        <v>1119</v>
      </c>
      <c r="I125" s="343" t="s">
        <v>1148</v>
      </c>
      <c r="J125" s="350">
        <v>100800</v>
      </c>
      <c r="M125" s="350">
        <f t="shared" si="14"/>
        <v>100800</v>
      </c>
      <c r="O125" s="351">
        <f t="shared" si="13"/>
        <v>0</v>
      </c>
      <c r="P125" s="378" t="s">
        <v>1149</v>
      </c>
      <c r="Q125" s="289"/>
      <c r="R125" s="288"/>
    </row>
    <row r="126" spans="1:18">
      <c r="A126" s="380">
        <v>20120313</v>
      </c>
      <c r="B126" s="352" t="s">
        <v>183</v>
      </c>
      <c r="C126" s="352" t="s">
        <v>264</v>
      </c>
      <c r="D126" s="352"/>
      <c r="E126" s="367">
        <v>86400</v>
      </c>
      <c r="F126" s="352">
        <v>4320</v>
      </c>
      <c r="G126" s="352">
        <f t="shared" si="12"/>
        <v>90720</v>
      </c>
      <c r="H126" s="377" t="s">
        <v>1119</v>
      </c>
      <c r="I126" s="343" t="s">
        <v>1150</v>
      </c>
      <c r="J126" s="350">
        <v>90720</v>
      </c>
      <c r="M126" s="350">
        <f t="shared" si="14"/>
        <v>90720</v>
      </c>
      <c r="O126" s="351">
        <f t="shared" si="13"/>
        <v>0</v>
      </c>
      <c r="P126" s="378" t="s">
        <v>1151</v>
      </c>
      <c r="Q126" s="289"/>
      <c r="R126" s="288"/>
    </row>
    <row r="127" spans="1:18">
      <c r="A127" s="380">
        <v>20120315</v>
      </c>
      <c r="B127" s="352" t="s">
        <v>184</v>
      </c>
      <c r="C127" s="352" t="s">
        <v>1303</v>
      </c>
      <c r="D127" s="352"/>
      <c r="E127" s="367">
        <v>100800</v>
      </c>
      <c r="F127" s="352">
        <v>5040</v>
      </c>
      <c r="G127" s="352">
        <f t="shared" si="12"/>
        <v>105840</v>
      </c>
      <c r="H127" s="377" t="s">
        <v>1119</v>
      </c>
      <c r="I127" s="343" t="s">
        <v>1152</v>
      </c>
      <c r="J127" s="350">
        <v>105840</v>
      </c>
      <c r="M127" s="350">
        <f t="shared" si="14"/>
        <v>105840</v>
      </c>
      <c r="O127" s="351">
        <f t="shared" si="13"/>
        <v>0</v>
      </c>
      <c r="P127" s="378" t="s">
        <v>1153</v>
      </c>
      <c r="Q127" s="289"/>
      <c r="R127" s="288"/>
    </row>
    <row r="128" spans="1:18">
      <c r="A128" s="380">
        <v>20120329</v>
      </c>
      <c r="B128" s="352" t="s">
        <v>185</v>
      </c>
      <c r="C128" s="352" t="s">
        <v>2690</v>
      </c>
      <c r="D128" s="352"/>
      <c r="E128" s="367">
        <v>86400</v>
      </c>
      <c r="F128" s="352">
        <v>4320</v>
      </c>
      <c r="G128" s="352">
        <f t="shared" si="12"/>
        <v>90720</v>
      </c>
      <c r="H128" s="377" t="s">
        <v>1119</v>
      </c>
      <c r="I128" s="343" t="s">
        <v>1154</v>
      </c>
      <c r="J128" s="350">
        <v>90720</v>
      </c>
      <c r="M128" s="350">
        <f t="shared" si="14"/>
        <v>90720</v>
      </c>
      <c r="O128" s="351">
        <f t="shared" si="13"/>
        <v>0</v>
      </c>
      <c r="P128" s="378" t="s">
        <v>1155</v>
      </c>
      <c r="Q128" s="289"/>
      <c r="R128" s="288"/>
    </row>
    <row r="129" spans="1:18">
      <c r="A129" s="380">
        <v>20120330</v>
      </c>
      <c r="B129" s="352" t="s">
        <v>186</v>
      </c>
      <c r="C129" s="352" t="s">
        <v>9</v>
      </c>
      <c r="D129" s="352"/>
      <c r="E129" s="367">
        <v>91429</v>
      </c>
      <c r="F129" s="352">
        <v>4571</v>
      </c>
      <c r="G129" s="352">
        <f t="shared" si="12"/>
        <v>96000</v>
      </c>
      <c r="H129" s="377" t="s">
        <v>1119</v>
      </c>
      <c r="I129" s="343" t="s">
        <v>1156</v>
      </c>
      <c r="J129" s="350">
        <v>96000</v>
      </c>
      <c r="M129" s="350">
        <f t="shared" si="14"/>
        <v>96000</v>
      </c>
      <c r="O129" s="351">
        <f t="shared" si="13"/>
        <v>0</v>
      </c>
      <c r="P129" s="378" t="s">
        <v>1157</v>
      </c>
      <c r="Q129" s="360"/>
      <c r="R129" s="360"/>
    </row>
    <row r="130" spans="1:18">
      <c r="A130" s="380">
        <v>20120403</v>
      </c>
      <c r="B130" s="352" t="s">
        <v>187</v>
      </c>
      <c r="C130" s="352" t="s">
        <v>2424</v>
      </c>
      <c r="D130" s="352"/>
      <c r="E130" s="367">
        <v>86400</v>
      </c>
      <c r="F130" s="352">
        <v>4320</v>
      </c>
      <c r="G130" s="352">
        <f t="shared" si="12"/>
        <v>90720</v>
      </c>
      <c r="H130" s="377" t="s">
        <v>1119</v>
      </c>
      <c r="I130" s="343" t="s">
        <v>1158</v>
      </c>
      <c r="J130" s="350">
        <v>90720</v>
      </c>
      <c r="M130" s="350">
        <f t="shared" si="14"/>
        <v>90720</v>
      </c>
      <c r="O130" s="351">
        <f t="shared" si="13"/>
        <v>0</v>
      </c>
      <c r="P130" s="378" t="s">
        <v>1159</v>
      </c>
      <c r="Q130" s="288"/>
      <c r="R130" s="288"/>
    </row>
    <row r="131" spans="1:18">
      <c r="A131" s="380">
        <v>20120418</v>
      </c>
      <c r="B131" s="352" t="s">
        <v>188</v>
      </c>
      <c r="C131" s="352" t="s">
        <v>3825</v>
      </c>
      <c r="D131" s="352"/>
      <c r="E131" s="367">
        <v>13500</v>
      </c>
      <c r="F131" s="352">
        <v>675</v>
      </c>
      <c r="G131" s="352">
        <f t="shared" si="12"/>
        <v>14175</v>
      </c>
      <c r="H131" s="377" t="s">
        <v>1091</v>
      </c>
      <c r="I131" s="343" t="s">
        <v>1160</v>
      </c>
      <c r="L131" s="350">
        <v>14145</v>
      </c>
      <c r="M131" s="350">
        <f t="shared" si="14"/>
        <v>14145</v>
      </c>
      <c r="N131" s="351">
        <v>30</v>
      </c>
      <c r="O131" s="351">
        <f t="shared" si="13"/>
        <v>0</v>
      </c>
      <c r="P131" s="378" t="s">
        <v>1072</v>
      </c>
      <c r="Q131" s="288"/>
      <c r="R131" s="288"/>
    </row>
    <row r="132" spans="1:18">
      <c r="A132" s="380" t="s">
        <v>1161</v>
      </c>
      <c r="B132" s="352" t="s">
        <v>1162</v>
      </c>
      <c r="C132" s="352" t="s">
        <v>2206</v>
      </c>
      <c r="D132" s="352"/>
      <c r="E132" s="352">
        <v>108000</v>
      </c>
      <c r="F132" s="352">
        <v>5400</v>
      </c>
      <c r="G132" s="352">
        <f t="shared" si="12"/>
        <v>113400</v>
      </c>
      <c r="H132" s="377" t="s">
        <v>1119</v>
      </c>
      <c r="I132" s="343" t="s">
        <v>1163</v>
      </c>
      <c r="J132" s="350">
        <v>113400</v>
      </c>
      <c r="M132" s="350">
        <f t="shared" si="14"/>
        <v>113400</v>
      </c>
      <c r="O132" s="351">
        <f t="shared" si="13"/>
        <v>0</v>
      </c>
      <c r="P132" s="378" t="s">
        <v>1164</v>
      </c>
      <c r="Q132" s="288"/>
      <c r="R132" s="288"/>
    </row>
    <row r="133" spans="1:18">
      <c r="A133" s="380" t="s">
        <v>1165</v>
      </c>
      <c r="B133" s="352" t="s">
        <v>189</v>
      </c>
      <c r="C133" s="352" t="s">
        <v>1232</v>
      </c>
      <c r="D133" s="352"/>
      <c r="E133" s="384">
        <v>15600</v>
      </c>
      <c r="F133" s="352">
        <v>780</v>
      </c>
      <c r="G133" s="352">
        <f t="shared" si="12"/>
        <v>16380</v>
      </c>
      <c r="H133" s="377" t="s">
        <v>1077</v>
      </c>
      <c r="I133" s="350">
        <v>511</v>
      </c>
      <c r="J133" s="350">
        <v>16380</v>
      </c>
      <c r="M133" s="350">
        <f t="shared" si="14"/>
        <v>16380</v>
      </c>
      <c r="O133" s="351">
        <f t="shared" si="13"/>
        <v>0</v>
      </c>
      <c r="P133" s="378" t="s">
        <v>1080</v>
      </c>
      <c r="Q133" s="288"/>
      <c r="R133" s="288"/>
    </row>
    <row r="134" spans="1:18">
      <c r="A134" s="380" t="s">
        <v>1165</v>
      </c>
      <c r="B134" s="352" t="s">
        <v>190</v>
      </c>
      <c r="C134" s="352" t="s">
        <v>1699</v>
      </c>
      <c r="D134" s="352"/>
      <c r="E134" s="384">
        <v>12857</v>
      </c>
      <c r="F134" s="352">
        <v>643</v>
      </c>
      <c r="G134" s="352">
        <f t="shared" si="12"/>
        <v>13500</v>
      </c>
      <c r="H134" s="377" t="s">
        <v>1131</v>
      </c>
      <c r="I134" s="350">
        <v>528</v>
      </c>
      <c r="J134" s="350">
        <v>13500</v>
      </c>
      <c r="M134" s="350">
        <f t="shared" si="14"/>
        <v>13500</v>
      </c>
      <c r="O134" s="351">
        <f t="shared" si="13"/>
        <v>0</v>
      </c>
      <c r="P134" s="378" t="s">
        <v>1095</v>
      </c>
      <c r="Q134" s="288"/>
      <c r="R134" s="288"/>
    </row>
    <row r="135" spans="1:18">
      <c r="A135" s="380" t="s">
        <v>1165</v>
      </c>
      <c r="B135" s="352" t="s">
        <v>191</v>
      </c>
      <c r="C135" s="352" t="s">
        <v>1532</v>
      </c>
      <c r="D135" s="352"/>
      <c r="E135" s="384">
        <v>12857</v>
      </c>
      <c r="F135" s="352">
        <v>643</v>
      </c>
      <c r="G135" s="352">
        <f t="shared" si="12"/>
        <v>13500</v>
      </c>
      <c r="H135" s="377" t="s">
        <v>1131</v>
      </c>
      <c r="I135" s="343" t="s">
        <v>1166</v>
      </c>
      <c r="L135" s="350">
        <v>13485</v>
      </c>
      <c r="M135" s="350">
        <f t="shared" si="14"/>
        <v>13485</v>
      </c>
      <c r="N135" s="351">
        <v>15</v>
      </c>
      <c r="O135" s="351">
        <f t="shared" si="13"/>
        <v>0</v>
      </c>
      <c r="P135" s="378" t="s">
        <v>1097</v>
      </c>
    </row>
    <row r="136" spans="1:18">
      <c r="A136" s="380" t="s">
        <v>1167</v>
      </c>
      <c r="B136" s="352" t="s">
        <v>192</v>
      </c>
      <c r="C136" s="352" t="s">
        <v>1781</v>
      </c>
      <c r="D136" s="352"/>
      <c r="E136" s="384">
        <v>108000</v>
      </c>
      <c r="F136" s="352">
        <v>5400</v>
      </c>
      <c r="G136" s="352">
        <f t="shared" si="12"/>
        <v>113400</v>
      </c>
      <c r="H136" s="377" t="s">
        <v>1119</v>
      </c>
      <c r="I136" s="343" t="s">
        <v>1168</v>
      </c>
      <c r="J136" s="350">
        <v>113400</v>
      </c>
      <c r="M136" s="350">
        <f t="shared" si="14"/>
        <v>113400</v>
      </c>
      <c r="O136" s="351">
        <f t="shared" si="13"/>
        <v>0</v>
      </c>
      <c r="P136" s="378" t="s">
        <v>1169</v>
      </c>
    </row>
    <row r="137" spans="1:18">
      <c r="A137" s="380" t="s">
        <v>1170</v>
      </c>
      <c r="B137" s="352" t="s">
        <v>193</v>
      </c>
      <c r="C137" s="352" t="s">
        <v>2</v>
      </c>
      <c r="D137" s="352"/>
      <c r="E137" s="384">
        <v>96000</v>
      </c>
      <c r="F137" s="352">
        <v>4800</v>
      </c>
      <c r="G137" s="352">
        <f t="shared" si="12"/>
        <v>100800</v>
      </c>
      <c r="H137" s="377" t="s">
        <v>1119</v>
      </c>
      <c r="I137" s="343" t="s">
        <v>1171</v>
      </c>
      <c r="J137" s="350">
        <v>100800</v>
      </c>
      <c r="M137" s="350">
        <f t="shared" si="14"/>
        <v>100800</v>
      </c>
      <c r="O137" s="351">
        <f t="shared" si="13"/>
        <v>0</v>
      </c>
      <c r="P137" s="378" t="s">
        <v>1172</v>
      </c>
    </row>
    <row r="138" spans="1:18">
      <c r="A138" s="380" t="s">
        <v>1170</v>
      </c>
      <c r="B138" s="352" t="s">
        <v>194</v>
      </c>
      <c r="C138" s="352" t="s">
        <v>2</v>
      </c>
      <c r="D138" s="352"/>
      <c r="E138" s="384">
        <v>144000</v>
      </c>
      <c r="F138" s="352">
        <v>7200</v>
      </c>
      <c r="G138" s="352">
        <f t="shared" si="12"/>
        <v>151200</v>
      </c>
      <c r="H138" s="377" t="s">
        <v>1119</v>
      </c>
      <c r="I138" s="343" t="s">
        <v>1173</v>
      </c>
      <c r="J138" s="350">
        <v>151200</v>
      </c>
      <c r="M138" s="350">
        <f t="shared" si="14"/>
        <v>151200</v>
      </c>
      <c r="O138" s="351">
        <f t="shared" si="13"/>
        <v>0</v>
      </c>
      <c r="P138" s="378" t="s">
        <v>1172</v>
      </c>
    </row>
    <row r="139" spans="1:18">
      <c r="A139" s="380" t="s">
        <v>1174</v>
      </c>
      <c r="B139" s="352" t="s">
        <v>195</v>
      </c>
      <c r="C139" s="352" t="s">
        <v>1264</v>
      </c>
      <c r="D139" s="352"/>
      <c r="E139" s="384">
        <v>86400</v>
      </c>
      <c r="F139" s="352">
        <v>4320</v>
      </c>
      <c r="G139" s="352">
        <f t="shared" si="12"/>
        <v>90720</v>
      </c>
      <c r="H139" s="385" t="s">
        <v>3742</v>
      </c>
      <c r="I139" s="343" t="s">
        <v>3743</v>
      </c>
      <c r="J139" s="350">
        <v>90720</v>
      </c>
      <c r="M139" s="350">
        <f t="shared" si="14"/>
        <v>90720</v>
      </c>
      <c r="O139" s="351">
        <f t="shared" si="13"/>
        <v>0</v>
      </c>
      <c r="P139" s="378" t="s">
        <v>1175</v>
      </c>
    </row>
    <row r="140" spans="1:18">
      <c r="A140" s="380"/>
      <c r="B140" s="352" t="s">
        <v>196</v>
      </c>
      <c r="D140" s="371" t="s">
        <v>1235</v>
      </c>
      <c r="E140" s="384"/>
      <c r="F140" s="352"/>
      <c r="G140" s="352">
        <f t="shared" si="12"/>
        <v>0</v>
      </c>
      <c r="H140" s="379"/>
      <c r="M140" s="350">
        <f t="shared" si="14"/>
        <v>0</v>
      </c>
      <c r="O140" s="351">
        <f t="shared" si="13"/>
        <v>0</v>
      </c>
      <c r="P140" s="378"/>
    </row>
    <row r="141" spans="1:18">
      <c r="A141" s="380" t="s">
        <v>1176</v>
      </c>
      <c r="B141" s="352" t="s">
        <v>197</v>
      </c>
      <c r="C141" s="352" t="s">
        <v>1301</v>
      </c>
      <c r="D141" s="352"/>
      <c r="E141" s="384">
        <v>108000</v>
      </c>
      <c r="F141" s="352">
        <v>5400</v>
      </c>
      <c r="G141" s="352">
        <f t="shared" si="12"/>
        <v>113400</v>
      </c>
      <c r="H141" s="377" t="s">
        <v>1119</v>
      </c>
      <c r="I141" s="343" t="s">
        <v>1177</v>
      </c>
      <c r="J141" s="350">
        <v>113400</v>
      </c>
      <c r="M141" s="350">
        <f t="shared" si="14"/>
        <v>113400</v>
      </c>
      <c r="O141" s="351">
        <f t="shared" si="13"/>
        <v>0</v>
      </c>
      <c r="P141" s="378" t="s">
        <v>1178</v>
      </c>
      <c r="Q141" s="289"/>
      <c r="R141" s="290"/>
    </row>
    <row r="142" spans="1:18">
      <c r="A142" s="380" t="s">
        <v>1179</v>
      </c>
      <c r="B142" s="352" t="s">
        <v>198</v>
      </c>
      <c r="C142" s="352" t="s">
        <v>1304</v>
      </c>
      <c r="D142" s="352"/>
      <c r="E142" s="384">
        <v>72000</v>
      </c>
      <c r="F142" s="352">
        <v>3600</v>
      </c>
      <c r="G142" s="352">
        <f t="shared" si="12"/>
        <v>75600</v>
      </c>
      <c r="H142" s="377" t="s">
        <v>1119</v>
      </c>
      <c r="I142" s="343" t="s">
        <v>1180</v>
      </c>
      <c r="J142" s="350">
        <v>75600</v>
      </c>
      <c r="M142" s="350">
        <f t="shared" si="14"/>
        <v>75600</v>
      </c>
      <c r="O142" s="351">
        <f t="shared" si="13"/>
        <v>0</v>
      </c>
      <c r="P142" s="378">
        <v>12651800</v>
      </c>
      <c r="Q142" s="289"/>
      <c r="R142" s="288"/>
    </row>
    <row r="143" spans="1:18">
      <c r="A143" s="183">
        <v>20120703</v>
      </c>
      <c r="B143" s="183" t="s">
        <v>1824</v>
      </c>
      <c r="C143" s="352" t="s">
        <v>2421</v>
      </c>
      <c r="D143" s="178"/>
      <c r="E143" s="367">
        <v>13500</v>
      </c>
      <c r="F143" s="352">
        <v>675</v>
      </c>
      <c r="G143" s="352">
        <f t="shared" si="12"/>
        <v>14175</v>
      </c>
      <c r="H143" s="377" t="s">
        <v>1131</v>
      </c>
      <c r="I143" s="343" t="s">
        <v>1825</v>
      </c>
      <c r="L143" s="350">
        <v>14165</v>
      </c>
      <c r="M143" s="350">
        <f t="shared" si="14"/>
        <v>14165</v>
      </c>
      <c r="N143" s="351">
        <v>10</v>
      </c>
      <c r="O143" s="351">
        <f t="shared" si="13"/>
        <v>0</v>
      </c>
      <c r="P143" s="378" t="s">
        <v>1084</v>
      </c>
      <c r="Q143" s="289"/>
      <c r="R143" s="290"/>
    </row>
    <row r="144" spans="1:18">
      <c r="A144" s="183">
        <v>20120703</v>
      </c>
      <c r="B144" s="183" t="s">
        <v>199</v>
      </c>
      <c r="C144" s="352" t="s">
        <v>2060</v>
      </c>
      <c r="D144" s="178"/>
      <c r="E144" s="367">
        <v>13500</v>
      </c>
      <c r="F144" s="352">
        <v>675</v>
      </c>
      <c r="G144" s="352">
        <f t="shared" si="12"/>
        <v>14175</v>
      </c>
      <c r="H144" s="377" t="s">
        <v>1077</v>
      </c>
      <c r="I144" s="343" t="s">
        <v>1826</v>
      </c>
      <c r="L144" s="350">
        <v>14175</v>
      </c>
      <c r="M144" s="350">
        <f t="shared" si="14"/>
        <v>14175</v>
      </c>
      <c r="O144" s="351">
        <f t="shared" si="13"/>
        <v>0</v>
      </c>
      <c r="P144" s="378" t="s">
        <v>1099</v>
      </c>
      <c r="Q144" s="289"/>
      <c r="R144" s="288"/>
    </row>
    <row r="145" spans="1:18">
      <c r="A145" s="183">
        <v>20120712</v>
      </c>
      <c r="B145" s="183" t="s">
        <v>200</v>
      </c>
      <c r="C145" s="352" t="s">
        <v>3825</v>
      </c>
      <c r="D145" s="178"/>
      <c r="E145" s="352">
        <v>13500</v>
      </c>
      <c r="F145" s="352">
        <v>675</v>
      </c>
      <c r="G145" s="352">
        <f t="shared" si="12"/>
        <v>14175</v>
      </c>
      <c r="H145" s="377" t="s">
        <v>1131</v>
      </c>
      <c r="I145" s="343" t="s">
        <v>1827</v>
      </c>
      <c r="L145" s="350">
        <v>14145</v>
      </c>
      <c r="M145" s="350">
        <f t="shared" si="14"/>
        <v>14145</v>
      </c>
      <c r="N145" s="351">
        <v>30</v>
      </c>
      <c r="O145" s="351">
        <f t="shared" si="13"/>
        <v>0</v>
      </c>
      <c r="P145" s="378" t="s">
        <v>1072</v>
      </c>
      <c r="Q145" s="289"/>
      <c r="R145" s="288"/>
    </row>
    <row r="146" spans="1:18">
      <c r="A146" s="183">
        <v>20120806</v>
      </c>
      <c r="B146" s="183" t="s">
        <v>201</v>
      </c>
      <c r="C146" s="183" t="s">
        <v>2686</v>
      </c>
      <c r="D146" s="352"/>
      <c r="E146" s="183">
        <v>86400</v>
      </c>
      <c r="F146" s="183">
        <v>4320</v>
      </c>
      <c r="G146" s="352">
        <f t="shared" si="12"/>
        <v>90720</v>
      </c>
      <c r="H146" s="377" t="s">
        <v>1119</v>
      </c>
      <c r="I146" s="343" t="s">
        <v>1828</v>
      </c>
      <c r="J146" s="350">
        <v>90720</v>
      </c>
      <c r="M146" s="350">
        <f t="shared" si="14"/>
        <v>90720</v>
      </c>
      <c r="O146" s="351">
        <f t="shared" si="13"/>
        <v>0</v>
      </c>
      <c r="P146" s="378" t="s">
        <v>1829</v>
      </c>
      <c r="Q146" s="289"/>
      <c r="R146" s="288"/>
    </row>
    <row r="147" spans="1:18">
      <c r="A147" s="183">
        <v>20120808</v>
      </c>
      <c r="B147" s="183" t="s">
        <v>202</v>
      </c>
      <c r="C147" s="183" t="s">
        <v>1699</v>
      </c>
      <c r="D147" s="352"/>
      <c r="E147" s="183">
        <v>12857</v>
      </c>
      <c r="F147" s="183">
        <v>643</v>
      </c>
      <c r="G147" s="352">
        <f t="shared" si="12"/>
        <v>13500</v>
      </c>
      <c r="H147" s="377" t="s">
        <v>1132</v>
      </c>
      <c r="I147" s="343" t="s">
        <v>1830</v>
      </c>
      <c r="J147" s="350">
        <v>13500</v>
      </c>
      <c r="M147" s="350">
        <f t="shared" si="14"/>
        <v>13500</v>
      </c>
      <c r="O147" s="351">
        <f t="shared" si="13"/>
        <v>0</v>
      </c>
      <c r="P147" s="378" t="s">
        <v>1095</v>
      </c>
      <c r="Q147" s="289"/>
      <c r="R147" s="288"/>
    </row>
    <row r="148" spans="1:18">
      <c r="A148" s="183">
        <v>20120808</v>
      </c>
      <c r="B148" s="183" t="s">
        <v>203</v>
      </c>
      <c r="C148" s="183" t="s">
        <v>1532</v>
      </c>
      <c r="D148" s="352"/>
      <c r="E148" s="183">
        <v>12857</v>
      </c>
      <c r="F148" s="183">
        <v>643</v>
      </c>
      <c r="G148" s="352">
        <f t="shared" si="12"/>
        <v>13500</v>
      </c>
      <c r="H148" s="377" t="s">
        <v>1132</v>
      </c>
      <c r="I148" s="343" t="s">
        <v>1831</v>
      </c>
      <c r="L148" s="350">
        <v>13485</v>
      </c>
      <c r="M148" s="350">
        <f t="shared" si="14"/>
        <v>13485</v>
      </c>
      <c r="N148" s="351">
        <v>15</v>
      </c>
      <c r="O148" s="351">
        <f t="shared" si="13"/>
        <v>0</v>
      </c>
      <c r="P148" s="378" t="s">
        <v>1097</v>
      </c>
      <c r="Q148" s="289"/>
      <c r="R148" s="288"/>
    </row>
    <row r="149" spans="1:18">
      <c r="A149" s="183">
        <v>20120808</v>
      </c>
      <c r="B149" s="183" t="s">
        <v>204</v>
      </c>
      <c r="C149" s="183" t="s">
        <v>1232</v>
      </c>
      <c r="D149" s="352"/>
      <c r="E149" s="183">
        <v>15600</v>
      </c>
      <c r="F149" s="183">
        <v>780</v>
      </c>
      <c r="G149" s="352">
        <f t="shared" si="12"/>
        <v>16380</v>
      </c>
      <c r="H149" s="377" t="s">
        <v>1091</v>
      </c>
      <c r="I149" s="350">
        <v>562</v>
      </c>
      <c r="J149" s="350">
        <v>16380</v>
      </c>
      <c r="M149" s="350">
        <f t="shared" si="14"/>
        <v>16380</v>
      </c>
      <c r="O149" s="351">
        <f t="shared" si="13"/>
        <v>0</v>
      </c>
      <c r="P149" s="378" t="s">
        <v>1080</v>
      </c>
      <c r="Q149" s="289"/>
      <c r="R149" s="288"/>
    </row>
    <row r="150" spans="1:18">
      <c r="A150" s="183">
        <v>20120822</v>
      </c>
      <c r="B150" s="183" t="s">
        <v>205</v>
      </c>
      <c r="C150" s="183" t="s">
        <v>1775</v>
      </c>
      <c r="D150" s="352"/>
      <c r="E150" s="183">
        <v>82286</v>
      </c>
      <c r="F150" s="183">
        <v>4114</v>
      </c>
      <c r="G150" s="352">
        <f t="shared" si="12"/>
        <v>86400</v>
      </c>
      <c r="H150" s="377" t="s">
        <v>1119</v>
      </c>
      <c r="I150" s="343" t="s">
        <v>1832</v>
      </c>
      <c r="J150" s="350">
        <v>86400</v>
      </c>
      <c r="M150" s="350">
        <f t="shared" si="14"/>
        <v>86400</v>
      </c>
      <c r="O150" s="351">
        <f t="shared" si="13"/>
        <v>0</v>
      </c>
      <c r="P150" s="378" t="s">
        <v>1833</v>
      </c>
      <c r="Q150" s="289"/>
      <c r="R150" s="288"/>
    </row>
    <row r="151" spans="1:18">
      <c r="A151" s="183"/>
      <c r="B151" s="183" t="s">
        <v>1834</v>
      </c>
      <c r="D151" s="254" t="s">
        <v>1235</v>
      </c>
      <c r="E151" s="183"/>
      <c r="F151" s="183"/>
      <c r="G151" s="352">
        <f t="shared" si="12"/>
        <v>0</v>
      </c>
      <c r="H151" s="379"/>
      <c r="M151" s="350">
        <f t="shared" si="14"/>
        <v>0</v>
      </c>
      <c r="O151" s="351">
        <f t="shared" si="13"/>
        <v>0</v>
      </c>
      <c r="P151" s="378"/>
      <c r="Q151" s="289"/>
      <c r="R151" s="288"/>
    </row>
    <row r="152" spans="1:18">
      <c r="A152" s="183">
        <v>20120828</v>
      </c>
      <c r="B152" s="183" t="s">
        <v>1835</v>
      </c>
      <c r="C152" s="183" t="s">
        <v>1246</v>
      </c>
      <c r="D152" s="352"/>
      <c r="E152" s="183">
        <v>76800</v>
      </c>
      <c r="F152" s="183">
        <v>3840</v>
      </c>
      <c r="G152" s="352">
        <f t="shared" si="12"/>
        <v>80640</v>
      </c>
      <c r="H152" s="377" t="s">
        <v>1119</v>
      </c>
      <c r="I152" s="343" t="s">
        <v>1836</v>
      </c>
      <c r="J152" s="350">
        <v>80640</v>
      </c>
      <c r="M152" s="350">
        <f t="shared" si="14"/>
        <v>80640</v>
      </c>
      <c r="O152" s="351">
        <f t="shared" si="13"/>
        <v>0</v>
      </c>
      <c r="P152" s="378" t="s">
        <v>1837</v>
      </c>
    </row>
    <row r="153" spans="1:18">
      <c r="A153" s="183">
        <v>20120912</v>
      </c>
      <c r="B153" s="183" t="s">
        <v>1838</v>
      </c>
      <c r="C153" s="183" t="s">
        <v>2421</v>
      </c>
      <c r="D153" s="352"/>
      <c r="E153" s="183">
        <v>13500</v>
      </c>
      <c r="F153" s="183">
        <v>675</v>
      </c>
      <c r="G153" s="352">
        <f t="shared" si="12"/>
        <v>14175</v>
      </c>
      <c r="H153" s="377" t="s">
        <v>1132</v>
      </c>
      <c r="I153" s="343" t="s">
        <v>1839</v>
      </c>
      <c r="L153" s="350">
        <v>14165</v>
      </c>
      <c r="M153" s="350">
        <f t="shared" si="14"/>
        <v>14165</v>
      </c>
      <c r="N153" s="351">
        <v>10</v>
      </c>
      <c r="O153" s="351">
        <f t="shared" si="13"/>
        <v>0</v>
      </c>
      <c r="P153" s="378" t="s">
        <v>1084</v>
      </c>
    </row>
    <row r="154" spans="1:18">
      <c r="A154" s="183">
        <v>20120912</v>
      </c>
      <c r="B154" s="183" t="s">
        <v>206</v>
      </c>
      <c r="C154" s="183" t="s">
        <v>2060</v>
      </c>
      <c r="D154" s="352"/>
      <c r="E154" s="250">
        <v>13500</v>
      </c>
      <c r="F154" s="183">
        <v>675</v>
      </c>
      <c r="G154" s="352">
        <f t="shared" si="12"/>
        <v>14175</v>
      </c>
      <c r="H154" s="377" t="s">
        <v>1091</v>
      </c>
      <c r="I154" s="343" t="s">
        <v>1840</v>
      </c>
      <c r="L154" s="350">
        <v>14165</v>
      </c>
      <c r="M154" s="350">
        <f t="shared" si="14"/>
        <v>14165</v>
      </c>
      <c r="N154" s="351">
        <v>10</v>
      </c>
      <c r="O154" s="351">
        <f t="shared" si="13"/>
        <v>0</v>
      </c>
      <c r="P154" s="378" t="s">
        <v>1099</v>
      </c>
      <c r="Q154" s="290"/>
      <c r="R154" s="290"/>
    </row>
    <row r="155" spans="1:18">
      <c r="A155" s="183"/>
      <c r="B155" s="183" t="s">
        <v>207</v>
      </c>
      <c r="D155" s="254" t="s">
        <v>1841</v>
      </c>
      <c r="E155" s="250"/>
      <c r="F155" s="183"/>
      <c r="G155" s="352">
        <f t="shared" si="12"/>
        <v>0</v>
      </c>
      <c r="H155" s="379"/>
      <c r="M155" s="350">
        <f t="shared" si="14"/>
        <v>0</v>
      </c>
      <c r="O155" s="351">
        <f t="shared" si="13"/>
        <v>0</v>
      </c>
      <c r="P155" s="378"/>
      <c r="Q155" s="290"/>
      <c r="R155" s="290"/>
    </row>
    <row r="156" spans="1:18">
      <c r="A156" s="183"/>
      <c r="B156" s="183" t="s">
        <v>208</v>
      </c>
      <c r="D156" s="254" t="s">
        <v>1841</v>
      </c>
      <c r="E156" s="250"/>
      <c r="F156" s="183"/>
      <c r="G156" s="352">
        <f t="shared" si="12"/>
        <v>0</v>
      </c>
      <c r="H156" s="379"/>
      <c r="M156" s="350">
        <f t="shared" si="14"/>
        <v>0</v>
      </c>
      <c r="O156" s="351">
        <f t="shared" si="13"/>
        <v>0</v>
      </c>
      <c r="P156" s="378"/>
      <c r="Q156" s="290"/>
      <c r="R156" s="290"/>
    </row>
    <row r="157" spans="1:18">
      <c r="A157" s="183">
        <v>20121005</v>
      </c>
      <c r="B157" s="183" t="s">
        <v>209</v>
      </c>
      <c r="C157" s="183" t="s">
        <v>3825</v>
      </c>
      <c r="D157" s="352"/>
      <c r="E157" s="250">
        <v>13500</v>
      </c>
      <c r="F157" s="183">
        <v>675</v>
      </c>
      <c r="G157" s="352">
        <f t="shared" si="12"/>
        <v>14175</v>
      </c>
      <c r="H157" s="377" t="s">
        <v>1132</v>
      </c>
      <c r="I157" s="343" t="s">
        <v>1464</v>
      </c>
      <c r="L157" s="350">
        <v>14145</v>
      </c>
      <c r="M157" s="350">
        <f t="shared" si="14"/>
        <v>14145</v>
      </c>
      <c r="N157" s="351">
        <v>30</v>
      </c>
      <c r="O157" s="351">
        <f t="shared" si="13"/>
        <v>0</v>
      </c>
      <c r="P157" s="378" t="s">
        <v>1072</v>
      </c>
      <c r="Q157" s="290"/>
      <c r="R157" s="290"/>
    </row>
    <row r="158" spans="1:18">
      <c r="A158" s="183"/>
      <c r="B158" s="183" t="s">
        <v>210</v>
      </c>
      <c r="D158" s="254" t="s">
        <v>1841</v>
      </c>
      <c r="E158" s="250"/>
      <c r="F158" s="183"/>
      <c r="G158" s="352">
        <f t="shared" si="12"/>
        <v>0</v>
      </c>
      <c r="H158" s="379"/>
      <c r="M158" s="350">
        <f t="shared" si="14"/>
        <v>0</v>
      </c>
      <c r="O158" s="351">
        <f t="shared" si="13"/>
        <v>0</v>
      </c>
      <c r="P158" s="378"/>
      <c r="Q158" s="290"/>
      <c r="R158" s="290"/>
    </row>
    <row r="159" spans="1:18">
      <c r="A159" s="183"/>
      <c r="B159" s="183" t="s">
        <v>211</v>
      </c>
      <c r="D159" s="254" t="s">
        <v>1841</v>
      </c>
      <c r="E159" s="250"/>
      <c r="F159" s="183"/>
      <c r="G159" s="352">
        <f t="shared" si="12"/>
        <v>0</v>
      </c>
      <c r="H159" s="379"/>
      <c r="M159" s="350">
        <f t="shared" si="14"/>
        <v>0</v>
      </c>
      <c r="O159" s="351">
        <f t="shared" si="13"/>
        <v>0</v>
      </c>
      <c r="P159" s="378"/>
    </row>
    <row r="160" spans="1:18">
      <c r="A160" s="183"/>
      <c r="B160" s="183" t="s">
        <v>212</v>
      </c>
      <c r="D160" s="254" t="s">
        <v>1841</v>
      </c>
      <c r="E160" s="183"/>
      <c r="F160" s="183"/>
      <c r="G160" s="352">
        <f t="shared" si="12"/>
        <v>0</v>
      </c>
      <c r="H160" s="379"/>
      <c r="M160" s="350">
        <f t="shared" si="14"/>
        <v>0</v>
      </c>
      <c r="O160" s="351">
        <f t="shared" si="13"/>
        <v>0</v>
      </c>
      <c r="P160" s="378"/>
    </row>
    <row r="161" spans="1:16" s="372" customFormat="1">
      <c r="A161" s="297">
        <v>20121106</v>
      </c>
      <c r="B161" s="297" t="s">
        <v>1842</v>
      </c>
      <c r="C161" s="297" t="s">
        <v>1843</v>
      </c>
      <c r="D161" s="370">
        <f>E161/8</f>
        <v>13500</v>
      </c>
      <c r="E161" s="297">
        <v>108000</v>
      </c>
      <c r="F161" s="297">
        <v>5400</v>
      </c>
      <c r="G161" s="370">
        <f t="shared" si="12"/>
        <v>113400</v>
      </c>
      <c r="H161" s="386" t="s">
        <v>1119</v>
      </c>
      <c r="I161" s="387" t="s">
        <v>1844</v>
      </c>
      <c r="J161" s="374">
        <v>113400</v>
      </c>
      <c r="K161" s="374"/>
      <c r="L161" s="374"/>
      <c r="M161" s="374">
        <f t="shared" si="14"/>
        <v>113400</v>
      </c>
      <c r="N161" s="374"/>
      <c r="O161" s="374">
        <f t="shared" si="13"/>
        <v>0</v>
      </c>
      <c r="P161" s="388" t="s">
        <v>1845</v>
      </c>
    </row>
    <row r="162" spans="1:16">
      <c r="A162" s="183">
        <v>20121106</v>
      </c>
      <c r="B162" s="183" t="s">
        <v>213</v>
      </c>
      <c r="C162" s="183" t="s">
        <v>1270</v>
      </c>
      <c r="D162" s="352">
        <f>D161*3</f>
        <v>40500</v>
      </c>
      <c r="E162" s="183">
        <v>19500</v>
      </c>
      <c r="F162" s="183">
        <v>975</v>
      </c>
      <c r="G162" s="352">
        <f t="shared" si="12"/>
        <v>20475</v>
      </c>
      <c r="H162" s="377" t="s">
        <v>904</v>
      </c>
      <c r="I162" s="343">
        <v>579</v>
      </c>
      <c r="J162" s="350">
        <v>20475</v>
      </c>
      <c r="M162" s="350">
        <f t="shared" si="14"/>
        <v>20475</v>
      </c>
      <c r="O162" s="351">
        <f t="shared" si="13"/>
        <v>0</v>
      </c>
      <c r="P162" s="381" t="s">
        <v>1130</v>
      </c>
    </row>
    <row r="163" spans="1:16">
      <c r="A163" s="183">
        <v>20121106</v>
      </c>
      <c r="B163" s="183" t="s">
        <v>214</v>
      </c>
      <c r="C163" s="183" t="s">
        <v>1270</v>
      </c>
      <c r="D163" s="352"/>
      <c r="E163" s="183">
        <v>19500</v>
      </c>
      <c r="F163" s="183">
        <v>975</v>
      </c>
      <c r="G163" s="352">
        <f t="shared" si="12"/>
        <v>20475</v>
      </c>
      <c r="H163" s="377" t="s">
        <v>905</v>
      </c>
      <c r="I163" s="350">
        <v>580</v>
      </c>
      <c r="J163" s="350">
        <v>20475</v>
      </c>
      <c r="M163" s="350">
        <f t="shared" si="14"/>
        <v>20475</v>
      </c>
      <c r="O163" s="351">
        <f t="shared" si="13"/>
        <v>0</v>
      </c>
      <c r="P163" s="381" t="s">
        <v>1130</v>
      </c>
    </row>
    <row r="164" spans="1:16">
      <c r="A164" s="183">
        <v>20121106</v>
      </c>
      <c r="B164" s="183" t="s">
        <v>215</v>
      </c>
      <c r="C164" s="183" t="s">
        <v>1270</v>
      </c>
      <c r="D164" s="352"/>
      <c r="E164" s="183">
        <v>19500</v>
      </c>
      <c r="F164" s="183">
        <v>975</v>
      </c>
      <c r="G164" s="352">
        <f t="shared" si="12"/>
        <v>20475</v>
      </c>
      <c r="H164" s="377" t="s">
        <v>2780</v>
      </c>
      <c r="I164" s="350">
        <v>581</v>
      </c>
      <c r="J164" s="350">
        <v>20475</v>
      </c>
      <c r="M164" s="350">
        <f t="shared" si="14"/>
        <v>20475</v>
      </c>
      <c r="O164" s="351">
        <f t="shared" si="13"/>
        <v>0</v>
      </c>
      <c r="P164" s="381" t="s">
        <v>1130</v>
      </c>
    </row>
    <row r="165" spans="1:16">
      <c r="A165" s="183">
        <v>20121106</v>
      </c>
      <c r="B165" s="183" t="s">
        <v>2519</v>
      </c>
      <c r="C165" s="183" t="s">
        <v>1270</v>
      </c>
      <c r="D165" s="352"/>
      <c r="E165" s="183">
        <v>19500</v>
      </c>
      <c r="F165" s="183">
        <v>975</v>
      </c>
      <c r="G165" s="352">
        <f t="shared" si="12"/>
        <v>20475</v>
      </c>
      <c r="H165" s="377" t="s">
        <v>1112</v>
      </c>
      <c r="I165" s="350">
        <v>582</v>
      </c>
      <c r="J165" s="350">
        <v>20475</v>
      </c>
      <c r="M165" s="350">
        <f t="shared" si="14"/>
        <v>20475</v>
      </c>
      <c r="O165" s="351">
        <f t="shared" si="13"/>
        <v>0</v>
      </c>
      <c r="P165" s="381" t="s">
        <v>1130</v>
      </c>
    </row>
    <row r="166" spans="1:16">
      <c r="A166" s="183">
        <v>20121106</v>
      </c>
      <c r="B166" s="183" t="s">
        <v>2520</v>
      </c>
      <c r="C166" s="183" t="s">
        <v>1232</v>
      </c>
      <c r="D166" s="352"/>
      <c r="E166" s="183">
        <v>15600</v>
      </c>
      <c r="F166" s="183">
        <v>780</v>
      </c>
      <c r="G166" s="352">
        <f t="shared" si="12"/>
        <v>16380</v>
      </c>
      <c r="H166" s="377" t="s">
        <v>1131</v>
      </c>
      <c r="I166" s="350">
        <v>631</v>
      </c>
      <c r="J166" s="350">
        <v>16380</v>
      </c>
      <c r="M166" s="350">
        <f t="shared" si="14"/>
        <v>16380</v>
      </c>
      <c r="O166" s="351">
        <f t="shared" si="13"/>
        <v>0</v>
      </c>
      <c r="P166" s="381" t="s">
        <v>1080</v>
      </c>
    </row>
    <row r="167" spans="1:16">
      <c r="A167" s="183">
        <v>20121108</v>
      </c>
      <c r="B167" s="183" t="s">
        <v>2521</v>
      </c>
      <c r="C167" s="183" t="s">
        <v>2692</v>
      </c>
      <c r="D167" s="352"/>
      <c r="E167" s="183">
        <v>68400</v>
      </c>
      <c r="F167" s="183">
        <v>3420</v>
      </c>
      <c r="G167" s="352">
        <f t="shared" si="12"/>
        <v>71820</v>
      </c>
      <c r="H167" s="377" t="s">
        <v>1119</v>
      </c>
      <c r="I167" s="343" t="s">
        <v>1846</v>
      </c>
      <c r="J167" s="350">
        <v>71816</v>
      </c>
      <c r="M167" s="350">
        <f t="shared" si="14"/>
        <v>71816</v>
      </c>
      <c r="N167" s="389">
        <v>4</v>
      </c>
      <c r="O167" s="351">
        <f t="shared" si="13"/>
        <v>0</v>
      </c>
      <c r="P167" s="381" t="s">
        <v>1149</v>
      </c>
    </row>
    <row r="168" spans="1:16">
      <c r="A168" s="183">
        <v>20121114</v>
      </c>
      <c r="B168" s="183" t="s">
        <v>2522</v>
      </c>
      <c r="C168" s="183" t="s">
        <v>2691</v>
      </c>
      <c r="D168" s="352"/>
      <c r="E168" s="183">
        <v>108000</v>
      </c>
      <c r="F168" s="183">
        <v>5400</v>
      </c>
      <c r="G168" s="352">
        <f t="shared" si="12"/>
        <v>113400</v>
      </c>
      <c r="H168" s="377" t="s">
        <v>1276</v>
      </c>
      <c r="I168" s="343" t="s">
        <v>1847</v>
      </c>
      <c r="J168" s="350">
        <v>113400</v>
      </c>
      <c r="M168" s="350">
        <f t="shared" si="14"/>
        <v>113400</v>
      </c>
      <c r="O168" s="351">
        <f t="shared" si="13"/>
        <v>0</v>
      </c>
      <c r="P168" s="381" t="s">
        <v>1848</v>
      </c>
    </row>
    <row r="169" spans="1:16">
      <c r="A169" s="183">
        <v>20121115</v>
      </c>
      <c r="B169" s="183" t="s">
        <v>2523</v>
      </c>
      <c r="C169" s="183" t="s">
        <v>2687</v>
      </c>
      <c r="D169" s="352"/>
      <c r="E169" s="183">
        <v>108000</v>
      </c>
      <c r="F169" s="183">
        <v>5400</v>
      </c>
      <c r="G169" s="352">
        <f t="shared" si="12"/>
        <v>113400</v>
      </c>
      <c r="H169" s="377" t="s">
        <v>1276</v>
      </c>
      <c r="I169" s="343" t="s">
        <v>1849</v>
      </c>
      <c r="J169" s="350">
        <v>113400</v>
      </c>
      <c r="M169" s="350">
        <f t="shared" si="14"/>
        <v>113400</v>
      </c>
      <c r="O169" s="351">
        <f t="shared" si="13"/>
        <v>0</v>
      </c>
      <c r="P169" s="381" t="s">
        <v>1850</v>
      </c>
    </row>
    <row r="170" spans="1:16">
      <c r="A170" s="183">
        <v>20121115</v>
      </c>
      <c r="B170" s="183" t="s">
        <v>2524</v>
      </c>
      <c r="C170" s="183" t="s">
        <v>1764</v>
      </c>
      <c r="D170" s="352"/>
      <c r="E170" s="183">
        <v>108000</v>
      </c>
      <c r="F170" s="183">
        <v>5400</v>
      </c>
      <c r="G170" s="352">
        <f t="shared" si="12"/>
        <v>113400</v>
      </c>
      <c r="H170" s="377" t="s">
        <v>1276</v>
      </c>
      <c r="I170" s="343" t="s">
        <v>1851</v>
      </c>
      <c r="J170" s="350">
        <v>113400</v>
      </c>
      <c r="M170" s="350">
        <f t="shared" si="14"/>
        <v>113400</v>
      </c>
      <c r="O170" s="351">
        <f t="shared" si="13"/>
        <v>0</v>
      </c>
      <c r="P170" s="381" t="s">
        <v>1852</v>
      </c>
    </row>
    <row r="171" spans="1:16">
      <c r="A171" s="183">
        <v>20121121</v>
      </c>
      <c r="B171" s="183" t="s">
        <v>2525</v>
      </c>
      <c r="C171" s="183" t="s">
        <v>1013</v>
      </c>
      <c r="D171" s="352"/>
      <c r="E171" s="183">
        <v>19500</v>
      </c>
      <c r="F171" s="183">
        <v>975</v>
      </c>
      <c r="G171" s="352">
        <f t="shared" si="12"/>
        <v>20475</v>
      </c>
      <c r="H171" s="377" t="s">
        <v>904</v>
      </c>
      <c r="I171" s="350">
        <v>615</v>
      </c>
      <c r="J171" s="350">
        <v>20475</v>
      </c>
      <c r="M171" s="350">
        <f t="shared" si="14"/>
        <v>20475</v>
      </c>
      <c r="O171" s="351">
        <f t="shared" si="13"/>
        <v>0</v>
      </c>
      <c r="P171" s="381" t="s">
        <v>1853</v>
      </c>
    </row>
    <row r="172" spans="1:16">
      <c r="A172" s="183">
        <v>20121121</v>
      </c>
      <c r="B172" s="183" t="s">
        <v>2526</v>
      </c>
      <c r="C172" s="183" t="s">
        <v>1016</v>
      </c>
      <c r="D172" s="352"/>
      <c r="E172" s="183">
        <v>19500</v>
      </c>
      <c r="F172" s="183">
        <v>975</v>
      </c>
      <c r="G172" s="352">
        <f t="shared" si="12"/>
        <v>20475</v>
      </c>
      <c r="H172" s="377" t="s">
        <v>904</v>
      </c>
      <c r="I172" s="350">
        <v>623</v>
      </c>
      <c r="J172" s="350">
        <v>20475</v>
      </c>
      <c r="M172" s="350">
        <f t="shared" si="14"/>
        <v>20475</v>
      </c>
      <c r="O172" s="351">
        <f t="shared" si="13"/>
        <v>0</v>
      </c>
      <c r="P172" s="381" t="s">
        <v>1854</v>
      </c>
    </row>
    <row r="173" spans="1:16">
      <c r="A173" s="183">
        <v>20121122</v>
      </c>
      <c r="B173" s="183" t="s">
        <v>2527</v>
      </c>
      <c r="C173" s="352" t="s">
        <v>2688</v>
      </c>
      <c r="D173" s="352"/>
      <c r="E173" s="352">
        <v>86400</v>
      </c>
      <c r="F173" s="352">
        <v>4320</v>
      </c>
      <c r="G173" s="352">
        <f t="shared" si="12"/>
        <v>90720</v>
      </c>
      <c r="H173" s="377" t="s">
        <v>1276</v>
      </c>
      <c r="I173" s="343" t="s">
        <v>1855</v>
      </c>
      <c r="J173" s="350">
        <v>90720</v>
      </c>
      <c r="M173" s="350">
        <f t="shared" si="14"/>
        <v>90720</v>
      </c>
      <c r="O173" s="351">
        <f t="shared" si="13"/>
        <v>0</v>
      </c>
      <c r="P173" s="381" t="s">
        <v>1856</v>
      </c>
    </row>
    <row r="174" spans="1:16">
      <c r="A174" s="183">
        <v>20121210</v>
      </c>
      <c r="B174" s="183" t="s">
        <v>2528</v>
      </c>
      <c r="C174" s="352" t="s">
        <v>2060</v>
      </c>
      <c r="D174" s="352"/>
      <c r="E174" s="352">
        <v>13500</v>
      </c>
      <c r="F174" s="352">
        <v>675</v>
      </c>
      <c r="G174" s="352">
        <f t="shared" si="12"/>
        <v>14175</v>
      </c>
      <c r="H174" s="377" t="s">
        <v>1131</v>
      </c>
      <c r="I174" s="343" t="s">
        <v>1033</v>
      </c>
      <c r="L174" s="390">
        <v>14175</v>
      </c>
      <c r="M174" s="350">
        <f t="shared" si="14"/>
        <v>14175</v>
      </c>
      <c r="O174" s="351">
        <f t="shared" si="13"/>
        <v>0</v>
      </c>
      <c r="P174" s="381" t="s">
        <v>1099</v>
      </c>
    </row>
    <row r="176" spans="1:16">
      <c r="F176" s="345">
        <f>286650/20475</f>
        <v>14</v>
      </c>
    </row>
    <row r="178" spans="1:18">
      <c r="N178" s="382"/>
    </row>
    <row r="179" spans="1:18" s="347" customFormat="1">
      <c r="A179" s="346" t="s">
        <v>3651</v>
      </c>
      <c r="D179" s="348" t="s">
        <v>2377</v>
      </c>
      <c r="E179" s="376">
        <f>SUM(E180:E243)</f>
        <v>2752328</v>
      </c>
      <c r="F179" s="376">
        <f>SUM(F180:F243)</f>
        <v>137617</v>
      </c>
      <c r="G179" s="376">
        <f>SUM(G180:G243)</f>
        <v>2889945</v>
      </c>
      <c r="H179" s="349"/>
      <c r="I179" s="383"/>
      <c r="J179" s="376">
        <f t="shared" ref="J179:O179" si="15">SUM(J180:J243)</f>
        <v>2031960</v>
      </c>
      <c r="K179" s="376">
        <f t="shared" si="15"/>
        <v>163800</v>
      </c>
      <c r="L179" s="376">
        <f t="shared" si="15"/>
        <v>693975</v>
      </c>
      <c r="M179" s="376">
        <f t="shared" si="15"/>
        <v>2889735</v>
      </c>
      <c r="N179" s="376">
        <f t="shared" si="15"/>
        <v>210</v>
      </c>
      <c r="O179" s="376">
        <f t="shared" si="15"/>
        <v>0</v>
      </c>
      <c r="P179" s="391"/>
    </row>
    <row r="180" spans="1:18">
      <c r="A180" s="183">
        <v>20130108</v>
      </c>
      <c r="B180" s="183" t="s">
        <v>3652</v>
      </c>
      <c r="C180" s="183" t="s">
        <v>2693</v>
      </c>
      <c r="D180" s="352"/>
      <c r="E180" s="183">
        <v>100800</v>
      </c>
      <c r="F180" s="183">
        <v>5040</v>
      </c>
      <c r="G180" s="352">
        <f>E180+F180</f>
        <v>105840</v>
      </c>
      <c r="H180" s="377" t="s">
        <v>1276</v>
      </c>
      <c r="I180" s="343" t="s">
        <v>3744</v>
      </c>
      <c r="J180" s="350">
        <v>105840</v>
      </c>
      <c r="M180" s="350">
        <f t="shared" ref="M180:M243" si="16">J180+K180+L180</f>
        <v>105840</v>
      </c>
      <c r="O180" s="351">
        <f t="shared" ref="O180:O243" si="17">G180-M180-N180</f>
        <v>0</v>
      </c>
      <c r="P180" s="378" t="s">
        <v>3653</v>
      </c>
      <c r="Q180" s="287"/>
      <c r="R180" s="288"/>
    </row>
    <row r="181" spans="1:18">
      <c r="A181" s="345">
        <v>20130109</v>
      </c>
      <c r="B181" s="352" t="s">
        <v>3654</v>
      </c>
      <c r="C181" s="352" t="s">
        <v>1013</v>
      </c>
      <c r="E181" s="345">
        <v>120000</v>
      </c>
      <c r="F181" s="345">
        <v>6000</v>
      </c>
      <c r="G181" s="345">
        <v>126000</v>
      </c>
      <c r="H181" s="379">
        <v>1</v>
      </c>
      <c r="I181" s="350">
        <v>656</v>
      </c>
      <c r="J181" s="350">
        <v>126000</v>
      </c>
      <c r="M181" s="350">
        <f t="shared" si="16"/>
        <v>126000</v>
      </c>
      <c r="O181" s="351">
        <f t="shared" si="17"/>
        <v>0</v>
      </c>
      <c r="P181" s="378" t="s">
        <v>1853</v>
      </c>
    </row>
    <row r="182" spans="1:18">
      <c r="A182" s="345">
        <v>20130109</v>
      </c>
      <c r="B182" s="352" t="s">
        <v>3655</v>
      </c>
      <c r="C182" s="352" t="s">
        <v>1016</v>
      </c>
      <c r="E182" s="345">
        <v>120000</v>
      </c>
      <c r="F182" s="345">
        <v>6000</v>
      </c>
      <c r="G182" s="345">
        <v>126000</v>
      </c>
      <c r="H182" s="379">
        <v>1</v>
      </c>
      <c r="I182" s="350">
        <v>657</v>
      </c>
      <c r="J182" s="350">
        <v>126000</v>
      </c>
      <c r="M182" s="350">
        <f t="shared" si="16"/>
        <v>126000</v>
      </c>
      <c r="O182" s="351">
        <f t="shared" si="17"/>
        <v>0</v>
      </c>
      <c r="P182" s="392">
        <v>53456020</v>
      </c>
    </row>
    <row r="183" spans="1:18">
      <c r="B183" s="352" t="s">
        <v>3656</v>
      </c>
      <c r="D183" s="254" t="s">
        <v>1235</v>
      </c>
      <c r="H183" s="379"/>
      <c r="M183" s="350">
        <f t="shared" si="16"/>
        <v>0</v>
      </c>
      <c r="O183" s="351">
        <f t="shared" si="17"/>
        <v>0</v>
      </c>
      <c r="P183" s="392"/>
    </row>
    <row r="184" spans="1:18" ht="17.25" customHeight="1">
      <c r="A184" s="345">
        <v>20130114</v>
      </c>
      <c r="B184" s="352" t="s">
        <v>3657</v>
      </c>
      <c r="C184" s="352" t="s">
        <v>1789</v>
      </c>
      <c r="E184" s="345">
        <v>108000</v>
      </c>
      <c r="F184" s="345">
        <v>5400</v>
      </c>
      <c r="G184" s="345">
        <v>113400</v>
      </c>
      <c r="H184" s="377" t="s">
        <v>1276</v>
      </c>
      <c r="I184" s="343" t="s">
        <v>3745</v>
      </c>
      <c r="J184" s="350">
        <v>113400</v>
      </c>
      <c r="M184" s="350">
        <f t="shared" si="16"/>
        <v>113400</v>
      </c>
      <c r="O184" s="351">
        <f t="shared" si="17"/>
        <v>0</v>
      </c>
      <c r="P184" s="378" t="s">
        <v>3658</v>
      </c>
    </row>
    <row r="185" spans="1:18">
      <c r="A185" s="345">
        <v>20130117</v>
      </c>
      <c r="B185" s="352" t="s">
        <v>3659</v>
      </c>
      <c r="C185" s="352" t="s">
        <v>2423</v>
      </c>
      <c r="E185" s="345">
        <v>108000</v>
      </c>
      <c r="F185" s="345">
        <v>5400</v>
      </c>
      <c r="G185" s="345">
        <v>113400</v>
      </c>
      <c r="H185" s="377" t="s">
        <v>1276</v>
      </c>
      <c r="I185" s="343" t="s">
        <v>3746</v>
      </c>
      <c r="J185" s="350">
        <v>113400</v>
      </c>
      <c r="M185" s="350">
        <f t="shared" si="16"/>
        <v>113400</v>
      </c>
      <c r="O185" s="351">
        <f t="shared" si="17"/>
        <v>0</v>
      </c>
      <c r="P185" s="378" t="s">
        <v>3660</v>
      </c>
    </row>
    <row r="186" spans="1:18">
      <c r="B186" s="352" t="s">
        <v>4298</v>
      </c>
      <c r="D186" s="254" t="s">
        <v>1235</v>
      </c>
      <c r="H186" s="379"/>
      <c r="M186" s="350">
        <f t="shared" si="16"/>
        <v>0</v>
      </c>
      <c r="O186" s="351">
        <f t="shared" si="17"/>
        <v>0</v>
      </c>
      <c r="P186" s="392"/>
    </row>
    <row r="187" spans="1:18">
      <c r="A187" s="345">
        <v>20130124</v>
      </c>
      <c r="B187" s="352" t="s">
        <v>3661</v>
      </c>
      <c r="C187" s="352" t="s">
        <v>3825</v>
      </c>
      <c r="E187" s="345">
        <v>13500</v>
      </c>
      <c r="F187" s="345">
        <v>675</v>
      </c>
      <c r="G187" s="345">
        <v>14175</v>
      </c>
      <c r="H187" s="377" t="s">
        <v>904</v>
      </c>
      <c r="I187" s="343" t="s">
        <v>472</v>
      </c>
      <c r="L187" s="390">
        <v>14145</v>
      </c>
      <c r="M187" s="350">
        <f t="shared" si="16"/>
        <v>14145</v>
      </c>
      <c r="N187" s="351">
        <v>30</v>
      </c>
      <c r="O187" s="351">
        <f t="shared" si="17"/>
        <v>0</v>
      </c>
      <c r="P187" s="378" t="s">
        <v>1072</v>
      </c>
    </row>
    <row r="188" spans="1:18">
      <c r="A188" s="345">
        <v>20130220</v>
      </c>
      <c r="B188" s="352" t="s">
        <v>4299</v>
      </c>
      <c r="C188" s="352" t="s">
        <v>1016</v>
      </c>
      <c r="E188" s="345">
        <v>19500</v>
      </c>
      <c r="F188" s="345">
        <v>975</v>
      </c>
      <c r="G188" s="345">
        <v>20475</v>
      </c>
      <c r="H188" s="377" t="s">
        <v>905</v>
      </c>
      <c r="I188" s="350">
        <v>624</v>
      </c>
      <c r="K188" s="350">
        <v>20475</v>
      </c>
      <c r="M188" s="350">
        <f t="shared" si="16"/>
        <v>20475</v>
      </c>
      <c r="O188" s="351">
        <f t="shared" si="17"/>
        <v>0</v>
      </c>
      <c r="P188" s="378" t="s">
        <v>1854</v>
      </c>
    </row>
    <row r="189" spans="1:18">
      <c r="A189" s="345">
        <v>20130220</v>
      </c>
      <c r="B189" s="352" t="s">
        <v>4300</v>
      </c>
      <c r="C189" s="352" t="s">
        <v>1232</v>
      </c>
      <c r="E189" s="345">
        <v>15600</v>
      </c>
      <c r="F189" s="345">
        <v>780</v>
      </c>
      <c r="G189" s="345">
        <v>16380</v>
      </c>
      <c r="H189" s="377" t="s">
        <v>1132</v>
      </c>
      <c r="I189" s="350">
        <v>658</v>
      </c>
      <c r="J189" s="350">
        <v>16380</v>
      </c>
      <c r="M189" s="350">
        <f t="shared" si="16"/>
        <v>16380</v>
      </c>
      <c r="O189" s="351">
        <f t="shared" si="17"/>
        <v>0</v>
      </c>
      <c r="P189" s="378" t="s">
        <v>1080</v>
      </c>
    </row>
    <row r="190" spans="1:18">
      <c r="A190" s="345">
        <v>20130220</v>
      </c>
      <c r="B190" s="352" t="s">
        <v>4301</v>
      </c>
      <c r="C190" s="352" t="s">
        <v>1013</v>
      </c>
      <c r="E190" s="345">
        <v>19500</v>
      </c>
      <c r="F190" s="345">
        <v>975</v>
      </c>
      <c r="G190" s="345">
        <v>20475</v>
      </c>
      <c r="H190" s="377" t="s">
        <v>905</v>
      </c>
      <c r="I190" s="350">
        <v>616</v>
      </c>
      <c r="K190" s="350">
        <v>20475</v>
      </c>
      <c r="M190" s="350">
        <f t="shared" si="16"/>
        <v>20475</v>
      </c>
      <c r="O190" s="351">
        <f t="shared" si="17"/>
        <v>0</v>
      </c>
      <c r="P190" s="378" t="s">
        <v>1853</v>
      </c>
    </row>
    <row r="191" spans="1:18">
      <c r="A191" s="345">
        <v>20130305</v>
      </c>
      <c r="B191" s="352" t="s">
        <v>3662</v>
      </c>
      <c r="C191" s="352" t="s">
        <v>1249</v>
      </c>
      <c r="E191" s="345">
        <v>43200</v>
      </c>
      <c r="F191" s="345">
        <v>2160</v>
      </c>
      <c r="G191" s="345">
        <v>45360</v>
      </c>
      <c r="H191" s="377" t="s">
        <v>3663</v>
      </c>
      <c r="I191" s="343" t="s">
        <v>3664</v>
      </c>
      <c r="J191" s="350">
        <v>45360</v>
      </c>
      <c r="M191" s="350">
        <f t="shared" si="16"/>
        <v>45360</v>
      </c>
      <c r="O191" s="351">
        <f t="shared" si="17"/>
        <v>0</v>
      </c>
      <c r="P191" s="378" t="s">
        <v>1145</v>
      </c>
    </row>
    <row r="192" spans="1:18">
      <c r="A192" s="345">
        <v>20130305</v>
      </c>
      <c r="B192" s="352" t="s">
        <v>3665</v>
      </c>
      <c r="C192" s="352" t="s">
        <v>2060</v>
      </c>
      <c r="E192" s="345">
        <v>13500</v>
      </c>
      <c r="F192" s="345">
        <v>675</v>
      </c>
      <c r="G192" s="345">
        <v>14175</v>
      </c>
      <c r="H192" s="377" t="s">
        <v>1132</v>
      </c>
      <c r="I192" s="343" t="s">
        <v>2349</v>
      </c>
      <c r="L192" s="390">
        <v>14165</v>
      </c>
      <c r="M192" s="350">
        <f t="shared" si="16"/>
        <v>14165</v>
      </c>
      <c r="N192" s="351">
        <v>10</v>
      </c>
      <c r="O192" s="351">
        <f t="shared" si="17"/>
        <v>0</v>
      </c>
      <c r="P192" s="378" t="s">
        <v>1099</v>
      </c>
    </row>
    <row r="193" spans="1:16">
      <c r="A193" s="345">
        <v>20130312</v>
      </c>
      <c r="B193" s="352" t="s">
        <v>3666</v>
      </c>
      <c r="C193" s="352" t="s">
        <v>1532</v>
      </c>
      <c r="E193" s="345">
        <v>12857</v>
      </c>
      <c r="F193" s="345">
        <v>643</v>
      </c>
      <c r="G193" s="345">
        <v>13500</v>
      </c>
      <c r="H193" s="377" t="s">
        <v>904</v>
      </c>
      <c r="I193" s="343" t="s">
        <v>533</v>
      </c>
      <c r="L193" s="390">
        <v>13485</v>
      </c>
      <c r="M193" s="350">
        <f t="shared" si="16"/>
        <v>13485</v>
      </c>
      <c r="N193" s="351">
        <v>15</v>
      </c>
      <c r="O193" s="351">
        <f t="shared" si="17"/>
        <v>0</v>
      </c>
      <c r="P193" s="378" t="s">
        <v>1097</v>
      </c>
    </row>
    <row r="194" spans="1:16">
      <c r="A194" s="345">
        <v>20130327</v>
      </c>
      <c r="B194" s="352" t="s">
        <v>3667</v>
      </c>
      <c r="C194" s="352" t="s">
        <v>7</v>
      </c>
      <c r="E194" s="345">
        <v>100800</v>
      </c>
      <c r="F194" s="345">
        <v>5040</v>
      </c>
      <c r="G194" s="345">
        <v>105840</v>
      </c>
      <c r="H194" s="377" t="s">
        <v>1276</v>
      </c>
      <c r="I194" s="343" t="s">
        <v>3747</v>
      </c>
      <c r="J194" s="350">
        <v>105840</v>
      </c>
      <c r="M194" s="350">
        <f t="shared" si="16"/>
        <v>105840</v>
      </c>
      <c r="O194" s="351">
        <f t="shared" si="17"/>
        <v>0</v>
      </c>
      <c r="P194" s="378" t="s">
        <v>1071</v>
      </c>
    </row>
    <row r="195" spans="1:16">
      <c r="A195" s="345">
        <v>20130409</v>
      </c>
      <c r="B195" s="352" t="s">
        <v>3668</v>
      </c>
      <c r="C195" s="352" t="s">
        <v>2422</v>
      </c>
      <c r="E195" s="345">
        <v>100800</v>
      </c>
      <c r="F195" s="345">
        <v>5040</v>
      </c>
      <c r="G195" s="345">
        <v>105840</v>
      </c>
      <c r="H195" s="377" t="s">
        <v>1276</v>
      </c>
      <c r="I195" s="343" t="s">
        <v>3748</v>
      </c>
      <c r="J195" s="350">
        <v>105840</v>
      </c>
      <c r="M195" s="350">
        <f t="shared" si="16"/>
        <v>105840</v>
      </c>
      <c r="O195" s="351">
        <f t="shared" si="17"/>
        <v>0</v>
      </c>
      <c r="P195" s="378" t="s">
        <v>1076</v>
      </c>
    </row>
    <row r="196" spans="1:16">
      <c r="B196" s="352" t="s">
        <v>3669</v>
      </c>
      <c r="D196" s="254" t="s">
        <v>1235</v>
      </c>
      <c r="H196" s="379"/>
      <c r="M196" s="350">
        <f t="shared" si="16"/>
        <v>0</v>
      </c>
      <c r="O196" s="351">
        <f t="shared" si="17"/>
        <v>0</v>
      </c>
      <c r="P196" s="392"/>
    </row>
    <row r="197" spans="1:16">
      <c r="A197" s="345">
        <v>20130419</v>
      </c>
      <c r="B197" s="352" t="s">
        <v>3670</v>
      </c>
      <c r="C197" s="352" t="s">
        <v>1013</v>
      </c>
      <c r="E197" s="345">
        <v>120000</v>
      </c>
      <c r="F197" s="345">
        <v>6000</v>
      </c>
      <c r="G197" s="345">
        <v>126000</v>
      </c>
      <c r="H197" s="377" t="s">
        <v>905</v>
      </c>
      <c r="I197" s="350">
        <v>691</v>
      </c>
      <c r="J197" s="350">
        <v>126000</v>
      </c>
      <c r="M197" s="350">
        <f t="shared" si="16"/>
        <v>126000</v>
      </c>
      <c r="O197" s="351">
        <f t="shared" si="17"/>
        <v>0</v>
      </c>
      <c r="P197" s="378" t="s">
        <v>1853</v>
      </c>
    </row>
    <row r="198" spans="1:16">
      <c r="A198" s="345">
        <v>20130419</v>
      </c>
      <c r="B198" s="352" t="s">
        <v>3671</v>
      </c>
      <c r="C198" s="352" t="s">
        <v>1016</v>
      </c>
      <c r="E198" s="345">
        <v>120000</v>
      </c>
      <c r="F198" s="345">
        <v>6000</v>
      </c>
      <c r="G198" s="345">
        <v>126000</v>
      </c>
      <c r="H198" s="377" t="s">
        <v>905</v>
      </c>
      <c r="I198" s="343" t="s">
        <v>609</v>
      </c>
      <c r="L198" s="390">
        <v>126000</v>
      </c>
      <c r="M198" s="350">
        <f t="shared" si="16"/>
        <v>126000</v>
      </c>
      <c r="O198" s="351">
        <f t="shared" si="17"/>
        <v>0</v>
      </c>
      <c r="P198" s="378" t="s">
        <v>1854</v>
      </c>
    </row>
    <row r="199" spans="1:16">
      <c r="A199" s="345">
        <v>20130419</v>
      </c>
      <c r="B199" s="352" t="s">
        <v>3672</v>
      </c>
      <c r="C199" s="352" t="s">
        <v>3825</v>
      </c>
      <c r="E199" s="345">
        <v>13500</v>
      </c>
      <c r="F199" s="345">
        <v>675</v>
      </c>
      <c r="G199" s="345">
        <v>14175</v>
      </c>
      <c r="H199" s="377" t="s">
        <v>905</v>
      </c>
      <c r="I199" s="343" t="s">
        <v>2232</v>
      </c>
      <c r="L199" s="390">
        <v>14145</v>
      </c>
      <c r="M199" s="350">
        <f t="shared" si="16"/>
        <v>14145</v>
      </c>
      <c r="N199" s="351">
        <v>30</v>
      </c>
      <c r="O199" s="351">
        <f t="shared" si="17"/>
        <v>0</v>
      </c>
      <c r="P199" s="378" t="s">
        <v>1072</v>
      </c>
    </row>
    <row r="200" spans="1:16">
      <c r="A200" s="345">
        <v>20130507</v>
      </c>
      <c r="B200" s="352" t="s">
        <v>3673</v>
      </c>
      <c r="C200" s="352" t="s">
        <v>1013</v>
      </c>
      <c r="E200" s="345">
        <v>19500</v>
      </c>
      <c r="F200" s="345">
        <v>975</v>
      </c>
      <c r="G200" s="345">
        <v>20475</v>
      </c>
      <c r="H200" s="377" t="s">
        <v>2780</v>
      </c>
      <c r="I200" s="350">
        <v>617</v>
      </c>
      <c r="K200" s="350">
        <v>20475</v>
      </c>
      <c r="M200" s="350">
        <f t="shared" si="16"/>
        <v>20475</v>
      </c>
      <c r="O200" s="351">
        <f t="shared" si="17"/>
        <v>0</v>
      </c>
      <c r="P200" s="378" t="s">
        <v>1853</v>
      </c>
    </row>
    <row r="201" spans="1:16">
      <c r="A201" s="345">
        <v>20130507</v>
      </c>
      <c r="B201" s="352" t="s">
        <v>3674</v>
      </c>
      <c r="C201" s="352" t="s">
        <v>1016</v>
      </c>
      <c r="E201" s="345">
        <v>19500</v>
      </c>
      <c r="F201" s="345">
        <v>975</v>
      </c>
      <c r="G201" s="345">
        <v>20475</v>
      </c>
      <c r="H201" s="377" t="s">
        <v>2780</v>
      </c>
      <c r="I201" s="350">
        <v>625</v>
      </c>
      <c r="K201" s="350">
        <v>20475</v>
      </c>
      <c r="M201" s="350">
        <f t="shared" si="16"/>
        <v>20475</v>
      </c>
      <c r="O201" s="351">
        <f t="shared" si="17"/>
        <v>0</v>
      </c>
      <c r="P201" s="378" t="s">
        <v>1854</v>
      </c>
    </row>
    <row r="202" spans="1:16">
      <c r="A202" s="345">
        <v>20130507</v>
      </c>
      <c r="B202" s="352" t="s">
        <v>3675</v>
      </c>
      <c r="C202" s="352" t="s">
        <v>1232</v>
      </c>
      <c r="E202" s="345">
        <v>15600</v>
      </c>
      <c r="F202" s="345">
        <v>780</v>
      </c>
      <c r="G202" s="345">
        <v>16380</v>
      </c>
      <c r="H202" s="377" t="s">
        <v>3676</v>
      </c>
      <c r="I202" s="350">
        <v>692</v>
      </c>
      <c r="J202" s="350">
        <v>16380</v>
      </c>
      <c r="M202" s="350">
        <f t="shared" si="16"/>
        <v>16380</v>
      </c>
      <c r="O202" s="351">
        <f t="shared" si="17"/>
        <v>0</v>
      </c>
      <c r="P202" s="378" t="s">
        <v>1080</v>
      </c>
    </row>
    <row r="203" spans="1:16">
      <c r="A203" s="345">
        <v>20130610</v>
      </c>
      <c r="B203" s="352" t="s">
        <v>3677</v>
      </c>
      <c r="C203" s="352" t="s">
        <v>1532</v>
      </c>
      <c r="E203" s="345">
        <v>12857</v>
      </c>
      <c r="F203" s="345">
        <v>643</v>
      </c>
      <c r="G203" s="345">
        <v>13500</v>
      </c>
      <c r="H203" s="377" t="s">
        <v>905</v>
      </c>
      <c r="I203" s="343" t="s">
        <v>677</v>
      </c>
      <c r="L203" s="390">
        <v>13485</v>
      </c>
      <c r="M203" s="350">
        <f t="shared" si="16"/>
        <v>13485</v>
      </c>
      <c r="N203" s="351">
        <v>15</v>
      </c>
      <c r="O203" s="351">
        <f t="shared" si="17"/>
        <v>0</v>
      </c>
      <c r="P203" s="378" t="s">
        <v>1097</v>
      </c>
    </row>
    <row r="204" spans="1:16">
      <c r="A204" s="345">
        <v>20130617</v>
      </c>
      <c r="B204" s="352" t="s">
        <v>3678</v>
      </c>
      <c r="C204" s="352" t="s">
        <v>857</v>
      </c>
      <c r="E204" s="345">
        <v>108000</v>
      </c>
      <c r="F204" s="345">
        <v>5400</v>
      </c>
      <c r="G204" s="345">
        <v>113400</v>
      </c>
      <c r="H204" s="377" t="s">
        <v>1276</v>
      </c>
      <c r="I204" s="343" t="s">
        <v>3749</v>
      </c>
      <c r="J204" s="350">
        <v>113400</v>
      </c>
      <c r="M204" s="350">
        <f t="shared" si="16"/>
        <v>113400</v>
      </c>
      <c r="O204" s="351">
        <f t="shared" si="17"/>
        <v>0</v>
      </c>
      <c r="P204" s="378" t="s">
        <v>1083</v>
      </c>
    </row>
    <row r="205" spans="1:16">
      <c r="A205" s="345">
        <v>20130618</v>
      </c>
      <c r="B205" s="352" t="s">
        <v>3679</v>
      </c>
      <c r="C205" s="352" t="s">
        <v>1013</v>
      </c>
      <c r="E205" s="345">
        <v>60000</v>
      </c>
      <c r="F205" s="345">
        <v>3000</v>
      </c>
      <c r="G205" s="345">
        <v>63000</v>
      </c>
      <c r="H205" s="377" t="s">
        <v>904</v>
      </c>
      <c r="I205" s="343" t="s">
        <v>664</v>
      </c>
      <c r="L205" s="390">
        <v>63000</v>
      </c>
      <c r="M205" s="350">
        <f t="shared" si="16"/>
        <v>63000</v>
      </c>
      <c r="O205" s="351">
        <f t="shared" si="17"/>
        <v>0</v>
      </c>
      <c r="P205" s="378" t="s">
        <v>1853</v>
      </c>
    </row>
    <row r="206" spans="1:16">
      <c r="A206" s="345">
        <v>20130618</v>
      </c>
      <c r="B206" s="352" t="s">
        <v>3680</v>
      </c>
      <c r="C206" s="352" t="s">
        <v>1016</v>
      </c>
      <c r="E206" s="345">
        <v>60000</v>
      </c>
      <c r="F206" s="345">
        <v>3000</v>
      </c>
      <c r="G206" s="345">
        <v>63000</v>
      </c>
      <c r="H206" s="377" t="s">
        <v>904</v>
      </c>
      <c r="I206" s="343" t="s">
        <v>666</v>
      </c>
      <c r="L206" s="390">
        <v>63000</v>
      </c>
      <c r="M206" s="350">
        <f t="shared" si="16"/>
        <v>63000</v>
      </c>
      <c r="O206" s="351">
        <f t="shared" si="17"/>
        <v>0</v>
      </c>
      <c r="P206" s="378" t="s">
        <v>1854</v>
      </c>
    </row>
    <row r="207" spans="1:16">
      <c r="B207" s="352" t="s">
        <v>3681</v>
      </c>
      <c r="D207" s="254" t="s">
        <v>1235</v>
      </c>
      <c r="H207" s="379"/>
      <c r="M207" s="350">
        <f t="shared" si="16"/>
        <v>0</v>
      </c>
      <c r="O207" s="351">
        <f t="shared" si="17"/>
        <v>0</v>
      </c>
      <c r="P207" s="392"/>
    </row>
    <row r="208" spans="1:16">
      <c r="A208" s="345">
        <v>20130624</v>
      </c>
      <c r="B208" s="352" t="s">
        <v>3682</v>
      </c>
      <c r="C208" s="352" t="s">
        <v>2739</v>
      </c>
      <c r="E208" s="345">
        <v>91200</v>
      </c>
      <c r="F208" s="345">
        <v>4560</v>
      </c>
      <c r="G208" s="345">
        <v>95760</v>
      </c>
      <c r="H208" s="377" t="s">
        <v>1276</v>
      </c>
      <c r="I208" s="343" t="s">
        <v>3750</v>
      </c>
      <c r="J208" s="350">
        <v>95760</v>
      </c>
      <c r="M208" s="350">
        <f t="shared" si="16"/>
        <v>95760</v>
      </c>
      <c r="O208" s="351">
        <f t="shared" si="17"/>
        <v>0</v>
      </c>
      <c r="P208" s="378" t="s">
        <v>1088</v>
      </c>
    </row>
    <row r="209" spans="1:16">
      <c r="A209" s="345">
        <v>20130626</v>
      </c>
      <c r="B209" s="352" t="s">
        <v>3683</v>
      </c>
      <c r="C209" s="352" t="s">
        <v>1884</v>
      </c>
      <c r="E209" s="345">
        <v>108000</v>
      </c>
      <c r="F209" s="345">
        <v>5400</v>
      </c>
      <c r="G209" s="345">
        <v>113400</v>
      </c>
      <c r="H209" s="377" t="s">
        <v>1276</v>
      </c>
      <c r="I209" s="343" t="s">
        <v>3751</v>
      </c>
      <c r="J209" s="350">
        <v>113400</v>
      </c>
      <c r="M209" s="350">
        <f t="shared" si="16"/>
        <v>113400</v>
      </c>
      <c r="O209" s="351">
        <f t="shared" si="17"/>
        <v>0</v>
      </c>
      <c r="P209" s="378" t="s">
        <v>1074</v>
      </c>
    </row>
    <row r="210" spans="1:16">
      <c r="A210" s="345">
        <v>20130723</v>
      </c>
      <c r="B210" s="352" t="s">
        <v>3684</v>
      </c>
      <c r="C210" s="352" t="s">
        <v>2041</v>
      </c>
      <c r="E210" s="345">
        <v>108000</v>
      </c>
      <c r="F210" s="345">
        <v>5400</v>
      </c>
      <c r="G210" s="345">
        <v>113400</v>
      </c>
      <c r="H210" s="377" t="s">
        <v>1276</v>
      </c>
      <c r="I210" s="343" t="s">
        <v>3752</v>
      </c>
      <c r="J210" s="350">
        <v>113400</v>
      </c>
      <c r="M210" s="350">
        <f t="shared" si="16"/>
        <v>113400</v>
      </c>
      <c r="O210" s="351">
        <f t="shared" si="17"/>
        <v>0</v>
      </c>
      <c r="P210" s="378" t="s">
        <v>1102</v>
      </c>
    </row>
    <row r="211" spans="1:16">
      <c r="A211" s="345">
        <v>20130724</v>
      </c>
      <c r="B211" s="352" t="s">
        <v>3685</v>
      </c>
      <c r="C211" s="352" t="s">
        <v>2421</v>
      </c>
      <c r="E211" s="345">
        <v>12600</v>
      </c>
      <c r="F211" s="345">
        <v>630</v>
      </c>
      <c r="G211" s="345">
        <v>13230</v>
      </c>
      <c r="H211" s="377" t="s">
        <v>904</v>
      </c>
      <c r="I211" s="343" t="s">
        <v>634</v>
      </c>
      <c r="L211" s="390">
        <v>13220</v>
      </c>
      <c r="M211" s="350">
        <f t="shared" si="16"/>
        <v>13220</v>
      </c>
      <c r="N211" s="351">
        <v>10</v>
      </c>
      <c r="O211" s="351">
        <f t="shared" si="17"/>
        <v>0</v>
      </c>
      <c r="P211" s="378" t="s">
        <v>1084</v>
      </c>
    </row>
    <row r="212" spans="1:16">
      <c r="A212" s="345">
        <v>20130726</v>
      </c>
      <c r="B212" s="352" t="s">
        <v>3686</v>
      </c>
      <c r="C212" s="352" t="s">
        <v>2060</v>
      </c>
      <c r="E212" s="345">
        <v>13500</v>
      </c>
      <c r="F212" s="345">
        <v>675</v>
      </c>
      <c r="G212" s="345">
        <v>14175</v>
      </c>
      <c r="H212" s="377" t="s">
        <v>904</v>
      </c>
      <c r="I212" s="343" t="s">
        <v>690</v>
      </c>
      <c r="L212" s="390">
        <v>14175</v>
      </c>
      <c r="M212" s="350">
        <f t="shared" si="16"/>
        <v>14175</v>
      </c>
      <c r="O212" s="351">
        <f t="shared" si="17"/>
        <v>0</v>
      </c>
      <c r="P212" s="378" t="s">
        <v>1099</v>
      </c>
    </row>
    <row r="213" spans="1:16">
      <c r="A213" s="345">
        <v>20130808</v>
      </c>
      <c r="B213" s="352" t="s">
        <v>3687</v>
      </c>
      <c r="C213" s="352" t="s">
        <v>1300</v>
      </c>
      <c r="E213" s="345">
        <v>96000</v>
      </c>
      <c r="F213" s="345">
        <v>4800</v>
      </c>
      <c r="G213" s="345">
        <v>100800</v>
      </c>
      <c r="H213" s="377" t="s">
        <v>1276</v>
      </c>
      <c r="I213" s="343" t="s">
        <v>3753</v>
      </c>
      <c r="J213" s="350">
        <v>100800</v>
      </c>
      <c r="M213" s="350">
        <f t="shared" si="16"/>
        <v>100800</v>
      </c>
      <c r="O213" s="351">
        <f t="shared" si="17"/>
        <v>0</v>
      </c>
      <c r="P213" s="378" t="s">
        <v>3688</v>
      </c>
    </row>
    <row r="214" spans="1:16">
      <c r="A214" s="345">
        <v>20130812</v>
      </c>
      <c r="B214" s="352" t="s">
        <v>3689</v>
      </c>
      <c r="C214" s="352" t="s">
        <v>1013</v>
      </c>
      <c r="E214" s="345">
        <v>19500</v>
      </c>
      <c r="F214" s="345">
        <v>975</v>
      </c>
      <c r="G214" s="345">
        <v>20475</v>
      </c>
      <c r="H214" s="377" t="s">
        <v>1112</v>
      </c>
      <c r="I214" s="350">
        <v>618</v>
      </c>
      <c r="K214" s="350">
        <v>20475</v>
      </c>
      <c r="M214" s="350">
        <f t="shared" si="16"/>
        <v>20475</v>
      </c>
      <c r="O214" s="351">
        <f t="shared" si="17"/>
        <v>0</v>
      </c>
      <c r="P214" s="378" t="s">
        <v>1853</v>
      </c>
    </row>
    <row r="215" spans="1:16">
      <c r="A215" s="345">
        <v>20130812</v>
      </c>
      <c r="B215" s="352" t="s">
        <v>3690</v>
      </c>
      <c r="C215" s="352" t="s">
        <v>1016</v>
      </c>
      <c r="E215" s="345">
        <v>19500</v>
      </c>
      <c r="F215" s="345">
        <v>975</v>
      </c>
      <c r="G215" s="345">
        <v>20475</v>
      </c>
      <c r="H215" s="377" t="s">
        <v>1112</v>
      </c>
      <c r="I215" s="350">
        <v>626</v>
      </c>
      <c r="K215" s="350">
        <v>20475</v>
      </c>
      <c r="M215" s="350">
        <f t="shared" si="16"/>
        <v>20475</v>
      </c>
      <c r="O215" s="351">
        <f t="shared" si="17"/>
        <v>0</v>
      </c>
      <c r="P215" s="378" t="s">
        <v>1854</v>
      </c>
    </row>
    <row r="216" spans="1:16">
      <c r="A216" s="345">
        <v>20130812</v>
      </c>
      <c r="B216" s="352" t="s">
        <v>3691</v>
      </c>
      <c r="C216" s="352" t="s">
        <v>3825</v>
      </c>
      <c r="E216" s="345">
        <v>13500</v>
      </c>
      <c r="F216" s="345">
        <v>675</v>
      </c>
      <c r="G216" s="345">
        <v>14175</v>
      </c>
      <c r="H216" s="377" t="s">
        <v>2780</v>
      </c>
      <c r="I216" s="343" t="s">
        <v>2234</v>
      </c>
      <c r="L216" s="390">
        <v>14145</v>
      </c>
      <c r="M216" s="350">
        <f t="shared" si="16"/>
        <v>14145</v>
      </c>
      <c r="N216" s="351">
        <v>30</v>
      </c>
      <c r="O216" s="351">
        <f t="shared" si="17"/>
        <v>0</v>
      </c>
      <c r="P216" s="378" t="s">
        <v>1072</v>
      </c>
    </row>
    <row r="217" spans="1:16">
      <c r="A217" s="345">
        <v>20130812</v>
      </c>
      <c r="B217" s="352" t="s">
        <v>3692</v>
      </c>
      <c r="C217" s="352" t="s">
        <v>1232</v>
      </c>
      <c r="E217" s="345">
        <v>15600</v>
      </c>
      <c r="F217" s="345">
        <v>780</v>
      </c>
      <c r="G217" s="345">
        <v>16380</v>
      </c>
      <c r="H217" s="377" t="s">
        <v>3693</v>
      </c>
      <c r="I217" s="350">
        <v>741</v>
      </c>
      <c r="J217" s="350">
        <v>16380</v>
      </c>
      <c r="M217" s="350">
        <f t="shared" si="16"/>
        <v>16380</v>
      </c>
      <c r="O217" s="351">
        <f t="shared" si="17"/>
        <v>0</v>
      </c>
      <c r="P217" s="378" t="s">
        <v>1080</v>
      </c>
    </row>
    <row r="218" spans="1:16">
      <c r="A218" s="345">
        <v>20130814</v>
      </c>
      <c r="B218" s="352" t="s">
        <v>3694</v>
      </c>
      <c r="C218" s="352" t="s">
        <v>701</v>
      </c>
      <c r="E218" s="345">
        <v>19500</v>
      </c>
      <c r="F218" s="345">
        <v>975</v>
      </c>
      <c r="G218" s="345">
        <v>20475</v>
      </c>
      <c r="H218" s="377" t="s">
        <v>904</v>
      </c>
      <c r="I218" s="350">
        <v>733</v>
      </c>
      <c r="J218" s="350">
        <v>20475</v>
      </c>
      <c r="M218" s="350">
        <f t="shared" si="16"/>
        <v>20475</v>
      </c>
      <c r="O218" s="351">
        <f t="shared" si="17"/>
        <v>0</v>
      </c>
      <c r="P218" s="378" t="s">
        <v>3695</v>
      </c>
    </row>
    <row r="219" spans="1:16">
      <c r="A219" s="345">
        <v>20130905</v>
      </c>
      <c r="B219" s="352" t="s">
        <v>3696</v>
      </c>
      <c r="C219" s="352" t="s">
        <v>1532</v>
      </c>
      <c r="E219" s="345">
        <v>12857</v>
      </c>
      <c r="F219" s="345">
        <v>643</v>
      </c>
      <c r="G219" s="345">
        <v>13500</v>
      </c>
      <c r="H219" s="377" t="s">
        <v>2780</v>
      </c>
      <c r="I219" s="343" t="s">
        <v>537</v>
      </c>
      <c r="L219" s="390">
        <v>13485</v>
      </c>
      <c r="M219" s="350">
        <f t="shared" si="16"/>
        <v>13485</v>
      </c>
      <c r="N219" s="351">
        <v>15</v>
      </c>
      <c r="O219" s="351">
        <f t="shared" si="17"/>
        <v>0</v>
      </c>
      <c r="P219" s="378" t="s">
        <v>1097</v>
      </c>
    </row>
    <row r="220" spans="1:16">
      <c r="A220" s="345">
        <v>20131003</v>
      </c>
      <c r="B220" s="352" t="s">
        <v>3697</v>
      </c>
      <c r="C220" s="352" t="s">
        <v>1307</v>
      </c>
      <c r="E220" s="345">
        <v>108000</v>
      </c>
      <c r="F220" s="345">
        <v>5400</v>
      </c>
      <c r="G220" s="345">
        <v>113400</v>
      </c>
      <c r="H220" s="377" t="s">
        <v>1276</v>
      </c>
      <c r="I220" s="343" t="s">
        <v>3754</v>
      </c>
      <c r="J220" s="350">
        <v>113400</v>
      </c>
      <c r="M220" s="350">
        <f t="shared" si="16"/>
        <v>113400</v>
      </c>
      <c r="O220" s="351">
        <f t="shared" si="17"/>
        <v>0</v>
      </c>
      <c r="P220" s="378" t="s">
        <v>3698</v>
      </c>
    </row>
    <row r="221" spans="1:16">
      <c r="B221" s="352" t="s">
        <v>3699</v>
      </c>
      <c r="D221" s="254" t="s">
        <v>1235</v>
      </c>
      <c r="H221" s="379"/>
      <c r="M221" s="350">
        <f t="shared" si="16"/>
        <v>0</v>
      </c>
      <c r="O221" s="351">
        <f t="shared" si="17"/>
        <v>0</v>
      </c>
      <c r="P221" s="392"/>
    </row>
    <row r="222" spans="1:16">
      <c r="A222" s="345">
        <v>20131008</v>
      </c>
      <c r="B222" s="352" t="s">
        <v>3700</v>
      </c>
      <c r="C222" s="352" t="s">
        <v>701</v>
      </c>
      <c r="E222" s="345">
        <v>3000</v>
      </c>
      <c r="F222" s="345">
        <v>150</v>
      </c>
      <c r="G222" s="345">
        <v>3150</v>
      </c>
      <c r="H222" s="377" t="s">
        <v>904</v>
      </c>
      <c r="I222" s="350">
        <v>751</v>
      </c>
      <c r="J222" s="350">
        <v>3150</v>
      </c>
      <c r="M222" s="350">
        <f t="shared" si="16"/>
        <v>3150</v>
      </c>
      <c r="O222" s="351">
        <f t="shared" si="17"/>
        <v>0</v>
      </c>
      <c r="P222" s="378" t="s">
        <v>3695</v>
      </c>
    </row>
    <row r="223" spans="1:16">
      <c r="A223" s="345">
        <v>20131008</v>
      </c>
      <c r="B223" s="352" t="s">
        <v>3701</v>
      </c>
      <c r="C223" s="352" t="s">
        <v>1016</v>
      </c>
      <c r="E223" s="345">
        <v>3000</v>
      </c>
      <c r="F223" s="345">
        <v>150</v>
      </c>
      <c r="G223" s="345">
        <v>3150</v>
      </c>
      <c r="H223" s="377" t="s">
        <v>904</v>
      </c>
      <c r="I223" s="343" t="s">
        <v>1061</v>
      </c>
      <c r="L223" s="390">
        <v>3150</v>
      </c>
      <c r="M223" s="350">
        <f t="shared" si="16"/>
        <v>3150</v>
      </c>
      <c r="O223" s="351">
        <f t="shared" si="17"/>
        <v>0</v>
      </c>
      <c r="P223" s="378" t="s">
        <v>1854</v>
      </c>
    </row>
    <row r="224" spans="1:16">
      <c r="A224" s="345">
        <v>20131008</v>
      </c>
      <c r="B224" s="352" t="s">
        <v>3702</v>
      </c>
      <c r="C224" s="352" t="s">
        <v>1013</v>
      </c>
      <c r="E224" s="345">
        <v>3000</v>
      </c>
      <c r="F224" s="345">
        <v>150</v>
      </c>
      <c r="G224" s="345">
        <v>3150</v>
      </c>
      <c r="H224" s="377" t="s">
        <v>904</v>
      </c>
      <c r="I224" s="343" t="s">
        <v>734</v>
      </c>
      <c r="L224" s="390">
        <v>3150</v>
      </c>
      <c r="M224" s="350">
        <f t="shared" si="16"/>
        <v>3150</v>
      </c>
      <c r="O224" s="351">
        <f t="shared" si="17"/>
        <v>0</v>
      </c>
      <c r="P224" s="378" t="s">
        <v>1853</v>
      </c>
    </row>
    <row r="225" spans="1:16">
      <c r="A225" s="345">
        <v>20131011</v>
      </c>
      <c r="B225" s="352" t="s">
        <v>3703</v>
      </c>
      <c r="C225" s="352" t="s">
        <v>3825</v>
      </c>
      <c r="E225" s="345">
        <v>13500</v>
      </c>
      <c r="F225" s="345">
        <v>675</v>
      </c>
      <c r="G225" s="345">
        <v>14175</v>
      </c>
      <c r="H225" s="350">
        <v>4</v>
      </c>
      <c r="I225" s="377" t="s">
        <v>2236</v>
      </c>
      <c r="L225" s="390">
        <v>14145</v>
      </c>
      <c r="M225" s="350">
        <f t="shared" si="16"/>
        <v>14145</v>
      </c>
      <c r="N225" s="351">
        <v>30</v>
      </c>
      <c r="O225" s="351">
        <f t="shared" si="17"/>
        <v>0</v>
      </c>
      <c r="P225" s="378" t="s">
        <v>1072</v>
      </c>
    </row>
    <row r="226" spans="1:16">
      <c r="A226" s="345">
        <v>20131011</v>
      </c>
      <c r="B226" s="352" t="s">
        <v>3704</v>
      </c>
      <c r="C226" s="352" t="s">
        <v>2421</v>
      </c>
      <c r="E226" s="345">
        <v>12600</v>
      </c>
      <c r="F226" s="345">
        <v>630</v>
      </c>
      <c r="G226" s="345">
        <v>13230</v>
      </c>
      <c r="H226" s="350">
        <v>2</v>
      </c>
      <c r="I226" s="377" t="s">
        <v>749</v>
      </c>
      <c r="L226" s="390">
        <v>13220</v>
      </c>
      <c r="M226" s="350">
        <f t="shared" si="16"/>
        <v>13220</v>
      </c>
      <c r="N226" s="351">
        <v>10</v>
      </c>
      <c r="O226" s="351">
        <f t="shared" si="17"/>
        <v>0</v>
      </c>
      <c r="P226" s="378" t="s">
        <v>1084</v>
      </c>
    </row>
    <row r="227" spans="1:16">
      <c r="A227" s="345">
        <v>20131011</v>
      </c>
      <c r="B227" s="352" t="s">
        <v>3705</v>
      </c>
      <c r="C227" s="352" t="s">
        <v>2060</v>
      </c>
      <c r="E227" s="345">
        <v>13500</v>
      </c>
      <c r="F227" s="345">
        <v>675</v>
      </c>
      <c r="G227" s="345">
        <v>14175</v>
      </c>
      <c r="H227" s="350">
        <v>2</v>
      </c>
      <c r="I227" s="377" t="s">
        <v>730</v>
      </c>
      <c r="L227" s="390">
        <v>14175</v>
      </c>
      <c r="M227" s="350">
        <f t="shared" si="16"/>
        <v>14175</v>
      </c>
      <c r="O227" s="351">
        <f t="shared" si="17"/>
        <v>0</v>
      </c>
      <c r="P227" s="378" t="s">
        <v>1099</v>
      </c>
    </row>
    <row r="228" spans="1:16">
      <c r="A228" s="345">
        <v>20131014</v>
      </c>
      <c r="B228" s="352" t="s">
        <v>3706</v>
      </c>
      <c r="C228" s="352" t="s">
        <v>1013</v>
      </c>
      <c r="E228" s="345">
        <v>72000</v>
      </c>
      <c r="F228" s="345">
        <v>3600</v>
      </c>
      <c r="G228" s="345">
        <v>75600</v>
      </c>
      <c r="H228" s="350">
        <v>1</v>
      </c>
      <c r="I228" s="377" t="s">
        <v>1061</v>
      </c>
      <c r="L228" s="390">
        <v>75600</v>
      </c>
      <c r="M228" s="350">
        <f t="shared" si="16"/>
        <v>75600</v>
      </c>
      <c r="O228" s="351">
        <f t="shared" si="17"/>
        <v>0</v>
      </c>
      <c r="P228" s="378" t="s">
        <v>1853</v>
      </c>
    </row>
    <row r="229" spans="1:16">
      <c r="A229" s="345">
        <v>20131014</v>
      </c>
      <c r="B229" s="352" t="s">
        <v>3707</v>
      </c>
      <c r="C229" s="352" t="s">
        <v>1016</v>
      </c>
      <c r="E229" s="345">
        <v>72000</v>
      </c>
      <c r="F229" s="345">
        <v>3600</v>
      </c>
      <c r="G229" s="345">
        <v>75600</v>
      </c>
      <c r="H229" s="350">
        <v>1</v>
      </c>
      <c r="I229" s="377" t="s">
        <v>1061</v>
      </c>
      <c r="L229" s="390">
        <v>75600</v>
      </c>
      <c r="M229" s="350">
        <f t="shared" si="16"/>
        <v>75600</v>
      </c>
      <c r="O229" s="351">
        <f t="shared" si="17"/>
        <v>0</v>
      </c>
      <c r="P229" s="378" t="s">
        <v>1854</v>
      </c>
    </row>
    <row r="230" spans="1:16">
      <c r="A230" s="345">
        <v>20131014</v>
      </c>
      <c r="B230" s="352" t="s">
        <v>3708</v>
      </c>
      <c r="C230" s="352" t="s">
        <v>747</v>
      </c>
      <c r="E230" s="345">
        <v>40000</v>
      </c>
      <c r="F230" s="345">
        <v>2000</v>
      </c>
      <c r="G230" s="345">
        <v>42000</v>
      </c>
      <c r="H230" s="350">
        <v>1</v>
      </c>
      <c r="I230" s="377" t="s">
        <v>1061</v>
      </c>
      <c r="L230" s="390">
        <v>42000</v>
      </c>
      <c r="M230" s="350">
        <f t="shared" si="16"/>
        <v>42000</v>
      </c>
      <c r="O230" s="351">
        <f t="shared" si="17"/>
        <v>0</v>
      </c>
      <c r="P230" s="378" t="s">
        <v>3709</v>
      </c>
    </row>
    <row r="231" spans="1:16">
      <c r="A231" s="345">
        <v>20131014</v>
      </c>
      <c r="B231" s="352" t="s">
        <v>3710</v>
      </c>
      <c r="C231" s="352" t="s">
        <v>701</v>
      </c>
      <c r="E231" s="345">
        <v>80000</v>
      </c>
      <c r="F231" s="345">
        <v>4000</v>
      </c>
      <c r="G231" s="345">
        <v>84000</v>
      </c>
      <c r="H231" s="377" t="s">
        <v>904</v>
      </c>
      <c r="I231" s="350">
        <v>750</v>
      </c>
      <c r="J231" s="350">
        <v>84000</v>
      </c>
      <c r="M231" s="350">
        <f t="shared" si="16"/>
        <v>84000</v>
      </c>
      <c r="O231" s="351">
        <f t="shared" si="17"/>
        <v>0</v>
      </c>
      <c r="P231" s="378" t="s">
        <v>3695</v>
      </c>
    </row>
    <row r="232" spans="1:16">
      <c r="A232" s="345">
        <v>20131106</v>
      </c>
      <c r="B232" s="352" t="s">
        <v>3711</v>
      </c>
      <c r="C232" s="352" t="s">
        <v>1013</v>
      </c>
      <c r="E232" s="345">
        <v>19500</v>
      </c>
      <c r="F232" s="345">
        <v>975</v>
      </c>
      <c r="G232" s="345">
        <v>20475</v>
      </c>
      <c r="H232" s="377" t="s">
        <v>1077</v>
      </c>
      <c r="I232" s="350">
        <v>619</v>
      </c>
      <c r="K232" s="350">
        <v>20475</v>
      </c>
      <c r="M232" s="350">
        <f t="shared" si="16"/>
        <v>20475</v>
      </c>
      <c r="O232" s="351">
        <f t="shared" si="17"/>
        <v>0</v>
      </c>
      <c r="P232" s="378" t="s">
        <v>1853</v>
      </c>
    </row>
    <row r="233" spans="1:16">
      <c r="A233" s="345">
        <v>20131106</v>
      </c>
      <c r="B233" s="352" t="s">
        <v>3712</v>
      </c>
      <c r="C233" s="352" t="s">
        <v>1016</v>
      </c>
      <c r="E233" s="345">
        <v>19500</v>
      </c>
      <c r="F233" s="345">
        <v>975</v>
      </c>
      <c r="G233" s="345">
        <v>20475</v>
      </c>
      <c r="H233" s="377" t="s">
        <v>1077</v>
      </c>
      <c r="I233" s="350">
        <v>627</v>
      </c>
      <c r="K233" s="350">
        <v>20475</v>
      </c>
      <c r="M233" s="350">
        <f t="shared" si="16"/>
        <v>20475</v>
      </c>
      <c r="O233" s="351">
        <f t="shared" si="17"/>
        <v>0</v>
      </c>
      <c r="P233" s="378" t="s">
        <v>1854</v>
      </c>
    </row>
    <row r="234" spans="1:16">
      <c r="A234" s="345">
        <v>20131106</v>
      </c>
      <c r="B234" s="352" t="s">
        <v>3713</v>
      </c>
      <c r="C234" s="352" t="s">
        <v>701</v>
      </c>
      <c r="E234" s="345">
        <v>19500</v>
      </c>
      <c r="F234" s="345">
        <v>975</v>
      </c>
      <c r="G234" s="345">
        <v>20475</v>
      </c>
      <c r="H234" s="377" t="s">
        <v>905</v>
      </c>
      <c r="I234" s="350">
        <v>734</v>
      </c>
      <c r="J234" s="350">
        <v>20475</v>
      </c>
      <c r="M234" s="350">
        <f t="shared" si="16"/>
        <v>20475</v>
      </c>
      <c r="O234" s="351">
        <f t="shared" si="17"/>
        <v>0</v>
      </c>
      <c r="P234" s="378" t="s">
        <v>3695</v>
      </c>
    </row>
    <row r="235" spans="1:16">
      <c r="A235" s="345">
        <v>20131106</v>
      </c>
      <c r="B235" s="352" t="s">
        <v>3714</v>
      </c>
      <c r="C235" s="352" t="s">
        <v>1232</v>
      </c>
      <c r="E235" s="345">
        <v>15600</v>
      </c>
      <c r="F235" s="345">
        <v>780</v>
      </c>
      <c r="G235" s="345">
        <v>16380</v>
      </c>
      <c r="H235" s="377" t="s">
        <v>3715</v>
      </c>
      <c r="I235" s="350">
        <v>756</v>
      </c>
      <c r="J235" s="350">
        <v>16380</v>
      </c>
      <c r="M235" s="350">
        <f t="shared" si="16"/>
        <v>16380</v>
      </c>
      <c r="O235" s="351">
        <f t="shared" si="17"/>
        <v>0</v>
      </c>
      <c r="P235" s="378" t="s">
        <v>1080</v>
      </c>
    </row>
    <row r="236" spans="1:16">
      <c r="A236" s="345">
        <v>20131106</v>
      </c>
      <c r="B236" s="352" t="s">
        <v>3716</v>
      </c>
      <c r="C236" s="352" t="s">
        <v>1270</v>
      </c>
      <c r="E236" s="345">
        <v>19500</v>
      </c>
      <c r="F236" s="345">
        <v>975</v>
      </c>
      <c r="G236" s="345">
        <v>20475</v>
      </c>
      <c r="H236" s="377" t="s">
        <v>1077</v>
      </c>
      <c r="I236" s="350">
        <v>752</v>
      </c>
      <c r="J236" s="350">
        <v>20475</v>
      </c>
      <c r="M236" s="350">
        <f t="shared" si="16"/>
        <v>20475</v>
      </c>
      <c r="O236" s="351">
        <f t="shared" si="17"/>
        <v>0</v>
      </c>
      <c r="P236" s="378" t="s">
        <v>1130</v>
      </c>
    </row>
    <row r="237" spans="1:16">
      <c r="A237" s="345">
        <v>20131106</v>
      </c>
      <c r="B237" s="352" t="s">
        <v>3717</v>
      </c>
      <c r="C237" s="352" t="s">
        <v>1270</v>
      </c>
      <c r="E237" s="345">
        <v>19500</v>
      </c>
      <c r="F237" s="345">
        <v>975</v>
      </c>
      <c r="G237" s="345">
        <v>20475</v>
      </c>
      <c r="H237" s="377" t="s">
        <v>1091</v>
      </c>
      <c r="I237" s="350">
        <v>753</v>
      </c>
      <c r="J237" s="350">
        <v>20475</v>
      </c>
      <c r="M237" s="350">
        <f t="shared" si="16"/>
        <v>20475</v>
      </c>
      <c r="O237" s="351">
        <f t="shared" si="17"/>
        <v>0</v>
      </c>
      <c r="P237" s="378" t="s">
        <v>1130</v>
      </c>
    </row>
    <row r="238" spans="1:16">
      <c r="A238" s="345">
        <v>20131106</v>
      </c>
      <c r="B238" s="352" t="s">
        <v>3718</v>
      </c>
      <c r="C238" s="352" t="s">
        <v>1270</v>
      </c>
      <c r="E238" s="345">
        <v>19500</v>
      </c>
      <c r="F238" s="345">
        <v>975</v>
      </c>
      <c r="G238" s="345">
        <v>20475</v>
      </c>
      <c r="H238" s="377" t="s">
        <v>1131</v>
      </c>
      <c r="I238" s="350">
        <v>754</v>
      </c>
      <c r="J238" s="350">
        <v>20475</v>
      </c>
      <c r="M238" s="350">
        <f t="shared" si="16"/>
        <v>20475</v>
      </c>
      <c r="O238" s="351">
        <f t="shared" si="17"/>
        <v>0</v>
      </c>
      <c r="P238" s="378" t="s">
        <v>1130</v>
      </c>
    </row>
    <row r="239" spans="1:16">
      <c r="A239" s="345">
        <v>20131106</v>
      </c>
      <c r="B239" s="352" t="s">
        <v>3719</v>
      </c>
      <c r="C239" s="352" t="s">
        <v>1270</v>
      </c>
      <c r="E239" s="345">
        <v>19500</v>
      </c>
      <c r="F239" s="345">
        <v>975</v>
      </c>
      <c r="G239" s="345">
        <v>20475</v>
      </c>
      <c r="H239" s="377" t="s">
        <v>1132</v>
      </c>
      <c r="I239" s="350">
        <v>755</v>
      </c>
      <c r="J239" s="350">
        <v>20475</v>
      </c>
      <c r="M239" s="350">
        <f t="shared" si="16"/>
        <v>20475</v>
      </c>
      <c r="O239" s="351">
        <f t="shared" si="17"/>
        <v>0</v>
      </c>
      <c r="P239" s="378" t="s">
        <v>1130</v>
      </c>
    </row>
    <row r="240" spans="1:16">
      <c r="A240" s="345">
        <v>20131204</v>
      </c>
      <c r="B240" s="352" t="s">
        <v>3720</v>
      </c>
      <c r="C240" s="352" t="s">
        <v>2</v>
      </c>
      <c r="E240" s="345">
        <v>132000</v>
      </c>
      <c r="F240" s="345">
        <v>6600</v>
      </c>
      <c r="G240" s="345">
        <v>138600</v>
      </c>
      <c r="H240" s="377" t="s">
        <v>1276</v>
      </c>
      <c r="I240" s="343" t="s">
        <v>3040</v>
      </c>
      <c r="J240" s="350">
        <v>138600</v>
      </c>
      <c r="M240" s="350">
        <f t="shared" si="16"/>
        <v>138600</v>
      </c>
      <c r="O240" s="351">
        <f t="shared" si="17"/>
        <v>0</v>
      </c>
      <c r="P240" s="378" t="s">
        <v>1172</v>
      </c>
    </row>
    <row r="241" spans="1:17">
      <c r="A241" s="345">
        <v>20131213</v>
      </c>
      <c r="B241" s="352" t="s">
        <v>3721</v>
      </c>
      <c r="C241" s="352" t="s">
        <v>1532</v>
      </c>
      <c r="E241" s="345">
        <v>12857</v>
      </c>
      <c r="F241" s="345">
        <v>643</v>
      </c>
      <c r="G241" s="345">
        <v>13500</v>
      </c>
      <c r="H241" s="377" t="s">
        <v>1112</v>
      </c>
      <c r="I241" s="343" t="s">
        <v>3041</v>
      </c>
      <c r="L241" s="350">
        <v>13485</v>
      </c>
      <c r="M241" s="350">
        <f t="shared" si="16"/>
        <v>13485</v>
      </c>
      <c r="N241" s="351">
        <v>15</v>
      </c>
      <c r="O241" s="351">
        <f t="shared" si="17"/>
        <v>0</v>
      </c>
      <c r="P241" s="378" t="s">
        <v>1097</v>
      </c>
    </row>
    <row r="242" spans="1:17">
      <c r="A242" s="345">
        <v>20131225</v>
      </c>
      <c r="B242" s="352" t="s">
        <v>3722</v>
      </c>
      <c r="C242" s="352" t="s">
        <v>747</v>
      </c>
      <c r="E242" s="345">
        <v>40000</v>
      </c>
      <c r="F242" s="345">
        <v>2000</v>
      </c>
      <c r="G242" s="345">
        <v>42000</v>
      </c>
      <c r="H242" s="377"/>
      <c r="I242" s="343" t="s">
        <v>3042</v>
      </c>
      <c r="L242" s="350">
        <v>42000</v>
      </c>
      <c r="M242" s="350">
        <f t="shared" si="16"/>
        <v>42000</v>
      </c>
      <c r="O242" s="351">
        <f t="shared" si="17"/>
        <v>0</v>
      </c>
      <c r="P242" s="378" t="s">
        <v>3709</v>
      </c>
    </row>
    <row r="243" spans="1:17">
      <c r="A243" s="345">
        <v>20131226</v>
      </c>
      <c r="B243" s="352" t="s">
        <v>3723</v>
      </c>
      <c r="C243" s="352" t="s">
        <v>747</v>
      </c>
      <c r="E243" s="345">
        <v>20000</v>
      </c>
      <c r="F243" s="345">
        <v>1000</v>
      </c>
      <c r="G243" s="345">
        <v>21000</v>
      </c>
      <c r="H243" s="379"/>
      <c r="I243" s="343" t="s">
        <v>3043</v>
      </c>
      <c r="L243" s="350">
        <v>21000</v>
      </c>
      <c r="M243" s="350">
        <f t="shared" si="16"/>
        <v>21000</v>
      </c>
      <c r="O243" s="351">
        <f t="shared" si="17"/>
        <v>0</v>
      </c>
      <c r="P243" s="378" t="s">
        <v>3709</v>
      </c>
    </row>
    <row r="247" spans="1:17" s="347" customFormat="1">
      <c r="A247" s="346" t="s">
        <v>3044</v>
      </c>
      <c r="D247" s="348" t="s">
        <v>2377</v>
      </c>
      <c r="E247" s="376">
        <f>SUM(E248:E324)</f>
        <v>3012433</v>
      </c>
      <c r="F247" s="376">
        <f>SUM(F248:F324)</f>
        <v>150622</v>
      </c>
      <c r="G247" s="376">
        <f>SUM(G248:G324)</f>
        <v>3163055</v>
      </c>
      <c r="H247" s="349"/>
      <c r="I247" s="383"/>
      <c r="J247" s="376">
        <f t="shared" ref="J247:O247" si="18">SUM(J248:J324)</f>
        <v>2138340</v>
      </c>
      <c r="K247" s="376">
        <f t="shared" si="18"/>
        <v>245700</v>
      </c>
      <c r="L247" s="376">
        <f t="shared" si="18"/>
        <v>821315</v>
      </c>
      <c r="M247" s="376">
        <f t="shared" si="18"/>
        <v>3205355</v>
      </c>
      <c r="N247" s="376">
        <f t="shared" si="18"/>
        <v>225</v>
      </c>
      <c r="O247" s="376">
        <f t="shared" si="18"/>
        <v>0</v>
      </c>
      <c r="P247" s="391"/>
    </row>
    <row r="248" spans="1:17">
      <c r="A248" s="183">
        <v>20140107</v>
      </c>
      <c r="B248" s="183" t="s">
        <v>3045</v>
      </c>
      <c r="C248" s="183" t="s">
        <v>3825</v>
      </c>
      <c r="E248" s="183">
        <v>13500</v>
      </c>
      <c r="F248" s="183">
        <v>675</v>
      </c>
      <c r="G248" s="393">
        <f t="shared" ref="G248:G257" si="19">E248+F248</f>
        <v>14175</v>
      </c>
      <c r="H248" s="350">
        <v>5</v>
      </c>
      <c r="I248" s="343" t="s">
        <v>3046</v>
      </c>
      <c r="L248" s="350">
        <v>14145</v>
      </c>
      <c r="M248" s="350">
        <f t="shared" ref="M248:M311" si="20">J248+K248+L248</f>
        <v>14145</v>
      </c>
      <c r="N248" s="351">
        <v>30</v>
      </c>
      <c r="O248" s="351">
        <f t="shared" ref="O248:O311" si="21">G248-M248-N248</f>
        <v>0</v>
      </c>
      <c r="P248" s="394" t="s">
        <v>1072</v>
      </c>
    </row>
    <row r="249" spans="1:17">
      <c r="A249" s="183">
        <v>20140107</v>
      </c>
      <c r="B249" s="183" t="s">
        <v>3047</v>
      </c>
      <c r="C249" s="183" t="s">
        <v>2421</v>
      </c>
      <c r="E249" s="183">
        <v>12600</v>
      </c>
      <c r="F249" s="183">
        <v>630</v>
      </c>
      <c r="G249" s="393">
        <f t="shared" si="19"/>
        <v>13230</v>
      </c>
      <c r="H249" s="350">
        <v>3</v>
      </c>
      <c r="I249" s="343" t="s">
        <v>3048</v>
      </c>
      <c r="L249" s="350">
        <v>13220</v>
      </c>
      <c r="M249" s="350">
        <f t="shared" si="20"/>
        <v>13220</v>
      </c>
      <c r="N249" s="351">
        <v>10</v>
      </c>
      <c r="O249" s="351">
        <f t="shared" si="21"/>
        <v>0</v>
      </c>
      <c r="P249" s="394" t="s">
        <v>1084</v>
      </c>
    </row>
    <row r="250" spans="1:17">
      <c r="A250" s="183">
        <v>20140107</v>
      </c>
      <c r="B250" s="183" t="s">
        <v>3049</v>
      </c>
      <c r="C250" s="199" t="s">
        <v>2060</v>
      </c>
      <c r="E250" s="199">
        <v>13500</v>
      </c>
      <c r="F250" s="183">
        <v>675</v>
      </c>
      <c r="G250" s="393">
        <f t="shared" si="19"/>
        <v>14175</v>
      </c>
      <c r="H250" s="350">
        <v>3</v>
      </c>
      <c r="I250" s="343" t="s">
        <v>3042</v>
      </c>
      <c r="L250" s="350">
        <v>14175</v>
      </c>
      <c r="M250" s="350">
        <f t="shared" si="20"/>
        <v>14175</v>
      </c>
      <c r="O250" s="351">
        <f t="shared" si="21"/>
        <v>0</v>
      </c>
      <c r="P250" s="394" t="s">
        <v>1099</v>
      </c>
    </row>
    <row r="251" spans="1:17">
      <c r="A251" s="183">
        <v>20140107</v>
      </c>
      <c r="B251" s="183" t="s">
        <v>3050</v>
      </c>
      <c r="C251" s="199" t="s">
        <v>1302</v>
      </c>
      <c r="E251" s="199">
        <v>91200</v>
      </c>
      <c r="F251" s="183">
        <v>4560</v>
      </c>
      <c r="G251" s="393">
        <f t="shared" si="19"/>
        <v>95760</v>
      </c>
      <c r="H251" s="377" t="s">
        <v>1276</v>
      </c>
      <c r="I251" s="343" t="s">
        <v>3051</v>
      </c>
      <c r="J251" s="350">
        <v>95760</v>
      </c>
      <c r="M251" s="350">
        <f t="shared" si="20"/>
        <v>95760</v>
      </c>
      <c r="O251" s="351">
        <f t="shared" si="21"/>
        <v>0</v>
      </c>
      <c r="P251" s="394" t="s">
        <v>1121</v>
      </c>
    </row>
    <row r="252" spans="1:17">
      <c r="A252" s="183">
        <v>20140108</v>
      </c>
      <c r="B252" s="183" t="s">
        <v>3052</v>
      </c>
      <c r="C252" s="199" t="s">
        <v>606</v>
      </c>
      <c r="E252" s="199">
        <v>102857</v>
      </c>
      <c r="F252" s="183">
        <v>5143</v>
      </c>
      <c r="G252" s="393">
        <f t="shared" si="19"/>
        <v>108000</v>
      </c>
      <c r="H252" s="377" t="s">
        <v>1276</v>
      </c>
      <c r="I252" s="343" t="s">
        <v>3053</v>
      </c>
      <c r="J252" s="350">
        <v>108000</v>
      </c>
      <c r="M252" s="350">
        <f t="shared" si="20"/>
        <v>108000</v>
      </c>
      <c r="O252" s="351">
        <f t="shared" si="21"/>
        <v>0</v>
      </c>
      <c r="P252" s="394" t="s">
        <v>3054</v>
      </c>
    </row>
    <row r="253" spans="1:17">
      <c r="A253" s="183">
        <v>20140127</v>
      </c>
      <c r="B253" s="183" t="s">
        <v>1842</v>
      </c>
      <c r="C253" s="254" t="s">
        <v>1843</v>
      </c>
      <c r="D253" s="352"/>
      <c r="E253" s="183">
        <v>-40500</v>
      </c>
      <c r="F253" s="183">
        <v>-2025</v>
      </c>
      <c r="G253" s="352">
        <f t="shared" si="19"/>
        <v>-42525</v>
      </c>
      <c r="H253" s="377" t="s">
        <v>3055</v>
      </c>
      <c r="I253" s="343"/>
      <c r="M253" s="350">
        <f t="shared" si="20"/>
        <v>0</v>
      </c>
      <c r="P253" s="381" t="s">
        <v>1845</v>
      </c>
      <c r="Q253" s="352" t="s">
        <v>3056</v>
      </c>
    </row>
    <row r="254" spans="1:17">
      <c r="A254" s="183">
        <v>20140206</v>
      </c>
      <c r="B254" s="183" t="s">
        <v>3057</v>
      </c>
      <c r="C254" s="199" t="s">
        <v>1013</v>
      </c>
      <c r="E254" s="199">
        <v>19500</v>
      </c>
      <c r="F254" s="183">
        <v>975</v>
      </c>
      <c r="G254" s="393">
        <f t="shared" si="19"/>
        <v>20475</v>
      </c>
      <c r="H254" s="350">
        <v>6</v>
      </c>
      <c r="I254" s="350">
        <v>620</v>
      </c>
      <c r="K254" s="350">
        <v>20475</v>
      </c>
      <c r="M254" s="350">
        <f t="shared" si="20"/>
        <v>20475</v>
      </c>
      <c r="O254" s="351">
        <f t="shared" si="21"/>
        <v>0</v>
      </c>
      <c r="P254" s="394" t="s">
        <v>1853</v>
      </c>
    </row>
    <row r="255" spans="1:17">
      <c r="A255" s="183">
        <v>20140206</v>
      </c>
      <c r="B255" s="183" t="s">
        <v>3058</v>
      </c>
      <c r="C255" s="199" t="s">
        <v>1016</v>
      </c>
      <c r="E255" s="199">
        <v>19500</v>
      </c>
      <c r="F255" s="183">
        <v>975</v>
      </c>
      <c r="G255" s="393">
        <f t="shared" si="19"/>
        <v>20475</v>
      </c>
      <c r="H255" s="350">
        <v>6</v>
      </c>
      <c r="I255" s="350">
        <v>628</v>
      </c>
      <c r="K255" s="350">
        <v>20475</v>
      </c>
      <c r="M255" s="350">
        <f t="shared" si="20"/>
        <v>20475</v>
      </c>
      <c r="O255" s="351">
        <f t="shared" si="21"/>
        <v>0</v>
      </c>
      <c r="P255" s="394" t="s">
        <v>1854</v>
      </c>
    </row>
    <row r="256" spans="1:17">
      <c r="A256" s="183">
        <v>20140206</v>
      </c>
      <c r="B256" s="183" t="s">
        <v>3059</v>
      </c>
      <c r="C256" s="199" t="s">
        <v>701</v>
      </c>
      <c r="E256" s="199">
        <v>19500</v>
      </c>
      <c r="F256" s="183">
        <v>975</v>
      </c>
      <c r="G256" s="393">
        <f t="shared" si="19"/>
        <v>20475</v>
      </c>
      <c r="H256" s="350">
        <v>3</v>
      </c>
      <c r="I256" s="350">
        <v>735</v>
      </c>
      <c r="K256" s="350">
        <v>20475</v>
      </c>
      <c r="M256" s="350">
        <f t="shared" si="20"/>
        <v>20475</v>
      </c>
      <c r="O256" s="351">
        <f t="shared" si="21"/>
        <v>0</v>
      </c>
      <c r="P256" s="394" t="s">
        <v>3695</v>
      </c>
    </row>
    <row r="257" spans="1:16">
      <c r="A257" s="183">
        <v>20140206</v>
      </c>
      <c r="B257" s="183" t="s">
        <v>3060</v>
      </c>
      <c r="C257" s="199" t="s">
        <v>1232</v>
      </c>
      <c r="E257" s="393">
        <v>15600</v>
      </c>
      <c r="F257" s="393">
        <v>780</v>
      </c>
      <c r="G257" s="393">
        <f t="shared" si="19"/>
        <v>16380</v>
      </c>
      <c r="H257" s="350">
        <v>12</v>
      </c>
      <c r="I257" s="350">
        <v>782</v>
      </c>
      <c r="J257" s="350">
        <v>16380</v>
      </c>
      <c r="M257" s="350">
        <f t="shared" si="20"/>
        <v>16380</v>
      </c>
      <c r="O257" s="351">
        <f t="shared" si="21"/>
        <v>0</v>
      </c>
      <c r="P257" s="394" t="s">
        <v>1080</v>
      </c>
    </row>
    <row r="258" spans="1:16">
      <c r="A258" s="183"/>
      <c r="B258" s="183" t="s">
        <v>3061</v>
      </c>
      <c r="C258" s="183"/>
      <c r="D258" s="254" t="s">
        <v>1235</v>
      </c>
      <c r="E258" s="183"/>
      <c r="F258" s="183"/>
      <c r="G258" s="393"/>
      <c r="M258" s="350">
        <f t="shared" si="20"/>
        <v>0</v>
      </c>
      <c r="O258" s="351">
        <f t="shared" si="21"/>
        <v>0</v>
      </c>
      <c r="P258" s="394"/>
    </row>
    <row r="259" spans="1:16">
      <c r="A259" s="183">
        <v>20140401</v>
      </c>
      <c r="B259" s="183" t="s">
        <v>3062</v>
      </c>
      <c r="C259" s="183" t="s">
        <v>1532</v>
      </c>
      <c r="E259" s="183">
        <v>12857</v>
      </c>
      <c r="F259" s="183">
        <v>643</v>
      </c>
      <c r="G259" s="393">
        <f>E259+F259</f>
        <v>13500</v>
      </c>
      <c r="H259" s="350">
        <v>5</v>
      </c>
      <c r="I259" s="343" t="s">
        <v>3063</v>
      </c>
      <c r="L259" s="350">
        <v>13485</v>
      </c>
      <c r="M259" s="350">
        <f t="shared" si="20"/>
        <v>13485</v>
      </c>
      <c r="N259" s="351">
        <v>15</v>
      </c>
      <c r="O259" s="351">
        <f t="shared" si="21"/>
        <v>0</v>
      </c>
      <c r="P259" s="394" t="s">
        <v>1097</v>
      </c>
    </row>
    <row r="260" spans="1:16">
      <c r="A260" s="183">
        <v>20140401</v>
      </c>
      <c r="B260" s="183" t="s">
        <v>3064</v>
      </c>
      <c r="C260" s="199" t="s">
        <v>1013</v>
      </c>
      <c r="E260" s="199">
        <v>60000</v>
      </c>
      <c r="F260" s="183">
        <v>3000</v>
      </c>
      <c r="G260" s="393">
        <f>E260+F260</f>
        <v>63000</v>
      </c>
      <c r="I260" s="343" t="s">
        <v>3065</v>
      </c>
      <c r="L260" s="350">
        <v>63000</v>
      </c>
      <c r="M260" s="350">
        <f t="shared" si="20"/>
        <v>63000</v>
      </c>
      <c r="O260" s="351">
        <f t="shared" si="21"/>
        <v>0</v>
      </c>
      <c r="P260" s="394" t="s">
        <v>1853</v>
      </c>
    </row>
    <row r="261" spans="1:16">
      <c r="A261" s="183">
        <v>20140401</v>
      </c>
      <c r="B261" s="183" t="s">
        <v>3066</v>
      </c>
      <c r="C261" s="199" t="s">
        <v>1016</v>
      </c>
      <c r="E261" s="199">
        <v>60000</v>
      </c>
      <c r="F261" s="183">
        <v>3000</v>
      </c>
      <c r="G261" s="393">
        <f>E261+F261</f>
        <v>63000</v>
      </c>
      <c r="I261" s="343" t="s">
        <v>3067</v>
      </c>
      <c r="L261" s="350">
        <v>63000</v>
      </c>
      <c r="M261" s="350">
        <f t="shared" si="20"/>
        <v>63000</v>
      </c>
      <c r="O261" s="351">
        <f t="shared" si="21"/>
        <v>0</v>
      </c>
      <c r="P261" s="394" t="s">
        <v>1854</v>
      </c>
    </row>
    <row r="262" spans="1:16">
      <c r="A262" s="183">
        <v>20140401</v>
      </c>
      <c r="B262" s="183" t="s">
        <v>3068</v>
      </c>
      <c r="C262" s="199" t="s">
        <v>1013</v>
      </c>
      <c r="E262" s="199">
        <v>40000</v>
      </c>
      <c r="F262" s="183">
        <v>2000</v>
      </c>
      <c r="G262" s="393">
        <f>E262+F262</f>
        <v>42000</v>
      </c>
      <c r="I262" s="343" t="s">
        <v>3065</v>
      </c>
      <c r="L262" s="350">
        <v>42000</v>
      </c>
      <c r="M262" s="350">
        <f t="shared" si="20"/>
        <v>42000</v>
      </c>
      <c r="O262" s="351">
        <f t="shared" si="21"/>
        <v>0</v>
      </c>
      <c r="P262" s="394" t="s">
        <v>1853</v>
      </c>
    </row>
    <row r="263" spans="1:16">
      <c r="A263" s="183">
        <v>20140401</v>
      </c>
      <c r="B263" s="183" t="s">
        <v>3069</v>
      </c>
      <c r="C263" s="199" t="s">
        <v>1016</v>
      </c>
      <c r="E263" s="199">
        <v>40000</v>
      </c>
      <c r="F263" s="183">
        <v>2000</v>
      </c>
      <c r="G263" s="393">
        <f>E263+F263</f>
        <v>42000</v>
      </c>
      <c r="I263" s="343" t="s">
        <v>3067</v>
      </c>
      <c r="L263" s="350">
        <v>42000</v>
      </c>
      <c r="M263" s="350">
        <f t="shared" si="20"/>
        <v>42000</v>
      </c>
      <c r="O263" s="351">
        <f t="shared" si="21"/>
        <v>0</v>
      </c>
      <c r="P263" s="394" t="s">
        <v>1854</v>
      </c>
    </row>
    <row r="264" spans="1:16">
      <c r="A264" s="183"/>
      <c r="B264" s="183" t="s">
        <v>3070</v>
      </c>
      <c r="C264" s="183"/>
      <c r="D264" s="254" t="s">
        <v>1235</v>
      </c>
      <c r="E264" s="199"/>
      <c r="F264" s="183"/>
      <c r="G264" s="393"/>
      <c r="M264" s="350">
        <f t="shared" si="20"/>
        <v>0</v>
      </c>
      <c r="O264" s="351">
        <f t="shared" si="21"/>
        <v>0</v>
      </c>
      <c r="P264" s="394"/>
    </row>
    <row r="265" spans="1:16">
      <c r="A265" s="183">
        <v>20140409</v>
      </c>
      <c r="B265" s="183" t="s">
        <v>3071</v>
      </c>
      <c r="C265" s="199" t="s">
        <v>1016</v>
      </c>
      <c r="E265" s="199">
        <v>19048</v>
      </c>
      <c r="F265" s="183">
        <v>952</v>
      </c>
      <c r="G265" s="393">
        <f>E265+F265</f>
        <v>20000</v>
      </c>
      <c r="I265" s="343" t="s">
        <v>3072</v>
      </c>
      <c r="L265" s="350">
        <v>20000</v>
      </c>
      <c r="M265" s="350">
        <f t="shared" si="20"/>
        <v>20000</v>
      </c>
      <c r="O265" s="351">
        <f t="shared" si="21"/>
        <v>0</v>
      </c>
      <c r="P265" s="394" t="s">
        <v>1854</v>
      </c>
    </row>
    <row r="266" spans="1:16">
      <c r="A266" s="183">
        <v>20140423</v>
      </c>
      <c r="B266" s="183" t="s">
        <v>3073</v>
      </c>
      <c r="C266" s="199" t="s">
        <v>2060</v>
      </c>
      <c r="E266" s="393">
        <v>13500</v>
      </c>
      <c r="F266" s="393">
        <v>675</v>
      </c>
      <c r="G266" s="393">
        <f>E266+F266</f>
        <v>14175</v>
      </c>
      <c r="H266" s="350">
        <v>4</v>
      </c>
      <c r="I266" s="343" t="s">
        <v>3074</v>
      </c>
      <c r="L266" s="350">
        <v>14165</v>
      </c>
      <c r="M266" s="350">
        <f t="shared" si="20"/>
        <v>14165</v>
      </c>
      <c r="N266" s="351">
        <v>10</v>
      </c>
      <c r="O266" s="351">
        <f t="shared" si="21"/>
        <v>0</v>
      </c>
      <c r="P266" s="394" t="s">
        <v>1099</v>
      </c>
    </row>
    <row r="267" spans="1:16">
      <c r="A267" s="183">
        <v>20140423</v>
      </c>
      <c r="B267" s="183" t="s">
        <v>3075</v>
      </c>
      <c r="C267" s="199" t="s">
        <v>2421</v>
      </c>
      <c r="E267" s="393">
        <v>12600</v>
      </c>
      <c r="F267" s="393">
        <v>630</v>
      </c>
      <c r="G267" s="393">
        <f>E267+F267</f>
        <v>13230</v>
      </c>
      <c r="H267" s="350">
        <v>4</v>
      </c>
      <c r="I267" s="343" t="s">
        <v>3076</v>
      </c>
      <c r="L267" s="350">
        <v>13220</v>
      </c>
      <c r="M267" s="350">
        <f t="shared" si="20"/>
        <v>13220</v>
      </c>
      <c r="N267" s="351">
        <v>10</v>
      </c>
      <c r="O267" s="351">
        <f t="shared" si="21"/>
        <v>0</v>
      </c>
      <c r="P267" s="394" t="s">
        <v>1084</v>
      </c>
    </row>
    <row r="268" spans="1:16">
      <c r="A268" s="183">
        <v>20140423</v>
      </c>
      <c r="B268" s="183" t="s">
        <v>3077</v>
      </c>
      <c r="C268" s="199" t="s">
        <v>3825</v>
      </c>
      <c r="E268" s="393">
        <v>13500</v>
      </c>
      <c r="F268" s="393">
        <v>675</v>
      </c>
      <c r="G268" s="393">
        <f>E268+F268</f>
        <v>14175</v>
      </c>
      <c r="H268" s="350">
        <v>6</v>
      </c>
      <c r="I268" s="343" t="s">
        <v>3078</v>
      </c>
      <c r="L268" s="350">
        <v>14145</v>
      </c>
      <c r="M268" s="350">
        <f t="shared" si="20"/>
        <v>14145</v>
      </c>
      <c r="N268" s="351">
        <v>30</v>
      </c>
      <c r="O268" s="351">
        <f t="shared" si="21"/>
        <v>0</v>
      </c>
      <c r="P268" s="394" t="s">
        <v>1072</v>
      </c>
    </row>
    <row r="269" spans="1:16">
      <c r="A269" s="183">
        <v>20140501</v>
      </c>
      <c r="B269" s="183" t="s">
        <v>3079</v>
      </c>
      <c r="C269" s="183" t="s">
        <v>1303</v>
      </c>
      <c r="E269" s="183">
        <v>100800</v>
      </c>
      <c r="F269" s="183">
        <v>5040</v>
      </c>
      <c r="G269" s="393">
        <v>105840</v>
      </c>
      <c r="H269" s="377" t="s">
        <v>1276</v>
      </c>
      <c r="I269" s="343" t="s">
        <v>3080</v>
      </c>
      <c r="J269" s="350">
        <v>105840</v>
      </c>
      <c r="M269" s="350">
        <f t="shared" si="20"/>
        <v>105840</v>
      </c>
      <c r="O269" s="351">
        <f t="shared" si="21"/>
        <v>0</v>
      </c>
      <c r="P269" s="394" t="s">
        <v>1153</v>
      </c>
    </row>
    <row r="270" spans="1:16">
      <c r="A270" s="183">
        <v>20140505</v>
      </c>
      <c r="B270" s="183" t="s">
        <v>3081</v>
      </c>
      <c r="C270" s="183" t="s">
        <v>944</v>
      </c>
      <c r="E270" s="183">
        <v>86400</v>
      </c>
      <c r="F270" s="183">
        <v>4320</v>
      </c>
      <c r="G270" s="393">
        <f>E270+F270</f>
        <v>90720</v>
      </c>
      <c r="H270" s="377" t="s">
        <v>3082</v>
      </c>
      <c r="I270" s="399" t="s">
        <v>4821</v>
      </c>
      <c r="L270" s="350">
        <v>90720</v>
      </c>
      <c r="M270" s="350">
        <f t="shared" si="20"/>
        <v>90720</v>
      </c>
      <c r="O270" s="362">
        <f t="shared" si="21"/>
        <v>0</v>
      </c>
      <c r="P270" s="394" t="s">
        <v>1175</v>
      </c>
    </row>
    <row r="271" spans="1:16">
      <c r="A271" s="183">
        <v>20140508</v>
      </c>
      <c r="B271" s="183" t="s">
        <v>3083</v>
      </c>
      <c r="C271" s="199" t="s">
        <v>1232</v>
      </c>
      <c r="E271" s="199">
        <v>15600</v>
      </c>
      <c r="F271" s="183">
        <v>780</v>
      </c>
      <c r="G271" s="393">
        <f>E271+F271</f>
        <v>16380</v>
      </c>
      <c r="H271" s="350">
        <v>1</v>
      </c>
      <c r="I271" s="350">
        <v>807</v>
      </c>
      <c r="J271" s="350">
        <v>16380</v>
      </c>
      <c r="M271" s="350">
        <f t="shared" si="20"/>
        <v>16380</v>
      </c>
      <c r="O271" s="351">
        <f t="shared" si="21"/>
        <v>0</v>
      </c>
      <c r="P271" s="394" t="s">
        <v>1080</v>
      </c>
    </row>
    <row r="272" spans="1:16">
      <c r="A272" s="183">
        <v>20140512</v>
      </c>
      <c r="B272" s="183" t="s">
        <v>3084</v>
      </c>
      <c r="C272" s="199" t="s">
        <v>1781</v>
      </c>
      <c r="E272" s="199">
        <v>108000</v>
      </c>
      <c r="F272" s="183">
        <v>5400</v>
      </c>
      <c r="G272" s="393">
        <f>E272+F272</f>
        <v>113400</v>
      </c>
      <c r="H272" s="377" t="s">
        <v>1276</v>
      </c>
      <c r="I272" s="343" t="s">
        <v>3085</v>
      </c>
      <c r="J272" s="350">
        <v>113400</v>
      </c>
      <c r="M272" s="350">
        <f t="shared" si="20"/>
        <v>113400</v>
      </c>
      <c r="O272" s="351">
        <f t="shared" si="21"/>
        <v>0</v>
      </c>
      <c r="P272" s="394" t="s">
        <v>1169</v>
      </c>
    </row>
    <row r="273" spans="1:16">
      <c r="A273" s="183"/>
      <c r="B273" s="183" t="s">
        <v>3086</v>
      </c>
      <c r="C273" s="183"/>
      <c r="D273" s="254" t="s">
        <v>1235</v>
      </c>
      <c r="E273" s="199"/>
      <c r="F273" s="183"/>
      <c r="G273" s="393"/>
      <c r="M273" s="350">
        <f t="shared" si="20"/>
        <v>0</v>
      </c>
      <c r="O273" s="351">
        <f t="shared" si="21"/>
        <v>0</v>
      </c>
      <c r="P273" s="394"/>
    </row>
    <row r="274" spans="1:16">
      <c r="A274" s="183"/>
      <c r="B274" s="183" t="s">
        <v>3087</v>
      </c>
      <c r="C274" s="183"/>
      <c r="D274" s="254" t="s">
        <v>1235</v>
      </c>
      <c r="E274" s="199"/>
      <c r="F274" s="183"/>
      <c r="G274" s="393"/>
      <c r="M274" s="350">
        <f t="shared" si="20"/>
        <v>0</v>
      </c>
      <c r="O274" s="351">
        <f t="shared" si="21"/>
        <v>0</v>
      </c>
      <c r="P274" s="394"/>
    </row>
    <row r="275" spans="1:16">
      <c r="A275" s="183">
        <v>20140519</v>
      </c>
      <c r="B275" s="183" t="s">
        <v>3088</v>
      </c>
      <c r="C275" s="199" t="s">
        <v>1013</v>
      </c>
      <c r="E275" s="199">
        <v>19500</v>
      </c>
      <c r="F275" s="183">
        <v>975</v>
      </c>
      <c r="G275" s="393">
        <v>20475</v>
      </c>
      <c r="H275" s="350">
        <v>7</v>
      </c>
      <c r="I275" s="350">
        <v>621</v>
      </c>
      <c r="K275" s="350">
        <v>20475</v>
      </c>
      <c r="M275" s="350">
        <f t="shared" si="20"/>
        <v>20475</v>
      </c>
      <c r="O275" s="351">
        <f t="shared" si="21"/>
        <v>0</v>
      </c>
      <c r="P275" s="394" t="s">
        <v>1853</v>
      </c>
    </row>
    <row r="276" spans="1:16">
      <c r="A276" s="183">
        <v>20140519</v>
      </c>
      <c r="B276" s="183" t="s">
        <v>3089</v>
      </c>
      <c r="C276" s="199" t="s">
        <v>1016</v>
      </c>
      <c r="E276" s="199">
        <v>19500</v>
      </c>
      <c r="F276" s="183">
        <v>975</v>
      </c>
      <c r="G276" s="393">
        <f t="shared" ref="G276:G281" si="22">E276+F276</f>
        <v>20475</v>
      </c>
      <c r="H276" s="350">
        <v>7</v>
      </c>
      <c r="I276" s="350">
        <v>629</v>
      </c>
      <c r="K276" s="350">
        <v>20475</v>
      </c>
      <c r="M276" s="350">
        <f t="shared" si="20"/>
        <v>20475</v>
      </c>
      <c r="O276" s="351">
        <f t="shared" si="21"/>
        <v>0</v>
      </c>
      <c r="P276" s="394" t="s">
        <v>1854</v>
      </c>
    </row>
    <row r="277" spans="1:16">
      <c r="A277" s="183">
        <v>20140519</v>
      </c>
      <c r="B277" s="183" t="s">
        <v>3090</v>
      </c>
      <c r="C277" s="199" t="s">
        <v>701</v>
      </c>
      <c r="E277" s="393">
        <v>19500</v>
      </c>
      <c r="F277" s="393">
        <v>975</v>
      </c>
      <c r="G277" s="393">
        <f t="shared" si="22"/>
        <v>20475</v>
      </c>
      <c r="H277" s="350">
        <v>4</v>
      </c>
      <c r="I277" s="350">
        <v>736</v>
      </c>
      <c r="K277" s="350">
        <v>20475</v>
      </c>
      <c r="M277" s="350">
        <f t="shared" si="20"/>
        <v>20475</v>
      </c>
      <c r="O277" s="351">
        <f t="shared" si="21"/>
        <v>0</v>
      </c>
      <c r="P277" s="394" t="s">
        <v>3695</v>
      </c>
    </row>
    <row r="278" spans="1:16">
      <c r="A278" s="183">
        <v>20140521</v>
      </c>
      <c r="B278" s="183" t="s">
        <v>3091</v>
      </c>
      <c r="C278" s="199" t="s">
        <v>2690</v>
      </c>
      <c r="E278" s="393">
        <v>96000</v>
      </c>
      <c r="F278" s="393">
        <v>4800</v>
      </c>
      <c r="G278" s="393">
        <f t="shared" si="22"/>
        <v>100800</v>
      </c>
      <c r="H278" s="377" t="s">
        <v>1276</v>
      </c>
      <c r="I278" s="343" t="s">
        <v>3092</v>
      </c>
      <c r="J278" s="350">
        <v>100800</v>
      </c>
      <c r="M278" s="350">
        <f t="shared" si="20"/>
        <v>100800</v>
      </c>
      <c r="O278" s="351">
        <f t="shared" si="21"/>
        <v>0</v>
      </c>
      <c r="P278" s="394" t="s">
        <v>1155</v>
      </c>
    </row>
    <row r="279" spans="1:16">
      <c r="A279" s="183">
        <v>20140522</v>
      </c>
      <c r="B279" s="183" t="s">
        <v>3093</v>
      </c>
      <c r="C279" s="199" t="s">
        <v>2424</v>
      </c>
      <c r="E279" s="393">
        <v>86400</v>
      </c>
      <c r="F279" s="393">
        <v>4320</v>
      </c>
      <c r="G279" s="393">
        <f t="shared" si="22"/>
        <v>90720</v>
      </c>
      <c r="H279" s="377" t="s">
        <v>1276</v>
      </c>
      <c r="I279" s="343" t="s">
        <v>3094</v>
      </c>
      <c r="J279" s="350">
        <v>90720</v>
      </c>
      <c r="M279" s="350">
        <f t="shared" si="20"/>
        <v>90720</v>
      </c>
      <c r="O279" s="351">
        <f t="shared" si="21"/>
        <v>0</v>
      </c>
      <c r="P279" s="394" t="s">
        <v>1159</v>
      </c>
    </row>
    <row r="280" spans="1:16">
      <c r="A280" s="183">
        <v>20140527</v>
      </c>
      <c r="B280" s="183" t="s">
        <v>3095</v>
      </c>
      <c r="C280" s="199" t="s">
        <v>2270</v>
      </c>
      <c r="E280" s="393">
        <v>132000</v>
      </c>
      <c r="F280" s="393">
        <v>6600</v>
      </c>
      <c r="G280" s="393">
        <f t="shared" si="22"/>
        <v>138600</v>
      </c>
      <c r="H280" s="377" t="s">
        <v>1276</v>
      </c>
      <c r="I280" s="343" t="s">
        <v>3096</v>
      </c>
      <c r="J280" s="350">
        <v>138600</v>
      </c>
      <c r="M280" s="350">
        <f t="shared" si="20"/>
        <v>138600</v>
      </c>
      <c r="O280" s="351">
        <f t="shared" si="21"/>
        <v>0</v>
      </c>
      <c r="P280" s="394" t="s">
        <v>1172</v>
      </c>
    </row>
    <row r="281" spans="1:16">
      <c r="A281" s="183">
        <v>20140527</v>
      </c>
      <c r="B281" s="183" t="s">
        <v>3097</v>
      </c>
      <c r="C281" s="199" t="s">
        <v>2254</v>
      </c>
      <c r="E281" s="393">
        <v>96000</v>
      </c>
      <c r="F281" s="393">
        <v>4800</v>
      </c>
      <c r="G281" s="393">
        <f t="shared" si="22"/>
        <v>100800</v>
      </c>
      <c r="H281" s="377" t="s">
        <v>1276</v>
      </c>
      <c r="I281" s="343" t="s">
        <v>3098</v>
      </c>
      <c r="J281" s="350">
        <v>100800</v>
      </c>
      <c r="M281" s="350">
        <f t="shared" si="20"/>
        <v>100800</v>
      </c>
      <c r="O281" s="351">
        <f t="shared" si="21"/>
        <v>0</v>
      </c>
      <c r="P281" s="394" t="s">
        <v>1172</v>
      </c>
    </row>
    <row r="282" spans="1:16">
      <c r="A282" s="393">
        <v>20140613</v>
      </c>
      <c r="B282" s="183" t="s">
        <v>3099</v>
      </c>
      <c r="C282" s="395" t="s">
        <v>8</v>
      </c>
      <c r="E282" s="393">
        <v>108000</v>
      </c>
      <c r="F282" s="393">
        <v>5400</v>
      </c>
      <c r="G282" s="393">
        <v>113400</v>
      </c>
      <c r="H282" s="377" t="s">
        <v>1276</v>
      </c>
      <c r="I282" s="343" t="s">
        <v>3100</v>
      </c>
      <c r="J282" s="350">
        <v>113400</v>
      </c>
      <c r="M282" s="350">
        <f t="shared" si="20"/>
        <v>113400</v>
      </c>
      <c r="O282" s="351">
        <f t="shared" si="21"/>
        <v>0</v>
      </c>
      <c r="P282" s="396">
        <v>12946185</v>
      </c>
    </row>
    <row r="283" spans="1:16">
      <c r="A283" s="183">
        <v>20140811</v>
      </c>
      <c r="B283" s="183" t="s">
        <v>3101</v>
      </c>
      <c r="C283" s="183" t="s">
        <v>1013</v>
      </c>
      <c r="E283" s="183">
        <v>19500</v>
      </c>
      <c r="F283" s="183">
        <v>975</v>
      </c>
      <c r="G283" s="393">
        <f t="shared" ref="G283:G310" si="23">E283+F283</f>
        <v>20475</v>
      </c>
      <c r="H283" s="350">
        <v>8</v>
      </c>
      <c r="I283" s="350">
        <v>622</v>
      </c>
      <c r="K283" s="350">
        <v>20475</v>
      </c>
      <c r="M283" s="350">
        <f t="shared" si="20"/>
        <v>20475</v>
      </c>
      <c r="O283" s="351">
        <f t="shared" si="21"/>
        <v>0</v>
      </c>
      <c r="P283" s="394" t="s">
        <v>1853</v>
      </c>
    </row>
    <row r="284" spans="1:16">
      <c r="A284" s="183">
        <v>20140811</v>
      </c>
      <c r="B284" s="183" t="s">
        <v>3102</v>
      </c>
      <c r="C284" s="183" t="s">
        <v>1016</v>
      </c>
      <c r="E284" s="183">
        <v>19500</v>
      </c>
      <c r="F284" s="183">
        <v>975</v>
      </c>
      <c r="G284" s="393">
        <f t="shared" si="23"/>
        <v>20475</v>
      </c>
      <c r="H284" s="350">
        <v>8</v>
      </c>
      <c r="I284" s="350">
        <v>630</v>
      </c>
      <c r="K284" s="350">
        <v>20475</v>
      </c>
      <c r="M284" s="350">
        <f t="shared" si="20"/>
        <v>20475</v>
      </c>
      <c r="O284" s="351">
        <f t="shared" si="21"/>
        <v>0</v>
      </c>
      <c r="P284" s="394" t="s">
        <v>1854</v>
      </c>
    </row>
    <row r="285" spans="1:16">
      <c r="A285" s="183">
        <v>20140811</v>
      </c>
      <c r="B285" s="183" t="s">
        <v>3103</v>
      </c>
      <c r="C285" s="199" t="s">
        <v>701</v>
      </c>
      <c r="E285" s="199">
        <v>19500</v>
      </c>
      <c r="F285" s="183">
        <v>975</v>
      </c>
      <c r="G285" s="393">
        <f t="shared" si="23"/>
        <v>20475</v>
      </c>
      <c r="H285" s="350">
        <v>5</v>
      </c>
      <c r="I285" s="350">
        <v>737</v>
      </c>
      <c r="K285" s="350">
        <v>20475</v>
      </c>
      <c r="M285" s="350">
        <f t="shared" si="20"/>
        <v>20475</v>
      </c>
      <c r="O285" s="351">
        <f t="shared" si="21"/>
        <v>0</v>
      </c>
      <c r="P285" s="394" t="s">
        <v>3695</v>
      </c>
    </row>
    <row r="286" spans="1:16">
      <c r="A286" s="183">
        <v>20140811</v>
      </c>
      <c r="B286" s="183" t="s">
        <v>3104</v>
      </c>
      <c r="C286" s="199" t="s">
        <v>1232</v>
      </c>
      <c r="E286" s="199">
        <v>15600</v>
      </c>
      <c r="F286" s="183">
        <v>780</v>
      </c>
      <c r="G286" s="393">
        <f t="shared" si="23"/>
        <v>16380</v>
      </c>
      <c r="H286" s="350">
        <v>2</v>
      </c>
      <c r="I286" s="350">
        <v>848</v>
      </c>
      <c r="J286" s="350">
        <v>16380</v>
      </c>
      <c r="M286" s="350">
        <f t="shared" si="20"/>
        <v>16380</v>
      </c>
      <c r="O286" s="351">
        <f t="shared" si="21"/>
        <v>0</v>
      </c>
      <c r="P286" s="394" t="s">
        <v>1080</v>
      </c>
    </row>
    <row r="287" spans="1:16">
      <c r="A287" s="183">
        <v>20140811</v>
      </c>
      <c r="B287" s="183" t="s">
        <v>3105</v>
      </c>
      <c r="C287" s="199" t="s">
        <v>1532</v>
      </c>
      <c r="E287" s="199">
        <v>12857</v>
      </c>
      <c r="F287" s="183">
        <v>643</v>
      </c>
      <c r="G287" s="393">
        <f t="shared" si="23"/>
        <v>13500</v>
      </c>
      <c r="H287" s="350">
        <v>6</v>
      </c>
      <c r="I287" s="343" t="s">
        <v>3106</v>
      </c>
      <c r="L287" s="350">
        <v>13485</v>
      </c>
      <c r="M287" s="350">
        <f t="shared" si="20"/>
        <v>13485</v>
      </c>
      <c r="N287" s="351">
        <v>15</v>
      </c>
      <c r="O287" s="351">
        <f t="shared" si="21"/>
        <v>0</v>
      </c>
      <c r="P287" s="394" t="s">
        <v>1097</v>
      </c>
    </row>
    <row r="288" spans="1:16">
      <c r="A288" s="183">
        <v>20140811</v>
      </c>
      <c r="B288" s="183" t="s">
        <v>3107</v>
      </c>
      <c r="C288" s="199" t="s">
        <v>3825</v>
      </c>
      <c r="E288" s="199">
        <v>13500</v>
      </c>
      <c r="F288" s="183">
        <v>675</v>
      </c>
      <c r="G288" s="393">
        <f t="shared" si="23"/>
        <v>14175</v>
      </c>
      <c r="H288" s="350">
        <v>7</v>
      </c>
      <c r="I288" s="397" t="s">
        <v>3108</v>
      </c>
      <c r="L288" s="350">
        <v>14145</v>
      </c>
      <c r="M288" s="350">
        <f t="shared" si="20"/>
        <v>14145</v>
      </c>
      <c r="N288" s="351">
        <v>30</v>
      </c>
      <c r="O288" s="351">
        <f t="shared" si="21"/>
        <v>0</v>
      </c>
      <c r="P288" s="394" t="s">
        <v>1072</v>
      </c>
    </row>
    <row r="289" spans="1:16">
      <c r="A289" s="183">
        <v>20140811</v>
      </c>
      <c r="B289" s="183" t="s">
        <v>3109</v>
      </c>
      <c r="C289" s="199" t="s">
        <v>2421</v>
      </c>
      <c r="E289" s="199">
        <v>12600</v>
      </c>
      <c r="F289" s="183">
        <v>630</v>
      </c>
      <c r="G289" s="393">
        <f t="shared" si="23"/>
        <v>13230</v>
      </c>
      <c r="H289" s="350">
        <v>5</v>
      </c>
      <c r="I289" s="343" t="s">
        <v>3110</v>
      </c>
      <c r="L289" s="350">
        <v>13220</v>
      </c>
      <c r="M289" s="350">
        <f t="shared" si="20"/>
        <v>13220</v>
      </c>
      <c r="N289" s="351">
        <v>10</v>
      </c>
      <c r="O289" s="351">
        <f t="shared" si="21"/>
        <v>0</v>
      </c>
      <c r="P289" s="394" t="s">
        <v>1084</v>
      </c>
    </row>
    <row r="290" spans="1:16">
      <c r="A290" s="183">
        <v>20140811</v>
      </c>
      <c r="B290" s="183" t="s">
        <v>3111</v>
      </c>
      <c r="C290" s="199" t="s">
        <v>2060</v>
      </c>
      <c r="E290" s="199">
        <v>13500</v>
      </c>
      <c r="F290" s="183">
        <v>675</v>
      </c>
      <c r="G290" s="393">
        <f t="shared" si="23"/>
        <v>14175</v>
      </c>
      <c r="H290" s="350">
        <v>5</v>
      </c>
      <c r="I290" s="343" t="s">
        <v>3112</v>
      </c>
      <c r="L290" s="350">
        <v>14165</v>
      </c>
      <c r="M290" s="350">
        <f t="shared" si="20"/>
        <v>14165</v>
      </c>
      <c r="N290" s="351">
        <v>10</v>
      </c>
      <c r="O290" s="351">
        <f t="shared" si="21"/>
        <v>0</v>
      </c>
      <c r="P290" s="394" t="s">
        <v>1099</v>
      </c>
    </row>
    <row r="291" spans="1:16">
      <c r="A291" s="183">
        <v>20140828</v>
      </c>
      <c r="B291" s="183" t="s">
        <v>3113</v>
      </c>
      <c r="C291" s="199" t="s">
        <v>1304</v>
      </c>
      <c r="E291" s="393">
        <v>72000</v>
      </c>
      <c r="F291" s="393">
        <v>3600</v>
      </c>
      <c r="G291" s="393">
        <f t="shared" si="23"/>
        <v>75600</v>
      </c>
      <c r="H291" s="377" t="s">
        <v>1276</v>
      </c>
      <c r="I291" s="343" t="s">
        <v>3114</v>
      </c>
      <c r="J291" s="350">
        <v>75600</v>
      </c>
      <c r="M291" s="350">
        <f t="shared" si="20"/>
        <v>75600</v>
      </c>
      <c r="O291" s="351">
        <f t="shared" si="21"/>
        <v>0</v>
      </c>
      <c r="P291" s="394" t="s">
        <v>3115</v>
      </c>
    </row>
    <row r="292" spans="1:16">
      <c r="A292" s="183">
        <v>20140925</v>
      </c>
      <c r="B292" s="183" t="s">
        <v>3116</v>
      </c>
      <c r="C292" s="183" t="s">
        <v>1301</v>
      </c>
      <c r="E292" s="183">
        <v>108000</v>
      </c>
      <c r="F292" s="183">
        <v>5400</v>
      </c>
      <c r="G292" s="393">
        <f t="shared" si="23"/>
        <v>113400</v>
      </c>
      <c r="H292" s="377" t="s">
        <v>1276</v>
      </c>
      <c r="I292" s="343" t="s">
        <v>3117</v>
      </c>
      <c r="J292" s="350">
        <v>113400</v>
      </c>
      <c r="M292" s="350">
        <f t="shared" si="20"/>
        <v>113400</v>
      </c>
      <c r="O292" s="351">
        <f t="shared" si="21"/>
        <v>0</v>
      </c>
      <c r="P292" s="394" t="s">
        <v>1178</v>
      </c>
    </row>
    <row r="293" spans="1:16">
      <c r="A293" s="183">
        <v>20140930</v>
      </c>
      <c r="B293" s="183" t="s">
        <v>3118</v>
      </c>
      <c r="C293" s="183" t="s">
        <v>264</v>
      </c>
      <c r="E293" s="183">
        <v>86400</v>
      </c>
      <c r="F293" s="183">
        <v>4320</v>
      </c>
      <c r="G293" s="393">
        <f t="shared" si="23"/>
        <v>90720</v>
      </c>
      <c r="H293" s="377" t="s">
        <v>1276</v>
      </c>
      <c r="I293" s="343" t="s">
        <v>3119</v>
      </c>
      <c r="J293" s="350">
        <v>90720</v>
      </c>
      <c r="M293" s="350">
        <f t="shared" si="20"/>
        <v>90720</v>
      </c>
      <c r="O293" s="351">
        <f t="shared" si="21"/>
        <v>0</v>
      </c>
      <c r="P293" s="394" t="s">
        <v>1151</v>
      </c>
    </row>
    <row r="294" spans="1:16">
      <c r="A294" s="183"/>
      <c r="B294" s="183" t="s">
        <v>3120</v>
      </c>
      <c r="C294" s="183"/>
      <c r="D294" s="254" t="s">
        <v>1235</v>
      </c>
      <c r="E294" s="199"/>
      <c r="F294" s="183"/>
      <c r="G294" s="393">
        <f t="shared" si="23"/>
        <v>0</v>
      </c>
      <c r="M294" s="350">
        <f t="shared" si="20"/>
        <v>0</v>
      </c>
      <c r="O294" s="351">
        <f t="shared" si="21"/>
        <v>0</v>
      </c>
      <c r="P294" s="394"/>
    </row>
    <row r="295" spans="1:16">
      <c r="A295" s="183">
        <v>20141028</v>
      </c>
      <c r="B295" s="183" t="s">
        <v>3121</v>
      </c>
      <c r="C295" s="199" t="s">
        <v>4418</v>
      </c>
      <c r="E295" s="199">
        <v>86400</v>
      </c>
      <c r="F295" s="183">
        <v>4320</v>
      </c>
      <c r="G295" s="393">
        <f t="shared" si="23"/>
        <v>90720</v>
      </c>
      <c r="H295" s="399" t="s">
        <v>4302</v>
      </c>
      <c r="I295" s="399" t="s">
        <v>4820</v>
      </c>
      <c r="J295" s="350">
        <v>90720</v>
      </c>
      <c r="M295" s="350">
        <f t="shared" si="20"/>
        <v>90720</v>
      </c>
      <c r="O295" s="351">
        <f t="shared" si="21"/>
        <v>0</v>
      </c>
      <c r="P295" s="394" t="s">
        <v>3122</v>
      </c>
    </row>
    <row r="296" spans="1:16">
      <c r="A296" s="183">
        <v>20141103</v>
      </c>
      <c r="B296" s="183" t="s">
        <v>3123</v>
      </c>
      <c r="C296" s="183" t="s">
        <v>2691</v>
      </c>
      <c r="E296" s="183">
        <v>108000</v>
      </c>
      <c r="F296" s="183">
        <v>5400</v>
      </c>
      <c r="G296" s="393">
        <f t="shared" si="23"/>
        <v>113400</v>
      </c>
      <c r="H296" s="377" t="s">
        <v>1276</v>
      </c>
      <c r="I296" s="343" t="s">
        <v>3124</v>
      </c>
      <c r="J296" s="350">
        <v>113400</v>
      </c>
      <c r="M296" s="350">
        <f t="shared" si="20"/>
        <v>113400</v>
      </c>
      <c r="O296" s="351">
        <f t="shared" si="21"/>
        <v>0</v>
      </c>
      <c r="P296" s="394" t="s">
        <v>1848</v>
      </c>
    </row>
    <row r="297" spans="1:16">
      <c r="A297" s="183">
        <v>20141103</v>
      </c>
      <c r="B297" s="183" t="s">
        <v>3125</v>
      </c>
      <c r="C297" s="183" t="s">
        <v>701</v>
      </c>
      <c r="E297" s="183">
        <v>19500</v>
      </c>
      <c r="F297" s="183">
        <v>975</v>
      </c>
      <c r="G297" s="393">
        <f t="shared" si="23"/>
        <v>20475</v>
      </c>
      <c r="H297" s="350">
        <v>6</v>
      </c>
      <c r="I297" s="350">
        <v>738</v>
      </c>
      <c r="K297" s="350">
        <v>20475</v>
      </c>
      <c r="M297" s="350">
        <f t="shared" si="20"/>
        <v>20475</v>
      </c>
      <c r="O297" s="351">
        <f t="shared" si="21"/>
        <v>0</v>
      </c>
      <c r="P297" s="394" t="s">
        <v>3695</v>
      </c>
    </row>
    <row r="298" spans="1:16">
      <c r="A298" s="183"/>
      <c r="B298" s="183" t="s">
        <v>3126</v>
      </c>
      <c r="C298" s="183"/>
      <c r="D298" s="254" t="s">
        <v>1235</v>
      </c>
      <c r="E298" s="199"/>
      <c r="F298" s="183"/>
      <c r="G298" s="393">
        <f t="shared" si="23"/>
        <v>0</v>
      </c>
      <c r="M298" s="350">
        <f t="shared" si="20"/>
        <v>0</v>
      </c>
      <c r="O298" s="351">
        <f t="shared" si="21"/>
        <v>0</v>
      </c>
      <c r="P298" s="394"/>
    </row>
    <row r="299" spans="1:16">
      <c r="A299" s="183">
        <v>20141103</v>
      </c>
      <c r="B299" s="183" t="s">
        <v>3127</v>
      </c>
      <c r="C299" s="199" t="s">
        <v>1232</v>
      </c>
      <c r="E299" s="199">
        <v>15600</v>
      </c>
      <c r="F299" s="183">
        <v>780</v>
      </c>
      <c r="G299" s="393">
        <f t="shared" si="23"/>
        <v>16380</v>
      </c>
      <c r="H299" s="350">
        <v>3</v>
      </c>
      <c r="I299" s="350">
        <v>924</v>
      </c>
      <c r="J299" s="350">
        <v>16380</v>
      </c>
      <c r="M299" s="350">
        <f t="shared" si="20"/>
        <v>16380</v>
      </c>
      <c r="O299" s="351">
        <f t="shared" si="21"/>
        <v>0</v>
      </c>
      <c r="P299" s="394" t="s">
        <v>1080</v>
      </c>
    </row>
    <row r="300" spans="1:16">
      <c r="A300" s="183">
        <v>20141103</v>
      </c>
      <c r="B300" s="183" t="s">
        <v>3128</v>
      </c>
      <c r="C300" s="199" t="s">
        <v>1532</v>
      </c>
      <c r="E300" s="199">
        <v>12857</v>
      </c>
      <c r="F300" s="183">
        <v>643</v>
      </c>
      <c r="G300" s="393">
        <f t="shared" si="23"/>
        <v>13500</v>
      </c>
      <c r="H300" s="350">
        <v>7</v>
      </c>
      <c r="I300" s="343" t="s">
        <v>3129</v>
      </c>
      <c r="L300" s="350">
        <v>13485</v>
      </c>
      <c r="M300" s="350">
        <f t="shared" si="20"/>
        <v>13485</v>
      </c>
      <c r="N300" s="351">
        <v>15</v>
      </c>
      <c r="O300" s="351">
        <f t="shared" si="21"/>
        <v>0</v>
      </c>
      <c r="P300" s="394" t="s">
        <v>1097</v>
      </c>
    </row>
    <row r="301" spans="1:16">
      <c r="A301" s="183">
        <v>20141103</v>
      </c>
      <c r="B301" s="183" t="s">
        <v>3130</v>
      </c>
      <c r="C301" s="199" t="s">
        <v>3825</v>
      </c>
      <c r="E301" s="199">
        <v>13500</v>
      </c>
      <c r="F301" s="183">
        <v>675</v>
      </c>
      <c r="G301" s="393">
        <f t="shared" si="23"/>
        <v>14175</v>
      </c>
      <c r="H301" s="350">
        <v>8</v>
      </c>
      <c r="I301" s="398" t="s">
        <v>3998</v>
      </c>
      <c r="L301" s="350">
        <v>14145</v>
      </c>
      <c r="M301" s="350">
        <f t="shared" si="20"/>
        <v>14145</v>
      </c>
      <c r="N301" s="351">
        <v>30</v>
      </c>
      <c r="O301" s="351">
        <f t="shared" si="21"/>
        <v>0</v>
      </c>
      <c r="P301" s="394" t="s">
        <v>1072</v>
      </c>
    </row>
    <row r="302" spans="1:16">
      <c r="A302" s="183">
        <v>20141103</v>
      </c>
      <c r="B302" s="183" t="s">
        <v>3131</v>
      </c>
      <c r="C302" s="199" t="s">
        <v>2421</v>
      </c>
      <c r="E302" s="199">
        <v>12600</v>
      </c>
      <c r="F302" s="183">
        <v>630</v>
      </c>
      <c r="G302" s="393">
        <f t="shared" si="23"/>
        <v>13230</v>
      </c>
      <c r="H302" s="350">
        <v>6</v>
      </c>
      <c r="I302" s="343" t="s">
        <v>1056</v>
      </c>
      <c r="L302" s="350">
        <v>13220</v>
      </c>
      <c r="M302" s="350">
        <f t="shared" si="20"/>
        <v>13220</v>
      </c>
      <c r="N302" s="351">
        <v>10</v>
      </c>
      <c r="O302" s="351">
        <f t="shared" si="21"/>
        <v>0</v>
      </c>
      <c r="P302" s="394" t="s">
        <v>1084</v>
      </c>
    </row>
    <row r="303" spans="1:16">
      <c r="A303" s="183">
        <v>20141103</v>
      </c>
      <c r="B303" s="183" t="s">
        <v>3132</v>
      </c>
      <c r="C303" s="199" t="s">
        <v>2060</v>
      </c>
      <c r="E303" s="199">
        <v>13500</v>
      </c>
      <c r="F303" s="183">
        <v>675</v>
      </c>
      <c r="G303" s="393">
        <f t="shared" si="23"/>
        <v>14175</v>
      </c>
      <c r="H303" s="350">
        <v>6</v>
      </c>
      <c r="I303" s="398" t="s">
        <v>3995</v>
      </c>
      <c r="L303" s="350">
        <v>14175</v>
      </c>
      <c r="M303" s="350">
        <f t="shared" si="20"/>
        <v>14175</v>
      </c>
      <c r="O303" s="351">
        <f t="shared" si="21"/>
        <v>0</v>
      </c>
      <c r="P303" s="394" t="s">
        <v>1099</v>
      </c>
    </row>
    <row r="304" spans="1:16">
      <c r="A304" s="183">
        <v>20141105</v>
      </c>
      <c r="B304" s="183" t="s">
        <v>3133</v>
      </c>
      <c r="C304" s="199" t="s">
        <v>1249</v>
      </c>
      <c r="E304" s="393">
        <v>43200</v>
      </c>
      <c r="F304" s="393">
        <v>2160</v>
      </c>
      <c r="G304" s="393">
        <f t="shared" si="23"/>
        <v>45360</v>
      </c>
      <c r="H304" s="377" t="s">
        <v>3134</v>
      </c>
      <c r="I304" s="343" t="s">
        <v>3135</v>
      </c>
      <c r="J304" s="350">
        <v>45360</v>
      </c>
      <c r="M304" s="350">
        <f t="shared" si="20"/>
        <v>45360</v>
      </c>
      <c r="O304" s="351">
        <f t="shared" si="21"/>
        <v>0</v>
      </c>
      <c r="P304" s="394" t="s">
        <v>1145</v>
      </c>
    </row>
    <row r="305" spans="1:18">
      <c r="A305" s="183">
        <v>20141105</v>
      </c>
      <c r="B305" s="183" t="s">
        <v>3136</v>
      </c>
      <c r="C305" s="199" t="s">
        <v>701</v>
      </c>
      <c r="E305" s="393">
        <v>80000</v>
      </c>
      <c r="F305" s="393">
        <v>4000</v>
      </c>
      <c r="G305" s="393">
        <f t="shared" si="23"/>
        <v>84000</v>
      </c>
      <c r="I305" s="343" t="s">
        <v>3137</v>
      </c>
      <c r="L305" s="350">
        <v>84000</v>
      </c>
      <c r="M305" s="350">
        <f t="shared" si="20"/>
        <v>84000</v>
      </c>
      <c r="O305" s="351">
        <f t="shared" si="21"/>
        <v>0</v>
      </c>
      <c r="P305" s="394" t="s">
        <v>3695</v>
      </c>
    </row>
    <row r="306" spans="1:18">
      <c r="A306" s="183">
        <v>20141105</v>
      </c>
      <c r="B306" s="183" t="s">
        <v>3138</v>
      </c>
      <c r="C306" s="199" t="s">
        <v>1013</v>
      </c>
      <c r="E306" s="393">
        <v>60000</v>
      </c>
      <c r="F306" s="393">
        <v>3000</v>
      </c>
      <c r="G306" s="393">
        <f t="shared" si="23"/>
        <v>63000</v>
      </c>
      <c r="I306" s="343" t="s">
        <v>3139</v>
      </c>
      <c r="L306" s="350">
        <v>63000</v>
      </c>
      <c r="M306" s="350">
        <f t="shared" si="20"/>
        <v>63000</v>
      </c>
      <c r="O306" s="351">
        <f t="shared" si="21"/>
        <v>0</v>
      </c>
      <c r="P306" s="394" t="s">
        <v>1853</v>
      </c>
    </row>
    <row r="307" spans="1:18">
      <c r="A307" s="183">
        <v>20141105</v>
      </c>
      <c r="B307" s="183" t="s">
        <v>3140</v>
      </c>
      <c r="C307" s="199" t="s">
        <v>1016</v>
      </c>
      <c r="E307" s="393">
        <v>60000</v>
      </c>
      <c r="F307" s="393">
        <v>3000</v>
      </c>
      <c r="G307" s="393">
        <f t="shared" si="23"/>
        <v>63000</v>
      </c>
      <c r="I307" s="343" t="s">
        <v>756</v>
      </c>
      <c r="L307" s="350">
        <v>63000</v>
      </c>
      <c r="M307" s="350">
        <f t="shared" si="20"/>
        <v>63000</v>
      </c>
      <c r="O307" s="351">
        <f t="shared" si="21"/>
        <v>0</v>
      </c>
      <c r="P307" s="394" t="s">
        <v>1854</v>
      </c>
    </row>
    <row r="308" spans="1:18">
      <c r="A308" s="183">
        <v>20141105</v>
      </c>
      <c r="B308" s="183" t="s">
        <v>3141</v>
      </c>
      <c r="C308" s="199" t="s">
        <v>1013</v>
      </c>
      <c r="E308" s="393">
        <v>40000</v>
      </c>
      <c r="F308" s="393">
        <v>2000</v>
      </c>
      <c r="G308" s="393">
        <f t="shared" si="23"/>
        <v>42000</v>
      </c>
      <c r="I308" s="343" t="s">
        <v>3139</v>
      </c>
      <c r="L308" s="350">
        <v>42000</v>
      </c>
      <c r="M308" s="350">
        <f t="shared" si="20"/>
        <v>42000</v>
      </c>
      <c r="O308" s="351">
        <f t="shared" si="21"/>
        <v>0</v>
      </c>
      <c r="P308" s="394" t="s">
        <v>1853</v>
      </c>
    </row>
    <row r="309" spans="1:18">
      <c r="A309" s="393">
        <v>20141105</v>
      </c>
      <c r="B309" s="183" t="s">
        <v>3142</v>
      </c>
      <c r="C309" s="395" t="s">
        <v>1016</v>
      </c>
      <c r="E309" s="393">
        <v>40000</v>
      </c>
      <c r="F309" s="393">
        <v>2000</v>
      </c>
      <c r="G309" s="393">
        <f t="shared" si="23"/>
        <v>42000</v>
      </c>
      <c r="I309" s="343" t="s">
        <v>756</v>
      </c>
      <c r="L309" s="350">
        <v>42000</v>
      </c>
      <c r="M309" s="350">
        <f t="shared" si="20"/>
        <v>42000</v>
      </c>
      <c r="O309" s="351">
        <f t="shared" si="21"/>
        <v>0</v>
      </c>
      <c r="P309" s="394" t="s">
        <v>1854</v>
      </c>
    </row>
    <row r="310" spans="1:18">
      <c r="A310" s="393">
        <v>20141120</v>
      </c>
      <c r="B310" s="183" t="s">
        <v>3143</v>
      </c>
      <c r="C310" s="395" t="s">
        <v>1775</v>
      </c>
      <c r="E310" s="393">
        <v>82286</v>
      </c>
      <c r="F310" s="393">
        <v>4114</v>
      </c>
      <c r="G310" s="393">
        <f t="shared" si="23"/>
        <v>86400</v>
      </c>
      <c r="H310" s="399" t="s">
        <v>4302</v>
      </c>
      <c r="I310" s="398" t="s">
        <v>4303</v>
      </c>
      <c r="J310" s="350">
        <v>86400</v>
      </c>
      <c r="M310" s="350">
        <f t="shared" si="20"/>
        <v>86400</v>
      </c>
      <c r="O310" s="351">
        <f t="shared" si="21"/>
        <v>0</v>
      </c>
      <c r="P310" s="394" t="s">
        <v>1833</v>
      </c>
      <c r="R310" s="400" t="s">
        <v>4304</v>
      </c>
    </row>
    <row r="311" spans="1:18">
      <c r="A311" s="393"/>
      <c r="B311" s="183" t="s">
        <v>3144</v>
      </c>
      <c r="C311" s="183"/>
      <c r="D311" s="254" t="s">
        <v>1235</v>
      </c>
      <c r="E311" s="393"/>
      <c r="F311" s="393"/>
      <c r="G311" s="393"/>
      <c r="M311" s="350">
        <f t="shared" si="20"/>
        <v>0</v>
      </c>
      <c r="O311" s="351">
        <f t="shared" si="21"/>
        <v>0</v>
      </c>
      <c r="P311" s="396"/>
    </row>
    <row r="312" spans="1:18">
      <c r="A312" s="393">
        <v>20141201</v>
      </c>
      <c r="B312" s="183" t="s">
        <v>3145</v>
      </c>
      <c r="C312" s="199" t="s">
        <v>1775</v>
      </c>
      <c r="E312" s="393">
        <v>20571</v>
      </c>
      <c r="F312" s="393">
        <v>1029</v>
      </c>
      <c r="G312" s="393">
        <f t="shared" ref="G312:G324" si="24">E312+F312</f>
        <v>21600</v>
      </c>
      <c r="H312" s="399" t="s">
        <v>4302</v>
      </c>
      <c r="I312" s="398" t="s">
        <v>4303</v>
      </c>
      <c r="J312" s="350">
        <v>21600</v>
      </c>
      <c r="M312" s="350">
        <f t="shared" ref="M312:M324" si="25">J312+K312+L312</f>
        <v>21600</v>
      </c>
      <c r="O312" s="351">
        <f t="shared" ref="O312:O324" si="26">G312-M312-N312</f>
        <v>0</v>
      </c>
      <c r="P312" s="394" t="s">
        <v>1833</v>
      </c>
      <c r="R312" s="400" t="s">
        <v>4305</v>
      </c>
    </row>
    <row r="313" spans="1:18">
      <c r="A313" s="393">
        <v>20141201</v>
      </c>
      <c r="B313" s="183" t="s">
        <v>3146</v>
      </c>
      <c r="C313" s="395" t="s">
        <v>1270</v>
      </c>
      <c r="E313" s="393">
        <v>19500</v>
      </c>
      <c r="F313" s="393">
        <v>975</v>
      </c>
      <c r="G313" s="393">
        <f t="shared" si="24"/>
        <v>20475</v>
      </c>
      <c r="H313" s="350">
        <v>1</v>
      </c>
      <c r="I313" s="350">
        <v>886</v>
      </c>
      <c r="J313" s="350">
        <v>20475</v>
      </c>
      <c r="M313" s="350">
        <f t="shared" si="25"/>
        <v>20475</v>
      </c>
      <c r="O313" s="351">
        <f t="shared" si="26"/>
        <v>0</v>
      </c>
      <c r="P313" s="394" t="s">
        <v>1130</v>
      </c>
    </row>
    <row r="314" spans="1:18">
      <c r="A314" s="393">
        <v>20141201</v>
      </c>
      <c r="B314" s="183" t="s">
        <v>3147</v>
      </c>
      <c r="C314" s="395" t="s">
        <v>1270</v>
      </c>
      <c r="E314" s="393">
        <v>19500</v>
      </c>
      <c r="F314" s="393">
        <v>975</v>
      </c>
      <c r="G314" s="393">
        <f t="shared" si="24"/>
        <v>20475</v>
      </c>
      <c r="H314" s="350">
        <v>2</v>
      </c>
      <c r="I314" s="350">
        <v>887</v>
      </c>
      <c r="J314" s="350">
        <v>20475</v>
      </c>
      <c r="M314" s="350">
        <f t="shared" si="25"/>
        <v>20475</v>
      </c>
      <c r="O314" s="351">
        <f t="shared" si="26"/>
        <v>0</v>
      </c>
      <c r="P314" s="394" t="s">
        <v>1130</v>
      </c>
    </row>
    <row r="315" spans="1:18">
      <c r="A315" s="393">
        <v>20141201</v>
      </c>
      <c r="B315" s="183" t="s">
        <v>3148</v>
      </c>
      <c r="C315" s="395" t="s">
        <v>1270</v>
      </c>
      <c r="E315" s="393">
        <v>19500</v>
      </c>
      <c r="F315" s="393">
        <v>975</v>
      </c>
      <c r="G315" s="393">
        <f t="shared" si="24"/>
        <v>20475</v>
      </c>
      <c r="H315" s="350">
        <v>3</v>
      </c>
      <c r="I315" s="350">
        <v>888</v>
      </c>
      <c r="J315" s="350">
        <v>20475</v>
      </c>
      <c r="M315" s="350">
        <f t="shared" si="25"/>
        <v>20475</v>
      </c>
      <c r="O315" s="351">
        <f t="shared" si="26"/>
        <v>0</v>
      </c>
      <c r="P315" s="394" t="s">
        <v>1130</v>
      </c>
    </row>
    <row r="316" spans="1:18">
      <c r="A316" s="393">
        <v>20141201</v>
      </c>
      <c r="B316" s="183" t="s">
        <v>3149</v>
      </c>
      <c r="C316" s="395" t="s">
        <v>1270</v>
      </c>
      <c r="E316" s="393">
        <v>19500</v>
      </c>
      <c r="F316" s="393">
        <v>975</v>
      </c>
      <c r="G316" s="393">
        <f t="shared" si="24"/>
        <v>20475</v>
      </c>
      <c r="H316" s="350">
        <v>4</v>
      </c>
      <c r="I316" s="350">
        <v>889</v>
      </c>
      <c r="J316" s="350">
        <v>20475</v>
      </c>
      <c r="M316" s="350">
        <f t="shared" si="25"/>
        <v>20475</v>
      </c>
      <c r="O316" s="351">
        <f t="shared" si="26"/>
        <v>0</v>
      </c>
      <c r="P316" s="394" t="s">
        <v>1130</v>
      </c>
    </row>
    <row r="317" spans="1:18">
      <c r="A317" s="393">
        <v>20141208</v>
      </c>
      <c r="B317" s="183" t="s">
        <v>3150</v>
      </c>
      <c r="C317" s="395" t="s">
        <v>1013</v>
      </c>
      <c r="E317" s="393">
        <v>19500</v>
      </c>
      <c r="F317" s="393">
        <v>975</v>
      </c>
      <c r="G317" s="393">
        <f t="shared" si="24"/>
        <v>20475</v>
      </c>
      <c r="H317" s="350">
        <v>1</v>
      </c>
      <c r="I317" s="350">
        <v>908</v>
      </c>
      <c r="K317" s="350">
        <v>20475</v>
      </c>
      <c r="M317" s="350">
        <f t="shared" si="25"/>
        <v>20475</v>
      </c>
      <c r="O317" s="351">
        <f t="shared" si="26"/>
        <v>0</v>
      </c>
      <c r="P317" s="394" t="s">
        <v>1853</v>
      </c>
    </row>
    <row r="318" spans="1:18">
      <c r="A318" s="393">
        <v>20141208</v>
      </c>
      <c r="B318" s="183" t="s">
        <v>3151</v>
      </c>
      <c r="C318" s="395" t="s">
        <v>1016</v>
      </c>
      <c r="E318" s="393">
        <v>19500</v>
      </c>
      <c r="F318" s="393">
        <v>975</v>
      </c>
      <c r="G318" s="393">
        <f t="shared" si="24"/>
        <v>20475</v>
      </c>
      <c r="H318" s="350">
        <v>1</v>
      </c>
      <c r="I318" s="350">
        <v>900</v>
      </c>
      <c r="K318" s="350">
        <v>20475</v>
      </c>
      <c r="M318" s="350">
        <f t="shared" si="25"/>
        <v>20475</v>
      </c>
      <c r="O318" s="351">
        <f t="shared" si="26"/>
        <v>0</v>
      </c>
      <c r="P318" s="394" t="s">
        <v>1854</v>
      </c>
    </row>
    <row r="319" spans="1:18">
      <c r="A319" s="393">
        <v>20141208</v>
      </c>
      <c r="B319" s="183" t="s">
        <v>3152</v>
      </c>
      <c r="C319" s="395" t="s">
        <v>1016</v>
      </c>
      <c r="E319" s="393">
        <v>15600</v>
      </c>
      <c r="F319" s="393">
        <v>780</v>
      </c>
      <c r="G319" s="393">
        <f t="shared" si="24"/>
        <v>16380</v>
      </c>
      <c r="H319" s="350">
        <v>1</v>
      </c>
      <c r="I319" s="350">
        <v>916</v>
      </c>
      <c r="J319" s="350">
        <v>16380</v>
      </c>
      <c r="M319" s="350">
        <f t="shared" si="25"/>
        <v>16380</v>
      </c>
      <c r="O319" s="351">
        <f t="shared" si="26"/>
        <v>0</v>
      </c>
      <c r="P319" s="394" t="s">
        <v>1854</v>
      </c>
    </row>
    <row r="320" spans="1:18">
      <c r="A320" s="393">
        <v>20141211</v>
      </c>
      <c r="B320" s="183" t="s">
        <v>3153</v>
      </c>
      <c r="C320" s="395" t="s">
        <v>2688</v>
      </c>
      <c r="E320" s="393">
        <v>86400</v>
      </c>
      <c r="F320" s="393">
        <v>4320</v>
      </c>
      <c r="G320" s="393">
        <f t="shared" si="24"/>
        <v>90720</v>
      </c>
      <c r="H320" s="377" t="s">
        <v>1276</v>
      </c>
      <c r="I320" s="343" t="s">
        <v>3154</v>
      </c>
      <c r="J320" s="350">
        <v>90720</v>
      </c>
      <c r="M320" s="350">
        <f t="shared" si="25"/>
        <v>90720</v>
      </c>
      <c r="O320" s="351">
        <f t="shared" si="26"/>
        <v>0</v>
      </c>
      <c r="P320" s="394" t="s">
        <v>1856</v>
      </c>
    </row>
    <row r="321" spans="1:16">
      <c r="A321" s="393">
        <v>20141216</v>
      </c>
      <c r="B321" s="183" t="s">
        <v>3155</v>
      </c>
      <c r="C321" s="395" t="s">
        <v>1013</v>
      </c>
      <c r="E321" s="393">
        <v>108000</v>
      </c>
      <c r="F321" s="393">
        <v>5400</v>
      </c>
      <c r="G321" s="393">
        <f t="shared" si="24"/>
        <v>113400</v>
      </c>
      <c r="I321" s="350">
        <v>899</v>
      </c>
      <c r="J321" s="350">
        <v>113400</v>
      </c>
      <c r="M321" s="350">
        <f t="shared" si="25"/>
        <v>113400</v>
      </c>
      <c r="O321" s="351">
        <f t="shared" si="26"/>
        <v>0</v>
      </c>
      <c r="P321" s="394" t="s">
        <v>1853</v>
      </c>
    </row>
    <row r="322" spans="1:16">
      <c r="A322" s="393">
        <v>20141216</v>
      </c>
      <c r="B322" s="183" t="s">
        <v>3156</v>
      </c>
      <c r="C322" s="395" t="s">
        <v>1016</v>
      </c>
      <c r="E322" s="393">
        <v>108000</v>
      </c>
      <c r="F322" s="393">
        <v>5400</v>
      </c>
      <c r="G322" s="393">
        <f t="shared" si="24"/>
        <v>113400</v>
      </c>
      <c r="I322" s="350">
        <v>898</v>
      </c>
      <c r="J322" s="350">
        <v>113400</v>
      </c>
      <c r="M322" s="350">
        <f t="shared" si="25"/>
        <v>113400</v>
      </c>
      <c r="O322" s="351">
        <f t="shared" si="26"/>
        <v>0</v>
      </c>
      <c r="P322" s="394" t="s">
        <v>1854</v>
      </c>
    </row>
    <row r="323" spans="1:16">
      <c r="A323" s="393">
        <v>20141226</v>
      </c>
      <c r="B323" s="183" t="s">
        <v>3157</v>
      </c>
      <c r="C323" s="395" t="s">
        <v>1013</v>
      </c>
      <c r="E323" s="393">
        <v>25000</v>
      </c>
      <c r="F323" s="393">
        <v>1250</v>
      </c>
      <c r="G323" s="393">
        <f t="shared" si="24"/>
        <v>26250</v>
      </c>
      <c r="I323" s="350">
        <v>925</v>
      </c>
      <c r="J323" s="350">
        <v>26250</v>
      </c>
      <c r="M323" s="350">
        <f t="shared" si="25"/>
        <v>26250</v>
      </c>
      <c r="O323" s="351">
        <f t="shared" si="26"/>
        <v>0</v>
      </c>
      <c r="P323" s="394" t="s">
        <v>1853</v>
      </c>
    </row>
    <row r="324" spans="1:16">
      <c r="A324" s="393">
        <v>20141226</v>
      </c>
      <c r="B324" s="183" t="s">
        <v>3158</v>
      </c>
      <c r="C324" s="395" t="s">
        <v>1016</v>
      </c>
      <c r="E324" s="393">
        <v>25000</v>
      </c>
      <c r="F324" s="393">
        <v>1250</v>
      </c>
      <c r="G324" s="393">
        <f t="shared" si="24"/>
        <v>26250</v>
      </c>
      <c r="I324" s="350">
        <v>926</v>
      </c>
      <c r="J324" s="350">
        <v>26250</v>
      </c>
      <c r="M324" s="350">
        <f t="shared" si="25"/>
        <v>26250</v>
      </c>
      <c r="O324" s="351">
        <f t="shared" si="26"/>
        <v>0</v>
      </c>
      <c r="P324" s="394" t="s">
        <v>1854</v>
      </c>
    </row>
    <row r="328" spans="1:16" s="347" customFormat="1">
      <c r="A328" s="401" t="s">
        <v>4306</v>
      </c>
      <c r="D328" s="348" t="s">
        <v>2377</v>
      </c>
      <c r="E328" s="376">
        <f>SUM(E329:E408)</f>
        <v>4601170</v>
      </c>
      <c r="F328" s="376">
        <f>SUM(F329:F394)</f>
        <v>123265</v>
      </c>
      <c r="G328" s="376">
        <f>SUM(G329:G408)</f>
        <v>4831230</v>
      </c>
      <c r="H328" s="349"/>
      <c r="I328" s="383"/>
      <c r="J328" s="376">
        <f>SUM(J329:J394)</f>
        <v>1752510</v>
      </c>
      <c r="K328" s="376">
        <f>SUM(K329:K408)</f>
        <v>704340</v>
      </c>
      <c r="L328" s="376">
        <f>SUM(L329:L408)</f>
        <v>1155420</v>
      </c>
      <c r="M328" s="376">
        <f>SUM(M329:M408)</f>
        <v>4743120</v>
      </c>
      <c r="N328" s="376">
        <f>SUM(N329:N408)</f>
        <v>435</v>
      </c>
      <c r="O328" s="376">
        <f>SUM(O329:O394)</f>
        <v>0</v>
      </c>
      <c r="P328" s="391"/>
    </row>
    <row r="329" spans="1:16">
      <c r="A329" s="183">
        <v>20150210</v>
      </c>
      <c r="B329" s="183" t="s">
        <v>4307</v>
      </c>
      <c r="C329" s="183" t="s">
        <v>4201</v>
      </c>
      <c r="E329" s="183">
        <v>19500</v>
      </c>
      <c r="F329" s="183">
        <v>975</v>
      </c>
      <c r="G329" s="393">
        <f t="shared" ref="G329:G339" si="27">E329+F329</f>
        <v>20475</v>
      </c>
      <c r="H329" s="350">
        <v>2</v>
      </c>
      <c r="I329" s="343">
        <v>909</v>
      </c>
      <c r="K329" s="350">
        <v>20475</v>
      </c>
      <c r="M329" s="350">
        <f t="shared" ref="M329:M339" si="28">J329+K329+L329</f>
        <v>20475</v>
      </c>
      <c r="O329" s="351">
        <f t="shared" ref="O329:O339" si="29">G329-M329-N329</f>
        <v>0</v>
      </c>
      <c r="P329" s="402" t="s">
        <v>4308</v>
      </c>
    </row>
    <row r="330" spans="1:16">
      <c r="A330" s="345">
        <v>20150210</v>
      </c>
      <c r="B330" s="403" t="s">
        <v>4309</v>
      </c>
      <c r="C330" s="403" t="s">
        <v>4000</v>
      </c>
      <c r="E330" s="345">
        <v>19500</v>
      </c>
      <c r="F330" s="345">
        <v>975</v>
      </c>
      <c r="G330" s="393">
        <f t="shared" si="27"/>
        <v>20475</v>
      </c>
      <c r="H330" s="350">
        <v>2</v>
      </c>
      <c r="I330" s="350">
        <v>901</v>
      </c>
      <c r="K330" s="350">
        <v>20475</v>
      </c>
      <c r="M330" s="350">
        <f t="shared" si="28"/>
        <v>20475</v>
      </c>
      <c r="O330" s="351">
        <f t="shared" si="29"/>
        <v>0</v>
      </c>
      <c r="P330" s="402" t="s">
        <v>4310</v>
      </c>
    </row>
    <row r="331" spans="1:16">
      <c r="A331" s="345">
        <v>20150210</v>
      </c>
      <c r="B331" s="403" t="s">
        <v>4311</v>
      </c>
      <c r="C331" s="403" t="s">
        <v>4000</v>
      </c>
      <c r="E331" s="345">
        <v>15600</v>
      </c>
      <c r="F331" s="345">
        <v>780</v>
      </c>
      <c r="G331" s="393">
        <f t="shared" si="27"/>
        <v>16380</v>
      </c>
      <c r="H331" s="350">
        <v>2</v>
      </c>
      <c r="I331" s="350">
        <v>917</v>
      </c>
      <c r="K331" s="350">
        <v>16380</v>
      </c>
      <c r="M331" s="350">
        <f t="shared" si="28"/>
        <v>16380</v>
      </c>
      <c r="O331" s="351">
        <f t="shared" si="29"/>
        <v>0</v>
      </c>
      <c r="P331" s="402" t="s">
        <v>4310</v>
      </c>
    </row>
    <row r="332" spans="1:16">
      <c r="A332" s="345">
        <v>20150210</v>
      </c>
      <c r="B332" s="403" t="s">
        <v>4312</v>
      </c>
      <c r="C332" s="403" t="s">
        <v>4204</v>
      </c>
      <c r="E332" s="345">
        <v>19500</v>
      </c>
      <c r="F332" s="345">
        <v>975</v>
      </c>
      <c r="G332" s="393">
        <f t="shared" si="27"/>
        <v>20475</v>
      </c>
      <c r="H332" s="350">
        <v>7</v>
      </c>
      <c r="I332" s="350">
        <v>739</v>
      </c>
      <c r="K332" s="350">
        <v>20475</v>
      </c>
      <c r="M332" s="350">
        <f t="shared" si="28"/>
        <v>20475</v>
      </c>
      <c r="O332" s="351">
        <f t="shared" si="29"/>
        <v>0</v>
      </c>
      <c r="P332" s="402" t="s">
        <v>4313</v>
      </c>
    </row>
    <row r="333" spans="1:16">
      <c r="A333" s="345">
        <v>20150210</v>
      </c>
      <c r="B333" s="403" t="s">
        <v>4314</v>
      </c>
      <c r="C333" s="403" t="s">
        <v>4315</v>
      </c>
      <c r="E333" s="345">
        <v>15600</v>
      </c>
      <c r="F333" s="345">
        <v>780</v>
      </c>
      <c r="G333" s="393">
        <f t="shared" si="27"/>
        <v>16380</v>
      </c>
      <c r="H333" s="350">
        <v>4</v>
      </c>
      <c r="I333" s="350">
        <v>968</v>
      </c>
      <c r="J333" s="350">
        <v>16380</v>
      </c>
      <c r="M333" s="350">
        <f t="shared" si="28"/>
        <v>16380</v>
      </c>
      <c r="O333" s="351">
        <f t="shared" si="29"/>
        <v>0</v>
      </c>
      <c r="P333" s="402" t="s">
        <v>4316</v>
      </c>
    </row>
    <row r="334" spans="1:16">
      <c r="A334" s="345">
        <v>20150210</v>
      </c>
      <c r="B334" s="403" t="s">
        <v>4317</v>
      </c>
      <c r="C334" s="403" t="s">
        <v>4318</v>
      </c>
      <c r="E334" s="345">
        <v>12857</v>
      </c>
      <c r="F334" s="345">
        <v>643</v>
      </c>
      <c r="G334" s="393">
        <f t="shared" si="27"/>
        <v>13500</v>
      </c>
      <c r="H334" s="350">
        <v>8</v>
      </c>
      <c r="I334" s="398" t="s">
        <v>4040</v>
      </c>
      <c r="L334" s="350">
        <v>13485</v>
      </c>
      <c r="M334" s="350">
        <f t="shared" si="28"/>
        <v>13485</v>
      </c>
      <c r="N334" s="351">
        <v>15</v>
      </c>
      <c r="O334" s="351">
        <f t="shared" si="29"/>
        <v>0</v>
      </c>
      <c r="P334" s="402" t="s">
        <v>4319</v>
      </c>
    </row>
    <row r="335" spans="1:16">
      <c r="A335" s="345">
        <v>20150210</v>
      </c>
      <c r="B335" s="403" t="s">
        <v>4320</v>
      </c>
      <c r="C335" s="403" t="s">
        <v>447</v>
      </c>
      <c r="E335" s="345">
        <v>12600</v>
      </c>
      <c r="F335" s="345">
        <v>630</v>
      </c>
      <c r="G335" s="393">
        <f t="shared" si="27"/>
        <v>13230</v>
      </c>
      <c r="H335" s="350">
        <v>7</v>
      </c>
      <c r="I335" s="398" t="s">
        <v>4073</v>
      </c>
      <c r="L335" s="350">
        <v>13220</v>
      </c>
      <c r="M335" s="350">
        <f t="shared" si="28"/>
        <v>13220</v>
      </c>
      <c r="N335" s="351">
        <v>10</v>
      </c>
      <c r="O335" s="351">
        <f t="shared" si="29"/>
        <v>0</v>
      </c>
      <c r="P335" s="402" t="s">
        <v>4321</v>
      </c>
    </row>
    <row r="336" spans="1:16">
      <c r="A336" s="345">
        <v>20150210</v>
      </c>
      <c r="B336" s="403" t="s">
        <v>4322</v>
      </c>
      <c r="C336" s="403" t="s">
        <v>456</v>
      </c>
      <c r="E336" s="345">
        <v>13500</v>
      </c>
      <c r="F336" s="345">
        <v>675</v>
      </c>
      <c r="G336" s="393">
        <f t="shared" si="27"/>
        <v>14175</v>
      </c>
      <c r="H336" s="350">
        <v>7</v>
      </c>
      <c r="I336" s="398" t="s">
        <v>4034</v>
      </c>
      <c r="L336" s="350">
        <v>14175</v>
      </c>
      <c r="M336" s="350">
        <f t="shared" si="28"/>
        <v>14175</v>
      </c>
      <c r="O336" s="351">
        <f t="shared" si="29"/>
        <v>0</v>
      </c>
      <c r="P336" s="402" t="s">
        <v>4323</v>
      </c>
    </row>
    <row r="337" spans="1:16">
      <c r="B337" s="403" t="s">
        <v>4324</v>
      </c>
      <c r="D337" s="254" t="s">
        <v>1235</v>
      </c>
      <c r="G337" s="393">
        <f t="shared" si="27"/>
        <v>0</v>
      </c>
      <c r="M337" s="350">
        <f t="shared" si="28"/>
        <v>0</v>
      </c>
      <c r="O337" s="351">
        <f t="shared" si="29"/>
        <v>0</v>
      </c>
      <c r="P337" s="402"/>
    </row>
    <row r="338" spans="1:16">
      <c r="B338" s="403" t="s">
        <v>4325</v>
      </c>
      <c r="D338" s="254" t="s">
        <v>1235</v>
      </c>
      <c r="G338" s="393">
        <f t="shared" si="27"/>
        <v>0</v>
      </c>
      <c r="M338" s="350">
        <f t="shared" si="28"/>
        <v>0</v>
      </c>
      <c r="O338" s="351">
        <f t="shared" si="29"/>
        <v>0</v>
      </c>
      <c r="P338" s="402"/>
    </row>
    <row r="339" spans="1:16">
      <c r="A339" s="345">
        <v>20150212</v>
      </c>
      <c r="B339" s="403" t="s">
        <v>4326</v>
      </c>
      <c r="C339" s="403" t="s">
        <v>906</v>
      </c>
      <c r="E339" s="345">
        <v>108000</v>
      </c>
      <c r="F339" s="345">
        <v>5400</v>
      </c>
      <c r="G339" s="393">
        <f t="shared" si="27"/>
        <v>113400</v>
      </c>
      <c r="H339" s="377" t="s">
        <v>1276</v>
      </c>
      <c r="I339" s="398" t="s">
        <v>4327</v>
      </c>
      <c r="J339" s="350">
        <v>113400</v>
      </c>
      <c r="M339" s="350">
        <f t="shared" si="28"/>
        <v>113400</v>
      </c>
      <c r="O339" s="351">
        <f t="shared" si="29"/>
        <v>0</v>
      </c>
      <c r="P339" s="402" t="s">
        <v>4328</v>
      </c>
    </row>
    <row r="340" spans="1:16">
      <c r="A340" s="345">
        <v>20150309</v>
      </c>
      <c r="B340" s="403" t="s">
        <v>4329</v>
      </c>
      <c r="C340" s="403" t="s">
        <v>4056</v>
      </c>
      <c r="E340" s="345">
        <v>19500</v>
      </c>
      <c r="F340" s="345">
        <v>975</v>
      </c>
      <c r="G340" s="393">
        <f>E340+F340</f>
        <v>20475</v>
      </c>
      <c r="H340" s="399" t="s">
        <v>4330</v>
      </c>
      <c r="I340" s="350">
        <v>952</v>
      </c>
      <c r="J340" s="350">
        <v>20475</v>
      </c>
      <c r="M340" s="350">
        <f>J340+K340+L340</f>
        <v>20475</v>
      </c>
      <c r="O340" s="351">
        <f>G340-M340-N340</f>
        <v>0</v>
      </c>
      <c r="P340" s="402" t="s">
        <v>4331</v>
      </c>
    </row>
    <row r="341" spans="1:16">
      <c r="A341" s="345">
        <v>20150317</v>
      </c>
      <c r="B341" s="403" t="s">
        <v>4332</v>
      </c>
      <c r="C341" s="403" t="s">
        <v>4038</v>
      </c>
      <c r="E341" s="345">
        <v>108000</v>
      </c>
      <c r="F341" s="345">
        <v>5400</v>
      </c>
      <c r="G341" s="393">
        <f>E341+F341</f>
        <v>113400</v>
      </c>
      <c r="H341" s="377" t="s">
        <v>1276</v>
      </c>
      <c r="I341" s="398" t="s">
        <v>4333</v>
      </c>
      <c r="J341" s="350">
        <v>113400</v>
      </c>
      <c r="M341" s="350">
        <f>J341+K341+L341</f>
        <v>113400</v>
      </c>
      <c r="O341" s="351">
        <f>G341-M341-N341</f>
        <v>0</v>
      </c>
      <c r="P341" s="402" t="s">
        <v>4334</v>
      </c>
    </row>
    <row r="342" spans="1:16">
      <c r="A342" s="345">
        <v>20150326</v>
      </c>
      <c r="B342" s="403" t="s">
        <v>4335</v>
      </c>
      <c r="C342" s="403" t="s">
        <v>4075</v>
      </c>
      <c r="E342" s="345">
        <v>108000</v>
      </c>
      <c r="F342" s="345">
        <v>5400</v>
      </c>
      <c r="G342" s="393">
        <f>E342+F342</f>
        <v>113400</v>
      </c>
      <c r="H342" s="377" t="s">
        <v>1276</v>
      </c>
      <c r="I342" s="398" t="s">
        <v>4336</v>
      </c>
      <c r="J342" s="350">
        <v>113400</v>
      </c>
      <c r="M342" s="350">
        <f>J342+K342+L342</f>
        <v>113400</v>
      </c>
      <c r="O342" s="351">
        <f>G342-M342-N342</f>
        <v>0</v>
      </c>
      <c r="P342" s="402" t="s">
        <v>4337</v>
      </c>
    </row>
    <row r="343" spans="1:16">
      <c r="A343" s="345">
        <v>20150414</v>
      </c>
      <c r="B343" s="403" t="s">
        <v>4338</v>
      </c>
      <c r="C343" s="403" t="s">
        <v>4339</v>
      </c>
      <c r="E343" s="345">
        <v>13500</v>
      </c>
      <c r="F343" s="345">
        <v>675</v>
      </c>
      <c r="G343" s="393">
        <f>E343+F343</f>
        <v>14175</v>
      </c>
      <c r="H343" s="350">
        <v>1</v>
      </c>
      <c r="I343" s="398" t="s">
        <v>4112</v>
      </c>
      <c r="L343" s="350">
        <v>14145</v>
      </c>
      <c r="M343" s="350">
        <f>J343+K343+L343</f>
        <v>14145</v>
      </c>
      <c r="N343" s="351">
        <v>30</v>
      </c>
      <c r="O343" s="351">
        <f>G343-M343-N343</f>
        <v>0</v>
      </c>
      <c r="P343" s="402" t="s">
        <v>4340</v>
      </c>
    </row>
    <row r="344" spans="1:16">
      <c r="A344" s="345">
        <v>20150504</v>
      </c>
      <c r="B344" s="403" t="s">
        <v>4341</v>
      </c>
      <c r="C344" s="403" t="s">
        <v>4113</v>
      </c>
      <c r="E344" s="345">
        <v>100800</v>
      </c>
      <c r="F344" s="345">
        <v>5040</v>
      </c>
      <c r="G344" s="393">
        <f t="shared" ref="G344:G394" si="30">E344+F344</f>
        <v>105840</v>
      </c>
      <c r="H344" s="377" t="s">
        <v>1276</v>
      </c>
      <c r="I344" s="398" t="s">
        <v>4342</v>
      </c>
      <c r="J344" s="350">
        <v>105840</v>
      </c>
      <c r="M344" s="350">
        <f t="shared" ref="M344:M394" si="31">J344+K344+L344</f>
        <v>105840</v>
      </c>
      <c r="O344" s="351">
        <f t="shared" ref="O344:O358" si="32">G344-M344-N344</f>
        <v>0</v>
      </c>
      <c r="P344" s="402" t="s">
        <v>4343</v>
      </c>
    </row>
    <row r="345" spans="1:16">
      <c r="A345" s="345">
        <v>20150505</v>
      </c>
      <c r="B345" s="403" t="s">
        <v>4344</v>
      </c>
      <c r="C345" s="403" t="s">
        <v>4094</v>
      </c>
      <c r="E345" s="345">
        <v>100800</v>
      </c>
      <c r="F345" s="345">
        <v>5040</v>
      </c>
      <c r="G345" s="393">
        <f t="shared" si="30"/>
        <v>105840</v>
      </c>
      <c r="H345" s="377" t="s">
        <v>1276</v>
      </c>
      <c r="I345" s="398" t="s">
        <v>4345</v>
      </c>
      <c r="J345" s="350">
        <v>105840</v>
      </c>
      <c r="M345" s="350">
        <f t="shared" si="31"/>
        <v>105840</v>
      </c>
      <c r="O345" s="351">
        <f t="shared" si="32"/>
        <v>0</v>
      </c>
      <c r="P345" s="402" t="s">
        <v>4346</v>
      </c>
    </row>
    <row r="346" spans="1:16">
      <c r="B346" s="403" t="s">
        <v>4347</v>
      </c>
      <c r="G346" s="393">
        <f t="shared" si="30"/>
        <v>0</v>
      </c>
      <c r="M346" s="350">
        <f t="shared" si="31"/>
        <v>0</v>
      </c>
      <c r="O346" s="351">
        <f t="shared" si="32"/>
        <v>0</v>
      </c>
      <c r="P346" s="402"/>
    </row>
    <row r="347" spans="1:16">
      <c r="A347" s="345">
        <v>20150508</v>
      </c>
      <c r="B347" s="403" t="s">
        <v>4348</v>
      </c>
      <c r="C347" s="403" t="s">
        <v>4056</v>
      </c>
      <c r="E347" s="345">
        <v>19500</v>
      </c>
      <c r="F347" s="345">
        <v>975</v>
      </c>
      <c r="G347" s="393">
        <f t="shared" si="30"/>
        <v>20475</v>
      </c>
      <c r="H347" s="350">
        <v>2</v>
      </c>
      <c r="I347" s="350">
        <v>953</v>
      </c>
      <c r="J347" s="350">
        <v>20475</v>
      </c>
      <c r="M347" s="350">
        <f t="shared" si="31"/>
        <v>20475</v>
      </c>
      <c r="O347" s="351">
        <f t="shared" si="32"/>
        <v>0</v>
      </c>
      <c r="P347" s="402" t="s">
        <v>4331</v>
      </c>
    </row>
    <row r="348" spans="1:16">
      <c r="A348" s="345">
        <v>20150508</v>
      </c>
      <c r="B348" s="403" t="s">
        <v>4349</v>
      </c>
      <c r="C348" s="403" t="s">
        <v>4204</v>
      </c>
      <c r="E348" s="345">
        <v>19500</v>
      </c>
      <c r="F348" s="345">
        <v>975</v>
      </c>
      <c r="G348" s="393">
        <f t="shared" si="30"/>
        <v>20475</v>
      </c>
      <c r="H348" s="350">
        <v>8</v>
      </c>
      <c r="I348" s="350">
        <v>740</v>
      </c>
      <c r="K348" s="350">
        <v>20475</v>
      </c>
      <c r="M348" s="350">
        <f t="shared" si="31"/>
        <v>20475</v>
      </c>
      <c r="O348" s="351">
        <f t="shared" si="32"/>
        <v>0</v>
      </c>
      <c r="P348" s="402" t="s">
        <v>4313</v>
      </c>
    </row>
    <row r="349" spans="1:16">
      <c r="A349" s="345">
        <v>20150508</v>
      </c>
      <c r="B349" s="403" t="s">
        <v>4350</v>
      </c>
      <c r="C349" s="403" t="s">
        <v>4000</v>
      </c>
      <c r="E349" s="345">
        <v>15600</v>
      </c>
      <c r="F349" s="345">
        <v>780</v>
      </c>
      <c r="G349" s="393">
        <f t="shared" si="30"/>
        <v>16380</v>
      </c>
      <c r="H349" s="350">
        <v>3</v>
      </c>
      <c r="I349" s="350">
        <v>918</v>
      </c>
      <c r="K349" s="350">
        <v>16380</v>
      </c>
      <c r="M349" s="350">
        <f t="shared" si="31"/>
        <v>16380</v>
      </c>
      <c r="O349" s="351">
        <f t="shared" si="32"/>
        <v>0</v>
      </c>
      <c r="P349" s="402" t="s">
        <v>4310</v>
      </c>
    </row>
    <row r="350" spans="1:16">
      <c r="A350" s="345">
        <v>20150508</v>
      </c>
      <c r="B350" s="403" t="s">
        <v>4351</v>
      </c>
      <c r="C350" s="403" t="s">
        <v>4000</v>
      </c>
      <c r="E350" s="345">
        <v>19500</v>
      </c>
      <c r="F350" s="345">
        <v>975</v>
      </c>
      <c r="G350" s="393">
        <f t="shared" si="30"/>
        <v>20475</v>
      </c>
      <c r="H350" s="350">
        <v>3</v>
      </c>
      <c r="I350" s="350">
        <v>902</v>
      </c>
      <c r="K350" s="350">
        <v>20475</v>
      </c>
      <c r="M350" s="350">
        <f t="shared" si="31"/>
        <v>20475</v>
      </c>
      <c r="O350" s="351">
        <f t="shared" si="32"/>
        <v>0</v>
      </c>
      <c r="P350" s="402" t="s">
        <v>4310</v>
      </c>
    </row>
    <row r="351" spans="1:16">
      <c r="A351" s="345">
        <v>20150508</v>
      </c>
      <c r="B351" s="403" t="s">
        <v>4352</v>
      </c>
      <c r="C351" s="403" t="s">
        <v>4201</v>
      </c>
      <c r="E351" s="345">
        <v>19500</v>
      </c>
      <c r="F351" s="345">
        <v>975</v>
      </c>
      <c r="G351" s="393">
        <f t="shared" si="30"/>
        <v>20475</v>
      </c>
      <c r="H351" s="350">
        <v>3</v>
      </c>
      <c r="I351" s="350">
        <v>910</v>
      </c>
      <c r="K351" s="350">
        <v>20475</v>
      </c>
      <c r="M351" s="350">
        <f t="shared" si="31"/>
        <v>20475</v>
      </c>
      <c r="O351" s="351">
        <f t="shared" si="32"/>
        <v>0</v>
      </c>
      <c r="P351" s="402" t="s">
        <v>4308</v>
      </c>
    </row>
    <row r="352" spans="1:16">
      <c r="A352" s="345">
        <v>20150508</v>
      </c>
      <c r="B352" s="403" t="s">
        <v>4353</v>
      </c>
      <c r="C352" s="403" t="s">
        <v>4315</v>
      </c>
      <c r="E352" s="345">
        <v>15600</v>
      </c>
      <c r="F352" s="345">
        <v>780</v>
      </c>
      <c r="G352" s="393">
        <f t="shared" si="30"/>
        <v>16380</v>
      </c>
      <c r="H352" s="350">
        <v>5</v>
      </c>
      <c r="I352" s="350">
        <v>1010</v>
      </c>
      <c r="J352" s="350">
        <v>16380</v>
      </c>
      <c r="M352" s="350">
        <f t="shared" si="31"/>
        <v>16380</v>
      </c>
      <c r="O352" s="351">
        <f t="shared" si="32"/>
        <v>0</v>
      </c>
      <c r="P352" s="402" t="s">
        <v>4316</v>
      </c>
    </row>
    <row r="353" spans="1:16">
      <c r="A353" s="345">
        <v>20150508</v>
      </c>
      <c r="B353" s="403" t="s">
        <v>4354</v>
      </c>
      <c r="C353" s="403" t="s">
        <v>447</v>
      </c>
      <c r="E353" s="345">
        <v>12600</v>
      </c>
      <c r="F353" s="345">
        <v>630</v>
      </c>
      <c r="G353" s="393">
        <f t="shared" si="30"/>
        <v>13230</v>
      </c>
      <c r="H353" s="350">
        <v>8</v>
      </c>
      <c r="I353" s="398" t="s">
        <v>4133</v>
      </c>
      <c r="L353" s="350">
        <v>13220</v>
      </c>
      <c r="M353" s="350">
        <f t="shared" si="31"/>
        <v>13220</v>
      </c>
      <c r="N353" s="351">
        <v>10</v>
      </c>
      <c r="O353" s="351">
        <f t="shared" si="32"/>
        <v>0</v>
      </c>
      <c r="P353" s="402" t="s">
        <v>4321</v>
      </c>
    </row>
    <row r="354" spans="1:16">
      <c r="A354" s="345">
        <v>20150508</v>
      </c>
      <c r="B354" s="403" t="s">
        <v>4355</v>
      </c>
      <c r="C354" s="403" t="s">
        <v>456</v>
      </c>
      <c r="E354" s="345">
        <v>13500</v>
      </c>
      <c r="F354" s="345">
        <v>675</v>
      </c>
      <c r="G354" s="393">
        <f t="shared" si="30"/>
        <v>14175</v>
      </c>
      <c r="H354" s="350">
        <v>8</v>
      </c>
      <c r="I354" s="398" t="s">
        <v>4148</v>
      </c>
      <c r="L354" s="350">
        <v>14175</v>
      </c>
      <c r="M354" s="350">
        <f t="shared" si="31"/>
        <v>14175</v>
      </c>
      <c r="O354" s="351">
        <f t="shared" si="32"/>
        <v>0</v>
      </c>
      <c r="P354" s="402" t="s">
        <v>4323</v>
      </c>
    </row>
    <row r="355" spans="1:16">
      <c r="A355" s="345">
        <v>20150511</v>
      </c>
      <c r="B355" s="403" t="s">
        <v>4356</v>
      </c>
      <c r="C355" s="403" t="s">
        <v>4149</v>
      </c>
      <c r="E355" s="345">
        <v>108000</v>
      </c>
      <c r="F355" s="345">
        <v>5400</v>
      </c>
      <c r="G355" s="393">
        <f t="shared" si="30"/>
        <v>113400</v>
      </c>
      <c r="H355" s="377" t="s">
        <v>1276</v>
      </c>
      <c r="I355" s="398" t="s">
        <v>4357</v>
      </c>
      <c r="J355" s="350">
        <v>113400</v>
      </c>
      <c r="M355" s="350">
        <f t="shared" si="31"/>
        <v>113400</v>
      </c>
      <c r="O355" s="351">
        <f t="shared" si="32"/>
        <v>0</v>
      </c>
      <c r="P355" s="402" t="s">
        <v>4358</v>
      </c>
    </row>
    <row r="356" spans="1:16">
      <c r="A356" s="345">
        <v>20150514</v>
      </c>
      <c r="B356" s="403" t="s">
        <v>4359</v>
      </c>
      <c r="C356" s="403" t="s">
        <v>4131</v>
      </c>
      <c r="E356" s="345">
        <v>108000</v>
      </c>
      <c r="F356" s="345">
        <v>5400</v>
      </c>
      <c r="G356" s="393">
        <f t="shared" si="30"/>
        <v>113400</v>
      </c>
      <c r="H356" s="377" t="s">
        <v>1276</v>
      </c>
      <c r="I356" s="398" t="s">
        <v>4360</v>
      </c>
      <c r="J356" s="350">
        <v>113400</v>
      </c>
      <c r="M356" s="350">
        <f t="shared" si="31"/>
        <v>113400</v>
      </c>
      <c r="O356" s="351">
        <f t="shared" si="32"/>
        <v>0</v>
      </c>
      <c r="P356" s="402" t="s">
        <v>4361</v>
      </c>
    </row>
    <row r="357" spans="1:16">
      <c r="A357" s="345">
        <v>20150529</v>
      </c>
      <c r="B357" s="403" t="s">
        <v>4362</v>
      </c>
      <c r="C357" s="403" t="s">
        <v>4162</v>
      </c>
      <c r="E357" s="345">
        <v>100800</v>
      </c>
      <c r="F357" s="345">
        <v>5040</v>
      </c>
      <c r="G357" s="393">
        <f t="shared" si="30"/>
        <v>105840</v>
      </c>
      <c r="H357" s="377" t="s">
        <v>1276</v>
      </c>
      <c r="I357" s="398" t="s">
        <v>4363</v>
      </c>
      <c r="J357" s="350">
        <v>105840</v>
      </c>
      <c r="M357" s="350">
        <f t="shared" si="31"/>
        <v>105840</v>
      </c>
      <c r="O357" s="351">
        <f t="shared" si="32"/>
        <v>0</v>
      </c>
      <c r="P357" s="402" t="s">
        <v>4364</v>
      </c>
    </row>
    <row r="358" spans="1:16">
      <c r="A358" s="345">
        <v>20150618</v>
      </c>
      <c r="B358" s="403" t="s">
        <v>4365</v>
      </c>
      <c r="C358" s="403" t="s">
        <v>4339</v>
      </c>
      <c r="E358" s="345">
        <v>13500</v>
      </c>
      <c r="F358" s="345">
        <v>675</v>
      </c>
      <c r="G358" s="393">
        <f t="shared" si="30"/>
        <v>14175</v>
      </c>
      <c r="H358" s="350">
        <v>2</v>
      </c>
      <c r="I358" s="398" t="s">
        <v>4195</v>
      </c>
      <c r="L358" s="350">
        <v>14145</v>
      </c>
      <c r="M358" s="350">
        <f t="shared" si="31"/>
        <v>14145</v>
      </c>
      <c r="N358" s="351">
        <v>30</v>
      </c>
      <c r="O358" s="351">
        <f t="shared" si="32"/>
        <v>0</v>
      </c>
      <c r="P358" s="402" t="s">
        <v>4340</v>
      </c>
    </row>
    <row r="359" spans="1:16">
      <c r="A359" s="345">
        <v>20150708</v>
      </c>
      <c r="B359" s="403" t="s">
        <v>4366</v>
      </c>
      <c r="C359" s="403" t="s">
        <v>4318</v>
      </c>
      <c r="E359" s="345">
        <v>12857</v>
      </c>
      <c r="F359" s="345">
        <v>643</v>
      </c>
      <c r="G359" s="393">
        <f t="shared" si="30"/>
        <v>13500</v>
      </c>
      <c r="H359" s="350">
        <v>1</v>
      </c>
      <c r="I359" s="398" t="s">
        <v>4197</v>
      </c>
      <c r="L359" s="350">
        <v>13485</v>
      </c>
      <c r="M359" s="350">
        <f t="shared" si="31"/>
        <v>13485</v>
      </c>
      <c r="N359" s="351">
        <v>15</v>
      </c>
      <c r="O359" s="351">
        <f>G359-M359-N359</f>
        <v>0</v>
      </c>
      <c r="P359" s="402" t="s">
        <v>4319</v>
      </c>
    </row>
    <row r="360" spans="1:16">
      <c r="A360" s="345">
        <v>20150720</v>
      </c>
      <c r="B360" s="403" t="s">
        <v>4367</v>
      </c>
      <c r="C360" s="403" t="s">
        <v>4182</v>
      </c>
      <c r="E360" s="345">
        <v>91200</v>
      </c>
      <c r="F360" s="345">
        <v>4560</v>
      </c>
      <c r="G360" s="393">
        <f t="shared" si="30"/>
        <v>95760</v>
      </c>
      <c r="H360" s="377" t="s">
        <v>1276</v>
      </c>
      <c r="I360" s="398" t="s">
        <v>4368</v>
      </c>
      <c r="J360" s="350">
        <v>95760</v>
      </c>
      <c r="M360" s="350">
        <f t="shared" si="31"/>
        <v>95760</v>
      </c>
      <c r="O360" s="351">
        <f t="shared" ref="O360:O394" si="33">G360-M360-N360</f>
        <v>0</v>
      </c>
      <c r="P360" s="402" t="s">
        <v>4369</v>
      </c>
    </row>
    <row r="361" spans="1:16">
      <c r="A361" s="345">
        <v>20150723</v>
      </c>
      <c r="B361" s="403" t="s">
        <v>4370</v>
      </c>
      <c r="C361" s="403" t="s">
        <v>456</v>
      </c>
      <c r="E361" s="345">
        <v>12600</v>
      </c>
      <c r="F361" s="345">
        <v>630</v>
      </c>
      <c r="G361" s="393">
        <f t="shared" si="30"/>
        <v>13230</v>
      </c>
      <c r="H361" s="350">
        <v>1</v>
      </c>
      <c r="I361" s="398" t="s">
        <v>4117</v>
      </c>
      <c r="L361" s="350">
        <v>13230</v>
      </c>
      <c r="M361" s="350">
        <f t="shared" si="31"/>
        <v>13230</v>
      </c>
      <c r="O361" s="351">
        <f t="shared" si="33"/>
        <v>0</v>
      </c>
      <c r="P361" s="402" t="s">
        <v>4323</v>
      </c>
    </row>
    <row r="362" spans="1:16">
      <c r="A362" s="345">
        <v>20150818</v>
      </c>
      <c r="B362" s="403" t="s">
        <v>4371</v>
      </c>
      <c r="C362" s="403" t="s">
        <v>4201</v>
      </c>
      <c r="E362" s="345">
        <v>19500</v>
      </c>
      <c r="F362" s="345">
        <v>975</v>
      </c>
      <c r="G362" s="393">
        <f t="shared" si="30"/>
        <v>20475</v>
      </c>
      <c r="H362" s="350">
        <v>4</v>
      </c>
      <c r="I362" s="350">
        <v>911</v>
      </c>
      <c r="K362" s="350">
        <v>20475</v>
      </c>
      <c r="M362" s="350">
        <f t="shared" si="31"/>
        <v>20475</v>
      </c>
      <c r="O362" s="351">
        <f t="shared" si="33"/>
        <v>0</v>
      </c>
      <c r="P362" s="402" t="s">
        <v>4308</v>
      </c>
    </row>
    <row r="363" spans="1:16">
      <c r="A363" s="345">
        <v>20150818</v>
      </c>
      <c r="B363" s="403" t="s">
        <v>4372</v>
      </c>
      <c r="C363" s="403" t="s">
        <v>4000</v>
      </c>
      <c r="E363" s="345">
        <v>19500</v>
      </c>
      <c r="F363" s="345">
        <v>975</v>
      </c>
      <c r="G363" s="393">
        <f t="shared" si="30"/>
        <v>20475</v>
      </c>
      <c r="H363" s="350">
        <v>4</v>
      </c>
      <c r="I363" s="350">
        <v>903</v>
      </c>
      <c r="K363" s="350">
        <v>20475</v>
      </c>
      <c r="M363" s="350">
        <f t="shared" si="31"/>
        <v>20475</v>
      </c>
      <c r="O363" s="351">
        <f t="shared" si="33"/>
        <v>0</v>
      </c>
      <c r="P363" s="402" t="s">
        <v>4310</v>
      </c>
    </row>
    <row r="364" spans="1:16">
      <c r="A364" s="345">
        <v>20150818</v>
      </c>
      <c r="B364" s="403" t="s">
        <v>4373</v>
      </c>
      <c r="C364" s="403" t="s">
        <v>4000</v>
      </c>
      <c r="E364" s="345">
        <v>15600</v>
      </c>
      <c r="F364" s="345">
        <v>780</v>
      </c>
      <c r="G364" s="393">
        <f t="shared" si="30"/>
        <v>16380</v>
      </c>
      <c r="H364" s="350">
        <v>4</v>
      </c>
      <c r="I364" s="350">
        <v>919</v>
      </c>
      <c r="K364" s="350">
        <v>16380</v>
      </c>
      <c r="M364" s="350">
        <f t="shared" si="31"/>
        <v>16380</v>
      </c>
      <c r="O364" s="351">
        <f t="shared" si="33"/>
        <v>0</v>
      </c>
      <c r="P364" s="402" t="s">
        <v>4310</v>
      </c>
    </row>
    <row r="365" spans="1:16">
      <c r="A365" s="345">
        <v>20150818</v>
      </c>
      <c r="B365" s="403" t="s">
        <v>4374</v>
      </c>
      <c r="C365" s="403" t="s">
        <v>4056</v>
      </c>
      <c r="E365" s="345">
        <v>19500</v>
      </c>
      <c r="F365" s="345">
        <v>975</v>
      </c>
      <c r="G365" s="393">
        <f t="shared" si="30"/>
        <v>20475</v>
      </c>
      <c r="H365" s="350">
        <v>3</v>
      </c>
      <c r="I365" s="350">
        <v>954</v>
      </c>
      <c r="J365" s="350">
        <v>20475</v>
      </c>
      <c r="M365" s="350">
        <f t="shared" si="31"/>
        <v>20475</v>
      </c>
      <c r="O365" s="351">
        <f t="shared" si="33"/>
        <v>0</v>
      </c>
      <c r="P365" s="402" t="s">
        <v>4331</v>
      </c>
    </row>
    <row r="366" spans="1:16">
      <c r="A366" s="345">
        <v>20150818</v>
      </c>
      <c r="B366" s="403" t="s">
        <v>4375</v>
      </c>
      <c r="C366" s="403" t="s">
        <v>4315</v>
      </c>
      <c r="E366" s="345">
        <v>15600</v>
      </c>
      <c r="F366" s="345">
        <v>780</v>
      </c>
      <c r="G366" s="393">
        <f t="shared" si="30"/>
        <v>16380</v>
      </c>
      <c r="H366" s="350">
        <v>6</v>
      </c>
      <c r="I366" s="350">
        <v>1020</v>
      </c>
      <c r="J366" s="350">
        <v>16380</v>
      </c>
      <c r="M366" s="350">
        <f t="shared" si="31"/>
        <v>16380</v>
      </c>
      <c r="O366" s="351">
        <f t="shared" si="33"/>
        <v>0</v>
      </c>
      <c r="P366" s="402" t="s">
        <v>4316</v>
      </c>
    </row>
    <row r="367" spans="1:16">
      <c r="A367" s="345">
        <v>20150917</v>
      </c>
      <c r="B367" s="403" t="s">
        <v>4376</v>
      </c>
      <c r="C367" s="403" t="s">
        <v>4339</v>
      </c>
      <c r="E367" s="345">
        <v>13500</v>
      </c>
      <c r="F367" s="345">
        <v>675</v>
      </c>
      <c r="G367" s="393">
        <f t="shared" si="30"/>
        <v>14175</v>
      </c>
      <c r="H367" s="350">
        <v>2</v>
      </c>
      <c r="I367" s="398" t="s">
        <v>4195</v>
      </c>
      <c r="L367" s="350">
        <v>14145</v>
      </c>
      <c r="M367" s="350">
        <f t="shared" si="31"/>
        <v>14145</v>
      </c>
      <c r="N367" s="351">
        <v>30</v>
      </c>
      <c r="O367" s="351">
        <f t="shared" si="33"/>
        <v>0</v>
      </c>
      <c r="P367" s="402" t="s">
        <v>4340</v>
      </c>
    </row>
    <row r="368" spans="1:16">
      <c r="A368" s="345">
        <v>20150917</v>
      </c>
      <c r="B368" s="403" t="s">
        <v>4377</v>
      </c>
      <c r="C368" s="403" t="s">
        <v>4318</v>
      </c>
      <c r="E368" s="345">
        <v>12857</v>
      </c>
      <c r="F368" s="345">
        <v>643</v>
      </c>
      <c r="G368" s="393">
        <f t="shared" si="30"/>
        <v>13500</v>
      </c>
      <c r="H368" s="350">
        <v>2</v>
      </c>
      <c r="I368" s="398" t="s">
        <v>4215</v>
      </c>
      <c r="L368" s="350">
        <v>13485</v>
      </c>
      <c r="M368" s="350">
        <f t="shared" si="31"/>
        <v>13485</v>
      </c>
      <c r="N368" s="601">
        <v>15</v>
      </c>
      <c r="O368" s="351">
        <f t="shared" si="33"/>
        <v>0</v>
      </c>
      <c r="P368" s="402" t="s">
        <v>4319</v>
      </c>
    </row>
    <row r="369" spans="1:16">
      <c r="A369" s="345">
        <v>20151012</v>
      </c>
      <c r="B369" s="403" t="s">
        <v>4378</v>
      </c>
      <c r="C369" s="403" t="s">
        <v>4201</v>
      </c>
      <c r="E369" s="345">
        <v>108000</v>
      </c>
      <c r="F369" s="345">
        <v>5400</v>
      </c>
      <c r="G369" s="393">
        <f t="shared" si="30"/>
        <v>113400</v>
      </c>
      <c r="H369" s="377"/>
      <c r="I369" s="398" t="s">
        <v>4200</v>
      </c>
      <c r="L369" s="350">
        <v>113400</v>
      </c>
      <c r="M369" s="350">
        <f t="shared" si="31"/>
        <v>113400</v>
      </c>
      <c r="O369" s="351">
        <f t="shared" si="33"/>
        <v>0</v>
      </c>
      <c r="P369" s="402" t="s">
        <v>4308</v>
      </c>
    </row>
    <row r="370" spans="1:16">
      <c r="A370" s="345">
        <v>20151012</v>
      </c>
      <c r="B370" s="403" t="s">
        <v>4379</v>
      </c>
      <c r="C370" s="403" t="s">
        <v>4000</v>
      </c>
      <c r="E370" s="345">
        <v>108000</v>
      </c>
      <c r="F370" s="345">
        <v>5400</v>
      </c>
      <c r="G370" s="393">
        <f t="shared" si="30"/>
        <v>113400</v>
      </c>
      <c r="H370" s="377"/>
      <c r="I370" s="398" t="s">
        <v>3965</v>
      </c>
      <c r="L370" s="350">
        <v>113390</v>
      </c>
      <c r="M370" s="350">
        <f t="shared" si="31"/>
        <v>113390</v>
      </c>
      <c r="N370" s="351">
        <v>10</v>
      </c>
      <c r="O370" s="351">
        <f t="shared" si="33"/>
        <v>0</v>
      </c>
      <c r="P370" s="402" t="s">
        <v>4310</v>
      </c>
    </row>
    <row r="371" spans="1:16">
      <c r="A371" s="345">
        <v>20151023</v>
      </c>
      <c r="B371" s="403" t="s">
        <v>4380</v>
      </c>
      <c r="C371" s="403" t="s">
        <v>4204</v>
      </c>
      <c r="E371" s="345">
        <v>19500</v>
      </c>
      <c r="F371" s="345">
        <v>975</v>
      </c>
      <c r="G371" s="393">
        <f t="shared" si="30"/>
        <v>20475</v>
      </c>
      <c r="H371" s="350">
        <v>1</v>
      </c>
      <c r="I371" s="350">
        <v>1021</v>
      </c>
      <c r="J371" s="350">
        <v>20475</v>
      </c>
      <c r="M371" s="350">
        <f t="shared" si="31"/>
        <v>20475</v>
      </c>
      <c r="O371" s="351">
        <f t="shared" si="33"/>
        <v>0</v>
      </c>
      <c r="P371" s="402" t="s">
        <v>4313</v>
      </c>
    </row>
    <row r="372" spans="1:16">
      <c r="A372" s="345">
        <v>20151023</v>
      </c>
      <c r="B372" s="403" t="s">
        <v>4381</v>
      </c>
      <c r="C372" s="403" t="s">
        <v>456</v>
      </c>
      <c r="E372" s="345">
        <v>12600</v>
      </c>
      <c r="F372" s="345">
        <v>630</v>
      </c>
      <c r="G372" s="393">
        <f t="shared" si="30"/>
        <v>13230</v>
      </c>
      <c r="H372" s="350">
        <v>2</v>
      </c>
      <c r="I372" s="398" t="s">
        <v>4203</v>
      </c>
      <c r="L372" s="350">
        <v>13230</v>
      </c>
      <c r="M372" s="350">
        <f t="shared" si="31"/>
        <v>13230</v>
      </c>
      <c r="O372" s="351">
        <f t="shared" si="33"/>
        <v>0</v>
      </c>
      <c r="P372" s="402" t="s">
        <v>4323</v>
      </c>
    </row>
    <row r="373" spans="1:16">
      <c r="A373" s="345">
        <v>20151102</v>
      </c>
      <c r="B373" s="403" t="s">
        <v>4382</v>
      </c>
      <c r="C373" s="403" t="s">
        <v>831</v>
      </c>
      <c r="E373" s="345">
        <v>86857</v>
      </c>
      <c r="F373" s="345">
        <v>4343</v>
      </c>
      <c r="G373" s="393">
        <f t="shared" si="30"/>
        <v>91200</v>
      </c>
      <c r="H373" s="377" t="s">
        <v>1276</v>
      </c>
      <c r="I373" s="398" t="s">
        <v>4383</v>
      </c>
      <c r="J373" s="350">
        <v>91200</v>
      </c>
      <c r="M373" s="350">
        <f t="shared" si="31"/>
        <v>91200</v>
      </c>
      <c r="O373" s="351">
        <f t="shared" si="33"/>
        <v>0</v>
      </c>
      <c r="P373" s="402" t="s">
        <v>4384</v>
      </c>
    </row>
    <row r="374" spans="1:16">
      <c r="A374" s="345">
        <v>20151102</v>
      </c>
      <c r="B374" s="403" t="s">
        <v>4385</v>
      </c>
      <c r="C374" s="403" t="s">
        <v>4201</v>
      </c>
      <c r="E374" s="345">
        <v>19500</v>
      </c>
      <c r="F374" s="345">
        <v>975</v>
      </c>
      <c r="G374" s="393">
        <f t="shared" si="30"/>
        <v>20475</v>
      </c>
      <c r="H374" s="350">
        <v>5</v>
      </c>
      <c r="I374" s="350">
        <v>912</v>
      </c>
      <c r="K374" s="350">
        <v>20475</v>
      </c>
      <c r="M374" s="350">
        <f t="shared" si="31"/>
        <v>20475</v>
      </c>
      <c r="O374" s="351">
        <f t="shared" si="33"/>
        <v>0</v>
      </c>
      <c r="P374" s="402" t="s">
        <v>4308</v>
      </c>
    </row>
    <row r="375" spans="1:16">
      <c r="A375" s="345">
        <v>20151111</v>
      </c>
      <c r="B375" s="403" t="s">
        <v>4386</v>
      </c>
      <c r="C375" s="403" t="s">
        <v>4000</v>
      </c>
      <c r="E375" s="345">
        <v>19500</v>
      </c>
      <c r="F375" s="345">
        <v>975</v>
      </c>
      <c r="G375" s="393">
        <f t="shared" si="30"/>
        <v>20475</v>
      </c>
      <c r="H375" s="350">
        <v>5</v>
      </c>
      <c r="I375" s="350">
        <v>904</v>
      </c>
      <c r="K375" s="350">
        <v>20475</v>
      </c>
      <c r="M375" s="350">
        <f t="shared" si="31"/>
        <v>20475</v>
      </c>
      <c r="O375" s="351">
        <f t="shared" si="33"/>
        <v>0</v>
      </c>
      <c r="P375" s="402" t="s">
        <v>4310</v>
      </c>
    </row>
    <row r="376" spans="1:16">
      <c r="A376" s="345">
        <v>20151111</v>
      </c>
      <c r="B376" s="403" t="s">
        <v>4387</v>
      </c>
      <c r="C376" s="403" t="s">
        <v>4000</v>
      </c>
      <c r="E376" s="345">
        <v>15600</v>
      </c>
      <c r="F376" s="345">
        <v>780</v>
      </c>
      <c r="G376" s="393">
        <f t="shared" si="30"/>
        <v>16380</v>
      </c>
      <c r="H376" s="350">
        <v>5</v>
      </c>
      <c r="I376" s="350">
        <v>920</v>
      </c>
      <c r="K376" s="350">
        <v>16380</v>
      </c>
      <c r="M376" s="350">
        <f t="shared" si="31"/>
        <v>16380</v>
      </c>
      <c r="O376" s="351">
        <f t="shared" si="33"/>
        <v>0</v>
      </c>
      <c r="P376" s="402" t="s">
        <v>4310</v>
      </c>
    </row>
    <row r="377" spans="1:16">
      <c r="A377" s="345">
        <v>20151111</v>
      </c>
      <c r="B377" s="403" t="s">
        <v>4388</v>
      </c>
      <c r="C377" s="403" t="s">
        <v>4204</v>
      </c>
      <c r="E377" s="345">
        <v>19500</v>
      </c>
      <c r="F377" s="345">
        <v>975</v>
      </c>
      <c r="G377" s="393">
        <f t="shared" si="30"/>
        <v>20475</v>
      </c>
      <c r="H377" s="350">
        <v>2</v>
      </c>
      <c r="I377" s="350">
        <v>1022</v>
      </c>
      <c r="J377" s="350">
        <v>20475</v>
      </c>
      <c r="M377" s="350">
        <f t="shared" si="31"/>
        <v>20475</v>
      </c>
      <c r="O377" s="351">
        <f t="shared" si="33"/>
        <v>0</v>
      </c>
      <c r="P377" s="402" t="s">
        <v>4313</v>
      </c>
    </row>
    <row r="378" spans="1:16">
      <c r="A378" s="345">
        <v>20151111</v>
      </c>
      <c r="B378" s="403" t="s">
        <v>4389</v>
      </c>
      <c r="C378" s="403" t="s">
        <v>4056</v>
      </c>
      <c r="E378" s="345">
        <v>19500</v>
      </c>
      <c r="F378" s="345">
        <v>975</v>
      </c>
      <c r="G378" s="393">
        <f t="shared" si="30"/>
        <v>20475</v>
      </c>
      <c r="H378" s="350">
        <v>4</v>
      </c>
      <c r="I378" s="350">
        <v>955</v>
      </c>
      <c r="J378" s="350">
        <v>20475</v>
      </c>
      <c r="M378" s="350">
        <f t="shared" si="31"/>
        <v>20475</v>
      </c>
      <c r="O378" s="351">
        <f t="shared" si="33"/>
        <v>0</v>
      </c>
      <c r="P378" s="402" t="s">
        <v>4331</v>
      </c>
    </row>
    <row r="379" spans="1:16">
      <c r="A379" s="345">
        <v>20151111</v>
      </c>
      <c r="B379" s="403" t="s">
        <v>4390</v>
      </c>
      <c r="C379" s="403" t="s">
        <v>4315</v>
      </c>
      <c r="E379" s="345">
        <v>15600</v>
      </c>
      <c r="F379" s="345">
        <v>780</v>
      </c>
      <c r="G379" s="393">
        <f t="shared" si="30"/>
        <v>16380</v>
      </c>
      <c r="H379" s="350">
        <v>7</v>
      </c>
      <c r="I379" s="350">
        <v>1070</v>
      </c>
      <c r="J379" s="350">
        <v>16380</v>
      </c>
      <c r="M379" s="350">
        <f t="shared" si="31"/>
        <v>16380</v>
      </c>
      <c r="O379" s="351">
        <f t="shared" si="33"/>
        <v>0</v>
      </c>
      <c r="P379" s="402" t="s">
        <v>4316</v>
      </c>
    </row>
    <row r="380" spans="1:16">
      <c r="A380" s="345">
        <v>20151111</v>
      </c>
      <c r="B380" s="403" t="s">
        <v>4391</v>
      </c>
      <c r="C380" s="403" t="s">
        <v>4230</v>
      </c>
      <c r="E380" s="345">
        <v>43200</v>
      </c>
      <c r="F380" s="345">
        <v>2160</v>
      </c>
      <c r="G380" s="393">
        <f t="shared" si="30"/>
        <v>45360</v>
      </c>
      <c r="H380" s="399" t="s">
        <v>4392</v>
      </c>
      <c r="I380" s="398" t="s">
        <v>4393</v>
      </c>
      <c r="J380" s="350">
        <v>45360</v>
      </c>
      <c r="M380" s="350">
        <f t="shared" si="31"/>
        <v>45360</v>
      </c>
      <c r="O380" s="351">
        <f t="shared" si="33"/>
        <v>0</v>
      </c>
      <c r="P380" s="402" t="s">
        <v>4394</v>
      </c>
    </row>
    <row r="381" spans="1:16">
      <c r="A381" s="345">
        <v>20151111</v>
      </c>
      <c r="B381" s="403" t="s">
        <v>4395</v>
      </c>
      <c r="C381" s="403" t="s">
        <v>4271</v>
      </c>
      <c r="E381" s="345">
        <v>19500</v>
      </c>
      <c r="F381" s="345">
        <v>975</v>
      </c>
      <c r="G381" s="393">
        <f t="shared" si="30"/>
        <v>20475</v>
      </c>
      <c r="H381" s="350">
        <v>5</v>
      </c>
      <c r="I381" s="350">
        <v>1058</v>
      </c>
      <c r="J381" s="350">
        <v>20475</v>
      </c>
      <c r="M381" s="350">
        <f t="shared" si="31"/>
        <v>20475</v>
      </c>
      <c r="O381" s="351">
        <f t="shared" si="33"/>
        <v>0</v>
      </c>
      <c r="P381" s="402" t="s">
        <v>4396</v>
      </c>
    </row>
    <row r="382" spans="1:16">
      <c r="A382" s="345">
        <v>20151111</v>
      </c>
      <c r="B382" s="403" t="s">
        <v>4397</v>
      </c>
      <c r="C382" s="403" t="s">
        <v>4271</v>
      </c>
      <c r="E382" s="345">
        <v>19500</v>
      </c>
      <c r="F382" s="345">
        <v>975</v>
      </c>
      <c r="G382" s="393">
        <f>E382+F382</f>
        <v>20475</v>
      </c>
      <c r="H382" s="350">
        <v>6</v>
      </c>
      <c r="I382" s="350">
        <v>1059</v>
      </c>
      <c r="J382" s="350">
        <v>20475</v>
      </c>
      <c r="M382" s="350">
        <f t="shared" si="31"/>
        <v>20475</v>
      </c>
      <c r="O382" s="351">
        <f t="shared" si="33"/>
        <v>0</v>
      </c>
      <c r="P382" s="402" t="s">
        <v>4396</v>
      </c>
    </row>
    <row r="383" spans="1:16">
      <c r="A383" s="345">
        <v>20151111</v>
      </c>
      <c r="B383" s="403" t="s">
        <v>4398</v>
      </c>
      <c r="C383" s="403" t="s">
        <v>4271</v>
      </c>
      <c r="E383" s="345">
        <v>19500</v>
      </c>
      <c r="F383" s="345">
        <v>975</v>
      </c>
      <c r="G383" s="393">
        <f>E383+F383</f>
        <v>20475</v>
      </c>
      <c r="H383" s="350">
        <v>7</v>
      </c>
      <c r="I383" s="350">
        <v>1060</v>
      </c>
      <c r="J383" s="350">
        <v>20475</v>
      </c>
      <c r="M383" s="350">
        <f t="shared" si="31"/>
        <v>20475</v>
      </c>
      <c r="O383" s="351">
        <f t="shared" si="33"/>
        <v>0</v>
      </c>
      <c r="P383" s="402" t="s">
        <v>4396</v>
      </c>
    </row>
    <row r="384" spans="1:16">
      <c r="A384" s="345">
        <v>20151111</v>
      </c>
      <c r="B384" s="403" t="s">
        <v>4399</v>
      </c>
      <c r="C384" s="403" t="s">
        <v>4271</v>
      </c>
      <c r="E384" s="345">
        <v>19500</v>
      </c>
      <c r="F384" s="345">
        <v>975</v>
      </c>
      <c r="G384" s="393">
        <f>E384+F384</f>
        <v>20475</v>
      </c>
      <c r="H384" s="350">
        <v>8</v>
      </c>
      <c r="I384" s="350">
        <v>1061</v>
      </c>
      <c r="J384" s="350">
        <v>20475</v>
      </c>
      <c r="M384" s="350">
        <f t="shared" si="31"/>
        <v>20475</v>
      </c>
      <c r="O384" s="351">
        <f t="shared" si="33"/>
        <v>0</v>
      </c>
      <c r="P384" s="402" t="s">
        <v>4396</v>
      </c>
    </row>
    <row r="385" spans="1:18">
      <c r="A385" s="345">
        <v>20151209</v>
      </c>
      <c r="B385" s="403" t="s">
        <v>4400</v>
      </c>
      <c r="C385" s="403" t="s">
        <v>4339</v>
      </c>
      <c r="E385" s="345">
        <v>13500</v>
      </c>
      <c r="F385" s="345">
        <v>675</v>
      </c>
      <c r="G385" s="393">
        <f t="shared" si="30"/>
        <v>14175</v>
      </c>
      <c r="H385" s="350">
        <v>4</v>
      </c>
      <c r="I385" s="398" t="s">
        <v>4752</v>
      </c>
      <c r="L385" s="350">
        <v>14145</v>
      </c>
      <c r="M385" s="350">
        <f t="shared" si="31"/>
        <v>14145</v>
      </c>
      <c r="N385" s="601">
        <v>30</v>
      </c>
      <c r="O385" s="351">
        <f t="shared" si="33"/>
        <v>0</v>
      </c>
      <c r="P385" s="402" t="s">
        <v>4340</v>
      </c>
    </row>
    <row r="386" spans="1:18">
      <c r="A386" s="345">
        <v>20151209</v>
      </c>
      <c r="B386" s="403" t="s">
        <v>4401</v>
      </c>
      <c r="C386" s="403" t="s">
        <v>4318</v>
      </c>
      <c r="E386" s="345">
        <v>12857</v>
      </c>
      <c r="F386" s="345">
        <v>643</v>
      </c>
      <c r="G386" s="393">
        <f t="shared" si="30"/>
        <v>13500</v>
      </c>
      <c r="H386" s="350">
        <v>3</v>
      </c>
      <c r="I386" s="398" t="s">
        <v>4258</v>
      </c>
      <c r="L386" s="350">
        <v>13500</v>
      </c>
      <c r="M386" s="350">
        <f t="shared" si="31"/>
        <v>13500</v>
      </c>
      <c r="O386" s="351">
        <f t="shared" si="33"/>
        <v>0</v>
      </c>
      <c r="P386" s="402" t="s">
        <v>4319</v>
      </c>
    </row>
    <row r="387" spans="1:18">
      <c r="A387" s="345">
        <v>20151209</v>
      </c>
      <c r="B387" s="403" t="s">
        <v>4402</v>
      </c>
      <c r="C387" s="403" t="s">
        <v>4255</v>
      </c>
      <c r="E387" s="345">
        <v>108000</v>
      </c>
      <c r="F387" s="345">
        <v>5400</v>
      </c>
      <c r="G387" s="393">
        <f t="shared" si="30"/>
        <v>113400</v>
      </c>
      <c r="H387" s="377" t="s">
        <v>1276</v>
      </c>
      <c r="I387" s="398" t="s">
        <v>4403</v>
      </c>
      <c r="J387" s="350">
        <v>113400</v>
      </c>
      <c r="M387" s="350">
        <f t="shared" si="31"/>
        <v>113400</v>
      </c>
      <c r="O387" s="351">
        <f t="shared" si="33"/>
        <v>0</v>
      </c>
      <c r="P387" s="402" t="s">
        <v>4404</v>
      </c>
    </row>
    <row r="388" spans="1:18">
      <c r="A388" s="345">
        <v>20151210</v>
      </c>
      <c r="B388" s="403" t="s">
        <v>4405</v>
      </c>
      <c r="C388" s="403" t="s">
        <v>4282</v>
      </c>
      <c r="E388" s="345">
        <v>108000</v>
      </c>
      <c r="F388" s="345">
        <v>5400</v>
      </c>
      <c r="G388" s="393">
        <f t="shared" si="30"/>
        <v>113400</v>
      </c>
      <c r="H388" s="377" t="s">
        <v>1276</v>
      </c>
      <c r="I388" s="398" t="s">
        <v>4406</v>
      </c>
      <c r="J388" s="350">
        <v>113400</v>
      </c>
      <c r="M388" s="350">
        <f t="shared" si="31"/>
        <v>113400</v>
      </c>
      <c r="O388" s="351">
        <f t="shared" si="33"/>
        <v>0</v>
      </c>
      <c r="P388" s="402" t="s">
        <v>4407</v>
      </c>
    </row>
    <row r="389" spans="1:18">
      <c r="A389" s="345">
        <v>20151210</v>
      </c>
      <c r="B389" s="403" t="s">
        <v>4408</v>
      </c>
      <c r="C389" s="403" t="s">
        <v>4409</v>
      </c>
      <c r="E389" s="345">
        <v>132000</v>
      </c>
      <c r="F389" s="345">
        <v>6600</v>
      </c>
      <c r="G389" s="393">
        <f t="shared" si="30"/>
        <v>138600</v>
      </c>
      <c r="H389" s="377" t="s">
        <v>1276</v>
      </c>
      <c r="I389" s="398" t="s">
        <v>4809</v>
      </c>
      <c r="J389" s="350">
        <v>138600</v>
      </c>
      <c r="M389" s="350">
        <f t="shared" si="31"/>
        <v>138600</v>
      </c>
      <c r="O389" s="351">
        <f t="shared" si="33"/>
        <v>0</v>
      </c>
      <c r="P389" s="402" t="s">
        <v>4410</v>
      </c>
    </row>
    <row r="390" spans="1:18">
      <c r="A390" s="345">
        <v>20151216</v>
      </c>
      <c r="B390" s="403" t="s">
        <v>4411</v>
      </c>
      <c r="C390" s="403" t="s">
        <v>4204</v>
      </c>
      <c r="E390" s="345">
        <v>40000</v>
      </c>
      <c r="F390" s="345">
        <v>2000</v>
      </c>
      <c r="G390" s="393">
        <f t="shared" si="30"/>
        <v>42000</v>
      </c>
      <c r="I390" s="398" t="s">
        <v>4433</v>
      </c>
      <c r="L390" s="350">
        <v>42000</v>
      </c>
      <c r="M390" s="350">
        <f t="shared" si="31"/>
        <v>42000</v>
      </c>
      <c r="O390" s="351">
        <f t="shared" si="33"/>
        <v>0</v>
      </c>
      <c r="P390" s="402" t="s">
        <v>4313</v>
      </c>
    </row>
    <row r="391" spans="1:18">
      <c r="A391" s="345">
        <v>20151216</v>
      </c>
      <c r="B391" s="403" t="s">
        <v>4412</v>
      </c>
      <c r="C391" s="403" t="s">
        <v>4201</v>
      </c>
      <c r="E391" s="345">
        <v>30000</v>
      </c>
      <c r="F391" s="345">
        <v>1500</v>
      </c>
      <c r="G391" s="393">
        <f t="shared" si="30"/>
        <v>31500</v>
      </c>
      <c r="I391" s="398" t="s">
        <v>3973</v>
      </c>
      <c r="L391" s="350">
        <v>31490</v>
      </c>
      <c r="M391" s="350">
        <f t="shared" si="31"/>
        <v>31490</v>
      </c>
      <c r="N391" s="601">
        <v>10</v>
      </c>
      <c r="O391" s="351">
        <f t="shared" si="33"/>
        <v>0</v>
      </c>
      <c r="P391" s="402" t="s">
        <v>4308</v>
      </c>
    </row>
    <row r="392" spans="1:18">
      <c r="A392" s="345">
        <v>20151216</v>
      </c>
      <c r="B392" s="403" t="s">
        <v>4413</v>
      </c>
      <c r="C392" s="403" t="s">
        <v>4000</v>
      </c>
      <c r="E392" s="345">
        <v>30000</v>
      </c>
      <c r="F392" s="345">
        <v>1500</v>
      </c>
      <c r="G392" s="393">
        <f t="shared" si="30"/>
        <v>31500</v>
      </c>
      <c r="I392" s="398" t="s">
        <v>4753</v>
      </c>
      <c r="L392" s="350">
        <v>31490</v>
      </c>
      <c r="M392" s="350">
        <f t="shared" si="31"/>
        <v>31490</v>
      </c>
      <c r="N392" s="601">
        <v>10</v>
      </c>
      <c r="O392" s="351">
        <f t="shared" si="33"/>
        <v>0</v>
      </c>
      <c r="P392" s="402" t="s">
        <v>4310</v>
      </c>
      <c r="R392" s="404">
        <v>52490</v>
      </c>
    </row>
    <row r="393" spans="1:18">
      <c r="A393" s="345">
        <v>20151216</v>
      </c>
      <c r="B393" s="403" t="s">
        <v>4414</v>
      </c>
      <c r="C393" s="403" t="s">
        <v>4201</v>
      </c>
      <c r="E393" s="345">
        <v>20000</v>
      </c>
      <c r="F393" s="345">
        <v>1000</v>
      </c>
      <c r="G393" s="393">
        <f t="shared" si="30"/>
        <v>21000</v>
      </c>
      <c r="I393" s="398" t="s">
        <v>3973</v>
      </c>
      <c r="L393" s="350">
        <v>21000</v>
      </c>
      <c r="M393" s="350">
        <f t="shared" si="31"/>
        <v>21000</v>
      </c>
      <c r="O393" s="351">
        <f t="shared" si="33"/>
        <v>0</v>
      </c>
      <c r="P393" s="402" t="s">
        <v>4308</v>
      </c>
    </row>
    <row r="394" spans="1:18">
      <c r="A394" s="345">
        <v>20151216</v>
      </c>
      <c r="B394" s="403" t="s">
        <v>4415</v>
      </c>
      <c r="C394" s="403" t="s">
        <v>4000</v>
      </c>
      <c r="E394" s="345">
        <v>20000</v>
      </c>
      <c r="F394" s="345">
        <v>1000</v>
      </c>
      <c r="G394" s="393">
        <f t="shared" si="30"/>
        <v>21000</v>
      </c>
      <c r="I394" s="398" t="s">
        <v>4753</v>
      </c>
      <c r="L394" s="350">
        <v>21000</v>
      </c>
      <c r="M394" s="350">
        <f t="shared" si="31"/>
        <v>21000</v>
      </c>
      <c r="O394" s="351">
        <f t="shared" si="33"/>
        <v>0</v>
      </c>
      <c r="P394" s="402" t="s">
        <v>4310</v>
      </c>
      <c r="R394" s="404">
        <v>52490</v>
      </c>
    </row>
    <row r="400" spans="1:18" s="347" customFormat="1">
      <c r="A400" s="401" t="s">
        <v>4503</v>
      </c>
      <c r="D400" s="348" t="s">
        <v>2377</v>
      </c>
      <c r="E400" s="376">
        <f>SUM(E401:E456)</f>
        <v>2000585</v>
      </c>
      <c r="F400" s="376">
        <f>SUM(F401:F456)</f>
        <v>100030</v>
      </c>
      <c r="G400" s="376">
        <f>SUM(G401:G456)</f>
        <v>2100615</v>
      </c>
      <c r="H400" s="349"/>
      <c r="I400" s="383"/>
      <c r="J400" s="376">
        <f t="shared" ref="J400:O400" si="34">SUM(J401:J456)</f>
        <v>1114470</v>
      </c>
      <c r="K400" s="376">
        <f t="shared" si="34"/>
        <v>335790</v>
      </c>
      <c r="L400" s="376">
        <f t="shared" si="34"/>
        <v>562460</v>
      </c>
      <c r="M400" s="376">
        <f t="shared" si="34"/>
        <v>2012720</v>
      </c>
      <c r="N400" s="376">
        <f t="shared" si="34"/>
        <v>220</v>
      </c>
      <c r="O400" s="376">
        <f t="shared" si="34"/>
        <v>87675</v>
      </c>
      <c r="P400" s="391"/>
    </row>
    <row r="401" spans="1:16">
      <c r="A401" s="183">
        <v>20160219</v>
      </c>
      <c r="B401" s="183" t="s">
        <v>4504</v>
      </c>
      <c r="C401" s="183" t="s">
        <v>4201</v>
      </c>
      <c r="E401" s="183">
        <v>19500</v>
      </c>
      <c r="F401" s="183">
        <v>975</v>
      </c>
      <c r="G401" s="563">
        <f t="shared" ref="G401:G455" si="35">E401+F401</f>
        <v>20475</v>
      </c>
      <c r="H401" s="379">
        <v>6</v>
      </c>
      <c r="I401" s="343">
        <v>913</v>
      </c>
      <c r="K401" s="350">
        <v>20475</v>
      </c>
      <c r="M401" s="350">
        <f>J401+K401+L401</f>
        <v>20475</v>
      </c>
      <c r="O401" s="351">
        <f>G401-M401-N401</f>
        <v>0</v>
      </c>
      <c r="P401" s="564" t="s">
        <v>4308</v>
      </c>
    </row>
    <row r="402" spans="1:16">
      <c r="A402" s="183">
        <v>20160219</v>
      </c>
      <c r="B402" s="183" t="s">
        <v>4505</v>
      </c>
      <c r="C402" s="183" t="s">
        <v>4000</v>
      </c>
      <c r="E402" s="183">
        <v>19500</v>
      </c>
      <c r="F402" s="183">
        <v>975</v>
      </c>
      <c r="G402" s="563">
        <f t="shared" si="35"/>
        <v>20475</v>
      </c>
      <c r="H402" s="379">
        <v>6</v>
      </c>
      <c r="I402" s="350">
        <v>905</v>
      </c>
      <c r="K402" s="350">
        <v>20475</v>
      </c>
      <c r="M402" s="350">
        <f t="shared" ref="M402:M437" si="36">J402+K402+L402</f>
        <v>20475</v>
      </c>
      <c r="O402" s="351">
        <f t="shared" ref="O402:O437" si="37">G402-M402-N402</f>
        <v>0</v>
      </c>
      <c r="P402" s="564" t="s">
        <v>4310</v>
      </c>
    </row>
    <row r="403" spans="1:16">
      <c r="A403" s="183">
        <v>20160219</v>
      </c>
      <c r="B403" s="183" t="s">
        <v>4506</v>
      </c>
      <c r="C403" s="199" t="s">
        <v>4000</v>
      </c>
      <c r="E403" s="199">
        <v>15600</v>
      </c>
      <c r="F403" s="183">
        <v>780</v>
      </c>
      <c r="G403" s="563">
        <f t="shared" si="35"/>
        <v>16380</v>
      </c>
      <c r="H403" s="379">
        <v>6</v>
      </c>
      <c r="I403" s="350">
        <v>921</v>
      </c>
      <c r="K403" s="350">
        <v>16380</v>
      </c>
      <c r="M403" s="350">
        <f t="shared" si="36"/>
        <v>16380</v>
      </c>
      <c r="O403" s="351">
        <f t="shared" si="37"/>
        <v>0</v>
      </c>
      <c r="P403" s="564" t="s">
        <v>4310</v>
      </c>
    </row>
    <row r="404" spans="1:16">
      <c r="A404" s="183">
        <v>20160219</v>
      </c>
      <c r="B404" s="183" t="s">
        <v>4507</v>
      </c>
      <c r="C404" s="199" t="s">
        <v>4204</v>
      </c>
      <c r="E404" s="199">
        <v>19500</v>
      </c>
      <c r="F404" s="183">
        <v>975</v>
      </c>
      <c r="G404" s="563">
        <f t="shared" si="35"/>
        <v>20475</v>
      </c>
      <c r="H404" s="379">
        <v>3</v>
      </c>
      <c r="I404" s="350">
        <v>1023</v>
      </c>
      <c r="K404" s="350">
        <v>20475</v>
      </c>
      <c r="M404" s="350">
        <f t="shared" si="36"/>
        <v>20475</v>
      </c>
      <c r="O404" s="351">
        <f t="shared" si="37"/>
        <v>0</v>
      </c>
      <c r="P404" s="564" t="s">
        <v>4313</v>
      </c>
    </row>
    <row r="405" spans="1:16">
      <c r="A405" s="183">
        <v>20160219</v>
      </c>
      <c r="B405" s="183" t="s">
        <v>4508</v>
      </c>
      <c r="C405" s="199" t="s">
        <v>4056</v>
      </c>
      <c r="E405" s="199">
        <v>19500</v>
      </c>
      <c r="F405" s="183">
        <v>975</v>
      </c>
      <c r="G405" s="563">
        <f t="shared" si="35"/>
        <v>20475</v>
      </c>
      <c r="H405" s="379">
        <v>5</v>
      </c>
      <c r="I405" s="350">
        <v>956</v>
      </c>
      <c r="K405" s="350">
        <v>20475</v>
      </c>
      <c r="M405" s="350">
        <f t="shared" si="36"/>
        <v>20475</v>
      </c>
      <c r="O405" s="351">
        <f t="shared" si="37"/>
        <v>0</v>
      </c>
      <c r="P405" s="564" t="s">
        <v>4331</v>
      </c>
    </row>
    <row r="406" spans="1:16">
      <c r="A406" s="183">
        <v>20160219</v>
      </c>
      <c r="B406" s="183" t="s">
        <v>4509</v>
      </c>
      <c r="C406" s="199" t="s">
        <v>4315</v>
      </c>
      <c r="E406" s="199">
        <v>15600</v>
      </c>
      <c r="F406" s="183">
        <v>780</v>
      </c>
      <c r="G406" s="563">
        <f t="shared" si="35"/>
        <v>16380</v>
      </c>
      <c r="H406" s="379">
        <v>8</v>
      </c>
      <c r="I406" s="350">
        <v>1079</v>
      </c>
      <c r="J406" s="350">
        <v>16380</v>
      </c>
      <c r="M406" s="350">
        <f t="shared" si="36"/>
        <v>16380</v>
      </c>
      <c r="O406" s="351">
        <f t="shared" si="37"/>
        <v>0</v>
      </c>
      <c r="P406" s="564" t="s">
        <v>4316</v>
      </c>
    </row>
    <row r="407" spans="1:16">
      <c r="A407" s="183">
        <v>20160219</v>
      </c>
      <c r="B407" s="183" t="s">
        <v>4510</v>
      </c>
      <c r="C407" s="199" t="s">
        <v>456</v>
      </c>
      <c r="E407" s="199">
        <v>12600</v>
      </c>
      <c r="F407" s="183">
        <v>630</v>
      </c>
      <c r="G407" s="563">
        <f t="shared" si="35"/>
        <v>13230</v>
      </c>
      <c r="H407" s="379">
        <v>3</v>
      </c>
      <c r="I407" s="398" t="s">
        <v>4436</v>
      </c>
      <c r="L407" s="350">
        <v>13230</v>
      </c>
      <c r="M407" s="350">
        <f t="shared" si="36"/>
        <v>13230</v>
      </c>
      <c r="O407" s="351">
        <f t="shared" si="37"/>
        <v>0</v>
      </c>
      <c r="P407" s="564" t="s">
        <v>4323</v>
      </c>
    </row>
    <row r="408" spans="1:16">
      <c r="A408" s="183">
        <v>20160308</v>
      </c>
      <c r="B408" s="183" t="s">
        <v>4511</v>
      </c>
      <c r="C408" s="183" t="s">
        <v>447</v>
      </c>
      <c r="E408" s="183">
        <v>13500</v>
      </c>
      <c r="F408" s="183">
        <v>675</v>
      </c>
      <c r="G408" s="563">
        <f t="shared" si="35"/>
        <v>14175</v>
      </c>
      <c r="H408" s="379">
        <v>1</v>
      </c>
      <c r="I408" s="398" t="s">
        <v>4438</v>
      </c>
      <c r="L408" s="350">
        <v>14175</v>
      </c>
      <c r="M408" s="350">
        <f t="shared" si="36"/>
        <v>14175</v>
      </c>
      <c r="O408" s="351">
        <f t="shared" si="37"/>
        <v>0</v>
      </c>
      <c r="P408" s="564" t="s">
        <v>4321</v>
      </c>
    </row>
    <row r="409" spans="1:16">
      <c r="A409" s="183">
        <v>20160316</v>
      </c>
      <c r="B409" s="183" t="s">
        <v>4512</v>
      </c>
      <c r="C409" s="199" t="s">
        <v>4513</v>
      </c>
      <c r="E409" s="199">
        <v>91200</v>
      </c>
      <c r="F409" s="183">
        <v>4560</v>
      </c>
      <c r="G409" s="563">
        <f t="shared" si="35"/>
        <v>95760</v>
      </c>
      <c r="H409" s="399" t="s">
        <v>4302</v>
      </c>
      <c r="I409" s="398" t="s">
        <v>4439</v>
      </c>
      <c r="J409" s="350">
        <v>95760</v>
      </c>
      <c r="M409" s="350">
        <f t="shared" si="36"/>
        <v>95760</v>
      </c>
      <c r="O409" s="351">
        <f t="shared" si="37"/>
        <v>0</v>
      </c>
      <c r="P409" s="564" t="s">
        <v>4519</v>
      </c>
    </row>
    <row r="410" spans="1:16">
      <c r="A410" s="183">
        <v>20160319</v>
      </c>
      <c r="B410" s="183" t="s">
        <v>4514</v>
      </c>
      <c r="C410" s="199" t="s">
        <v>4318</v>
      </c>
      <c r="E410" s="199">
        <v>12857</v>
      </c>
      <c r="F410" s="183">
        <v>643</v>
      </c>
      <c r="G410" s="563">
        <f t="shared" si="35"/>
        <v>13500</v>
      </c>
      <c r="H410" s="399" t="s">
        <v>4810</v>
      </c>
      <c r="I410" s="398" t="s">
        <v>4758</v>
      </c>
      <c r="L410" s="350">
        <v>13485</v>
      </c>
      <c r="M410" s="350">
        <f t="shared" si="36"/>
        <v>13485</v>
      </c>
      <c r="N410" s="351">
        <v>15</v>
      </c>
      <c r="O410" s="351">
        <f t="shared" si="37"/>
        <v>0</v>
      </c>
      <c r="P410" s="564" t="s">
        <v>4319</v>
      </c>
    </row>
    <row r="411" spans="1:16">
      <c r="A411" s="183">
        <v>20160321</v>
      </c>
      <c r="B411" s="183" t="s">
        <v>4515</v>
      </c>
      <c r="C411" s="199" t="s">
        <v>4339</v>
      </c>
      <c r="E411" s="199">
        <v>13500</v>
      </c>
      <c r="F411" s="183">
        <v>675</v>
      </c>
      <c r="G411" s="563">
        <f t="shared" si="35"/>
        <v>14175</v>
      </c>
      <c r="H411" s="399" t="s">
        <v>4811</v>
      </c>
      <c r="I411" s="398" t="s">
        <v>4757</v>
      </c>
      <c r="L411" s="350">
        <v>14145</v>
      </c>
      <c r="M411" s="350">
        <f t="shared" si="36"/>
        <v>14145</v>
      </c>
      <c r="N411" s="351">
        <v>30</v>
      </c>
      <c r="O411" s="351">
        <f t="shared" si="37"/>
        <v>0</v>
      </c>
      <c r="P411" s="564" t="s">
        <v>4340</v>
      </c>
    </row>
    <row r="412" spans="1:16">
      <c r="A412" s="183">
        <v>20160330</v>
      </c>
      <c r="B412" s="183" t="s">
        <v>4516</v>
      </c>
      <c r="C412" s="199" t="s">
        <v>4517</v>
      </c>
      <c r="E412" s="199">
        <v>102857</v>
      </c>
      <c r="F412" s="183">
        <v>5143</v>
      </c>
      <c r="G412" s="563">
        <f t="shared" si="35"/>
        <v>108000</v>
      </c>
      <c r="H412" s="399" t="s">
        <v>4302</v>
      </c>
      <c r="I412" s="398" t="s">
        <v>4756</v>
      </c>
      <c r="L412" s="350">
        <v>108000</v>
      </c>
      <c r="M412" s="350">
        <f t="shared" si="36"/>
        <v>108000</v>
      </c>
      <c r="O412" s="351">
        <f t="shared" si="37"/>
        <v>0</v>
      </c>
      <c r="P412" s="564" t="s">
        <v>4520</v>
      </c>
    </row>
    <row r="413" spans="1:16">
      <c r="A413" s="183">
        <v>20160418</v>
      </c>
      <c r="B413" s="183" t="s">
        <v>4518</v>
      </c>
      <c r="C413" s="199" t="s">
        <v>456</v>
      </c>
      <c r="E413" s="199">
        <v>12600</v>
      </c>
      <c r="F413" s="183">
        <v>630</v>
      </c>
      <c r="G413" s="563">
        <f t="shared" si="35"/>
        <v>13230</v>
      </c>
      <c r="H413" s="399" t="s">
        <v>4810</v>
      </c>
      <c r="I413" s="398" t="s">
        <v>4750</v>
      </c>
      <c r="L413" s="350">
        <v>13230</v>
      </c>
      <c r="M413" s="350">
        <f t="shared" si="36"/>
        <v>13230</v>
      </c>
      <c r="O413" s="351">
        <f t="shared" si="37"/>
        <v>0</v>
      </c>
      <c r="P413" s="564" t="s">
        <v>4323</v>
      </c>
    </row>
    <row r="414" spans="1:16">
      <c r="A414" s="183">
        <v>20160503</v>
      </c>
      <c r="B414" s="183" t="s">
        <v>4521</v>
      </c>
      <c r="C414" s="183" t="s">
        <v>4201</v>
      </c>
      <c r="E414" s="183">
        <v>19500</v>
      </c>
      <c r="F414" s="183">
        <v>975</v>
      </c>
      <c r="G414" s="563">
        <f t="shared" si="35"/>
        <v>20475</v>
      </c>
      <c r="H414" s="399" t="s">
        <v>4812</v>
      </c>
      <c r="I414" s="350">
        <v>914</v>
      </c>
      <c r="K414" s="350">
        <v>20475</v>
      </c>
      <c r="M414" s="350">
        <f t="shared" si="36"/>
        <v>20475</v>
      </c>
      <c r="O414" s="351">
        <f t="shared" si="37"/>
        <v>0</v>
      </c>
      <c r="P414" s="564" t="s">
        <v>4308</v>
      </c>
    </row>
    <row r="415" spans="1:16">
      <c r="A415" s="183">
        <v>20160503</v>
      </c>
      <c r="B415" s="183" t="s">
        <v>4522</v>
      </c>
      <c r="C415" s="183" t="s">
        <v>4000</v>
      </c>
      <c r="E415" s="183">
        <v>19500</v>
      </c>
      <c r="F415" s="183">
        <v>975</v>
      </c>
      <c r="G415" s="563">
        <f t="shared" si="35"/>
        <v>20475</v>
      </c>
      <c r="H415" s="399" t="s">
        <v>4812</v>
      </c>
      <c r="I415" s="350">
        <v>906</v>
      </c>
      <c r="K415" s="350">
        <v>20475</v>
      </c>
      <c r="M415" s="350">
        <f t="shared" si="36"/>
        <v>20475</v>
      </c>
      <c r="O415" s="351">
        <f t="shared" si="37"/>
        <v>0</v>
      </c>
      <c r="P415" s="564" t="s">
        <v>4310</v>
      </c>
    </row>
    <row r="416" spans="1:16">
      <c r="A416" s="183">
        <v>20160503</v>
      </c>
      <c r="B416" s="183" t="s">
        <v>4523</v>
      </c>
      <c r="C416" s="199" t="s">
        <v>4000</v>
      </c>
      <c r="E416" s="199">
        <v>15600</v>
      </c>
      <c r="F416" s="183">
        <v>780</v>
      </c>
      <c r="G416" s="563">
        <f t="shared" si="35"/>
        <v>16380</v>
      </c>
      <c r="H416" s="399" t="s">
        <v>4812</v>
      </c>
      <c r="I416" s="350">
        <v>922</v>
      </c>
      <c r="K416" s="350">
        <v>16380</v>
      </c>
      <c r="M416" s="350">
        <f t="shared" si="36"/>
        <v>16380</v>
      </c>
      <c r="O416" s="351">
        <f t="shared" si="37"/>
        <v>0</v>
      </c>
      <c r="P416" s="564" t="s">
        <v>4310</v>
      </c>
    </row>
    <row r="417" spans="1:16">
      <c r="A417" s="183">
        <v>20160503</v>
      </c>
      <c r="B417" s="183" t="s">
        <v>4524</v>
      </c>
      <c r="C417" s="199" t="s">
        <v>4204</v>
      </c>
      <c r="E417" s="199">
        <v>19500</v>
      </c>
      <c r="F417" s="183">
        <v>975</v>
      </c>
      <c r="G417" s="563">
        <f t="shared" si="35"/>
        <v>20475</v>
      </c>
      <c r="H417" s="399" t="s">
        <v>4810</v>
      </c>
      <c r="I417" s="350">
        <v>1024</v>
      </c>
      <c r="K417" s="350">
        <v>20475</v>
      </c>
      <c r="M417" s="350">
        <f t="shared" si="36"/>
        <v>20475</v>
      </c>
      <c r="O417" s="351">
        <f t="shared" si="37"/>
        <v>0</v>
      </c>
      <c r="P417" s="564" t="s">
        <v>4313</v>
      </c>
    </row>
    <row r="418" spans="1:16">
      <c r="A418" s="183">
        <v>20160503</v>
      </c>
      <c r="B418" s="183" t="s">
        <v>4525</v>
      </c>
      <c r="C418" s="199" t="s">
        <v>4056</v>
      </c>
      <c r="E418" s="199">
        <v>19500</v>
      </c>
      <c r="F418" s="183">
        <v>975</v>
      </c>
      <c r="G418" s="563">
        <f t="shared" si="35"/>
        <v>20475</v>
      </c>
      <c r="H418" s="399" t="s">
        <v>4813</v>
      </c>
      <c r="I418" s="350">
        <v>957</v>
      </c>
      <c r="K418" s="350">
        <v>20475</v>
      </c>
      <c r="M418" s="350">
        <f t="shared" si="36"/>
        <v>20475</v>
      </c>
      <c r="O418" s="351">
        <f t="shared" si="37"/>
        <v>0</v>
      </c>
      <c r="P418" s="564" t="s">
        <v>4331</v>
      </c>
    </row>
    <row r="419" spans="1:16">
      <c r="A419" s="183">
        <v>20160503</v>
      </c>
      <c r="B419" s="183" t="s">
        <v>4526</v>
      </c>
      <c r="C419" s="183" t="s">
        <v>4315</v>
      </c>
      <c r="E419" s="199">
        <v>15600</v>
      </c>
      <c r="F419" s="183">
        <v>780</v>
      </c>
      <c r="G419" s="563">
        <f t="shared" si="35"/>
        <v>16380</v>
      </c>
      <c r="H419" s="399" t="s">
        <v>4814</v>
      </c>
      <c r="I419" s="398" t="s">
        <v>4676</v>
      </c>
      <c r="J419" s="350">
        <v>16380</v>
      </c>
      <c r="M419" s="350">
        <f t="shared" si="36"/>
        <v>16380</v>
      </c>
      <c r="O419" s="351">
        <f t="shared" si="37"/>
        <v>0</v>
      </c>
      <c r="P419" s="564" t="s">
        <v>4316</v>
      </c>
    </row>
    <row r="420" spans="1:16">
      <c r="A420" s="183">
        <v>20160513</v>
      </c>
      <c r="B420" s="183" t="s">
        <v>4527</v>
      </c>
      <c r="C420" s="199" t="s">
        <v>4528</v>
      </c>
      <c r="E420" s="199">
        <v>96000</v>
      </c>
      <c r="F420" s="183">
        <v>4800</v>
      </c>
      <c r="G420" s="563">
        <f t="shared" si="35"/>
        <v>100800</v>
      </c>
      <c r="H420" s="399" t="s">
        <v>4302</v>
      </c>
      <c r="I420" s="398" t="s">
        <v>4817</v>
      </c>
      <c r="J420" s="350">
        <v>100800</v>
      </c>
      <c r="M420" s="350">
        <f t="shared" si="36"/>
        <v>100800</v>
      </c>
      <c r="O420" s="351">
        <f t="shared" si="37"/>
        <v>0</v>
      </c>
      <c r="P420" s="564" t="s">
        <v>4540</v>
      </c>
    </row>
    <row r="421" spans="1:16">
      <c r="A421" s="183">
        <v>20160517</v>
      </c>
      <c r="B421" s="183" t="s">
        <v>4529</v>
      </c>
      <c r="C421" s="199" t="s">
        <v>4530</v>
      </c>
      <c r="E421" s="199">
        <v>108000</v>
      </c>
      <c r="F421" s="183">
        <v>5400</v>
      </c>
      <c r="G421" s="563">
        <f t="shared" si="35"/>
        <v>113400</v>
      </c>
      <c r="H421" s="399" t="s">
        <v>4302</v>
      </c>
      <c r="I421" s="398" t="s">
        <v>4818</v>
      </c>
      <c r="J421" s="350">
        <v>113400</v>
      </c>
      <c r="M421" s="350">
        <f t="shared" si="36"/>
        <v>113400</v>
      </c>
      <c r="O421" s="351">
        <f t="shared" si="37"/>
        <v>0</v>
      </c>
      <c r="P421" s="564" t="s">
        <v>4541</v>
      </c>
    </row>
    <row r="422" spans="1:16">
      <c r="A422" s="183">
        <v>20160601</v>
      </c>
      <c r="B422" s="183" t="s">
        <v>4531</v>
      </c>
      <c r="C422" s="199" t="s">
        <v>4409</v>
      </c>
      <c r="E422" s="199">
        <v>132000</v>
      </c>
      <c r="F422" s="183">
        <v>6600</v>
      </c>
      <c r="G422" s="563">
        <f t="shared" si="35"/>
        <v>138600</v>
      </c>
      <c r="H422" s="399" t="s">
        <v>4302</v>
      </c>
      <c r="I422" s="398" t="s">
        <v>4819</v>
      </c>
      <c r="J422" s="350">
        <v>138600</v>
      </c>
      <c r="M422" s="350">
        <f t="shared" si="36"/>
        <v>138600</v>
      </c>
      <c r="O422" s="351">
        <f t="shared" si="37"/>
        <v>0</v>
      </c>
      <c r="P422" s="564" t="s">
        <v>4410</v>
      </c>
    </row>
    <row r="423" spans="1:16">
      <c r="A423" s="183">
        <v>20160601</v>
      </c>
      <c r="B423" s="183" t="s">
        <v>4532</v>
      </c>
      <c r="C423" s="199" t="s">
        <v>4409</v>
      </c>
      <c r="E423" s="199">
        <v>96000</v>
      </c>
      <c r="F423" s="183">
        <v>4800</v>
      </c>
      <c r="G423" s="563">
        <f t="shared" si="35"/>
        <v>100800</v>
      </c>
      <c r="H423" s="399" t="s">
        <v>4302</v>
      </c>
      <c r="I423" s="398" t="s">
        <v>4822</v>
      </c>
      <c r="J423" s="350">
        <v>100800</v>
      </c>
      <c r="M423" s="350">
        <f t="shared" si="36"/>
        <v>100800</v>
      </c>
      <c r="O423" s="351">
        <f t="shared" si="37"/>
        <v>0</v>
      </c>
      <c r="P423" s="564" t="s">
        <v>4410</v>
      </c>
    </row>
    <row r="424" spans="1:16">
      <c r="A424" s="183">
        <v>20160614</v>
      </c>
      <c r="B424" s="183" t="s">
        <v>4533</v>
      </c>
      <c r="C424" s="199" t="s">
        <v>4339</v>
      </c>
      <c r="E424" s="199">
        <v>13500</v>
      </c>
      <c r="F424" s="183">
        <v>675</v>
      </c>
      <c r="G424" s="563">
        <f t="shared" si="35"/>
        <v>14175</v>
      </c>
      <c r="H424" s="399" t="s">
        <v>4813</v>
      </c>
      <c r="I424" s="398" t="s">
        <v>4249</v>
      </c>
      <c r="L424" s="350">
        <v>14145</v>
      </c>
      <c r="M424" s="350">
        <f t="shared" si="36"/>
        <v>14145</v>
      </c>
      <c r="N424" s="351">
        <v>30</v>
      </c>
      <c r="O424" s="351">
        <f t="shared" si="37"/>
        <v>0</v>
      </c>
      <c r="P424" s="564" t="s">
        <v>4340</v>
      </c>
    </row>
    <row r="425" spans="1:16">
      <c r="A425" s="183">
        <v>20160614</v>
      </c>
      <c r="B425" s="183" t="s">
        <v>4534</v>
      </c>
      <c r="C425" s="199" t="s">
        <v>4318</v>
      </c>
      <c r="E425" s="199">
        <v>12857</v>
      </c>
      <c r="F425" s="183">
        <v>643</v>
      </c>
      <c r="G425" s="563">
        <f t="shared" si="35"/>
        <v>13500</v>
      </c>
      <c r="H425" s="399" t="s">
        <v>4811</v>
      </c>
      <c r="I425" s="398" t="s">
        <v>4262</v>
      </c>
      <c r="L425" s="350">
        <v>13485</v>
      </c>
      <c r="M425" s="350">
        <f t="shared" si="36"/>
        <v>13485</v>
      </c>
      <c r="N425" s="351">
        <v>15</v>
      </c>
      <c r="O425" s="351">
        <f t="shared" si="37"/>
        <v>0</v>
      </c>
      <c r="P425" s="564" t="s">
        <v>4319</v>
      </c>
    </row>
    <row r="426" spans="1:16">
      <c r="A426" s="183">
        <v>20160614</v>
      </c>
      <c r="B426" s="183" t="s">
        <v>4535</v>
      </c>
      <c r="C426" s="199" t="s">
        <v>447</v>
      </c>
      <c r="E426" s="199">
        <v>13500</v>
      </c>
      <c r="F426" s="183">
        <v>675</v>
      </c>
      <c r="G426" s="563">
        <f t="shared" si="35"/>
        <v>14175</v>
      </c>
      <c r="H426" s="399" t="s">
        <v>4763</v>
      </c>
      <c r="I426" s="398" t="s">
        <v>4759</v>
      </c>
      <c r="L426" s="350">
        <v>14165</v>
      </c>
      <c r="M426" s="350">
        <f t="shared" si="36"/>
        <v>14165</v>
      </c>
      <c r="N426" s="351">
        <v>10</v>
      </c>
      <c r="O426" s="351">
        <f t="shared" si="37"/>
        <v>0</v>
      </c>
      <c r="P426" s="564" t="s">
        <v>4321</v>
      </c>
    </row>
    <row r="427" spans="1:16">
      <c r="A427" s="183">
        <v>20160615</v>
      </c>
      <c r="B427" s="183" t="s">
        <v>4536</v>
      </c>
      <c r="C427" s="199" t="s">
        <v>4537</v>
      </c>
      <c r="E427" s="199">
        <v>96000</v>
      </c>
      <c r="F427" s="183">
        <v>4800</v>
      </c>
      <c r="G427" s="563">
        <f t="shared" si="35"/>
        <v>100800</v>
      </c>
      <c r="H427" s="399" t="s">
        <v>4302</v>
      </c>
      <c r="I427" s="398" t="s">
        <v>4825</v>
      </c>
      <c r="J427" s="350">
        <v>100800</v>
      </c>
      <c r="M427" s="350">
        <f t="shared" si="36"/>
        <v>100800</v>
      </c>
      <c r="O427" s="351">
        <f t="shared" si="37"/>
        <v>0</v>
      </c>
      <c r="P427" s="564" t="s">
        <v>4542</v>
      </c>
    </row>
    <row r="428" spans="1:16">
      <c r="A428" s="183">
        <v>20160623</v>
      </c>
      <c r="B428" s="183" t="s">
        <v>4538</v>
      </c>
      <c r="C428" s="199" t="s">
        <v>4539</v>
      </c>
      <c r="E428" s="199">
        <v>100800</v>
      </c>
      <c r="F428" s="183">
        <v>5040</v>
      </c>
      <c r="G428" s="563">
        <f t="shared" si="35"/>
        <v>105840</v>
      </c>
      <c r="H428" s="399" t="s">
        <v>4302</v>
      </c>
      <c r="I428" s="398" t="s">
        <v>4826</v>
      </c>
      <c r="J428" s="350">
        <v>105840</v>
      </c>
      <c r="M428" s="350">
        <f t="shared" si="36"/>
        <v>105840</v>
      </c>
      <c r="O428" s="351">
        <f t="shared" si="37"/>
        <v>0</v>
      </c>
      <c r="P428" s="564" t="s">
        <v>4543</v>
      </c>
    </row>
    <row r="429" spans="1:16">
      <c r="A429" s="183">
        <v>20160719</v>
      </c>
      <c r="B429" s="183" t="s">
        <v>4544</v>
      </c>
      <c r="C429" s="183" t="s">
        <v>456</v>
      </c>
      <c r="E429" s="183">
        <v>12600</v>
      </c>
      <c r="F429" s="183">
        <v>630</v>
      </c>
      <c r="G429" s="563">
        <f t="shared" si="35"/>
        <v>13230</v>
      </c>
      <c r="H429" s="399" t="s">
        <v>4811</v>
      </c>
      <c r="I429" s="398" t="s">
        <v>4751</v>
      </c>
      <c r="L429" s="350">
        <v>13230</v>
      </c>
      <c r="M429" s="350">
        <f t="shared" si="36"/>
        <v>13230</v>
      </c>
      <c r="O429" s="351">
        <f t="shared" si="37"/>
        <v>0</v>
      </c>
      <c r="P429" s="564" t="s">
        <v>4323</v>
      </c>
    </row>
    <row r="430" spans="1:16">
      <c r="A430" s="183">
        <v>20160801</v>
      </c>
      <c r="B430" s="183" t="s">
        <v>4545</v>
      </c>
      <c r="C430" s="199" t="s">
        <v>4836</v>
      </c>
      <c r="E430" s="199">
        <v>43200</v>
      </c>
      <c r="F430" s="183">
        <v>2160</v>
      </c>
      <c r="G430" s="563">
        <f t="shared" si="35"/>
        <v>45360</v>
      </c>
      <c r="H430" s="399" t="s">
        <v>5264</v>
      </c>
      <c r="I430" s="343" t="s">
        <v>5265</v>
      </c>
      <c r="L430" s="398">
        <f>22680+11340+11340</f>
        <v>45360</v>
      </c>
      <c r="M430" s="350">
        <f t="shared" si="36"/>
        <v>45360</v>
      </c>
      <c r="O430" s="351">
        <f t="shared" si="37"/>
        <v>0</v>
      </c>
      <c r="P430" s="564" t="s">
        <v>4553</v>
      </c>
    </row>
    <row r="431" spans="1:16">
      <c r="A431" s="183">
        <v>20160802</v>
      </c>
      <c r="B431" s="183" t="s">
        <v>4546</v>
      </c>
      <c r="C431" s="199" t="s">
        <v>4201</v>
      </c>
      <c r="E431" s="199">
        <v>19500</v>
      </c>
      <c r="F431" s="183">
        <v>975</v>
      </c>
      <c r="G431" s="563">
        <f t="shared" si="35"/>
        <v>20475</v>
      </c>
      <c r="H431" s="399" t="s">
        <v>4823</v>
      </c>
      <c r="I431" s="350">
        <v>915</v>
      </c>
      <c r="K431" s="350">
        <v>20475</v>
      </c>
      <c r="M431" s="350">
        <f t="shared" si="36"/>
        <v>20475</v>
      </c>
      <c r="O431" s="351">
        <f t="shared" si="37"/>
        <v>0</v>
      </c>
      <c r="P431" s="564" t="s">
        <v>4308</v>
      </c>
    </row>
    <row r="432" spans="1:16">
      <c r="A432" s="183">
        <v>20160802</v>
      </c>
      <c r="B432" s="183" t="s">
        <v>4547</v>
      </c>
      <c r="C432" s="199" t="s">
        <v>4000</v>
      </c>
      <c r="E432" s="199">
        <v>19500</v>
      </c>
      <c r="F432" s="183">
        <v>975</v>
      </c>
      <c r="G432" s="563">
        <f t="shared" si="35"/>
        <v>20475</v>
      </c>
      <c r="H432" s="399" t="s">
        <v>4823</v>
      </c>
      <c r="I432" s="350">
        <v>907</v>
      </c>
      <c r="K432" s="350">
        <v>20475</v>
      </c>
      <c r="M432" s="350">
        <f t="shared" si="36"/>
        <v>20475</v>
      </c>
      <c r="O432" s="351">
        <f t="shared" si="37"/>
        <v>0</v>
      </c>
      <c r="P432" s="564" t="s">
        <v>4310</v>
      </c>
    </row>
    <row r="433" spans="1:16">
      <c r="A433" s="183">
        <v>20160802</v>
      </c>
      <c r="B433" s="183" t="s">
        <v>4548</v>
      </c>
      <c r="C433" s="183" t="s">
        <v>4000</v>
      </c>
      <c r="E433" s="199">
        <v>15600</v>
      </c>
      <c r="F433" s="183">
        <v>780</v>
      </c>
      <c r="G433" s="563">
        <f t="shared" si="35"/>
        <v>16380</v>
      </c>
      <c r="H433" s="399" t="s">
        <v>4823</v>
      </c>
      <c r="I433" s="350">
        <v>923</v>
      </c>
      <c r="K433" s="350">
        <v>16380</v>
      </c>
      <c r="M433" s="350">
        <f t="shared" si="36"/>
        <v>16380</v>
      </c>
      <c r="O433" s="351">
        <f t="shared" si="37"/>
        <v>0</v>
      </c>
      <c r="P433" s="564" t="s">
        <v>4310</v>
      </c>
    </row>
    <row r="434" spans="1:16">
      <c r="A434" s="183">
        <v>20160802</v>
      </c>
      <c r="B434" s="183" t="s">
        <v>4549</v>
      </c>
      <c r="C434" s="199" t="s">
        <v>4204</v>
      </c>
      <c r="E434" s="199">
        <v>19500</v>
      </c>
      <c r="F434" s="183">
        <v>975</v>
      </c>
      <c r="G434" s="563">
        <f t="shared" si="35"/>
        <v>20475</v>
      </c>
      <c r="H434" s="399" t="s">
        <v>4811</v>
      </c>
      <c r="I434" s="350">
        <v>1025</v>
      </c>
      <c r="K434" s="350">
        <v>20475</v>
      </c>
      <c r="M434" s="350">
        <f t="shared" si="36"/>
        <v>20475</v>
      </c>
      <c r="O434" s="351">
        <f t="shared" si="37"/>
        <v>0</v>
      </c>
      <c r="P434" s="564" t="s">
        <v>4313</v>
      </c>
    </row>
    <row r="435" spans="1:16">
      <c r="A435" s="183">
        <v>20160802</v>
      </c>
      <c r="B435" s="183" t="s">
        <v>4550</v>
      </c>
      <c r="C435" s="199" t="s">
        <v>4056</v>
      </c>
      <c r="E435" s="199">
        <v>19500</v>
      </c>
      <c r="F435" s="183">
        <v>975</v>
      </c>
      <c r="G435" s="563">
        <f t="shared" si="35"/>
        <v>20475</v>
      </c>
      <c r="H435" s="399" t="s">
        <v>4812</v>
      </c>
      <c r="I435" s="350">
        <v>958</v>
      </c>
      <c r="K435" s="350">
        <v>20475</v>
      </c>
      <c r="M435" s="350">
        <f t="shared" si="36"/>
        <v>20475</v>
      </c>
      <c r="O435" s="351">
        <f t="shared" si="37"/>
        <v>0</v>
      </c>
      <c r="P435" s="564" t="s">
        <v>4331</v>
      </c>
    </row>
    <row r="436" spans="1:16">
      <c r="A436" s="183">
        <v>20160802</v>
      </c>
      <c r="B436" s="183" t="s">
        <v>4551</v>
      </c>
      <c r="C436" s="199" t="s">
        <v>4315</v>
      </c>
      <c r="E436" s="199">
        <v>15600</v>
      </c>
      <c r="F436" s="183">
        <v>780</v>
      </c>
      <c r="G436" s="563">
        <f t="shared" si="35"/>
        <v>16380</v>
      </c>
      <c r="H436" s="399" t="s">
        <v>4815</v>
      </c>
      <c r="I436" s="350">
        <v>1139</v>
      </c>
      <c r="J436" s="350">
        <v>16380</v>
      </c>
      <c r="M436" s="350">
        <f t="shared" si="36"/>
        <v>16380</v>
      </c>
      <c r="O436" s="351">
        <f t="shared" si="37"/>
        <v>0</v>
      </c>
      <c r="P436" s="564" t="s">
        <v>4316</v>
      </c>
    </row>
    <row r="437" spans="1:16">
      <c r="A437" s="183">
        <v>20160804</v>
      </c>
      <c r="B437" s="183" t="s">
        <v>4552</v>
      </c>
      <c r="C437" s="199" t="s">
        <v>4204</v>
      </c>
      <c r="E437" s="199">
        <v>72000</v>
      </c>
      <c r="F437" s="183">
        <v>3600</v>
      </c>
      <c r="G437" s="563">
        <f t="shared" si="35"/>
        <v>75600</v>
      </c>
      <c r="H437" s="379"/>
      <c r="I437" s="398" t="s">
        <v>4761</v>
      </c>
      <c r="L437" s="350">
        <v>75600</v>
      </c>
      <c r="M437" s="350">
        <f t="shared" si="36"/>
        <v>75600</v>
      </c>
      <c r="O437" s="351">
        <f t="shared" si="37"/>
        <v>0</v>
      </c>
      <c r="P437" s="564" t="s">
        <v>4313</v>
      </c>
    </row>
    <row r="438" spans="1:16">
      <c r="A438" s="183">
        <v>20160901</v>
      </c>
      <c r="B438" s="183" t="s">
        <v>4554</v>
      </c>
      <c r="C438" s="183" t="s">
        <v>4555</v>
      </c>
      <c r="E438" s="183">
        <v>86400</v>
      </c>
      <c r="F438" s="183">
        <v>4320</v>
      </c>
      <c r="G438" s="563">
        <f t="shared" si="35"/>
        <v>90720</v>
      </c>
      <c r="H438" s="399" t="s">
        <v>4302</v>
      </c>
      <c r="I438" s="398" t="s">
        <v>4827</v>
      </c>
      <c r="J438" s="350">
        <v>90720</v>
      </c>
      <c r="M438" s="350">
        <f>J438+K438+L438</f>
        <v>90720</v>
      </c>
      <c r="O438" s="351">
        <f>G438-M438-N438</f>
        <v>0</v>
      </c>
      <c r="P438" s="564" t="s">
        <v>4560</v>
      </c>
    </row>
    <row r="439" spans="1:16">
      <c r="A439" s="183">
        <v>20160907</v>
      </c>
      <c r="B439" s="183" t="s">
        <v>4556</v>
      </c>
      <c r="C439" s="183" t="s">
        <v>447</v>
      </c>
      <c r="E439" s="183">
        <v>13500</v>
      </c>
      <c r="F439" s="183">
        <v>675</v>
      </c>
      <c r="G439" s="563">
        <f t="shared" si="35"/>
        <v>14175</v>
      </c>
      <c r="H439" s="399" t="s">
        <v>4824</v>
      </c>
      <c r="I439" s="398" t="s">
        <v>4764</v>
      </c>
      <c r="L439" s="350">
        <v>14165</v>
      </c>
      <c r="M439" s="350">
        <f>J439+K439+L439</f>
        <v>14165</v>
      </c>
      <c r="N439" s="351">
        <v>10</v>
      </c>
      <c r="O439" s="351">
        <f>G439-M439-N439</f>
        <v>0</v>
      </c>
      <c r="P439" s="564" t="s">
        <v>4321</v>
      </c>
    </row>
    <row r="440" spans="1:16">
      <c r="A440" s="183">
        <v>20160907</v>
      </c>
      <c r="B440" s="183" t="s">
        <v>4557</v>
      </c>
      <c r="C440" s="199" t="s">
        <v>4339</v>
      </c>
      <c r="E440" s="199">
        <v>13500</v>
      </c>
      <c r="F440" s="183">
        <v>675</v>
      </c>
      <c r="G440" s="563">
        <f t="shared" si="35"/>
        <v>14175</v>
      </c>
      <c r="H440" s="399" t="s">
        <v>4812</v>
      </c>
      <c r="I440" s="398" t="s">
        <v>4765</v>
      </c>
      <c r="L440" s="350">
        <v>14145</v>
      </c>
      <c r="M440" s="350">
        <f>J440+K440+L440</f>
        <v>14145</v>
      </c>
      <c r="N440" s="351">
        <v>30</v>
      </c>
      <c r="O440" s="351">
        <f>G440-M440-N440</f>
        <v>0</v>
      </c>
      <c r="P440" s="564" t="s">
        <v>4340</v>
      </c>
    </row>
    <row r="441" spans="1:16">
      <c r="A441" s="183">
        <v>20160907</v>
      </c>
      <c r="B441" s="183" t="s">
        <v>4558</v>
      </c>
      <c r="C441" s="199" t="s">
        <v>4318</v>
      </c>
      <c r="E441" s="199">
        <v>12857</v>
      </c>
      <c r="F441" s="183">
        <v>643</v>
      </c>
      <c r="G441" s="563">
        <f t="shared" si="35"/>
        <v>13500</v>
      </c>
      <c r="H441" s="399" t="s">
        <v>4813</v>
      </c>
      <c r="I441" s="398" t="s">
        <v>4264</v>
      </c>
      <c r="L441" s="350">
        <v>13485</v>
      </c>
      <c r="M441" s="350">
        <f>J441+K441+L441</f>
        <v>13485</v>
      </c>
      <c r="N441" s="351">
        <v>15</v>
      </c>
      <c r="O441" s="351">
        <f>G441-M441-N441</f>
        <v>0</v>
      </c>
      <c r="P441" s="564" t="s">
        <v>4319</v>
      </c>
    </row>
    <row r="442" spans="1:16">
      <c r="A442" s="183">
        <v>20161011</v>
      </c>
      <c r="B442" s="183" t="s">
        <v>4559</v>
      </c>
      <c r="C442" s="199" t="s">
        <v>456</v>
      </c>
      <c r="E442" s="199">
        <v>12600</v>
      </c>
      <c r="F442" s="183">
        <v>630</v>
      </c>
      <c r="G442" s="563">
        <f t="shared" si="35"/>
        <v>13230</v>
      </c>
      <c r="H442" s="399" t="s">
        <v>4813</v>
      </c>
      <c r="I442" s="398" t="s">
        <v>4751</v>
      </c>
      <c r="L442" s="350">
        <v>13230</v>
      </c>
      <c r="M442" s="350">
        <f>J442+K442+L442</f>
        <v>13230</v>
      </c>
      <c r="O442" s="351">
        <f>G442-M442-N442</f>
        <v>0</v>
      </c>
      <c r="P442" s="564" t="s">
        <v>4323</v>
      </c>
    </row>
    <row r="443" spans="1:16">
      <c r="A443" s="183">
        <v>20161101</v>
      </c>
      <c r="B443" s="183" t="s">
        <v>4561</v>
      </c>
      <c r="C443" s="183" t="s">
        <v>4201</v>
      </c>
      <c r="E443" s="183">
        <v>19500</v>
      </c>
      <c r="F443" s="183">
        <v>975</v>
      </c>
      <c r="G443" s="563">
        <f t="shared" si="35"/>
        <v>20475</v>
      </c>
      <c r="H443" s="399" t="s">
        <v>4330</v>
      </c>
      <c r="I443" s="350">
        <v>1150</v>
      </c>
      <c r="J443" s="350">
        <v>20475</v>
      </c>
      <c r="M443" s="350">
        <f t="shared" ref="M443:M456" si="38">J443+K443+L443</f>
        <v>20475</v>
      </c>
      <c r="O443" s="351">
        <f t="shared" ref="O443:O456" si="39">G443-M443-N443</f>
        <v>0</v>
      </c>
      <c r="P443" s="564" t="s">
        <v>4308</v>
      </c>
    </row>
    <row r="444" spans="1:16">
      <c r="A444" s="183">
        <v>20161101</v>
      </c>
      <c r="B444" s="183" t="s">
        <v>4562</v>
      </c>
      <c r="C444" s="183" t="s">
        <v>4000</v>
      </c>
      <c r="E444" s="183">
        <v>19500</v>
      </c>
      <c r="F444" s="183">
        <v>975</v>
      </c>
      <c r="G444" s="563">
        <f t="shared" si="35"/>
        <v>20475</v>
      </c>
      <c r="H444" s="399" t="s">
        <v>4330</v>
      </c>
      <c r="I444" s="350">
        <v>1158</v>
      </c>
      <c r="J444" s="350">
        <v>20475</v>
      </c>
      <c r="M444" s="350">
        <f t="shared" si="38"/>
        <v>20475</v>
      </c>
      <c r="O444" s="351">
        <f t="shared" si="39"/>
        <v>0</v>
      </c>
      <c r="P444" s="564" t="s">
        <v>4310</v>
      </c>
    </row>
    <row r="445" spans="1:16">
      <c r="A445" s="183">
        <v>20161101</v>
      </c>
      <c r="B445" s="183" t="s">
        <v>4563</v>
      </c>
      <c r="C445" s="199" t="s">
        <v>4000</v>
      </c>
      <c r="E445" s="199">
        <v>15600</v>
      </c>
      <c r="F445" s="183">
        <v>780</v>
      </c>
      <c r="G445" s="563">
        <f t="shared" si="35"/>
        <v>16380</v>
      </c>
      <c r="H445" s="399" t="s">
        <v>4330</v>
      </c>
      <c r="I445" s="350">
        <v>1166</v>
      </c>
      <c r="J445" s="350">
        <v>16380</v>
      </c>
      <c r="M445" s="350">
        <f t="shared" si="38"/>
        <v>16380</v>
      </c>
      <c r="O445" s="351">
        <f t="shared" si="39"/>
        <v>0</v>
      </c>
      <c r="P445" s="564" t="s">
        <v>4310</v>
      </c>
    </row>
    <row r="446" spans="1:16">
      <c r="A446" s="183">
        <v>20161101</v>
      </c>
      <c r="B446" s="183" t="s">
        <v>4564</v>
      </c>
      <c r="C446" s="199" t="s">
        <v>4201</v>
      </c>
      <c r="E446" s="199">
        <v>108000</v>
      </c>
      <c r="F446" s="183">
        <v>5400</v>
      </c>
      <c r="G446" s="563">
        <f t="shared" si="35"/>
        <v>113400</v>
      </c>
      <c r="H446" s="399"/>
      <c r="I446" s="398" t="s">
        <v>4190</v>
      </c>
      <c r="L446" s="350">
        <v>113390</v>
      </c>
      <c r="M446" s="350">
        <f t="shared" si="38"/>
        <v>113390</v>
      </c>
      <c r="N446" s="351">
        <v>10</v>
      </c>
      <c r="O446" s="351">
        <f t="shared" si="39"/>
        <v>0</v>
      </c>
      <c r="P446" s="564" t="s">
        <v>4308</v>
      </c>
    </row>
    <row r="447" spans="1:16">
      <c r="A447" s="183">
        <v>20161101</v>
      </c>
      <c r="B447" s="183" t="s">
        <v>4565</v>
      </c>
      <c r="C447" s="199" t="s">
        <v>4000</v>
      </c>
      <c r="E447" s="199">
        <v>108000</v>
      </c>
      <c r="F447" s="183">
        <v>5400</v>
      </c>
      <c r="G447" s="563">
        <f t="shared" si="35"/>
        <v>113400</v>
      </c>
      <c r="H447" s="399"/>
      <c r="I447" s="350">
        <v>1174</v>
      </c>
      <c r="J447" s="350">
        <v>113400</v>
      </c>
      <c r="M447" s="350">
        <f t="shared" si="38"/>
        <v>113400</v>
      </c>
      <c r="O447" s="351">
        <f t="shared" si="39"/>
        <v>0</v>
      </c>
      <c r="P447" s="564" t="s">
        <v>4310</v>
      </c>
    </row>
    <row r="448" spans="1:16">
      <c r="A448" s="183">
        <v>20161102</v>
      </c>
      <c r="B448" s="183" t="s">
        <v>4566</v>
      </c>
      <c r="C448" s="199" t="s">
        <v>4567</v>
      </c>
      <c r="E448" s="199">
        <v>3000</v>
      </c>
      <c r="F448" s="183">
        <v>150</v>
      </c>
      <c r="G448" s="563">
        <f t="shared" si="35"/>
        <v>3150</v>
      </c>
      <c r="H448" s="399"/>
      <c r="I448" s="350">
        <v>1175</v>
      </c>
      <c r="J448" s="350">
        <v>3150</v>
      </c>
      <c r="M448" s="350">
        <f t="shared" si="38"/>
        <v>3150</v>
      </c>
      <c r="O448" s="351">
        <f t="shared" si="39"/>
        <v>0</v>
      </c>
      <c r="P448" s="564" t="s">
        <v>4576</v>
      </c>
    </row>
    <row r="449" spans="1:17">
      <c r="A449" s="183">
        <v>20161102</v>
      </c>
      <c r="B449" s="183" t="s">
        <v>4568</v>
      </c>
      <c r="C449" s="199" t="s">
        <v>4315</v>
      </c>
      <c r="E449" s="199">
        <v>15600</v>
      </c>
      <c r="F449" s="183">
        <v>780</v>
      </c>
      <c r="G449" s="563">
        <f t="shared" si="35"/>
        <v>16380</v>
      </c>
      <c r="H449" s="399" t="s">
        <v>4816</v>
      </c>
      <c r="I449" s="398" t="s">
        <v>4609</v>
      </c>
      <c r="J449" s="350">
        <v>16380</v>
      </c>
      <c r="M449" s="350">
        <f t="shared" si="38"/>
        <v>16380</v>
      </c>
      <c r="O449" s="351">
        <f t="shared" si="39"/>
        <v>0</v>
      </c>
      <c r="P449" s="564" t="s">
        <v>4316</v>
      </c>
    </row>
    <row r="450" spans="1:17">
      <c r="A450" s="183">
        <v>20161121</v>
      </c>
      <c r="B450" s="183" t="s">
        <v>4569</v>
      </c>
      <c r="C450" s="623" t="s">
        <v>2691</v>
      </c>
      <c r="E450" s="199">
        <v>108000</v>
      </c>
      <c r="F450" s="183">
        <v>5400</v>
      </c>
      <c r="G450" s="563">
        <f t="shared" si="35"/>
        <v>113400</v>
      </c>
      <c r="H450" s="399" t="s">
        <v>5620</v>
      </c>
      <c r="I450" s="398" t="s">
        <v>5621</v>
      </c>
      <c r="J450" s="350">
        <v>28350</v>
      </c>
      <c r="M450" s="350">
        <f t="shared" si="38"/>
        <v>28350</v>
      </c>
      <c r="O450" s="626">
        <f t="shared" si="39"/>
        <v>85050</v>
      </c>
      <c r="P450" s="564" t="s">
        <v>4577</v>
      </c>
      <c r="Q450" s="403" t="s">
        <v>5580</v>
      </c>
    </row>
    <row r="451" spans="1:17">
      <c r="A451" s="183">
        <v>20161128</v>
      </c>
      <c r="B451" s="183" t="s">
        <v>4570</v>
      </c>
      <c r="C451" s="199" t="s">
        <v>4204</v>
      </c>
      <c r="E451" s="199">
        <v>19500</v>
      </c>
      <c r="F451" s="183">
        <v>975</v>
      </c>
      <c r="G451" s="563">
        <f t="shared" si="35"/>
        <v>20475</v>
      </c>
      <c r="H451" s="399" t="s">
        <v>4813</v>
      </c>
      <c r="I451" s="350">
        <v>1026</v>
      </c>
      <c r="K451" s="350">
        <v>20475</v>
      </c>
      <c r="M451" s="350">
        <f t="shared" si="38"/>
        <v>20475</v>
      </c>
      <c r="O451" s="351">
        <f t="shared" si="39"/>
        <v>0</v>
      </c>
      <c r="P451" s="564" t="s">
        <v>4313</v>
      </c>
    </row>
    <row r="452" spans="1:17">
      <c r="A452" s="183">
        <v>20161128</v>
      </c>
      <c r="B452" s="183" t="s">
        <v>4571</v>
      </c>
      <c r="C452" s="199" t="s">
        <v>4056</v>
      </c>
      <c r="E452" s="199">
        <v>19500</v>
      </c>
      <c r="F452" s="183">
        <v>975</v>
      </c>
      <c r="G452" s="563">
        <f t="shared" si="35"/>
        <v>20475</v>
      </c>
      <c r="H452" s="399" t="s">
        <v>4823</v>
      </c>
      <c r="I452" s="350">
        <v>959</v>
      </c>
      <c r="K452" s="350">
        <v>20475</v>
      </c>
      <c r="M452" s="350">
        <f t="shared" si="38"/>
        <v>20475</v>
      </c>
      <c r="O452" s="351">
        <f t="shared" si="39"/>
        <v>0</v>
      </c>
      <c r="P452" s="564" t="s">
        <v>4331</v>
      </c>
    </row>
    <row r="453" spans="1:17">
      <c r="A453" s="183">
        <v>20161206</v>
      </c>
      <c r="B453" s="183" t="s">
        <v>4572</v>
      </c>
      <c r="C453" s="199" t="s">
        <v>3825</v>
      </c>
      <c r="E453" s="199">
        <v>13500</v>
      </c>
      <c r="F453" s="183">
        <v>675</v>
      </c>
      <c r="G453" s="563">
        <f t="shared" si="35"/>
        <v>14175</v>
      </c>
      <c r="H453" s="399" t="s">
        <v>4823</v>
      </c>
      <c r="I453" s="398" t="s">
        <v>5273</v>
      </c>
      <c r="L453" s="350">
        <v>14145</v>
      </c>
      <c r="M453" s="350">
        <f t="shared" si="38"/>
        <v>14145</v>
      </c>
      <c r="N453" s="351">
        <v>30</v>
      </c>
      <c r="O453" s="351">
        <f t="shared" si="39"/>
        <v>0</v>
      </c>
      <c r="P453" s="564" t="s">
        <v>4340</v>
      </c>
    </row>
    <row r="454" spans="1:17">
      <c r="A454" s="183">
        <v>20161206</v>
      </c>
      <c r="B454" s="183" t="s">
        <v>4573</v>
      </c>
      <c r="C454" s="199" t="s">
        <v>1532</v>
      </c>
      <c r="E454" s="199">
        <v>12857</v>
      </c>
      <c r="F454" s="183">
        <v>643</v>
      </c>
      <c r="G454" s="563">
        <f t="shared" si="35"/>
        <v>13500</v>
      </c>
      <c r="H454" s="399" t="s">
        <v>4812</v>
      </c>
      <c r="I454" s="398" t="s">
        <v>5274</v>
      </c>
      <c r="L454" s="350">
        <v>13485</v>
      </c>
      <c r="M454" s="350">
        <f t="shared" si="38"/>
        <v>13485</v>
      </c>
      <c r="N454" s="351">
        <v>15</v>
      </c>
      <c r="O454" s="351">
        <f t="shared" si="39"/>
        <v>0</v>
      </c>
      <c r="P454" s="564" t="s">
        <v>4319</v>
      </c>
    </row>
    <row r="455" spans="1:17">
      <c r="A455" s="183">
        <v>20161206</v>
      </c>
      <c r="B455" s="183" t="s">
        <v>4574</v>
      </c>
      <c r="C455" s="199" t="s">
        <v>2421</v>
      </c>
      <c r="E455" s="199">
        <v>13500</v>
      </c>
      <c r="F455" s="183">
        <v>675</v>
      </c>
      <c r="G455" s="563">
        <f t="shared" si="35"/>
        <v>14175</v>
      </c>
      <c r="H455" s="399" t="s">
        <v>4810</v>
      </c>
      <c r="I455" s="398" t="s">
        <v>5272</v>
      </c>
      <c r="L455" s="398">
        <v>14165</v>
      </c>
      <c r="M455" s="350">
        <f t="shared" si="38"/>
        <v>14165</v>
      </c>
      <c r="N455" s="351">
        <v>10</v>
      </c>
      <c r="O455" s="351">
        <f t="shared" si="39"/>
        <v>0</v>
      </c>
      <c r="P455" s="564" t="s">
        <v>4321</v>
      </c>
    </row>
    <row r="456" spans="1:17">
      <c r="A456" s="183">
        <v>20161115</v>
      </c>
      <c r="B456" s="183" t="s">
        <v>4575</v>
      </c>
      <c r="C456" s="199"/>
      <c r="E456" s="199">
        <v>2500</v>
      </c>
      <c r="F456" s="183">
        <v>125</v>
      </c>
      <c r="G456" s="563">
        <v>2625</v>
      </c>
      <c r="H456" s="379"/>
      <c r="M456" s="350">
        <f t="shared" si="38"/>
        <v>0</v>
      </c>
      <c r="O456" s="351">
        <f t="shared" si="39"/>
        <v>2625</v>
      </c>
      <c r="P456" s="564"/>
    </row>
    <row r="457" spans="1:17">
      <c r="A457" s="183"/>
      <c r="B457" s="183"/>
      <c r="C457" s="199"/>
      <c r="E457" s="199"/>
      <c r="F457" s="183"/>
      <c r="G457" s="563"/>
      <c r="H457" s="379"/>
      <c r="K457" s="199" t="s">
        <v>4836</v>
      </c>
      <c r="L457" s="350">
        <v>22680</v>
      </c>
      <c r="P457" s="564"/>
    </row>
    <row r="458" spans="1:17">
      <c r="K458" s="398" t="s">
        <v>876</v>
      </c>
      <c r="L458" s="350">
        <v>-4320</v>
      </c>
    </row>
    <row r="459" spans="1:17">
      <c r="K459" s="398" t="s">
        <v>876</v>
      </c>
      <c r="L459" s="350">
        <v>-3150</v>
      </c>
    </row>
    <row r="460" spans="1:17">
      <c r="K460" s="398" t="s">
        <v>876</v>
      </c>
      <c r="L460" s="350">
        <v>-29400</v>
      </c>
    </row>
    <row r="461" spans="1:17" s="347" customFormat="1">
      <c r="A461" s="401" t="s">
        <v>5171</v>
      </c>
      <c r="D461" s="348" t="s">
        <v>2377</v>
      </c>
      <c r="E461" s="376">
        <f>SUM(E462:E533)</f>
        <v>3273957</v>
      </c>
      <c r="F461" s="376">
        <f>SUM(F462:F533)</f>
        <v>163698</v>
      </c>
      <c r="G461" s="376">
        <f>SUM(G462:G533)</f>
        <v>3437655</v>
      </c>
      <c r="H461" s="349"/>
      <c r="I461" s="383"/>
      <c r="J461" s="376">
        <f t="shared" ref="J461:O461" si="40">SUM(J462:J533)</f>
        <v>2408310</v>
      </c>
      <c r="K461" s="376">
        <f t="shared" si="40"/>
        <v>413595</v>
      </c>
      <c r="L461" s="376">
        <f t="shared" si="40"/>
        <v>602390</v>
      </c>
      <c r="M461" s="376">
        <f t="shared" si="40"/>
        <v>3424295</v>
      </c>
      <c r="N461" s="376">
        <f t="shared" si="40"/>
        <v>130</v>
      </c>
      <c r="O461" s="376">
        <f t="shared" si="40"/>
        <v>13230</v>
      </c>
      <c r="P461" s="391"/>
    </row>
    <row r="462" spans="1:17">
      <c r="A462" s="183">
        <v>20170105</v>
      </c>
      <c r="B462" s="183" t="s">
        <v>5172</v>
      </c>
      <c r="C462" s="183" t="s">
        <v>4271</v>
      </c>
      <c r="D462" s="617"/>
      <c r="E462" s="183">
        <v>19500</v>
      </c>
      <c r="F462" s="183">
        <v>975</v>
      </c>
      <c r="G462" s="563">
        <f t="shared" ref="G462:G525" si="41">E462+F462</f>
        <v>20475</v>
      </c>
      <c r="H462" s="399" t="s">
        <v>4330</v>
      </c>
      <c r="I462" s="398">
        <v>1176</v>
      </c>
      <c r="J462" s="350">
        <v>20475</v>
      </c>
      <c r="M462" s="350">
        <f>J462+K462+L462</f>
        <v>20475</v>
      </c>
      <c r="O462" s="351">
        <f>G462-M462-N462</f>
        <v>0</v>
      </c>
      <c r="P462" s="564" t="s">
        <v>4396</v>
      </c>
    </row>
    <row r="463" spans="1:17">
      <c r="A463" s="183">
        <v>20170105</v>
      </c>
      <c r="B463" s="183" t="s">
        <v>5173</v>
      </c>
      <c r="C463" s="183" t="s">
        <v>4271</v>
      </c>
      <c r="D463" s="618"/>
      <c r="E463" s="183">
        <v>19500</v>
      </c>
      <c r="F463" s="183">
        <v>975</v>
      </c>
      <c r="G463" s="563">
        <f>E463+F463</f>
        <v>20475</v>
      </c>
      <c r="H463" s="399" t="s">
        <v>4763</v>
      </c>
      <c r="I463" s="398">
        <v>1177</v>
      </c>
      <c r="J463" s="350">
        <v>20475</v>
      </c>
      <c r="M463" s="350">
        <f t="shared" ref="M463:M526" si="42">J463+K463+L463</f>
        <v>20475</v>
      </c>
      <c r="O463" s="351">
        <f t="shared" ref="O463:O526" si="43">G463-M463-N463</f>
        <v>0</v>
      </c>
      <c r="P463" s="564" t="s">
        <v>4396</v>
      </c>
    </row>
    <row r="464" spans="1:17">
      <c r="A464" s="183">
        <v>20170105</v>
      </c>
      <c r="B464" s="183" t="s">
        <v>5174</v>
      </c>
      <c r="C464" s="183" t="s">
        <v>4271</v>
      </c>
      <c r="D464" s="618"/>
      <c r="E464" s="183">
        <v>19500</v>
      </c>
      <c r="F464" s="183">
        <v>975</v>
      </c>
      <c r="G464" s="563">
        <f>E464+F464</f>
        <v>20475</v>
      </c>
      <c r="H464" s="350">
        <v>3</v>
      </c>
      <c r="I464" s="398">
        <v>1178</v>
      </c>
      <c r="J464" s="350">
        <v>20475</v>
      </c>
      <c r="M464" s="350">
        <f t="shared" si="42"/>
        <v>20475</v>
      </c>
      <c r="O464" s="351">
        <f t="shared" si="43"/>
        <v>0</v>
      </c>
      <c r="P464" s="564" t="s">
        <v>4396</v>
      </c>
    </row>
    <row r="465" spans="1:17">
      <c r="A465" s="183">
        <v>20170105</v>
      </c>
      <c r="B465" s="183" t="s">
        <v>5175</v>
      </c>
      <c r="C465" s="183" t="s">
        <v>4271</v>
      </c>
      <c r="D465" s="617"/>
      <c r="E465" s="183">
        <v>19500</v>
      </c>
      <c r="F465" s="183">
        <v>975</v>
      </c>
      <c r="G465" s="563">
        <f>E465+F465</f>
        <v>20475</v>
      </c>
      <c r="H465" s="350">
        <v>4</v>
      </c>
      <c r="I465" s="398">
        <v>1179</v>
      </c>
      <c r="J465" s="350">
        <v>20475</v>
      </c>
      <c r="M465" s="350">
        <f t="shared" si="42"/>
        <v>20475</v>
      </c>
      <c r="O465" s="351">
        <f t="shared" si="43"/>
        <v>0</v>
      </c>
      <c r="P465" s="564" t="s">
        <v>4396</v>
      </c>
    </row>
    <row r="466" spans="1:17">
      <c r="A466" s="183">
        <v>20170105</v>
      </c>
      <c r="B466" s="183" t="s">
        <v>5176</v>
      </c>
      <c r="C466" s="199" t="s">
        <v>456</v>
      </c>
      <c r="D466" s="617"/>
      <c r="E466" s="199">
        <v>12600</v>
      </c>
      <c r="F466" s="183">
        <v>630</v>
      </c>
      <c r="G466" s="563">
        <f t="shared" si="41"/>
        <v>13230</v>
      </c>
      <c r="H466" s="350">
        <v>7</v>
      </c>
      <c r="I466" s="398" t="s">
        <v>5273</v>
      </c>
      <c r="L466" s="350">
        <v>13230</v>
      </c>
      <c r="M466" s="350">
        <f t="shared" si="42"/>
        <v>13230</v>
      </c>
      <c r="O466" s="351">
        <f t="shared" si="43"/>
        <v>0</v>
      </c>
      <c r="P466" s="564" t="s">
        <v>4323</v>
      </c>
    </row>
    <row r="467" spans="1:17">
      <c r="A467" s="183">
        <v>20170207</v>
      </c>
      <c r="B467" s="183" t="s">
        <v>5177</v>
      </c>
      <c r="C467" s="199" t="s">
        <v>4201</v>
      </c>
      <c r="D467" s="617"/>
      <c r="E467" s="199">
        <v>19500</v>
      </c>
      <c r="F467" s="183">
        <v>975</v>
      </c>
      <c r="G467" s="563">
        <f t="shared" si="41"/>
        <v>20475</v>
      </c>
      <c r="H467" s="350">
        <v>2</v>
      </c>
      <c r="I467" s="350">
        <v>1151</v>
      </c>
      <c r="K467" s="350">
        <v>20475</v>
      </c>
      <c r="M467" s="350">
        <f t="shared" si="42"/>
        <v>20475</v>
      </c>
      <c r="O467" s="351">
        <f t="shared" si="43"/>
        <v>0</v>
      </c>
      <c r="P467" s="564" t="s">
        <v>4308</v>
      </c>
    </row>
    <row r="468" spans="1:17">
      <c r="A468" s="183">
        <v>20170207</v>
      </c>
      <c r="B468" s="183" t="s">
        <v>5178</v>
      </c>
      <c r="C468" s="199" t="s">
        <v>4000</v>
      </c>
      <c r="D468" s="617"/>
      <c r="E468" s="199">
        <v>19500</v>
      </c>
      <c r="F468" s="183">
        <v>975</v>
      </c>
      <c r="G468" s="563">
        <f t="shared" si="41"/>
        <v>20475</v>
      </c>
      <c r="H468" s="350">
        <v>2</v>
      </c>
      <c r="I468" s="350">
        <v>1159</v>
      </c>
      <c r="K468" s="350">
        <v>20475</v>
      </c>
      <c r="M468" s="350">
        <f t="shared" si="42"/>
        <v>20475</v>
      </c>
      <c r="O468" s="351">
        <f t="shared" si="43"/>
        <v>0</v>
      </c>
      <c r="P468" s="564" t="s">
        <v>4310</v>
      </c>
    </row>
    <row r="469" spans="1:17">
      <c r="A469" s="183">
        <v>20170207</v>
      </c>
      <c r="B469" s="183" t="s">
        <v>5179</v>
      </c>
      <c r="C469" s="199" t="s">
        <v>4000</v>
      </c>
      <c r="D469" s="617"/>
      <c r="E469" s="199">
        <v>15600</v>
      </c>
      <c r="F469" s="183">
        <v>780</v>
      </c>
      <c r="G469" s="563">
        <f t="shared" si="41"/>
        <v>16380</v>
      </c>
      <c r="H469" s="350">
        <v>2</v>
      </c>
      <c r="I469" s="350">
        <v>1167</v>
      </c>
      <c r="K469" s="350">
        <v>16380</v>
      </c>
      <c r="M469" s="350">
        <f t="shared" si="42"/>
        <v>16380</v>
      </c>
      <c r="O469" s="351">
        <f t="shared" si="43"/>
        <v>0</v>
      </c>
      <c r="P469" s="564" t="s">
        <v>4310</v>
      </c>
    </row>
    <row r="470" spans="1:17">
      <c r="A470" s="183">
        <v>20170207</v>
      </c>
      <c r="B470" s="183" t="s">
        <v>5180</v>
      </c>
      <c r="C470" s="199" t="s">
        <v>4204</v>
      </c>
      <c r="D470" s="617"/>
      <c r="E470" s="199">
        <v>19500</v>
      </c>
      <c r="F470" s="183">
        <v>975</v>
      </c>
      <c r="G470" s="563">
        <f t="shared" si="41"/>
        <v>20475</v>
      </c>
      <c r="H470" s="350">
        <v>7</v>
      </c>
      <c r="I470" s="350">
        <v>1027</v>
      </c>
      <c r="K470" s="350">
        <v>20475</v>
      </c>
      <c r="M470" s="350">
        <f t="shared" si="42"/>
        <v>20475</v>
      </c>
      <c r="O470" s="351">
        <f t="shared" si="43"/>
        <v>0</v>
      </c>
      <c r="P470" s="564" t="s">
        <v>4313</v>
      </c>
    </row>
    <row r="471" spans="1:17">
      <c r="A471" s="183">
        <v>20170207</v>
      </c>
      <c r="B471" s="183" t="s">
        <v>5181</v>
      </c>
      <c r="C471" s="199" t="s">
        <v>4315</v>
      </c>
      <c r="D471" s="617"/>
      <c r="E471" s="199">
        <v>15600</v>
      </c>
      <c r="F471" s="183">
        <v>780</v>
      </c>
      <c r="G471" s="563">
        <f t="shared" si="41"/>
        <v>16380</v>
      </c>
      <c r="H471" s="350">
        <v>12</v>
      </c>
      <c r="I471" s="350">
        <v>1198</v>
      </c>
      <c r="J471" s="350">
        <v>16380</v>
      </c>
      <c r="M471" s="350">
        <f t="shared" si="42"/>
        <v>16380</v>
      </c>
      <c r="O471" s="351">
        <f t="shared" si="43"/>
        <v>0</v>
      </c>
      <c r="P471" s="564" t="s">
        <v>4316</v>
      </c>
    </row>
    <row r="472" spans="1:17">
      <c r="A472" s="183">
        <v>20170208</v>
      </c>
      <c r="B472" s="183" t="s">
        <v>5182</v>
      </c>
      <c r="C472" s="199" t="s">
        <v>4056</v>
      </c>
      <c r="D472" s="617"/>
      <c r="E472" s="199">
        <v>19500</v>
      </c>
      <c r="F472" s="183">
        <v>975</v>
      </c>
      <c r="G472" s="563">
        <f t="shared" si="41"/>
        <v>20475</v>
      </c>
      <c r="H472" s="350">
        <v>1</v>
      </c>
      <c r="I472" s="350">
        <v>1188</v>
      </c>
      <c r="K472" s="350">
        <v>20475</v>
      </c>
      <c r="M472" s="350">
        <f t="shared" si="42"/>
        <v>20475</v>
      </c>
      <c r="O472" s="351">
        <f t="shared" si="43"/>
        <v>0</v>
      </c>
      <c r="P472" s="564" t="s">
        <v>4331</v>
      </c>
    </row>
    <row r="473" spans="1:17">
      <c r="A473" s="183">
        <v>20170208</v>
      </c>
      <c r="B473" s="183" t="s">
        <v>5183</v>
      </c>
      <c r="C473" s="199" t="s">
        <v>5184</v>
      </c>
      <c r="D473" s="617"/>
      <c r="E473" s="199">
        <v>108000</v>
      </c>
      <c r="F473" s="183">
        <v>5400</v>
      </c>
      <c r="G473" s="563">
        <f t="shared" si="41"/>
        <v>113400</v>
      </c>
      <c r="H473" s="399" t="s">
        <v>4302</v>
      </c>
      <c r="I473" s="398" t="s">
        <v>5622</v>
      </c>
      <c r="J473" s="350">
        <v>113400</v>
      </c>
      <c r="M473" s="350">
        <f t="shared" si="42"/>
        <v>113400</v>
      </c>
      <c r="O473" s="351">
        <f t="shared" si="43"/>
        <v>0</v>
      </c>
      <c r="P473" s="564" t="s">
        <v>5185</v>
      </c>
    </row>
    <row r="474" spans="1:17">
      <c r="A474" s="183">
        <v>20170301</v>
      </c>
      <c r="B474" s="183" t="s">
        <v>5186</v>
      </c>
      <c r="C474" s="183" t="s">
        <v>447</v>
      </c>
      <c r="D474" s="617"/>
      <c r="E474" s="183">
        <v>13500</v>
      </c>
      <c r="F474" s="183">
        <v>675</v>
      </c>
      <c r="G474" s="563">
        <f t="shared" si="41"/>
        <v>14175</v>
      </c>
      <c r="H474" s="350">
        <v>5</v>
      </c>
      <c r="I474" s="398" t="s">
        <v>5276</v>
      </c>
      <c r="L474" s="350">
        <v>14165</v>
      </c>
      <c r="M474" s="350">
        <f t="shared" si="42"/>
        <v>14165</v>
      </c>
      <c r="N474" s="351">
        <v>10</v>
      </c>
      <c r="O474" s="351">
        <f t="shared" si="43"/>
        <v>0</v>
      </c>
      <c r="P474" s="564" t="s">
        <v>4321</v>
      </c>
    </row>
    <row r="475" spans="1:17">
      <c r="A475" s="183">
        <v>20170301</v>
      </c>
      <c r="B475" s="183" t="s">
        <v>5187</v>
      </c>
      <c r="C475" s="183" t="s">
        <v>4318</v>
      </c>
      <c r="D475" s="618"/>
      <c r="E475" s="183">
        <v>12857</v>
      </c>
      <c r="F475" s="183">
        <v>643</v>
      </c>
      <c r="G475" s="563">
        <f>E475+F475</f>
        <v>13500</v>
      </c>
      <c r="H475" s="350">
        <v>8</v>
      </c>
      <c r="I475" s="398" t="s">
        <v>5275</v>
      </c>
      <c r="L475" s="350">
        <v>13485</v>
      </c>
      <c r="M475" s="350">
        <f t="shared" si="42"/>
        <v>13485</v>
      </c>
      <c r="N475" s="351">
        <v>15</v>
      </c>
      <c r="O475" s="351">
        <f t="shared" si="43"/>
        <v>0</v>
      </c>
      <c r="P475" s="564" t="s">
        <v>4319</v>
      </c>
    </row>
    <row r="476" spans="1:17">
      <c r="A476" s="183">
        <v>20170308</v>
      </c>
      <c r="B476" s="183" t="s">
        <v>5188</v>
      </c>
      <c r="C476" s="183" t="s">
        <v>5189</v>
      </c>
      <c r="D476" s="618"/>
      <c r="E476" s="183">
        <v>102857</v>
      </c>
      <c r="F476" s="183">
        <v>5143</v>
      </c>
      <c r="G476" s="563">
        <f>E476+F476</f>
        <v>108000</v>
      </c>
      <c r="H476" s="399" t="s">
        <v>4302</v>
      </c>
      <c r="I476" s="398" t="s">
        <v>5623</v>
      </c>
      <c r="J476" s="350">
        <v>108000</v>
      </c>
      <c r="M476" s="350">
        <f t="shared" si="42"/>
        <v>108000</v>
      </c>
      <c r="O476" s="351">
        <f t="shared" si="43"/>
        <v>0</v>
      </c>
      <c r="P476" s="564" t="s">
        <v>5202</v>
      </c>
    </row>
    <row r="477" spans="1:17">
      <c r="A477" s="183">
        <v>20170322</v>
      </c>
      <c r="B477" s="183" t="s">
        <v>5190</v>
      </c>
      <c r="C477" s="183" t="s">
        <v>5191</v>
      </c>
      <c r="D477" s="617"/>
      <c r="E477" s="183">
        <v>108000</v>
      </c>
      <c r="F477" s="183">
        <v>5400</v>
      </c>
      <c r="G477" s="563">
        <f>E477+F477</f>
        <v>113400</v>
      </c>
      <c r="H477" s="399" t="s">
        <v>4302</v>
      </c>
      <c r="I477" s="398" t="s">
        <v>5624</v>
      </c>
      <c r="J477" s="350">
        <v>113400</v>
      </c>
      <c r="M477" s="350">
        <f t="shared" si="42"/>
        <v>113400</v>
      </c>
      <c r="O477" s="351">
        <f t="shared" si="43"/>
        <v>0</v>
      </c>
      <c r="P477" s="564" t="s">
        <v>5203</v>
      </c>
    </row>
    <row r="478" spans="1:17">
      <c r="A478" s="183">
        <v>20170329</v>
      </c>
      <c r="B478" s="183" t="s">
        <v>5192</v>
      </c>
      <c r="C478" s="199" t="s">
        <v>4567</v>
      </c>
      <c r="D478" s="617"/>
      <c r="E478" s="199">
        <v>91429</v>
      </c>
      <c r="F478" s="183">
        <v>4571</v>
      </c>
      <c r="G478" s="563">
        <f t="shared" si="41"/>
        <v>96000</v>
      </c>
      <c r="H478" s="399" t="s">
        <v>4302</v>
      </c>
      <c r="I478" s="398" t="s">
        <v>5625</v>
      </c>
      <c r="J478" s="350">
        <v>96000</v>
      </c>
      <c r="M478" s="350">
        <f t="shared" si="42"/>
        <v>96000</v>
      </c>
      <c r="O478" s="351">
        <f t="shared" si="43"/>
        <v>0</v>
      </c>
      <c r="P478" s="564" t="s">
        <v>4576</v>
      </c>
    </row>
    <row r="479" spans="1:17">
      <c r="A479" s="183">
        <v>20170405</v>
      </c>
      <c r="B479" s="183" t="s">
        <v>5193</v>
      </c>
      <c r="C479" s="199" t="s">
        <v>5194</v>
      </c>
      <c r="D479" s="617"/>
      <c r="E479" s="199">
        <v>86400</v>
      </c>
      <c r="F479" s="183">
        <v>4320</v>
      </c>
      <c r="G479" s="563">
        <f t="shared" si="41"/>
        <v>90720</v>
      </c>
      <c r="H479" s="399" t="s">
        <v>4302</v>
      </c>
      <c r="I479" s="398" t="s">
        <v>5626</v>
      </c>
      <c r="J479" s="350">
        <v>90720</v>
      </c>
      <c r="M479" s="350">
        <f t="shared" si="42"/>
        <v>90720</v>
      </c>
      <c r="O479" s="351">
        <f t="shared" si="43"/>
        <v>0</v>
      </c>
      <c r="P479" s="564" t="s">
        <v>5204</v>
      </c>
    </row>
    <row r="480" spans="1:17">
      <c r="A480" s="183">
        <v>20170406</v>
      </c>
      <c r="B480" s="183" t="s">
        <v>5195</v>
      </c>
      <c r="C480" s="199" t="s">
        <v>2688</v>
      </c>
      <c r="D480" s="617"/>
      <c r="E480" s="199">
        <v>86400</v>
      </c>
      <c r="F480" s="183">
        <v>4320</v>
      </c>
      <c r="G480" s="563">
        <f t="shared" si="41"/>
        <v>90720</v>
      </c>
      <c r="H480" s="399" t="s">
        <v>4302</v>
      </c>
      <c r="I480" s="398" t="s">
        <v>5627</v>
      </c>
      <c r="J480" s="350">
        <v>86400</v>
      </c>
      <c r="L480" s="635">
        <v>4320</v>
      </c>
      <c r="M480" s="350">
        <f t="shared" si="42"/>
        <v>90720</v>
      </c>
      <c r="O480" s="351">
        <f t="shared" si="43"/>
        <v>0</v>
      </c>
      <c r="P480" s="564" t="s">
        <v>5205</v>
      </c>
      <c r="Q480" s="628" t="s">
        <v>5435</v>
      </c>
    </row>
    <row r="481" spans="1:17">
      <c r="A481" s="183">
        <v>20170407</v>
      </c>
      <c r="B481" s="183" t="s">
        <v>5196</v>
      </c>
      <c r="C481" s="199" t="s">
        <v>456</v>
      </c>
      <c r="D481" s="617"/>
      <c r="E481" s="199">
        <v>12600</v>
      </c>
      <c r="F481" s="183">
        <v>630</v>
      </c>
      <c r="G481" s="563">
        <f t="shared" si="41"/>
        <v>13230</v>
      </c>
      <c r="H481" s="350">
        <v>8</v>
      </c>
      <c r="I481" s="398" t="s">
        <v>5277</v>
      </c>
      <c r="L481" s="350">
        <v>13230</v>
      </c>
      <c r="M481" s="350">
        <f t="shared" si="42"/>
        <v>13230</v>
      </c>
      <c r="O481" s="351">
        <f t="shared" si="43"/>
        <v>0</v>
      </c>
      <c r="P481" s="564" t="s">
        <v>4323</v>
      </c>
    </row>
    <row r="482" spans="1:17">
      <c r="A482" s="183">
        <v>20170407</v>
      </c>
      <c r="B482" s="183" t="s">
        <v>5197</v>
      </c>
      <c r="C482" s="199" t="s">
        <v>4038</v>
      </c>
      <c r="D482" s="617"/>
      <c r="E482" s="199">
        <v>108000</v>
      </c>
      <c r="F482" s="183">
        <v>5400</v>
      </c>
      <c r="G482" s="563">
        <f t="shared" si="41"/>
        <v>113400</v>
      </c>
      <c r="H482" s="399" t="s">
        <v>4302</v>
      </c>
      <c r="I482" s="398" t="s">
        <v>5628</v>
      </c>
      <c r="J482" s="350">
        <v>113400</v>
      </c>
      <c r="M482" s="350">
        <f t="shared" si="42"/>
        <v>113400</v>
      </c>
      <c r="O482" s="351">
        <f t="shared" si="43"/>
        <v>0</v>
      </c>
      <c r="P482" s="564" t="s">
        <v>4334</v>
      </c>
    </row>
    <row r="483" spans="1:17">
      <c r="A483" s="183">
        <v>20170409</v>
      </c>
      <c r="B483" s="183" t="s">
        <v>5198</v>
      </c>
      <c r="C483" s="199" t="s">
        <v>4075</v>
      </c>
      <c r="D483" s="617"/>
      <c r="E483" s="199">
        <v>108000</v>
      </c>
      <c r="F483" s="183">
        <v>5400</v>
      </c>
      <c r="G483" s="563">
        <f t="shared" si="41"/>
        <v>113400</v>
      </c>
      <c r="H483" s="399" t="s">
        <v>4302</v>
      </c>
      <c r="I483" s="398" t="s">
        <v>5629</v>
      </c>
      <c r="J483" s="350">
        <v>113400</v>
      </c>
      <c r="M483" s="350">
        <f t="shared" si="42"/>
        <v>113400</v>
      </c>
      <c r="O483" s="351">
        <f t="shared" si="43"/>
        <v>0</v>
      </c>
      <c r="P483" s="564" t="s">
        <v>4337</v>
      </c>
    </row>
    <row r="484" spans="1:17">
      <c r="A484" s="183">
        <v>20170419</v>
      </c>
      <c r="B484" s="183" t="s">
        <v>5199</v>
      </c>
      <c r="C484" s="623" t="s">
        <v>2422</v>
      </c>
      <c r="D484" s="617"/>
      <c r="E484" s="199">
        <v>100800</v>
      </c>
      <c r="F484" s="183">
        <v>5040</v>
      </c>
      <c r="G484" s="563">
        <f t="shared" si="41"/>
        <v>105840</v>
      </c>
      <c r="H484" s="398" t="s">
        <v>5376</v>
      </c>
      <c r="I484" s="621" t="s">
        <v>9938</v>
      </c>
      <c r="J484" s="350">
        <v>26460</v>
      </c>
      <c r="L484" s="350">
        <f>4410+4410+4410+4410+4410+4410+4410+4410+4410+4410+4410+4410+4410+4410+4410</f>
        <v>66150</v>
      </c>
      <c r="M484" s="350">
        <f t="shared" si="42"/>
        <v>92610</v>
      </c>
      <c r="O484" s="351">
        <f t="shared" si="43"/>
        <v>13230</v>
      </c>
      <c r="P484" s="564" t="s">
        <v>4346</v>
      </c>
      <c r="Q484" s="400" t="s">
        <v>5286</v>
      </c>
    </row>
    <row r="485" spans="1:17">
      <c r="A485" s="183">
        <v>20170426</v>
      </c>
      <c r="B485" s="183" t="s">
        <v>5200</v>
      </c>
      <c r="C485" s="199" t="s">
        <v>5201</v>
      </c>
      <c r="D485" s="617"/>
      <c r="E485" s="199">
        <v>28000</v>
      </c>
      <c r="F485" s="183">
        <v>1400</v>
      </c>
      <c r="G485" s="563">
        <f t="shared" si="41"/>
        <v>29400</v>
      </c>
      <c r="I485" s="398" t="s">
        <v>5402</v>
      </c>
      <c r="L485" s="634">
        <v>29400</v>
      </c>
      <c r="M485" s="350">
        <f t="shared" si="42"/>
        <v>29400</v>
      </c>
      <c r="O485" s="351">
        <f t="shared" si="43"/>
        <v>0</v>
      </c>
      <c r="P485" s="564" t="s">
        <v>5206</v>
      </c>
      <c r="Q485" s="403" t="s">
        <v>5669</v>
      </c>
    </row>
    <row r="486" spans="1:17">
      <c r="A486" s="183">
        <v>20170502</v>
      </c>
      <c r="B486" s="183" t="s">
        <v>5207</v>
      </c>
      <c r="C486" s="183" t="s">
        <v>5208</v>
      </c>
      <c r="D486" s="617"/>
      <c r="E486" s="183">
        <v>19500</v>
      </c>
      <c r="F486" s="183">
        <v>975</v>
      </c>
      <c r="G486" s="563">
        <f t="shared" si="41"/>
        <v>20475</v>
      </c>
      <c r="H486" s="350">
        <v>1</v>
      </c>
      <c r="I486" s="350">
        <v>1270</v>
      </c>
      <c r="J486" s="350">
        <v>20475</v>
      </c>
      <c r="M486" s="350">
        <f t="shared" si="42"/>
        <v>20475</v>
      </c>
      <c r="O486" s="351">
        <f t="shared" si="43"/>
        <v>0</v>
      </c>
      <c r="P486" s="564" t="s">
        <v>5222</v>
      </c>
    </row>
    <row r="487" spans="1:17">
      <c r="A487" s="183">
        <v>20170502</v>
      </c>
      <c r="B487" s="183" t="s">
        <v>5209</v>
      </c>
      <c r="C487" s="183" t="s">
        <v>5208</v>
      </c>
      <c r="D487" s="618"/>
      <c r="E487" s="183">
        <v>316000</v>
      </c>
      <c r="F487" s="183">
        <v>15800</v>
      </c>
      <c r="G487" s="563">
        <f>E487+F487</f>
        <v>331800</v>
      </c>
      <c r="I487" s="350">
        <v>1269</v>
      </c>
      <c r="J487" s="350">
        <v>331800</v>
      </c>
      <c r="M487" s="350">
        <f t="shared" si="42"/>
        <v>331800</v>
      </c>
      <c r="O487" s="351">
        <f t="shared" si="43"/>
        <v>0</v>
      </c>
      <c r="P487" s="564" t="s">
        <v>5222</v>
      </c>
      <c r="Q487" s="403" t="s">
        <v>5471</v>
      </c>
    </row>
    <row r="488" spans="1:17">
      <c r="A488" s="183">
        <v>20170502</v>
      </c>
      <c r="B488" s="183" t="s">
        <v>5210</v>
      </c>
      <c r="C488" s="183" t="s">
        <v>5208</v>
      </c>
      <c r="D488" s="618"/>
      <c r="E488" s="183">
        <v>3000</v>
      </c>
      <c r="F488" s="183">
        <v>150</v>
      </c>
      <c r="G488" s="563">
        <f>E488+F488</f>
        <v>3150</v>
      </c>
      <c r="H488" s="398"/>
      <c r="I488" s="398" t="s">
        <v>4808</v>
      </c>
      <c r="L488" s="634">
        <v>3150</v>
      </c>
      <c r="M488" s="350">
        <f t="shared" si="42"/>
        <v>3150</v>
      </c>
      <c r="O488" s="351">
        <f t="shared" si="43"/>
        <v>0</v>
      </c>
      <c r="P488" s="564" t="s">
        <v>5222</v>
      </c>
      <c r="Q488" s="403" t="s">
        <v>5667</v>
      </c>
    </row>
    <row r="489" spans="1:17">
      <c r="A489" s="183">
        <v>20170508</v>
      </c>
      <c r="B489" s="183" t="s">
        <v>5211</v>
      </c>
      <c r="C489" s="183" t="s">
        <v>4201</v>
      </c>
      <c r="D489" s="617"/>
      <c r="E489" s="183">
        <v>19500</v>
      </c>
      <c r="F489" s="183">
        <v>975</v>
      </c>
      <c r="G489" s="563">
        <f>E489+F489</f>
        <v>20475</v>
      </c>
      <c r="H489" s="350">
        <v>3</v>
      </c>
      <c r="I489" s="350">
        <v>1152</v>
      </c>
      <c r="K489" s="350">
        <v>20475</v>
      </c>
      <c r="M489" s="350">
        <f t="shared" si="42"/>
        <v>20475</v>
      </c>
      <c r="O489" s="351">
        <f t="shared" si="43"/>
        <v>0</v>
      </c>
      <c r="P489" s="564" t="s">
        <v>4308</v>
      </c>
    </row>
    <row r="490" spans="1:17">
      <c r="A490" s="183">
        <v>20170508</v>
      </c>
      <c r="B490" s="183" t="s">
        <v>5212</v>
      </c>
      <c r="C490" s="199" t="s">
        <v>4000</v>
      </c>
      <c r="D490" s="617"/>
      <c r="E490" s="199">
        <v>19500</v>
      </c>
      <c r="F490" s="183">
        <v>975</v>
      </c>
      <c r="G490" s="563">
        <f t="shared" si="41"/>
        <v>20475</v>
      </c>
      <c r="H490" s="350">
        <v>3</v>
      </c>
      <c r="I490" s="350">
        <v>1160</v>
      </c>
      <c r="K490" s="350">
        <v>20475</v>
      </c>
      <c r="M490" s="350">
        <f t="shared" si="42"/>
        <v>20475</v>
      </c>
      <c r="O490" s="351">
        <f t="shared" si="43"/>
        <v>0</v>
      </c>
      <c r="P490" s="564" t="s">
        <v>4310</v>
      </c>
    </row>
    <row r="491" spans="1:17">
      <c r="A491" s="183">
        <v>20170508</v>
      </c>
      <c r="B491" s="183" t="s">
        <v>5213</v>
      </c>
      <c r="C491" s="199" t="s">
        <v>4000</v>
      </c>
      <c r="D491" s="617"/>
      <c r="E491" s="199">
        <v>15600</v>
      </c>
      <c r="F491" s="183">
        <v>780</v>
      </c>
      <c r="G491" s="563">
        <f t="shared" si="41"/>
        <v>16380</v>
      </c>
      <c r="H491" s="350">
        <v>3</v>
      </c>
      <c r="I491" s="350">
        <v>1168</v>
      </c>
      <c r="K491" s="350">
        <v>16380</v>
      </c>
      <c r="M491" s="350">
        <f t="shared" si="42"/>
        <v>16380</v>
      </c>
      <c r="O491" s="351">
        <f t="shared" si="43"/>
        <v>0</v>
      </c>
      <c r="P491" s="564" t="s">
        <v>4310</v>
      </c>
    </row>
    <row r="492" spans="1:17">
      <c r="A492" s="183">
        <v>20170508</v>
      </c>
      <c r="B492" s="183" t="s">
        <v>5214</v>
      </c>
      <c r="C492" s="199" t="s">
        <v>4204</v>
      </c>
      <c r="D492" s="617"/>
      <c r="E492" s="199">
        <v>19500</v>
      </c>
      <c r="F492" s="183">
        <v>975</v>
      </c>
      <c r="G492" s="563">
        <f t="shared" si="41"/>
        <v>20475</v>
      </c>
      <c r="H492" s="350">
        <v>8</v>
      </c>
      <c r="I492" s="350">
        <v>1025</v>
      </c>
      <c r="K492" s="350">
        <v>20475</v>
      </c>
      <c r="M492" s="350">
        <f t="shared" si="42"/>
        <v>20475</v>
      </c>
      <c r="O492" s="351">
        <f t="shared" si="43"/>
        <v>0</v>
      </c>
      <c r="P492" s="564" t="s">
        <v>4313</v>
      </c>
    </row>
    <row r="493" spans="1:17">
      <c r="A493" s="183">
        <v>20170508</v>
      </c>
      <c r="B493" s="183" t="s">
        <v>5215</v>
      </c>
      <c r="C493" s="199" t="s">
        <v>4056</v>
      </c>
      <c r="D493" s="617"/>
      <c r="E493" s="199">
        <v>19500</v>
      </c>
      <c r="F493" s="183">
        <v>975</v>
      </c>
      <c r="G493" s="563">
        <f t="shared" si="41"/>
        <v>20475</v>
      </c>
      <c r="H493" s="350">
        <v>2</v>
      </c>
      <c r="I493" s="350">
        <v>1189</v>
      </c>
      <c r="K493" s="350">
        <v>20475</v>
      </c>
      <c r="M493" s="350">
        <f t="shared" si="42"/>
        <v>20475</v>
      </c>
      <c r="O493" s="351">
        <f t="shared" si="43"/>
        <v>0</v>
      </c>
      <c r="P493" s="564" t="s">
        <v>4331</v>
      </c>
    </row>
    <row r="494" spans="1:17">
      <c r="A494" s="183"/>
      <c r="B494" s="183" t="s">
        <v>5216</v>
      </c>
      <c r="C494" s="199" t="s">
        <v>5217</v>
      </c>
      <c r="D494" s="617"/>
      <c r="E494" s="199"/>
      <c r="F494" s="183"/>
      <c r="G494" s="563">
        <f t="shared" si="41"/>
        <v>0</v>
      </c>
      <c r="M494" s="350">
        <f t="shared" si="42"/>
        <v>0</v>
      </c>
      <c r="O494" s="351">
        <f t="shared" si="43"/>
        <v>0</v>
      </c>
      <c r="P494" s="564"/>
    </row>
    <row r="495" spans="1:17">
      <c r="A495" s="183">
        <v>20170515</v>
      </c>
      <c r="B495" s="183" t="s">
        <v>5218</v>
      </c>
      <c r="C495" s="199" t="s">
        <v>4113</v>
      </c>
      <c r="D495" s="617"/>
      <c r="E495" s="199">
        <v>100800</v>
      </c>
      <c r="F495" s="183">
        <v>5040</v>
      </c>
      <c r="G495" s="563">
        <f t="shared" si="41"/>
        <v>105840</v>
      </c>
      <c r="H495" s="399" t="s">
        <v>4302</v>
      </c>
      <c r="I495" s="398" t="s">
        <v>5630</v>
      </c>
      <c r="J495" s="350">
        <v>105840</v>
      </c>
      <c r="M495" s="350">
        <f t="shared" si="42"/>
        <v>105840</v>
      </c>
      <c r="O495" s="351">
        <f t="shared" si="43"/>
        <v>0</v>
      </c>
      <c r="P495" s="564" t="s">
        <v>4343</v>
      </c>
    </row>
    <row r="496" spans="1:17">
      <c r="A496" s="183">
        <v>20170515</v>
      </c>
      <c r="B496" s="183" t="s">
        <v>5219</v>
      </c>
      <c r="C496" s="199" t="s">
        <v>4315</v>
      </c>
      <c r="D496" s="617"/>
      <c r="E496" s="199">
        <v>15600</v>
      </c>
      <c r="F496" s="183">
        <v>780</v>
      </c>
      <c r="G496" s="563">
        <f t="shared" si="41"/>
        <v>16380</v>
      </c>
      <c r="H496" s="350">
        <v>1</v>
      </c>
      <c r="I496" s="350">
        <v>1278</v>
      </c>
      <c r="J496" s="350">
        <v>16380</v>
      </c>
      <c r="M496" s="350">
        <f t="shared" si="42"/>
        <v>16380</v>
      </c>
      <c r="O496" s="351">
        <f t="shared" si="43"/>
        <v>0</v>
      </c>
      <c r="P496" s="564" t="s">
        <v>4316</v>
      </c>
    </row>
    <row r="497" spans="1:16">
      <c r="A497" s="183">
        <v>20170605</v>
      </c>
      <c r="B497" s="183" t="s">
        <v>5220</v>
      </c>
      <c r="C497" s="199" t="s">
        <v>447</v>
      </c>
      <c r="D497" s="617"/>
      <c r="E497" s="199">
        <v>13500</v>
      </c>
      <c r="F497" s="183">
        <v>675</v>
      </c>
      <c r="G497" s="563">
        <f t="shared" si="41"/>
        <v>14175</v>
      </c>
      <c r="H497" s="350">
        <v>6</v>
      </c>
      <c r="I497" s="398" t="s">
        <v>5278</v>
      </c>
      <c r="L497" s="350">
        <v>14165</v>
      </c>
      <c r="M497" s="350">
        <f t="shared" si="42"/>
        <v>14165</v>
      </c>
      <c r="N497" s="351">
        <v>10</v>
      </c>
      <c r="O497" s="351">
        <f t="shared" si="43"/>
        <v>0</v>
      </c>
      <c r="P497" s="564" t="s">
        <v>4321</v>
      </c>
    </row>
    <row r="498" spans="1:16">
      <c r="A498" s="183">
        <v>20170612</v>
      </c>
      <c r="B498" s="183" t="s">
        <v>5221</v>
      </c>
      <c r="C498" s="199" t="s">
        <v>906</v>
      </c>
      <c r="D498" s="617"/>
      <c r="E498" s="199">
        <v>108000</v>
      </c>
      <c r="F498" s="183">
        <v>5400</v>
      </c>
      <c r="G498" s="563">
        <f t="shared" si="41"/>
        <v>113400</v>
      </c>
      <c r="H498" s="399" t="s">
        <v>4302</v>
      </c>
      <c r="I498" s="398" t="s">
        <v>5631</v>
      </c>
      <c r="J498" s="350">
        <v>113400</v>
      </c>
      <c r="M498" s="350">
        <f t="shared" si="42"/>
        <v>113400</v>
      </c>
      <c r="O498" s="351">
        <f t="shared" si="43"/>
        <v>0</v>
      </c>
      <c r="P498" s="564" t="s">
        <v>4328</v>
      </c>
    </row>
    <row r="499" spans="1:16">
      <c r="A499" s="183">
        <v>20170703</v>
      </c>
      <c r="B499" s="183" t="s">
        <v>5223</v>
      </c>
      <c r="C499" s="183" t="s">
        <v>4339</v>
      </c>
      <c r="D499" s="617"/>
      <c r="E499" s="183">
        <v>13500</v>
      </c>
      <c r="F499" s="183">
        <v>675</v>
      </c>
      <c r="G499" s="563">
        <f t="shared" si="41"/>
        <v>14175</v>
      </c>
      <c r="H499" s="350">
        <v>1</v>
      </c>
      <c r="I499" s="398" t="s">
        <v>5279</v>
      </c>
      <c r="L499" s="350">
        <v>14165</v>
      </c>
      <c r="M499" s="350">
        <f t="shared" si="42"/>
        <v>14165</v>
      </c>
      <c r="N499" s="351">
        <v>10</v>
      </c>
      <c r="O499" s="351">
        <f t="shared" si="43"/>
        <v>0</v>
      </c>
      <c r="P499" s="564" t="s">
        <v>4340</v>
      </c>
    </row>
    <row r="500" spans="1:16">
      <c r="A500" s="183">
        <v>20170717</v>
      </c>
      <c r="B500" s="183" t="s">
        <v>5224</v>
      </c>
      <c r="C500" s="183" t="s">
        <v>4182</v>
      </c>
      <c r="D500" s="618"/>
      <c r="E500" s="183">
        <v>91200</v>
      </c>
      <c r="F500" s="183">
        <v>4560</v>
      </c>
      <c r="G500" s="563">
        <f>E500+F500</f>
        <v>95760</v>
      </c>
      <c r="H500" s="399" t="s">
        <v>4302</v>
      </c>
      <c r="I500" s="398" t="s">
        <v>5632</v>
      </c>
      <c r="J500" s="350">
        <v>95760</v>
      </c>
      <c r="M500" s="350">
        <f t="shared" si="42"/>
        <v>95760</v>
      </c>
      <c r="O500" s="351">
        <f t="shared" si="43"/>
        <v>0</v>
      </c>
      <c r="P500" s="564" t="s">
        <v>4369</v>
      </c>
    </row>
    <row r="501" spans="1:16">
      <c r="A501" s="183">
        <v>20170801</v>
      </c>
      <c r="B501" s="183" t="s">
        <v>5225</v>
      </c>
      <c r="C501" s="183" t="s">
        <v>4201</v>
      </c>
      <c r="D501" s="618"/>
      <c r="E501" s="183">
        <v>19500</v>
      </c>
      <c r="F501" s="183">
        <v>975</v>
      </c>
      <c r="G501" s="563">
        <f>E501+F501</f>
        <v>20475</v>
      </c>
      <c r="H501" s="350">
        <v>4</v>
      </c>
      <c r="I501" s="350">
        <v>1153</v>
      </c>
      <c r="K501" s="350">
        <v>20475</v>
      </c>
      <c r="M501" s="350">
        <f t="shared" si="42"/>
        <v>20475</v>
      </c>
      <c r="O501" s="351">
        <f t="shared" si="43"/>
        <v>0</v>
      </c>
      <c r="P501" s="564" t="s">
        <v>4308</v>
      </c>
    </row>
    <row r="502" spans="1:16">
      <c r="A502" s="183">
        <v>20170801</v>
      </c>
      <c r="B502" s="183" t="s">
        <v>5226</v>
      </c>
      <c r="C502" s="183" t="s">
        <v>4000</v>
      </c>
      <c r="D502" s="617"/>
      <c r="E502" s="183">
        <v>19500</v>
      </c>
      <c r="F502" s="183">
        <v>975</v>
      </c>
      <c r="G502" s="563">
        <f>E502+F502</f>
        <v>20475</v>
      </c>
      <c r="H502" s="350">
        <v>4</v>
      </c>
      <c r="I502" s="350">
        <v>1161</v>
      </c>
      <c r="K502" s="350">
        <v>20475</v>
      </c>
      <c r="M502" s="350">
        <f t="shared" si="42"/>
        <v>20475</v>
      </c>
      <c r="O502" s="351">
        <f t="shared" si="43"/>
        <v>0</v>
      </c>
      <c r="P502" s="564" t="s">
        <v>4310</v>
      </c>
    </row>
    <row r="503" spans="1:16">
      <c r="A503" s="183"/>
      <c r="B503" s="183" t="s">
        <v>5227</v>
      </c>
      <c r="C503" s="199" t="s">
        <v>5217</v>
      </c>
      <c r="D503" s="617"/>
      <c r="E503" s="199"/>
      <c r="F503" s="183"/>
      <c r="G503" s="563">
        <f t="shared" si="41"/>
        <v>0</v>
      </c>
      <c r="M503" s="350">
        <f t="shared" si="42"/>
        <v>0</v>
      </c>
      <c r="O503" s="351">
        <f t="shared" si="43"/>
        <v>0</v>
      </c>
      <c r="P503" s="564"/>
    </row>
    <row r="504" spans="1:16">
      <c r="A504" s="183">
        <v>20170801</v>
      </c>
      <c r="B504" s="183" t="s">
        <v>5228</v>
      </c>
      <c r="C504" s="199" t="s">
        <v>4000</v>
      </c>
      <c r="D504" s="617"/>
      <c r="E504" s="199">
        <v>15600</v>
      </c>
      <c r="F504" s="183">
        <v>780</v>
      </c>
      <c r="G504" s="563">
        <f t="shared" si="41"/>
        <v>16380</v>
      </c>
      <c r="H504" s="350">
        <v>4</v>
      </c>
      <c r="I504" s="350">
        <v>1169</v>
      </c>
      <c r="K504" s="350">
        <v>16380</v>
      </c>
      <c r="M504" s="350">
        <f t="shared" si="42"/>
        <v>16380</v>
      </c>
      <c r="O504" s="351">
        <f t="shared" si="43"/>
        <v>0</v>
      </c>
      <c r="P504" s="564" t="s">
        <v>4310</v>
      </c>
    </row>
    <row r="505" spans="1:16">
      <c r="A505" s="183">
        <v>20170801</v>
      </c>
      <c r="B505" s="183" t="s">
        <v>5229</v>
      </c>
      <c r="C505" s="199" t="s">
        <v>4056</v>
      </c>
      <c r="D505" s="617"/>
      <c r="E505" s="199">
        <v>19500</v>
      </c>
      <c r="F505" s="183">
        <v>975</v>
      </c>
      <c r="G505" s="563">
        <f t="shared" si="41"/>
        <v>20475</v>
      </c>
      <c r="H505" s="350">
        <v>3</v>
      </c>
      <c r="I505" s="350">
        <v>1190</v>
      </c>
      <c r="K505" s="350">
        <v>20475</v>
      </c>
      <c r="M505" s="350">
        <f t="shared" si="42"/>
        <v>20475</v>
      </c>
      <c r="O505" s="351">
        <f t="shared" si="43"/>
        <v>0</v>
      </c>
      <c r="P505" s="564" t="s">
        <v>4331</v>
      </c>
    </row>
    <row r="506" spans="1:16">
      <c r="A506" s="183">
        <v>20170801</v>
      </c>
      <c r="B506" s="183" t="s">
        <v>5230</v>
      </c>
      <c r="C506" s="199" t="s">
        <v>5208</v>
      </c>
      <c r="D506" s="617"/>
      <c r="E506" s="199">
        <v>19500</v>
      </c>
      <c r="F506" s="183">
        <v>975</v>
      </c>
      <c r="G506" s="563">
        <f t="shared" si="41"/>
        <v>20475</v>
      </c>
      <c r="H506" s="350">
        <v>2</v>
      </c>
      <c r="I506" s="350">
        <v>1271</v>
      </c>
      <c r="K506" s="350">
        <v>20475</v>
      </c>
      <c r="M506" s="350">
        <f t="shared" si="42"/>
        <v>20475</v>
      </c>
      <c r="O506" s="351">
        <f t="shared" si="43"/>
        <v>0</v>
      </c>
      <c r="P506" s="564" t="s">
        <v>5222</v>
      </c>
    </row>
    <row r="507" spans="1:16">
      <c r="A507" s="183"/>
      <c r="B507" s="183" t="s">
        <v>5231</v>
      </c>
      <c r="C507" s="199" t="s">
        <v>5217</v>
      </c>
      <c r="D507" s="617"/>
      <c r="E507" s="199"/>
      <c r="F507" s="183"/>
      <c r="G507" s="563">
        <f t="shared" si="41"/>
        <v>0</v>
      </c>
      <c r="M507" s="350">
        <f t="shared" si="42"/>
        <v>0</v>
      </c>
      <c r="O507" s="351">
        <f t="shared" si="43"/>
        <v>0</v>
      </c>
      <c r="P507" s="564"/>
    </row>
    <row r="508" spans="1:16">
      <c r="A508" s="183">
        <v>20170807</v>
      </c>
      <c r="B508" s="183" t="s">
        <v>5232</v>
      </c>
      <c r="C508" s="199" t="s">
        <v>4315</v>
      </c>
      <c r="D508" s="617"/>
      <c r="E508" s="199">
        <v>15600</v>
      </c>
      <c r="F508" s="183">
        <v>780</v>
      </c>
      <c r="G508" s="563">
        <f t="shared" si="41"/>
        <v>16380</v>
      </c>
      <c r="H508" s="350">
        <v>2</v>
      </c>
      <c r="I508" s="350">
        <v>1323</v>
      </c>
      <c r="J508" s="350">
        <v>16380</v>
      </c>
      <c r="M508" s="350">
        <f t="shared" si="42"/>
        <v>16380</v>
      </c>
      <c r="O508" s="351">
        <f t="shared" si="43"/>
        <v>0</v>
      </c>
      <c r="P508" s="564" t="s">
        <v>4316</v>
      </c>
    </row>
    <row r="509" spans="1:16">
      <c r="A509" s="183">
        <v>20170807</v>
      </c>
      <c r="B509" s="183" t="s">
        <v>5233</v>
      </c>
      <c r="C509" s="199" t="s">
        <v>4339</v>
      </c>
      <c r="D509" s="617"/>
      <c r="E509" s="199">
        <v>13500</v>
      </c>
      <c r="F509" s="183">
        <v>675</v>
      </c>
      <c r="G509" s="563">
        <f t="shared" si="41"/>
        <v>14175</v>
      </c>
      <c r="H509" s="350">
        <v>2</v>
      </c>
      <c r="I509" s="398" t="s">
        <v>5283</v>
      </c>
      <c r="L509" s="350">
        <v>14145</v>
      </c>
      <c r="M509" s="350">
        <f t="shared" si="42"/>
        <v>14145</v>
      </c>
      <c r="N509" s="351">
        <v>30</v>
      </c>
      <c r="O509" s="351">
        <f t="shared" si="43"/>
        <v>0</v>
      </c>
      <c r="P509" s="564" t="s">
        <v>4340</v>
      </c>
    </row>
    <row r="510" spans="1:16">
      <c r="A510" s="183">
        <v>20170808</v>
      </c>
      <c r="B510" s="183" t="s">
        <v>5234</v>
      </c>
      <c r="C510" s="199" t="s">
        <v>5235</v>
      </c>
      <c r="D510" s="617"/>
      <c r="E510" s="199">
        <v>43200</v>
      </c>
      <c r="F510" s="183">
        <v>2160</v>
      </c>
      <c r="G510" s="563">
        <f t="shared" si="41"/>
        <v>45360</v>
      </c>
      <c r="H510" s="622" t="s">
        <v>5269</v>
      </c>
      <c r="I510" s="398" t="s">
        <v>5280</v>
      </c>
      <c r="L510" s="350">
        <v>45360</v>
      </c>
      <c r="M510" s="350">
        <f t="shared" si="42"/>
        <v>45360</v>
      </c>
      <c r="O510" s="351">
        <f t="shared" si="43"/>
        <v>0</v>
      </c>
      <c r="P510" s="564" t="s">
        <v>4553</v>
      </c>
    </row>
    <row r="511" spans="1:16">
      <c r="A511" s="183">
        <v>20170809</v>
      </c>
      <c r="B511" s="183" t="s">
        <v>5236</v>
      </c>
      <c r="C511" s="199" t="s">
        <v>4149</v>
      </c>
      <c r="D511" s="617"/>
      <c r="E511" s="199">
        <v>108000</v>
      </c>
      <c r="F511" s="183">
        <v>5400</v>
      </c>
      <c r="G511" s="563">
        <f t="shared" si="41"/>
        <v>113400</v>
      </c>
      <c r="H511" s="399" t="s">
        <v>4302</v>
      </c>
      <c r="I511" s="398" t="s">
        <v>5633</v>
      </c>
      <c r="J511" s="350">
        <v>113400</v>
      </c>
      <c r="M511" s="350">
        <f t="shared" si="42"/>
        <v>113400</v>
      </c>
      <c r="O511" s="351">
        <f t="shared" si="43"/>
        <v>0</v>
      </c>
      <c r="P511" s="564" t="s">
        <v>4358</v>
      </c>
    </row>
    <row r="512" spans="1:16">
      <c r="A512" s="183">
        <v>20170901</v>
      </c>
      <c r="B512" s="183" t="s">
        <v>5237</v>
      </c>
      <c r="C512" s="183" t="s">
        <v>4204</v>
      </c>
      <c r="D512" s="617"/>
      <c r="E512" s="183">
        <v>19500</v>
      </c>
      <c r="F512" s="183">
        <v>975</v>
      </c>
      <c r="G512" s="563">
        <f t="shared" si="41"/>
        <v>20475</v>
      </c>
      <c r="H512" s="350">
        <v>1</v>
      </c>
      <c r="I512" s="350">
        <v>1315</v>
      </c>
      <c r="J512" s="350">
        <v>20475</v>
      </c>
      <c r="M512" s="350">
        <f t="shared" si="42"/>
        <v>20475</v>
      </c>
      <c r="O512" s="351">
        <f t="shared" si="43"/>
        <v>0</v>
      </c>
      <c r="P512" s="564" t="s">
        <v>4313</v>
      </c>
    </row>
    <row r="513" spans="1:16">
      <c r="A513" s="183">
        <v>20170901</v>
      </c>
      <c r="B513" s="183" t="s">
        <v>5238</v>
      </c>
      <c r="C513" s="183" t="s">
        <v>4204</v>
      </c>
      <c r="D513" s="618"/>
      <c r="E513" s="183">
        <v>72000</v>
      </c>
      <c r="F513" s="183">
        <v>3600</v>
      </c>
      <c r="G513" s="563">
        <f t="shared" si="41"/>
        <v>75600</v>
      </c>
      <c r="H513" s="379"/>
      <c r="I513" s="398" t="s">
        <v>5271</v>
      </c>
      <c r="L513" s="350">
        <v>75600</v>
      </c>
      <c r="M513" s="350">
        <f t="shared" si="42"/>
        <v>75600</v>
      </c>
      <c r="O513" s="351">
        <f t="shared" si="43"/>
        <v>0</v>
      </c>
      <c r="P513" s="564" t="s">
        <v>4313</v>
      </c>
    </row>
    <row r="514" spans="1:16">
      <c r="A514" s="183">
        <v>20170901</v>
      </c>
      <c r="B514" s="183" t="s">
        <v>5239</v>
      </c>
      <c r="C514" s="183" t="s">
        <v>4230</v>
      </c>
      <c r="D514" s="618"/>
      <c r="E514" s="183">
        <v>43200</v>
      </c>
      <c r="F514" s="183">
        <v>2160</v>
      </c>
      <c r="G514" s="563">
        <f t="shared" si="41"/>
        <v>45360</v>
      </c>
      <c r="H514" s="399" t="s">
        <v>5521</v>
      </c>
      <c r="I514" s="398" t="s">
        <v>5634</v>
      </c>
      <c r="J514" s="350">
        <v>45360</v>
      </c>
      <c r="M514" s="350">
        <f t="shared" si="42"/>
        <v>45360</v>
      </c>
      <c r="O514" s="351">
        <f t="shared" si="43"/>
        <v>0</v>
      </c>
      <c r="P514" s="564" t="s">
        <v>4394</v>
      </c>
    </row>
    <row r="515" spans="1:16">
      <c r="A515" s="183">
        <v>20170911</v>
      </c>
      <c r="B515" s="183" t="s">
        <v>5240</v>
      </c>
      <c r="C515" s="183" t="s">
        <v>4318</v>
      </c>
      <c r="D515" s="617"/>
      <c r="E515" s="183">
        <v>12857</v>
      </c>
      <c r="F515" s="183">
        <v>643</v>
      </c>
      <c r="G515" s="563">
        <f t="shared" si="41"/>
        <v>13500</v>
      </c>
      <c r="H515" s="350">
        <v>1</v>
      </c>
      <c r="I515" s="398" t="s">
        <v>4293</v>
      </c>
      <c r="L515" s="350">
        <v>13485</v>
      </c>
      <c r="M515" s="350">
        <f t="shared" si="42"/>
        <v>13485</v>
      </c>
      <c r="N515" s="351">
        <v>15</v>
      </c>
      <c r="O515" s="351">
        <f t="shared" si="43"/>
        <v>0</v>
      </c>
      <c r="P515" s="564" t="s">
        <v>4319</v>
      </c>
    </row>
    <row r="516" spans="1:16">
      <c r="A516" s="183">
        <v>20170914</v>
      </c>
      <c r="B516" s="183" t="s">
        <v>5241</v>
      </c>
      <c r="C516" s="199" t="s">
        <v>456</v>
      </c>
      <c r="D516" s="617"/>
      <c r="E516" s="199">
        <v>12600</v>
      </c>
      <c r="F516" s="183">
        <v>630</v>
      </c>
      <c r="G516" s="563">
        <f t="shared" si="41"/>
        <v>13230</v>
      </c>
      <c r="H516" s="350">
        <v>1</v>
      </c>
      <c r="I516" s="398" t="s">
        <v>5282</v>
      </c>
      <c r="L516" s="350">
        <v>13230</v>
      </c>
      <c r="M516" s="350">
        <f t="shared" si="42"/>
        <v>13230</v>
      </c>
      <c r="O516" s="351">
        <f t="shared" si="43"/>
        <v>0</v>
      </c>
      <c r="P516" s="564" t="s">
        <v>4323</v>
      </c>
    </row>
    <row r="517" spans="1:16">
      <c r="A517" s="183">
        <v>20170928</v>
      </c>
      <c r="B517" s="183" t="s">
        <v>5242</v>
      </c>
      <c r="C517" s="199" t="s">
        <v>447</v>
      </c>
      <c r="D517" s="617"/>
      <c r="E517" s="199">
        <v>13500</v>
      </c>
      <c r="F517" s="183">
        <v>675</v>
      </c>
      <c r="G517" s="563">
        <f t="shared" si="41"/>
        <v>14175</v>
      </c>
      <c r="H517" s="350">
        <v>7</v>
      </c>
      <c r="I517" s="398" t="s">
        <v>5287</v>
      </c>
      <c r="L517" s="350">
        <v>14165</v>
      </c>
      <c r="M517" s="350">
        <f t="shared" si="42"/>
        <v>14165</v>
      </c>
      <c r="N517" s="351">
        <v>10</v>
      </c>
      <c r="O517" s="351">
        <f t="shared" si="43"/>
        <v>0</v>
      </c>
      <c r="P517" s="564" t="s">
        <v>4321</v>
      </c>
    </row>
    <row r="518" spans="1:16">
      <c r="A518" s="183">
        <v>20171023</v>
      </c>
      <c r="B518" s="183" t="s">
        <v>5243</v>
      </c>
      <c r="C518" s="199" t="s">
        <v>831</v>
      </c>
      <c r="D518" s="617"/>
      <c r="E518" s="199">
        <v>102857</v>
      </c>
      <c r="F518" s="183">
        <v>5143</v>
      </c>
      <c r="G518" s="563">
        <f t="shared" si="41"/>
        <v>108000</v>
      </c>
      <c r="H518" s="399" t="s">
        <v>4302</v>
      </c>
      <c r="I518" s="398" t="s">
        <v>5635</v>
      </c>
      <c r="J518" s="350">
        <v>108000</v>
      </c>
      <c r="M518" s="350">
        <f t="shared" si="42"/>
        <v>108000</v>
      </c>
      <c r="O518" s="351">
        <f t="shared" si="43"/>
        <v>0</v>
      </c>
      <c r="P518" s="564" t="s">
        <v>4384</v>
      </c>
    </row>
    <row r="519" spans="1:16">
      <c r="A519" s="183">
        <v>20171101</v>
      </c>
      <c r="B519" s="183" t="s">
        <v>5244</v>
      </c>
      <c r="C519" s="183" t="s">
        <v>4201</v>
      </c>
      <c r="D519" s="617"/>
      <c r="E519" s="183">
        <v>108000</v>
      </c>
      <c r="F519" s="183">
        <v>5400</v>
      </c>
      <c r="G519" s="563">
        <f t="shared" si="41"/>
        <v>113400</v>
      </c>
      <c r="H519" s="379"/>
      <c r="I519" s="398" t="s">
        <v>5289</v>
      </c>
      <c r="L519" s="350">
        <v>113390</v>
      </c>
      <c r="M519" s="350">
        <f t="shared" si="42"/>
        <v>113390</v>
      </c>
      <c r="N519" s="351">
        <v>10</v>
      </c>
      <c r="O519" s="351">
        <f t="shared" si="43"/>
        <v>0</v>
      </c>
      <c r="P519" s="564" t="s">
        <v>4308</v>
      </c>
    </row>
    <row r="520" spans="1:16">
      <c r="A520" s="183">
        <v>20171101</v>
      </c>
      <c r="B520" s="183" t="s">
        <v>5245</v>
      </c>
      <c r="C520" s="183" t="s">
        <v>4000</v>
      </c>
      <c r="D520" s="618"/>
      <c r="E520" s="183">
        <v>108000</v>
      </c>
      <c r="F520" s="183">
        <v>5400</v>
      </c>
      <c r="G520" s="563">
        <f t="shared" si="41"/>
        <v>113400</v>
      </c>
      <c r="H520" s="379"/>
      <c r="I520" s="398" t="s">
        <v>5290</v>
      </c>
      <c r="L520" s="350">
        <v>113390</v>
      </c>
      <c r="M520" s="350">
        <f t="shared" si="42"/>
        <v>113390</v>
      </c>
      <c r="N520" s="351">
        <v>10</v>
      </c>
      <c r="O520" s="351">
        <f t="shared" si="43"/>
        <v>0</v>
      </c>
      <c r="P520" s="564" t="s">
        <v>4310</v>
      </c>
    </row>
    <row r="521" spans="1:16">
      <c r="A521" s="183">
        <v>20171114</v>
      </c>
      <c r="B521" s="183" t="s">
        <v>5246</v>
      </c>
      <c r="C521" s="183" t="s">
        <v>4201</v>
      </c>
      <c r="D521" s="618"/>
      <c r="E521" s="183">
        <v>19500</v>
      </c>
      <c r="F521" s="183">
        <v>975</v>
      </c>
      <c r="G521" s="563">
        <f t="shared" si="41"/>
        <v>20475</v>
      </c>
      <c r="H521" s="350">
        <v>5</v>
      </c>
      <c r="I521" s="350">
        <v>1154</v>
      </c>
      <c r="K521" s="350">
        <v>20475</v>
      </c>
      <c r="M521" s="350">
        <f t="shared" si="42"/>
        <v>20475</v>
      </c>
      <c r="O521" s="351">
        <f t="shared" si="43"/>
        <v>0</v>
      </c>
      <c r="P521" s="564" t="s">
        <v>4308</v>
      </c>
    </row>
    <row r="522" spans="1:16">
      <c r="A522" s="183">
        <v>20171114</v>
      </c>
      <c r="B522" s="183" t="s">
        <v>5247</v>
      </c>
      <c r="C522" s="183" t="s">
        <v>4000</v>
      </c>
      <c r="D522" s="617"/>
      <c r="E522" s="183">
        <v>19500</v>
      </c>
      <c r="F522" s="183">
        <v>975</v>
      </c>
      <c r="G522" s="563">
        <f t="shared" si="41"/>
        <v>20475</v>
      </c>
      <c r="H522" s="350">
        <v>5</v>
      </c>
      <c r="I522" s="350">
        <v>1162</v>
      </c>
      <c r="K522" s="350">
        <v>20475</v>
      </c>
      <c r="M522" s="350">
        <f t="shared" si="42"/>
        <v>20475</v>
      </c>
      <c r="O522" s="351">
        <f t="shared" si="43"/>
        <v>0</v>
      </c>
      <c r="P522" s="564" t="s">
        <v>4310</v>
      </c>
    </row>
    <row r="523" spans="1:16">
      <c r="A523" s="183">
        <v>20171114</v>
      </c>
      <c r="B523" s="183" t="s">
        <v>5248</v>
      </c>
      <c r="C523" s="199" t="s">
        <v>4000</v>
      </c>
      <c r="D523" s="617"/>
      <c r="E523" s="199">
        <v>15600</v>
      </c>
      <c r="F523" s="183">
        <v>780</v>
      </c>
      <c r="G523" s="563">
        <f t="shared" si="41"/>
        <v>16380</v>
      </c>
      <c r="H523" s="350">
        <v>5</v>
      </c>
      <c r="I523" s="350">
        <v>1170</v>
      </c>
      <c r="K523" s="350">
        <v>16380</v>
      </c>
      <c r="M523" s="350">
        <f t="shared" si="42"/>
        <v>16380</v>
      </c>
      <c r="O523" s="351">
        <f t="shared" si="43"/>
        <v>0</v>
      </c>
      <c r="P523" s="564" t="s">
        <v>4310</v>
      </c>
    </row>
    <row r="524" spans="1:16">
      <c r="A524" s="183">
        <v>20171114</v>
      </c>
      <c r="B524" s="183" t="s">
        <v>5249</v>
      </c>
      <c r="C524" s="199" t="s">
        <v>4204</v>
      </c>
      <c r="D524" s="617"/>
      <c r="E524" s="199">
        <v>19500</v>
      </c>
      <c r="F524" s="183">
        <v>975</v>
      </c>
      <c r="G524" s="563">
        <f t="shared" si="41"/>
        <v>20475</v>
      </c>
      <c r="H524" s="350">
        <v>2</v>
      </c>
      <c r="I524" s="350">
        <v>1316</v>
      </c>
      <c r="K524" s="350">
        <v>20475</v>
      </c>
      <c r="M524" s="350">
        <f t="shared" si="42"/>
        <v>20475</v>
      </c>
      <c r="O524" s="351">
        <f t="shared" si="43"/>
        <v>0</v>
      </c>
      <c r="P524" s="564" t="s">
        <v>4313</v>
      </c>
    </row>
    <row r="525" spans="1:16">
      <c r="A525" s="183">
        <v>20171114</v>
      </c>
      <c r="B525" s="183" t="s">
        <v>5250</v>
      </c>
      <c r="C525" s="199" t="s">
        <v>4056</v>
      </c>
      <c r="D525" s="617"/>
      <c r="E525" s="199">
        <v>19500</v>
      </c>
      <c r="F525" s="183">
        <v>975</v>
      </c>
      <c r="G525" s="563">
        <f t="shared" si="41"/>
        <v>20475</v>
      </c>
      <c r="H525" s="350">
        <v>4</v>
      </c>
      <c r="I525" s="350">
        <v>1191</v>
      </c>
      <c r="K525" s="350">
        <v>20475</v>
      </c>
      <c r="M525" s="350">
        <f t="shared" si="42"/>
        <v>20475</v>
      </c>
      <c r="O525" s="351">
        <f t="shared" si="43"/>
        <v>0</v>
      </c>
      <c r="P525" s="564" t="s">
        <v>4331</v>
      </c>
    </row>
    <row r="526" spans="1:16">
      <c r="A526" s="183">
        <v>20171114</v>
      </c>
      <c r="B526" s="183" t="s">
        <v>5251</v>
      </c>
      <c r="C526" s="199" t="s">
        <v>5208</v>
      </c>
      <c r="D526" s="617"/>
      <c r="E526" s="199">
        <v>19500</v>
      </c>
      <c r="F526" s="183">
        <v>975</v>
      </c>
      <c r="G526" s="563">
        <f t="shared" ref="G526:G533" si="44">E526+F526</f>
        <v>20475</v>
      </c>
      <c r="H526" s="350">
        <v>3</v>
      </c>
      <c r="I526" s="350">
        <v>1272</v>
      </c>
      <c r="K526" s="350">
        <v>20475</v>
      </c>
      <c r="M526" s="350">
        <f t="shared" si="42"/>
        <v>20475</v>
      </c>
      <c r="O526" s="351">
        <f t="shared" si="43"/>
        <v>0</v>
      </c>
      <c r="P526" s="564" t="s">
        <v>5222</v>
      </c>
    </row>
    <row r="527" spans="1:16">
      <c r="A527" s="183">
        <v>20171114</v>
      </c>
      <c r="B527" s="183" t="s">
        <v>5252</v>
      </c>
      <c r="C527" s="199" t="s">
        <v>4315</v>
      </c>
      <c r="D527" s="617"/>
      <c r="E527" s="199">
        <v>15600</v>
      </c>
      <c r="F527" s="183">
        <v>780</v>
      </c>
      <c r="G527" s="563">
        <f t="shared" si="44"/>
        <v>16380</v>
      </c>
      <c r="H527" s="350">
        <v>3</v>
      </c>
      <c r="I527" s="350">
        <v>1340</v>
      </c>
      <c r="J527" s="350">
        <v>16380</v>
      </c>
      <c r="M527" s="350">
        <f t="shared" ref="M527:M533" si="45">J527+K527+L527</f>
        <v>16380</v>
      </c>
      <c r="O527" s="351">
        <f t="shared" ref="O527:O533" si="46">G527-M527-N527</f>
        <v>0</v>
      </c>
      <c r="P527" s="564" t="s">
        <v>4316</v>
      </c>
    </row>
    <row r="528" spans="1:16">
      <c r="A528" s="183">
        <v>20171114</v>
      </c>
      <c r="B528" s="183" t="s">
        <v>5253</v>
      </c>
      <c r="C528" s="199" t="s">
        <v>4339</v>
      </c>
      <c r="D528" s="617"/>
      <c r="E528" s="199">
        <v>13500</v>
      </c>
      <c r="F528" s="183">
        <v>675</v>
      </c>
      <c r="G528" s="563">
        <f t="shared" si="44"/>
        <v>14175</v>
      </c>
      <c r="H528" s="350">
        <v>3</v>
      </c>
      <c r="I528" s="398" t="s">
        <v>5293</v>
      </c>
      <c r="L528" s="350">
        <v>14165</v>
      </c>
      <c r="M528" s="350">
        <f t="shared" si="45"/>
        <v>14165</v>
      </c>
      <c r="N528" s="351">
        <v>10</v>
      </c>
      <c r="O528" s="351">
        <f t="shared" si="46"/>
        <v>0</v>
      </c>
      <c r="P528" s="564" t="s">
        <v>4340</v>
      </c>
    </row>
    <row r="529" spans="1:16">
      <c r="A529" s="183">
        <v>20171128</v>
      </c>
      <c r="B529" s="183" t="s">
        <v>5254</v>
      </c>
      <c r="C529" s="199" t="s">
        <v>4131</v>
      </c>
      <c r="D529" s="617"/>
      <c r="E529" s="199">
        <v>108000</v>
      </c>
      <c r="F529" s="183">
        <v>5400</v>
      </c>
      <c r="G529" s="563">
        <f t="shared" si="44"/>
        <v>113400</v>
      </c>
      <c r="H529" s="399" t="s">
        <v>4302</v>
      </c>
      <c r="I529" s="398" t="s">
        <v>5636</v>
      </c>
      <c r="J529" s="350">
        <v>113400</v>
      </c>
      <c r="M529" s="350">
        <f t="shared" si="45"/>
        <v>113400</v>
      </c>
      <c r="O529" s="351">
        <f t="shared" si="46"/>
        <v>0</v>
      </c>
      <c r="P529" s="564" t="s">
        <v>4361</v>
      </c>
    </row>
    <row r="530" spans="1:16">
      <c r="A530" s="183">
        <v>20171219</v>
      </c>
      <c r="B530" s="183" t="s">
        <v>5255</v>
      </c>
      <c r="C530" s="199" t="s">
        <v>5208</v>
      </c>
      <c r="D530" s="617"/>
      <c r="E530" s="199">
        <v>79000</v>
      </c>
      <c r="F530" s="183">
        <v>3950</v>
      </c>
      <c r="G530" s="563">
        <f t="shared" si="44"/>
        <v>82950</v>
      </c>
      <c r="I530" s="350">
        <v>1352</v>
      </c>
      <c r="J530" s="350">
        <v>82950</v>
      </c>
      <c r="M530" s="350">
        <f t="shared" si="45"/>
        <v>82950</v>
      </c>
      <c r="O530" s="351">
        <f t="shared" si="46"/>
        <v>0</v>
      </c>
      <c r="P530" s="564" t="s">
        <v>5222</v>
      </c>
    </row>
    <row r="531" spans="1:16">
      <c r="A531" s="183">
        <v>20171220</v>
      </c>
      <c r="B531" s="183" t="s">
        <v>5256</v>
      </c>
      <c r="C531" s="199" t="s">
        <v>5208</v>
      </c>
      <c r="D531" s="617"/>
      <c r="E531" s="199">
        <v>79000</v>
      </c>
      <c r="F531" s="183">
        <v>3950</v>
      </c>
      <c r="G531" s="563">
        <f t="shared" si="44"/>
        <v>82950</v>
      </c>
      <c r="I531" s="350">
        <v>1352</v>
      </c>
      <c r="J531" s="350">
        <v>82950</v>
      </c>
      <c r="M531" s="350">
        <f t="shared" si="45"/>
        <v>82950</v>
      </c>
      <c r="O531" s="351">
        <f t="shared" si="46"/>
        <v>0</v>
      </c>
      <c r="P531" s="564" t="s">
        <v>5222</v>
      </c>
    </row>
    <row r="532" spans="1:16">
      <c r="A532" s="183">
        <v>20171221</v>
      </c>
      <c r="B532" s="183" t="s">
        <v>5257</v>
      </c>
      <c r="C532" s="199" t="s">
        <v>5208</v>
      </c>
      <c r="D532" s="617"/>
      <c r="E532" s="199">
        <v>79000</v>
      </c>
      <c r="F532" s="183">
        <v>3950</v>
      </c>
      <c r="G532" s="563">
        <f t="shared" si="44"/>
        <v>82950</v>
      </c>
      <c r="I532" s="350">
        <v>1352</v>
      </c>
      <c r="J532" s="350">
        <v>82950</v>
      </c>
      <c r="M532" s="350">
        <f t="shared" si="45"/>
        <v>82950</v>
      </c>
      <c r="O532" s="351">
        <f t="shared" si="46"/>
        <v>0</v>
      </c>
      <c r="P532" s="564" t="s">
        <v>5222</v>
      </c>
    </row>
    <row r="533" spans="1:16">
      <c r="A533" s="183">
        <v>20171222</v>
      </c>
      <c r="B533" s="183" t="s">
        <v>5258</v>
      </c>
      <c r="C533" s="199" t="s">
        <v>5208</v>
      </c>
      <c r="D533" s="617"/>
      <c r="E533" s="199">
        <v>79000</v>
      </c>
      <c r="F533" s="183">
        <v>3950</v>
      </c>
      <c r="G533" s="563">
        <f t="shared" si="44"/>
        <v>82950</v>
      </c>
      <c r="I533" s="350">
        <v>1352</v>
      </c>
      <c r="J533" s="350">
        <v>82950</v>
      </c>
      <c r="M533" s="350">
        <f t="shared" si="45"/>
        <v>82950</v>
      </c>
      <c r="O533" s="351">
        <f t="shared" si="46"/>
        <v>0</v>
      </c>
      <c r="P533" s="564" t="s">
        <v>5222</v>
      </c>
    </row>
    <row r="538" spans="1:16" s="347" customFormat="1">
      <c r="A538" s="401" t="s">
        <v>5812</v>
      </c>
      <c r="D538" s="348" t="s">
        <v>2377</v>
      </c>
      <c r="E538" s="376">
        <f>SUM(E539:E610)</f>
        <v>2538242</v>
      </c>
      <c r="F538" s="376">
        <f>SUM(F539:F610)</f>
        <v>126913</v>
      </c>
      <c r="G538" s="376">
        <f>SUM(G539:G610)</f>
        <v>2665155</v>
      </c>
      <c r="H538" s="349"/>
      <c r="I538" s="383"/>
      <c r="J538" s="376">
        <f t="shared" ref="J538:O538" si="47">SUM(J539:J610)</f>
        <v>1420605</v>
      </c>
      <c r="K538" s="376">
        <f t="shared" si="47"/>
        <v>479115</v>
      </c>
      <c r="L538" s="376">
        <f t="shared" si="47"/>
        <v>436575</v>
      </c>
      <c r="M538" s="376">
        <f t="shared" si="47"/>
        <v>2336295</v>
      </c>
      <c r="N538" s="376">
        <f t="shared" si="47"/>
        <v>150</v>
      </c>
      <c r="O538" s="376">
        <f t="shared" si="47"/>
        <v>328710</v>
      </c>
      <c r="P538" s="391"/>
    </row>
    <row r="539" spans="1:16">
      <c r="A539" s="183">
        <v>20180111</v>
      </c>
      <c r="B539" s="183" t="s">
        <v>5813</v>
      </c>
      <c r="C539" s="183" t="s">
        <v>5814</v>
      </c>
      <c r="D539" s="617"/>
      <c r="E539" s="183">
        <v>12600</v>
      </c>
      <c r="F539" s="183">
        <v>630</v>
      </c>
      <c r="G539" s="563">
        <f t="shared" ref="G539:G553" si="48">E539+F539</f>
        <v>13230</v>
      </c>
      <c r="H539" s="399" t="s">
        <v>9725</v>
      </c>
      <c r="I539" s="398" t="s">
        <v>9759</v>
      </c>
      <c r="L539" s="350">
        <v>13230</v>
      </c>
      <c r="M539" s="350">
        <f>J539+K539+L539</f>
        <v>13230</v>
      </c>
      <c r="O539" s="351">
        <f>G539-M539-N539</f>
        <v>0</v>
      </c>
      <c r="P539" s="564" t="s">
        <v>5845</v>
      </c>
    </row>
    <row r="540" spans="1:16">
      <c r="A540" s="183">
        <v>20180111</v>
      </c>
      <c r="B540" s="183" t="s">
        <v>5815</v>
      </c>
      <c r="C540" s="183" t="s">
        <v>5816</v>
      </c>
      <c r="D540" s="618"/>
      <c r="E540" s="183">
        <v>13500</v>
      </c>
      <c r="F540" s="183">
        <v>675</v>
      </c>
      <c r="G540" s="563">
        <f t="shared" si="48"/>
        <v>14175</v>
      </c>
      <c r="H540" s="399" t="s">
        <v>9932</v>
      </c>
      <c r="I540" s="398" t="s">
        <v>9933</v>
      </c>
      <c r="L540" s="350">
        <v>14165</v>
      </c>
      <c r="M540" s="350">
        <f t="shared" ref="M540:M603" si="49">J540+K540+L540</f>
        <v>14165</v>
      </c>
      <c r="N540" s="351">
        <v>10</v>
      </c>
      <c r="O540" s="351">
        <f t="shared" ref="O540:O603" si="50">G540-M540-N540</f>
        <v>0</v>
      </c>
      <c r="P540" s="564" t="s">
        <v>5846</v>
      </c>
    </row>
    <row r="541" spans="1:16">
      <c r="A541" s="183">
        <v>20180111</v>
      </c>
      <c r="B541" s="183" t="s">
        <v>5817</v>
      </c>
      <c r="C541" s="183" t="s">
        <v>5818</v>
      </c>
      <c r="D541" s="618"/>
      <c r="E541" s="183">
        <v>12857</v>
      </c>
      <c r="F541" s="183">
        <v>643</v>
      </c>
      <c r="G541" s="563">
        <f t="shared" si="48"/>
        <v>13500</v>
      </c>
      <c r="H541" s="399" t="s">
        <v>9936</v>
      </c>
      <c r="I541" s="398" t="s">
        <v>9939</v>
      </c>
      <c r="L541" s="350">
        <v>13485</v>
      </c>
      <c r="M541" s="350">
        <f t="shared" si="49"/>
        <v>13485</v>
      </c>
      <c r="N541" s="351">
        <v>15</v>
      </c>
      <c r="O541" s="351">
        <f t="shared" si="50"/>
        <v>0</v>
      </c>
      <c r="P541" s="564" t="s">
        <v>5847</v>
      </c>
    </row>
    <row r="542" spans="1:16">
      <c r="A542" s="183">
        <v>20180117</v>
      </c>
      <c r="B542" s="183" t="s">
        <v>5819</v>
      </c>
      <c r="C542" s="183" t="s">
        <v>5820</v>
      </c>
      <c r="D542" s="617"/>
      <c r="E542" s="183">
        <v>132000</v>
      </c>
      <c r="F542" s="183">
        <v>6600</v>
      </c>
      <c r="G542" s="563">
        <f t="shared" si="48"/>
        <v>138600</v>
      </c>
      <c r="H542" s="399" t="s">
        <v>9711</v>
      </c>
      <c r="I542" s="398" t="s">
        <v>10071</v>
      </c>
      <c r="J542" s="681">
        <v>138600</v>
      </c>
      <c r="M542" s="350">
        <f t="shared" si="49"/>
        <v>138600</v>
      </c>
      <c r="O542" s="351">
        <f t="shared" si="50"/>
        <v>0</v>
      </c>
      <c r="P542" s="564" t="s">
        <v>5848</v>
      </c>
    </row>
    <row r="543" spans="1:16">
      <c r="A543" s="183">
        <v>20180118</v>
      </c>
      <c r="B543" s="183" t="s">
        <v>5821</v>
      </c>
      <c r="C543" s="199" t="s">
        <v>5822</v>
      </c>
      <c r="D543" s="617"/>
      <c r="E543" s="199">
        <v>102857</v>
      </c>
      <c r="F543" s="183">
        <v>5143</v>
      </c>
      <c r="G543" s="563">
        <f t="shared" si="48"/>
        <v>108000</v>
      </c>
      <c r="H543" s="399" t="s">
        <v>9711</v>
      </c>
      <c r="I543" s="398" t="s">
        <v>10072</v>
      </c>
      <c r="J543" s="681">
        <v>108000</v>
      </c>
      <c r="M543" s="350">
        <f t="shared" si="49"/>
        <v>108000</v>
      </c>
      <c r="O543" s="351">
        <f t="shared" si="50"/>
        <v>0</v>
      </c>
      <c r="P543" s="564" t="s">
        <v>5849</v>
      </c>
    </row>
    <row r="544" spans="1:16">
      <c r="A544" s="183">
        <v>20180118</v>
      </c>
      <c r="B544" s="183" t="s">
        <v>5823</v>
      </c>
      <c r="C544" s="199" t="s">
        <v>5824</v>
      </c>
      <c r="D544" s="617"/>
      <c r="E544" s="199">
        <v>108000</v>
      </c>
      <c r="F544" s="183">
        <v>5400</v>
      </c>
      <c r="G544" s="563">
        <f t="shared" si="48"/>
        <v>113400</v>
      </c>
      <c r="H544" s="399" t="s">
        <v>9711</v>
      </c>
      <c r="I544" s="398" t="s">
        <v>10070</v>
      </c>
      <c r="J544" s="681">
        <v>113400</v>
      </c>
      <c r="M544" s="350">
        <f t="shared" si="49"/>
        <v>113400</v>
      </c>
      <c r="O544" s="351">
        <f t="shared" si="50"/>
        <v>0</v>
      </c>
      <c r="P544" s="564" t="s">
        <v>5850</v>
      </c>
    </row>
    <row r="545" spans="1:16">
      <c r="A545" s="183">
        <v>20180201</v>
      </c>
      <c r="B545" s="183" t="s">
        <v>5825</v>
      </c>
      <c r="C545" s="199" t="s">
        <v>5826</v>
      </c>
      <c r="D545" s="617"/>
      <c r="E545" s="199">
        <v>19500</v>
      </c>
      <c r="F545" s="183">
        <v>975</v>
      </c>
      <c r="G545" s="563">
        <f t="shared" si="48"/>
        <v>20475</v>
      </c>
      <c r="H545" s="399" t="s">
        <v>9776</v>
      </c>
      <c r="I545" s="350">
        <v>1361</v>
      </c>
      <c r="J545" s="681">
        <v>20475</v>
      </c>
      <c r="K545" s="681"/>
      <c r="M545" s="350">
        <f t="shared" si="49"/>
        <v>20475</v>
      </c>
      <c r="O545" s="351">
        <f t="shared" si="50"/>
        <v>0</v>
      </c>
      <c r="P545" s="564" t="s">
        <v>5851</v>
      </c>
    </row>
    <row r="546" spans="1:16">
      <c r="A546" s="183">
        <v>20180201</v>
      </c>
      <c r="B546" s="183" t="s">
        <v>5827</v>
      </c>
      <c r="C546" s="199" t="s">
        <v>5826</v>
      </c>
      <c r="D546" s="617"/>
      <c r="E546" s="199">
        <v>19500</v>
      </c>
      <c r="F546" s="183">
        <v>975</v>
      </c>
      <c r="G546" s="563">
        <f>E546+F546</f>
        <v>20475</v>
      </c>
      <c r="H546" s="399" t="s">
        <v>4813</v>
      </c>
      <c r="I546" s="350">
        <v>1362</v>
      </c>
      <c r="J546" s="681"/>
      <c r="K546" s="681">
        <v>20475</v>
      </c>
      <c r="M546" s="350">
        <f t="shared" si="49"/>
        <v>20475</v>
      </c>
      <c r="O546" s="351">
        <f t="shared" si="50"/>
        <v>0</v>
      </c>
      <c r="P546" s="564" t="s">
        <v>5851</v>
      </c>
    </row>
    <row r="547" spans="1:16">
      <c r="A547" s="183">
        <v>20180201</v>
      </c>
      <c r="B547" s="183" t="s">
        <v>5828</v>
      </c>
      <c r="C547" s="199" t="s">
        <v>5826</v>
      </c>
      <c r="D547" s="617"/>
      <c r="E547" s="199">
        <v>19500</v>
      </c>
      <c r="F547" s="183">
        <v>975</v>
      </c>
      <c r="G547" s="563">
        <f>E547+F547</f>
        <v>20475</v>
      </c>
      <c r="H547" s="399" t="s">
        <v>9723</v>
      </c>
      <c r="I547" s="350">
        <v>1363</v>
      </c>
      <c r="J547" s="681"/>
      <c r="K547" s="681">
        <v>20475</v>
      </c>
      <c r="M547" s="350">
        <f t="shared" si="49"/>
        <v>20475</v>
      </c>
      <c r="O547" s="351">
        <f t="shared" si="50"/>
        <v>0</v>
      </c>
      <c r="P547" s="564" t="s">
        <v>5851</v>
      </c>
    </row>
    <row r="548" spans="1:16">
      <c r="A548" s="183">
        <v>20180201</v>
      </c>
      <c r="B548" s="183" t="s">
        <v>5829</v>
      </c>
      <c r="C548" s="199" t="s">
        <v>5826</v>
      </c>
      <c r="D548" s="617"/>
      <c r="E548" s="199">
        <v>19500</v>
      </c>
      <c r="F548" s="183">
        <v>975</v>
      </c>
      <c r="G548" s="563">
        <f>E548+F548</f>
        <v>20475</v>
      </c>
      <c r="H548" s="399" t="s">
        <v>9724</v>
      </c>
      <c r="I548" s="350">
        <v>1364</v>
      </c>
      <c r="J548" s="681"/>
      <c r="K548" s="681">
        <v>20475</v>
      </c>
      <c r="M548" s="350">
        <f t="shared" si="49"/>
        <v>20475</v>
      </c>
      <c r="O548" s="351">
        <f t="shared" si="50"/>
        <v>0</v>
      </c>
      <c r="P548" s="564" t="s">
        <v>5851</v>
      </c>
    </row>
    <row r="549" spans="1:16">
      <c r="A549" s="183">
        <v>20180208</v>
      </c>
      <c r="B549" s="183" t="s">
        <v>5830</v>
      </c>
      <c r="C549" s="199" t="s">
        <v>5831</v>
      </c>
      <c r="D549" s="617"/>
      <c r="E549" s="199">
        <v>19500</v>
      </c>
      <c r="F549" s="183">
        <v>975</v>
      </c>
      <c r="G549" s="563">
        <f t="shared" si="48"/>
        <v>20475</v>
      </c>
      <c r="H549" s="399" t="s">
        <v>9722</v>
      </c>
      <c r="I549" s="350">
        <v>1155</v>
      </c>
      <c r="K549" s="350">
        <v>20475</v>
      </c>
      <c r="M549" s="350">
        <f t="shared" si="49"/>
        <v>20475</v>
      </c>
      <c r="O549" s="351">
        <f t="shared" si="50"/>
        <v>0</v>
      </c>
      <c r="P549" s="564" t="s">
        <v>5852</v>
      </c>
    </row>
    <row r="550" spans="1:16">
      <c r="A550" s="183">
        <v>20180208</v>
      </c>
      <c r="B550" s="183" t="s">
        <v>5832</v>
      </c>
      <c r="C550" s="199" t="s">
        <v>5833</v>
      </c>
      <c r="D550" s="617"/>
      <c r="E550" s="199">
        <v>19500</v>
      </c>
      <c r="F550" s="183">
        <v>975</v>
      </c>
      <c r="G550" s="563">
        <f t="shared" si="48"/>
        <v>20475</v>
      </c>
      <c r="H550" s="399" t="s">
        <v>9722</v>
      </c>
      <c r="I550" s="350">
        <v>1163</v>
      </c>
      <c r="K550" s="350">
        <v>20475</v>
      </c>
      <c r="M550" s="350">
        <f t="shared" si="49"/>
        <v>20475</v>
      </c>
      <c r="O550" s="351">
        <f t="shared" si="50"/>
        <v>0</v>
      </c>
      <c r="P550" s="564" t="s">
        <v>5853</v>
      </c>
    </row>
    <row r="551" spans="1:16">
      <c r="A551" s="183">
        <v>20180208</v>
      </c>
      <c r="B551" s="183" t="s">
        <v>5834</v>
      </c>
      <c r="C551" s="199" t="s">
        <v>5833</v>
      </c>
      <c r="D551" s="617"/>
      <c r="E551" s="199">
        <v>15600</v>
      </c>
      <c r="F551" s="183">
        <v>780</v>
      </c>
      <c r="G551" s="563">
        <f t="shared" si="48"/>
        <v>16380</v>
      </c>
      <c r="H551" s="399" t="s">
        <v>9722</v>
      </c>
      <c r="I551" s="350">
        <v>1171</v>
      </c>
      <c r="K551" s="350">
        <v>16380</v>
      </c>
      <c r="M551" s="350">
        <f t="shared" si="49"/>
        <v>16380</v>
      </c>
      <c r="O551" s="351">
        <f t="shared" si="50"/>
        <v>0</v>
      </c>
      <c r="P551" s="564" t="s">
        <v>5853</v>
      </c>
    </row>
    <row r="552" spans="1:16">
      <c r="A552" s="183">
        <v>20180208</v>
      </c>
      <c r="B552" s="183" t="s">
        <v>5835</v>
      </c>
      <c r="C552" s="199" t="s">
        <v>5836</v>
      </c>
      <c r="D552" s="617"/>
      <c r="E552" s="199">
        <v>19500</v>
      </c>
      <c r="F552" s="183">
        <v>975</v>
      </c>
      <c r="G552" s="563">
        <f t="shared" si="48"/>
        <v>20475</v>
      </c>
      <c r="H552" s="399" t="s">
        <v>9770</v>
      </c>
      <c r="I552" s="350">
        <v>1317</v>
      </c>
      <c r="K552" s="350">
        <v>20475</v>
      </c>
      <c r="M552" s="350">
        <f t="shared" si="49"/>
        <v>20475</v>
      </c>
      <c r="O552" s="351">
        <f t="shared" si="50"/>
        <v>0</v>
      </c>
      <c r="P552" s="564" t="s">
        <v>5854</v>
      </c>
    </row>
    <row r="553" spans="1:16">
      <c r="A553" s="183">
        <v>20180208</v>
      </c>
      <c r="B553" s="183" t="s">
        <v>5837</v>
      </c>
      <c r="C553" s="199" t="s">
        <v>5838</v>
      </c>
      <c r="D553" s="617"/>
      <c r="E553" s="199">
        <v>19500</v>
      </c>
      <c r="F553" s="183">
        <v>975</v>
      </c>
      <c r="G553" s="563">
        <f t="shared" si="48"/>
        <v>20475</v>
      </c>
      <c r="H553" s="399" t="s">
        <v>9776</v>
      </c>
      <c r="I553" s="350">
        <v>1192</v>
      </c>
      <c r="K553" s="350">
        <v>20475</v>
      </c>
      <c r="M553" s="350">
        <f t="shared" si="49"/>
        <v>20475</v>
      </c>
      <c r="O553" s="351">
        <f t="shared" si="50"/>
        <v>0</v>
      </c>
      <c r="P553" s="564" t="s">
        <v>5855</v>
      </c>
    </row>
    <row r="554" spans="1:16">
      <c r="A554" s="183">
        <v>20180208</v>
      </c>
      <c r="B554" s="183" t="s">
        <v>5839</v>
      </c>
      <c r="C554" s="199" t="s">
        <v>5840</v>
      </c>
      <c r="D554" s="617"/>
      <c r="E554" s="199">
        <v>19500</v>
      </c>
      <c r="F554" s="183">
        <v>975</v>
      </c>
      <c r="G554" s="563">
        <v>20475</v>
      </c>
      <c r="H554" s="399" t="s">
        <v>9942</v>
      </c>
      <c r="I554" s="350">
        <v>1273</v>
      </c>
      <c r="K554" s="350">
        <v>20475</v>
      </c>
      <c r="M554" s="350">
        <f t="shared" si="49"/>
        <v>20475</v>
      </c>
      <c r="O554" s="351">
        <f t="shared" si="50"/>
        <v>0</v>
      </c>
      <c r="P554" s="564" t="s">
        <v>5856</v>
      </c>
    </row>
    <row r="555" spans="1:16">
      <c r="A555" s="183">
        <v>20180208</v>
      </c>
      <c r="B555" s="183" t="s">
        <v>5841</v>
      </c>
      <c r="C555" s="199" t="s">
        <v>5842</v>
      </c>
      <c r="D555" s="617"/>
      <c r="E555" s="199">
        <v>15600</v>
      </c>
      <c r="F555" s="183">
        <v>780</v>
      </c>
      <c r="G555" s="563">
        <v>16380</v>
      </c>
      <c r="H555" s="379">
        <v>4</v>
      </c>
      <c r="I555" s="350">
        <v>1341</v>
      </c>
      <c r="J555" s="682">
        <v>16380</v>
      </c>
      <c r="M555" s="350">
        <f t="shared" si="49"/>
        <v>16380</v>
      </c>
      <c r="O555" s="351">
        <f t="shared" si="50"/>
        <v>0</v>
      </c>
      <c r="P555" s="564" t="s">
        <v>5857</v>
      </c>
    </row>
    <row r="556" spans="1:16">
      <c r="A556" s="183">
        <v>20180208</v>
      </c>
      <c r="B556" s="183" t="s">
        <v>5843</v>
      </c>
      <c r="C556" s="199" t="s">
        <v>5844</v>
      </c>
      <c r="D556" s="618"/>
      <c r="E556" s="199">
        <v>13500</v>
      </c>
      <c r="F556" s="183">
        <v>675</v>
      </c>
      <c r="G556" s="563">
        <v>14175</v>
      </c>
      <c r="H556" s="399" t="s">
        <v>9942</v>
      </c>
      <c r="I556" s="398" t="s">
        <v>9946</v>
      </c>
      <c r="L556" s="350">
        <v>14165</v>
      </c>
      <c r="M556" s="350">
        <f t="shared" si="49"/>
        <v>14165</v>
      </c>
      <c r="N556" s="351">
        <v>10</v>
      </c>
      <c r="O556" s="351">
        <f t="shared" si="50"/>
        <v>0</v>
      </c>
      <c r="P556" s="564" t="s">
        <v>5858</v>
      </c>
    </row>
    <row r="557" spans="1:16">
      <c r="A557" s="183">
        <v>20180301</v>
      </c>
      <c r="B557" s="183" t="s">
        <v>5859</v>
      </c>
      <c r="C557" s="183" t="s">
        <v>10148</v>
      </c>
      <c r="D557" s="617"/>
      <c r="E557" s="183">
        <v>3000</v>
      </c>
      <c r="F557" s="183">
        <v>150</v>
      </c>
      <c r="G557" s="563">
        <f>E557+F557</f>
        <v>3150</v>
      </c>
      <c r="H557" s="379"/>
      <c r="I557" s="398" t="s">
        <v>9957</v>
      </c>
      <c r="L557" s="350">
        <v>3150</v>
      </c>
      <c r="M557" s="350">
        <f t="shared" si="49"/>
        <v>3150</v>
      </c>
      <c r="O557" s="351">
        <f t="shared" si="50"/>
        <v>0</v>
      </c>
      <c r="P557" s="564" t="s">
        <v>5865</v>
      </c>
    </row>
    <row r="558" spans="1:16">
      <c r="A558" s="183"/>
      <c r="B558" s="183" t="s">
        <v>5860</v>
      </c>
      <c r="C558" s="183"/>
      <c r="D558" s="618"/>
      <c r="E558" s="183"/>
      <c r="F558" s="183"/>
      <c r="G558" s="563">
        <f>E558+F558</f>
        <v>0</v>
      </c>
      <c r="H558" s="379"/>
      <c r="M558" s="350">
        <f t="shared" si="49"/>
        <v>0</v>
      </c>
      <c r="O558" s="351">
        <f t="shared" si="50"/>
        <v>0</v>
      </c>
      <c r="P558" s="564"/>
    </row>
    <row r="559" spans="1:16">
      <c r="A559" s="183">
        <v>20180321</v>
      </c>
      <c r="B559" s="183" t="s">
        <v>5861</v>
      </c>
      <c r="C559" s="183" t="s">
        <v>5862</v>
      </c>
      <c r="D559" s="618"/>
      <c r="E559" s="183">
        <v>108000</v>
      </c>
      <c r="F559" s="183">
        <v>5400</v>
      </c>
      <c r="G559" s="563">
        <f>E559+F559</f>
        <v>113400</v>
      </c>
      <c r="H559" s="399" t="s">
        <v>9711</v>
      </c>
      <c r="I559" s="398" t="s">
        <v>10073</v>
      </c>
      <c r="J559" s="681">
        <v>113400</v>
      </c>
      <c r="M559" s="350">
        <f t="shared" si="49"/>
        <v>113400</v>
      </c>
      <c r="O559" s="351">
        <f t="shared" si="50"/>
        <v>0</v>
      </c>
      <c r="P559" s="564" t="s">
        <v>5866</v>
      </c>
    </row>
    <row r="560" spans="1:16">
      <c r="A560" s="183">
        <v>20180411</v>
      </c>
      <c r="B560" s="183" t="s">
        <v>5863</v>
      </c>
      <c r="C560" s="183" t="s">
        <v>5864</v>
      </c>
      <c r="D560" s="617"/>
      <c r="E560" s="183">
        <v>12857</v>
      </c>
      <c r="F560" s="183">
        <v>643</v>
      </c>
      <c r="G560" s="563">
        <f>E560+F560</f>
        <v>13500</v>
      </c>
      <c r="H560" s="399" t="s">
        <v>9940</v>
      </c>
      <c r="I560" s="398" t="s">
        <v>9941</v>
      </c>
      <c r="L560" s="350">
        <v>13485</v>
      </c>
      <c r="M560" s="350">
        <f t="shared" si="49"/>
        <v>13485</v>
      </c>
      <c r="N560" s="351">
        <v>15</v>
      </c>
      <c r="O560" s="351">
        <f t="shared" si="50"/>
        <v>0</v>
      </c>
      <c r="P560" s="564" t="s">
        <v>5847</v>
      </c>
    </row>
    <row r="561" spans="1:16">
      <c r="A561" s="183">
        <v>20180507</v>
      </c>
      <c r="B561" s="183" t="s">
        <v>5867</v>
      </c>
      <c r="C561" s="183" t="s">
        <v>5831</v>
      </c>
      <c r="D561" s="617"/>
      <c r="E561" s="183">
        <v>19500</v>
      </c>
      <c r="F561" s="183">
        <v>975</v>
      </c>
      <c r="G561" s="563">
        <f t="shared" ref="G561:G591" si="51">E561+F561</f>
        <v>20475</v>
      </c>
      <c r="H561" s="399" t="s">
        <v>9723</v>
      </c>
      <c r="I561" s="350">
        <v>1156</v>
      </c>
      <c r="K561" s="350">
        <v>20475</v>
      </c>
      <c r="M561" s="350">
        <f t="shared" si="49"/>
        <v>20475</v>
      </c>
      <c r="O561" s="351">
        <f t="shared" si="50"/>
        <v>0</v>
      </c>
      <c r="P561" s="564" t="s">
        <v>5887</v>
      </c>
    </row>
    <row r="562" spans="1:16">
      <c r="A562" s="183">
        <v>20180507</v>
      </c>
      <c r="B562" s="183" t="s">
        <v>5868</v>
      </c>
      <c r="C562" s="183" t="s">
        <v>5869</v>
      </c>
      <c r="D562" s="618"/>
      <c r="E562" s="183">
        <v>19500</v>
      </c>
      <c r="F562" s="183">
        <v>975</v>
      </c>
      <c r="G562" s="563">
        <f t="shared" si="51"/>
        <v>20475</v>
      </c>
      <c r="H562" s="399" t="s">
        <v>9723</v>
      </c>
      <c r="I562" s="350">
        <v>1164</v>
      </c>
      <c r="K562" s="350">
        <v>20475</v>
      </c>
      <c r="M562" s="350">
        <f t="shared" si="49"/>
        <v>20475</v>
      </c>
      <c r="O562" s="351">
        <f t="shared" si="50"/>
        <v>0</v>
      </c>
      <c r="P562" s="564" t="s">
        <v>5888</v>
      </c>
    </row>
    <row r="563" spans="1:16">
      <c r="A563" s="183">
        <v>20180507</v>
      </c>
      <c r="B563" s="183" t="s">
        <v>5870</v>
      </c>
      <c r="C563" s="183" t="s">
        <v>5869</v>
      </c>
      <c r="D563" s="618"/>
      <c r="E563" s="183">
        <v>15600</v>
      </c>
      <c r="F563" s="183">
        <v>780</v>
      </c>
      <c r="G563" s="563">
        <f t="shared" si="51"/>
        <v>16380</v>
      </c>
      <c r="H563" s="399" t="s">
        <v>9723</v>
      </c>
      <c r="I563" s="350">
        <v>1172</v>
      </c>
      <c r="K563" s="350">
        <v>16380</v>
      </c>
      <c r="M563" s="350">
        <f t="shared" si="49"/>
        <v>16380</v>
      </c>
      <c r="O563" s="351">
        <f t="shared" si="50"/>
        <v>0</v>
      </c>
      <c r="P563" s="564" t="s">
        <v>5888</v>
      </c>
    </row>
    <row r="564" spans="1:16">
      <c r="A564" s="183">
        <v>20180507</v>
      </c>
      <c r="B564" s="183" t="s">
        <v>5871</v>
      </c>
      <c r="C564" s="183" t="s">
        <v>5872</v>
      </c>
      <c r="D564" s="617"/>
      <c r="E564" s="183">
        <v>19500</v>
      </c>
      <c r="F564" s="183">
        <v>975</v>
      </c>
      <c r="G564" s="563">
        <f t="shared" si="51"/>
        <v>20475</v>
      </c>
      <c r="H564" s="399" t="s">
        <v>9771</v>
      </c>
      <c r="I564" s="350">
        <v>1318</v>
      </c>
      <c r="K564" s="350">
        <v>20475</v>
      </c>
      <c r="M564" s="350">
        <f t="shared" si="49"/>
        <v>20475</v>
      </c>
      <c r="O564" s="351">
        <f t="shared" si="50"/>
        <v>0</v>
      </c>
      <c r="P564" s="564" t="s">
        <v>5889</v>
      </c>
    </row>
    <row r="565" spans="1:16">
      <c r="A565" s="183">
        <v>20180507</v>
      </c>
      <c r="B565" s="183" t="s">
        <v>5873</v>
      </c>
      <c r="C565" s="199" t="s">
        <v>5874</v>
      </c>
      <c r="D565" s="617"/>
      <c r="E565" s="199">
        <v>19500</v>
      </c>
      <c r="F565" s="183">
        <v>975</v>
      </c>
      <c r="G565" s="563">
        <f t="shared" si="51"/>
        <v>20475</v>
      </c>
      <c r="H565" s="399" t="s">
        <v>9722</v>
      </c>
      <c r="I565" s="350">
        <v>1193</v>
      </c>
      <c r="K565" s="350">
        <v>20475</v>
      </c>
      <c r="M565" s="350">
        <f t="shared" si="49"/>
        <v>20475</v>
      </c>
      <c r="O565" s="351">
        <f t="shared" si="50"/>
        <v>0</v>
      </c>
      <c r="P565" s="564" t="s">
        <v>5890</v>
      </c>
    </row>
    <row r="566" spans="1:16">
      <c r="A566" s="183">
        <v>20180507</v>
      </c>
      <c r="B566" s="183" t="s">
        <v>5875</v>
      </c>
      <c r="C566" s="199" t="s">
        <v>5876</v>
      </c>
      <c r="D566" s="617"/>
      <c r="E566" s="199">
        <v>19500</v>
      </c>
      <c r="F566" s="183">
        <v>975</v>
      </c>
      <c r="G566" s="563">
        <f t="shared" si="51"/>
        <v>20475</v>
      </c>
      <c r="H566" s="399" t="s">
        <v>9944</v>
      </c>
      <c r="I566" s="350">
        <v>1274</v>
      </c>
      <c r="K566" s="350">
        <v>20475</v>
      </c>
      <c r="M566" s="350">
        <f t="shared" si="49"/>
        <v>20475</v>
      </c>
      <c r="O566" s="351">
        <f t="shared" si="50"/>
        <v>0</v>
      </c>
      <c r="P566" s="564" t="s">
        <v>5891</v>
      </c>
    </row>
    <row r="567" spans="1:16">
      <c r="A567" s="183">
        <v>20180507</v>
      </c>
      <c r="B567" s="183" t="s">
        <v>5877</v>
      </c>
      <c r="C567" s="199" t="s">
        <v>5878</v>
      </c>
      <c r="D567" s="617"/>
      <c r="E567" s="199">
        <v>15600</v>
      </c>
      <c r="F567" s="183">
        <v>780</v>
      </c>
      <c r="G567" s="563">
        <f t="shared" si="51"/>
        <v>16380</v>
      </c>
      <c r="H567" s="379">
        <v>5</v>
      </c>
      <c r="I567" s="350">
        <v>1342</v>
      </c>
      <c r="J567" s="682">
        <v>16380</v>
      </c>
      <c r="M567" s="350">
        <f t="shared" si="49"/>
        <v>16380</v>
      </c>
      <c r="O567" s="351">
        <f t="shared" si="50"/>
        <v>0</v>
      </c>
      <c r="P567" s="564" t="s">
        <v>5892</v>
      </c>
    </row>
    <row r="568" spans="1:16">
      <c r="A568" s="183">
        <v>20180507</v>
      </c>
      <c r="B568" s="183" t="s">
        <v>5879</v>
      </c>
      <c r="C568" s="199" t="s">
        <v>5880</v>
      </c>
      <c r="D568" s="617"/>
      <c r="E568" s="199">
        <v>13500</v>
      </c>
      <c r="F568" s="183">
        <v>675</v>
      </c>
      <c r="G568" s="563">
        <f t="shared" si="51"/>
        <v>14175</v>
      </c>
      <c r="H568" s="399" t="s">
        <v>9944</v>
      </c>
      <c r="I568" s="398" t="s">
        <v>9947</v>
      </c>
      <c r="L568" s="350">
        <v>14165</v>
      </c>
      <c r="M568" s="350">
        <f t="shared" si="49"/>
        <v>14165</v>
      </c>
      <c r="N568" s="351">
        <v>10</v>
      </c>
      <c r="O568" s="351">
        <f t="shared" si="50"/>
        <v>0</v>
      </c>
      <c r="P568" s="564" t="s">
        <v>5893</v>
      </c>
    </row>
    <row r="569" spans="1:16">
      <c r="A569" s="183">
        <v>20180522</v>
      </c>
      <c r="B569" s="183" t="s">
        <v>5881</v>
      </c>
      <c r="C569" s="199" t="s">
        <v>5882</v>
      </c>
      <c r="D569" s="617"/>
      <c r="E569" s="199">
        <v>108000</v>
      </c>
      <c r="F569" s="183">
        <v>5400</v>
      </c>
      <c r="G569" s="563">
        <f t="shared" si="51"/>
        <v>113400</v>
      </c>
      <c r="H569" s="399" t="s">
        <v>9711</v>
      </c>
      <c r="I569" s="398" t="s">
        <v>10074</v>
      </c>
      <c r="J569" s="681">
        <v>113400</v>
      </c>
      <c r="M569" s="350">
        <f t="shared" si="49"/>
        <v>113400</v>
      </c>
      <c r="O569" s="351">
        <f t="shared" si="50"/>
        <v>0</v>
      </c>
      <c r="P569" s="564" t="s">
        <v>5894</v>
      </c>
    </row>
    <row r="570" spans="1:16">
      <c r="A570" s="183">
        <v>20180621</v>
      </c>
      <c r="B570" s="183" t="s">
        <v>5883</v>
      </c>
      <c r="C570" s="199" t="s">
        <v>5884</v>
      </c>
      <c r="D570" s="617"/>
      <c r="E570" s="199">
        <v>12600</v>
      </c>
      <c r="F570" s="183">
        <v>630</v>
      </c>
      <c r="G570" s="563">
        <f t="shared" si="51"/>
        <v>13230</v>
      </c>
      <c r="H570" s="399" t="s">
        <v>9770</v>
      </c>
      <c r="I570" s="398" t="s">
        <v>9675</v>
      </c>
      <c r="L570" s="350">
        <v>13230</v>
      </c>
      <c r="M570" s="350">
        <f t="shared" si="49"/>
        <v>13230</v>
      </c>
      <c r="O570" s="351">
        <f t="shared" si="50"/>
        <v>0</v>
      </c>
      <c r="P570" s="564" t="s">
        <v>5895</v>
      </c>
    </row>
    <row r="571" spans="1:16">
      <c r="A571" s="183">
        <v>20180621</v>
      </c>
      <c r="B571" s="183" t="s">
        <v>5885</v>
      </c>
      <c r="C571" s="199" t="s">
        <v>5886</v>
      </c>
      <c r="D571" s="617"/>
      <c r="E571" s="199">
        <v>12857</v>
      </c>
      <c r="F571" s="183">
        <v>643</v>
      </c>
      <c r="G571" s="563">
        <f t="shared" si="51"/>
        <v>13500</v>
      </c>
      <c r="H571" s="399" t="s">
        <v>9942</v>
      </c>
      <c r="I571" s="398" t="s">
        <v>9943</v>
      </c>
      <c r="L571" s="350">
        <v>13485</v>
      </c>
      <c r="M571" s="350">
        <f t="shared" si="49"/>
        <v>13485</v>
      </c>
      <c r="N571" s="351">
        <v>15</v>
      </c>
      <c r="O571" s="351">
        <f t="shared" si="50"/>
        <v>0</v>
      </c>
      <c r="P571" s="564" t="s">
        <v>5896</v>
      </c>
    </row>
    <row r="572" spans="1:16">
      <c r="A572" s="183">
        <v>20180702</v>
      </c>
      <c r="B572" s="183" t="s">
        <v>5897</v>
      </c>
      <c r="C572" s="183" t="s">
        <v>5898</v>
      </c>
      <c r="D572" s="617"/>
      <c r="E572" s="183">
        <v>132000</v>
      </c>
      <c r="F572" s="183">
        <v>6600</v>
      </c>
      <c r="G572" s="563">
        <f t="shared" si="51"/>
        <v>138600</v>
      </c>
      <c r="H572" s="399" t="s">
        <v>9711</v>
      </c>
      <c r="I572" s="398" t="s">
        <v>10076</v>
      </c>
      <c r="J572" s="681">
        <v>138600</v>
      </c>
      <c r="M572" s="350">
        <f t="shared" si="49"/>
        <v>138600</v>
      </c>
      <c r="O572" s="351">
        <f t="shared" si="50"/>
        <v>0</v>
      </c>
      <c r="P572" s="564" t="s">
        <v>5920</v>
      </c>
    </row>
    <row r="573" spans="1:16">
      <c r="A573" s="183">
        <v>20180705</v>
      </c>
      <c r="B573" s="183" t="s">
        <v>5899</v>
      </c>
      <c r="C573" s="183" t="s">
        <v>5900</v>
      </c>
      <c r="D573" s="618"/>
      <c r="E573" s="183">
        <v>96000</v>
      </c>
      <c r="F573" s="183">
        <v>4800</v>
      </c>
      <c r="G573" s="563">
        <f t="shared" si="51"/>
        <v>100800</v>
      </c>
      <c r="H573" s="399" t="s">
        <v>9824</v>
      </c>
      <c r="I573" s="398" t="s">
        <v>10075</v>
      </c>
      <c r="J573" s="681">
        <v>100800</v>
      </c>
      <c r="M573" s="350">
        <f t="shared" si="49"/>
        <v>100800</v>
      </c>
      <c r="O573" s="351">
        <f t="shared" si="50"/>
        <v>0</v>
      </c>
      <c r="P573" s="564" t="s">
        <v>5921</v>
      </c>
    </row>
    <row r="574" spans="1:16">
      <c r="A574" s="183">
        <v>20180710</v>
      </c>
      <c r="B574" s="183" t="s">
        <v>5901</v>
      </c>
      <c r="C574" s="183" t="s">
        <v>5902</v>
      </c>
      <c r="D574" s="618"/>
      <c r="E574" s="183">
        <v>96000</v>
      </c>
      <c r="F574" s="183">
        <v>4800</v>
      </c>
      <c r="G574" s="563">
        <f t="shared" si="51"/>
        <v>100800</v>
      </c>
      <c r="H574" s="399" t="s">
        <v>9711</v>
      </c>
      <c r="I574" s="398" t="s">
        <v>10077</v>
      </c>
      <c r="J574" s="681">
        <v>100800</v>
      </c>
      <c r="M574" s="350">
        <f t="shared" si="49"/>
        <v>100800</v>
      </c>
      <c r="O574" s="351">
        <f t="shared" si="50"/>
        <v>0</v>
      </c>
      <c r="P574" s="564" t="s">
        <v>5848</v>
      </c>
    </row>
    <row r="575" spans="1:16">
      <c r="A575" s="183">
        <v>20180725</v>
      </c>
      <c r="B575" s="183" t="s">
        <v>5903</v>
      </c>
      <c r="C575" s="183" t="s">
        <v>5904</v>
      </c>
      <c r="D575" s="617"/>
      <c r="E575" s="183">
        <v>91200</v>
      </c>
      <c r="F575" s="183">
        <v>4560</v>
      </c>
      <c r="G575" s="563">
        <f t="shared" si="51"/>
        <v>95760</v>
      </c>
      <c r="H575" s="399" t="s">
        <v>9824</v>
      </c>
      <c r="I575" s="398" t="s">
        <v>10078</v>
      </c>
      <c r="J575" s="682">
        <v>95760</v>
      </c>
      <c r="M575" s="350">
        <f t="shared" si="49"/>
        <v>95760</v>
      </c>
      <c r="O575" s="351">
        <f t="shared" si="50"/>
        <v>0</v>
      </c>
      <c r="P575" s="564" t="s">
        <v>5922</v>
      </c>
    </row>
    <row r="576" spans="1:16">
      <c r="A576" s="183">
        <v>20180807</v>
      </c>
      <c r="B576" s="183" t="s">
        <v>5905</v>
      </c>
      <c r="C576" s="199" t="s">
        <v>5906</v>
      </c>
      <c r="D576" s="617"/>
      <c r="E576" s="199">
        <v>19500</v>
      </c>
      <c r="F576" s="183">
        <v>975</v>
      </c>
      <c r="G576" s="563">
        <f t="shared" si="51"/>
        <v>20475</v>
      </c>
      <c r="H576" s="399" t="s">
        <v>9724</v>
      </c>
      <c r="I576" s="350">
        <v>1157</v>
      </c>
      <c r="K576" s="350">
        <v>20475</v>
      </c>
      <c r="M576" s="350">
        <f t="shared" si="49"/>
        <v>20475</v>
      </c>
      <c r="O576" s="351">
        <f t="shared" si="50"/>
        <v>0</v>
      </c>
      <c r="P576" s="564" t="s">
        <v>5923</v>
      </c>
    </row>
    <row r="577" spans="1:16">
      <c r="A577" s="183">
        <v>20180807</v>
      </c>
      <c r="B577" s="183" t="s">
        <v>9789</v>
      </c>
      <c r="C577" s="199" t="s">
        <v>5907</v>
      </c>
      <c r="D577" s="617"/>
      <c r="E577" s="199">
        <v>19500</v>
      </c>
      <c r="F577" s="183">
        <v>975</v>
      </c>
      <c r="G577" s="563">
        <f t="shared" si="51"/>
        <v>20475</v>
      </c>
      <c r="H577" s="399" t="s">
        <v>9724</v>
      </c>
      <c r="I577" s="350">
        <v>1165</v>
      </c>
      <c r="K577" s="350">
        <v>20475</v>
      </c>
      <c r="M577" s="350">
        <f t="shared" si="49"/>
        <v>20475</v>
      </c>
      <c r="O577" s="351">
        <f t="shared" si="50"/>
        <v>0</v>
      </c>
      <c r="P577" s="564" t="s">
        <v>5924</v>
      </c>
    </row>
    <row r="578" spans="1:16">
      <c r="A578" s="183">
        <v>20180807</v>
      </c>
      <c r="B578" s="183" t="s">
        <v>5908</v>
      </c>
      <c r="C578" s="199" t="s">
        <v>5907</v>
      </c>
      <c r="D578" s="617"/>
      <c r="E578" s="199">
        <v>15600</v>
      </c>
      <c r="F578" s="183">
        <v>780</v>
      </c>
      <c r="G578" s="563">
        <f t="shared" si="51"/>
        <v>16380</v>
      </c>
      <c r="H578" s="399" t="s">
        <v>9724</v>
      </c>
      <c r="I578" s="350">
        <v>1173</v>
      </c>
      <c r="K578" s="350">
        <v>16380</v>
      </c>
      <c r="M578" s="350">
        <f t="shared" si="49"/>
        <v>16380</v>
      </c>
      <c r="O578" s="351">
        <f t="shared" si="50"/>
        <v>0</v>
      </c>
      <c r="P578" s="564" t="s">
        <v>5924</v>
      </c>
    </row>
    <row r="579" spans="1:16">
      <c r="A579" s="183">
        <v>20180807</v>
      </c>
      <c r="B579" s="183" t="s">
        <v>5909</v>
      </c>
      <c r="C579" s="199" t="s">
        <v>5910</v>
      </c>
      <c r="D579" s="617"/>
      <c r="E579" s="199">
        <v>19500</v>
      </c>
      <c r="F579" s="183">
        <v>975</v>
      </c>
      <c r="G579" s="563">
        <f t="shared" si="51"/>
        <v>20475</v>
      </c>
      <c r="H579" s="399" t="s">
        <v>9776</v>
      </c>
      <c r="I579" s="350">
        <v>1319</v>
      </c>
      <c r="K579" s="350">
        <v>20475</v>
      </c>
      <c r="M579" s="350">
        <f t="shared" si="49"/>
        <v>20475</v>
      </c>
      <c r="O579" s="351">
        <f t="shared" si="50"/>
        <v>0</v>
      </c>
      <c r="P579" s="564" t="s">
        <v>5925</v>
      </c>
    </row>
    <row r="580" spans="1:16">
      <c r="A580" s="183">
        <v>20180807</v>
      </c>
      <c r="B580" s="183" t="s">
        <v>5911</v>
      </c>
      <c r="C580" s="199" t="s">
        <v>5912</v>
      </c>
      <c r="D580" s="617"/>
      <c r="E580" s="199">
        <v>19500</v>
      </c>
      <c r="F580" s="183">
        <v>975</v>
      </c>
      <c r="G580" s="563">
        <f t="shared" si="51"/>
        <v>20475</v>
      </c>
      <c r="H580" s="399" t="s">
        <v>9723</v>
      </c>
      <c r="I580" s="350">
        <v>1194</v>
      </c>
      <c r="K580" s="350">
        <v>20475</v>
      </c>
      <c r="M580" s="350">
        <f t="shared" si="49"/>
        <v>20475</v>
      </c>
      <c r="O580" s="351">
        <f t="shared" si="50"/>
        <v>0</v>
      </c>
      <c r="P580" s="564" t="s">
        <v>5926</v>
      </c>
    </row>
    <row r="581" spans="1:16">
      <c r="A581" s="183">
        <v>20180807</v>
      </c>
      <c r="B581" s="183" t="s">
        <v>5913</v>
      </c>
      <c r="C581" s="199" t="s">
        <v>5914</v>
      </c>
      <c r="D581" s="617"/>
      <c r="E581" s="199">
        <v>19500</v>
      </c>
      <c r="F581" s="183">
        <v>975</v>
      </c>
      <c r="G581" s="563">
        <f t="shared" si="51"/>
        <v>20475</v>
      </c>
      <c r="H581" s="399" t="s">
        <v>9948</v>
      </c>
      <c r="I581" s="350">
        <v>1275</v>
      </c>
      <c r="K581" s="350">
        <v>20475</v>
      </c>
      <c r="M581" s="350">
        <f t="shared" si="49"/>
        <v>20475</v>
      </c>
      <c r="O581" s="351">
        <f t="shared" si="50"/>
        <v>0</v>
      </c>
      <c r="P581" s="564" t="s">
        <v>5927</v>
      </c>
    </row>
    <row r="582" spans="1:16">
      <c r="A582" s="183"/>
      <c r="B582" s="183" t="s">
        <v>5915</v>
      </c>
      <c r="C582" s="199" t="s">
        <v>5916</v>
      </c>
      <c r="D582" s="617"/>
      <c r="E582" s="199"/>
      <c r="F582" s="183"/>
      <c r="G582" s="563">
        <f t="shared" si="51"/>
        <v>0</v>
      </c>
      <c r="H582" s="379"/>
      <c r="M582" s="350">
        <f t="shared" si="49"/>
        <v>0</v>
      </c>
      <c r="O582" s="351">
        <f t="shared" si="50"/>
        <v>0</v>
      </c>
      <c r="P582" s="564"/>
    </row>
    <row r="583" spans="1:16">
      <c r="A583" s="183">
        <v>20180807</v>
      </c>
      <c r="B583" s="183" t="s">
        <v>5917</v>
      </c>
      <c r="C583" s="199" t="s">
        <v>5918</v>
      </c>
      <c r="D583" s="617"/>
      <c r="E583" s="199">
        <v>15600</v>
      </c>
      <c r="F583" s="183">
        <v>780</v>
      </c>
      <c r="G583" s="563">
        <f t="shared" si="51"/>
        <v>16380</v>
      </c>
      <c r="H583" s="379">
        <v>6</v>
      </c>
      <c r="I583" s="350">
        <v>1343</v>
      </c>
      <c r="J583" s="682">
        <v>16380</v>
      </c>
      <c r="M583" s="350">
        <f t="shared" si="49"/>
        <v>16380</v>
      </c>
      <c r="O583" s="351">
        <f t="shared" si="50"/>
        <v>0</v>
      </c>
      <c r="P583" s="564" t="s">
        <v>5928</v>
      </c>
    </row>
    <row r="584" spans="1:16">
      <c r="A584" s="183">
        <v>20180807</v>
      </c>
      <c r="B584" s="183" t="s">
        <v>9788</v>
      </c>
      <c r="C584" s="199" t="s">
        <v>5919</v>
      </c>
      <c r="D584" s="617"/>
      <c r="E584" s="199">
        <v>13500</v>
      </c>
      <c r="F584" s="183">
        <v>675</v>
      </c>
      <c r="G584" s="563">
        <f t="shared" si="51"/>
        <v>14175</v>
      </c>
      <c r="H584" s="399" t="s">
        <v>9948</v>
      </c>
      <c r="I584" s="398" t="s">
        <v>9949</v>
      </c>
      <c r="L584" s="350">
        <v>14165</v>
      </c>
      <c r="M584" s="350">
        <f t="shared" si="49"/>
        <v>14165</v>
      </c>
      <c r="N584" s="351">
        <v>10</v>
      </c>
      <c r="O584" s="351">
        <f t="shared" si="50"/>
        <v>0</v>
      </c>
      <c r="P584" s="564" t="s">
        <v>5929</v>
      </c>
    </row>
    <row r="585" spans="1:16">
      <c r="A585" s="183">
        <v>20180903</v>
      </c>
      <c r="B585" s="183" t="s">
        <v>5930</v>
      </c>
      <c r="C585" s="183" t="s">
        <v>5816</v>
      </c>
      <c r="D585" s="617"/>
      <c r="E585" s="183">
        <v>13500</v>
      </c>
      <c r="F585" s="183">
        <v>675</v>
      </c>
      <c r="G585" s="563">
        <f t="shared" si="51"/>
        <v>14175</v>
      </c>
      <c r="H585" s="399" t="s">
        <v>9934</v>
      </c>
      <c r="I585" s="398" t="s">
        <v>9935</v>
      </c>
      <c r="L585" s="350">
        <v>14165</v>
      </c>
      <c r="M585" s="350">
        <f t="shared" si="49"/>
        <v>14165</v>
      </c>
      <c r="N585" s="351">
        <v>10</v>
      </c>
      <c r="O585" s="351">
        <f t="shared" si="50"/>
        <v>0</v>
      </c>
      <c r="P585" s="564" t="s">
        <v>5943</v>
      </c>
    </row>
    <row r="586" spans="1:16">
      <c r="A586" s="183"/>
      <c r="B586" s="183" t="s">
        <v>5931</v>
      </c>
      <c r="C586" s="183" t="s">
        <v>5932</v>
      </c>
      <c r="D586" s="618"/>
      <c r="E586" s="183"/>
      <c r="F586" s="183"/>
      <c r="G586" s="563">
        <f t="shared" si="51"/>
        <v>0</v>
      </c>
      <c r="H586" s="379"/>
      <c r="M586" s="350">
        <f t="shared" si="49"/>
        <v>0</v>
      </c>
      <c r="O586" s="351">
        <f t="shared" si="50"/>
        <v>0</v>
      </c>
      <c r="P586" s="564"/>
    </row>
    <row r="587" spans="1:16">
      <c r="A587" s="183">
        <v>20180912</v>
      </c>
      <c r="B587" s="183" t="s">
        <v>5933</v>
      </c>
      <c r="C587" s="183" t="s">
        <v>5934</v>
      </c>
      <c r="D587" s="618"/>
      <c r="E587" s="183">
        <v>43200</v>
      </c>
      <c r="F587" s="183">
        <v>2160</v>
      </c>
      <c r="G587" s="563">
        <f t="shared" si="51"/>
        <v>45360</v>
      </c>
      <c r="H587" s="399" t="s">
        <v>9952</v>
      </c>
      <c r="I587" s="398" t="s">
        <v>9953</v>
      </c>
      <c r="L587" s="350">
        <v>45360</v>
      </c>
      <c r="M587" s="350">
        <f t="shared" si="49"/>
        <v>45360</v>
      </c>
      <c r="O587" s="351">
        <f t="shared" si="50"/>
        <v>0</v>
      </c>
      <c r="P587" s="564" t="s">
        <v>5944</v>
      </c>
    </row>
    <row r="588" spans="1:16">
      <c r="A588" s="183">
        <v>20180916</v>
      </c>
      <c r="B588" s="183" t="s">
        <v>5935</v>
      </c>
      <c r="C588" s="183" t="s">
        <v>5936</v>
      </c>
      <c r="D588" s="617"/>
      <c r="E588" s="183">
        <v>100800</v>
      </c>
      <c r="F588" s="183">
        <v>5040</v>
      </c>
      <c r="G588" s="563">
        <f t="shared" si="51"/>
        <v>105840</v>
      </c>
      <c r="H588" s="399" t="s">
        <v>9711</v>
      </c>
      <c r="I588" s="398" t="s">
        <v>10079</v>
      </c>
      <c r="J588" s="681">
        <v>105840</v>
      </c>
      <c r="M588" s="350">
        <f t="shared" si="49"/>
        <v>105840</v>
      </c>
      <c r="O588" s="351">
        <f t="shared" si="50"/>
        <v>0</v>
      </c>
      <c r="P588" s="564" t="s">
        <v>5945</v>
      </c>
    </row>
    <row r="589" spans="1:16">
      <c r="A589" s="183">
        <v>20180917</v>
      </c>
      <c r="B589" s="183" t="s">
        <v>5937</v>
      </c>
      <c r="C589" s="199" t="s">
        <v>5938</v>
      </c>
      <c r="D589" s="617"/>
      <c r="E589" s="199">
        <v>12600</v>
      </c>
      <c r="F589" s="183">
        <v>630</v>
      </c>
      <c r="G589" s="563">
        <f t="shared" si="51"/>
        <v>13230</v>
      </c>
      <c r="H589" s="399" t="s">
        <v>9771</v>
      </c>
      <c r="I589" s="398" t="s">
        <v>9931</v>
      </c>
      <c r="L589" s="350">
        <v>13230</v>
      </c>
      <c r="M589" s="350">
        <f t="shared" si="49"/>
        <v>13230</v>
      </c>
      <c r="O589" s="351">
        <f t="shared" si="50"/>
        <v>0</v>
      </c>
      <c r="P589" s="564" t="s">
        <v>5845</v>
      </c>
    </row>
    <row r="590" spans="1:16">
      <c r="A590" s="183">
        <v>20180917</v>
      </c>
      <c r="B590" s="183" t="s">
        <v>5939</v>
      </c>
      <c r="C590" s="199" t="s">
        <v>5940</v>
      </c>
      <c r="D590" s="617"/>
      <c r="E590" s="199">
        <v>43200</v>
      </c>
      <c r="F590" s="183">
        <v>2160</v>
      </c>
      <c r="G590" s="563">
        <f t="shared" si="51"/>
        <v>45360</v>
      </c>
      <c r="H590" s="399" t="s">
        <v>9637</v>
      </c>
      <c r="I590" s="398" t="s">
        <v>10080</v>
      </c>
      <c r="J590" s="681">
        <v>45360</v>
      </c>
      <c r="M590" s="350">
        <f t="shared" si="49"/>
        <v>45360</v>
      </c>
      <c r="O590" s="351">
        <f t="shared" si="50"/>
        <v>0</v>
      </c>
      <c r="P590" s="564" t="s">
        <v>5946</v>
      </c>
    </row>
    <row r="591" spans="1:16">
      <c r="A591" s="183">
        <v>20180917</v>
      </c>
      <c r="B591" s="183" t="s">
        <v>5941</v>
      </c>
      <c r="C591" s="199" t="s">
        <v>5942</v>
      </c>
      <c r="D591" s="617"/>
      <c r="E591" s="199">
        <v>12857</v>
      </c>
      <c r="F591" s="183">
        <v>643</v>
      </c>
      <c r="G591" s="563">
        <f t="shared" si="51"/>
        <v>13500</v>
      </c>
      <c r="H591" s="399" t="s">
        <v>9944</v>
      </c>
      <c r="I591" s="398" t="s">
        <v>9945</v>
      </c>
      <c r="L591" s="350">
        <v>13485</v>
      </c>
      <c r="M591" s="350">
        <f t="shared" si="49"/>
        <v>13485</v>
      </c>
      <c r="N591" s="351">
        <v>15</v>
      </c>
      <c r="O591" s="351">
        <f t="shared" si="50"/>
        <v>0</v>
      </c>
      <c r="P591" s="564" t="s">
        <v>5847</v>
      </c>
    </row>
    <row r="592" spans="1:16">
      <c r="A592" s="183">
        <v>20181101</v>
      </c>
      <c r="B592" s="183" t="s">
        <v>5947</v>
      </c>
      <c r="C592" s="183" t="s">
        <v>5831</v>
      </c>
      <c r="D592" s="617"/>
      <c r="E592" s="183">
        <v>6000</v>
      </c>
      <c r="F592" s="183">
        <v>300</v>
      </c>
      <c r="G592" s="563">
        <v>6300</v>
      </c>
      <c r="H592" s="379"/>
      <c r="M592" s="350">
        <f t="shared" si="49"/>
        <v>0</v>
      </c>
      <c r="O592" s="351">
        <f t="shared" si="50"/>
        <v>6300</v>
      </c>
      <c r="P592" s="564" t="s">
        <v>5887</v>
      </c>
    </row>
    <row r="593" spans="1:16">
      <c r="A593" s="183">
        <v>20181101</v>
      </c>
      <c r="B593" s="183" t="s">
        <v>5948</v>
      </c>
      <c r="C593" s="199" t="s">
        <v>5869</v>
      </c>
      <c r="D593" s="617"/>
      <c r="E593" s="199">
        <v>6000</v>
      </c>
      <c r="F593" s="183">
        <v>300</v>
      </c>
      <c r="G593" s="563">
        <f t="shared" ref="G593:G609" si="52">E593+F593</f>
        <v>6300</v>
      </c>
      <c r="H593" s="379"/>
      <c r="I593" s="350">
        <v>1465</v>
      </c>
      <c r="J593" s="350">
        <v>6300</v>
      </c>
      <c r="M593" s="350">
        <f t="shared" si="49"/>
        <v>6300</v>
      </c>
      <c r="O593" s="351">
        <f t="shared" si="50"/>
        <v>0</v>
      </c>
      <c r="P593" s="564" t="s">
        <v>5888</v>
      </c>
    </row>
    <row r="594" spans="1:16">
      <c r="A594" s="183">
        <v>20181101</v>
      </c>
      <c r="B594" s="183" t="s">
        <v>5949</v>
      </c>
      <c r="C594" s="199" t="s">
        <v>5872</v>
      </c>
      <c r="D594" s="617"/>
      <c r="E594" s="199">
        <v>6000</v>
      </c>
      <c r="F594" s="183">
        <v>300</v>
      </c>
      <c r="G594" s="563">
        <f t="shared" si="52"/>
        <v>6300</v>
      </c>
      <c r="H594" s="379"/>
      <c r="I594" s="398" t="s">
        <v>9955</v>
      </c>
      <c r="L594" s="350">
        <v>6290</v>
      </c>
      <c r="M594" s="350">
        <f t="shared" si="49"/>
        <v>6290</v>
      </c>
      <c r="N594" s="351">
        <v>10</v>
      </c>
      <c r="O594" s="351">
        <f t="shared" si="50"/>
        <v>0</v>
      </c>
      <c r="P594" s="564" t="s">
        <v>5889</v>
      </c>
    </row>
    <row r="595" spans="1:16">
      <c r="A595" s="183">
        <v>20181101</v>
      </c>
      <c r="B595" s="183" t="s">
        <v>5950</v>
      </c>
      <c r="C595" s="199" t="s">
        <v>5951</v>
      </c>
      <c r="D595" s="617"/>
      <c r="E595" s="199">
        <v>108000</v>
      </c>
      <c r="F595" s="183">
        <v>5400</v>
      </c>
      <c r="G595" s="563">
        <f t="shared" si="52"/>
        <v>113400</v>
      </c>
      <c r="H595" s="379"/>
      <c r="I595" s="398" t="s">
        <v>9954</v>
      </c>
      <c r="L595" s="350">
        <v>113400</v>
      </c>
      <c r="M595" s="350">
        <f t="shared" si="49"/>
        <v>113400</v>
      </c>
      <c r="O595" s="351">
        <f t="shared" si="50"/>
        <v>0</v>
      </c>
      <c r="P595" s="564" t="s">
        <v>5887</v>
      </c>
    </row>
    <row r="596" spans="1:16">
      <c r="A596" s="183">
        <v>20181101</v>
      </c>
      <c r="B596" s="183" t="s">
        <v>5952</v>
      </c>
      <c r="C596" s="199" t="s">
        <v>5869</v>
      </c>
      <c r="D596" s="617"/>
      <c r="E596" s="199">
        <v>108000</v>
      </c>
      <c r="F596" s="183">
        <v>5400</v>
      </c>
      <c r="G596" s="563">
        <f t="shared" si="52"/>
        <v>113400</v>
      </c>
      <c r="H596" s="379"/>
      <c r="I596" s="350">
        <v>1465</v>
      </c>
      <c r="J596" s="350">
        <v>113400</v>
      </c>
      <c r="M596" s="350">
        <f t="shared" si="49"/>
        <v>113400</v>
      </c>
      <c r="O596" s="351">
        <f t="shared" si="50"/>
        <v>0</v>
      </c>
      <c r="P596" s="564" t="s">
        <v>5888</v>
      </c>
    </row>
    <row r="597" spans="1:16">
      <c r="A597" s="183">
        <v>20181101</v>
      </c>
      <c r="B597" s="183" t="s">
        <v>5953</v>
      </c>
      <c r="C597" s="199" t="s">
        <v>5872</v>
      </c>
      <c r="D597" s="617"/>
      <c r="E597" s="199">
        <v>72000</v>
      </c>
      <c r="F597" s="183">
        <v>3600</v>
      </c>
      <c r="G597" s="563">
        <f t="shared" si="52"/>
        <v>75600</v>
      </c>
      <c r="H597" s="379"/>
      <c r="I597" s="398" t="s">
        <v>9955</v>
      </c>
      <c r="L597" s="350">
        <v>75590</v>
      </c>
      <c r="M597" s="350">
        <f t="shared" si="49"/>
        <v>75590</v>
      </c>
      <c r="N597" s="351">
        <v>10</v>
      </c>
      <c r="O597" s="351">
        <f t="shared" si="50"/>
        <v>0</v>
      </c>
      <c r="P597" s="564" t="s">
        <v>5889</v>
      </c>
    </row>
    <row r="598" spans="1:16">
      <c r="A598" s="183">
        <v>20181101</v>
      </c>
      <c r="B598" s="183" t="s">
        <v>5954</v>
      </c>
      <c r="C598" s="199" t="s">
        <v>5951</v>
      </c>
      <c r="D598" s="617"/>
      <c r="E598" s="199">
        <v>19500</v>
      </c>
      <c r="F598" s="183">
        <v>975</v>
      </c>
      <c r="G598" s="563">
        <f t="shared" si="52"/>
        <v>20475</v>
      </c>
      <c r="H598" s="399" t="s">
        <v>9725</v>
      </c>
      <c r="I598" s="398">
        <v>1441</v>
      </c>
      <c r="J598" s="350">
        <v>20475</v>
      </c>
      <c r="M598" s="350">
        <f t="shared" si="49"/>
        <v>20475</v>
      </c>
      <c r="O598" s="351">
        <f t="shared" si="50"/>
        <v>0</v>
      </c>
      <c r="P598" s="564" t="s">
        <v>5887</v>
      </c>
    </row>
    <row r="599" spans="1:16">
      <c r="A599" s="183">
        <v>20181101</v>
      </c>
      <c r="B599" s="183" t="s">
        <v>5955</v>
      </c>
      <c r="C599" s="199" t="s">
        <v>5869</v>
      </c>
      <c r="D599" s="617"/>
      <c r="E599" s="199">
        <v>19500</v>
      </c>
      <c r="F599" s="183">
        <v>975</v>
      </c>
      <c r="G599" s="563">
        <f t="shared" si="52"/>
        <v>20475</v>
      </c>
      <c r="H599" s="399" t="s">
        <v>9725</v>
      </c>
      <c r="I599" s="398">
        <v>1457</v>
      </c>
      <c r="J599" s="350">
        <v>20475</v>
      </c>
      <c r="M599" s="350">
        <f t="shared" si="49"/>
        <v>20475</v>
      </c>
      <c r="O599" s="351">
        <f t="shared" si="50"/>
        <v>0</v>
      </c>
      <c r="P599" s="564" t="s">
        <v>5888</v>
      </c>
    </row>
    <row r="600" spans="1:16">
      <c r="A600" s="183">
        <v>20181101</v>
      </c>
      <c r="B600" s="183" t="s">
        <v>5956</v>
      </c>
      <c r="C600" s="199" t="s">
        <v>5869</v>
      </c>
      <c r="D600" s="617"/>
      <c r="E600" s="199">
        <v>15600</v>
      </c>
      <c r="F600" s="183">
        <v>780</v>
      </c>
      <c r="G600" s="563">
        <f t="shared" si="52"/>
        <v>16380</v>
      </c>
      <c r="H600" s="399" t="s">
        <v>9725</v>
      </c>
      <c r="I600" s="398">
        <v>1449</v>
      </c>
      <c r="J600" s="350">
        <v>16380</v>
      </c>
      <c r="M600" s="350">
        <f t="shared" si="49"/>
        <v>16380</v>
      </c>
      <c r="O600" s="351">
        <f t="shared" si="50"/>
        <v>0</v>
      </c>
      <c r="P600" s="564" t="s">
        <v>5888</v>
      </c>
    </row>
    <row r="601" spans="1:16">
      <c r="A601" s="183">
        <v>20181101</v>
      </c>
      <c r="B601" s="183" t="s">
        <v>5957</v>
      </c>
      <c r="C601" s="199" t="s">
        <v>5872</v>
      </c>
      <c r="D601" s="617"/>
      <c r="E601" s="199">
        <v>19500</v>
      </c>
      <c r="F601" s="183">
        <v>975</v>
      </c>
      <c r="G601" s="563">
        <f t="shared" si="52"/>
        <v>20475</v>
      </c>
      <c r="H601" s="399" t="s">
        <v>9722</v>
      </c>
      <c r="I601" s="350">
        <v>1320</v>
      </c>
      <c r="K601" s="350">
        <v>20475</v>
      </c>
      <c r="M601" s="350">
        <f t="shared" si="49"/>
        <v>20475</v>
      </c>
      <c r="O601" s="351">
        <f t="shared" si="50"/>
        <v>0</v>
      </c>
      <c r="P601" s="564" t="s">
        <v>5889</v>
      </c>
    </row>
    <row r="602" spans="1:16">
      <c r="A602" s="183">
        <v>20181101</v>
      </c>
      <c r="B602" s="183" t="s">
        <v>5958</v>
      </c>
      <c r="C602" s="199" t="s">
        <v>5874</v>
      </c>
      <c r="D602" s="617"/>
      <c r="E602" s="199">
        <v>19500</v>
      </c>
      <c r="F602" s="183">
        <v>975</v>
      </c>
      <c r="G602" s="563">
        <f t="shared" si="52"/>
        <v>20475</v>
      </c>
      <c r="H602" s="399" t="s">
        <v>9724</v>
      </c>
      <c r="I602" s="350">
        <v>1195</v>
      </c>
      <c r="K602" s="350">
        <v>20475</v>
      </c>
      <c r="M602" s="350">
        <f t="shared" si="49"/>
        <v>20475</v>
      </c>
      <c r="O602" s="351">
        <f t="shared" si="50"/>
        <v>0</v>
      </c>
      <c r="P602" s="564" t="s">
        <v>5890</v>
      </c>
    </row>
    <row r="603" spans="1:16">
      <c r="A603" s="183">
        <v>20181101</v>
      </c>
      <c r="B603" s="183" t="s">
        <v>5959</v>
      </c>
      <c r="C603" s="199" t="s">
        <v>5876</v>
      </c>
      <c r="D603" s="617"/>
      <c r="E603" s="199">
        <v>19500</v>
      </c>
      <c r="F603" s="183">
        <v>975</v>
      </c>
      <c r="G603" s="563">
        <f t="shared" si="52"/>
        <v>20475</v>
      </c>
      <c r="H603" s="399" t="s">
        <v>9950</v>
      </c>
      <c r="I603" s="350">
        <v>1276</v>
      </c>
      <c r="K603" s="350">
        <v>20475</v>
      </c>
      <c r="M603" s="350">
        <f t="shared" si="49"/>
        <v>20475</v>
      </c>
      <c r="O603" s="351">
        <f t="shared" si="50"/>
        <v>0</v>
      </c>
      <c r="P603" s="564" t="s">
        <v>5891</v>
      </c>
    </row>
    <row r="604" spans="1:16">
      <c r="A604" s="183">
        <v>20181101</v>
      </c>
      <c r="B604" s="183" t="s">
        <v>5960</v>
      </c>
      <c r="C604" s="199" t="s">
        <v>5961</v>
      </c>
      <c r="D604" s="617"/>
      <c r="E604" s="199">
        <v>15600</v>
      </c>
      <c r="F604" s="183">
        <v>780</v>
      </c>
      <c r="G604" s="563">
        <f t="shared" si="52"/>
        <v>16380</v>
      </c>
      <c r="H604" s="379"/>
      <c r="J604" s="682"/>
      <c r="M604" s="350">
        <f t="shared" ref="M604:M610" si="53">J604+K604+L604</f>
        <v>0</v>
      </c>
      <c r="O604" s="351">
        <f t="shared" ref="O604:O610" si="54">G604-M604-N604</f>
        <v>16380</v>
      </c>
      <c r="P604" s="564" t="s">
        <v>5892</v>
      </c>
    </row>
    <row r="605" spans="1:16">
      <c r="A605" s="183">
        <v>20181101</v>
      </c>
      <c r="B605" s="183" t="s">
        <v>5962</v>
      </c>
      <c r="C605" s="199" t="s">
        <v>5963</v>
      </c>
      <c r="D605" s="617"/>
      <c r="E605" s="199">
        <v>13500</v>
      </c>
      <c r="F605" s="183">
        <v>675</v>
      </c>
      <c r="G605" s="563">
        <f t="shared" si="52"/>
        <v>14175</v>
      </c>
      <c r="H605" s="399" t="s">
        <v>9950</v>
      </c>
      <c r="I605" s="398" t="s">
        <v>9951</v>
      </c>
      <c r="L605" s="350">
        <v>14165</v>
      </c>
      <c r="M605" s="350">
        <f t="shared" si="53"/>
        <v>14165</v>
      </c>
      <c r="N605" s="351">
        <v>10</v>
      </c>
      <c r="O605" s="351">
        <f t="shared" si="54"/>
        <v>0</v>
      </c>
      <c r="P605" s="564" t="s">
        <v>5893</v>
      </c>
    </row>
    <row r="606" spans="1:16">
      <c r="A606" s="183">
        <v>20181212</v>
      </c>
      <c r="B606" s="183" t="s">
        <v>5964</v>
      </c>
      <c r="C606" s="199" t="s">
        <v>5965</v>
      </c>
      <c r="D606" s="618"/>
      <c r="E606" s="199">
        <v>13500</v>
      </c>
      <c r="F606" s="183">
        <v>675</v>
      </c>
      <c r="G606" s="563">
        <f t="shared" si="52"/>
        <v>14175</v>
      </c>
      <c r="H606" s="399" t="s">
        <v>9936</v>
      </c>
      <c r="I606" s="398" t="s">
        <v>9937</v>
      </c>
      <c r="L606" s="350">
        <v>14165</v>
      </c>
      <c r="M606" s="350">
        <f t="shared" si="53"/>
        <v>14165</v>
      </c>
      <c r="N606" s="351">
        <v>10</v>
      </c>
      <c r="O606" s="351">
        <f t="shared" si="54"/>
        <v>0</v>
      </c>
      <c r="P606" s="564" t="s">
        <v>5943</v>
      </c>
    </row>
    <row r="607" spans="1:16">
      <c r="A607" s="183">
        <v>20181212</v>
      </c>
      <c r="B607" s="183" t="s">
        <v>5966</v>
      </c>
      <c r="C607" s="199" t="s">
        <v>5967</v>
      </c>
      <c r="D607" s="618"/>
      <c r="E607" s="199">
        <v>12857</v>
      </c>
      <c r="F607" s="183">
        <v>643</v>
      </c>
      <c r="G607" s="563">
        <f t="shared" si="52"/>
        <v>13500</v>
      </c>
      <c r="H607" s="379"/>
      <c r="M607" s="350">
        <f t="shared" si="53"/>
        <v>0</v>
      </c>
      <c r="O607" s="351">
        <f t="shared" si="54"/>
        <v>13500</v>
      </c>
      <c r="P607" s="564" t="s">
        <v>5896</v>
      </c>
    </row>
    <row r="608" spans="1:16">
      <c r="A608" s="183">
        <v>20181212</v>
      </c>
      <c r="B608" s="183" t="s">
        <v>5968</v>
      </c>
      <c r="C608" s="199" t="s">
        <v>5969</v>
      </c>
      <c r="D608" s="618"/>
      <c r="E608" s="199">
        <v>12600</v>
      </c>
      <c r="F608" s="183">
        <v>630</v>
      </c>
      <c r="G608" s="563">
        <f t="shared" si="52"/>
        <v>13230</v>
      </c>
      <c r="H608" s="379"/>
      <c r="M608" s="350">
        <f t="shared" si="53"/>
        <v>0</v>
      </c>
      <c r="O608" s="351">
        <f t="shared" si="54"/>
        <v>13230</v>
      </c>
      <c r="P608" s="564" t="s">
        <v>5895</v>
      </c>
    </row>
    <row r="609" spans="1:16">
      <c r="A609" s="183">
        <v>20181224</v>
      </c>
      <c r="B609" s="183" t="s">
        <v>5970</v>
      </c>
      <c r="C609" s="199" t="s">
        <v>5971</v>
      </c>
      <c r="D609" s="618"/>
      <c r="E609" s="199">
        <v>108000</v>
      </c>
      <c r="F609" s="183">
        <v>5400</v>
      </c>
      <c r="G609" s="563">
        <f t="shared" si="52"/>
        <v>113400</v>
      </c>
      <c r="H609" s="379"/>
      <c r="M609" s="350">
        <f t="shared" si="53"/>
        <v>0</v>
      </c>
      <c r="O609" s="351">
        <f t="shared" si="54"/>
        <v>113400</v>
      </c>
      <c r="P609" s="564" t="s">
        <v>5973</v>
      </c>
    </row>
    <row r="610" spans="1:16">
      <c r="A610" s="563">
        <v>20181226</v>
      </c>
      <c r="B610" s="183" t="s">
        <v>5972</v>
      </c>
      <c r="C610" s="253" t="s">
        <v>5876</v>
      </c>
      <c r="D610" s="563"/>
      <c r="E610" s="563">
        <v>158000</v>
      </c>
      <c r="F610" s="563">
        <v>7900</v>
      </c>
      <c r="G610" s="563">
        <f>E610+F610</f>
        <v>165900</v>
      </c>
      <c r="H610" s="379"/>
      <c r="M610" s="350">
        <f t="shared" si="53"/>
        <v>0</v>
      </c>
      <c r="O610" s="351">
        <f t="shared" si="54"/>
        <v>165900</v>
      </c>
      <c r="P610" s="564" t="s">
        <v>5974</v>
      </c>
    </row>
  </sheetData>
  <phoneticPr fontId="3" type="noConversion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388"/>
  <sheetViews>
    <sheetView workbookViewId="0">
      <pane ySplit="705" topLeftCell="A1299" activePane="bottomLeft"/>
      <selection activeCell="D1" sqref="D1"/>
      <selection pane="bottomLeft" activeCell="I1305" sqref="I1305"/>
    </sheetView>
  </sheetViews>
  <sheetFormatPr defaultColWidth="8.875" defaultRowHeight="16.5"/>
  <cols>
    <col min="1" max="1" width="12.25" style="483" customWidth="1"/>
    <col min="2" max="5" width="8.875" style="483"/>
    <col min="6" max="6" width="9.5" style="483" bestFit="1" customWidth="1"/>
    <col min="7" max="7" width="8.875" style="483"/>
    <col min="8" max="8" width="46.375" style="483" bestFit="1" customWidth="1"/>
    <col min="9" max="16384" width="8.875" style="483"/>
  </cols>
  <sheetData>
    <row r="1" spans="1:8">
      <c r="A1" s="483" t="s">
        <v>4424</v>
      </c>
      <c r="B1" s="483" t="s">
        <v>6014</v>
      </c>
      <c r="C1" s="483" t="s">
        <v>6015</v>
      </c>
      <c r="D1" s="483" t="s">
        <v>6016</v>
      </c>
      <c r="E1" s="483" t="s">
        <v>6017</v>
      </c>
      <c r="F1" s="483" t="s">
        <v>6018</v>
      </c>
      <c r="G1" s="483" t="s">
        <v>6019</v>
      </c>
      <c r="H1" s="483" t="s">
        <v>6020</v>
      </c>
    </row>
    <row r="2" spans="1:8">
      <c r="D2" s="483">
        <v>331</v>
      </c>
      <c r="H2" s="483" t="s">
        <v>6021</v>
      </c>
    </row>
    <row r="3" spans="1:8">
      <c r="A3" s="483" t="s">
        <v>6022</v>
      </c>
    </row>
    <row r="4" spans="1:8">
      <c r="E4" s="483">
        <v>200</v>
      </c>
      <c r="H4" s="483" t="s">
        <v>6023</v>
      </c>
    </row>
    <row r="5" spans="1:8">
      <c r="E5" s="484" t="s">
        <v>6024</v>
      </c>
      <c r="F5" s="484"/>
      <c r="G5" s="484"/>
    </row>
    <row r="6" spans="1:8">
      <c r="A6" s="483" t="s">
        <v>6025</v>
      </c>
    </row>
    <row r="7" spans="1:8">
      <c r="D7" s="483">
        <v>8503</v>
      </c>
      <c r="H7" s="483" t="s">
        <v>6026</v>
      </c>
    </row>
    <row r="8" spans="1:8">
      <c r="E8" s="483">
        <v>6725</v>
      </c>
      <c r="H8" s="483" t="s">
        <v>6027</v>
      </c>
    </row>
    <row r="9" spans="1:8">
      <c r="E9" s="483">
        <v>1205</v>
      </c>
      <c r="H9" s="483" t="s">
        <v>6028</v>
      </c>
    </row>
    <row r="10" spans="1:8">
      <c r="E10" s="483">
        <v>174</v>
      </c>
      <c r="H10" s="483" t="s">
        <v>6029</v>
      </c>
    </row>
    <row r="11" spans="1:8">
      <c r="E11" s="483">
        <v>399</v>
      </c>
      <c r="H11" s="483" t="s">
        <v>6030</v>
      </c>
    </row>
    <row r="12" spans="1:8">
      <c r="D12" s="483">
        <v>33</v>
      </c>
      <c r="H12" s="483" t="s">
        <v>6031</v>
      </c>
    </row>
    <row r="13" spans="1:8">
      <c r="E13" s="483">
        <v>33</v>
      </c>
      <c r="H13" s="483" t="s">
        <v>6032</v>
      </c>
    </row>
    <row r="15" spans="1:8">
      <c r="A15" s="483" t="s">
        <v>6033</v>
      </c>
    </row>
    <row r="16" spans="1:8">
      <c r="D16" s="483">
        <v>20030</v>
      </c>
      <c r="H16" s="483" t="s">
        <v>6026</v>
      </c>
    </row>
    <row r="17" spans="1:8">
      <c r="E17" s="483">
        <v>20000</v>
      </c>
      <c r="H17" s="483" t="s">
        <v>6034</v>
      </c>
    </row>
    <row r="19" spans="1:8">
      <c r="A19" s="483" t="s">
        <v>6035</v>
      </c>
    </row>
    <row r="20" spans="1:8">
      <c r="D20" s="483">
        <v>150000</v>
      </c>
      <c r="H20" s="483" t="s">
        <v>6026</v>
      </c>
    </row>
    <row r="21" spans="1:8">
      <c r="E21" s="483">
        <v>150000</v>
      </c>
      <c r="H21" s="483" t="s">
        <v>6036</v>
      </c>
    </row>
    <row r="22" spans="1:8">
      <c r="D22" s="483">
        <v>2000</v>
      </c>
      <c r="H22" s="483" t="s">
        <v>6026</v>
      </c>
    </row>
    <row r="23" spans="1:8">
      <c r="E23" s="483">
        <v>40</v>
      </c>
      <c r="H23" s="483" t="s">
        <v>6037</v>
      </c>
    </row>
    <row r="24" spans="1:8">
      <c r="E24" s="484" t="s">
        <v>6038</v>
      </c>
      <c r="F24" s="484"/>
      <c r="G24" s="484"/>
    </row>
    <row r="26" spans="1:8">
      <c r="A26" s="483" t="s">
        <v>6039</v>
      </c>
    </row>
    <row r="27" spans="1:8">
      <c r="E27" s="483">
        <v>73</v>
      </c>
      <c r="H27" s="483" t="s">
        <v>6040</v>
      </c>
    </row>
    <row r="28" spans="1:8">
      <c r="E28" s="483">
        <v>123</v>
      </c>
      <c r="H28" s="483" t="s">
        <v>6040</v>
      </c>
    </row>
    <row r="29" spans="1:8">
      <c r="E29" s="484" t="s">
        <v>6041</v>
      </c>
      <c r="F29" s="484"/>
      <c r="G29" s="484"/>
    </row>
    <row r="31" spans="1:8">
      <c r="A31" s="483" t="s">
        <v>6042</v>
      </c>
    </row>
    <row r="32" spans="1:8">
      <c r="E32" s="483">
        <v>45</v>
      </c>
      <c r="H32" s="483" t="s">
        <v>6043</v>
      </c>
    </row>
    <row r="33" spans="1:9">
      <c r="E33" s="484" t="s">
        <v>6044</v>
      </c>
      <c r="F33" s="484"/>
      <c r="G33" s="484"/>
    </row>
    <row r="35" spans="1:9">
      <c r="A35" s="483" t="s">
        <v>6045</v>
      </c>
    </row>
    <row r="36" spans="1:9">
      <c r="E36" s="483">
        <v>1205</v>
      </c>
      <c r="H36" s="483" t="s">
        <v>6046</v>
      </c>
    </row>
    <row r="37" spans="1:9">
      <c r="E37" s="484" t="s">
        <v>6047</v>
      </c>
      <c r="F37" s="484"/>
      <c r="G37" s="484"/>
    </row>
    <row r="38" spans="1:9">
      <c r="A38" s="483" t="s">
        <v>6048</v>
      </c>
    </row>
    <row r="39" spans="1:9">
      <c r="E39" s="483">
        <v>399</v>
      </c>
      <c r="H39" s="483" t="s">
        <v>6049</v>
      </c>
    </row>
    <row r="40" spans="1:9">
      <c r="E40" s="484" t="s">
        <v>6050</v>
      </c>
      <c r="F40" s="484"/>
      <c r="G40" s="484"/>
    </row>
    <row r="42" spans="1:9">
      <c r="A42" s="483" t="s">
        <v>6051</v>
      </c>
    </row>
    <row r="43" spans="1:9">
      <c r="E43" s="483">
        <v>33</v>
      </c>
      <c r="H43" s="483" t="s">
        <v>6052</v>
      </c>
      <c r="I43" s="483" t="s">
        <v>6053</v>
      </c>
    </row>
    <row r="44" spans="1:9">
      <c r="E44" s="484" t="s">
        <v>6050</v>
      </c>
      <c r="F44" s="484"/>
      <c r="G44" s="484"/>
    </row>
    <row r="46" spans="1:9">
      <c r="A46" s="483" t="s">
        <v>6054</v>
      </c>
    </row>
    <row r="47" spans="1:9">
      <c r="E47" s="483">
        <v>200</v>
      </c>
      <c r="H47" s="483" t="s">
        <v>6055</v>
      </c>
    </row>
    <row r="48" spans="1:9">
      <c r="E48" s="484" t="s">
        <v>6056</v>
      </c>
      <c r="F48" s="484"/>
      <c r="G48" s="484"/>
    </row>
    <row r="50" spans="1:8">
      <c r="A50" s="483" t="s">
        <v>6057</v>
      </c>
    </row>
    <row r="51" spans="1:8">
      <c r="D51" s="483">
        <v>2000</v>
      </c>
      <c r="H51" s="483" t="s">
        <v>6026</v>
      </c>
    </row>
    <row r="52" spans="1:8">
      <c r="E52" s="483">
        <v>300</v>
      </c>
      <c r="H52" s="483" t="s">
        <v>6058</v>
      </c>
    </row>
    <row r="53" spans="1:8">
      <c r="E53" s="483">
        <v>10</v>
      </c>
      <c r="H53" s="483" t="s">
        <v>6059</v>
      </c>
    </row>
    <row r="54" spans="1:8">
      <c r="E54" s="484" t="s">
        <v>6060</v>
      </c>
      <c r="F54" s="484"/>
      <c r="G54" s="484"/>
    </row>
    <row r="56" spans="1:8" s="485" customFormat="1"/>
    <row r="58" spans="1:8">
      <c r="A58" s="483" t="s">
        <v>6061</v>
      </c>
    </row>
    <row r="59" spans="1:8">
      <c r="E59" s="483">
        <v>50</v>
      </c>
      <c r="H59" s="483" t="s">
        <v>6062</v>
      </c>
    </row>
    <row r="60" spans="1:8">
      <c r="E60" s="484" t="s">
        <v>6063</v>
      </c>
      <c r="F60" s="484"/>
      <c r="G60" s="484"/>
    </row>
    <row r="62" spans="1:8">
      <c r="A62" s="483" t="s">
        <v>6064</v>
      </c>
    </row>
    <row r="63" spans="1:8">
      <c r="E63" s="483">
        <v>800</v>
      </c>
      <c r="H63" s="483" t="s">
        <v>6065</v>
      </c>
    </row>
    <row r="64" spans="1:8">
      <c r="E64" s="484" t="s">
        <v>6066</v>
      </c>
      <c r="F64" s="484"/>
      <c r="G64" s="484"/>
    </row>
    <row r="66" spans="1:8">
      <c r="A66" s="483" t="s">
        <v>6067</v>
      </c>
    </row>
    <row r="67" spans="1:8">
      <c r="E67" s="483">
        <v>100</v>
      </c>
      <c r="H67" s="483" t="s">
        <v>6068</v>
      </c>
    </row>
    <row r="68" spans="1:8">
      <c r="E68" s="484" t="s">
        <v>6069</v>
      </c>
      <c r="F68" s="484"/>
      <c r="G68" s="484"/>
    </row>
    <row r="70" spans="1:8">
      <c r="A70" s="483" t="s">
        <v>6070</v>
      </c>
    </row>
    <row r="71" spans="1:8">
      <c r="D71" s="483">
        <v>19062</v>
      </c>
      <c r="H71" s="483" t="s">
        <v>6026</v>
      </c>
    </row>
    <row r="72" spans="1:8">
      <c r="E72" s="483">
        <v>17062</v>
      </c>
      <c r="H72" s="483" t="s">
        <v>6071</v>
      </c>
    </row>
    <row r="73" spans="1:8">
      <c r="E73" s="484" t="s">
        <v>6072</v>
      </c>
      <c r="F73" s="484"/>
      <c r="G73" s="484"/>
    </row>
    <row r="75" spans="1:8">
      <c r="A75" s="483" t="s">
        <v>6073</v>
      </c>
    </row>
    <row r="76" spans="1:8">
      <c r="E76" s="483">
        <v>174</v>
      </c>
      <c r="H76" s="483" t="s">
        <v>6074</v>
      </c>
    </row>
    <row r="77" spans="1:8">
      <c r="E77" s="483">
        <v>399</v>
      </c>
      <c r="H77" s="483" t="s">
        <v>6075</v>
      </c>
    </row>
    <row r="78" spans="1:8">
      <c r="E78" s="484" t="s">
        <v>6076</v>
      </c>
      <c r="F78" s="484"/>
      <c r="G78" s="484"/>
    </row>
    <row r="80" spans="1:8">
      <c r="A80" s="483" t="s">
        <v>6073</v>
      </c>
    </row>
    <row r="81" spans="1:8">
      <c r="D81" s="483">
        <v>8500</v>
      </c>
      <c r="H81" s="483" t="s">
        <v>6026</v>
      </c>
    </row>
    <row r="82" spans="1:8" ht="58.5" customHeight="1">
      <c r="E82" s="483">
        <v>7826</v>
      </c>
      <c r="H82" s="486" t="s">
        <v>6077</v>
      </c>
    </row>
    <row r="83" spans="1:8">
      <c r="E83" s="483">
        <v>220</v>
      </c>
      <c r="H83" s="483" t="s">
        <v>6078</v>
      </c>
    </row>
    <row r="84" spans="1:8">
      <c r="E84" s="484" t="s">
        <v>6079</v>
      </c>
      <c r="F84" s="484"/>
      <c r="G84" s="484"/>
    </row>
    <row r="86" spans="1:8">
      <c r="A86" s="483" t="s">
        <v>6073</v>
      </c>
    </row>
    <row r="87" spans="1:8">
      <c r="E87" s="483">
        <v>1205</v>
      </c>
      <c r="H87" s="483" t="s">
        <v>6080</v>
      </c>
    </row>
    <row r="88" spans="1:8">
      <c r="E88" s="484" t="s">
        <v>6081</v>
      </c>
      <c r="F88" s="484"/>
      <c r="G88" s="484"/>
    </row>
    <row r="90" spans="1:8">
      <c r="A90" s="483" t="s">
        <v>6082</v>
      </c>
    </row>
    <row r="91" spans="1:8">
      <c r="E91" s="483">
        <v>37</v>
      </c>
      <c r="H91" s="483" t="s">
        <v>6083</v>
      </c>
    </row>
    <row r="92" spans="1:8">
      <c r="E92" s="484" t="s">
        <v>6084</v>
      </c>
      <c r="F92" s="484"/>
      <c r="G92" s="484"/>
    </row>
    <row r="94" spans="1:8">
      <c r="A94" s="483" t="s">
        <v>6085</v>
      </c>
    </row>
    <row r="95" spans="1:8">
      <c r="D95" s="483">
        <v>50000</v>
      </c>
      <c r="H95" s="483" t="s">
        <v>6026</v>
      </c>
    </row>
    <row r="96" spans="1:8">
      <c r="E96" s="483">
        <v>50000</v>
      </c>
      <c r="H96" s="483" t="s">
        <v>6086</v>
      </c>
    </row>
    <row r="98" spans="1:8">
      <c r="A98" s="483" t="s">
        <v>6087</v>
      </c>
    </row>
    <row r="99" spans="1:8">
      <c r="E99" s="483">
        <v>9</v>
      </c>
      <c r="H99" s="483" t="s">
        <v>6088</v>
      </c>
    </row>
    <row r="100" spans="1:8">
      <c r="E100" s="484" t="s">
        <v>6089</v>
      </c>
      <c r="F100" s="484"/>
      <c r="G100" s="484"/>
    </row>
    <row r="102" spans="1:8">
      <c r="A102" s="483" t="s">
        <v>6090</v>
      </c>
    </row>
    <row r="103" spans="1:8">
      <c r="E103" s="483">
        <v>100</v>
      </c>
      <c r="H103" s="483" t="s">
        <v>6091</v>
      </c>
    </row>
    <row r="104" spans="1:8">
      <c r="E104" s="484" t="s">
        <v>6092</v>
      </c>
      <c r="F104" s="484"/>
      <c r="G104" s="484"/>
    </row>
    <row r="106" spans="1:8">
      <c r="A106" s="483" t="s">
        <v>6093</v>
      </c>
    </row>
    <row r="107" spans="1:8">
      <c r="E107" s="483">
        <v>67</v>
      </c>
      <c r="H107" s="483" t="s">
        <v>6094</v>
      </c>
    </row>
    <row r="108" spans="1:8">
      <c r="E108" s="483">
        <v>700</v>
      </c>
      <c r="H108" s="483" t="s">
        <v>6095</v>
      </c>
    </row>
    <row r="109" spans="1:8">
      <c r="E109" s="484" t="s">
        <v>6096</v>
      </c>
      <c r="F109" s="484"/>
      <c r="G109" s="484"/>
    </row>
    <row r="111" spans="1:8">
      <c r="A111" s="483" t="s">
        <v>6097</v>
      </c>
    </row>
    <row r="112" spans="1:8">
      <c r="D112" s="483">
        <v>20030</v>
      </c>
      <c r="H112" s="483" t="s">
        <v>6026</v>
      </c>
    </row>
    <row r="113" spans="1:8">
      <c r="E113" s="483">
        <v>20000</v>
      </c>
      <c r="H113" s="483" t="s">
        <v>6098</v>
      </c>
    </row>
    <row r="114" spans="1:8">
      <c r="E114" s="483">
        <v>30</v>
      </c>
      <c r="H114" s="483" t="s">
        <v>6099</v>
      </c>
    </row>
    <row r="115" spans="1:8">
      <c r="E115" s="484" t="s">
        <v>6096</v>
      </c>
      <c r="F115" s="484"/>
      <c r="G115" s="484"/>
    </row>
    <row r="117" spans="1:8">
      <c r="A117" s="483" t="s">
        <v>6100</v>
      </c>
    </row>
    <row r="118" spans="1:8">
      <c r="E118" s="483">
        <v>200</v>
      </c>
      <c r="H118" s="483" t="s">
        <v>6101</v>
      </c>
    </row>
    <row r="119" spans="1:8">
      <c r="E119" s="484" t="s">
        <v>6102</v>
      </c>
      <c r="F119" s="484"/>
      <c r="G119" s="484"/>
    </row>
    <row r="121" spans="1:8">
      <c r="A121" s="483" t="s">
        <v>6103</v>
      </c>
    </row>
    <row r="122" spans="1:8">
      <c r="D122" s="483">
        <v>4000</v>
      </c>
      <c r="H122" s="483" t="s">
        <v>6026</v>
      </c>
    </row>
    <row r="123" spans="1:8">
      <c r="E123" s="483">
        <v>1205</v>
      </c>
      <c r="H123" s="483" t="s">
        <v>6104</v>
      </c>
    </row>
    <row r="124" spans="1:8">
      <c r="E124" s="483">
        <v>35</v>
      </c>
      <c r="H124" s="483" t="s">
        <v>6105</v>
      </c>
    </row>
    <row r="125" spans="1:8">
      <c r="E125" s="483">
        <v>25</v>
      </c>
      <c r="H125" s="483" t="s">
        <v>6106</v>
      </c>
    </row>
    <row r="126" spans="1:8">
      <c r="E126" s="483">
        <v>1000</v>
      </c>
      <c r="H126" s="483" t="s">
        <v>6107</v>
      </c>
    </row>
    <row r="127" spans="1:8">
      <c r="E127" s="484" t="s">
        <v>6108</v>
      </c>
      <c r="F127" s="484"/>
      <c r="G127" s="484"/>
    </row>
    <row r="129" spans="1:8">
      <c r="A129" s="483" t="s">
        <v>6109</v>
      </c>
    </row>
    <row r="130" spans="1:8">
      <c r="E130" s="483">
        <v>500</v>
      </c>
      <c r="H130" s="483" t="s">
        <v>6110</v>
      </c>
    </row>
    <row r="131" spans="1:8">
      <c r="E131" s="484" t="s">
        <v>6111</v>
      </c>
      <c r="F131" s="484"/>
      <c r="G131" s="484"/>
    </row>
    <row r="133" spans="1:8" s="485" customFormat="1"/>
    <row r="135" spans="1:8">
      <c r="A135" s="483" t="s">
        <v>6112</v>
      </c>
    </row>
    <row r="136" spans="1:8">
      <c r="E136" s="483">
        <v>250</v>
      </c>
      <c r="H136" s="483" t="s">
        <v>6113</v>
      </c>
    </row>
    <row r="137" spans="1:8">
      <c r="E137" s="484" t="s">
        <v>6114</v>
      </c>
      <c r="F137" s="484"/>
      <c r="G137" s="484"/>
    </row>
    <row r="139" spans="1:8">
      <c r="A139" s="483" t="s">
        <v>6115</v>
      </c>
    </row>
    <row r="140" spans="1:8">
      <c r="E140" s="483">
        <v>18</v>
      </c>
      <c r="H140" s="483" t="s">
        <v>6116</v>
      </c>
    </row>
    <row r="141" spans="1:8">
      <c r="E141" s="483">
        <v>275</v>
      </c>
      <c r="H141" s="483" t="s">
        <v>6117</v>
      </c>
    </row>
    <row r="142" spans="1:8">
      <c r="E142" s="483">
        <v>169</v>
      </c>
      <c r="H142" s="483" t="s">
        <v>6118</v>
      </c>
    </row>
    <row r="143" spans="1:8">
      <c r="E143" s="484" t="s">
        <v>6119</v>
      </c>
      <c r="F143" s="484"/>
      <c r="G143" s="484"/>
    </row>
    <row r="145" spans="1:8">
      <c r="A145" s="483" t="s">
        <v>6120</v>
      </c>
    </row>
    <row r="146" spans="1:8">
      <c r="C146" s="483">
        <v>12396</v>
      </c>
      <c r="H146" s="483" t="s">
        <v>6121</v>
      </c>
    </row>
    <row r="147" spans="1:8">
      <c r="B147" s="483">
        <v>11340</v>
      </c>
      <c r="H147" s="483" t="s">
        <v>6122</v>
      </c>
    </row>
    <row r="148" spans="1:8">
      <c r="D148" s="483">
        <v>12000</v>
      </c>
      <c r="H148" s="483" t="s">
        <v>6026</v>
      </c>
    </row>
    <row r="149" spans="1:8">
      <c r="E149" s="483">
        <v>10370</v>
      </c>
      <c r="H149" s="483" t="s">
        <v>6123</v>
      </c>
    </row>
    <row r="150" spans="1:8">
      <c r="E150" s="484" t="s">
        <v>6124</v>
      </c>
      <c r="F150" s="484"/>
      <c r="G150" s="484"/>
    </row>
    <row r="152" spans="1:8">
      <c r="A152" s="483" t="s">
        <v>6125</v>
      </c>
    </row>
    <row r="153" spans="1:8">
      <c r="E153" s="483">
        <v>109</v>
      </c>
      <c r="H153" s="483" t="s">
        <v>6126</v>
      </c>
    </row>
    <row r="154" spans="1:8">
      <c r="E154" s="484" t="s">
        <v>6127</v>
      </c>
      <c r="F154" s="484"/>
      <c r="G154" s="484"/>
    </row>
    <row r="156" spans="1:8">
      <c r="A156" s="483" t="s">
        <v>6128</v>
      </c>
    </row>
    <row r="157" spans="1:8">
      <c r="E157" s="483">
        <v>130</v>
      </c>
      <c r="H157" s="483" t="s">
        <v>6129</v>
      </c>
    </row>
    <row r="158" spans="1:8">
      <c r="E158" s="484" t="s">
        <v>6130</v>
      </c>
      <c r="F158" s="484"/>
      <c r="G158" s="484"/>
    </row>
    <row r="159" spans="1:8">
      <c r="E159" s="483">
        <v>159</v>
      </c>
      <c r="H159" s="483" t="s">
        <v>6131</v>
      </c>
    </row>
    <row r="160" spans="1:8">
      <c r="E160" s="483">
        <v>1205</v>
      </c>
      <c r="H160" s="483" t="s">
        <v>6132</v>
      </c>
    </row>
    <row r="161" spans="1:8">
      <c r="E161" s="483">
        <v>798</v>
      </c>
      <c r="H161" s="483" t="s">
        <v>6133</v>
      </c>
    </row>
    <row r="162" spans="1:8">
      <c r="E162" s="484" t="s">
        <v>6134</v>
      </c>
      <c r="F162" s="484"/>
      <c r="G162" s="484"/>
    </row>
    <row r="163" spans="1:8">
      <c r="E163" s="484"/>
      <c r="F163" s="484"/>
      <c r="G163" s="484"/>
    </row>
    <row r="164" spans="1:8">
      <c r="A164" s="483" t="s">
        <v>6135</v>
      </c>
      <c r="E164" s="484"/>
      <c r="F164" s="484"/>
      <c r="G164" s="484"/>
    </row>
    <row r="165" spans="1:8">
      <c r="E165" s="329">
        <v>180</v>
      </c>
      <c r="F165" s="329"/>
      <c r="G165" s="329"/>
      <c r="H165" s="483" t="s">
        <v>6136</v>
      </c>
    </row>
    <row r="166" spans="1:8">
      <c r="E166" s="329">
        <v>200</v>
      </c>
      <c r="F166" s="329"/>
      <c r="G166" s="329"/>
      <c r="H166" s="483" t="s">
        <v>6136</v>
      </c>
    </row>
    <row r="167" spans="1:8">
      <c r="E167" s="484"/>
      <c r="F167" s="484"/>
      <c r="G167" s="484"/>
    </row>
    <row r="168" spans="1:8">
      <c r="A168" s="483" t="s">
        <v>6137</v>
      </c>
      <c r="E168" s="484"/>
      <c r="F168" s="484"/>
      <c r="G168" s="484"/>
    </row>
    <row r="169" spans="1:8">
      <c r="E169" s="329">
        <v>140</v>
      </c>
      <c r="F169" s="329"/>
      <c r="G169" s="329"/>
      <c r="H169" s="483" t="s">
        <v>6138</v>
      </c>
    </row>
    <row r="170" spans="1:8">
      <c r="E170" s="329">
        <v>145</v>
      </c>
      <c r="F170" s="329"/>
      <c r="G170" s="329"/>
      <c r="H170" s="483" t="s">
        <v>6138</v>
      </c>
    </row>
    <row r="171" spans="1:8">
      <c r="E171" s="329"/>
      <c r="F171" s="329"/>
      <c r="G171" s="329"/>
    </row>
    <row r="172" spans="1:8">
      <c r="A172" s="483" t="s">
        <v>6139</v>
      </c>
      <c r="E172" s="484"/>
      <c r="F172" s="484"/>
      <c r="G172" s="484"/>
    </row>
    <row r="173" spans="1:8">
      <c r="E173" s="329">
        <v>25</v>
      </c>
      <c r="F173" s="329"/>
      <c r="G173" s="329"/>
      <c r="H173" s="483" t="s">
        <v>6140</v>
      </c>
    </row>
    <row r="174" spans="1:8">
      <c r="E174" s="484" t="s">
        <v>6141</v>
      </c>
      <c r="F174" s="484"/>
      <c r="G174" s="484"/>
    </row>
    <row r="175" spans="1:8">
      <c r="E175" s="484"/>
      <c r="F175" s="484"/>
      <c r="G175" s="484"/>
    </row>
    <row r="176" spans="1:8">
      <c r="A176" s="483" t="s">
        <v>6139</v>
      </c>
      <c r="E176" s="484"/>
      <c r="F176" s="484"/>
      <c r="G176" s="484"/>
    </row>
    <row r="177" spans="1:8">
      <c r="E177" s="329">
        <v>88</v>
      </c>
      <c r="F177" s="329"/>
      <c r="G177" s="329"/>
      <c r="H177" s="483" t="s">
        <v>6142</v>
      </c>
    </row>
    <row r="178" spans="1:8">
      <c r="E178" s="484"/>
      <c r="F178" s="484"/>
      <c r="G178" s="484"/>
    </row>
    <row r="179" spans="1:8">
      <c r="A179" s="483" t="s">
        <v>6143</v>
      </c>
      <c r="E179" s="484"/>
      <c r="F179" s="484"/>
      <c r="G179" s="484"/>
    </row>
    <row r="180" spans="1:8">
      <c r="E180" s="329">
        <v>98</v>
      </c>
      <c r="F180" s="329"/>
      <c r="G180" s="329"/>
      <c r="H180" s="483" t="s">
        <v>6144</v>
      </c>
    </row>
    <row r="181" spans="1:8">
      <c r="E181" s="484"/>
      <c r="F181" s="484"/>
      <c r="G181" s="484"/>
    </row>
    <row r="182" spans="1:8">
      <c r="A182" s="483" t="s">
        <v>6145</v>
      </c>
      <c r="E182" s="484"/>
      <c r="F182" s="484"/>
      <c r="G182" s="484"/>
    </row>
    <row r="183" spans="1:8">
      <c r="C183" s="483">
        <v>24689</v>
      </c>
      <c r="E183" s="484"/>
      <c r="F183" s="484"/>
      <c r="G183" s="484"/>
      <c r="H183" s="483" t="s">
        <v>6146</v>
      </c>
    </row>
    <row r="184" spans="1:8">
      <c r="C184" s="483">
        <v>40120</v>
      </c>
      <c r="E184" s="484"/>
      <c r="F184" s="484"/>
      <c r="G184" s="484"/>
      <c r="H184" s="483" t="s">
        <v>6147</v>
      </c>
    </row>
    <row r="185" spans="1:8">
      <c r="C185" s="483">
        <v>63796</v>
      </c>
      <c r="E185" s="484"/>
      <c r="F185" s="484"/>
      <c r="G185" s="484"/>
      <c r="H185" s="483" t="s">
        <v>6148</v>
      </c>
    </row>
    <row r="186" spans="1:8">
      <c r="E186" s="484"/>
      <c r="F186" s="484"/>
      <c r="G186" s="484"/>
    </row>
    <row r="187" spans="1:8">
      <c r="A187" s="483" t="s">
        <v>6149</v>
      </c>
    </row>
    <row r="188" spans="1:8" ht="49.5">
      <c r="C188" s="483">
        <v>20000</v>
      </c>
      <c r="H188" s="486" t="s">
        <v>6150</v>
      </c>
    </row>
    <row r="189" spans="1:8">
      <c r="E189" s="483">
        <v>30</v>
      </c>
      <c r="H189" s="483" t="s">
        <v>6151</v>
      </c>
    </row>
    <row r="190" spans="1:8">
      <c r="E190" s="484" t="s">
        <v>6056</v>
      </c>
      <c r="F190" s="484"/>
      <c r="G190" s="484"/>
    </row>
    <row r="191" spans="1:8">
      <c r="D191" s="483">
        <v>45000</v>
      </c>
      <c r="E191" s="484"/>
      <c r="F191" s="484"/>
      <c r="G191" s="484"/>
      <c r="H191" s="483" t="s">
        <v>6026</v>
      </c>
    </row>
    <row r="192" spans="1:8" ht="214.5">
      <c r="E192" s="329">
        <v>39561</v>
      </c>
      <c r="F192" s="329"/>
      <c r="G192" s="329"/>
      <c r="H192" s="486" t="s">
        <v>6152</v>
      </c>
    </row>
    <row r="193" spans="1:8">
      <c r="E193" s="484" t="s">
        <v>6153</v>
      </c>
      <c r="F193" s="484"/>
      <c r="G193" s="484"/>
    </row>
    <row r="194" spans="1:8">
      <c r="E194" s="484"/>
      <c r="F194" s="484"/>
      <c r="G194" s="484"/>
    </row>
    <row r="195" spans="1:8">
      <c r="A195" s="483" t="s">
        <v>6154</v>
      </c>
    </row>
    <row r="196" spans="1:8">
      <c r="C196" s="483">
        <v>15000</v>
      </c>
      <c r="H196" s="483" t="s">
        <v>6155</v>
      </c>
    </row>
    <row r="197" spans="1:8" ht="115.5">
      <c r="B197" s="486" t="s">
        <v>6156</v>
      </c>
      <c r="H197" s="483" t="s">
        <v>6157</v>
      </c>
    </row>
    <row r="199" spans="1:8">
      <c r="A199" s="483" t="s">
        <v>6158</v>
      </c>
    </row>
    <row r="200" spans="1:8">
      <c r="E200" s="483">
        <v>1205</v>
      </c>
      <c r="H200" s="483" t="s">
        <v>6159</v>
      </c>
    </row>
    <row r="201" spans="1:8">
      <c r="E201" s="484" t="s">
        <v>6160</v>
      </c>
      <c r="F201" s="484"/>
      <c r="G201" s="484"/>
    </row>
    <row r="202" spans="1:8">
      <c r="E202" s="484" t="s">
        <v>6161</v>
      </c>
      <c r="F202" s="484"/>
      <c r="G202" s="484"/>
      <c r="H202" s="483" t="s">
        <v>6162</v>
      </c>
    </row>
    <row r="204" spans="1:8">
      <c r="A204" s="483" t="s">
        <v>6163</v>
      </c>
    </row>
    <row r="205" spans="1:8">
      <c r="C205" s="483">
        <v>30000</v>
      </c>
      <c r="H205" s="483" t="s">
        <v>6164</v>
      </c>
    </row>
    <row r="206" spans="1:8">
      <c r="E206" s="483">
        <v>399</v>
      </c>
      <c r="H206" s="483" t="s">
        <v>6165</v>
      </c>
    </row>
    <row r="207" spans="1:8">
      <c r="E207" s="483">
        <v>180</v>
      </c>
      <c r="H207" s="483" t="s">
        <v>6166</v>
      </c>
    </row>
    <row r="208" spans="1:8">
      <c r="E208" s="483">
        <v>185</v>
      </c>
      <c r="H208" s="483" t="s">
        <v>6166</v>
      </c>
    </row>
    <row r="209" spans="1:8">
      <c r="E209" s="484" t="s">
        <v>6167</v>
      </c>
      <c r="F209" s="484"/>
      <c r="G209" s="484"/>
    </row>
    <row r="210" spans="1:8">
      <c r="E210" s="484" t="s">
        <v>6168</v>
      </c>
      <c r="F210" s="484"/>
      <c r="G210" s="484"/>
      <c r="H210" s="483" t="s">
        <v>6169</v>
      </c>
    </row>
    <row r="212" spans="1:8">
      <c r="A212" s="483" t="s">
        <v>6170</v>
      </c>
    </row>
    <row r="213" spans="1:8">
      <c r="E213" s="483">
        <v>145</v>
      </c>
      <c r="H213" s="483" t="s">
        <v>6171</v>
      </c>
    </row>
    <row r="214" spans="1:8">
      <c r="E214" s="483">
        <v>150</v>
      </c>
      <c r="H214" s="483" t="s">
        <v>6171</v>
      </c>
    </row>
    <row r="215" spans="1:8">
      <c r="E215" s="484" t="s">
        <v>6172</v>
      </c>
      <c r="F215" s="484"/>
      <c r="G215" s="484"/>
    </row>
    <row r="217" spans="1:8">
      <c r="A217" s="483" t="s">
        <v>6173</v>
      </c>
    </row>
    <row r="218" spans="1:8">
      <c r="E218" s="483">
        <v>18</v>
      </c>
      <c r="H218" s="483" t="s">
        <v>6174</v>
      </c>
    </row>
    <row r="219" spans="1:8">
      <c r="E219" s="483">
        <v>200</v>
      </c>
      <c r="H219" s="483" t="s">
        <v>6175</v>
      </c>
    </row>
    <row r="220" spans="1:8">
      <c r="E220" s="483">
        <v>600</v>
      </c>
      <c r="H220" s="483" t="s">
        <v>6176</v>
      </c>
    </row>
    <row r="221" spans="1:8">
      <c r="E221" s="484" t="s">
        <v>6177</v>
      </c>
      <c r="F221" s="484"/>
      <c r="G221" s="484"/>
      <c r="H221" s="483" t="s">
        <v>6178</v>
      </c>
    </row>
    <row r="222" spans="1:8">
      <c r="E222" s="484"/>
      <c r="F222" s="484"/>
      <c r="G222" s="484"/>
    </row>
    <row r="223" spans="1:8">
      <c r="A223" s="483" t="s">
        <v>6179</v>
      </c>
      <c r="E223" s="484"/>
      <c r="F223" s="484"/>
      <c r="G223" s="484"/>
    </row>
    <row r="224" spans="1:8">
      <c r="E224" s="329">
        <v>230</v>
      </c>
      <c r="F224" s="329"/>
      <c r="G224" s="329"/>
      <c r="H224" s="483" t="s">
        <v>6180</v>
      </c>
    </row>
    <row r="225" spans="1:8">
      <c r="E225" s="329">
        <v>230</v>
      </c>
      <c r="F225" s="329"/>
      <c r="G225" s="329"/>
      <c r="H225" s="483" t="s">
        <v>6180</v>
      </c>
    </row>
    <row r="226" spans="1:8">
      <c r="E226" s="484" t="s">
        <v>6181</v>
      </c>
      <c r="F226" s="484"/>
      <c r="G226" s="484"/>
      <c r="H226" s="483" t="s">
        <v>6182</v>
      </c>
    </row>
    <row r="227" spans="1:8" s="485" customFormat="1">
      <c r="E227" s="490"/>
      <c r="F227" s="490"/>
      <c r="G227" s="490"/>
    </row>
    <row r="228" spans="1:8">
      <c r="A228" s="483" t="s">
        <v>6183</v>
      </c>
    </row>
    <row r="229" spans="1:8">
      <c r="C229" s="483">
        <v>15000</v>
      </c>
      <c r="H229" s="483" t="s">
        <v>6184</v>
      </c>
    </row>
    <row r="231" spans="1:8">
      <c r="A231" s="483" t="s">
        <v>6185</v>
      </c>
      <c r="E231" s="484"/>
      <c r="F231" s="484"/>
      <c r="G231" s="484"/>
    </row>
    <row r="232" spans="1:8">
      <c r="E232" s="329">
        <v>255</v>
      </c>
      <c r="F232" s="329"/>
      <c r="G232" s="329"/>
      <c r="H232" s="483" t="s">
        <v>6186</v>
      </c>
    </row>
    <row r="233" spans="1:8">
      <c r="E233" s="329">
        <v>270</v>
      </c>
      <c r="F233" s="329"/>
      <c r="G233" s="329"/>
      <c r="H233" s="483" t="s">
        <v>6186</v>
      </c>
    </row>
    <row r="234" spans="1:8">
      <c r="E234" s="484" t="s">
        <v>6187</v>
      </c>
      <c r="F234" s="484"/>
      <c r="G234" s="484"/>
    </row>
    <row r="236" spans="1:8">
      <c r="A236" s="483" t="s">
        <v>6188</v>
      </c>
    </row>
    <row r="237" spans="1:8">
      <c r="D237" s="483">
        <v>7000</v>
      </c>
      <c r="H237" s="483" t="s">
        <v>6026</v>
      </c>
    </row>
    <row r="238" spans="1:8">
      <c r="E238" s="483">
        <v>2000</v>
      </c>
      <c r="H238" s="483" t="s">
        <v>6189</v>
      </c>
    </row>
    <row r="239" spans="1:8">
      <c r="E239" s="484" t="s">
        <v>6190</v>
      </c>
      <c r="F239" s="484"/>
      <c r="G239" s="484"/>
    </row>
    <row r="241" spans="1:8">
      <c r="A241" s="483" t="s">
        <v>6191</v>
      </c>
    </row>
    <row r="242" spans="1:8">
      <c r="D242" s="483">
        <v>53000</v>
      </c>
      <c r="H242" s="483" t="s">
        <v>6026</v>
      </c>
    </row>
    <row r="243" spans="1:8">
      <c r="E243" s="483">
        <v>18234</v>
      </c>
      <c r="H243" s="483" t="s">
        <v>6192</v>
      </c>
    </row>
    <row r="244" spans="1:8">
      <c r="E244" s="483">
        <v>20758</v>
      </c>
      <c r="H244" s="483" t="s">
        <v>6193</v>
      </c>
    </row>
    <row r="245" spans="1:8">
      <c r="E245" s="483">
        <v>13614</v>
      </c>
      <c r="H245" s="483" t="s">
        <v>6194</v>
      </c>
    </row>
    <row r="246" spans="1:8">
      <c r="E246" s="484" t="s">
        <v>6195</v>
      </c>
      <c r="F246" s="484"/>
      <c r="G246" s="484"/>
    </row>
    <row r="248" spans="1:8">
      <c r="A248" s="483" t="s">
        <v>6196</v>
      </c>
    </row>
    <row r="249" spans="1:8">
      <c r="E249" s="483">
        <v>1812</v>
      </c>
      <c r="H249" s="483" t="s">
        <v>6197</v>
      </c>
    </row>
    <row r="250" spans="1:8">
      <c r="E250" s="483">
        <v>399</v>
      </c>
      <c r="H250" s="483" t="s">
        <v>6198</v>
      </c>
    </row>
    <row r="251" spans="1:8">
      <c r="E251" s="484" t="s">
        <v>6199</v>
      </c>
      <c r="F251" s="484"/>
      <c r="G251" s="484"/>
    </row>
    <row r="252" spans="1:8">
      <c r="E252" s="484"/>
      <c r="F252" s="484"/>
      <c r="G252" s="484"/>
    </row>
    <row r="253" spans="1:8">
      <c r="A253" s="483" t="s">
        <v>6200</v>
      </c>
      <c r="E253" s="484"/>
      <c r="F253" s="484"/>
      <c r="G253" s="484"/>
    </row>
    <row r="254" spans="1:8">
      <c r="E254" s="329">
        <v>174</v>
      </c>
      <c r="F254" s="329"/>
      <c r="G254" s="329"/>
      <c r="H254" s="483" t="s">
        <v>6201</v>
      </c>
    </row>
    <row r="255" spans="1:8">
      <c r="E255" s="484" t="s">
        <v>6202</v>
      </c>
      <c r="F255" s="484"/>
      <c r="G255" s="484"/>
    </row>
    <row r="256" spans="1:8">
      <c r="E256" s="484"/>
      <c r="F256" s="484"/>
      <c r="G256" s="484"/>
    </row>
    <row r="257" spans="1:8">
      <c r="A257" s="483" t="s">
        <v>6203</v>
      </c>
    </row>
    <row r="258" spans="1:8">
      <c r="E258" s="483">
        <v>130</v>
      </c>
      <c r="H258" s="483" t="s">
        <v>6204</v>
      </c>
    </row>
    <row r="259" spans="1:8">
      <c r="E259" s="484" t="s">
        <v>6205</v>
      </c>
      <c r="F259" s="484"/>
      <c r="G259" s="484"/>
    </row>
    <row r="261" spans="1:8">
      <c r="A261" s="483" t="s">
        <v>6206</v>
      </c>
    </row>
    <row r="262" spans="1:8">
      <c r="E262" s="483">
        <v>140</v>
      </c>
      <c r="H262" s="483" t="s">
        <v>6207</v>
      </c>
    </row>
    <row r="263" spans="1:8">
      <c r="E263" s="483">
        <v>130</v>
      </c>
      <c r="H263" s="483" t="s">
        <v>6207</v>
      </c>
    </row>
    <row r="264" spans="1:8">
      <c r="E264" s="484" t="s">
        <v>6208</v>
      </c>
      <c r="F264" s="484"/>
      <c r="G264" s="484"/>
    </row>
    <row r="266" spans="1:8">
      <c r="A266" s="483" t="s">
        <v>6209</v>
      </c>
    </row>
    <row r="267" spans="1:8">
      <c r="E267" s="483">
        <v>1205</v>
      </c>
      <c r="H267" s="483" t="s">
        <v>6210</v>
      </c>
    </row>
    <row r="268" spans="1:8">
      <c r="E268" s="484" t="s">
        <v>6211</v>
      </c>
      <c r="F268" s="484"/>
      <c r="G268" s="484"/>
    </row>
    <row r="270" spans="1:8">
      <c r="A270" s="483" t="s">
        <v>6212</v>
      </c>
    </row>
    <row r="271" spans="1:8">
      <c r="E271" s="483">
        <v>200</v>
      </c>
      <c r="H271" s="483" t="s">
        <v>6213</v>
      </c>
    </row>
    <row r="272" spans="1:8">
      <c r="E272" s="484"/>
      <c r="F272" s="484"/>
      <c r="G272" s="484"/>
    </row>
    <row r="274" spans="1:8">
      <c r="A274" s="483" t="s">
        <v>6214</v>
      </c>
    </row>
    <row r="275" spans="1:8">
      <c r="C275" s="483">
        <v>15000</v>
      </c>
      <c r="H275" s="483" t="s">
        <v>6215</v>
      </c>
    </row>
    <row r="277" spans="1:8">
      <c r="A277" s="483" t="s">
        <v>6216</v>
      </c>
    </row>
    <row r="278" spans="1:8">
      <c r="E278" s="483">
        <v>1583</v>
      </c>
      <c r="H278" s="483" t="s">
        <v>6217</v>
      </c>
    </row>
    <row r="279" spans="1:8">
      <c r="E279" s="484" t="s">
        <v>6218</v>
      </c>
      <c r="F279" s="484"/>
      <c r="G279" s="484"/>
    </row>
    <row r="281" spans="1:8">
      <c r="A281" s="483" t="s">
        <v>6219</v>
      </c>
    </row>
    <row r="282" spans="1:8">
      <c r="C282" s="483">
        <v>19536</v>
      </c>
      <c r="H282" s="483" t="s">
        <v>6220</v>
      </c>
    </row>
    <row r="283" spans="1:8">
      <c r="D283" s="483">
        <v>5000</v>
      </c>
      <c r="H283" s="483" t="s">
        <v>6221</v>
      </c>
    </row>
    <row r="284" spans="1:8">
      <c r="E284" s="484" t="s">
        <v>6222</v>
      </c>
      <c r="F284" s="484"/>
      <c r="G284" s="484"/>
    </row>
    <row r="286" spans="1:8">
      <c r="A286" s="483" t="s">
        <v>6223</v>
      </c>
      <c r="E286" s="483">
        <v>250</v>
      </c>
      <c r="H286" s="483" t="s">
        <v>6224</v>
      </c>
    </row>
    <row r="287" spans="1:8">
      <c r="E287" s="483">
        <v>250</v>
      </c>
      <c r="H287" s="483" t="s">
        <v>6224</v>
      </c>
    </row>
    <row r="288" spans="1:8">
      <c r="E288" s="484" t="s">
        <v>6225</v>
      </c>
      <c r="F288" s="484"/>
      <c r="G288" s="484"/>
    </row>
    <row r="290" spans="1:8">
      <c r="A290" s="483" t="s">
        <v>6226</v>
      </c>
    </row>
    <row r="291" spans="1:8">
      <c r="C291" s="483">
        <v>39756</v>
      </c>
      <c r="H291" s="483" t="s">
        <v>6227</v>
      </c>
    </row>
    <row r="293" spans="1:8">
      <c r="A293" s="483" t="s">
        <v>6228</v>
      </c>
    </row>
    <row r="294" spans="1:8">
      <c r="C294" s="483">
        <v>15000</v>
      </c>
      <c r="H294" s="483" t="s">
        <v>6229</v>
      </c>
    </row>
    <row r="296" spans="1:8">
      <c r="A296" s="483" t="s">
        <v>6228</v>
      </c>
    </row>
    <row r="297" spans="1:8">
      <c r="E297" s="483">
        <v>1205</v>
      </c>
      <c r="H297" s="483" t="s">
        <v>6230</v>
      </c>
    </row>
    <row r="298" spans="1:8">
      <c r="E298" s="483">
        <v>1205</v>
      </c>
      <c r="H298" s="483" t="s">
        <v>6231</v>
      </c>
    </row>
    <row r="299" spans="1:8">
      <c r="E299" s="484" t="s">
        <v>6232</v>
      </c>
      <c r="F299" s="484"/>
      <c r="G299" s="484"/>
    </row>
    <row r="300" spans="1:8">
      <c r="E300" s="484" t="s">
        <v>6233</v>
      </c>
      <c r="F300" s="484"/>
      <c r="G300" s="484"/>
      <c r="H300" s="483" t="s">
        <v>6234</v>
      </c>
    </row>
    <row r="301" spans="1:8">
      <c r="E301" s="484"/>
      <c r="F301" s="484"/>
      <c r="G301" s="484"/>
    </row>
    <row r="302" spans="1:8">
      <c r="A302" s="483" t="s">
        <v>6235</v>
      </c>
      <c r="D302" s="483">
        <v>12994</v>
      </c>
      <c r="E302" s="484"/>
      <c r="F302" s="484"/>
      <c r="G302" s="484"/>
    </row>
    <row r="303" spans="1:8">
      <c r="E303" s="483">
        <v>12994</v>
      </c>
      <c r="H303" s="483" t="s">
        <v>6236</v>
      </c>
    </row>
    <row r="305" spans="1:8">
      <c r="A305" s="483" t="s">
        <v>6237</v>
      </c>
      <c r="D305" s="483">
        <v>9600</v>
      </c>
      <c r="H305" s="483" t="s">
        <v>6238</v>
      </c>
    </row>
    <row r="306" spans="1:8">
      <c r="E306" s="484" t="s">
        <v>6239</v>
      </c>
      <c r="F306" s="484"/>
      <c r="G306" s="484"/>
    </row>
    <row r="308" spans="1:8">
      <c r="A308" s="483" t="s">
        <v>6237</v>
      </c>
      <c r="E308" s="483">
        <v>1583</v>
      </c>
      <c r="H308" s="483" t="s">
        <v>6240</v>
      </c>
    </row>
    <row r="309" spans="1:8">
      <c r="E309" s="483">
        <v>3</v>
      </c>
      <c r="H309" s="483" t="s">
        <v>6241</v>
      </c>
    </row>
    <row r="310" spans="1:8">
      <c r="E310" s="484" t="s">
        <v>6242</v>
      </c>
      <c r="F310" s="484"/>
      <c r="G310" s="484"/>
    </row>
    <row r="312" spans="1:8">
      <c r="A312" s="483" t="s">
        <v>6243</v>
      </c>
      <c r="E312" s="483">
        <v>50</v>
      </c>
      <c r="H312" s="483" t="s">
        <v>6244</v>
      </c>
    </row>
    <row r="313" spans="1:8">
      <c r="E313" s="483">
        <v>70</v>
      </c>
      <c r="H313" s="483" t="s">
        <v>6245</v>
      </c>
    </row>
    <row r="314" spans="1:8">
      <c r="E314" s="484" t="s">
        <v>6246</v>
      </c>
      <c r="F314" s="484"/>
      <c r="G314" s="484"/>
    </row>
    <row r="316" spans="1:8">
      <c r="A316" s="483" t="s">
        <v>6247</v>
      </c>
    </row>
    <row r="317" spans="1:8">
      <c r="E317" s="483">
        <v>50</v>
      </c>
      <c r="H317" s="483" t="s">
        <v>6248</v>
      </c>
    </row>
    <row r="318" spans="1:8">
      <c r="E318" s="483">
        <v>798</v>
      </c>
      <c r="H318" s="483" t="s">
        <v>6249</v>
      </c>
    </row>
    <row r="319" spans="1:8">
      <c r="E319" s="484" t="s">
        <v>6250</v>
      </c>
      <c r="F319" s="484"/>
      <c r="G319" s="484"/>
    </row>
    <row r="321" spans="1:8">
      <c r="A321" s="483" t="s">
        <v>6251</v>
      </c>
    </row>
    <row r="322" spans="1:8">
      <c r="C322" s="483">
        <v>7000</v>
      </c>
      <c r="H322" s="483" t="s">
        <v>6252</v>
      </c>
    </row>
    <row r="324" spans="1:8">
      <c r="A324" s="483" t="s">
        <v>6251</v>
      </c>
    </row>
    <row r="325" spans="1:8">
      <c r="E325" s="483">
        <v>5000</v>
      </c>
      <c r="H325" s="483" t="s">
        <v>6253</v>
      </c>
    </row>
    <row r="326" spans="1:8">
      <c r="E326" s="484" t="s">
        <v>6254</v>
      </c>
      <c r="F326" s="484"/>
      <c r="G326" s="484"/>
    </row>
    <row r="328" spans="1:8">
      <c r="A328" s="483" t="s">
        <v>6251</v>
      </c>
    </row>
    <row r="329" spans="1:8">
      <c r="E329" s="483">
        <v>1000</v>
      </c>
      <c r="H329" s="483" t="s">
        <v>6255</v>
      </c>
    </row>
    <row r="330" spans="1:8">
      <c r="E330" s="484" t="s">
        <v>6256</v>
      </c>
      <c r="F330" s="484"/>
      <c r="G330" s="484"/>
    </row>
    <row r="332" spans="1:8">
      <c r="A332" s="483" t="s">
        <v>6257</v>
      </c>
    </row>
    <row r="333" spans="1:8">
      <c r="E333" s="483">
        <v>399</v>
      </c>
      <c r="H333" s="483" t="s">
        <v>6258</v>
      </c>
    </row>
    <row r="334" spans="1:8">
      <c r="E334" s="484" t="s">
        <v>6259</v>
      </c>
      <c r="F334" s="484"/>
      <c r="G334" s="484"/>
    </row>
    <row r="336" spans="1:8">
      <c r="A336" s="483" t="s">
        <v>6260</v>
      </c>
    </row>
    <row r="337" spans="1:8">
      <c r="E337" s="483">
        <v>90</v>
      </c>
      <c r="H337" s="483" t="s">
        <v>6261</v>
      </c>
    </row>
    <row r="338" spans="1:8">
      <c r="E338" s="484" t="s">
        <v>6262</v>
      </c>
      <c r="F338" s="484"/>
      <c r="G338" s="484"/>
    </row>
    <row r="340" spans="1:8">
      <c r="A340" s="483" t="s">
        <v>6263</v>
      </c>
    </row>
    <row r="341" spans="1:8">
      <c r="E341" s="483">
        <v>276</v>
      </c>
      <c r="H341" s="483" t="s">
        <v>6131</v>
      </c>
    </row>
    <row r="342" spans="1:8">
      <c r="E342" s="484" t="s">
        <v>6264</v>
      </c>
      <c r="F342" s="484"/>
      <c r="G342" s="484"/>
    </row>
    <row r="344" spans="1:8">
      <c r="A344" s="483" t="s">
        <v>6265</v>
      </c>
    </row>
    <row r="345" spans="1:8">
      <c r="C345" s="483">
        <v>15000</v>
      </c>
      <c r="H345" s="483" t="s">
        <v>6266</v>
      </c>
    </row>
    <row r="347" spans="1:8">
      <c r="A347" s="483" t="s">
        <v>6265</v>
      </c>
    </row>
    <row r="348" spans="1:8">
      <c r="C348" s="483">
        <v>40000</v>
      </c>
      <c r="H348" s="483" t="s">
        <v>6267</v>
      </c>
    </row>
    <row r="350" spans="1:8">
      <c r="A350" s="483" t="s">
        <v>6265</v>
      </c>
    </row>
    <row r="351" spans="1:8" ht="115.5">
      <c r="B351" s="483">
        <v>97905</v>
      </c>
      <c r="H351" s="486" t="s">
        <v>6268</v>
      </c>
    </row>
    <row r="353" spans="1:8">
      <c r="A353" s="483" t="s">
        <v>6269</v>
      </c>
    </row>
    <row r="354" spans="1:8">
      <c r="C354" s="483">
        <v>63796</v>
      </c>
      <c r="H354" s="483" t="s">
        <v>6270</v>
      </c>
    </row>
    <row r="355" spans="1:8">
      <c r="C355" s="483">
        <v>29000</v>
      </c>
      <c r="H355" s="483" t="s">
        <v>6271</v>
      </c>
    </row>
    <row r="356" spans="1:8">
      <c r="C356" s="483">
        <v>23536</v>
      </c>
      <c r="H356" s="483" t="s">
        <v>6272</v>
      </c>
    </row>
    <row r="357" spans="1:8">
      <c r="C357" s="483">
        <v>13002</v>
      </c>
      <c r="H357" s="483" t="s">
        <v>6273</v>
      </c>
    </row>
    <row r="359" spans="1:8">
      <c r="A359" s="483" t="s">
        <v>6274</v>
      </c>
    </row>
    <row r="360" spans="1:8">
      <c r="D360" s="483">
        <v>10000</v>
      </c>
      <c r="H360" s="483" t="s">
        <v>6275</v>
      </c>
    </row>
    <row r="361" spans="1:8">
      <c r="E361" s="483">
        <v>3844</v>
      </c>
      <c r="H361" s="483" t="s">
        <v>6276</v>
      </c>
    </row>
    <row r="362" spans="1:8">
      <c r="E362" s="483">
        <v>1583</v>
      </c>
      <c r="H362" s="483" t="s">
        <v>6277</v>
      </c>
    </row>
    <row r="363" spans="1:8">
      <c r="E363" s="483">
        <v>1583</v>
      </c>
      <c r="H363" s="483" t="s">
        <v>6278</v>
      </c>
    </row>
    <row r="364" spans="1:8">
      <c r="E364" s="483">
        <v>9</v>
      </c>
      <c r="H364" s="483" t="s">
        <v>6279</v>
      </c>
    </row>
    <row r="365" spans="1:8">
      <c r="E365" s="483">
        <v>17</v>
      </c>
      <c r="H365" s="483" t="s">
        <v>6280</v>
      </c>
    </row>
    <row r="366" spans="1:8">
      <c r="E366" s="484" t="s">
        <v>6281</v>
      </c>
      <c r="F366" s="484"/>
      <c r="G366" s="484"/>
    </row>
    <row r="368" spans="1:8">
      <c r="A368" s="483" t="s">
        <v>6282</v>
      </c>
    </row>
    <row r="369" spans="1:8">
      <c r="E369" s="483">
        <v>200</v>
      </c>
      <c r="H369" s="483" t="s">
        <v>6283</v>
      </c>
    </row>
    <row r="370" spans="1:8">
      <c r="E370" s="484" t="s">
        <v>6284</v>
      </c>
      <c r="F370" s="484"/>
      <c r="G370" s="484"/>
    </row>
    <row r="372" spans="1:8">
      <c r="A372" s="483" t="s">
        <v>6285</v>
      </c>
    </row>
    <row r="373" spans="1:8">
      <c r="E373" s="483">
        <v>114</v>
      </c>
      <c r="H373" s="483" t="s">
        <v>6286</v>
      </c>
    </row>
    <row r="374" spans="1:8">
      <c r="E374" s="484" t="s">
        <v>6287</v>
      </c>
      <c r="F374" s="484"/>
      <c r="G374" s="484"/>
    </row>
    <row r="376" spans="1:8">
      <c r="A376" s="483" t="s">
        <v>6288</v>
      </c>
    </row>
    <row r="377" spans="1:8">
      <c r="E377" s="483">
        <v>1205</v>
      </c>
      <c r="H377" s="483" t="s">
        <v>6289</v>
      </c>
    </row>
    <row r="378" spans="1:8">
      <c r="E378" s="484" t="s">
        <v>6290</v>
      </c>
      <c r="F378" s="484"/>
      <c r="G378" s="484"/>
    </row>
    <row r="380" spans="1:8">
      <c r="A380" s="483" t="s">
        <v>6288</v>
      </c>
    </row>
    <row r="381" spans="1:8">
      <c r="C381" s="483">
        <v>23767</v>
      </c>
      <c r="H381" s="483" t="s">
        <v>6291</v>
      </c>
    </row>
    <row r="383" spans="1:8">
      <c r="A383" s="483" t="s">
        <v>6292</v>
      </c>
    </row>
    <row r="384" spans="1:8">
      <c r="E384" s="483">
        <v>2400</v>
      </c>
      <c r="H384" s="483" t="s">
        <v>6293</v>
      </c>
    </row>
    <row r="385" spans="1:8">
      <c r="E385" s="484" t="s">
        <v>6294</v>
      </c>
      <c r="F385" s="484"/>
      <c r="G385" s="484"/>
    </row>
    <row r="387" spans="1:8">
      <c r="A387" s="483" t="s">
        <v>6295</v>
      </c>
    </row>
    <row r="388" spans="1:8">
      <c r="E388" s="483">
        <v>130</v>
      </c>
      <c r="H388" s="483" t="s">
        <v>6296</v>
      </c>
    </row>
    <row r="389" spans="1:8">
      <c r="E389" s="484" t="s">
        <v>6297</v>
      </c>
      <c r="F389" s="484"/>
      <c r="G389" s="484"/>
    </row>
    <row r="391" spans="1:8">
      <c r="A391" s="483" t="s">
        <v>6298</v>
      </c>
    </row>
    <row r="392" spans="1:8">
      <c r="B392" s="483">
        <v>16380</v>
      </c>
      <c r="H392" s="483" t="s">
        <v>6299</v>
      </c>
    </row>
    <row r="393" spans="1:8">
      <c r="B393" s="483">
        <v>4725</v>
      </c>
      <c r="H393" s="483" t="s">
        <v>6300</v>
      </c>
    </row>
    <row r="394" spans="1:8">
      <c r="B394" s="483">
        <v>11340</v>
      </c>
      <c r="H394" s="483" t="s">
        <v>6301</v>
      </c>
    </row>
    <row r="395" spans="1:8">
      <c r="B395" s="483">
        <v>9450</v>
      </c>
      <c r="H395" s="483" t="s">
        <v>6302</v>
      </c>
    </row>
    <row r="396" spans="1:8">
      <c r="B396" s="483">
        <v>14175</v>
      </c>
      <c r="H396" s="483" t="s">
        <v>6303</v>
      </c>
    </row>
    <row r="397" spans="1:8">
      <c r="B397" s="483">
        <v>14175</v>
      </c>
      <c r="H397" s="483" t="s">
        <v>6304</v>
      </c>
    </row>
    <row r="399" spans="1:8">
      <c r="A399" s="483" t="s">
        <v>6305</v>
      </c>
    </row>
    <row r="400" spans="1:8">
      <c r="E400" s="483">
        <v>320</v>
      </c>
      <c r="H400" s="483" t="s">
        <v>6306</v>
      </c>
    </row>
    <row r="401" spans="1:8">
      <c r="E401" s="484" t="s">
        <v>6307</v>
      </c>
      <c r="F401" s="484"/>
      <c r="G401" s="484"/>
    </row>
    <row r="403" spans="1:8">
      <c r="A403" s="483" t="s">
        <v>6308</v>
      </c>
    </row>
    <row r="404" spans="1:8">
      <c r="B404" s="483">
        <v>12600</v>
      </c>
      <c r="H404" s="483" t="s">
        <v>6309</v>
      </c>
    </row>
    <row r="405" spans="1:8">
      <c r="B405" s="483">
        <v>11340</v>
      </c>
      <c r="H405" s="483" t="s">
        <v>6310</v>
      </c>
    </row>
    <row r="406" spans="1:8">
      <c r="B406" s="483">
        <v>10800</v>
      </c>
      <c r="H406" s="483" t="s">
        <v>6311</v>
      </c>
    </row>
    <row r="407" spans="1:8">
      <c r="B407" s="483">
        <v>14175</v>
      </c>
      <c r="H407" s="483" t="s">
        <v>6312</v>
      </c>
    </row>
    <row r="408" spans="1:8">
      <c r="B408" s="483">
        <v>14175</v>
      </c>
      <c r="H408" s="483" t="s">
        <v>6313</v>
      </c>
    </row>
    <row r="410" spans="1:8">
      <c r="A410" s="483" t="s">
        <v>6314</v>
      </c>
    </row>
    <row r="411" spans="1:8">
      <c r="C411" s="483">
        <v>15000</v>
      </c>
      <c r="H411" s="483" t="s">
        <v>6315</v>
      </c>
    </row>
    <row r="413" spans="1:8">
      <c r="A413" s="483" t="s">
        <v>6314</v>
      </c>
    </row>
    <row r="414" spans="1:8">
      <c r="E414" s="483">
        <v>18</v>
      </c>
      <c r="H414" s="483" t="s">
        <v>6316</v>
      </c>
    </row>
    <row r="415" spans="1:8">
      <c r="E415" s="484" t="s">
        <v>6317</v>
      </c>
      <c r="F415" s="484"/>
      <c r="G415" s="484"/>
    </row>
    <row r="417" spans="1:8">
      <c r="A417" s="483" t="s">
        <v>6318</v>
      </c>
    </row>
    <row r="418" spans="1:8">
      <c r="E418" s="483">
        <v>110</v>
      </c>
      <c r="H418" s="483" t="s">
        <v>6319</v>
      </c>
    </row>
    <row r="419" spans="1:8">
      <c r="E419" s="484" t="s">
        <v>6320</v>
      </c>
      <c r="F419" s="484"/>
      <c r="G419" s="484"/>
    </row>
    <row r="421" spans="1:8">
      <c r="A421" s="483" t="s">
        <v>6321</v>
      </c>
    </row>
    <row r="422" spans="1:8">
      <c r="C422" s="483">
        <v>36000</v>
      </c>
      <c r="H422" s="483" t="s">
        <v>6322</v>
      </c>
    </row>
    <row r="423" spans="1:8">
      <c r="C423" s="483">
        <v>63796</v>
      </c>
      <c r="H423" s="483" t="s">
        <v>6323</v>
      </c>
    </row>
    <row r="424" spans="1:8">
      <c r="C424" s="483">
        <v>23538</v>
      </c>
      <c r="H424" s="483" t="s">
        <v>6324</v>
      </c>
    </row>
    <row r="425" spans="1:8">
      <c r="C425" s="483">
        <v>5000</v>
      </c>
      <c r="H425" s="483" t="s">
        <v>6221</v>
      </c>
    </row>
    <row r="426" spans="1:8">
      <c r="D426" s="483">
        <v>5000</v>
      </c>
      <c r="H426" s="483" t="s">
        <v>6221</v>
      </c>
    </row>
    <row r="427" spans="1:8">
      <c r="E427" s="484" t="s">
        <v>6325</v>
      </c>
      <c r="F427" s="484"/>
      <c r="G427" s="484"/>
    </row>
    <row r="429" spans="1:8">
      <c r="A429" s="483" t="s">
        <v>6326</v>
      </c>
    </row>
    <row r="430" spans="1:8">
      <c r="E430" s="483">
        <v>350</v>
      </c>
      <c r="H430" s="483" t="s">
        <v>6327</v>
      </c>
    </row>
    <row r="431" spans="1:8">
      <c r="E431" s="484" t="s">
        <v>6328</v>
      </c>
      <c r="F431" s="484"/>
      <c r="G431" s="484"/>
    </row>
    <row r="433" spans="1:8">
      <c r="A433" s="483" t="s">
        <v>6326</v>
      </c>
    </row>
    <row r="434" spans="1:8">
      <c r="C434" s="483">
        <v>18560</v>
      </c>
      <c r="H434" s="483" t="s">
        <v>6329</v>
      </c>
    </row>
    <row r="436" spans="1:8">
      <c r="A436" s="483" t="s">
        <v>6330</v>
      </c>
    </row>
    <row r="437" spans="1:8">
      <c r="E437" s="483">
        <v>18560</v>
      </c>
      <c r="H437" s="483" t="s">
        <v>6331</v>
      </c>
    </row>
    <row r="438" spans="1:8">
      <c r="E438" s="484" t="s">
        <v>6328</v>
      </c>
      <c r="F438" s="484"/>
      <c r="G438" s="484"/>
    </row>
    <row r="440" spans="1:8">
      <c r="A440" s="483" t="s">
        <v>6330</v>
      </c>
    </row>
    <row r="441" spans="1:8">
      <c r="E441" s="483">
        <v>200</v>
      </c>
      <c r="H441" s="483" t="s">
        <v>6332</v>
      </c>
    </row>
    <row r="442" spans="1:8">
      <c r="E442" s="484" t="s">
        <v>6333</v>
      </c>
      <c r="F442" s="484"/>
      <c r="G442" s="484"/>
    </row>
    <row r="444" spans="1:8">
      <c r="A444" s="483" t="s">
        <v>6330</v>
      </c>
    </row>
    <row r="445" spans="1:8">
      <c r="E445" s="483">
        <v>1205</v>
      </c>
      <c r="H445" s="483" t="s">
        <v>6334</v>
      </c>
    </row>
    <row r="446" spans="1:8">
      <c r="E446" s="484" t="s">
        <v>6335</v>
      </c>
      <c r="F446" s="484"/>
      <c r="G446" s="484"/>
    </row>
    <row r="448" spans="1:8">
      <c r="A448" s="483" t="s">
        <v>6336</v>
      </c>
    </row>
    <row r="449" spans="1:8">
      <c r="C449" s="483">
        <v>6000</v>
      </c>
      <c r="H449" s="483" t="s">
        <v>6337</v>
      </c>
    </row>
    <row r="451" spans="1:8">
      <c r="A451" s="483" t="s">
        <v>6336</v>
      </c>
    </row>
    <row r="452" spans="1:8">
      <c r="E452" s="483">
        <v>99</v>
      </c>
      <c r="H452" s="483" t="s">
        <v>6338</v>
      </c>
    </row>
    <row r="453" spans="1:8">
      <c r="E453" s="484" t="s">
        <v>6339</v>
      </c>
      <c r="F453" s="484"/>
      <c r="G453" s="484"/>
    </row>
    <row r="455" spans="1:8">
      <c r="A455" s="483" t="s">
        <v>6336</v>
      </c>
    </row>
    <row r="456" spans="1:8">
      <c r="E456" s="483">
        <v>1583</v>
      </c>
      <c r="H456" s="483" t="s">
        <v>6340</v>
      </c>
    </row>
    <row r="457" spans="1:8">
      <c r="E457" s="484" t="s">
        <v>6341</v>
      </c>
      <c r="F457" s="484"/>
      <c r="G457" s="484"/>
    </row>
    <row r="459" spans="1:8">
      <c r="A459" s="483" t="s">
        <v>6342</v>
      </c>
    </row>
    <row r="460" spans="1:8">
      <c r="E460" s="483">
        <v>399</v>
      </c>
      <c r="H460" s="483" t="s">
        <v>6343</v>
      </c>
    </row>
    <row r="461" spans="1:8">
      <c r="E461" s="483">
        <v>399</v>
      </c>
      <c r="H461" s="483" t="s">
        <v>6344</v>
      </c>
    </row>
    <row r="462" spans="1:8">
      <c r="E462" s="484" t="s">
        <v>6345</v>
      </c>
      <c r="F462" s="484"/>
      <c r="G462" s="484"/>
    </row>
    <row r="464" spans="1:8">
      <c r="A464" s="483" t="s">
        <v>6346</v>
      </c>
    </row>
    <row r="465" spans="1:8">
      <c r="E465" s="483">
        <v>109</v>
      </c>
      <c r="H465" s="483" t="s">
        <v>6126</v>
      </c>
    </row>
    <row r="466" spans="1:8">
      <c r="E466" s="484" t="s">
        <v>6347</v>
      </c>
      <c r="F466" s="484"/>
      <c r="G466" s="484"/>
    </row>
    <row r="468" spans="1:8">
      <c r="A468" s="483" t="s">
        <v>6348</v>
      </c>
    </row>
    <row r="469" spans="1:8">
      <c r="C469" s="483">
        <v>2639</v>
      </c>
      <c r="H469" s="483" t="s">
        <v>6349</v>
      </c>
    </row>
    <row r="471" spans="1:8">
      <c r="A471" s="483" t="s">
        <v>6348</v>
      </c>
    </row>
    <row r="472" spans="1:8">
      <c r="E472" s="483">
        <v>104</v>
      </c>
      <c r="H472" s="483" t="s">
        <v>6350</v>
      </c>
    </row>
    <row r="473" spans="1:8">
      <c r="E473" s="483">
        <v>20</v>
      </c>
      <c r="H473" s="483" t="s">
        <v>6351</v>
      </c>
    </row>
    <row r="474" spans="1:8">
      <c r="E474" s="484" t="s">
        <v>6352</v>
      </c>
      <c r="F474" s="484"/>
      <c r="G474" s="484"/>
    </row>
    <row r="475" spans="1:8">
      <c r="E475" s="484"/>
      <c r="F475" s="484"/>
      <c r="G475" s="484"/>
    </row>
    <row r="476" spans="1:8">
      <c r="A476" s="483" t="s">
        <v>6353</v>
      </c>
      <c r="E476" s="484"/>
      <c r="F476" s="484"/>
      <c r="G476" s="484"/>
    </row>
    <row r="477" spans="1:8">
      <c r="E477" s="491">
        <v>65</v>
      </c>
      <c r="F477" s="491"/>
      <c r="G477" s="491"/>
      <c r="H477" s="483" t="s">
        <v>6354</v>
      </c>
    </row>
    <row r="478" spans="1:8">
      <c r="E478" s="484" t="s">
        <v>6355</v>
      </c>
      <c r="F478" s="484"/>
      <c r="G478" s="484"/>
    </row>
    <row r="479" spans="1:8">
      <c r="E479" s="484"/>
      <c r="F479" s="484"/>
      <c r="G479" s="484"/>
    </row>
    <row r="480" spans="1:8">
      <c r="A480" s="483" t="s">
        <v>6356</v>
      </c>
      <c r="E480" s="484"/>
      <c r="F480" s="484"/>
      <c r="G480" s="484"/>
    </row>
    <row r="481" spans="1:8">
      <c r="E481" s="491">
        <v>83</v>
      </c>
      <c r="F481" s="491"/>
      <c r="G481" s="491"/>
      <c r="H481" s="483" t="s">
        <v>6357</v>
      </c>
    </row>
    <row r="482" spans="1:8">
      <c r="E482" s="484" t="s">
        <v>6358</v>
      </c>
      <c r="F482" s="484"/>
      <c r="G482" s="484"/>
    </row>
    <row r="484" spans="1:8">
      <c r="A484" s="483" t="s">
        <v>6356</v>
      </c>
      <c r="E484" s="484"/>
      <c r="F484" s="484"/>
      <c r="G484" s="484"/>
    </row>
    <row r="485" spans="1:8">
      <c r="E485" s="491">
        <v>175</v>
      </c>
      <c r="F485" s="491"/>
      <c r="G485" s="491"/>
      <c r="H485" s="483" t="s">
        <v>6359</v>
      </c>
    </row>
    <row r="486" spans="1:8">
      <c r="E486" s="491">
        <v>205</v>
      </c>
      <c r="F486" s="491"/>
      <c r="G486" s="491"/>
      <c r="H486" s="483" t="s">
        <v>6359</v>
      </c>
    </row>
    <row r="487" spans="1:8">
      <c r="E487" s="484" t="s">
        <v>6360</v>
      </c>
      <c r="F487" s="484"/>
      <c r="G487" s="484"/>
    </row>
    <row r="489" spans="1:8">
      <c r="A489" s="483" t="s">
        <v>6361</v>
      </c>
      <c r="E489" s="484"/>
      <c r="F489" s="484"/>
      <c r="G489" s="484"/>
    </row>
    <row r="490" spans="1:8">
      <c r="E490" s="491">
        <v>80</v>
      </c>
      <c r="F490" s="491"/>
      <c r="G490" s="491"/>
      <c r="H490" s="483" t="s">
        <v>6362</v>
      </c>
    </row>
    <row r="491" spans="1:8">
      <c r="E491" s="491">
        <v>105</v>
      </c>
      <c r="F491" s="491"/>
      <c r="G491" s="491"/>
      <c r="H491" s="483" t="s">
        <v>6362</v>
      </c>
    </row>
    <row r="492" spans="1:8">
      <c r="E492" s="484" t="s">
        <v>6363</v>
      </c>
      <c r="F492" s="484"/>
      <c r="G492" s="484"/>
    </row>
    <row r="494" spans="1:8">
      <c r="A494" s="483" t="s">
        <v>6364</v>
      </c>
    </row>
    <row r="495" spans="1:8">
      <c r="C495" s="483">
        <v>15000</v>
      </c>
      <c r="H495" s="483" t="s">
        <v>6365</v>
      </c>
    </row>
    <row r="497" spans="1:8">
      <c r="A497" s="483" t="s">
        <v>6366</v>
      </c>
      <c r="E497" s="484"/>
      <c r="F497" s="484"/>
      <c r="G497" s="484"/>
    </row>
    <row r="498" spans="1:8">
      <c r="E498" s="491">
        <v>110</v>
      </c>
      <c r="F498" s="491"/>
      <c r="G498" s="491"/>
      <c r="H498" s="483" t="s">
        <v>6367</v>
      </c>
    </row>
    <row r="499" spans="1:8">
      <c r="E499" s="491">
        <v>120</v>
      </c>
      <c r="F499" s="491"/>
      <c r="G499" s="491"/>
      <c r="H499" s="483" t="s">
        <v>6367</v>
      </c>
    </row>
    <row r="500" spans="1:8">
      <c r="E500" s="484" t="s">
        <v>6368</v>
      </c>
      <c r="F500" s="484"/>
      <c r="G500" s="484"/>
    </row>
    <row r="502" spans="1:8">
      <c r="A502" s="483" t="s">
        <v>6366</v>
      </c>
    </row>
    <row r="503" spans="1:8">
      <c r="D503" s="483">
        <v>5000</v>
      </c>
      <c r="H503" s="483" t="s">
        <v>6221</v>
      </c>
    </row>
    <row r="504" spans="1:8">
      <c r="E504" s="484" t="s">
        <v>6369</v>
      </c>
      <c r="F504" s="484"/>
      <c r="G504" s="484"/>
    </row>
    <row r="506" spans="1:8">
      <c r="A506" s="483" t="s">
        <v>6370</v>
      </c>
    </row>
    <row r="507" spans="1:8">
      <c r="C507" s="483">
        <v>18000</v>
      </c>
      <c r="H507" s="483" t="s">
        <v>6371</v>
      </c>
    </row>
    <row r="508" spans="1:8">
      <c r="C508" s="483">
        <v>63796</v>
      </c>
      <c r="H508" s="483" t="s">
        <v>6372</v>
      </c>
    </row>
    <row r="509" spans="1:8">
      <c r="C509" s="483">
        <v>23538</v>
      </c>
      <c r="H509" s="483" t="s">
        <v>6373</v>
      </c>
    </row>
    <row r="511" spans="1:8">
      <c r="A511" s="483" t="s">
        <v>6374</v>
      </c>
    </row>
    <row r="512" spans="1:8">
      <c r="E512" s="483">
        <v>337</v>
      </c>
      <c r="H512" s="483" t="s">
        <v>6375</v>
      </c>
    </row>
    <row r="513" spans="1:8">
      <c r="E513" s="484" t="s">
        <v>6376</v>
      </c>
      <c r="F513" s="484"/>
      <c r="G513" s="484"/>
    </row>
    <row r="515" spans="1:8">
      <c r="A515" s="483" t="s">
        <v>6377</v>
      </c>
    </row>
    <row r="516" spans="1:8">
      <c r="E516" s="483">
        <v>70</v>
      </c>
      <c r="H516" s="483" t="s">
        <v>6378</v>
      </c>
    </row>
    <row r="517" spans="1:8">
      <c r="E517" s="484" t="s">
        <v>6379</v>
      </c>
      <c r="F517" s="484"/>
      <c r="G517" s="484"/>
    </row>
    <row r="518" spans="1:8">
      <c r="E518" s="484"/>
      <c r="F518" s="484"/>
      <c r="G518" s="484"/>
    </row>
    <row r="519" spans="1:8">
      <c r="A519" s="483" t="s">
        <v>6380</v>
      </c>
    </row>
    <row r="520" spans="1:8">
      <c r="C520" s="483">
        <v>20000</v>
      </c>
      <c r="H520" s="483" t="s">
        <v>6381</v>
      </c>
    </row>
    <row r="522" spans="1:8">
      <c r="A522" s="483" t="s">
        <v>6382</v>
      </c>
    </row>
    <row r="523" spans="1:8">
      <c r="E523" s="483">
        <v>180</v>
      </c>
      <c r="H523" s="483" t="s">
        <v>6383</v>
      </c>
    </row>
    <row r="524" spans="1:8">
      <c r="E524" s="483">
        <v>185</v>
      </c>
      <c r="H524" s="483" t="s">
        <v>6383</v>
      </c>
    </row>
    <row r="525" spans="1:8">
      <c r="E525" s="484" t="s">
        <v>6384</v>
      </c>
      <c r="F525" s="484"/>
      <c r="G525" s="484"/>
    </row>
    <row r="527" spans="1:8">
      <c r="A527" s="483" t="s">
        <v>6385</v>
      </c>
    </row>
    <row r="528" spans="1:8">
      <c r="C528" s="483">
        <v>36000</v>
      </c>
      <c r="H528" s="483" t="s">
        <v>6386</v>
      </c>
    </row>
    <row r="530" spans="1:8">
      <c r="A530" s="483" t="s">
        <v>6387</v>
      </c>
    </row>
    <row r="531" spans="1:8">
      <c r="E531" s="483">
        <v>1205</v>
      </c>
      <c r="H531" s="483" t="s">
        <v>6388</v>
      </c>
    </row>
    <row r="532" spans="1:8">
      <c r="E532" s="484" t="s">
        <v>6389</v>
      </c>
      <c r="F532" s="484"/>
      <c r="G532" s="484"/>
    </row>
    <row r="534" spans="1:8">
      <c r="A534" s="483" t="s">
        <v>6390</v>
      </c>
    </row>
    <row r="535" spans="1:8">
      <c r="E535" s="483">
        <v>35</v>
      </c>
      <c r="H535" s="483" t="s">
        <v>6391</v>
      </c>
    </row>
    <row r="536" spans="1:8">
      <c r="E536" s="484" t="s">
        <v>6392</v>
      </c>
      <c r="F536" s="484"/>
      <c r="G536" s="484"/>
    </row>
    <row r="538" spans="1:8">
      <c r="A538" s="483" t="s">
        <v>6393</v>
      </c>
    </row>
    <row r="539" spans="1:8">
      <c r="D539" s="483">
        <v>10000</v>
      </c>
      <c r="H539" s="483" t="s">
        <v>6394</v>
      </c>
    </row>
    <row r="540" spans="1:8">
      <c r="E540" s="484" t="s">
        <v>6395</v>
      </c>
      <c r="F540" s="484"/>
      <c r="G540" s="484"/>
    </row>
    <row r="543" spans="1:8">
      <c r="A543" s="483" t="s">
        <v>6396</v>
      </c>
    </row>
    <row r="544" spans="1:8">
      <c r="E544" s="483">
        <v>109</v>
      </c>
      <c r="H544" s="483" t="s">
        <v>6397</v>
      </c>
    </row>
    <row r="545" spans="1:8">
      <c r="E545" s="483">
        <v>68</v>
      </c>
      <c r="H545" s="483" t="s">
        <v>6398</v>
      </c>
    </row>
    <row r="546" spans="1:8">
      <c r="E546" s="484" t="s">
        <v>6399</v>
      </c>
      <c r="F546" s="484"/>
      <c r="G546" s="484"/>
    </row>
    <row r="548" spans="1:8">
      <c r="A548" s="483" t="s">
        <v>6400</v>
      </c>
    </row>
    <row r="549" spans="1:8">
      <c r="C549" s="483">
        <v>15000</v>
      </c>
      <c r="H549" s="483" t="s">
        <v>6401</v>
      </c>
    </row>
    <row r="551" spans="1:8">
      <c r="A551" s="483" t="s">
        <v>6400</v>
      </c>
    </row>
    <row r="552" spans="1:8">
      <c r="E552" s="483">
        <v>300</v>
      </c>
      <c r="H552" s="483" t="s">
        <v>6402</v>
      </c>
    </row>
    <row r="553" spans="1:8">
      <c r="E553" s="484" t="s">
        <v>6403</v>
      </c>
      <c r="F553" s="484"/>
      <c r="G553" s="484"/>
      <c r="H553" s="484" t="s">
        <v>6404</v>
      </c>
    </row>
    <row r="554" spans="1:8">
      <c r="E554" s="485"/>
      <c r="F554" s="485"/>
      <c r="G554" s="485"/>
    </row>
    <row r="556" spans="1:8">
      <c r="A556" s="483" t="s">
        <v>6405</v>
      </c>
    </row>
    <row r="557" spans="1:8">
      <c r="C557" s="483">
        <v>90000</v>
      </c>
      <c r="H557" s="483" t="s">
        <v>6406</v>
      </c>
    </row>
    <row r="558" spans="1:8">
      <c r="C558" s="483">
        <v>63740</v>
      </c>
      <c r="H558" s="483" t="s">
        <v>6407</v>
      </c>
    </row>
    <row r="559" spans="1:8">
      <c r="C559" s="483">
        <v>23538</v>
      </c>
      <c r="H559" s="483" t="s">
        <v>6408</v>
      </c>
    </row>
    <row r="561" spans="1:8">
      <c r="A561" s="483" t="s">
        <v>6409</v>
      </c>
    </row>
    <row r="562" spans="1:8">
      <c r="D562" s="483">
        <v>249</v>
      </c>
      <c r="H562" s="483" t="s">
        <v>6410</v>
      </c>
    </row>
    <row r="563" spans="1:8">
      <c r="D563" s="483">
        <v>9726</v>
      </c>
      <c r="H563" s="483" t="s">
        <v>6411</v>
      </c>
    </row>
    <row r="564" spans="1:8">
      <c r="E564" s="484" t="s">
        <v>6412</v>
      </c>
      <c r="F564" s="484"/>
      <c r="G564" s="484"/>
    </row>
    <row r="566" spans="1:8">
      <c r="A566" s="483" t="s">
        <v>6413</v>
      </c>
    </row>
    <row r="567" spans="1:8">
      <c r="E567" s="483">
        <v>179</v>
      </c>
      <c r="H567" s="483" t="s">
        <v>6414</v>
      </c>
    </row>
    <row r="568" spans="1:8">
      <c r="E568" s="484" t="s">
        <v>6415</v>
      </c>
      <c r="F568" s="484"/>
      <c r="G568" s="484"/>
    </row>
    <row r="570" spans="1:8">
      <c r="A570" s="483" t="s">
        <v>6413</v>
      </c>
    </row>
    <row r="571" spans="1:8">
      <c r="C571" s="483">
        <v>35072</v>
      </c>
      <c r="H571" s="483" t="s">
        <v>6416</v>
      </c>
    </row>
    <row r="573" spans="1:8">
      <c r="A573" s="483" t="s">
        <v>6417</v>
      </c>
    </row>
    <row r="574" spans="1:8">
      <c r="E574" s="483">
        <v>37020</v>
      </c>
      <c r="H574" s="483" t="s">
        <v>6418</v>
      </c>
    </row>
    <row r="576" spans="1:8">
      <c r="A576" s="483" t="s">
        <v>6417</v>
      </c>
    </row>
    <row r="577" spans="1:8" s="492" customFormat="1">
      <c r="D577" s="492">
        <v>6000</v>
      </c>
      <c r="H577" s="492" t="s">
        <v>6419</v>
      </c>
    </row>
    <row r="579" spans="1:8">
      <c r="A579" s="483" t="s">
        <v>6417</v>
      </c>
    </row>
    <row r="580" spans="1:8">
      <c r="E580" s="483">
        <v>1205</v>
      </c>
      <c r="H580" s="483" t="s">
        <v>6420</v>
      </c>
    </row>
    <row r="581" spans="1:8">
      <c r="E581" s="484" t="s">
        <v>6421</v>
      </c>
      <c r="F581" s="484"/>
      <c r="G581" s="484"/>
    </row>
    <row r="583" spans="1:8">
      <c r="A583" s="483" t="s">
        <v>6422</v>
      </c>
    </row>
    <row r="584" spans="1:8" s="492" customFormat="1">
      <c r="D584" s="492">
        <v>150000</v>
      </c>
      <c r="H584" s="492" t="s">
        <v>6423</v>
      </c>
    </row>
    <row r="586" spans="1:8">
      <c r="A586" s="483" t="s">
        <v>6424</v>
      </c>
    </row>
    <row r="587" spans="1:8">
      <c r="E587" s="483">
        <v>18</v>
      </c>
      <c r="H587" s="483" t="s">
        <v>6425</v>
      </c>
    </row>
    <row r="588" spans="1:8">
      <c r="E588" s="484" t="s">
        <v>6426</v>
      </c>
      <c r="F588" s="484"/>
      <c r="G588" s="484"/>
    </row>
    <row r="590" spans="1:8">
      <c r="A590" s="483" t="s">
        <v>6427</v>
      </c>
    </row>
    <row r="591" spans="1:8">
      <c r="E591" s="483">
        <v>399</v>
      </c>
      <c r="H591" s="483" t="s">
        <v>6428</v>
      </c>
    </row>
    <row r="592" spans="1:8">
      <c r="E592" s="483">
        <v>399</v>
      </c>
      <c r="H592" s="483" t="s">
        <v>6429</v>
      </c>
    </row>
    <row r="593" spans="1:8">
      <c r="E593" s="484" t="s">
        <v>6430</v>
      </c>
      <c r="F593" s="484"/>
      <c r="G593" s="484"/>
    </row>
    <row r="595" spans="1:8">
      <c r="A595" s="483" t="s">
        <v>6431</v>
      </c>
    </row>
    <row r="596" spans="1:8" s="492" customFormat="1">
      <c r="D596" s="492">
        <v>162016</v>
      </c>
      <c r="H596" s="492" t="s">
        <v>6432</v>
      </c>
    </row>
    <row r="598" spans="1:8">
      <c r="A598" s="483" t="s">
        <v>6433</v>
      </c>
    </row>
    <row r="599" spans="1:8">
      <c r="E599" s="483">
        <v>85</v>
      </c>
      <c r="H599" s="483" t="s">
        <v>6434</v>
      </c>
    </row>
    <row r="600" spans="1:8">
      <c r="E600" s="484" t="s">
        <v>6435</v>
      </c>
      <c r="F600" s="484"/>
      <c r="G600" s="484"/>
    </row>
    <row r="602" spans="1:8">
      <c r="A602" s="483" t="s">
        <v>6436</v>
      </c>
    </row>
    <row r="603" spans="1:8">
      <c r="B603" s="483">
        <v>6000</v>
      </c>
      <c r="H603" s="483" t="s">
        <v>6437</v>
      </c>
    </row>
    <row r="604" spans="1:8">
      <c r="B604" s="483">
        <v>150000</v>
      </c>
      <c r="H604" s="483" t="s">
        <v>6437</v>
      </c>
    </row>
    <row r="605" spans="1:8" ht="33">
      <c r="B605" s="486" t="s">
        <v>6438</v>
      </c>
      <c r="H605" s="483" t="s">
        <v>6439</v>
      </c>
    </row>
    <row r="607" spans="1:8">
      <c r="A607" s="483" t="s">
        <v>6440</v>
      </c>
    </row>
    <row r="608" spans="1:8">
      <c r="C608" s="483">
        <v>15000</v>
      </c>
      <c r="H608" s="483" t="s">
        <v>6441</v>
      </c>
    </row>
    <row r="610" spans="1:8">
      <c r="A610" s="483" t="s">
        <v>6442</v>
      </c>
    </row>
    <row r="611" spans="1:8">
      <c r="C611" s="483">
        <v>63740</v>
      </c>
      <c r="H611" s="483" t="s">
        <v>6443</v>
      </c>
    </row>
    <row r="612" spans="1:8">
      <c r="C612" s="483">
        <v>19580</v>
      </c>
      <c r="H612" s="483" t="s">
        <v>6444</v>
      </c>
    </row>
    <row r="614" spans="1:8">
      <c r="A614" s="483" t="s">
        <v>6445</v>
      </c>
    </row>
    <row r="615" spans="1:8">
      <c r="E615" s="483">
        <v>110</v>
      </c>
      <c r="H615" s="483" t="s">
        <v>6446</v>
      </c>
    </row>
    <row r="616" spans="1:8">
      <c r="E616" s="483">
        <v>120</v>
      </c>
      <c r="H616" s="483" t="s">
        <v>6447</v>
      </c>
    </row>
    <row r="617" spans="1:8">
      <c r="E617" s="484" t="s">
        <v>6448</v>
      </c>
      <c r="F617" s="484"/>
      <c r="G617" s="484"/>
    </row>
    <row r="619" spans="1:8">
      <c r="A619" s="483" t="s">
        <v>6449</v>
      </c>
    </row>
    <row r="620" spans="1:8">
      <c r="D620" s="483">
        <v>1559</v>
      </c>
      <c r="H620" s="483" t="s">
        <v>6450</v>
      </c>
    </row>
    <row r="621" spans="1:8">
      <c r="E621" s="484" t="s">
        <v>6451</v>
      </c>
      <c r="F621" s="484"/>
      <c r="G621" s="484"/>
    </row>
    <row r="623" spans="1:8">
      <c r="A623" s="483" t="s">
        <v>6452</v>
      </c>
    </row>
    <row r="624" spans="1:8">
      <c r="E624" s="483">
        <v>1205</v>
      </c>
      <c r="H624" s="483" t="s">
        <v>6046</v>
      </c>
    </row>
    <row r="625" spans="1:8">
      <c r="E625" s="484" t="s">
        <v>6453</v>
      </c>
      <c r="F625" s="484"/>
      <c r="G625" s="484"/>
    </row>
    <row r="627" spans="1:8">
      <c r="A627" s="483" t="s">
        <v>6452</v>
      </c>
    </row>
    <row r="628" spans="1:8">
      <c r="E628" s="483">
        <v>90</v>
      </c>
      <c r="H628" s="483" t="s">
        <v>6454</v>
      </c>
    </row>
    <row r="629" spans="1:8">
      <c r="E629" s="484" t="s">
        <v>6455</v>
      </c>
      <c r="F629" s="484"/>
      <c r="G629" s="484"/>
    </row>
    <row r="631" spans="1:8">
      <c r="A631" s="483" t="s">
        <v>6456</v>
      </c>
    </row>
    <row r="632" spans="1:8">
      <c r="C632" s="483">
        <v>11999</v>
      </c>
      <c r="H632" s="483" t="s">
        <v>6457</v>
      </c>
    </row>
    <row r="634" spans="1:8">
      <c r="A634" s="483" t="s">
        <v>6458</v>
      </c>
    </row>
    <row r="635" spans="1:8">
      <c r="C635" s="483">
        <v>300000</v>
      </c>
      <c r="H635" s="483" t="s">
        <v>6459</v>
      </c>
    </row>
    <row r="636" spans="1:8">
      <c r="C636" s="493" t="s">
        <v>6460</v>
      </c>
      <c r="E636" s="483">
        <v>30</v>
      </c>
      <c r="H636" s="483" t="s">
        <v>6461</v>
      </c>
    </row>
    <row r="637" spans="1:8">
      <c r="E637" s="484" t="s">
        <v>6462</v>
      </c>
      <c r="F637" s="484"/>
      <c r="G637" s="484"/>
    </row>
    <row r="639" spans="1:8">
      <c r="A639" s="483" t="s">
        <v>6458</v>
      </c>
    </row>
    <row r="640" spans="1:8">
      <c r="E640" s="483">
        <v>100</v>
      </c>
      <c r="H640" s="483" t="s">
        <v>6463</v>
      </c>
    </row>
    <row r="641" spans="1:8">
      <c r="E641" s="483">
        <v>110</v>
      </c>
      <c r="H641" s="483" t="s">
        <v>6463</v>
      </c>
    </row>
    <row r="642" spans="1:8">
      <c r="E642" s="484" t="s">
        <v>6464</v>
      </c>
      <c r="F642" s="484"/>
      <c r="G642" s="484"/>
    </row>
    <row r="644" spans="1:8">
      <c r="A644" s="483" t="s">
        <v>6465</v>
      </c>
    </row>
    <row r="645" spans="1:8">
      <c r="E645" s="483">
        <v>370</v>
      </c>
      <c r="H645" s="483" t="s">
        <v>6466</v>
      </c>
    </row>
    <row r="646" spans="1:8">
      <c r="E646" s="483">
        <v>370</v>
      </c>
      <c r="H646" s="483" t="s">
        <v>6466</v>
      </c>
    </row>
    <row r="647" spans="1:8">
      <c r="E647" s="484" t="s">
        <v>6467</v>
      </c>
      <c r="F647" s="484"/>
      <c r="G647" s="484"/>
    </row>
    <row r="649" spans="1:8">
      <c r="A649" s="483" t="s">
        <v>6468</v>
      </c>
    </row>
    <row r="650" spans="1:8">
      <c r="E650" s="483">
        <v>200</v>
      </c>
      <c r="H650" s="483" t="s">
        <v>6469</v>
      </c>
    </row>
    <row r="651" spans="1:8">
      <c r="E651" s="483">
        <v>190</v>
      </c>
      <c r="H651" s="483" t="s">
        <v>6469</v>
      </c>
    </row>
    <row r="652" spans="1:8">
      <c r="E652" s="484" t="s">
        <v>6470</v>
      </c>
      <c r="F652" s="484"/>
      <c r="G652" s="484"/>
    </row>
    <row r="654" spans="1:8">
      <c r="A654" s="483" t="s">
        <v>6471</v>
      </c>
    </row>
    <row r="655" spans="1:8">
      <c r="E655" s="483">
        <v>120</v>
      </c>
      <c r="H655" s="483" t="s">
        <v>6472</v>
      </c>
    </row>
    <row r="656" spans="1:8">
      <c r="E656" s="484" t="s">
        <v>6473</v>
      </c>
      <c r="F656" s="484"/>
      <c r="G656" s="484"/>
    </row>
    <row r="658" spans="1:8">
      <c r="A658" s="483" t="s">
        <v>6474</v>
      </c>
    </row>
    <row r="659" spans="1:8">
      <c r="E659" s="483">
        <v>42</v>
      </c>
      <c r="H659" s="483" t="s">
        <v>6475</v>
      </c>
    </row>
    <row r="660" spans="1:8">
      <c r="E660" s="483">
        <v>500</v>
      </c>
      <c r="H660" s="483" t="s">
        <v>6476</v>
      </c>
    </row>
    <row r="661" spans="1:8">
      <c r="E661" s="484" t="s">
        <v>6477</v>
      </c>
      <c r="F661" s="484"/>
      <c r="G661" s="484"/>
    </row>
    <row r="662" spans="1:8">
      <c r="E662" s="484"/>
      <c r="F662" s="484"/>
      <c r="G662" s="484"/>
    </row>
    <row r="663" spans="1:8">
      <c r="A663" s="483" t="s">
        <v>6478</v>
      </c>
    </row>
    <row r="664" spans="1:8">
      <c r="E664" s="483">
        <v>42</v>
      </c>
      <c r="H664" s="483" t="s">
        <v>6479</v>
      </c>
    </row>
    <row r="665" spans="1:8">
      <c r="E665" s="484" t="s">
        <v>6480</v>
      </c>
      <c r="F665" s="484"/>
      <c r="G665" s="484"/>
    </row>
    <row r="667" spans="1:8">
      <c r="A667" s="483" t="s">
        <v>6481</v>
      </c>
    </row>
    <row r="668" spans="1:8">
      <c r="C668" s="483">
        <v>15000</v>
      </c>
      <c r="H668" s="483" t="s">
        <v>6482</v>
      </c>
    </row>
    <row r="670" spans="1:8">
      <c r="A670" s="483" t="s">
        <v>6481</v>
      </c>
    </row>
    <row r="671" spans="1:8">
      <c r="C671" s="483">
        <v>2832</v>
      </c>
      <c r="H671" s="483" t="s">
        <v>6483</v>
      </c>
    </row>
    <row r="672" spans="1:8">
      <c r="E672" s="483">
        <v>30</v>
      </c>
      <c r="H672" s="483" t="s">
        <v>6484</v>
      </c>
    </row>
    <row r="673" spans="1:8">
      <c r="E673" s="484" t="s">
        <v>6485</v>
      </c>
      <c r="F673" s="484"/>
      <c r="G673" s="484"/>
    </row>
    <row r="675" spans="1:8">
      <c r="A675" s="483" t="s">
        <v>6486</v>
      </c>
    </row>
    <row r="676" spans="1:8">
      <c r="C676" s="483">
        <v>63740</v>
      </c>
      <c r="H676" s="483" t="s">
        <v>6487</v>
      </c>
    </row>
    <row r="677" spans="1:8">
      <c r="C677" s="483">
        <v>23038</v>
      </c>
      <c r="H677" s="483" t="s">
        <v>6488</v>
      </c>
    </row>
    <row r="678" spans="1:8">
      <c r="C678" s="483">
        <v>70000</v>
      </c>
      <c r="H678" s="483" t="s">
        <v>6489</v>
      </c>
    </row>
    <row r="680" spans="1:8">
      <c r="A680" s="483" t="s">
        <v>6486</v>
      </c>
    </row>
    <row r="681" spans="1:8">
      <c r="E681" s="483">
        <v>10000</v>
      </c>
      <c r="H681" s="483" t="s">
        <v>6490</v>
      </c>
    </row>
    <row r="682" spans="1:8">
      <c r="E682" s="483">
        <v>35</v>
      </c>
      <c r="H682" s="483" t="s">
        <v>6491</v>
      </c>
    </row>
    <row r="683" spans="1:8">
      <c r="E683" s="483">
        <v>175</v>
      </c>
      <c r="H683" s="483" t="s">
        <v>6492</v>
      </c>
    </row>
    <row r="684" spans="1:8">
      <c r="E684" s="484" t="s">
        <v>6493</v>
      </c>
      <c r="F684" s="484"/>
      <c r="G684" s="484"/>
    </row>
    <row r="685" spans="1:8">
      <c r="H685" s="493" t="s">
        <v>6494</v>
      </c>
    </row>
    <row r="686" spans="1:8">
      <c r="E686" s="485"/>
      <c r="F686" s="485"/>
      <c r="G686" s="485"/>
      <c r="H686" s="493"/>
    </row>
    <row r="687" spans="1:8">
      <c r="E687" s="494"/>
      <c r="F687" s="494"/>
      <c r="G687" s="494"/>
      <c r="H687" s="493"/>
    </row>
    <row r="688" spans="1:8">
      <c r="A688" s="483" t="s">
        <v>6486</v>
      </c>
    </row>
    <row r="689" spans="1:8">
      <c r="H689" s="483" t="s">
        <v>6495</v>
      </c>
    </row>
    <row r="691" spans="1:8">
      <c r="A691" s="483" t="s">
        <v>6496</v>
      </c>
    </row>
    <row r="692" spans="1:8">
      <c r="E692" s="483">
        <v>45</v>
      </c>
      <c r="H692" s="483" t="s">
        <v>6497</v>
      </c>
    </row>
    <row r="693" spans="1:8">
      <c r="E693" s="484" t="s">
        <v>6498</v>
      </c>
      <c r="F693" s="484"/>
      <c r="G693" s="484"/>
    </row>
    <row r="695" spans="1:8">
      <c r="A695" s="483" t="s">
        <v>6499</v>
      </c>
    </row>
    <row r="696" spans="1:8">
      <c r="E696" s="483">
        <v>1205</v>
      </c>
      <c r="H696" s="483" t="s">
        <v>6080</v>
      </c>
    </row>
    <row r="697" spans="1:8">
      <c r="E697" s="483">
        <v>399</v>
      </c>
      <c r="H697" s="483" t="s">
        <v>6049</v>
      </c>
    </row>
    <row r="698" spans="1:8">
      <c r="E698" s="483">
        <v>399</v>
      </c>
      <c r="H698" s="483" t="s">
        <v>6500</v>
      </c>
    </row>
    <row r="699" spans="1:8">
      <c r="E699" s="483">
        <v>132</v>
      </c>
      <c r="H699" s="483" t="s">
        <v>6126</v>
      </c>
    </row>
    <row r="700" spans="1:8">
      <c r="E700" s="483">
        <v>45</v>
      </c>
      <c r="H700" s="483" t="s">
        <v>6501</v>
      </c>
    </row>
    <row r="701" spans="1:8">
      <c r="E701" s="484" t="s">
        <v>6502</v>
      </c>
      <c r="F701" s="484"/>
      <c r="G701" s="484"/>
    </row>
    <row r="703" spans="1:8">
      <c r="A703" s="483" t="s">
        <v>6503</v>
      </c>
    </row>
    <row r="704" spans="1:8">
      <c r="C704" s="483">
        <v>17420</v>
      </c>
      <c r="H704" s="483" t="s">
        <v>6504</v>
      </c>
    </row>
    <row r="705" spans="1:8">
      <c r="C705" s="483">
        <v>10519</v>
      </c>
      <c r="H705" s="483" t="s">
        <v>6505</v>
      </c>
    </row>
    <row r="707" spans="1:8">
      <c r="A707" s="483" t="s">
        <v>6506</v>
      </c>
    </row>
    <row r="708" spans="1:8">
      <c r="E708" s="483">
        <v>500</v>
      </c>
      <c r="H708" s="483" t="s">
        <v>6507</v>
      </c>
    </row>
    <row r="709" spans="1:8">
      <c r="E709" s="484" t="s">
        <v>6508</v>
      </c>
      <c r="F709" s="484"/>
      <c r="G709" s="484"/>
    </row>
    <row r="711" spans="1:8">
      <c r="A711" s="483" t="s">
        <v>6509</v>
      </c>
    </row>
    <row r="712" spans="1:8">
      <c r="E712" s="483">
        <v>42</v>
      </c>
      <c r="H712" s="483" t="s">
        <v>6510</v>
      </c>
    </row>
    <row r="713" spans="1:8">
      <c r="E713" s="484" t="s">
        <v>6511</v>
      </c>
      <c r="F713" s="484"/>
      <c r="G713" s="484"/>
    </row>
    <row r="715" spans="1:8">
      <c r="A715" s="483" t="s">
        <v>6512</v>
      </c>
    </row>
    <row r="716" spans="1:8">
      <c r="C716" s="483">
        <v>15000</v>
      </c>
      <c r="H716" s="483" t="s">
        <v>6513</v>
      </c>
    </row>
    <row r="718" spans="1:8">
      <c r="A718" s="483" t="s">
        <v>6514</v>
      </c>
    </row>
    <row r="719" spans="1:8">
      <c r="E719" s="483">
        <v>300</v>
      </c>
      <c r="H719" s="483" t="s">
        <v>6515</v>
      </c>
    </row>
    <row r="720" spans="1:8">
      <c r="E720" s="483">
        <v>135</v>
      </c>
      <c r="H720" s="483" t="s">
        <v>6516</v>
      </c>
    </row>
    <row r="721" spans="1:8">
      <c r="E721" s="483">
        <v>260</v>
      </c>
      <c r="H721" s="483" t="s">
        <v>6517</v>
      </c>
    </row>
    <row r="722" spans="1:8">
      <c r="E722" s="484" t="s">
        <v>6518</v>
      </c>
      <c r="F722" s="484"/>
      <c r="G722" s="484"/>
    </row>
    <row r="724" spans="1:8">
      <c r="A724" s="483" t="s">
        <v>6519</v>
      </c>
    </row>
    <row r="725" spans="1:8">
      <c r="E725" s="483">
        <v>35</v>
      </c>
      <c r="H725" s="483" t="s">
        <v>6520</v>
      </c>
    </row>
    <row r="726" spans="1:8">
      <c r="E726" s="483">
        <v>70</v>
      </c>
      <c r="H726" s="483" t="s">
        <v>6204</v>
      </c>
    </row>
    <row r="727" spans="1:8">
      <c r="E727" s="484" t="s">
        <v>6521</v>
      </c>
      <c r="F727" s="484"/>
      <c r="G727" s="484"/>
    </row>
    <row r="729" spans="1:8">
      <c r="A729" s="483" t="s">
        <v>6519</v>
      </c>
    </row>
    <row r="730" spans="1:8">
      <c r="C730" s="483">
        <v>44000</v>
      </c>
      <c r="H730" s="483" t="s">
        <v>6522</v>
      </c>
    </row>
    <row r="731" spans="1:8">
      <c r="C731" s="483">
        <v>23038</v>
      </c>
      <c r="H731" s="483" t="s">
        <v>6523</v>
      </c>
    </row>
    <row r="733" spans="1:8">
      <c r="A733" s="483" t="s">
        <v>6524</v>
      </c>
    </row>
    <row r="734" spans="1:8">
      <c r="C734" s="483">
        <v>63740</v>
      </c>
      <c r="H734" s="483" t="s">
        <v>6525</v>
      </c>
    </row>
    <row r="736" spans="1:8">
      <c r="A736" s="483" t="s">
        <v>6526</v>
      </c>
    </row>
    <row r="737" spans="1:8">
      <c r="C737" s="483">
        <v>10642</v>
      </c>
      <c r="H737" s="483" t="s">
        <v>6527</v>
      </c>
    </row>
    <row r="739" spans="1:8">
      <c r="A739" s="483" t="s">
        <v>6528</v>
      </c>
    </row>
    <row r="740" spans="1:8">
      <c r="E740" s="483">
        <v>1205</v>
      </c>
      <c r="H740" s="483" t="s">
        <v>6104</v>
      </c>
    </row>
    <row r="741" spans="1:8">
      <c r="E741" s="484" t="s">
        <v>6529</v>
      </c>
      <c r="F741" s="484"/>
      <c r="G741" s="484"/>
    </row>
    <row r="743" spans="1:8">
      <c r="A743" s="483" t="s">
        <v>6530</v>
      </c>
    </row>
    <row r="744" spans="1:8">
      <c r="C744" s="483">
        <v>15000</v>
      </c>
      <c r="H744" s="483" t="s">
        <v>6531</v>
      </c>
    </row>
    <row r="746" spans="1:8">
      <c r="A746" s="483" t="s">
        <v>6532</v>
      </c>
    </row>
    <row r="747" spans="1:8">
      <c r="E747" s="483">
        <v>18</v>
      </c>
      <c r="H747" s="483" t="s">
        <v>6533</v>
      </c>
    </row>
    <row r="748" spans="1:8">
      <c r="E748" s="484" t="s">
        <v>6534</v>
      </c>
      <c r="F748" s="484"/>
      <c r="G748" s="484"/>
    </row>
    <row r="750" spans="1:8">
      <c r="A750" s="483" t="s">
        <v>6535</v>
      </c>
    </row>
    <row r="751" spans="1:8">
      <c r="C751" s="483">
        <v>19299</v>
      </c>
      <c r="H751" s="483" t="s">
        <v>6536</v>
      </c>
    </row>
    <row r="752" spans="1:8">
      <c r="C752" s="483" t="s">
        <v>6537</v>
      </c>
    </row>
    <row r="753" spans="1:8">
      <c r="A753" s="483" t="s">
        <v>6538</v>
      </c>
    </row>
    <row r="754" spans="1:8">
      <c r="E754" s="483">
        <v>157</v>
      </c>
      <c r="H754" s="483" t="s">
        <v>6539</v>
      </c>
    </row>
    <row r="755" spans="1:8">
      <c r="E755" s="484" t="s">
        <v>6540</v>
      </c>
      <c r="F755" s="484"/>
      <c r="G755" s="484"/>
    </row>
    <row r="757" spans="1:8">
      <c r="A757" s="483" t="s">
        <v>6541</v>
      </c>
    </row>
    <row r="758" spans="1:8">
      <c r="C758" s="483">
        <v>11750</v>
      </c>
      <c r="H758" s="483" t="s">
        <v>6542</v>
      </c>
    </row>
    <row r="759" spans="1:8">
      <c r="C759" s="483">
        <v>23038</v>
      </c>
      <c r="H759" s="483" t="s">
        <v>6543</v>
      </c>
    </row>
    <row r="760" spans="1:8">
      <c r="C760" s="483">
        <v>63740</v>
      </c>
      <c r="H760" s="483" t="s">
        <v>6544</v>
      </c>
    </row>
    <row r="762" spans="1:8">
      <c r="A762" s="483" t="s">
        <v>6545</v>
      </c>
    </row>
    <row r="763" spans="1:8">
      <c r="E763" s="483">
        <v>240</v>
      </c>
      <c r="H763" s="483" t="s">
        <v>6546</v>
      </c>
    </row>
    <row r="764" spans="1:8">
      <c r="E764" s="483">
        <v>245</v>
      </c>
      <c r="H764" s="483" t="s">
        <v>6546</v>
      </c>
    </row>
    <row r="765" spans="1:8">
      <c r="E765" s="484" t="s">
        <v>6547</v>
      </c>
      <c r="F765" s="484"/>
      <c r="G765" s="484"/>
    </row>
    <row r="767" spans="1:8">
      <c r="A767" s="483" t="s">
        <v>6548</v>
      </c>
    </row>
    <row r="768" spans="1:8">
      <c r="C768" s="483">
        <v>2587</v>
      </c>
      <c r="H768" s="483" t="s">
        <v>6549</v>
      </c>
    </row>
    <row r="770" spans="1:8">
      <c r="A770" s="483" t="s">
        <v>6550</v>
      </c>
    </row>
    <row r="771" spans="1:8">
      <c r="E771" s="483">
        <v>130</v>
      </c>
      <c r="H771" s="483" t="s">
        <v>6551</v>
      </c>
    </row>
    <row r="772" spans="1:8">
      <c r="E772" s="483">
        <v>115</v>
      </c>
      <c r="H772" s="483" t="s">
        <v>6551</v>
      </c>
    </row>
    <row r="773" spans="1:8">
      <c r="E773" s="484" t="s">
        <v>6552</v>
      </c>
      <c r="F773" s="484"/>
      <c r="G773" s="484"/>
    </row>
    <row r="775" spans="1:8">
      <c r="A775" s="483" t="s">
        <v>6553</v>
      </c>
    </row>
    <row r="776" spans="1:8">
      <c r="E776" s="483">
        <v>325</v>
      </c>
      <c r="H776" s="483" t="s">
        <v>6554</v>
      </c>
    </row>
    <row r="777" spans="1:8">
      <c r="E777" s="483">
        <v>335</v>
      </c>
      <c r="H777" s="483" t="s">
        <v>6554</v>
      </c>
    </row>
    <row r="778" spans="1:8">
      <c r="E778" s="484" t="s">
        <v>6555</v>
      </c>
      <c r="F778" s="484"/>
      <c r="G778" s="484"/>
    </row>
    <row r="780" spans="1:8">
      <c r="A780" s="483" t="s">
        <v>6556</v>
      </c>
    </row>
    <row r="781" spans="1:8">
      <c r="C781" s="483">
        <v>5000</v>
      </c>
      <c r="H781" s="483" t="s">
        <v>6557</v>
      </c>
    </row>
    <row r="782" spans="1:8">
      <c r="D782" s="483">
        <v>5000</v>
      </c>
      <c r="H782" s="483" t="s">
        <v>6221</v>
      </c>
    </row>
    <row r="783" spans="1:8">
      <c r="E783" s="483">
        <v>126</v>
      </c>
      <c r="H783" s="483" t="s">
        <v>6131</v>
      </c>
    </row>
    <row r="784" spans="1:8">
      <c r="E784" s="483">
        <v>363</v>
      </c>
      <c r="H784" s="483" t="s">
        <v>6558</v>
      </c>
    </row>
    <row r="785" spans="1:8">
      <c r="E785" s="483">
        <v>798</v>
      </c>
      <c r="H785" s="483" t="s">
        <v>6559</v>
      </c>
    </row>
    <row r="786" spans="1:8">
      <c r="E786" s="484" t="s">
        <v>6560</v>
      </c>
      <c r="F786" s="484"/>
      <c r="G786" s="484"/>
    </row>
    <row r="788" spans="1:8">
      <c r="A788" s="483" t="s">
        <v>6561</v>
      </c>
    </row>
    <row r="789" spans="1:8">
      <c r="E789" s="483">
        <v>1205</v>
      </c>
      <c r="H789" s="483" t="s">
        <v>6132</v>
      </c>
    </row>
    <row r="790" spans="1:8">
      <c r="E790" s="484" t="s">
        <v>6562</v>
      </c>
      <c r="F790" s="484"/>
      <c r="G790" s="484"/>
    </row>
    <row r="792" spans="1:8">
      <c r="A792" s="483" t="s">
        <v>6561</v>
      </c>
    </row>
    <row r="793" spans="1:8">
      <c r="C793" s="483">
        <v>6000</v>
      </c>
      <c r="H793" s="483" t="s">
        <v>6563</v>
      </c>
    </row>
    <row r="795" spans="1:8">
      <c r="A795" s="483" t="s">
        <v>6564</v>
      </c>
    </row>
    <row r="796" spans="1:8">
      <c r="C796" s="483">
        <v>15000</v>
      </c>
      <c r="H796" s="483" t="s">
        <v>6565</v>
      </c>
    </row>
    <row r="798" spans="1:8">
      <c r="A798" s="483" t="s">
        <v>6566</v>
      </c>
    </row>
    <row r="799" spans="1:8">
      <c r="E799" s="483">
        <v>215</v>
      </c>
      <c r="H799" s="483" t="s">
        <v>6567</v>
      </c>
    </row>
    <row r="800" spans="1:8">
      <c r="E800" s="483">
        <v>230</v>
      </c>
      <c r="H800" s="483" t="s">
        <v>6567</v>
      </c>
    </row>
    <row r="801" spans="1:8">
      <c r="E801" s="484" t="s">
        <v>6568</v>
      </c>
      <c r="F801" s="484"/>
      <c r="G801" s="484"/>
    </row>
    <row r="803" spans="1:8">
      <c r="A803" s="483" t="s">
        <v>6569</v>
      </c>
    </row>
    <row r="804" spans="1:8">
      <c r="E804" s="483">
        <v>45</v>
      </c>
      <c r="H804" s="483" t="s">
        <v>6570</v>
      </c>
    </row>
    <row r="805" spans="1:8">
      <c r="E805" s="484" t="s">
        <v>6571</v>
      </c>
      <c r="F805" s="484"/>
      <c r="G805" s="484"/>
    </row>
    <row r="807" spans="1:8">
      <c r="A807" s="483" t="s">
        <v>6572</v>
      </c>
    </row>
    <row r="808" spans="1:8" ht="33">
      <c r="C808" s="483">
        <v>45000</v>
      </c>
      <c r="H808" s="486" t="s">
        <v>6573</v>
      </c>
    </row>
    <row r="810" spans="1:8">
      <c r="A810" s="483" t="s">
        <v>6572</v>
      </c>
    </row>
    <row r="811" spans="1:8">
      <c r="C811" s="483">
        <v>52000</v>
      </c>
      <c r="H811" s="483" t="s">
        <v>6574</v>
      </c>
    </row>
    <row r="812" spans="1:8">
      <c r="C812" s="483">
        <v>23004</v>
      </c>
      <c r="H812" s="483" t="s">
        <v>6575</v>
      </c>
    </row>
    <row r="813" spans="1:8">
      <c r="C813" s="483">
        <v>63725</v>
      </c>
      <c r="H813" s="483" t="s">
        <v>6576</v>
      </c>
    </row>
    <row r="815" spans="1:8">
      <c r="A815" s="483" t="s">
        <v>6577</v>
      </c>
    </row>
    <row r="816" spans="1:8">
      <c r="E816" s="483">
        <v>315</v>
      </c>
      <c r="H816" s="483" t="s">
        <v>6578</v>
      </c>
    </row>
    <row r="817" spans="1:8">
      <c r="E817" s="483">
        <v>410</v>
      </c>
      <c r="H817" s="483" t="s">
        <v>6578</v>
      </c>
    </row>
    <row r="818" spans="1:8">
      <c r="E818" s="484" t="s">
        <v>6579</v>
      </c>
      <c r="F818" s="484"/>
      <c r="G818" s="484"/>
      <c r="H818" s="483" t="s">
        <v>6580</v>
      </c>
    </row>
    <row r="819" spans="1:8">
      <c r="E819" s="484"/>
      <c r="F819" s="484"/>
      <c r="G819" s="484"/>
    </row>
    <row r="820" spans="1:8">
      <c r="A820" s="483" t="s">
        <v>6581</v>
      </c>
    </row>
    <row r="821" spans="1:8">
      <c r="C821" s="483">
        <v>34281</v>
      </c>
      <c r="H821" s="483" t="s">
        <v>6582</v>
      </c>
    </row>
    <row r="823" spans="1:8">
      <c r="A823" s="483" t="s">
        <v>6583</v>
      </c>
    </row>
    <row r="824" spans="1:8">
      <c r="C824" s="483">
        <v>45000</v>
      </c>
      <c r="H824" s="483" t="s">
        <v>6584</v>
      </c>
    </row>
    <row r="825" spans="1:8">
      <c r="E825" s="483">
        <v>30</v>
      </c>
      <c r="H825" s="483" t="s">
        <v>6585</v>
      </c>
    </row>
    <row r="826" spans="1:8">
      <c r="E826" s="484" t="s">
        <v>6586</v>
      </c>
      <c r="F826" s="484"/>
      <c r="G826" s="484"/>
    </row>
    <row r="828" spans="1:8">
      <c r="A828" s="483" t="s">
        <v>6587</v>
      </c>
      <c r="E828" s="483">
        <v>124</v>
      </c>
      <c r="H828" s="483" t="s">
        <v>6588</v>
      </c>
    </row>
    <row r="829" spans="1:8">
      <c r="E829" s="484" t="s">
        <v>6589</v>
      </c>
      <c r="F829" s="484"/>
      <c r="G829" s="484"/>
    </row>
    <row r="832" spans="1:8">
      <c r="A832" s="483" t="s">
        <v>6583</v>
      </c>
      <c r="E832" s="483">
        <v>70</v>
      </c>
      <c r="H832" s="483" t="s">
        <v>6590</v>
      </c>
    </row>
    <row r="833" spans="1:8">
      <c r="E833" s="484" t="s">
        <v>6591</v>
      </c>
      <c r="F833" s="484"/>
      <c r="G833" s="484"/>
    </row>
    <row r="835" spans="1:8">
      <c r="A835" s="483" t="s">
        <v>6592</v>
      </c>
    </row>
    <row r="836" spans="1:8">
      <c r="E836" s="483">
        <v>70</v>
      </c>
      <c r="H836" s="483" t="s">
        <v>6593</v>
      </c>
    </row>
    <row r="837" spans="1:8">
      <c r="E837" s="484" t="s">
        <v>6594</v>
      </c>
      <c r="F837" s="484"/>
      <c r="G837" s="484"/>
    </row>
    <row r="839" spans="1:8">
      <c r="A839" s="483" t="s">
        <v>6595</v>
      </c>
    </row>
    <row r="840" spans="1:8">
      <c r="E840" s="483">
        <v>95</v>
      </c>
      <c r="H840" s="483" t="s">
        <v>6596</v>
      </c>
    </row>
    <row r="841" spans="1:8">
      <c r="E841" s="484" t="s">
        <v>6597</v>
      </c>
      <c r="F841" s="484"/>
      <c r="G841" s="484"/>
    </row>
    <row r="843" spans="1:8">
      <c r="A843" s="483" t="s">
        <v>6598</v>
      </c>
    </row>
    <row r="844" spans="1:8">
      <c r="E844" s="483">
        <v>32</v>
      </c>
      <c r="H844" s="483" t="s">
        <v>6599</v>
      </c>
    </row>
    <row r="845" spans="1:8">
      <c r="E845" s="484" t="s">
        <v>6600</v>
      </c>
      <c r="F845" s="484"/>
      <c r="G845" s="484"/>
    </row>
    <row r="846" spans="1:8">
      <c r="E846" s="484"/>
      <c r="F846" s="484"/>
      <c r="G846" s="484"/>
    </row>
    <row r="847" spans="1:8">
      <c r="A847" s="483" t="s">
        <v>6601</v>
      </c>
    </row>
    <row r="848" spans="1:8">
      <c r="E848" s="483">
        <v>1205</v>
      </c>
      <c r="H848" s="483" t="s">
        <v>6159</v>
      </c>
    </row>
    <row r="849" spans="1:8">
      <c r="E849" s="484" t="s">
        <v>6602</v>
      </c>
      <c r="F849" s="484"/>
      <c r="G849" s="484"/>
    </row>
    <row r="850" spans="1:8">
      <c r="E850" s="484"/>
      <c r="F850" s="484"/>
      <c r="G850" s="484"/>
    </row>
    <row r="851" spans="1:8">
      <c r="A851" s="483" t="s">
        <v>6603</v>
      </c>
    </row>
    <row r="852" spans="1:8">
      <c r="E852" s="483">
        <v>64</v>
      </c>
      <c r="H852" s="483" t="s">
        <v>6604</v>
      </c>
    </row>
    <row r="853" spans="1:8">
      <c r="E853" s="484" t="s">
        <v>6605</v>
      </c>
      <c r="F853" s="484"/>
      <c r="G853" s="484"/>
    </row>
    <row r="854" spans="1:8">
      <c r="E854" s="484"/>
      <c r="F854" s="484"/>
      <c r="G854" s="484"/>
    </row>
    <row r="855" spans="1:8">
      <c r="A855" s="483" t="s">
        <v>6606</v>
      </c>
    </row>
    <row r="856" spans="1:8">
      <c r="C856" s="483">
        <v>14825</v>
      </c>
      <c r="E856" s="484"/>
      <c r="F856" s="484"/>
      <c r="G856" s="484"/>
      <c r="H856" s="483" t="s">
        <v>6607</v>
      </c>
    </row>
    <row r="857" spans="1:8">
      <c r="E857" s="484"/>
      <c r="F857" s="484"/>
      <c r="G857" s="484"/>
    </row>
    <row r="858" spans="1:8" s="485" customFormat="1"/>
    <row r="860" spans="1:8">
      <c r="A860" s="483" t="s">
        <v>6608</v>
      </c>
      <c r="C860" s="483">
        <v>15015</v>
      </c>
      <c r="H860" s="483" t="s">
        <v>6609</v>
      </c>
    </row>
    <row r="862" spans="1:8">
      <c r="A862" s="483" t="s">
        <v>6608</v>
      </c>
      <c r="C862" s="483">
        <v>9900</v>
      </c>
      <c r="H862" s="483" t="s">
        <v>6610</v>
      </c>
    </row>
    <row r="864" spans="1:8">
      <c r="A864" s="483" t="s">
        <v>6608</v>
      </c>
      <c r="E864" s="483">
        <v>300</v>
      </c>
      <c r="H864" s="483" t="s">
        <v>6611</v>
      </c>
    </row>
    <row r="865" spans="1:8">
      <c r="E865" s="484" t="s">
        <v>6612</v>
      </c>
      <c r="F865" s="484"/>
      <c r="G865" s="484"/>
    </row>
    <row r="867" spans="1:8">
      <c r="A867" s="483" t="s">
        <v>6185</v>
      </c>
    </row>
    <row r="868" spans="1:8">
      <c r="C868" s="483">
        <v>44500</v>
      </c>
      <c r="H868" s="483" t="s">
        <v>6613</v>
      </c>
    </row>
    <row r="869" spans="1:8">
      <c r="C869" s="483">
        <v>23004</v>
      </c>
      <c r="H869" s="483" t="s">
        <v>6614</v>
      </c>
    </row>
    <row r="870" spans="1:8">
      <c r="C870" s="483">
        <v>63725</v>
      </c>
      <c r="H870" s="483" t="s">
        <v>6615</v>
      </c>
    </row>
    <row r="871" spans="1:8">
      <c r="C871" s="483">
        <v>15907</v>
      </c>
      <c r="H871" s="483" t="s">
        <v>6616</v>
      </c>
    </row>
    <row r="873" spans="1:8">
      <c r="A873" s="483" t="s">
        <v>6617</v>
      </c>
      <c r="E873" s="483">
        <v>52</v>
      </c>
      <c r="H873" s="483" t="s">
        <v>6618</v>
      </c>
    </row>
    <row r="874" spans="1:8">
      <c r="E874" s="484" t="s">
        <v>6619</v>
      </c>
      <c r="F874" s="484"/>
      <c r="G874" s="484"/>
    </row>
    <row r="876" spans="1:8">
      <c r="A876" s="483" t="s">
        <v>6620</v>
      </c>
    </row>
    <row r="877" spans="1:8">
      <c r="E877" s="483">
        <v>21</v>
      </c>
      <c r="H877" s="483" t="s">
        <v>6621</v>
      </c>
    </row>
    <row r="878" spans="1:8">
      <c r="E878" s="484" t="s">
        <v>6622</v>
      </c>
      <c r="F878" s="484"/>
      <c r="G878" s="484"/>
    </row>
    <row r="880" spans="1:8">
      <c r="A880" s="483" t="s">
        <v>6620</v>
      </c>
    </row>
    <row r="881" spans="1:8">
      <c r="E881" s="483">
        <v>225</v>
      </c>
      <c r="H881" s="483" t="s">
        <v>6623</v>
      </c>
    </row>
    <row r="882" spans="1:8">
      <c r="E882" s="483">
        <v>245</v>
      </c>
      <c r="H882" s="483" t="s">
        <v>6623</v>
      </c>
    </row>
    <row r="883" spans="1:8">
      <c r="E883" s="484" t="s">
        <v>6624</v>
      </c>
      <c r="F883" s="484"/>
      <c r="G883" s="484"/>
    </row>
    <row r="885" spans="1:8">
      <c r="A885" s="483" t="s">
        <v>6625</v>
      </c>
    </row>
    <row r="886" spans="1:8">
      <c r="C886" s="483">
        <v>5000</v>
      </c>
      <c r="H886" s="483" t="s">
        <v>6626</v>
      </c>
    </row>
    <row r="887" spans="1:8">
      <c r="D887" s="483">
        <v>5000</v>
      </c>
      <c r="H887" s="483" t="s">
        <v>6221</v>
      </c>
    </row>
    <row r="888" spans="1:8">
      <c r="E888" s="484" t="s">
        <v>6627</v>
      </c>
      <c r="F888" s="484"/>
      <c r="G888" s="484"/>
    </row>
    <row r="890" spans="1:8">
      <c r="A890" s="483" t="s">
        <v>6625</v>
      </c>
    </row>
    <row r="891" spans="1:8">
      <c r="E891" s="483">
        <v>385</v>
      </c>
      <c r="H891" s="483" t="s">
        <v>6628</v>
      </c>
    </row>
    <row r="892" spans="1:8">
      <c r="E892" s="483">
        <v>380</v>
      </c>
      <c r="H892" s="483" t="s">
        <v>6628</v>
      </c>
    </row>
    <row r="893" spans="1:8">
      <c r="E893" s="484" t="s">
        <v>6629</v>
      </c>
      <c r="F893" s="484"/>
      <c r="G893" s="484"/>
    </row>
    <row r="895" spans="1:8">
      <c r="A895" s="483" t="s">
        <v>6630</v>
      </c>
      <c r="E895" s="483">
        <v>1205</v>
      </c>
      <c r="H895" s="483" t="s">
        <v>6631</v>
      </c>
    </row>
    <row r="896" spans="1:8">
      <c r="E896" s="484" t="s">
        <v>6632</v>
      </c>
      <c r="F896" s="484"/>
      <c r="G896" s="484"/>
    </row>
    <row r="898" spans="1:8">
      <c r="A898" s="483" t="s">
        <v>6633</v>
      </c>
    </row>
    <row r="899" spans="1:8">
      <c r="C899" s="483">
        <v>15000</v>
      </c>
      <c r="H899" s="483" t="s">
        <v>6634</v>
      </c>
    </row>
    <row r="900" spans="1:8">
      <c r="B900" s="483">
        <v>15000</v>
      </c>
      <c r="H900" s="483" t="s">
        <v>6635</v>
      </c>
    </row>
    <row r="902" spans="1:8">
      <c r="A902" s="483" t="s">
        <v>6636</v>
      </c>
      <c r="C902" s="483">
        <v>15000</v>
      </c>
      <c r="H902" s="483" t="s">
        <v>6637</v>
      </c>
    </row>
    <row r="904" spans="1:8">
      <c r="A904" s="483" t="s">
        <v>6636</v>
      </c>
    </row>
    <row r="905" spans="1:8">
      <c r="C905" s="483">
        <v>33004</v>
      </c>
      <c r="H905" s="483" t="s">
        <v>6638</v>
      </c>
    </row>
    <row r="906" spans="1:8">
      <c r="C906" s="483">
        <v>36000</v>
      </c>
      <c r="H906" s="483" t="s">
        <v>6639</v>
      </c>
    </row>
    <row r="907" spans="1:8">
      <c r="C907" s="483">
        <v>63725</v>
      </c>
      <c r="H907" s="483" t="s">
        <v>6640</v>
      </c>
    </row>
    <row r="909" spans="1:8">
      <c r="A909" s="483" t="s">
        <v>6641</v>
      </c>
    </row>
    <row r="910" spans="1:8">
      <c r="C910" s="483">
        <v>4056</v>
      </c>
      <c r="E910" s="484"/>
      <c r="F910" s="484"/>
      <c r="G910" s="484"/>
      <c r="H910" s="483" t="s">
        <v>6642</v>
      </c>
    </row>
    <row r="911" spans="1:8">
      <c r="E911" s="484"/>
      <c r="F911" s="484"/>
      <c r="G911" s="484"/>
    </row>
    <row r="912" spans="1:8">
      <c r="A912" s="483" t="s">
        <v>6643</v>
      </c>
    </row>
    <row r="913" spans="1:8">
      <c r="E913" s="483">
        <v>100</v>
      </c>
      <c r="H913" s="483" t="s">
        <v>6644</v>
      </c>
    </row>
    <row r="914" spans="1:8">
      <c r="E914" s="483">
        <v>100</v>
      </c>
      <c r="H914" s="483" t="s">
        <v>6644</v>
      </c>
    </row>
    <row r="915" spans="1:8">
      <c r="E915" s="484" t="s">
        <v>6645</v>
      </c>
      <c r="F915" s="484"/>
      <c r="G915" s="484"/>
    </row>
    <row r="916" spans="1:8">
      <c r="E916" s="484"/>
      <c r="F916" s="484"/>
      <c r="G916" s="484"/>
    </row>
    <row r="917" spans="1:8">
      <c r="A917" s="483" t="s">
        <v>6646</v>
      </c>
    </row>
    <row r="918" spans="1:8">
      <c r="E918" s="483">
        <v>50</v>
      </c>
      <c r="H918" s="483" t="s">
        <v>6647</v>
      </c>
    </row>
    <row r="919" spans="1:8">
      <c r="E919" s="483">
        <v>500</v>
      </c>
      <c r="H919" s="483" t="s">
        <v>6648</v>
      </c>
    </row>
    <row r="920" spans="1:8">
      <c r="E920" s="483">
        <v>548</v>
      </c>
      <c r="H920" s="483" t="s">
        <v>6649</v>
      </c>
    </row>
    <row r="921" spans="1:8">
      <c r="E921" s="483">
        <v>75</v>
      </c>
      <c r="H921" s="483" t="s">
        <v>6650</v>
      </c>
    </row>
    <row r="922" spans="1:8">
      <c r="E922" s="484" t="s">
        <v>6651</v>
      </c>
      <c r="F922" s="484"/>
      <c r="G922" s="484"/>
    </row>
    <row r="924" spans="1:8">
      <c r="A924" s="483" t="s">
        <v>6652</v>
      </c>
    </row>
    <row r="925" spans="1:8">
      <c r="E925" s="483">
        <v>110</v>
      </c>
      <c r="H925" s="483" t="s">
        <v>6653</v>
      </c>
    </row>
    <row r="926" spans="1:8">
      <c r="E926" s="483">
        <v>130</v>
      </c>
      <c r="H926" s="483" t="s">
        <v>6653</v>
      </c>
    </row>
    <row r="927" spans="1:8">
      <c r="E927" s="484" t="s">
        <v>6654</v>
      </c>
      <c r="F927" s="484"/>
      <c r="G927" s="484"/>
    </row>
    <row r="929" spans="1:8">
      <c r="A929" s="483" t="s">
        <v>6655</v>
      </c>
      <c r="H929" s="483" t="s">
        <v>6656</v>
      </c>
    </row>
    <row r="930" spans="1:8">
      <c r="E930" s="483">
        <v>1205</v>
      </c>
    </row>
    <row r="931" spans="1:8">
      <c r="E931" s="484" t="s">
        <v>6657</v>
      </c>
      <c r="F931" s="484"/>
      <c r="G931" s="484"/>
    </row>
    <row r="933" spans="1:8">
      <c r="A933" s="483" t="s">
        <v>6658</v>
      </c>
    </row>
    <row r="934" spans="1:8">
      <c r="E934" s="483">
        <v>270</v>
      </c>
      <c r="H934" s="483" t="s">
        <v>6659</v>
      </c>
    </row>
    <row r="935" spans="1:8">
      <c r="E935" s="483">
        <v>250</v>
      </c>
      <c r="H935" s="483" t="s">
        <v>6659</v>
      </c>
    </row>
    <row r="936" spans="1:8">
      <c r="E936" s="484" t="s">
        <v>6660</v>
      </c>
      <c r="F936" s="484"/>
      <c r="G936" s="484"/>
      <c r="H936" s="484" t="s">
        <v>6661</v>
      </c>
    </row>
    <row r="938" spans="1:8">
      <c r="A938" s="483" t="s">
        <v>6662</v>
      </c>
      <c r="C938" s="483">
        <v>15000</v>
      </c>
      <c r="H938" s="483" t="s">
        <v>6663</v>
      </c>
    </row>
    <row r="940" spans="1:8">
      <c r="A940" s="483" t="s">
        <v>6664</v>
      </c>
    </row>
    <row r="941" spans="1:8">
      <c r="E941" s="483">
        <v>95</v>
      </c>
      <c r="H941" s="483" t="s">
        <v>6665</v>
      </c>
    </row>
    <row r="942" spans="1:8">
      <c r="E942" s="483">
        <v>470</v>
      </c>
      <c r="H942" s="483" t="s">
        <v>6666</v>
      </c>
    </row>
    <row r="943" spans="1:8">
      <c r="E943" s="484" t="s">
        <v>6667</v>
      </c>
      <c r="F943" s="484"/>
      <c r="G943" s="484"/>
    </row>
    <row r="945" spans="1:8">
      <c r="A945" s="483" t="s">
        <v>6668</v>
      </c>
      <c r="C945" s="483">
        <v>5000</v>
      </c>
      <c r="H945" s="483" t="s">
        <v>6626</v>
      </c>
    </row>
    <row r="946" spans="1:8">
      <c r="C946" s="483">
        <v>63707</v>
      </c>
      <c r="H946" s="483" t="s">
        <v>6640</v>
      </c>
    </row>
    <row r="947" spans="1:8">
      <c r="C947" s="483">
        <v>33000</v>
      </c>
      <c r="H947" s="483" t="s">
        <v>6638</v>
      </c>
    </row>
    <row r="948" spans="1:8">
      <c r="C948" s="483">
        <v>22978</v>
      </c>
      <c r="H948" s="483" t="s">
        <v>6639</v>
      </c>
    </row>
    <row r="949" spans="1:8">
      <c r="D949" s="483">
        <v>5000</v>
      </c>
      <c r="H949" s="483" t="s">
        <v>6221</v>
      </c>
    </row>
    <row r="950" spans="1:8">
      <c r="E950" s="484" t="s">
        <v>6669</v>
      </c>
      <c r="F950" s="484"/>
      <c r="G950" s="484"/>
    </row>
    <row r="952" spans="1:8">
      <c r="A952" s="483" t="s">
        <v>6670</v>
      </c>
    </row>
    <row r="953" spans="1:8">
      <c r="C953" s="483">
        <v>33772</v>
      </c>
      <c r="H953" s="483" t="s">
        <v>6671</v>
      </c>
    </row>
    <row r="955" spans="1:8">
      <c r="A955" s="483" t="s">
        <v>6672</v>
      </c>
    </row>
    <row r="956" spans="1:8">
      <c r="C956" s="483">
        <v>21920</v>
      </c>
      <c r="H956" s="483" t="s">
        <v>6673</v>
      </c>
    </row>
    <row r="958" spans="1:8">
      <c r="A958" s="483" t="s">
        <v>6674</v>
      </c>
    </row>
    <row r="959" spans="1:8">
      <c r="C959" s="483">
        <v>36000</v>
      </c>
      <c r="H959" s="483" t="s">
        <v>6675</v>
      </c>
    </row>
    <row r="961" spans="1:8">
      <c r="A961" s="483" t="s">
        <v>6676</v>
      </c>
    </row>
    <row r="962" spans="1:8">
      <c r="E962" s="483">
        <v>267</v>
      </c>
      <c r="H962" s="483" t="s">
        <v>6677</v>
      </c>
    </row>
    <row r="963" spans="1:8">
      <c r="E963" s="484" t="s">
        <v>6678</v>
      </c>
      <c r="F963" s="484"/>
      <c r="G963" s="484"/>
    </row>
    <row r="965" spans="1:8">
      <c r="A965" s="483" t="s">
        <v>6679</v>
      </c>
    </row>
    <row r="966" spans="1:8">
      <c r="E966" s="483">
        <v>105</v>
      </c>
      <c r="H966" s="483" t="s">
        <v>6680</v>
      </c>
    </row>
    <row r="967" spans="1:8">
      <c r="E967" s="484" t="s">
        <v>6681</v>
      </c>
      <c r="F967" s="484"/>
      <c r="G967" s="484"/>
    </row>
    <row r="969" spans="1:8">
      <c r="A969" s="483" t="s">
        <v>6682</v>
      </c>
    </row>
    <row r="970" spans="1:8">
      <c r="E970" s="483">
        <v>998</v>
      </c>
      <c r="H970" s="483" t="s">
        <v>6683</v>
      </c>
    </row>
    <row r="971" spans="1:8">
      <c r="E971" s="483">
        <v>178</v>
      </c>
      <c r="H971" s="483" t="s">
        <v>6684</v>
      </c>
    </row>
    <row r="972" spans="1:8">
      <c r="E972" s="484" t="s">
        <v>6685</v>
      </c>
      <c r="F972" s="484"/>
      <c r="G972" s="484"/>
    </row>
    <row r="974" spans="1:8">
      <c r="A974" s="483" t="s">
        <v>6686</v>
      </c>
      <c r="H974" s="483" t="s">
        <v>6687</v>
      </c>
    </row>
    <row r="975" spans="1:8">
      <c r="E975" s="483">
        <v>1205</v>
      </c>
    </row>
    <row r="976" spans="1:8">
      <c r="E976" s="484" t="s">
        <v>6688</v>
      </c>
      <c r="F976" s="484"/>
      <c r="G976" s="484"/>
    </row>
    <row r="978" spans="1:8">
      <c r="A978" s="483" t="s">
        <v>6689</v>
      </c>
      <c r="C978" s="483">
        <v>15000</v>
      </c>
      <c r="H978" s="483" t="s">
        <v>6690</v>
      </c>
    </row>
    <row r="980" spans="1:8">
      <c r="A980" s="483" t="s">
        <v>6691</v>
      </c>
    </row>
    <row r="981" spans="1:8">
      <c r="E981" s="483">
        <v>1000</v>
      </c>
      <c r="H981" s="483" t="s">
        <v>6692</v>
      </c>
    </row>
    <row r="982" spans="1:8">
      <c r="E982" s="484" t="s">
        <v>6693</v>
      </c>
      <c r="F982" s="484"/>
      <c r="G982" s="484"/>
    </row>
    <row r="983" spans="1:8">
      <c r="C983" s="483">
        <v>17500</v>
      </c>
      <c r="H983" s="483" t="s">
        <v>6694</v>
      </c>
    </row>
    <row r="984" spans="1:8">
      <c r="C984" s="483">
        <v>22978</v>
      </c>
      <c r="H984" s="483" t="s">
        <v>6695</v>
      </c>
    </row>
    <row r="986" spans="1:8">
      <c r="A986" s="483" t="s">
        <v>6696</v>
      </c>
    </row>
    <row r="987" spans="1:8">
      <c r="C987" s="483">
        <v>63707</v>
      </c>
      <c r="H987" s="483" t="s">
        <v>6697</v>
      </c>
    </row>
    <row r="989" spans="1:8">
      <c r="A989" s="483" t="s">
        <v>6698</v>
      </c>
      <c r="H989" s="483" t="s">
        <v>6699</v>
      </c>
    </row>
    <row r="990" spans="1:8">
      <c r="E990" s="483">
        <v>1205</v>
      </c>
    </row>
    <row r="991" spans="1:8">
      <c r="E991" s="484" t="s">
        <v>6700</v>
      </c>
      <c r="F991" s="484"/>
      <c r="G991" s="484"/>
    </row>
    <row r="992" spans="1:8">
      <c r="E992" s="484"/>
      <c r="F992" s="484"/>
      <c r="G992" s="484"/>
    </row>
    <row r="993" spans="1:8">
      <c r="A993" s="483" t="s">
        <v>6698</v>
      </c>
    </row>
    <row r="994" spans="1:8">
      <c r="C994" s="483">
        <v>5000</v>
      </c>
      <c r="H994" s="483" t="s">
        <v>6221</v>
      </c>
    </row>
    <row r="995" spans="1:8">
      <c r="D995" s="483">
        <v>5000</v>
      </c>
      <c r="H995" s="483" t="s">
        <v>6221</v>
      </c>
    </row>
    <row r="996" spans="1:8">
      <c r="E996" s="484" t="s">
        <v>6701</v>
      </c>
      <c r="F996" s="484"/>
      <c r="G996" s="484"/>
    </row>
    <row r="998" spans="1:8">
      <c r="A998" s="483" t="s">
        <v>6702</v>
      </c>
    </row>
    <row r="999" spans="1:8">
      <c r="E999" s="483">
        <v>235</v>
      </c>
      <c r="H999" s="483" t="s">
        <v>6703</v>
      </c>
    </row>
    <row r="1000" spans="1:8">
      <c r="E1000" s="483">
        <v>255</v>
      </c>
      <c r="H1000" s="483" t="s">
        <v>6703</v>
      </c>
    </row>
    <row r="1001" spans="1:8">
      <c r="E1001" s="484" t="s">
        <v>6704</v>
      </c>
      <c r="F1001" s="484"/>
      <c r="G1001" s="484"/>
    </row>
    <row r="1003" spans="1:8">
      <c r="A1003" s="483" t="s">
        <v>6705</v>
      </c>
    </row>
    <row r="1004" spans="1:8">
      <c r="E1004" s="483">
        <v>35</v>
      </c>
      <c r="H1004" s="483" t="s">
        <v>6706</v>
      </c>
    </row>
    <row r="1005" spans="1:8">
      <c r="E1005" s="483">
        <v>300</v>
      </c>
      <c r="H1005" s="483" t="s">
        <v>6707</v>
      </c>
    </row>
    <row r="1006" spans="1:8">
      <c r="E1006" s="483">
        <v>36</v>
      </c>
      <c r="H1006" s="483" t="s">
        <v>6354</v>
      </c>
    </row>
    <row r="1007" spans="1:8">
      <c r="E1007" s="483">
        <v>980</v>
      </c>
      <c r="H1007" s="483" t="s">
        <v>6708</v>
      </c>
    </row>
    <row r="1008" spans="1:8">
      <c r="E1008" s="484" t="s">
        <v>6709</v>
      </c>
      <c r="F1008" s="484"/>
      <c r="G1008" s="484"/>
    </row>
    <row r="1010" spans="1:8">
      <c r="A1010" s="483" t="s">
        <v>6710</v>
      </c>
    </row>
    <row r="1011" spans="1:8">
      <c r="E1011" s="483">
        <v>75</v>
      </c>
      <c r="H1011" s="483" t="s">
        <v>6711</v>
      </c>
    </row>
    <row r="1012" spans="1:8">
      <c r="E1012" s="484" t="s">
        <v>6712</v>
      </c>
      <c r="F1012" s="484"/>
      <c r="G1012" s="484"/>
    </row>
    <row r="1014" spans="1:8">
      <c r="A1014" s="483" t="s">
        <v>6713</v>
      </c>
    </row>
    <row r="1015" spans="1:8">
      <c r="E1015" s="483">
        <v>215</v>
      </c>
      <c r="H1015" s="483" t="s">
        <v>6714</v>
      </c>
    </row>
    <row r="1016" spans="1:8">
      <c r="E1016" s="483">
        <v>225</v>
      </c>
      <c r="H1016" s="483" t="s">
        <v>6714</v>
      </c>
    </row>
    <row r="1017" spans="1:8">
      <c r="E1017" s="484" t="s">
        <v>6715</v>
      </c>
      <c r="F1017" s="484"/>
      <c r="G1017" s="484"/>
    </row>
    <row r="1019" spans="1:8">
      <c r="A1019" s="483" t="s">
        <v>6716</v>
      </c>
    </row>
    <row r="1020" spans="1:8">
      <c r="C1020" s="483">
        <v>48000</v>
      </c>
      <c r="H1020" s="483" t="s">
        <v>6717</v>
      </c>
    </row>
    <row r="1021" spans="1:8">
      <c r="C1021" s="483">
        <v>22978</v>
      </c>
      <c r="H1021" s="483" t="s">
        <v>6718</v>
      </c>
    </row>
    <row r="1022" spans="1:8">
      <c r="C1022" s="483">
        <v>63707</v>
      </c>
      <c r="H1022" s="483" t="s">
        <v>6719</v>
      </c>
    </row>
    <row r="1023" spans="1:8">
      <c r="C1023" s="483">
        <v>39000</v>
      </c>
      <c r="H1023" s="483" t="s">
        <v>6720</v>
      </c>
    </row>
    <row r="1025" spans="1:8">
      <c r="A1025" s="483" t="s">
        <v>6721</v>
      </c>
    </row>
    <row r="1026" spans="1:8">
      <c r="E1026" s="483">
        <v>90</v>
      </c>
      <c r="H1026" s="483" t="s">
        <v>6722</v>
      </c>
    </row>
    <row r="1027" spans="1:8">
      <c r="E1027" s="484" t="s">
        <v>6723</v>
      </c>
      <c r="F1027" s="484"/>
      <c r="G1027" s="484"/>
    </row>
    <row r="1029" spans="1:8">
      <c r="A1029" s="483" t="s">
        <v>6721</v>
      </c>
    </row>
    <row r="1030" spans="1:8">
      <c r="C1030" s="483">
        <v>15501</v>
      </c>
      <c r="H1030" s="483" t="s">
        <v>6724</v>
      </c>
    </row>
    <row r="1032" spans="1:8">
      <c r="A1032" s="483" t="s">
        <v>6721</v>
      </c>
    </row>
    <row r="1033" spans="1:8">
      <c r="E1033" s="483">
        <v>167</v>
      </c>
      <c r="H1033" s="483" t="s">
        <v>6725</v>
      </c>
    </row>
    <row r="1034" spans="1:8">
      <c r="E1034" s="484" t="s">
        <v>6726</v>
      </c>
      <c r="F1034" s="484"/>
      <c r="G1034" s="484"/>
    </row>
    <row r="1036" spans="1:8">
      <c r="A1036" s="483" t="s">
        <v>6727</v>
      </c>
    </row>
    <row r="1037" spans="1:8">
      <c r="C1037" s="483">
        <v>13529</v>
      </c>
      <c r="H1037" s="483" t="s">
        <v>6728</v>
      </c>
    </row>
    <row r="1039" spans="1:8">
      <c r="A1039" s="483" t="s">
        <v>6729</v>
      </c>
    </row>
    <row r="1040" spans="1:8">
      <c r="E1040" s="483">
        <v>133</v>
      </c>
      <c r="H1040" s="483" t="s">
        <v>6730</v>
      </c>
    </row>
    <row r="1041" spans="1:8">
      <c r="E1041" s="484" t="s">
        <v>6731</v>
      </c>
      <c r="F1041" s="484"/>
      <c r="G1041" s="484"/>
    </row>
    <row r="1043" spans="1:8">
      <c r="A1043" s="483" t="s">
        <v>6732</v>
      </c>
    </row>
    <row r="1044" spans="1:8">
      <c r="E1044" s="483">
        <v>100</v>
      </c>
      <c r="H1044" s="483" t="s">
        <v>6733</v>
      </c>
    </row>
    <row r="1045" spans="1:8">
      <c r="E1045" s="484" t="s">
        <v>6734</v>
      </c>
      <c r="F1045" s="484"/>
      <c r="G1045" s="484"/>
    </row>
    <row r="1047" spans="1:8">
      <c r="A1047" s="483" t="s">
        <v>6732</v>
      </c>
      <c r="H1047" s="483" t="s">
        <v>6735</v>
      </c>
    </row>
    <row r="1048" spans="1:8">
      <c r="E1048" s="483">
        <v>1205</v>
      </c>
    </row>
    <row r="1049" spans="1:8">
      <c r="E1049" s="484" t="s">
        <v>6736</v>
      </c>
      <c r="F1049" s="484"/>
      <c r="G1049" s="484"/>
    </row>
    <row r="1051" spans="1:8">
      <c r="A1051" s="483" t="s">
        <v>6737</v>
      </c>
    </row>
    <row r="1052" spans="1:8">
      <c r="C1052" s="483">
        <v>15000</v>
      </c>
      <c r="H1052" s="483" t="s">
        <v>6738</v>
      </c>
    </row>
    <row r="1054" spans="1:8">
      <c r="A1054" s="483" t="s">
        <v>6739</v>
      </c>
    </row>
    <row r="1055" spans="1:8">
      <c r="E1055" s="483">
        <v>240</v>
      </c>
      <c r="H1055" s="483" t="s">
        <v>6740</v>
      </c>
    </row>
    <row r="1056" spans="1:8">
      <c r="E1056" s="483">
        <v>400</v>
      </c>
      <c r="H1056" s="483" t="s">
        <v>6741</v>
      </c>
    </row>
    <row r="1057" spans="1:8">
      <c r="E1057" s="484" t="s">
        <v>6742</v>
      </c>
      <c r="F1057" s="484"/>
      <c r="G1057" s="484"/>
    </row>
    <row r="1059" spans="1:8">
      <c r="A1059" s="483" t="s">
        <v>6743</v>
      </c>
    </row>
    <row r="1060" spans="1:8">
      <c r="E1060" s="483">
        <v>90</v>
      </c>
      <c r="H1060" s="483" t="s">
        <v>6261</v>
      </c>
    </row>
    <row r="1061" spans="1:8">
      <c r="E1061" s="484" t="s">
        <v>6744</v>
      </c>
      <c r="F1061" s="484"/>
      <c r="G1061" s="484"/>
    </row>
    <row r="1063" spans="1:8">
      <c r="A1063" s="483" t="s">
        <v>6745</v>
      </c>
    </row>
    <row r="1064" spans="1:8">
      <c r="C1064" s="483">
        <v>5000</v>
      </c>
      <c r="H1064" s="483" t="s">
        <v>6746</v>
      </c>
    </row>
    <row r="1065" spans="1:8">
      <c r="D1065" s="483">
        <v>5000</v>
      </c>
      <c r="H1065" s="483" t="s">
        <v>6221</v>
      </c>
    </row>
    <row r="1066" spans="1:8">
      <c r="E1066" s="483">
        <v>500</v>
      </c>
      <c r="H1066" s="483" t="s">
        <v>6747</v>
      </c>
    </row>
    <row r="1067" spans="1:8">
      <c r="E1067" s="484" t="s">
        <v>6748</v>
      </c>
      <c r="F1067" s="484"/>
      <c r="G1067" s="484"/>
    </row>
    <row r="1069" spans="1:8">
      <c r="A1069" s="483" t="s">
        <v>6745</v>
      </c>
    </row>
    <row r="1070" spans="1:8">
      <c r="E1070" s="483">
        <v>230</v>
      </c>
      <c r="H1070" s="483" t="s">
        <v>6749</v>
      </c>
    </row>
    <row r="1071" spans="1:8">
      <c r="E1071" s="483">
        <v>190</v>
      </c>
      <c r="H1071" s="483" t="s">
        <v>6749</v>
      </c>
    </row>
    <row r="1072" spans="1:8">
      <c r="E1072" s="484" t="s">
        <v>6750</v>
      </c>
      <c r="F1072" s="484"/>
      <c r="G1072" s="484"/>
    </row>
    <row r="1074" spans="1:8">
      <c r="A1074" s="483" t="s">
        <v>6751</v>
      </c>
    </row>
    <row r="1075" spans="1:8">
      <c r="C1075" s="483">
        <v>22978</v>
      </c>
      <c r="H1075" s="483" t="s">
        <v>6752</v>
      </c>
    </row>
    <row r="1076" spans="1:8">
      <c r="C1076" s="483">
        <v>63707</v>
      </c>
      <c r="H1076" s="483" t="s">
        <v>6753</v>
      </c>
    </row>
    <row r="1078" spans="1:8">
      <c r="A1078" s="483" t="s">
        <v>6754</v>
      </c>
    </row>
    <row r="1079" spans="1:8">
      <c r="C1079" s="483">
        <v>16356</v>
      </c>
      <c r="H1079" s="483" t="s">
        <v>6755</v>
      </c>
    </row>
    <row r="1081" spans="1:8">
      <c r="A1081" s="483" t="s">
        <v>6756</v>
      </c>
    </row>
    <row r="1082" spans="1:8">
      <c r="E1082" s="483">
        <v>125</v>
      </c>
      <c r="H1082" s="483" t="s">
        <v>6757</v>
      </c>
    </row>
    <row r="1083" spans="1:8">
      <c r="E1083" s="483">
        <v>120</v>
      </c>
      <c r="H1083" s="483" t="s">
        <v>6757</v>
      </c>
    </row>
    <row r="1084" spans="1:8">
      <c r="E1084" s="484" t="s">
        <v>6758</v>
      </c>
      <c r="F1084" s="484"/>
      <c r="G1084" s="484"/>
    </row>
    <row r="1086" spans="1:8">
      <c r="A1086" s="483" t="s">
        <v>6759</v>
      </c>
    </row>
    <row r="1087" spans="1:8">
      <c r="E1087" s="483">
        <v>155</v>
      </c>
      <c r="H1087" s="483" t="s">
        <v>6760</v>
      </c>
    </row>
    <row r="1088" spans="1:8">
      <c r="E1088" s="483">
        <v>175</v>
      </c>
      <c r="H1088" s="483" t="s">
        <v>6760</v>
      </c>
    </row>
    <row r="1089" spans="1:8">
      <c r="E1089" s="484" t="s">
        <v>6761</v>
      </c>
      <c r="F1089" s="484"/>
      <c r="G1089" s="484"/>
    </row>
    <row r="1091" spans="1:8">
      <c r="A1091" s="483" t="s">
        <v>6762</v>
      </c>
    </row>
    <row r="1092" spans="1:8">
      <c r="E1092" s="483">
        <v>32</v>
      </c>
      <c r="H1092" s="483" t="s">
        <v>6763</v>
      </c>
    </row>
    <row r="1093" spans="1:8">
      <c r="E1093" s="483">
        <v>40</v>
      </c>
      <c r="H1093" s="483" t="s">
        <v>6764</v>
      </c>
    </row>
    <row r="1094" spans="1:8">
      <c r="E1094" s="484" t="s">
        <v>6765</v>
      </c>
      <c r="F1094" s="484"/>
      <c r="G1094" s="484"/>
    </row>
    <row r="1096" spans="1:8">
      <c r="A1096" s="483" t="s">
        <v>6766</v>
      </c>
    </row>
    <row r="1097" spans="1:8">
      <c r="E1097" s="483">
        <v>1205</v>
      </c>
      <c r="H1097" s="483" t="s">
        <v>6767</v>
      </c>
    </row>
    <row r="1098" spans="1:8">
      <c r="E1098" s="484" t="s">
        <v>6768</v>
      </c>
      <c r="F1098" s="484"/>
      <c r="G1098" s="484"/>
      <c r="H1098" s="484" t="s">
        <v>6769</v>
      </c>
    </row>
    <row r="1100" spans="1:8">
      <c r="A1100" s="483" t="s">
        <v>6770</v>
      </c>
      <c r="C1100" s="483">
        <v>15000</v>
      </c>
      <c r="H1100" s="483" t="s">
        <v>6771</v>
      </c>
    </row>
    <row r="1102" spans="1:8">
      <c r="A1102" s="483" t="s">
        <v>6770</v>
      </c>
    </row>
    <row r="1103" spans="1:8">
      <c r="E1103" s="483">
        <v>380</v>
      </c>
      <c r="H1103" s="483" t="s">
        <v>6772</v>
      </c>
    </row>
    <row r="1104" spans="1:8">
      <c r="E1104" s="483">
        <v>285</v>
      </c>
      <c r="H1104" s="483" t="s">
        <v>6772</v>
      </c>
    </row>
    <row r="1105" spans="1:8">
      <c r="E1105" s="484" t="s">
        <v>6773</v>
      </c>
      <c r="F1105" s="484"/>
      <c r="G1105" s="484"/>
    </row>
    <row r="1107" spans="1:8">
      <c r="A1107" s="483" t="s">
        <v>6774</v>
      </c>
    </row>
    <row r="1108" spans="1:8">
      <c r="E1108" s="483">
        <v>105</v>
      </c>
      <c r="H1108" s="483" t="s">
        <v>6775</v>
      </c>
    </row>
    <row r="1109" spans="1:8">
      <c r="E1109" s="484" t="s">
        <v>6776</v>
      </c>
      <c r="F1109" s="484"/>
      <c r="G1109" s="484"/>
    </row>
    <row r="1111" spans="1:8">
      <c r="A1111" s="483" t="s">
        <v>6777</v>
      </c>
    </row>
    <row r="1112" spans="1:8">
      <c r="E1112" s="483">
        <v>45</v>
      </c>
      <c r="H1112" s="483" t="s">
        <v>6778</v>
      </c>
    </row>
    <row r="1113" spans="1:8">
      <c r="E1113" s="484" t="s">
        <v>6779</v>
      </c>
      <c r="F1113" s="484"/>
      <c r="G1113" s="484"/>
    </row>
    <row r="1114" spans="1:8">
      <c r="E1114" s="484"/>
      <c r="F1114" s="484"/>
      <c r="G1114" s="484"/>
    </row>
    <row r="1115" spans="1:8">
      <c r="A1115" s="483" t="s">
        <v>6777</v>
      </c>
    </row>
    <row r="1116" spans="1:8">
      <c r="C1116" s="483">
        <v>26000</v>
      </c>
      <c r="H1116" s="483" t="s">
        <v>6780</v>
      </c>
    </row>
    <row r="1117" spans="1:8">
      <c r="C1117" s="483">
        <v>22970</v>
      </c>
      <c r="H1117" s="483" t="s">
        <v>6781</v>
      </c>
    </row>
    <row r="1118" spans="1:8">
      <c r="C1118" s="483">
        <v>63516</v>
      </c>
      <c r="H1118" s="483" t="s">
        <v>6782</v>
      </c>
    </row>
    <row r="1120" spans="1:8">
      <c r="A1120" s="483" t="s">
        <v>6783</v>
      </c>
    </row>
    <row r="1121" spans="1:8">
      <c r="C1121" s="483">
        <v>7117</v>
      </c>
      <c r="H1121" s="483" t="s">
        <v>6784</v>
      </c>
    </row>
    <row r="1122" spans="1:8">
      <c r="C1122" s="483">
        <v>16446</v>
      </c>
      <c r="H1122" s="483" t="s">
        <v>6785</v>
      </c>
    </row>
    <row r="1124" spans="1:8">
      <c r="A1124" s="483" t="s">
        <v>6786</v>
      </c>
    </row>
    <row r="1125" spans="1:8">
      <c r="E1125" s="483">
        <v>188</v>
      </c>
      <c r="H1125" s="483" t="s">
        <v>6787</v>
      </c>
    </row>
    <row r="1126" spans="1:8">
      <c r="E1126" s="483">
        <v>1205</v>
      </c>
      <c r="H1126" s="483" t="s">
        <v>6788</v>
      </c>
    </row>
    <row r="1127" spans="1:8">
      <c r="E1127" s="484" t="s">
        <v>6789</v>
      </c>
      <c r="F1127" s="484"/>
      <c r="G1127" s="484"/>
    </row>
    <row r="1129" spans="1:8">
      <c r="A1129" s="483" t="s">
        <v>6790</v>
      </c>
    </row>
    <row r="1130" spans="1:8">
      <c r="E1130" s="483">
        <v>88</v>
      </c>
      <c r="H1130" s="483" t="s">
        <v>6791</v>
      </c>
    </row>
    <row r="1131" spans="1:8">
      <c r="E1131" s="484" t="s">
        <v>6792</v>
      </c>
      <c r="F1131" s="484"/>
      <c r="G1131" s="484"/>
    </row>
    <row r="1132" spans="1:8">
      <c r="E1132" s="484"/>
      <c r="F1132" s="484"/>
      <c r="G1132" s="484"/>
    </row>
    <row r="1133" spans="1:8">
      <c r="A1133" s="483" t="s">
        <v>6793</v>
      </c>
    </row>
    <row r="1134" spans="1:8">
      <c r="B1134" s="483">
        <v>28000</v>
      </c>
      <c r="H1134" s="483" t="s">
        <v>6794</v>
      </c>
    </row>
    <row r="1135" spans="1:8">
      <c r="C1135" s="483">
        <v>5000</v>
      </c>
      <c r="H1135" s="483" t="s">
        <v>6746</v>
      </c>
    </row>
    <row r="1136" spans="1:8">
      <c r="D1136" s="483">
        <v>5000</v>
      </c>
      <c r="H1136" s="483" t="s">
        <v>6221</v>
      </c>
    </row>
    <row r="1137" spans="1:8">
      <c r="E1137" s="484" t="s">
        <v>6795</v>
      </c>
      <c r="F1137" s="484"/>
      <c r="G1137" s="484"/>
    </row>
    <row r="1139" spans="1:8">
      <c r="A1139" s="483" t="s">
        <v>6796</v>
      </c>
    </row>
    <row r="1140" spans="1:8">
      <c r="C1140" s="483">
        <v>15000</v>
      </c>
      <c r="H1140" s="483" t="s">
        <v>6797</v>
      </c>
    </row>
    <row r="1142" spans="1:8">
      <c r="A1142" s="483" t="s">
        <v>6796</v>
      </c>
    </row>
    <row r="1143" spans="1:8">
      <c r="E1143" s="483">
        <v>250</v>
      </c>
      <c r="H1143" s="483" t="s">
        <v>6798</v>
      </c>
    </row>
    <row r="1144" spans="1:8">
      <c r="E1144" s="483">
        <v>450</v>
      </c>
      <c r="H1144" s="483" t="s">
        <v>6799</v>
      </c>
    </row>
    <row r="1145" spans="1:8">
      <c r="A1145" s="483" t="s">
        <v>6800</v>
      </c>
      <c r="E1145" s="483">
        <v>159</v>
      </c>
      <c r="H1145" s="483" t="s">
        <v>6801</v>
      </c>
    </row>
    <row r="1146" spans="1:8">
      <c r="E1146" s="483">
        <v>300</v>
      </c>
      <c r="H1146" s="483" t="s">
        <v>6611</v>
      </c>
    </row>
    <row r="1147" spans="1:8">
      <c r="E1147" s="484" t="s">
        <v>6802</v>
      </c>
      <c r="F1147" s="484"/>
      <c r="G1147" s="484"/>
      <c r="H1147" s="484" t="s">
        <v>6803</v>
      </c>
    </row>
    <row r="1148" spans="1:8">
      <c r="E1148" s="484"/>
      <c r="F1148" s="484"/>
      <c r="G1148" s="484"/>
      <c r="H1148" s="484"/>
    </row>
    <row r="1149" spans="1:8">
      <c r="A1149" s="483" t="s">
        <v>6804</v>
      </c>
    </row>
    <row r="1150" spans="1:8">
      <c r="C1150" s="483">
        <v>33000</v>
      </c>
      <c r="H1150" s="483" t="s">
        <v>6805</v>
      </c>
    </row>
    <row r="1151" spans="1:8">
      <c r="C1151" s="483">
        <v>22970</v>
      </c>
      <c r="H1151" s="483" t="s">
        <v>6806</v>
      </c>
    </row>
    <row r="1152" spans="1:8">
      <c r="C1152" s="483">
        <v>63516</v>
      </c>
      <c r="H1152" s="483" t="s">
        <v>6807</v>
      </c>
    </row>
    <row r="1153" spans="1:8">
      <c r="E1153" s="484"/>
      <c r="F1153" s="484"/>
      <c r="G1153" s="484"/>
      <c r="H1153" s="484"/>
    </row>
    <row r="1154" spans="1:8">
      <c r="A1154" s="483" t="s">
        <v>6808</v>
      </c>
    </row>
    <row r="1155" spans="1:8" ht="66">
      <c r="C1155" s="483">
        <v>3000</v>
      </c>
      <c r="H1155" s="486" t="s">
        <v>6809</v>
      </c>
    </row>
    <row r="1157" spans="1:8">
      <c r="A1157" s="483" t="s">
        <v>6810</v>
      </c>
    </row>
    <row r="1158" spans="1:8">
      <c r="E1158" s="483">
        <v>280</v>
      </c>
      <c r="H1158" s="483" t="s">
        <v>6811</v>
      </c>
    </row>
    <row r="1159" spans="1:8">
      <c r="E1159" s="483">
        <v>270</v>
      </c>
      <c r="H1159" s="483" t="s">
        <v>6811</v>
      </c>
    </row>
    <row r="1160" spans="1:8">
      <c r="E1160" s="484" t="s">
        <v>6812</v>
      </c>
      <c r="F1160" s="484"/>
      <c r="G1160" s="484"/>
    </row>
    <row r="1161" spans="1:8">
      <c r="E1161" s="484"/>
      <c r="F1161" s="484"/>
      <c r="G1161" s="484"/>
    </row>
    <row r="1162" spans="1:8">
      <c r="A1162" s="483" t="s">
        <v>6813</v>
      </c>
    </row>
    <row r="1163" spans="1:8">
      <c r="C1163" s="483">
        <v>9944</v>
      </c>
      <c r="H1163" s="483" t="s">
        <v>6814</v>
      </c>
    </row>
    <row r="1165" spans="1:8">
      <c r="A1165" s="483" t="s">
        <v>6815</v>
      </c>
    </row>
    <row r="1166" spans="1:8">
      <c r="E1166" s="483">
        <v>1205</v>
      </c>
      <c r="H1166" s="483" t="s">
        <v>6816</v>
      </c>
    </row>
    <row r="1167" spans="1:8">
      <c r="E1167" s="484" t="s">
        <v>6817</v>
      </c>
      <c r="F1167" s="484"/>
      <c r="G1167" s="484"/>
    </row>
    <row r="1168" spans="1:8">
      <c r="E1168" s="484"/>
      <c r="F1168" s="484"/>
      <c r="G1168" s="484"/>
    </row>
    <row r="1169" spans="1:8">
      <c r="A1169" s="483" t="s">
        <v>6818</v>
      </c>
      <c r="E1169" s="484"/>
      <c r="F1169" s="484"/>
      <c r="G1169" s="484"/>
    </row>
    <row r="1170" spans="1:8">
      <c r="C1170" s="483">
        <v>137100</v>
      </c>
      <c r="E1170" s="484"/>
      <c r="F1170" s="484"/>
      <c r="G1170" s="484"/>
      <c r="H1170" s="483" t="s">
        <v>6819</v>
      </c>
    </row>
    <row r="1171" spans="1:8">
      <c r="E1171" s="329">
        <v>30</v>
      </c>
      <c r="F1171" s="329"/>
      <c r="G1171" s="329"/>
      <c r="H1171" s="483" t="s">
        <v>6820</v>
      </c>
    </row>
    <row r="1172" spans="1:8">
      <c r="E1172" s="484" t="s">
        <v>6821</v>
      </c>
      <c r="F1172" s="484"/>
      <c r="G1172" s="484"/>
    </row>
    <row r="1173" spans="1:8">
      <c r="E1173" s="484"/>
      <c r="F1173" s="484"/>
      <c r="G1173" s="484"/>
    </row>
    <row r="1174" spans="1:8">
      <c r="A1174" s="483" t="s">
        <v>6822</v>
      </c>
    </row>
    <row r="1175" spans="1:8">
      <c r="C1175" s="483">
        <v>15000</v>
      </c>
      <c r="H1175" s="483" t="s">
        <v>6823</v>
      </c>
    </row>
    <row r="1177" spans="1:8">
      <c r="A1177" s="483" t="s">
        <v>6824</v>
      </c>
    </row>
    <row r="1178" spans="1:8">
      <c r="C1178" s="483">
        <v>7500</v>
      </c>
      <c r="H1178" s="483" t="s">
        <v>6825</v>
      </c>
    </row>
    <row r="1179" spans="1:8">
      <c r="C1179" s="483">
        <v>25670</v>
      </c>
      <c r="H1179" s="483" t="s">
        <v>6826</v>
      </c>
    </row>
    <row r="1180" spans="1:8">
      <c r="C1180" s="483">
        <v>63516</v>
      </c>
      <c r="H1180" s="483" t="s">
        <v>6827</v>
      </c>
    </row>
    <row r="1182" spans="1:8">
      <c r="A1182" s="483" t="s">
        <v>6828</v>
      </c>
    </row>
    <row r="1183" spans="1:8">
      <c r="C1183" s="483">
        <v>17644</v>
      </c>
      <c r="H1183" s="483" t="s">
        <v>6829</v>
      </c>
    </row>
    <row r="1185" spans="1:8">
      <c r="A1185" s="483" t="s">
        <v>6828</v>
      </c>
    </row>
    <row r="1186" spans="1:8">
      <c r="E1186" s="483">
        <v>500</v>
      </c>
      <c r="H1186" s="483" t="s">
        <v>6830</v>
      </c>
    </row>
    <row r="1187" spans="1:8">
      <c r="E1187" s="483">
        <v>500</v>
      </c>
      <c r="H1187" s="483" t="s">
        <v>6831</v>
      </c>
    </row>
    <row r="1188" spans="1:8">
      <c r="E1188" s="484" t="s">
        <v>6832</v>
      </c>
      <c r="F1188" s="484"/>
      <c r="G1188" s="484"/>
    </row>
    <row r="1190" spans="1:8">
      <c r="A1190" s="483" t="s">
        <v>6833</v>
      </c>
    </row>
    <row r="1191" spans="1:8">
      <c r="C1191" s="483">
        <v>12728</v>
      </c>
      <c r="H1191" s="483" t="s">
        <v>6834</v>
      </c>
    </row>
    <row r="1192" spans="1:8">
      <c r="C1192" s="483">
        <v>5000</v>
      </c>
      <c r="H1192" s="483" t="s">
        <v>6835</v>
      </c>
    </row>
    <row r="1193" spans="1:8">
      <c r="D1193" s="483">
        <v>5000</v>
      </c>
      <c r="H1193" s="483" t="s">
        <v>6836</v>
      </c>
    </row>
    <row r="1194" spans="1:8">
      <c r="E1194" s="484" t="s">
        <v>6837</v>
      </c>
      <c r="F1194" s="484"/>
      <c r="G1194" s="484"/>
    </row>
    <row r="1195" spans="1:8">
      <c r="E1195" s="484"/>
      <c r="F1195" s="484"/>
      <c r="G1195" s="484"/>
    </row>
    <row r="1196" spans="1:8">
      <c r="A1196" s="483" t="s">
        <v>6838</v>
      </c>
    </row>
    <row r="1197" spans="1:8">
      <c r="E1197" s="483">
        <v>1205</v>
      </c>
      <c r="H1197" s="483" t="s">
        <v>6839</v>
      </c>
    </row>
    <row r="1198" spans="1:8">
      <c r="E1198" s="483">
        <v>178</v>
      </c>
      <c r="H1198" s="483" t="s">
        <v>6840</v>
      </c>
    </row>
    <row r="1199" spans="1:8">
      <c r="E1199" s="484" t="s">
        <v>6841</v>
      </c>
      <c r="F1199" s="484"/>
      <c r="G1199" s="484"/>
    </row>
    <row r="1200" spans="1:8">
      <c r="E1200" s="484"/>
      <c r="F1200" s="484"/>
      <c r="G1200" s="484"/>
    </row>
    <row r="1201" spans="1:8">
      <c r="A1201" s="483" t="s">
        <v>6842</v>
      </c>
      <c r="E1201" s="484"/>
      <c r="F1201" s="484"/>
      <c r="G1201" s="484"/>
    </row>
    <row r="1202" spans="1:8">
      <c r="E1202" s="329">
        <v>200</v>
      </c>
      <c r="F1202" s="329"/>
      <c r="G1202" s="329"/>
      <c r="H1202" s="483" t="s">
        <v>6843</v>
      </c>
    </row>
    <row r="1203" spans="1:8">
      <c r="E1203" s="484" t="s">
        <v>6844</v>
      </c>
      <c r="F1203" s="484"/>
      <c r="G1203" s="484"/>
    </row>
    <row r="1204" spans="1:8">
      <c r="E1204" s="484"/>
      <c r="F1204" s="484"/>
      <c r="G1204" s="484"/>
    </row>
    <row r="1205" spans="1:8">
      <c r="A1205" s="483" t="s">
        <v>6845</v>
      </c>
    </row>
    <row r="1206" spans="1:8">
      <c r="C1206" s="483">
        <v>15000</v>
      </c>
      <c r="H1206" s="483" t="s">
        <v>6846</v>
      </c>
    </row>
    <row r="1208" spans="1:8">
      <c r="A1208" s="483" t="s">
        <v>6847</v>
      </c>
    </row>
    <row r="1209" spans="1:8">
      <c r="E1209" s="483">
        <v>225</v>
      </c>
      <c r="H1209" s="483" t="s">
        <v>6848</v>
      </c>
    </row>
    <row r="1210" spans="1:8">
      <c r="E1210" s="483">
        <v>245</v>
      </c>
      <c r="H1210" s="483" t="s">
        <v>6848</v>
      </c>
    </row>
    <row r="1211" spans="1:8">
      <c r="E1211" s="484" t="s">
        <v>6849</v>
      </c>
      <c r="F1211" s="484"/>
      <c r="G1211" s="484"/>
    </row>
    <row r="1212" spans="1:8">
      <c r="E1212" s="484"/>
      <c r="F1212" s="484"/>
      <c r="G1212" s="484"/>
    </row>
    <row r="1213" spans="1:8">
      <c r="A1213" s="483" t="s">
        <v>6850</v>
      </c>
    </row>
    <row r="1214" spans="1:8">
      <c r="C1214" s="483">
        <v>18000</v>
      </c>
      <c r="H1214" s="483" t="s">
        <v>6851</v>
      </c>
    </row>
    <row r="1215" spans="1:8">
      <c r="C1215" s="483">
        <v>25670</v>
      </c>
      <c r="H1215" s="483" t="s">
        <v>6852</v>
      </c>
    </row>
    <row r="1216" spans="1:8">
      <c r="C1216" s="483">
        <v>63516</v>
      </c>
      <c r="H1216" s="483" t="s">
        <v>6853</v>
      </c>
    </row>
    <row r="1218" spans="1:8">
      <c r="A1218" s="483" t="s">
        <v>6854</v>
      </c>
    </row>
    <row r="1219" spans="1:8">
      <c r="C1219" s="483">
        <v>1154</v>
      </c>
      <c r="H1219" s="483" t="s">
        <v>6855</v>
      </c>
    </row>
    <row r="1221" spans="1:8">
      <c r="A1221" s="483" t="s">
        <v>6856</v>
      </c>
    </row>
    <row r="1222" spans="1:8">
      <c r="E1222" s="483">
        <v>1205</v>
      </c>
      <c r="H1222" s="483" t="s">
        <v>6857</v>
      </c>
    </row>
    <row r="1223" spans="1:8">
      <c r="E1223" s="483">
        <v>140</v>
      </c>
      <c r="H1223" s="483" t="s">
        <v>6858</v>
      </c>
    </row>
    <row r="1224" spans="1:8">
      <c r="E1224" s="484" t="s">
        <v>6859</v>
      </c>
      <c r="F1224" s="484"/>
      <c r="G1224" s="484"/>
    </row>
    <row r="1225" spans="1:8">
      <c r="E1225" s="484"/>
      <c r="F1225" s="484"/>
      <c r="G1225" s="484"/>
    </row>
    <row r="1226" spans="1:8">
      <c r="A1226" s="483" t="s">
        <v>6860</v>
      </c>
    </row>
    <row r="1227" spans="1:8">
      <c r="E1227" s="483">
        <v>100</v>
      </c>
      <c r="H1227" s="483" t="s">
        <v>6861</v>
      </c>
    </row>
    <row r="1228" spans="1:8">
      <c r="E1228" s="483">
        <v>18</v>
      </c>
      <c r="H1228" s="483" t="s">
        <v>6862</v>
      </c>
    </row>
    <row r="1229" spans="1:8">
      <c r="E1229" s="484" t="s">
        <v>6863</v>
      </c>
      <c r="F1229" s="484"/>
      <c r="G1229" s="484"/>
    </row>
    <row r="1230" spans="1:8">
      <c r="E1230" s="484"/>
      <c r="F1230" s="484"/>
      <c r="G1230" s="484"/>
    </row>
    <row r="1231" spans="1:8">
      <c r="A1231" s="483" t="s">
        <v>6864</v>
      </c>
    </row>
    <row r="1232" spans="1:8">
      <c r="C1232" s="483">
        <v>15000</v>
      </c>
      <c r="H1232" s="483" t="s">
        <v>6865</v>
      </c>
    </row>
    <row r="1233" spans="1:8">
      <c r="E1233" s="484"/>
      <c r="F1233" s="484"/>
      <c r="G1233" s="484"/>
    </row>
    <row r="1234" spans="1:8">
      <c r="A1234" s="483" t="s">
        <v>6866</v>
      </c>
    </row>
    <row r="1235" spans="1:8">
      <c r="C1235" s="483">
        <v>25670</v>
      </c>
      <c r="H1235" s="483" t="s">
        <v>6867</v>
      </c>
    </row>
    <row r="1236" spans="1:8">
      <c r="C1236" s="483">
        <v>18614</v>
      </c>
      <c r="H1236" s="483" t="s">
        <v>6868</v>
      </c>
    </row>
    <row r="1237" spans="1:8">
      <c r="C1237" s="483">
        <v>4725</v>
      </c>
      <c r="H1237" s="483" t="s">
        <v>6869</v>
      </c>
    </row>
    <row r="1238" spans="1:8">
      <c r="C1238" s="483">
        <v>25670</v>
      </c>
      <c r="H1238" s="483" t="s">
        <v>6870</v>
      </c>
    </row>
    <row r="1239" spans="1:8">
      <c r="C1239" s="483">
        <v>37846</v>
      </c>
      <c r="H1239" s="483" t="s">
        <v>6871</v>
      </c>
    </row>
    <row r="1241" spans="1:8">
      <c r="A1241" s="483" t="s">
        <v>6872</v>
      </c>
    </row>
    <row r="1242" spans="1:8">
      <c r="E1242" s="483">
        <v>60</v>
      </c>
      <c r="H1242" s="483" t="s">
        <v>6873</v>
      </c>
    </row>
    <row r="1243" spans="1:8">
      <c r="E1243" s="483">
        <v>500</v>
      </c>
      <c r="H1243" s="483" t="s">
        <v>6874</v>
      </c>
    </row>
    <row r="1244" spans="1:8">
      <c r="E1244" s="483">
        <v>100</v>
      </c>
      <c r="H1244" s="483" t="s">
        <v>6875</v>
      </c>
    </row>
    <row r="1245" spans="1:8">
      <c r="E1245" s="484" t="s">
        <v>6876</v>
      </c>
      <c r="F1245" s="484"/>
      <c r="G1245" s="484"/>
    </row>
    <row r="1247" spans="1:8">
      <c r="A1247" s="483" t="s">
        <v>6877</v>
      </c>
    </row>
    <row r="1248" spans="1:8">
      <c r="E1248" s="483">
        <v>120</v>
      </c>
      <c r="H1248" s="483" t="s">
        <v>6878</v>
      </c>
    </row>
    <row r="1249" spans="1:8">
      <c r="E1249" s="484" t="s">
        <v>6879</v>
      </c>
      <c r="F1249" s="484"/>
      <c r="G1249" s="484"/>
    </row>
    <row r="1250" spans="1:8">
      <c r="E1250" s="484"/>
      <c r="F1250" s="484"/>
      <c r="G1250" s="484"/>
    </row>
    <row r="1251" spans="1:8">
      <c r="A1251" s="483" t="s">
        <v>6880</v>
      </c>
    </row>
    <row r="1252" spans="1:8">
      <c r="E1252" s="483">
        <v>1205</v>
      </c>
      <c r="H1252" s="483" t="s">
        <v>6881</v>
      </c>
    </row>
    <row r="1253" spans="1:8">
      <c r="E1253" s="483">
        <v>178</v>
      </c>
      <c r="H1253" s="483" t="s">
        <v>6882</v>
      </c>
    </row>
    <row r="1254" spans="1:8">
      <c r="E1254" s="484" t="s">
        <v>6883</v>
      </c>
      <c r="F1254" s="484"/>
      <c r="G1254" s="484"/>
    </row>
    <row r="1256" spans="1:8">
      <c r="A1256" s="483" t="s">
        <v>6884</v>
      </c>
    </row>
    <row r="1257" spans="1:8">
      <c r="C1257" s="483">
        <v>50000</v>
      </c>
      <c r="H1257" s="483" t="s">
        <v>6885</v>
      </c>
    </row>
    <row r="1259" spans="1:8">
      <c r="A1259" s="483" t="s">
        <v>6886</v>
      </c>
    </row>
    <row r="1260" spans="1:8">
      <c r="C1260" s="483">
        <v>15000</v>
      </c>
      <c r="H1260" s="483" t="s">
        <v>6887</v>
      </c>
    </row>
    <row r="1262" spans="1:8">
      <c r="A1262" s="483" t="s">
        <v>6888</v>
      </c>
    </row>
    <row r="1263" spans="1:8">
      <c r="C1263" s="483">
        <v>25670</v>
      </c>
      <c r="H1263" s="483" t="s">
        <v>6889</v>
      </c>
    </row>
    <row r="1264" spans="1:8">
      <c r="C1264" s="483">
        <v>63516</v>
      </c>
      <c r="H1264" s="483" t="s">
        <v>6890</v>
      </c>
    </row>
    <row r="1265" spans="1:8">
      <c r="C1265" s="483">
        <v>12000</v>
      </c>
      <c r="H1265" s="483" t="s">
        <v>6891</v>
      </c>
    </row>
    <row r="1266" spans="1:8">
      <c r="C1266" s="483">
        <v>5140</v>
      </c>
      <c r="H1266" s="483" t="s">
        <v>6892</v>
      </c>
    </row>
    <row r="1267" spans="1:8">
      <c r="C1267" s="483">
        <v>5000</v>
      </c>
      <c r="H1267" s="483" t="s">
        <v>6835</v>
      </c>
    </row>
    <row r="1268" spans="1:8">
      <c r="D1268" s="483">
        <v>5000</v>
      </c>
      <c r="H1268" s="483" t="s">
        <v>6836</v>
      </c>
    </row>
    <row r="1269" spans="1:8">
      <c r="E1269" s="484" t="s">
        <v>6893</v>
      </c>
      <c r="F1269" s="484"/>
      <c r="G1269" s="484"/>
    </row>
    <row r="1270" spans="1:8">
      <c r="E1270" s="484"/>
      <c r="F1270" s="484"/>
      <c r="G1270" s="484"/>
    </row>
    <row r="1271" spans="1:8">
      <c r="A1271" s="483" t="s">
        <v>6894</v>
      </c>
    </row>
    <row r="1272" spans="1:8">
      <c r="E1272" s="483">
        <v>1205</v>
      </c>
      <c r="H1272" s="483" t="s">
        <v>6895</v>
      </c>
    </row>
    <row r="1273" spans="1:8">
      <c r="E1273" s="483">
        <v>45</v>
      </c>
      <c r="H1273" s="483" t="s">
        <v>6896</v>
      </c>
    </row>
    <row r="1274" spans="1:8">
      <c r="E1274" s="484" t="s">
        <v>6897</v>
      </c>
      <c r="F1274" s="484"/>
      <c r="G1274" s="484"/>
      <c r="H1274" s="484" t="s">
        <v>6898</v>
      </c>
    </row>
    <row r="1276" spans="1:8">
      <c r="A1276" s="483" t="s">
        <v>6899</v>
      </c>
    </row>
    <row r="1277" spans="1:8">
      <c r="E1277" s="483">
        <v>92</v>
      </c>
      <c r="H1277" s="483" t="s">
        <v>6900</v>
      </c>
    </row>
    <row r="1278" spans="1:8">
      <c r="E1278" s="484" t="s">
        <v>6901</v>
      </c>
      <c r="F1278" s="484"/>
      <c r="G1278" s="484"/>
    </row>
    <row r="1279" spans="1:8">
      <c r="E1279" s="484"/>
      <c r="F1279" s="484"/>
      <c r="G1279" s="484"/>
    </row>
    <row r="1280" spans="1:8">
      <c r="A1280" s="483" t="s">
        <v>6902</v>
      </c>
    </row>
    <row r="1281" spans="1:8">
      <c r="E1281" s="483">
        <v>75</v>
      </c>
      <c r="H1281" s="483" t="s">
        <v>6903</v>
      </c>
    </row>
    <row r="1282" spans="1:8">
      <c r="E1282" s="484" t="s">
        <v>6904</v>
      </c>
      <c r="F1282" s="484"/>
      <c r="G1282" s="484"/>
    </row>
    <row r="1283" spans="1:8">
      <c r="E1283" s="484"/>
      <c r="F1283" s="484"/>
      <c r="G1283" s="484"/>
    </row>
    <row r="1284" spans="1:8">
      <c r="A1284" s="483" t="s">
        <v>6905</v>
      </c>
    </row>
    <row r="1285" spans="1:8">
      <c r="E1285" s="483">
        <v>2000</v>
      </c>
      <c r="F1285" s="483">
        <v>2199</v>
      </c>
      <c r="H1285" s="483" t="s">
        <v>6906</v>
      </c>
    </row>
    <row r="1286" spans="1:8">
      <c r="E1286" s="484" t="s">
        <v>6907</v>
      </c>
      <c r="F1286" s="484"/>
      <c r="G1286" s="484"/>
    </row>
    <row r="1287" spans="1:8">
      <c r="E1287" s="484"/>
      <c r="F1287" s="484"/>
      <c r="G1287" s="484"/>
    </row>
    <row r="1288" spans="1:8">
      <c r="A1288" s="483" t="s">
        <v>6908</v>
      </c>
    </row>
    <row r="1289" spans="1:8">
      <c r="C1289" s="483">
        <v>30000</v>
      </c>
      <c r="H1289" s="483" t="s">
        <v>6909</v>
      </c>
    </row>
    <row r="1290" spans="1:8" s="485" customFormat="1"/>
    <row r="1291" spans="1:8">
      <c r="A1291" s="483" t="s">
        <v>6910</v>
      </c>
    </row>
    <row r="1292" spans="1:8">
      <c r="C1292" s="483">
        <v>15000</v>
      </c>
      <c r="H1292" s="483" t="s">
        <v>6911</v>
      </c>
    </row>
    <row r="1294" spans="1:8">
      <c r="A1294" s="483" t="s">
        <v>6912</v>
      </c>
    </row>
    <row r="1295" spans="1:8">
      <c r="E1295" s="483">
        <v>18</v>
      </c>
      <c r="F1295" s="483">
        <v>2181</v>
      </c>
      <c r="G1295" s="483" t="s">
        <v>6913</v>
      </c>
      <c r="H1295" s="483" t="s">
        <v>6914</v>
      </c>
    </row>
    <row r="1296" spans="1:8">
      <c r="E1296" s="484" t="s">
        <v>6915</v>
      </c>
      <c r="F1296" s="484"/>
      <c r="G1296" s="484"/>
    </row>
    <row r="1297" spans="1:8">
      <c r="E1297" s="484"/>
      <c r="F1297" s="484"/>
      <c r="G1297" s="484"/>
    </row>
    <row r="1298" spans="1:8">
      <c r="A1298" s="483" t="s">
        <v>6916</v>
      </c>
    </row>
    <row r="1299" spans="1:8">
      <c r="C1299" s="483">
        <v>25670</v>
      </c>
      <c r="H1299" s="483" t="s">
        <v>6917</v>
      </c>
    </row>
    <row r="1300" spans="1:8">
      <c r="C1300" s="483">
        <v>63516</v>
      </c>
      <c r="H1300" s="483" t="s">
        <v>6918</v>
      </c>
    </row>
    <row r="1301" spans="1:8">
      <c r="C1301" s="483">
        <v>45000</v>
      </c>
      <c r="H1301" s="483" t="s">
        <v>6919</v>
      </c>
    </row>
    <row r="1303" spans="1:8">
      <c r="A1303" s="483" t="s">
        <v>6920</v>
      </c>
    </row>
    <row r="1304" spans="1:8">
      <c r="C1304" s="483">
        <v>462</v>
      </c>
      <c r="H1304" s="483" t="s">
        <v>6921</v>
      </c>
    </row>
    <row r="1307" spans="1:8">
      <c r="H1307" s="495" t="s">
        <v>6922</v>
      </c>
    </row>
    <row r="1309" spans="1:8">
      <c r="A1309" s="483" t="s">
        <v>6923</v>
      </c>
    </row>
    <row r="1310" spans="1:8">
      <c r="E1310" s="483">
        <v>100</v>
      </c>
      <c r="G1310" s="483" t="s">
        <v>6924</v>
      </c>
      <c r="H1310" s="483" t="s">
        <v>6925</v>
      </c>
    </row>
    <row r="1311" spans="1:8">
      <c r="E1311" s="484" t="s">
        <v>6926</v>
      </c>
      <c r="F1311" s="484"/>
      <c r="G1311" s="484"/>
    </row>
    <row r="1313" spans="1:8">
      <c r="A1313" s="483" t="s">
        <v>6923</v>
      </c>
    </row>
    <row r="1314" spans="1:8">
      <c r="C1314" s="483">
        <v>11930</v>
      </c>
      <c r="H1314" s="483" t="s">
        <v>6927</v>
      </c>
    </row>
    <row r="1315" spans="1:8">
      <c r="E1315" s="484" t="s">
        <v>6926</v>
      </c>
      <c r="F1315" s="484"/>
      <c r="G1315" s="484"/>
    </row>
    <row r="1317" spans="1:8">
      <c r="A1317" s="483" t="s">
        <v>6928</v>
      </c>
    </row>
    <row r="1318" spans="1:8">
      <c r="D1318" s="483">
        <v>100</v>
      </c>
      <c r="H1318" s="483" t="s">
        <v>6929</v>
      </c>
    </row>
    <row r="1319" spans="1:8">
      <c r="E1319" s="484" t="s">
        <v>6915</v>
      </c>
      <c r="F1319" s="484"/>
      <c r="G1319" s="484"/>
    </row>
    <row r="1320" spans="1:8">
      <c r="E1320" s="484"/>
      <c r="F1320" s="484"/>
      <c r="G1320" s="484"/>
    </row>
    <row r="1321" spans="1:8">
      <c r="A1321" s="483" t="s">
        <v>6930</v>
      </c>
    </row>
    <row r="1322" spans="1:8">
      <c r="E1322" s="483">
        <v>1205</v>
      </c>
      <c r="G1322" s="483" t="s">
        <v>6931</v>
      </c>
      <c r="H1322" s="483" t="s">
        <v>6932</v>
      </c>
    </row>
    <row r="1323" spans="1:8">
      <c r="E1323" s="484" t="s">
        <v>6933</v>
      </c>
      <c r="F1323" s="484"/>
      <c r="G1323" s="484"/>
    </row>
    <row r="1324" spans="1:8">
      <c r="E1324" s="484"/>
      <c r="F1324" s="484"/>
      <c r="G1324" s="484"/>
    </row>
    <row r="1325" spans="1:8">
      <c r="A1325" s="492" t="s">
        <v>6934</v>
      </c>
    </row>
    <row r="1326" spans="1:8">
      <c r="C1326" s="492">
        <v>20000</v>
      </c>
      <c r="H1326" s="492" t="s">
        <v>6935</v>
      </c>
    </row>
    <row r="1327" spans="1:8">
      <c r="E1327" s="484"/>
      <c r="F1327" s="484"/>
      <c r="G1327" s="484"/>
    </row>
    <row r="1329" spans="1:8">
      <c r="A1329" s="483" t="s">
        <v>6936</v>
      </c>
    </row>
    <row r="1330" spans="1:8">
      <c r="E1330" s="483">
        <v>188</v>
      </c>
      <c r="G1330" s="483" t="s">
        <v>6937</v>
      </c>
      <c r="H1330" s="483" t="s">
        <v>6938</v>
      </c>
    </row>
    <row r="1331" spans="1:8">
      <c r="E1331" s="484" t="s">
        <v>6939</v>
      </c>
      <c r="F1331" s="484"/>
      <c r="G1331" s="484"/>
      <c r="H1331" s="484" t="s">
        <v>6940</v>
      </c>
    </row>
    <row r="1333" spans="1:8">
      <c r="A1333" s="483" t="s">
        <v>6941</v>
      </c>
    </row>
    <row r="1334" spans="1:8">
      <c r="C1334" s="483">
        <v>15000</v>
      </c>
      <c r="H1334" s="483" t="s">
        <v>6942</v>
      </c>
    </row>
    <row r="1335" spans="1:8">
      <c r="C1335" s="483">
        <v>5000</v>
      </c>
      <c r="H1335" s="483" t="s">
        <v>6835</v>
      </c>
    </row>
    <row r="1336" spans="1:8">
      <c r="E1336" s="483">
        <v>10</v>
      </c>
      <c r="G1336" s="483" t="s">
        <v>6943</v>
      </c>
      <c r="H1336" s="483" t="s">
        <v>6944</v>
      </c>
    </row>
    <row r="1337" spans="1:8">
      <c r="E1337" s="484" t="s">
        <v>6945</v>
      </c>
      <c r="F1337" s="484"/>
      <c r="G1337" s="484"/>
    </row>
    <row r="1339" spans="1:8">
      <c r="A1339" s="483" t="s">
        <v>6946</v>
      </c>
    </row>
    <row r="1340" spans="1:8">
      <c r="D1340" s="483">
        <v>5000</v>
      </c>
      <c r="H1340" s="483" t="s">
        <v>6836</v>
      </c>
    </row>
    <row r="1341" spans="1:8">
      <c r="E1341" s="484" t="s">
        <v>6947</v>
      </c>
      <c r="F1341" s="484"/>
      <c r="G1341" s="484"/>
    </row>
    <row r="1343" spans="1:8">
      <c r="A1343" s="483" t="s">
        <v>6948</v>
      </c>
    </row>
    <row r="1344" spans="1:8">
      <c r="C1344" s="483">
        <v>25670</v>
      </c>
      <c r="H1344" s="483" t="s">
        <v>6949</v>
      </c>
    </row>
    <row r="1345" spans="1:8">
      <c r="C1345" s="483">
        <v>63516</v>
      </c>
      <c r="H1345" s="483" t="s">
        <v>6950</v>
      </c>
    </row>
    <row r="1347" spans="1:8">
      <c r="A1347" s="483" t="s">
        <v>6951</v>
      </c>
    </row>
    <row r="1348" spans="1:8">
      <c r="C1348" s="483">
        <v>12924</v>
      </c>
      <c r="H1348" s="483" t="s">
        <v>6952</v>
      </c>
    </row>
    <row r="1350" spans="1:8">
      <c r="A1350" s="483" t="s">
        <v>6953</v>
      </c>
    </row>
    <row r="1351" spans="1:8">
      <c r="E1351" s="483">
        <v>70</v>
      </c>
      <c r="G1351" s="483" t="s">
        <v>6943</v>
      </c>
      <c r="H1351" s="483" t="s">
        <v>6954</v>
      </c>
    </row>
    <row r="1352" spans="1:8">
      <c r="E1352" s="484" t="s">
        <v>6955</v>
      </c>
      <c r="F1352" s="484"/>
      <c r="G1352" s="484"/>
    </row>
    <row r="1354" spans="1:8">
      <c r="A1354" s="483" t="s">
        <v>6956</v>
      </c>
    </row>
    <row r="1355" spans="1:8">
      <c r="E1355" s="483">
        <v>1205</v>
      </c>
      <c r="G1355" s="483" t="s">
        <v>6931</v>
      </c>
      <c r="H1355" s="483" t="s">
        <v>6957</v>
      </c>
    </row>
    <row r="1356" spans="1:8">
      <c r="E1356" s="484" t="s">
        <v>6958</v>
      </c>
      <c r="F1356" s="484"/>
      <c r="G1356" s="484"/>
    </row>
    <row r="1357" spans="1:8">
      <c r="A1357" s="483" t="s">
        <v>6959</v>
      </c>
    </row>
    <row r="1358" spans="1:8">
      <c r="E1358" s="483">
        <v>420</v>
      </c>
      <c r="G1358" s="483" t="s">
        <v>6960</v>
      </c>
      <c r="H1358" s="483" t="s">
        <v>6961</v>
      </c>
    </row>
    <row r="1359" spans="1:8">
      <c r="E1359" s="484" t="s">
        <v>6962</v>
      </c>
      <c r="F1359" s="484"/>
      <c r="G1359" s="484"/>
      <c r="H1359" s="484" t="s">
        <v>6963</v>
      </c>
    </row>
    <row r="1360" spans="1:8">
      <c r="E1360" s="484"/>
      <c r="F1360" s="484"/>
      <c r="G1360" s="484"/>
      <c r="H1360" s="484"/>
    </row>
    <row r="1361" spans="1:8">
      <c r="A1361" s="483" t="s">
        <v>6964</v>
      </c>
      <c r="E1361" s="484"/>
      <c r="F1361" s="484"/>
      <c r="G1361" s="484"/>
      <c r="H1361" s="484"/>
    </row>
    <row r="1362" spans="1:8">
      <c r="E1362" s="329">
        <v>180</v>
      </c>
      <c r="F1362" s="329"/>
      <c r="G1362" s="483" t="s">
        <v>6913</v>
      </c>
      <c r="H1362" s="483" t="s">
        <v>6965</v>
      </c>
    </row>
    <row r="1363" spans="1:8">
      <c r="E1363" s="484" t="s">
        <v>6966</v>
      </c>
      <c r="F1363" s="484"/>
      <c r="G1363" s="484"/>
    </row>
    <row r="1364" spans="1:8">
      <c r="A1364" s="483" t="s">
        <v>6967</v>
      </c>
    </row>
    <row r="1365" spans="1:8">
      <c r="C1365" s="483">
        <v>15000</v>
      </c>
      <c r="H1365" s="483" t="s">
        <v>6968</v>
      </c>
    </row>
    <row r="1367" spans="1:8">
      <c r="A1367" s="483" t="s">
        <v>6969</v>
      </c>
    </row>
    <row r="1368" spans="1:8">
      <c r="C1368" s="483">
        <v>25670</v>
      </c>
      <c r="H1368" s="483" t="s">
        <v>6970</v>
      </c>
    </row>
    <row r="1369" spans="1:8">
      <c r="C1369" s="483">
        <v>63516</v>
      </c>
      <c r="H1369" s="483" t="s">
        <v>6971</v>
      </c>
    </row>
    <row r="1370" spans="1:8">
      <c r="E1370" s="483">
        <v>120</v>
      </c>
      <c r="G1370" s="483" t="s">
        <v>6972</v>
      </c>
      <c r="H1370" s="483" t="s">
        <v>6973</v>
      </c>
    </row>
    <row r="1371" spans="1:8">
      <c r="E1371" s="484" t="s">
        <v>6974</v>
      </c>
      <c r="F1371" s="484"/>
      <c r="G1371" s="484"/>
    </row>
    <row r="1372" spans="1:8">
      <c r="E1372" s="484"/>
      <c r="F1372" s="484"/>
      <c r="G1372" s="484"/>
    </row>
    <row r="1373" spans="1:8">
      <c r="A1373" s="483" t="s">
        <v>6975</v>
      </c>
    </row>
    <row r="1374" spans="1:8">
      <c r="E1374" s="483">
        <v>1050</v>
      </c>
      <c r="G1374" s="483" t="s">
        <v>6976</v>
      </c>
      <c r="H1374" s="483" t="s">
        <v>6977</v>
      </c>
    </row>
    <row r="1375" spans="1:8">
      <c r="E1375" s="484" t="s">
        <v>6978</v>
      </c>
      <c r="F1375" s="484"/>
      <c r="G1375" s="484"/>
      <c r="H1375" s="484"/>
    </row>
    <row r="1377" spans="1:8">
      <c r="A1377" s="483" t="s">
        <v>6975</v>
      </c>
    </row>
    <row r="1378" spans="1:8">
      <c r="E1378" s="483">
        <v>18</v>
      </c>
      <c r="G1378" s="483" t="s">
        <v>6913</v>
      </c>
      <c r="H1378" s="483" t="s">
        <v>6979</v>
      </c>
    </row>
    <row r="1379" spans="1:8">
      <c r="E1379" s="484" t="s">
        <v>6980</v>
      </c>
      <c r="F1379" s="484"/>
      <c r="G1379" s="484"/>
    </row>
    <row r="1380" spans="1:8">
      <c r="E1380" s="484"/>
      <c r="F1380" s="484"/>
      <c r="G1380" s="484"/>
    </row>
    <row r="1381" spans="1:8">
      <c r="A1381" s="483" t="s">
        <v>6981</v>
      </c>
    </row>
    <row r="1382" spans="1:8">
      <c r="E1382" s="483">
        <v>125</v>
      </c>
      <c r="G1382" s="483" t="s">
        <v>6924</v>
      </c>
      <c r="H1382" s="483" t="s">
        <v>6982</v>
      </c>
    </row>
    <row r="1383" spans="1:8">
      <c r="E1383" s="483">
        <v>110</v>
      </c>
      <c r="G1383" s="483" t="s">
        <v>6924</v>
      </c>
      <c r="H1383" s="483" t="s">
        <v>6982</v>
      </c>
    </row>
    <row r="1384" spans="1:8">
      <c r="E1384" s="484" t="s">
        <v>6983</v>
      </c>
      <c r="F1384" s="484"/>
      <c r="G1384" s="484"/>
    </row>
    <row r="1385" spans="1:8">
      <c r="E1385" s="484"/>
      <c r="F1385" s="484"/>
      <c r="G1385" s="484"/>
    </row>
    <row r="1386" spans="1:8">
      <c r="A1386" s="483" t="s">
        <v>6984</v>
      </c>
      <c r="E1386" s="484"/>
      <c r="F1386" s="484"/>
      <c r="G1386" s="484"/>
    </row>
    <row r="1387" spans="1:8">
      <c r="E1387" s="329">
        <v>141</v>
      </c>
      <c r="F1387" s="329"/>
      <c r="G1387" s="483" t="s">
        <v>6943</v>
      </c>
      <c r="H1387" s="483" t="s">
        <v>6985</v>
      </c>
    </row>
    <row r="1388" spans="1:8">
      <c r="E1388" s="484" t="s">
        <v>6986</v>
      </c>
      <c r="F1388" s="484"/>
      <c r="G1388" s="484"/>
    </row>
    <row r="1389" spans="1:8">
      <c r="E1389" s="484"/>
      <c r="F1389" s="484"/>
      <c r="G1389" s="484"/>
    </row>
    <row r="1390" spans="1:8">
      <c r="A1390" s="483" t="s">
        <v>6987</v>
      </c>
      <c r="E1390" s="484"/>
      <c r="F1390" s="484"/>
      <c r="G1390" s="484"/>
    </row>
    <row r="1391" spans="1:8">
      <c r="E1391" s="329">
        <v>141</v>
      </c>
      <c r="F1391" s="329"/>
      <c r="G1391" s="483" t="s">
        <v>6943</v>
      </c>
      <c r="H1391" s="483" t="s">
        <v>6988</v>
      </c>
    </row>
    <row r="1392" spans="1:8">
      <c r="E1392" s="484" t="s">
        <v>6989</v>
      </c>
      <c r="F1392" s="484"/>
      <c r="G1392" s="484"/>
    </row>
    <row r="1393" spans="1:8">
      <c r="E1393" s="484"/>
      <c r="F1393" s="484"/>
      <c r="G1393" s="484"/>
    </row>
    <row r="1394" spans="1:8">
      <c r="A1394" s="483" t="s">
        <v>6987</v>
      </c>
      <c r="E1394" s="484"/>
      <c r="F1394" s="484"/>
      <c r="G1394" s="484"/>
    </row>
    <row r="1395" spans="1:8">
      <c r="C1395" s="483">
        <v>5000</v>
      </c>
      <c r="E1395" s="484"/>
      <c r="F1395" s="484"/>
      <c r="G1395" s="484"/>
      <c r="H1395" s="483" t="s">
        <v>6990</v>
      </c>
    </row>
    <row r="1396" spans="1:8">
      <c r="E1396" s="484"/>
      <c r="F1396" s="484"/>
      <c r="G1396" s="484"/>
    </row>
    <row r="1397" spans="1:8">
      <c r="A1397" s="483" t="s">
        <v>6987</v>
      </c>
    </row>
    <row r="1398" spans="1:8">
      <c r="C1398" s="483">
        <v>1680</v>
      </c>
      <c r="H1398" s="483" t="s">
        <v>6991</v>
      </c>
    </row>
    <row r="1399" spans="1:8">
      <c r="E1399" s="483">
        <v>188</v>
      </c>
      <c r="G1399" s="483" t="s">
        <v>6937</v>
      </c>
      <c r="H1399" s="483" t="s">
        <v>6992</v>
      </c>
    </row>
    <row r="1400" spans="1:8">
      <c r="E1400" s="483">
        <v>78</v>
      </c>
      <c r="G1400" s="483" t="s">
        <v>6972</v>
      </c>
      <c r="H1400" s="483" t="s">
        <v>6993</v>
      </c>
    </row>
    <row r="1401" spans="1:8">
      <c r="E1401" s="483">
        <v>45</v>
      </c>
      <c r="G1401" s="483" t="s">
        <v>6943</v>
      </c>
      <c r="H1401" s="483" t="s">
        <v>6994</v>
      </c>
    </row>
    <row r="1402" spans="1:8">
      <c r="C1402" s="483">
        <v>5000</v>
      </c>
      <c r="H1402" s="483" t="s">
        <v>6995</v>
      </c>
    </row>
    <row r="1403" spans="1:8">
      <c r="D1403" s="483">
        <v>5000</v>
      </c>
      <c r="H1403" s="483" t="s">
        <v>6836</v>
      </c>
    </row>
    <row r="1404" spans="1:8">
      <c r="E1404" s="484" t="s">
        <v>6996</v>
      </c>
      <c r="F1404" s="484"/>
      <c r="G1404" s="484"/>
      <c r="H1404" s="484" t="s">
        <v>6997</v>
      </c>
    </row>
    <row r="1405" spans="1:8">
      <c r="E1405" s="484"/>
      <c r="F1405" s="484"/>
      <c r="G1405" s="484"/>
      <c r="H1405" s="484"/>
    </row>
    <row r="1406" spans="1:8">
      <c r="A1406" s="483" t="s">
        <v>6998</v>
      </c>
    </row>
    <row r="1407" spans="1:8">
      <c r="E1407" s="483">
        <v>75</v>
      </c>
      <c r="G1407" s="483" t="s">
        <v>6924</v>
      </c>
      <c r="H1407" s="483" t="s">
        <v>6999</v>
      </c>
    </row>
    <row r="1408" spans="1:8">
      <c r="E1408" s="483">
        <v>70</v>
      </c>
      <c r="G1408" s="483" t="s">
        <v>6924</v>
      </c>
      <c r="H1408" s="483" t="s">
        <v>6999</v>
      </c>
    </row>
    <row r="1409" spans="1:8">
      <c r="E1409" s="484" t="s">
        <v>7000</v>
      </c>
      <c r="F1409" s="484"/>
      <c r="G1409" s="484"/>
    </row>
    <row r="1410" spans="1:8">
      <c r="E1410" s="484"/>
      <c r="F1410" s="484"/>
      <c r="G1410" s="484"/>
    </row>
    <row r="1411" spans="1:8">
      <c r="A1411" s="483" t="s">
        <v>7001</v>
      </c>
      <c r="E1411" s="484"/>
      <c r="F1411" s="484"/>
      <c r="G1411" s="484"/>
      <c r="H1411" s="484"/>
    </row>
    <row r="1412" spans="1:8">
      <c r="E1412" s="329">
        <v>110</v>
      </c>
      <c r="F1412" s="329"/>
      <c r="G1412" s="483" t="s">
        <v>6943</v>
      </c>
      <c r="H1412" s="329" t="s">
        <v>7002</v>
      </c>
    </row>
    <row r="1413" spans="1:8">
      <c r="E1413" s="484" t="s">
        <v>7003</v>
      </c>
      <c r="F1413" s="484"/>
      <c r="G1413" s="484"/>
      <c r="H1413" s="484"/>
    </row>
    <row r="1414" spans="1:8">
      <c r="E1414" s="484"/>
      <c r="F1414" s="484"/>
      <c r="G1414" s="484"/>
      <c r="H1414" s="484"/>
    </row>
    <row r="1415" spans="1:8">
      <c r="A1415" s="483" t="s">
        <v>7001</v>
      </c>
    </row>
    <row r="1416" spans="1:8">
      <c r="E1416" s="483">
        <v>1750</v>
      </c>
      <c r="G1416" s="483" t="s">
        <v>6976</v>
      </c>
      <c r="H1416" s="483" t="s">
        <v>7004</v>
      </c>
    </row>
    <row r="1417" spans="1:8">
      <c r="E1417" s="483">
        <v>1205</v>
      </c>
      <c r="G1417" s="483" t="s">
        <v>6931</v>
      </c>
      <c r="H1417" s="483" t="s">
        <v>7005</v>
      </c>
    </row>
    <row r="1418" spans="1:8">
      <c r="E1418" s="484" t="s">
        <v>7006</v>
      </c>
      <c r="F1418" s="484"/>
      <c r="G1418" s="484"/>
      <c r="H1418" s="484"/>
    </row>
    <row r="1419" spans="1:8">
      <c r="E1419" s="484"/>
      <c r="F1419" s="484"/>
      <c r="G1419" s="484"/>
      <c r="H1419" s="484"/>
    </row>
    <row r="1420" spans="1:8">
      <c r="A1420" s="483" t="s">
        <v>7007</v>
      </c>
    </row>
    <row r="1421" spans="1:8">
      <c r="E1421" s="483">
        <v>370</v>
      </c>
      <c r="G1421" s="483" t="s">
        <v>6924</v>
      </c>
      <c r="H1421" s="483" t="s">
        <v>7008</v>
      </c>
    </row>
    <row r="1422" spans="1:8">
      <c r="E1422" s="483">
        <v>350</v>
      </c>
      <c r="G1422" s="483" t="s">
        <v>6924</v>
      </c>
      <c r="H1422" s="483" t="s">
        <v>7008</v>
      </c>
    </row>
    <row r="1423" spans="1:8">
      <c r="D1423" s="483" t="s">
        <v>7009</v>
      </c>
      <c r="E1423" s="484" t="s">
        <v>7010</v>
      </c>
      <c r="F1423" s="484"/>
      <c r="G1423" s="484"/>
    </row>
    <row r="1424" spans="1:8">
      <c r="E1424" s="484"/>
      <c r="F1424" s="484"/>
      <c r="G1424" s="484"/>
    </row>
    <row r="1425" spans="1:8">
      <c r="A1425" s="483" t="s">
        <v>7011</v>
      </c>
      <c r="E1425" s="484"/>
      <c r="F1425" s="484"/>
      <c r="G1425" s="484"/>
    </row>
    <row r="1426" spans="1:8">
      <c r="E1426" s="329">
        <v>96</v>
      </c>
      <c r="F1426" s="329"/>
      <c r="G1426" s="483" t="s">
        <v>6972</v>
      </c>
      <c r="H1426" s="483" t="s">
        <v>7012</v>
      </c>
    </row>
    <row r="1427" spans="1:8">
      <c r="E1427" s="329">
        <v>59</v>
      </c>
      <c r="F1427" s="329"/>
      <c r="G1427" s="483" t="s">
        <v>6913</v>
      </c>
      <c r="H1427" s="483" t="s">
        <v>7013</v>
      </c>
    </row>
    <row r="1428" spans="1:8">
      <c r="D1428" s="483" t="s">
        <v>7009</v>
      </c>
      <c r="E1428" s="484" t="s">
        <v>7014</v>
      </c>
      <c r="F1428" s="484"/>
      <c r="G1428" s="484"/>
    </row>
    <row r="1429" spans="1:8">
      <c r="E1429" s="484"/>
      <c r="F1429" s="484"/>
      <c r="G1429" s="484"/>
    </row>
    <row r="1430" spans="1:8">
      <c r="A1430" s="483" t="s">
        <v>7015</v>
      </c>
      <c r="E1430" s="484"/>
      <c r="F1430" s="484"/>
      <c r="G1430" s="484"/>
    </row>
    <row r="1431" spans="1:8">
      <c r="E1431" s="329">
        <v>45</v>
      </c>
      <c r="F1431" s="329"/>
      <c r="G1431" s="483" t="s">
        <v>6913</v>
      </c>
      <c r="H1431" s="483" t="s">
        <v>7016</v>
      </c>
    </row>
    <row r="1432" spans="1:8">
      <c r="D1432" s="483" t="s">
        <v>7009</v>
      </c>
      <c r="E1432" s="484" t="s">
        <v>7017</v>
      </c>
      <c r="F1432" s="484"/>
      <c r="G1432" s="484"/>
    </row>
    <row r="1433" spans="1:8">
      <c r="E1433" s="484"/>
      <c r="F1433" s="484"/>
      <c r="G1433" s="484"/>
    </row>
    <row r="1434" spans="1:8">
      <c r="A1434" s="483" t="s">
        <v>7018</v>
      </c>
    </row>
    <row r="1435" spans="1:8">
      <c r="E1435" s="483">
        <v>180</v>
      </c>
      <c r="G1435" s="483" t="s">
        <v>6924</v>
      </c>
      <c r="H1435" s="483" t="s">
        <v>7019</v>
      </c>
    </row>
    <row r="1436" spans="1:8">
      <c r="E1436" s="483">
        <v>170</v>
      </c>
      <c r="G1436" s="483" t="s">
        <v>6924</v>
      </c>
      <c r="H1436" s="483" t="s">
        <v>7019</v>
      </c>
    </row>
    <row r="1437" spans="1:8">
      <c r="D1437" s="483" t="s">
        <v>7009</v>
      </c>
      <c r="E1437" s="484" t="s">
        <v>7020</v>
      </c>
      <c r="F1437" s="484"/>
      <c r="G1437" s="484"/>
    </row>
    <row r="1438" spans="1:8">
      <c r="E1438" s="484"/>
      <c r="F1438" s="484"/>
      <c r="G1438" s="484"/>
    </row>
    <row r="1439" spans="1:8">
      <c r="A1439" s="483" t="s">
        <v>7021</v>
      </c>
      <c r="E1439" s="484"/>
      <c r="F1439" s="484"/>
      <c r="G1439" s="484"/>
    </row>
    <row r="1440" spans="1:8" ht="49.5">
      <c r="E1440" s="329">
        <v>800</v>
      </c>
      <c r="F1440" s="329"/>
      <c r="G1440" s="483" t="s">
        <v>7022</v>
      </c>
      <c r="H1440" s="486" t="s">
        <v>7023</v>
      </c>
    </row>
    <row r="1441" spans="1:8">
      <c r="E1441" s="329">
        <v>30</v>
      </c>
      <c r="F1441" s="329"/>
      <c r="G1441" s="483" t="s">
        <v>7022</v>
      </c>
      <c r="H1441" s="483" t="s">
        <v>7024</v>
      </c>
    </row>
    <row r="1442" spans="1:8">
      <c r="D1442" s="483" t="s">
        <v>7009</v>
      </c>
      <c r="E1442" s="484" t="s">
        <v>7025</v>
      </c>
      <c r="F1442" s="484"/>
      <c r="G1442" s="484"/>
      <c r="H1442" s="484" t="s">
        <v>7026</v>
      </c>
    </row>
    <row r="1443" spans="1:8">
      <c r="E1443" s="484"/>
      <c r="F1443" s="484"/>
      <c r="G1443" s="484"/>
    </row>
    <row r="1444" spans="1:8">
      <c r="A1444" s="483" t="s">
        <v>7027</v>
      </c>
    </row>
    <row r="1445" spans="1:8">
      <c r="E1445" s="483">
        <v>120</v>
      </c>
      <c r="G1445" s="483" t="s">
        <v>6924</v>
      </c>
      <c r="H1445" s="483" t="s">
        <v>7028</v>
      </c>
    </row>
    <row r="1446" spans="1:8">
      <c r="E1446" s="483">
        <v>135</v>
      </c>
      <c r="G1446" s="483" t="s">
        <v>6924</v>
      </c>
      <c r="H1446" s="483" t="s">
        <v>7028</v>
      </c>
    </row>
    <row r="1447" spans="1:8">
      <c r="D1447" s="483" t="s">
        <v>7009</v>
      </c>
      <c r="E1447" s="484" t="s">
        <v>7029</v>
      </c>
      <c r="F1447" s="484"/>
      <c r="G1447" s="484"/>
    </row>
    <row r="1448" spans="1:8">
      <c r="E1448" s="484"/>
      <c r="F1448" s="484"/>
      <c r="G1448" s="484"/>
    </row>
    <row r="1449" spans="1:8">
      <c r="A1449" s="483" t="s">
        <v>7030</v>
      </c>
    </row>
    <row r="1450" spans="1:8">
      <c r="E1450" s="483">
        <v>75</v>
      </c>
      <c r="G1450" s="483" t="s">
        <v>6924</v>
      </c>
      <c r="H1450" s="483" t="s">
        <v>7031</v>
      </c>
    </row>
    <row r="1451" spans="1:8">
      <c r="E1451" s="483">
        <v>85</v>
      </c>
      <c r="G1451" s="483" t="s">
        <v>6924</v>
      </c>
      <c r="H1451" s="483" t="s">
        <v>7031</v>
      </c>
    </row>
    <row r="1452" spans="1:8">
      <c r="D1452" s="483" t="s">
        <v>7009</v>
      </c>
      <c r="E1452" s="484" t="s">
        <v>7032</v>
      </c>
      <c r="F1452" s="484"/>
      <c r="G1452" s="484"/>
    </row>
    <row r="1453" spans="1:8">
      <c r="E1453" s="484"/>
      <c r="F1453" s="484"/>
      <c r="G1453" s="484"/>
    </row>
    <row r="1454" spans="1:8">
      <c r="A1454" s="483" t="s">
        <v>7033</v>
      </c>
    </row>
    <row r="1455" spans="1:8">
      <c r="C1455" s="483">
        <v>15000</v>
      </c>
      <c r="H1455" s="483" t="s">
        <v>7034</v>
      </c>
    </row>
    <row r="1457" spans="1:8">
      <c r="A1457" s="483" t="s">
        <v>7033</v>
      </c>
    </row>
    <row r="1458" spans="1:8">
      <c r="E1458" s="483">
        <v>35</v>
      </c>
      <c r="G1458" s="483" t="s">
        <v>6943</v>
      </c>
      <c r="H1458" s="483" t="s">
        <v>7035</v>
      </c>
    </row>
    <row r="1459" spans="1:8">
      <c r="D1459" s="483" t="s">
        <v>7009</v>
      </c>
      <c r="E1459" s="484" t="s">
        <v>7036</v>
      </c>
      <c r="F1459" s="484"/>
      <c r="G1459" s="484"/>
    </row>
    <row r="1460" spans="1:8">
      <c r="E1460" s="484"/>
      <c r="F1460" s="484"/>
      <c r="G1460" s="484"/>
    </row>
    <row r="1461" spans="1:8">
      <c r="A1461" s="483" t="s">
        <v>7037</v>
      </c>
    </row>
    <row r="1462" spans="1:8">
      <c r="E1462" s="483">
        <v>260</v>
      </c>
      <c r="G1462" s="483" t="s">
        <v>6924</v>
      </c>
      <c r="H1462" s="483" t="s">
        <v>7038</v>
      </c>
    </row>
    <row r="1463" spans="1:8">
      <c r="E1463" s="483">
        <v>315</v>
      </c>
      <c r="G1463" s="483" t="s">
        <v>6924</v>
      </c>
      <c r="H1463" s="483" t="s">
        <v>7039</v>
      </c>
    </row>
    <row r="1464" spans="1:8">
      <c r="D1464" s="483" t="s">
        <v>7009</v>
      </c>
      <c r="E1464" s="484" t="s">
        <v>7040</v>
      </c>
      <c r="F1464" s="484"/>
      <c r="G1464" s="484"/>
    </row>
    <row r="1465" spans="1:8">
      <c r="E1465" s="484"/>
      <c r="F1465" s="484"/>
      <c r="G1465" s="484"/>
    </row>
    <row r="1466" spans="1:8">
      <c r="A1466" s="483" t="s">
        <v>7041</v>
      </c>
      <c r="E1466" s="484"/>
      <c r="F1466" s="484"/>
      <c r="G1466" s="484"/>
    </row>
    <row r="1467" spans="1:8">
      <c r="E1467" s="329">
        <v>141</v>
      </c>
      <c r="F1467" s="329"/>
      <c r="G1467" s="483" t="s">
        <v>6943</v>
      </c>
      <c r="H1467" s="483" t="s">
        <v>7042</v>
      </c>
    </row>
    <row r="1468" spans="1:8">
      <c r="E1468" s="484" t="s">
        <v>7043</v>
      </c>
      <c r="F1468" s="484"/>
      <c r="G1468" s="484"/>
    </row>
    <row r="1469" spans="1:8">
      <c r="E1469" s="484"/>
      <c r="F1469" s="484"/>
      <c r="G1469" s="484"/>
    </row>
    <row r="1470" spans="1:8">
      <c r="A1470" s="483" t="s">
        <v>7041</v>
      </c>
      <c r="E1470" s="484"/>
      <c r="F1470" s="484"/>
      <c r="G1470" s="484"/>
    </row>
    <row r="1471" spans="1:8">
      <c r="D1471" s="483">
        <v>5000</v>
      </c>
      <c r="H1471" s="483" t="s">
        <v>6836</v>
      </c>
    </row>
    <row r="1472" spans="1:8">
      <c r="C1472" s="483">
        <v>64306</v>
      </c>
      <c r="H1472" s="483" t="s">
        <v>7044</v>
      </c>
    </row>
    <row r="1473" spans="1:8">
      <c r="C1473" s="483">
        <v>70300</v>
      </c>
      <c r="H1473" s="483" t="s">
        <v>7045</v>
      </c>
    </row>
    <row r="1474" spans="1:8">
      <c r="C1474" s="483">
        <v>8536</v>
      </c>
      <c r="H1474" s="483" t="s">
        <v>7046</v>
      </c>
    </row>
    <row r="1475" spans="1:8">
      <c r="C1475" s="483">
        <v>31295</v>
      </c>
      <c r="H1475" s="483" t="s">
        <v>7047</v>
      </c>
    </row>
    <row r="1476" spans="1:8">
      <c r="C1476" s="483">
        <v>63516</v>
      </c>
      <c r="H1476" s="483" t="s">
        <v>7048</v>
      </c>
    </row>
    <row r="1477" spans="1:8">
      <c r="E1477" s="484" t="s">
        <v>7049</v>
      </c>
      <c r="F1477" s="484"/>
      <c r="G1477" s="484"/>
    </row>
    <row r="1478" spans="1:8">
      <c r="E1478" s="484"/>
      <c r="F1478" s="484"/>
      <c r="G1478" s="484"/>
    </row>
    <row r="1479" spans="1:8">
      <c r="A1479" s="483" t="s">
        <v>7050</v>
      </c>
      <c r="E1479" s="484"/>
      <c r="F1479" s="484"/>
      <c r="G1479" s="484"/>
    </row>
    <row r="1480" spans="1:8">
      <c r="E1480" s="329">
        <v>141</v>
      </c>
      <c r="F1480" s="329"/>
      <c r="G1480" s="483" t="s">
        <v>6943</v>
      </c>
      <c r="H1480" s="483" t="s">
        <v>7051</v>
      </c>
    </row>
    <row r="1481" spans="1:8">
      <c r="E1481" s="484" t="s">
        <v>7052</v>
      </c>
      <c r="F1481" s="484"/>
      <c r="G1481" s="484"/>
    </row>
    <row r="1483" spans="1:8">
      <c r="A1483" s="483" t="s">
        <v>7053</v>
      </c>
      <c r="E1483" s="484"/>
      <c r="F1483" s="484"/>
      <c r="G1483" s="484"/>
    </row>
    <row r="1484" spans="1:8">
      <c r="E1484" s="329">
        <v>100</v>
      </c>
      <c r="F1484" s="329"/>
      <c r="G1484" s="483" t="s">
        <v>6924</v>
      </c>
      <c r="H1484" s="483" t="s">
        <v>7054</v>
      </c>
    </row>
    <row r="1485" spans="1:8">
      <c r="E1485" s="484" t="s">
        <v>7055</v>
      </c>
      <c r="F1485" s="484"/>
      <c r="G1485" s="484"/>
    </row>
    <row r="1486" spans="1:8">
      <c r="E1486" s="484"/>
      <c r="F1486" s="484"/>
      <c r="G1486" s="484"/>
    </row>
    <row r="1487" spans="1:8">
      <c r="A1487" s="483" t="s">
        <v>7056</v>
      </c>
    </row>
    <row r="1488" spans="1:8">
      <c r="E1488" s="483">
        <v>1205</v>
      </c>
      <c r="G1488" s="483" t="s">
        <v>6931</v>
      </c>
      <c r="H1488" s="483" t="s">
        <v>7057</v>
      </c>
    </row>
    <row r="1489" spans="1:8">
      <c r="E1489" s="484" t="s">
        <v>7058</v>
      </c>
      <c r="F1489" s="484"/>
      <c r="G1489" s="484"/>
      <c r="H1489" s="484"/>
    </row>
    <row r="1490" spans="1:8">
      <c r="E1490" s="484"/>
      <c r="F1490" s="484"/>
      <c r="G1490" s="484"/>
      <c r="H1490" s="484"/>
    </row>
    <row r="1491" spans="1:8">
      <c r="A1491" s="483" t="s">
        <v>7059</v>
      </c>
      <c r="E1491" s="484"/>
      <c r="F1491" s="484"/>
      <c r="G1491" s="484"/>
    </row>
    <row r="1492" spans="1:8">
      <c r="C1492" s="483">
        <v>6000</v>
      </c>
      <c r="E1492" s="484"/>
      <c r="F1492" s="484"/>
      <c r="G1492" s="484"/>
      <c r="H1492" s="483" t="s">
        <v>7060</v>
      </c>
    </row>
    <row r="1493" spans="1:8">
      <c r="E1493" s="484"/>
      <c r="F1493" s="484"/>
      <c r="G1493" s="484"/>
    </row>
    <row r="1494" spans="1:8">
      <c r="A1494" s="483" t="s">
        <v>7061</v>
      </c>
    </row>
    <row r="1495" spans="1:8">
      <c r="C1495" s="483">
        <v>15000</v>
      </c>
      <c r="H1495" s="483" t="s">
        <v>7062</v>
      </c>
    </row>
    <row r="1497" spans="1:8">
      <c r="A1497" s="483" t="s">
        <v>7063</v>
      </c>
    </row>
    <row r="1498" spans="1:8">
      <c r="E1498" s="483">
        <v>18</v>
      </c>
      <c r="G1498" s="483" t="s">
        <v>1221</v>
      </c>
      <c r="H1498" s="483" t="s">
        <v>7064</v>
      </c>
    </row>
    <row r="1499" spans="1:8">
      <c r="E1499" s="483">
        <v>30</v>
      </c>
      <c r="G1499" s="483" t="s">
        <v>6924</v>
      </c>
      <c r="H1499" s="483" t="s">
        <v>7065</v>
      </c>
    </row>
    <row r="1500" spans="1:8">
      <c r="E1500" s="484" t="s">
        <v>7066</v>
      </c>
      <c r="F1500" s="484"/>
      <c r="G1500" s="484"/>
    </row>
    <row r="1501" spans="1:8">
      <c r="E1501" s="484"/>
      <c r="F1501" s="484"/>
      <c r="G1501" s="484"/>
    </row>
    <row r="1502" spans="1:8">
      <c r="A1502" s="483" t="s">
        <v>7067</v>
      </c>
      <c r="E1502" s="484"/>
      <c r="F1502" s="484"/>
      <c r="G1502" s="484"/>
    </row>
    <row r="1503" spans="1:8">
      <c r="C1503" s="483">
        <v>12000</v>
      </c>
      <c r="H1503" s="483" t="s">
        <v>7068</v>
      </c>
    </row>
    <row r="1504" spans="1:8">
      <c r="C1504" s="483">
        <v>19714</v>
      </c>
      <c r="H1504" s="483" t="s">
        <v>7069</v>
      </c>
    </row>
    <row r="1505" spans="1:8">
      <c r="C1505" s="483">
        <v>143</v>
      </c>
      <c r="H1505" s="483" t="s">
        <v>7070</v>
      </c>
    </row>
    <row r="1506" spans="1:8">
      <c r="C1506" s="483">
        <v>63516</v>
      </c>
      <c r="H1506" s="483" t="s">
        <v>7071</v>
      </c>
    </row>
    <row r="1507" spans="1:8">
      <c r="E1507" s="484"/>
      <c r="F1507" s="484"/>
      <c r="G1507" s="484"/>
    </row>
    <row r="1508" spans="1:8">
      <c r="E1508" s="484"/>
      <c r="F1508" s="484"/>
      <c r="G1508" s="484"/>
    </row>
    <row r="1509" spans="1:8">
      <c r="A1509" s="483" t="s">
        <v>7072</v>
      </c>
    </row>
    <row r="1510" spans="1:8">
      <c r="C1510" s="483">
        <v>10950</v>
      </c>
      <c r="H1510" s="483" t="s">
        <v>7073</v>
      </c>
    </row>
    <row r="1511" spans="1:8">
      <c r="E1511" s="483">
        <v>510</v>
      </c>
      <c r="G1511" s="483" t="s">
        <v>6924</v>
      </c>
      <c r="H1511" s="483" t="s">
        <v>7074</v>
      </c>
    </row>
    <row r="1512" spans="1:8">
      <c r="E1512" s="483">
        <v>540</v>
      </c>
      <c r="G1512" s="483" t="s">
        <v>6924</v>
      </c>
      <c r="H1512" s="483" t="s">
        <v>7074</v>
      </c>
    </row>
    <row r="1513" spans="1:8">
      <c r="D1513" s="483" t="s">
        <v>7009</v>
      </c>
      <c r="E1513" s="484" t="s">
        <v>7075</v>
      </c>
      <c r="F1513" s="484"/>
      <c r="G1513" s="484"/>
    </row>
    <row r="1514" spans="1:8">
      <c r="E1514" s="484"/>
      <c r="F1514" s="484"/>
      <c r="G1514" s="484"/>
    </row>
    <row r="1515" spans="1:8">
      <c r="A1515" s="483" t="s">
        <v>7076</v>
      </c>
    </row>
    <row r="1516" spans="1:8">
      <c r="C1516" s="483">
        <v>26477</v>
      </c>
      <c r="H1516" s="483" t="s">
        <v>7077</v>
      </c>
    </row>
    <row r="1517" spans="1:8">
      <c r="E1517" s="483">
        <v>520</v>
      </c>
      <c r="G1517" s="483" t="s">
        <v>6943</v>
      </c>
      <c r="H1517" s="483" t="s">
        <v>7078</v>
      </c>
    </row>
    <row r="1518" spans="1:8">
      <c r="D1518" s="483" t="s">
        <v>7009</v>
      </c>
      <c r="E1518" s="484" t="s">
        <v>7079</v>
      </c>
      <c r="F1518" s="484"/>
      <c r="G1518" s="484"/>
    </row>
    <row r="1520" spans="1:8">
      <c r="A1520" s="483" t="s">
        <v>7080</v>
      </c>
    </row>
    <row r="1521" spans="1:8">
      <c r="E1521" s="483">
        <v>175</v>
      </c>
      <c r="G1521" s="483" t="s">
        <v>6924</v>
      </c>
      <c r="H1521" s="483" t="s">
        <v>7081</v>
      </c>
    </row>
    <row r="1522" spans="1:8">
      <c r="E1522" s="483">
        <v>170</v>
      </c>
      <c r="G1522" s="483" t="s">
        <v>6924</v>
      </c>
      <c r="H1522" s="483" t="s">
        <v>7081</v>
      </c>
    </row>
    <row r="1523" spans="1:8">
      <c r="D1523" s="483" t="s">
        <v>7009</v>
      </c>
      <c r="E1523" s="484" t="s">
        <v>7082</v>
      </c>
      <c r="F1523" s="484"/>
      <c r="G1523" s="484"/>
    </row>
    <row r="1524" spans="1:8">
      <c r="E1524" s="484"/>
      <c r="F1524" s="484"/>
      <c r="G1524" s="484"/>
    </row>
    <row r="1525" spans="1:8">
      <c r="A1525" s="483" t="s">
        <v>7083</v>
      </c>
    </row>
    <row r="1526" spans="1:8">
      <c r="E1526" s="483">
        <v>165</v>
      </c>
      <c r="G1526" s="483" t="s">
        <v>6924</v>
      </c>
      <c r="H1526" s="483" t="s">
        <v>7084</v>
      </c>
    </row>
    <row r="1527" spans="1:8">
      <c r="E1527" s="483">
        <v>180</v>
      </c>
      <c r="G1527" s="483" t="s">
        <v>6924</v>
      </c>
      <c r="H1527" s="483" t="s">
        <v>7084</v>
      </c>
    </row>
    <row r="1528" spans="1:8">
      <c r="D1528" s="483" t="s">
        <v>7009</v>
      </c>
      <c r="E1528" s="484" t="s">
        <v>7085</v>
      </c>
      <c r="F1528" s="484"/>
      <c r="G1528" s="484"/>
    </row>
    <row r="1529" spans="1:8">
      <c r="E1529" s="484"/>
      <c r="F1529" s="484"/>
      <c r="G1529" s="484"/>
    </row>
    <row r="1530" spans="1:8">
      <c r="A1530" s="483" t="s">
        <v>7086</v>
      </c>
      <c r="E1530" s="484"/>
      <c r="F1530" s="484"/>
      <c r="G1530" s="484"/>
    </row>
    <row r="1531" spans="1:8">
      <c r="E1531" s="483">
        <v>1205</v>
      </c>
      <c r="G1531" s="483" t="s">
        <v>6931</v>
      </c>
      <c r="H1531" s="483" t="s">
        <v>7087</v>
      </c>
    </row>
    <row r="1532" spans="1:8">
      <c r="D1532" s="483" t="s">
        <v>7009</v>
      </c>
      <c r="E1532" s="484" t="s">
        <v>7088</v>
      </c>
      <c r="F1532" s="484"/>
      <c r="G1532" s="484"/>
    </row>
    <row r="1533" spans="1:8">
      <c r="E1533" s="484"/>
      <c r="F1533" s="484"/>
      <c r="G1533" s="484"/>
    </row>
    <row r="1534" spans="1:8">
      <c r="A1534" s="483" t="s">
        <v>7089</v>
      </c>
      <c r="E1534" s="484"/>
      <c r="F1534" s="484"/>
      <c r="G1534" s="484"/>
    </row>
    <row r="1535" spans="1:8">
      <c r="C1535" s="483">
        <v>5000</v>
      </c>
      <c r="E1535" s="484"/>
      <c r="F1535" s="484"/>
      <c r="G1535" s="484"/>
      <c r="H1535" s="483" t="s">
        <v>6836</v>
      </c>
    </row>
    <row r="1536" spans="1:8">
      <c r="D1536" s="483">
        <v>5000</v>
      </c>
      <c r="E1536" s="484"/>
      <c r="F1536" s="484"/>
      <c r="G1536" s="484"/>
    </row>
    <row r="1537" spans="1:8">
      <c r="E1537" s="329">
        <v>80</v>
      </c>
      <c r="F1537" s="329"/>
      <c r="G1537" s="483" t="s">
        <v>6943</v>
      </c>
      <c r="H1537" s="483" t="s">
        <v>7090</v>
      </c>
    </row>
    <row r="1538" spans="1:8">
      <c r="E1538" s="329">
        <v>70</v>
      </c>
      <c r="F1538" s="329"/>
      <c r="G1538" s="483" t="s">
        <v>6943</v>
      </c>
      <c r="H1538" s="483" t="s">
        <v>7091</v>
      </c>
    </row>
    <row r="1539" spans="1:8">
      <c r="E1539" s="329">
        <v>199</v>
      </c>
      <c r="F1539" s="329"/>
      <c r="G1539" s="483" t="s">
        <v>6937</v>
      </c>
      <c r="H1539" s="483" t="s">
        <v>7092</v>
      </c>
    </row>
    <row r="1540" spans="1:8">
      <c r="E1540" s="484" t="s">
        <v>7093</v>
      </c>
      <c r="F1540" s="484"/>
      <c r="G1540" s="484"/>
      <c r="H1540" s="484" t="s">
        <v>7094</v>
      </c>
    </row>
    <row r="1541" spans="1:8">
      <c r="E1541" s="484"/>
      <c r="F1541" s="484"/>
      <c r="G1541" s="484"/>
    </row>
    <row r="1542" spans="1:8">
      <c r="A1542" s="483" t="s">
        <v>7095</v>
      </c>
      <c r="E1542" s="484"/>
      <c r="F1542" s="484"/>
      <c r="G1542" s="484"/>
    </row>
    <row r="1543" spans="1:8">
      <c r="E1543" s="483">
        <v>156</v>
      </c>
      <c r="G1543" s="483" t="s">
        <v>6972</v>
      </c>
      <c r="H1543" s="483" t="s">
        <v>7096</v>
      </c>
    </row>
    <row r="1544" spans="1:8">
      <c r="E1544" s="483">
        <v>54</v>
      </c>
      <c r="G1544" s="483" t="s">
        <v>6960</v>
      </c>
      <c r="H1544" s="483" t="s">
        <v>7097</v>
      </c>
    </row>
    <row r="1545" spans="1:8">
      <c r="E1545" s="483">
        <v>220</v>
      </c>
      <c r="G1545" s="483" t="s">
        <v>6924</v>
      </c>
      <c r="H1545" s="483" t="s">
        <v>7098</v>
      </c>
    </row>
    <row r="1546" spans="1:8">
      <c r="E1546" s="483">
        <v>195</v>
      </c>
      <c r="G1546" s="483" t="s">
        <v>6924</v>
      </c>
      <c r="H1546" s="483" t="s">
        <v>7098</v>
      </c>
    </row>
    <row r="1547" spans="1:8">
      <c r="D1547" s="483" t="s">
        <v>7009</v>
      </c>
      <c r="E1547" s="484" t="s">
        <v>7099</v>
      </c>
      <c r="F1547" s="484"/>
      <c r="G1547" s="484"/>
    </row>
    <row r="1548" spans="1:8">
      <c r="E1548" s="484"/>
      <c r="F1548" s="484"/>
      <c r="G1548" s="484"/>
    </row>
    <row r="1549" spans="1:8">
      <c r="A1549" s="483" t="s">
        <v>7100</v>
      </c>
    </row>
    <row r="1550" spans="1:8" ht="49.5">
      <c r="C1550" s="483">
        <v>39000</v>
      </c>
      <c r="H1550" s="486" t="s">
        <v>7101</v>
      </c>
    </row>
    <row r="1552" spans="1:8">
      <c r="A1552" s="483" t="s">
        <v>7102</v>
      </c>
      <c r="E1552" s="484"/>
      <c r="F1552" s="484"/>
      <c r="G1552" s="484"/>
    </row>
    <row r="1553" spans="1:8">
      <c r="E1553" s="483">
        <v>93</v>
      </c>
      <c r="G1553" s="483" t="s">
        <v>6972</v>
      </c>
      <c r="H1553" s="483" t="s">
        <v>7103</v>
      </c>
    </row>
    <row r="1554" spans="1:8">
      <c r="E1554" s="483">
        <v>35</v>
      </c>
      <c r="G1554" s="483" t="s">
        <v>6943</v>
      </c>
      <c r="H1554" s="483" t="s">
        <v>7104</v>
      </c>
    </row>
    <row r="1555" spans="1:8">
      <c r="D1555" s="483" t="s">
        <v>7009</v>
      </c>
      <c r="E1555" s="484" t="s">
        <v>7105</v>
      </c>
      <c r="F1555" s="484"/>
      <c r="G1555" s="484"/>
    </row>
    <row r="1556" spans="1:8">
      <c r="E1556" s="484"/>
      <c r="F1556" s="484"/>
      <c r="G1556" s="484"/>
    </row>
    <row r="1557" spans="1:8">
      <c r="A1557" s="483" t="s">
        <v>7106</v>
      </c>
    </row>
    <row r="1558" spans="1:8">
      <c r="E1558" s="483">
        <v>80</v>
      </c>
      <c r="G1558" s="483" t="s">
        <v>6924</v>
      </c>
      <c r="H1558" s="483" t="s">
        <v>7107</v>
      </c>
    </row>
    <row r="1559" spans="1:8">
      <c r="E1559" s="483">
        <v>90</v>
      </c>
      <c r="G1559" s="483" t="s">
        <v>6924</v>
      </c>
      <c r="H1559" s="483" t="s">
        <v>7107</v>
      </c>
    </row>
    <row r="1560" spans="1:8">
      <c r="D1560" s="483" t="s">
        <v>7009</v>
      </c>
      <c r="E1560" s="484" t="s">
        <v>7108</v>
      </c>
      <c r="F1560" s="484"/>
      <c r="G1560" s="484"/>
    </row>
    <row r="1561" spans="1:8">
      <c r="E1561" s="484"/>
      <c r="F1561" s="484"/>
      <c r="G1561" s="484"/>
    </row>
    <row r="1562" spans="1:8">
      <c r="A1562" s="483" t="s">
        <v>7109</v>
      </c>
    </row>
    <row r="1563" spans="1:8">
      <c r="C1563" s="483">
        <v>17000</v>
      </c>
      <c r="H1563" s="483" t="s">
        <v>7110</v>
      </c>
    </row>
    <row r="1565" spans="1:8">
      <c r="A1565" s="483" t="s">
        <v>7111</v>
      </c>
      <c r="E1565" s="484"/>
      <c r="F1565" s="484"/>
      <c r="G1565" s="484"/>
    </row>
    <row r="1566" spans="1:8">
      <c r="C1566" s="483">
        <v>23000</v>
      </c>
      <c r="H1566" s="483" t="s">
        <v>7112</v>
      </c>
    </row>
    <row r="1567" spans="1:8">
      <c r="C1567" s="483">
        <v>22857</v>
      </c>
      <c r="H1567" s="483" t="s">
        <v>7113</v>
      </c>
    </row>
    <row r="1568" spans="1:8">
      <c r="C1568" s="483">
        <v>63516</v>
      </c>
      <c r="H1568" s="483" t="s">
        <v>7114</v>
      </c>
    </row>
    <row r="1569" spans="1:8">
      <c r="C1569" s="483">
        <v>14193</v>
      </c>
      <c r="H1569" s="483" t="s">
        <v>7115</v>
      </c>
    </row>
    <row r="1570" spans="1:8">
      <c r="E1570" s="483">
        <v>5</v>
      </c>
      <c r="G1570" s="483" t="s">
        <v>6943</v>
      </c>
      <c r="H1570" s="483" t="s">
        <v>7116</v>
      </c>
    </row>
    <row r="1571" spans="1:8">
      <c r="D1571" s="483" t="s">
        <v>7009</v>
      </c>
      <c r="E1571" s="484" t="s">
        <v>7117</v>
      </c>
      <c r="F1571" s="484"/>
      <c r="G1571" s="484"/>
      <c r="H1571" s="484" t="s">
        <v>7118</v>
      </c>
    </row>
    <row r="1573" spans="1:8">
      <c r="A1573" s="483" t="s">
        <v>7119</v>
      </c>
      <c r="E1573" s="484"/>
      <c r="F1573" s="484"/>
      <c r="G1573" s="484"/>
    </row>
    <row r="1574" spans="1:8">
      <c r="E1574" s="483">
        <v>1205</v>
      </c>
      <c r="G1574" s="483" t="s">
        <v>6931</v>
      </c>
      <c r="H1574" s="483" t="s">
        <v>7120</v>
      </c>
    </row>
    <row r="1575" spans="1:8">
      <c r="E1575" s="483">
        <v>35</v>
      </c>
      <c r="G1575" s="483" t="s">
        <v>6943</v>
      </c>
      <c r="H1575" s="483" t="s">
        <v>7121</v>
      </c>
    </row>
    <row r="1576" spans="1:8">
      <c r="E1576" s="483">
        <v>500</v>
      </c>
      <c r="G1576" s="483" t="s">
        <v>6943</v>
      </c>
      <c r="H1576" s="483" t="s">
        <v>7122</v>
      </c>
    </row>
    <row r="1577" spans="1:8">
      <c r="D1577" s="483" t="s">
        <v>7009</v>
      </c>
      <c r="E1577" s="484" t="s">
        <v>7123</v>
      </c>
      <c r="F1577" s="484"/>
      <c r="G1577" s="484"/>
    </row>
    <row r="1578" spans="1:8">
      <c r="E1578" s="484"/>
      <c r="F1578" s="484"/>
      <c r="G1578" s="484"/>
    </row>
    <row r="1579" spans="1:8">
      <c r="A1579" s="483" t="s">
        <v>7124</v>
      </c>
    </row>
    <row r="1580" spans="1:8">
      <c r="E1580" s="483">
        <v>18</v>
      </c>
      <c r="G1580" s="483" t="s">
        <v>6913</v>
      </c>
      <c r="H1580" s="483" t="s">
        <v>7125</v>
      </c>
    </row>
    <row r="1581" spans="1:8">
      <c r="E1581" s="483">
        <v>30</v>
      </c>
      <c r="G1581" s="483" t="s">
        <v>6924</v>
      </c>
      <c r="H1581" s="483" t="s">
        <v>7065</v>
      </c>
    </row>
    <row r="1582" spans="1:8">
      <c r="E1582" s="483">
        <v>129</v>
      </c>
      <c r="G1582" s="483" t="s">
        <v>6913</v>
      </c>
      <c r="H1582" s="483" t="s">
        <v>7126</v>
      </c>
    </row>
    <row r="1583" spans="1:8">
      <c r="E1583" s="484" t="s">
        <v>7127</v>
      </c>
      <c r="F1583" s="484"/>
      <c r="G1583" s="484"/>
    </row>
    <row r="1584" spans="1:8">
      <c r="E1584" s="484"/>
      <c r="F1584" s="484"/>
      <c r="G1584" s="484"/>
    </row>
    <row r="1585" spans="1:8">
      <c r="H1585" s="484" t="s">
        <v>7128</v>
      </c>
    </row>
    <row r="1587" spans="1:8">
      <c r="A1587" s="483" t="s">
        <v>7129</v>
      </c>
    </row>
    <row r="1588" spans="1:8">
      <c r="C1588" s="483">
        <v>17000</v>
      </c>
      <c r="H1588" s="483" t="s">
        <v>7130</v>
      </c>
    </row>
    <row r="1590" spans="1:8">
      <c r="A1590" s="483" t="s">
        <v>7131</v>
      </c>
      <c r="E1590" s="484"/>
      <c r="F1590" s="484"/>
      <c r="G1590" s="484"/>
    </row>
    <row r="1591" spans="1:8">
      <c r="C1591" s="483">
        <v>85500</v>
      </c>
      <c r="H1591" s="483" t="s">
        <v>7132</v>
      </c>
    </row>
    <row r="1592" spans="1:8">
      <c r="C1592" s="483">
        <v>22857</v>
      </c>
      <c r="H1592" s="483" t="s">
        <v>7133</v>
      </c>
    </row>
    <row r="1593" spans="1:8">
      <c r="C1593" s="483">
        <v>63304</v>
      </c>
      <c r="H1593" s="483" t="s">
        <v>7134</v>
      </c>
    </row>
    <row r="1595" spans="1:8">
      <c r="A1595" s="483" t="s">
        <v>7135</v>
      </c>
    </row>
    <row r="1596" spans="1:8">
      <c r="C1596" s="483">
        <v>37152</v>
      </c>
      <c r="H1596" s="483" t="s">
        <v>7136</v>
      </c>
    </row>
    <row r="1597" spans="1:8">
      <c r="C1597" s="483">
        <v>1426</v>
      </c>
      <c r="H1597" s="483" t="s">
        <v>7137</v>
      </c>
    </row>
    <row r="1599" spans="1:8">
      <c r="A1599" s="483" t="s">
        <v>7135</v>
      </c>
    </row>
    <row r="1600" spans="1:8">
      <c r="E1600" s="483">
        <v>65</v>
      </c>
      <c r="G1600" s="483" t="s">
        <v>6924</v>
      </c>
      <c r="H1600" s="483" t="s">
        <v>7138</v>
      </c>
    </row>
    <row r="1601" spans="1:8">
      <c r="E1601" s="483">
        <v>100</v>
      </c>
      <c r="G1601" s="483" t="s">
        <v>6924</v>
      </c>
      <c r="H1601" s="483" t="s">
        <v>7139</v>
      </c>
    </row>
    <row r="1602" spans="1:8">
      <c r="E1602" s="483">
        <v>71</v>
      </c>
      <c r="G1602" s="483" t="s">
        <v>6924</v>
      </c>
      <c r="H1602" s="483" t="s">
        <v>7140</v>
      </c>
    </row>
    <row r="1603" spans="1:8">
      <c r="E1603" s="484" t="s">
        <v>7141</v>
      </c>
      <c r="F1603" s="484"/>
      <c r="G1603" s="484"/>
    </row>
    <row r="1604" spans="1:8">
      <c r="E1604" s="484"/>
      <c r="F1604" s="484"/>
      <c r="G1604" s="484"/>
    </row>
    <row r="1605" spans="1:8">
      <c r="A1605" s="483" t="s">
        <v>7142</v>
      </c>
    </row>
    <row r="1606" spans="1:8">
      <c r="E1606" s="329">
        <v>209</v>
      </c>
      <c r="F1606" s="329"/>
      <c r="G1606" s="483" t="s">
        <v>6937</v>
      </c>
      <c r="H1606" s="483" t="s">
        <v>7143</v>
      </c>
    </row>
    <row r="1607" spans="1:8">
      <c r="E1607" s="484" t="s">
        <v>7144</v>
      </c>
      <c r="F1607" s="484"/>
      <c r="G1607" s="484"/>
    </row>
    <row r="1608" spans="1:8">
      <c r="E1608" s="484"/>
      <c r="F1608" s="484"/>
      <c r="G1608" s="484"/>
    </row>
    <row r="1609" spans="1:8">
      <c r="A1609" s="483" t="s">
        <v>7145</v>
      </c>
    </row>
    <row r="1610" spans="1:8">
      <c r="E1610" s="329">
        <v>100</v>
      </c>
      <c r="F1610" s="329"/>
      <c r="G1610" s="483" t="s">
        <v>6924</v>
      </c>
      <c r="H1610" s="483" t="s">
        <v>7146</v>
      </c>
    </row>
    <row r="1611" spans="1:8">
      <c r="E1611" s="484" t="s">
        <v>7147</v>
      </c>
      <c r="F1611" s="484"/>
      <c r="G1611" s="484"/>
    </row>
    <row r="1613" spans="1:8">
      <c r="A1613" s="483" t="s">
        <v>7148</v>
      </c>
    </row>
    <row r="1614" spans="1:8">
      <c r="E1614" s="483">
        <v>30</v>
      </c>
      <c r="G1614" s="483" t="s">
        <v>6943</v>
      </c>
      <c r="H1614" s="483" t="s">
        <v>7149</v>
      </c>
    </row>
    <row r="1615" spans="1:8">
      <c r="E1615" s="484" t="s">
        <v>7150</v>
      </c>
      <c r="F1615" s="484"/>
      <c r="G1615" s="484"/>
    </row>
    <row r="1617" spans="1:8">
      <c r="A1617" s="483" t="s">
        <v>7151</v>
      </c>
      <c r="E1617" s="484"/>
      <c r="F1617" s="484"/>
      <c r="G1617" s="484"/>
    </row>
    <row r="1618" spans="1:8">
      <c r="E1618" s="483">
        <v>1205</v>
      </c>
      <c r="G1618" s="483" t="s">
        <v>6931</v>
      </c>
      <c r="H1618" s="483" t="s">
        <v>7152</v>
      </c>
    </row>
    <row r="1619" spans="1:8">
      <c r="D1619" s="483" t="s">
        <v>7009</v>
      </c>
      <c r="E1619" s="484" t="s">
        <v>7153</v>
      </c>
      <c r="F1619" s="484"/>
      <c r="G1619" s="484"/>
    </row>
    <row r="1620" spans="1:8">
      <c r="E1620" s="484"/>
      <c r="F1620" s="484"/>
      <c r="G1620" s="484"/>
    </row>
    <row r="1621" spans="1:8">
      <c r="A1621" s="483" t="s">
        <v>7154</v>
      </c>
    </row>
    <row r="1622" spans="1:8">
      <c r="C1622" s="483">
        <v>17000</v>
      </c>
      <c r="H1622" s="483" t="s">
        <v>7155</v>
      </c>
    </row>
    <row r="1624" spans="1:8">
      <c r="A1624" s="483" t="s">
        <v>7156</v>
      </c>
      <c r="E1624" s="484"/>
      <c r="F1624" s="484"/>
      <c r="G1624" s="484"/>
    </row>
    <row r="1625" spans="1:8">
      <c r="C1625" s="483">
        <v>22857</v>
      </c>
      <c r="H1625" s="483" t="s">
        <v>7157</v>
      </c>
    </row>
    <row r="1626" spans="1:8">
      <c r="C1626" s="483">
        <v>63304</v>
      </c>
      <c r="H1626" s="483" t="s">
        <v>7134</v>
      </c>
    </row>
    <row r="1628" spans="1:8">
      <c r="A1628" s="483" t="s">
        <v>7158</v>
      </c>
      <c r="E1628" s="484"/>
      <c r="F1628" s="484"/>
      <c r="G1628" s="484"/>
    </row>
    <row r="1629" spans="1:8">
      <c r="E1629" s="483">
        <v>35</v>
      </c>
      <c r="G1629" s="483" t="s">
        <v>6943</v>
      </c>
      <c r="H1629" s="483" t="s">
        <v>7159</v>
      </c>
    </row>
    <row r="1630" spans="1:8">
      <c r="E1630" s="483">
        <v>50</v>
      </c>
      <c r="G1630" s="483" t="s">
        <v>6943</v>
      </c>
      <c r="H1630" s="483" t="s">
        <v>7160</v>
      </c>
    </row>
    <row r="1631" spans="1:8">
      <c r="D1631" s="483" t="s">
        <v>7009</v>
      </c>
      <c r="E1631" s="484" t="s">
        <v>7161</v>
      </c>
      <c r="F1631" s="484"/>
      <c r="G1631" s="484"/>
    </row>
    <row r="1632" spans="1:8">
      <c r="E1632" s="484"/>
      <c r="F1632" s="484"/>
      <c r="G1632" s="484"/>
    </row>
    <row r="1633" spans="1:8">
      <c r="A1633" s="483" t="s">
        <v>7162</v>
      </c>
      <c r="E1633" s="484"/>
      <c r="F1633" s="484"/>
      <c r="G1633" s="484"/>
    </row>
    <row r="1634" spans="1:8">
      <c r="C1634" s="483">
        <v>5000</v>
      </c>
      <c r="E1634" s="484"/>
      <c r="F1634" s="484"/>
      <c r="G1634" s="484"/>
      <c r="H1634" s="483" t="s">
        <v>6836</v>
      </c>
    </row>
    <row r="1635" spans="1:8">
      <c r="D1635" s="483">
        <v>5000</v>
      </c>
      <c r="E1635" s="484"/>
      <c r="F1635" s="484"/>
      <c r="G1635" s="484"/>
    </row>
    <row r="1636" spans="1:8">
      <c r="E1636" s="483">
        <v>300</v>
      </c>
      <c r="G1636" s="483" t="s">
        <v>7163</v>
      </c>
      <c r="H1636" s="483" t="s">
        <v>7164</v>
      </c>
    </row>
    <row r="1637" spans="1:8">
      <c r="D1637" s="483" t="s">
        <v>7009</v>
      </c>
      <c r="E1637" s="484" t="s">
        <v>7165</v>
      </c>
      <c r="F1637" s="484"/>
      <c r="G1637" s="484"/>
    </row>
    <row r="1638" spans="1:8">
      <c r="E1638" s="484"/>
      <c r="F1638" s="484"/>
      <c r="G1638" s="484"/>
    </row>
    <row r="1639" spans="1:8">
      <c r="A1639" s="483" t="s">
        <v>7166</v>
      </c>
      <c r="E1639" s="484"/>
      <c r="F1639" s="484"/>
      <c r="G1639" s="484"/>
    </row>
    <row r="1640" spans="1:8">
      <c r="E1640" s="483">
        <v>24</v>
      </c>
      <c r="G1640" s="483" t="s">
        <v>6972</v>
      </c>
      <c r="H1640" s="483" t="s">
        <v>7167</v>
      </c>
    </row>
    <row r="1641" spans="1:8">
      <c r="D1641" s="483" t="s">
        <v>7009</v>
      </c>
      <c r="E1641" s="484" t="s">
        <v>7168</v>
      </c>
      <c r="F1641" s="484"/>
      <c r="G1641" s="484"/>
    </row>
    <row r="1642" spans="1:8">
      <c r="E1642" s="484"/>
      <c r="F1642" s="484"/>
      <c r="G1642" s="484"/>
    </row>
    <row r="1643" spans="1:8">
      <c r="A1643" s="483" t="s">
        <v>7169</v>
      </c>
      <c r="E1643" s="484"/>
      <c r="F1643" s="484"/>
      <c r="G1643" s="484"/>
    </row>
    <row r="1644" spans="1:8">
      <c r="E1644" s="483">
        <v>35</v>
      </c>
      <c r="G1644" s="483" t="s">
        <v>6943</v>
      </c>
      <c r="H1644" s="483" t="s">
        <v>7170</v>
      </c>
    </row>
    <row r="1645" spans="1:8">
      <c r="D1645" s="483" t="s">
        <v>7009</v>
      </c>
      <c r="E1645" s="484" t="s">
        <v>7171</v>
      </c>
      <c r="F1645" s="484"/>
      <c r="G1645" s="484"/>
    </row>
    <row r="1646" spans="1:8">
      <c r="E1646" s="484"/>
      <c r="F1646" s="484"/>
      <c r="G1646" s="484"/>
    </row>
    <row r="1647" spans="1:8">
      <c r="A1647" s="483" t="s">
        <v>7172</v>
      </c>
      <c r="E1647" s="484"/>
      <c r="F1647" s="484"/>
      <c r="G1647" s="484"/>
    </row>
    <row r="1648" spans="1:8">
      <c r="E1648" s="483">
        <v>1205</v>
      </c>
      <c r="G1648" s="483" t="s">
        <v>6931</v>
      </c>
      <c r="H1648" s="483" t="s">
        <v>7173</v>
      </c>
    </row>
    <row r="1649" spans="1:8">
      <c r="D1649" s="483" t="s">
        <v>7009</v>
      </c>
      <c r="E1649" s="484" t="s">
        <v>7174</v>
      </c>
      <c r="F1649" s="484"/>
      <c r="G1649" s="484"/>
    </row>
    <row r="1650" spans="1:8">
      <c r="E1650" s="484"/>
      <c r="F1650" s="484"/>
      <c r="G1650" s="484"/>
    </row>
    <row r="1651" spans="1:8">
      <c r="A1651" s="483" t="s">
        <v>7175</v>
      </c>
      <c r="E1651" s="484"/>
      <c r="F1651" s="484"/>
      <c r="G1651" s="484"/>
    </row>
    <row r="1652" spans="1:8">
      <c r="E1652" s="483">
        <v>18</v>
      </c>
      <c r="G1652" s="483" t="s">
        <v>6913</v>
      </c>
      <c r="H1652" s="483" t="s">
        <v>7176</v>
      </c>
    </row>
    <row r="1653" spans="1:8">
      <c r="E1653" s="483">
        <v>35</v>
      </c>
      <c r="G1653" s="483" t="s">
        <v>6943</v>
      </c>
      <c r="H1653" s="483" t="s">
        <v>7177</v>
      </c>
    </row>
    <row r="1654" spans="1:8">
      <c r="D1654" s="483" t="s">
        <v>7009</v>
      </c>
      <c r="E1654" s="484" t="s">
        <v>7178</v>
      </c>
      <c r="F1654" s="484"/>
      <c r="G1654" s="484"/>
    </row>
    <row r="1655" spans="1:8" ht="18" customHeight="1">
      <c r="E1655" s="484"/>
      <c r="F1655" s="484"/>
      <c r="G1655" s="484"/>
    </row>
    <row r="1656" spans="1:8">
      <c r="A1656" s="483" t="s">
        <v>7179</v>
      </c>
    </row>
    <row r="1657" spans="1:8">
      <c r="C1657" s="483">
        <v>17000</v>
      </c>
      <c r="H1657" s="483" t="s">
        <v>7180</v>
      </c>
    </row>
    <row r="1659" spans="1:8">
      <c r="A1659" s="483" t="s">
        <v>7181</v>
      </c>
    </row>
    <row r="1660" spans="1:8">
      <c r="C1660" s="483">
        <v>15496</v>
      </c>
      <c r="H1660" s="483" t="s">
        <v>7182</v>
      </c>
    </row>
    <row r="1661" spans="1:8">
      <c r="E1661" s="483">
        <v>45</v>
      </c>
      <c r="G1661" s="483" t="s">
        <v>6943</v>
      </c>
      <c r="H1661" s="483" t="s">
        <v>7183</v>
      </c>
    </row>
    <row r="1662" spans="1:8">
      <c r="D1662" s="483" t="s">
        <v>7009</v>
      </c>
      <c r="E1662" s="484" t="s">
        <v>7184</v>
      </c>
      <c r="F1662" s="484"/>
      <c r="G1662" s="484"/>
    </row>
    <row r="1664" spans="1:8">
      <c r="A1664" s="483" t="s">
        <v>7185</v>
      </c>
      <c r="E1664" s="484"/>
      <c r="F1664" s="484"/>
      <c r="G1664" s="484"/>
    </row>
    <row r="1665" spans="1:8">
      <c r="C1665" s="483">
        <v>22857</v>
      </c>
      <c r="H1665" s="483" t="s">
        <v>7186</v>
      </c>
    </row>
    <row r="1667" spans="1:8">
      <c r="A1667" s="483" t="s">
        <v>7187</v>
      </c>
      <c r="E1667" s="484"/>
      <c r="F1667" s="484"/>
      <c r="G1667" s="484"/>
    </row>
    <row r="1668" spans="1:8">
      <c r="C1668" s="483">
        <v>36000</v>
      </c>
      <c r="H1668" s="483" t="s">
        <v>7188</v>
      </c>
    </row>
    <row r="1669" spans="1:8">
      <c r="C1669" s="483">
        <v>63352</v>
      </c>
      <c r="H1669" s="483" t="s">
        <v>7189</v>
      </c>
    </row>
    <row r="1670" spans="1:8">
      <c r="E1670" s="484"/>
      <c r="F1670" s="484"/>
      <c r="G1670" s="484"/>
    </row>
    <row r="1671" spans="1:8">
      <c r="A1671" s="483" t="s">
        <v>7190</v>
      </c>
      <c r="E1671" s="484"/>
      <c r="F1671" s="484"/>
      <c r="G1671" s="484"/>
    </row>
    <row r="1672" spans="1:8">
      <c r="E1672" s="329">
        <v>945</v>
      </c>
      <c r="F1672" s="329"/>
      <c r="G1672" s="483" t="s">
        <v>6976</v>
      </c>
      <c r="H1672" s="483" t="s">
        <v>7191</v>
      </c>
    </row>
    <row r="1673" spans="1:8">
      <c r="D1673" s="483" t="s">
        <v>7009</v>
      </c>
      <c r="E1673" s="484" t="s">
        <v>7192</v>
      </c>
      <c r="F1673" s="484"/>
      <c r="G1673" s="484"/>
    </row>
    <row r="1674" spans="1:8">
      <c r="E1674" s="484"/>
      <c r="F1674" s="484"/>
      <c r="G1674" s="484"/>
    </row>
    <row r="1675" spans="1:8">
      <c r="A1675" s="483" t="s">
        <v>7193</v>
      </c>
      <c r="E1675" s="484"/>
      <c r="F1675" s="484"/>
      <c r="G1675" s="484"/>
    </row>
    <row r="1676" spans="1:8">
      <c r="E1676" s="329">
        <v>169</v>
      </c>
      <c r="F1676" s="329"/>
      <c r="G1676" s="483" t="s">
        <v>6913</v>
      </c>
      <c r="H1676" s="483" t="s">
        <v>7126</v>
      </c>
    </row>
    <row r="1677" spans="1:8">
      <c r="D1677" s="483" t="s">
        <v>7009</v>
      </c>
      <c r="E1677" s="484" t="s">
        <v>7194</v>
      </c>
      <c r="F1677" s="484"/>
      <c r="G1677" s="484"/>
    </row>
    <row r="1678" spans="1:8">
      <c r="E1678" s="484"/>
      <c r="F1678" s="484"/>
      <c r="G1678" s="484"/>
      <c r="H1678" s="484" t="s">
        <v>7118</v>
      </c>
    </row>
    <row r="1679" spans="1:8">
      <c r="E1679" s="484"/>
      <c r="F1679" s="484"/>
      <c r="G1679" s="484"/>
      <c r="H1679" s="484"/>
    </row>
    <row r="1680" spans="1:8">
      <c r="A1680" s="483" t="s">
        <v>7195</v>
      </c>
      <c r="E1680" s="484"/>
      <c r="F1680" s="484"/>
      <c r="G1680" s="484"/>
    </row>
    <row r="1681" spans="1:8">
      <c r="E1681" s="483">
        <v>1205</v>
      </c>
      <c r="G1681" s="483" t="s">
        <v>6931</v>
      </c>
      <c r="H1681" s="483" t="s">
        <v>7196</v>
      </c>
    </row>
    <row r="1682" spans="1:8">
      <c r="D1682" s="483" t="s">
        <v>7009</v>
      </c>
      <c r="E1682" s="484" t="s">
        <v>7197</v>
      </c>
      <c r="F1682" s="484"/>
      <c r="G1682" s="484"/>
    </row>
    <row r="1683" spans="1:8">
      <c r="E1683" s="484"/>
      <c r="F1683" s="484"/>
      <c r="G1683" s="484"/>
    </row>
    <row r="1684" spans="1:8">
      <c r="A1684" s="483" t="s">
        <v>7198</v>
      </c>
      <c r="E1684" s="484"/>
      <c r="F1684" s="484"/>
      <c r="G1684" s="484"/>
    </row>
    <row r="1685" spans="1:8">
      <c r="E1685" s="329">
        <v>188</v>
      </c>
      <c r="F1685" s="329"/>
      <c r="G1685" s="483" t="s">
        <v>6937</v>
      </c>
      <c r="H1685" s="483" t="s">
        <v>7199</v>
      </c>
    </row>
    <row r="1686" spans="1:8">
      <c r="C1686" s="483">
        <v>5000</v>
      </c>
      <c r="E1686" s="484"/>
      <c r="F1686" s="484"/>
      <c r="G1686" s="484"/>
      <c r="H1686" s="483" t="s">
        <v>6836</v>
      </c>
    </row>
    <row r="1687" spans="1:8">
      <c r="D1687" s="483">
        <v>5000</v>
      </c>
      <c r="E1687" s="484"/>
      <c r="F1687" s="484"/>
      <c r="G1687" s="484"/>
    </row>
    <row r="1688" spans="1:8">
      <c r="D1688" s="483" t="s">
        <v>7009</v>
      </c>
      <c r="E1688" s="484" t="s">
        <v>7200</v>
      </c>
      <c r="F1688" s="484"/>
      <c r="G1688" s="484"/>
    </row>
    <row r="1689" spans="1:8">
      <c r="E1689" s="484"/>
      <c r="F1689" s="484"/>
      <c r="G1689" s="484"/>
      <c r="H1689" s="484"/>
    </row>
    <row r="1690" spans="1:8">
      <c r="A1690" s="483" t="s">
        <v>7201</v>
      </c>
    </row>
    <row r="1691" spans="1:8">
      <c r="C1691" s="483">
        <v>17000</v>
      </c>
      <c r="H1691" s="483" t="s">
        <v>7202</v>
      </c>
    </row>
    <row r="1692" spans="1:8">
      <c r="C1692" s="483">
        <v>6000</v>
      </c>
      <c r="H1692" s="483" t="s">
        <v>7203</v>
      </c>
    </row>
    <row r="1694" spans="1:8">
      <c r="A1694" s="483" t="s">
        <v>7204</v>
      </c>
    </row>
    <row r="1695" spans="1:8">
      <c r="E1695" s="329">
        <v>100</v>
      </c>
      <c r="F1695" s="329"/>
      <c r="G1695" s="483" t="s">
        <v>6924</v>
      </c>
      <c r="H1695" s="483" t="s">
        <v>7205</v>
      </c>
    </row>
    <row r="1696" spans="1:8">
      <c r="E1696" s="329">
        <v>100</v>
      </c>
      <c r="F1696" s="329"/>
      <c r="G1696" s="483" t="s">
        <v>6924</v>
      </c>
      <c r="H1696" s="483" t="s">
        <v>7206</v>
      </c>
    </row>
    <row r="1697" spans="1:8">
      <c r="D1697" s="483" t="s">
        <v>7009</v>
      </c>
      <c r="E1697" s="484" t="s">
        <v>7207</v>
      </c>
      <c r="F1697" s="484"/>
      <c r="G1697" s="484"/>
    </row>
    <row r="1698" spans="1:8">
      <c r="E1698" s="484"/>
      <c r="F1698" s="484"/>
      <c r="G1698" s="484"/>
    </row>
    <row r="1699" spans="1:8">
      <c r="A1699" s="483" t="s">
        <v>7208</v>
      </c>
    </row>
    <row r="1700" spans="1:8">
      <c r="C1700" s="483">
        <v>301</v>
      </c>
      <c r="H1700" s="483" t="s">
        <v>7209</v>
      </c>
    </row>
    <row r="1702" spans="1:8">
      <c r="A1702" s="483" t="s">
        <v>7210</v>
      </c>
      <c r="E1702" s="484"/>
      <c r="F1702" s="484"/>
      <c r="G1702" s="484"/>
    </row>
    <row r="1703" spans="1:8">
      <c r="C1703" s="483">
        <v>22857</v>
      </c>
      <c r="H1703" s="483" t="s">
        <v>7211</v>
      </c>
    </row>
    <row r="1704" spans="1:8">
      <c r="C1704" s="483">
        <v>10000</v>
      </c>
      <c r="H1704" s="483" t="s">
        <v>7212</v>
      </c>
    </row>
    <row r="1705" spans="1:8">
      <c r="C1705" s="483">
        <v>63352</v>
      </c>
      <c r="H1705" s="483" t="s">
        <v>7213</v>
      </c>
    </row>
    <row r="1707" spans="1:8">
      <c r="A1707" s="483" t="s">
        <v>7214</v>
      </c>
    </row>
    <row r="1708" spans="1:8">
      <c r="E1708" s="329">
        <v>90</v>
      </c>
      <c r="F1708" s="329"/>
      <c r="G1708" s="483" t="s">
        <v>6924</v>
      </c>
      <c r="H1708" s="483" t="s">
        <v>7215</v>
      </c>
    </row>
    <row r="1709" spans="1:8">
      <c r="E1709" s="329">
        <v>265</v>
      </c>
      <c r="F1709" s="329"/>
      <c r="G1709" s="483" t="s">
        <v>6924</v>
      </c>
      <c r="H1709" s="483" t="s">
        <v>7215</v>
      </c>
    </row>
    <row r="1710" spans="1:8">
      <c r="D1710" s="483">
        <v>378</v>
      </c>
      <c r="E1710" s="329"/>
      <c r="F1710" s="329"/>
      <c r="G1710" s="329"/>
      <c r="H1710" s="483" t="s">
        <v>7216</v>
      </c>
    </row>
    <row r="1711" spans="1:8">
      <c r="D1711" s="483" t="s">
        <v>7009</v>
      </c>
      <c r="E1711" s="484" t="s">
        <v>7217</v>
      </c>
      <c r="F1711" s="484"/>
      <c r="G1711" s="484"/>
      <c r="H1711" s="484" t="s">
        <v>7218</v>
      </c>
    </row>
    <row r="1712" spans="1:8">
      <c r="E1712" s="484"/>
      <c r="F1712" s="484"/>
      <c r="G1712" s="484"/>
    </row>
    <row r="1713" spans="1:8">
      <c r="A1713" s="483" t="s">
        <v>7219</v>
      </c>
      <c r="E1713" s="329"/>
      <c r="F1713" s="329"/>
      <c r="G1713" s="329"/>
    </row>
    <row r="1714" spans="1:8">
      <c r="E1714" s="329">
        <v>235</v>
      </c>
      <c r="F1714" s="329"/>
      <c r="G1714" s="483" t="s">
        <v>6924</v>
      </c>
      <c r="H1714" s="483" t="s">
        <v>7220</v>
      </c>
    </row>
    <row r="1715" spans="1:8">
      <c r="E1715" s="329">
        <v>225</v>
      </c>
      <c r="F1715" s="329"/>
      <c r="G1715" s="483" t="s">
        <v>6924</v>
      </c>
      <c r="H1715" s="483" t="s">
        <v>7220</v>
      </c>
    </row>
    <row r="1716" spans="1:8">
      <c r="E1716" s="483">
        <v>1205</v>
      </c>
      <c r="G1716" s="483" t="s">
        <v>6931</v>
      </c>
      <c r="H1716" s="483" t="s">
        <v>7221</v>
      </c>
    </row>
    <row r="1717" spans="1:8">
      <c r="D1717" s="483" t="s">
        <v>7009</v>
      </c>
      <c r="E1717" s="484" t="s">
        <v>7222</v>
      </c>
      <c r="F1717" s="484"/>
      <c r="G1717" s="484"/>
      <c r="H1717" s="484"/>
    </row>
    <row r="1718" spans="1:8">
      <c r="E1718" s="484"/>
      <c r="F1718" s="484"/>
      <c r="G1718" s="484"/>
    </row>
    <row r="1719" spans="1:8">
      <c r="A1719" s="483" t="s">
        <v>7223</v>
      </c>
      <c r="E1719" s="329"/>
      <c r="F1719" s="329"/>
      <c r="G1719" s="329"/>
    </row>
    <row r="1720" spans="1:8">
      <c r="E1720" s="329">
        <v>32</v>
      </c>
      <c r="F1720" s="329"/>
      <c r="G1720" s="483" t="s">
        <v>6924</v>
      </c>
      <c r="H1720" s="483" t="s">
        <v>7224</v>
      </c>
    </row>
    <row r="1721" spans="1:8">
      <c r="E1721" s="329">
        <v>32</v>
      </c>
      <c r="F1721" s="329"/>
      <c r="G1721" s="483" t="s">
        <v>6924</v>
      </c>
      <c r="H1721" s="483" t="s">
        <v>7225</v>
      </c>
    </row>
    <row r="1722" spans="1:8">
      <c r="D1722" s="483" t="s">
        <v>7009</v>
      </c>
      <c r="E1722" s="484" t="s">
        <v>7226</v>
      </c>
      <c r="F1722" s="484"/>
      <c r="G1722" s="484"/>
      <c r="H1722" s="484"/>
    </row>
    <row r="1723" spans="1:8">
      <c r="E1723" s="329"/>
      <c r="F1723" s="329"/>
      <c r="G1723" s="329"/>
    </row>
    <row r="1724" spans="1:8">
      <c r="A1724" s="483" t="s">
        <v>7227</v>
      </c>
      <c r="E1724" s="329"/>
      <c r="F1724" s="329"/>
      <c r="G1724" s="329"/>
    </row>
    <row r="1725" spans="1:8">
      <c r="E1725" s="329">
        <v>16</v>
      </c>
      <c r="F1725" s="329"/>
      <c r="G1725" s="483" t="s">
        <v>6924</v>
      </c>
      <c r="H1725" s="483" t="s">
        <v>7228</v>
      </c>
    </row>
    <row r="1726" spans="1:8">
      <c r="E1726" s="329">
        <v>18</v>
      </c>
      <c r="F1726" s="329"/>
      <c r="G1726" s="483" t="s">
        <v>6913</v>
      </c>
      <c r="H1726" s="483" t="s">
        <v>7229</v>
      </c>
    </row>
    <row r="1727" spans="1:8">
      <c r="E1727" s="329">
        <v>100</v>
      </c>
      <c r="F1727" s="329"/>
      <c r="G1727" s="483" t="s">
        <v>6924</v>
      </c>
      <c r="H1727" s="483" t="s">
        <v>7230</v>
      </c>
    </row>
    <row r="1728" spans="1:8">
      <c r="D1728" s="483" t="s">
        <v>7009</v>
      </c>
      <c r="E1728" s="484" t="s">
        <v>7231</v>
      </c>
      <c r="F1728" s="484"/>
      <c r="G1728" s="484"/>
      <c r="H1728" s="484"/>
    </row>
    <row r="1729" spans="1:8" ht="18" customHeight="1">
      <c r="E1729" s="484"/>
      <c r="F1729" s="484"/>
      <c r="G1729" s="484"/>
    </row>
    <row r="1730" spans="1:8">
      <c r="A1730" s="483" t="s">
        <v>7232</v>
      </c>
    </row>
    <row r="1731" spans="1:8">
      <c r="C1731" s="483">
        <v>17000</v>
      </c>
      <c r="H1731" s="483" t="s">
        <v>7233</v>
      </c>
    </row>
    <row r="1732" spans="1:8">
      <c r="E1732" s="329">
        <v>28</v>
      </c>
      <c r="F1732" s="329"/>
      <c r="G1732" s="483" t="s">
        <v>6924</v>
      </c>
      <c r="H1732" s="483" t="s">
        <v>7224</v>
      </c>
    </row>
    <row r="1733" spans="1:8">
      <c r="E1733" s="329">
        <v>115</v>
      </c>
      <c r="F1733" s="329"/>
      <c r="G1733" s="483" t="s">
        <v>6924</v>
      </c>
      <c r="H1733" s="483" t="s">
        <v>7234</v>
      </c>
    </row>
    <row r="1734" spans="1:8">
      <c r="E1734" s="329">
        <v>28</v>
      </c>
      <c r="F1734" s="329"/>
      <c r="G1734" s="483" t="s">
        <v>6924</v>
      </c>
      <c r="H1734" s="483" t="s">
        <v>7225</v>
      </c>
    </row>
    <row r="1735" spans="1:8">
      <c r="D1735" s="483" t="s">
        <v>7009</v>
      </c>
      <c r="E1735" s="484" t="s">
        <v>7235</v>
      </c>
      <c r="F1735" s="484"/>
      <c r="G1735" s="484"/>
      <c r="H1735" s="484"/>
    </row>
    <row r="1736" spans="1:8">
      <c r="E1736" s="484"/>
      <c r="F1736" s="484"/>
      <c r="G1736" s="484"/>
      <c r="H1736" s="484"/>
    </row>
    <row r="1737" spans="1:8">
      <c r="A1737" s="483" t="s">
        <v>7236</v>
      </c>
      <c r="E1737" s="484"/>
      <c r="F1737" s="484"/>
      <c r="G1737" s="484"/>
    </row>
    <row r="1738" spans="1:8">
      <c r="C1738" s="483">
        <v>22857</v>
      </c>
      <c r="H1738" s="483" t="s">
        <v>7237</v>
      </c>
    </row>
    <row r="1739" spans="1:8">
      <c r="C1739" s="483">
        <v>63352</v>
      </c>
      <c r="H1739" s="483" t="s">
        <v>7238</v>
      </c>
    </row>
    <row r="1740" spans="1:8">
      <c r="E1740" s="484"/>
      <c r="F1740" s="484"/>
      <c r="G1740" s="484"/>
      <c r="H1740" s="484"/>
    </row>
    <row r="1741" spans="1:8">
      <c r="A1741" s="483" t="s">
        <v>7239</v>
      </c>
      <c r="E1741" s="484"/>
      <c r="F1741" s="484"/>
      <c r="G1741" s="484"/>
      <c r="H1741" s="484"/>
    </row>
    <row r="1742" spans="1:8" ht="231">
      <c r="C1742" s="483">
        <v>60000</v>
      </c>
      <c r="E1742" s="484"/>
      <c r="F1742" s="484"/>
      <c r="G1742" s="329" t="s">
        <v>7240</v>
      </c>
      <c r="H1742" s="486" t="s">
        <v>7241</v>
      </c>
    </row>
    <row r="1743" spans="1:8">
      <c r="E1743" s="329">
        <v>30</v>
      </c>
      <c r="F1743" s="329"/>
      <c r="G1743" s="483" t="s">
        <v>7022</v>
      </c>
      <c r="H1743" s="486" t="s">
        <v>7242</v>
      </c>
    </row>
    <row r="1744" spans="1:8">
      <c r="D1744" s="483" t="s">
        <v>7009</v>
      </c>
      <c r="E1744" s="484" t="s">
        <v>7243</v>
      </c>
      <c r="F1744" s="484"/>
      <c r="G1744" s="484"/>
      <c r="H1744" s="484"/>
    </row>
    <row r="1745" spans="1:8">
      <c r="E1745" s="484"/>
      <c r="F1745" s="484"/>
      <c r="G1745" s="484"/>
      <c r="H1745" s="484"/>
    </row>
    <row r="1746" spans="1:8">
      <c r="A1746" s="483" t="s">
        <v>7244</v>
      </c>
      <c r="E1746" s="484"/>
      <c r="F1746" s="484"/>
      <c r="G1746" s="484"/>
    </row>
    <row r="1747" spans="1:8">
      <c r="E1747" s="329">
        <v>105</v>
      </c>
      <c r="F1747" s="329"/>
      <c r="G1747" s="483" t="s">
        <v>6924</v>
      </c>
      <c r="H1747" s="483" t="s">
        <v>7245</v>
      </c>
    </row>
    <row r="1748" spans="1:8">
      <c r="E1748" s="329">
        <v>15</v>
      </c>
      <c r="F1748" s="329"/>
      <c r="G1748" s="483" t="s">
        <v>6924</v>
      </c>
      <c r="H1748" s="483" t="s">
        <v>7246</v>
      </c>
    </row>
    <row r="1749" spans="1:8">
      <c r="D1749" s="483" t="s">
        <v>7009</v>
      </c>
      <c r="E1749" s="484" t="s">
        <v>7247</v>
      </c>
      <c r="F1749" s="484"/>
      <c r="G1749" s="484"/>
      <c r="H1749" s="484"/>
    </row>
    <row r="1750" spans="1:8">
      <c r="E1750" s="484"/>
      <c r="F1750" s="484"/>
      <c r="G1750" s="484"/>
      <c r="H1750" s="484"/>
    </row>
    <row r="1751" spans="1:8">
      <c r="A1751" s="483" t="s">
        <v>7248</v>
      </c>
    </row>
    <row r="1752" spans="1:8">
      <c r="C1752" s="483">
        <v>46080</v>
      </c>
      <c r="H1752" s="483" t="s">
        <v>7249</v>
      </c>
    </row>
    <row r="1754" spans="1:8">
      <c r="A1754" s="483" t="s">
        <v>7250</v>
      </c>
      <c r="E1754" s="484"/>
      <c r="F1754" s="484"/>
      <c r="G1754" s="484"/>
    </row>
    <row r="1755" spans="1:8">
      <c r="E1755" s="329">
        <v>70</v>
      </c>
      <c r="F1755" s="329"/>
      <c r="G1755" s="483" t="s">
        <v>6972</v>
      </c>
      <c r="H1755" s="483" t="s">
        <v>7251</v>
      </c>
    </row>
    <row r="1756" spans="1:8">
      <c r="E1756" s="329">
        <v>126</v>
      </c>
      <c r="F1756" s="329"/>
      <c r="G1756" s="483" t="s">
        <v>6972</v>
      </c>
      <c r="H1756" s="483" t="s">
        <v>7252</v>
      </c>
    </row>
    <row r="1757" spans="1:8">
      <c r="E1757" s="329">
        <v>40</v>
      </c>
      <c r="F1757" s="329"/>
      <c r="G1757" s="483" t="s">
        <v>6972</v>
      </c>
      <c r="H1757" s="483" t="s">
        <v>7253</v>
      </c>
    </row>
    <row r="1758" spans="1:8">
      <c r="D1758" s="483" t="s">
        <v>7009</v>
      </c>
      <c r="E1758" s="484" t="s">
        <v>7254</v>
      </c>
      <c r="F1758" s="484"/>
      <c r="G1758" s="484"/>
      <c r="H1758" s="484" t="s">
        <v>7255</v>
      </c>
    </row>
    <row r="1759" spans="1:8">
      <c r="E1759" s="484"/>
      <c r="F1759" s="484"/>
      <c r="G1759" s="484"/>
      <c r="H1759" s="484"/>
    </row>
    <row r="1760" spans="1:8">
      <c r="A1760" s="483" t="s">
        <v>7256</v>
      </c>
      <c r="E1760" s="484"/>
      <c r="F1760" s="484"/>
      <c r="G1760" s="484"/>
    </row>
    <row r="1761" spans="1:8">
      <c r="E1761" s="483">
        <v>45</v>
      </c>
      <c r="G1761" s="483" t="s">
        <v>6943</v>
      </c>
      <c r="H1761" s="483" t="s">
        <v>7257</v>
      </c>
    </row>
    <row r="1762" spans="1:8">
      <c r="E1762" s="483">
        <v>45</v>
      </c>
      <c r="G1762" s="483" t="s">
        <v>6943</v>
      </c>
      <c r="H1762" s="483" t="s">
        <v>7258</v>
      </c>
    </row>
    <row r="1763" spans="1:8">
      <c r="E1763" s="483">
        <v>700</v>
      </c>
      <c r="G1763" s="483" t="s">
        <v>6943</v>
      </c>
      <c r="H1763" s="483" t="s">
        <v>7259</v>
      </c>
    </row>
    <row r="1764" spans="1:8">
      <c r="D1764" s="483" t="s">
        <v>7009</v>
      </c>
      <c r="E1764" s="484" t="s">
        <v>7260</v>
      </c>
      <c r="F1764" s="484"/>
      <c r="G1764" s="484"/>
      <c r="H1764" s="484"/>
    </row>
    <row r="1765" spans="1:8">
      <c r="E1765" s="484"/>
      <c r="F1765" s="484"/>
      <c r="G1765" s="484"/>
    </row>
    <row r="1766" spans="1:8">
      <c r="A1766" s="483" t="s">
        <v>7261</v>
      </c>
    </row>
    <row r="1767" spans="1:8" ht="82.5">
      <c r="C1767" s="483">
        <v>36000</v>
      </c>
      <c r="H1767" s="486" t="s">
        <v>7262</v>
      </c>
    </row>
    <row r="1768" spans="1:8">
      <c r="E1768" s="484"/>
      <c r="F1768" s="484"/>
      <c r="G1768" s="484"/>
      <c r="H1768" s="484"/>
    </row>
    <row r="1769" spans="1:8">
      <c r="A1769" s="483" t="s">
        <v>7263</v>
      </c>
      <c r="E1769" s="484"/>
      <c r="F1769" s="484"/>
      <c r="G1769" s="484"/>
    </row>
    <row r="1770" spans="1:8">
      <c r="E1770" s="483">
        <v>45</v>
      </c>
      <c r="G1770" s="483" t="s">
        <v>6943</v>
      </c>
      <c r="H1770" s="483" t="s">
        <v>7264</v>
      </c>
    </row>
    <row r="1771" spans="1:8">
      <c r="D1771" s="483" t="s">
        <v>7009</v>
      </c>
      <c r="E1771" s="484" t="s">
        <v>7265</v>
      </c>
      <c r="F1771" s="484"/>
      <c r="G1771" s="484"/>
      <c r="H1771" s="484"/>
    </row>
    <row r="1773" spans="1:8">
      <c r="A1773" s="483" t="s">
        <v>7266</v>
      </c>
      <c r="E1773" s="484"/>
      <c r="F1773" s="484"/>
      <c r="G1773" s="484"/>
    </row>
    <row r="1774" spans="1:8">
      <c r="E1774" s="329">
        <v>125</v>
      </c>
      <c r="F1774" s="329"/>
      <c r="G1774" s="483" t="s">
        <v>6924</v>
      </c>
      <c r="H1774" s="483" t="s">
        <v>7267</v>
      </c>
    </row>
    <row r="1775" spans="1:8">
      <c r="E1775" s="329">
        <v>120</v>
      </c>
      <c r="F1775" s="329"/>
      <c r="G1775" s="483" t="s">
        <v>6924</v>
      </c>
      <c r="H1775" s="483" t="s">
        <v>7267</v>
      </c>
    </row>
    <row r="1776" spans="1:8">
      <c r="D1776" s="483" t="s">
        <v>7009</v>
      </c>
      <c r="E1776" s="484" t="s">
        <v>7268</v>
      </c>
      <c r="F1776" s="484"/>
      <c r="G1776" s="484"/>
      <c r="H1776" s="484"/>
    </row>
    <row r="1777" spans="1:8">
      <c r="E1777" s="484"/>
      <c r="F1777" s="484"/>
      <c r="G1777" s="484"/>
      <c r="H1777" s="484"/>
    </row>
    <row r="1778" spans="1:8">
      <c r="A1778" s="483" t="s">
        <v>7269</v>
      </c>
      <c r="E1778" s="484"/>
      <c r="F1778" s="484"/>
      <c r="G1778" s="484"/>
      <c r="H1778" s="484"/>
    </row>
    <row r="1779" spans="1:8">
      <c r="E1779" s="329">
        <v>199</v>
      </c>
      <c r="F1779" s="329">
        <v>2348</v>
      </c>
      <c r="G1779" s="329" t="s">
        <v>6937</v>
      </c>
      <c r="H1779" s="329" t="s">
        <v>7270</v>
      </c>
    </row>
    <row r="1780" spans="1:8">
      <c r="E1780" s="329">
        <v>1205</v>
      </c>
      <c r="F1780" s="329">
        <v>1143</v>
      </c>
      <c r="G1780" s="483" t="s">
        <v>6931</v>
      </c>
      <c r="H1780" s="483" t="s">
        <v>7271</v>
      </c>
    </row>
    <row r="1781" spans="1:8">
      <c r="A1781" s="483" t="s">
        <v>7256</v>
      </c>
      <c r="E1781" s="484"/>
      <c r="F1781" s="484"/>
      <c r="G1781" s="484"/>
    </row>
    <row r="1782" spans="1:8">
      <c r="E1782" s="483">
        <v>45</v>
      </c>
      <c r="F1782" s="483">
        <v>1098</v>
      </c>
      <c r="G1782" s="483" t="s">
        <v>6943</v>
      </c>
      <c r="H1782" s="483" t="s">
        <v>7272</v>
      </c>
    </row>
    <row r="1783" spans="1:8">
      <c r="E1783" s="483">
        <v>30</v>
      </c>
      <c r="F1783" s="329">
        <v>1068</v>
      </c>
      <c r="G1783" s="483" t="s">
        <v>6943</v>
      </c>
      <c r="H1783" s="483" t="s">
        <v>7273</v>
      </c>
    </row>
    <row r="1784" spans="1:8">
      <c r="E1784" s="483">
        <v>45</v>
      </c>
      <c r="F1784" s="329">
        <v>1023</v>
      </c>
      <c r="G1784" s="483" t="s">
        <v>6972</v>
      </c>
      <c r="H1784" s="483" t="s">
        <v>7274</v>
      </c>
    </row>
    <row r="1785" spans="1:8">
      <c r="F1785" s="329"/>
    </row>
    <row r="1786" spans="1:8">
      <c r="A1786" s="483" t="s">
        <v>7275</v>
      </c>
    </row>
    <row r="1787" spans="1:8">
      <c r="C1787" s="483">
        <v>250</v>
      </c>
      <c r="H1787" s="483" t="s">
        <v>7276</v>
      </c>
    </row>
    <row r="1789" spans="1:8">
      <c r="A1789" s="483" t="s">
        <v>7266</v>
      </c>
      <c r="E1789" s="484"/>
      <c r="F1789" s="484"/>
      <c r="G1789" s="484"/>
    </row>
    <row r="1790" spans="1:8">
      <c r="E1790" s="329">
        <v>265</v>
      </c>
      <c r="F1790" s="329">
        <v>758</v>
      </c>
      <c r="G1790" s="483" t="s">
        <v>6924</v>
      </c>
      <c r="H1790" s="483" t="s">
        <v>7277</v>
      </c>
    </row>
    <row r="1791" spans="1:8">
      <c r="E1791" s="329">
        <v>240</v>
      </c>
      <c r="F1791" s="329">
        <v>518</v>
      </c>
      <c r="G1791" s="483" t="s">
        <v>6924</v>
      </c>
      <c r="H1791" s="483" t="s">
        <v>7277</v>
      </c>
    </row>
    <row r="1792" spans="1:8">
      <c r="E1792" s="329"/>
      <c r="F1792" s="329"/>
    </row>
    <row r="1793" spans="1:8">
      <c r="A1793" s="483" t="s">
        <v>7278</v>
      </c>
      <c r="E1793" s="484"/>
      <c r="F1793" s="484"/>
      <c r="G1793" s="484"/>
    </row>
    <row r="1794" spans="1:8">
      <c r="C1794" s="483">
        <v>5000</v>
      </c>
      <c r="E1794" s="484"/>
      <c r="F1794" s="484"/>
      <c r="G1794" s="484"/>
      <c r="H1794" s="483" t="s">
        <v>6836</v>
      </c>
    </row>
    <row r="1795" spans="1:8">
      <c r="D1795" s="483">
        <v>5000</v>
      </c>
      <c r="E1795" s="484"/>
      <c r="F1795" s="329">
        <v>5518</v>
      </c>
      <c r="G1795" s="484"/>
      <c r="H1795" s="483" t="s">
        <v>6836</v>
      </c>
    </row>
    <row r="1796" spans="1:8" ht="18" customHeight="1">
      <c r="E1796" s="484"/>
      <c r="F1796" s="484"/>
      <c r="G1796" s="484"/>
    </row>
    <row r="1797" spans="1:8">
      <c r="A1797" s="483" t="s">
        <v>7279</v>
      </c>
    </row>
    <row r="1798" spans="1:8">
      <c r="C1798" s="483">
        <v>17000</v>
      </c>
      <c r="H1798" s="483" t="s">
        <v>7280</v>
      </c>
    </row>
    <row r="1799" spans="1:8">
      <c r="E1799" s="483">
        <v>12</v>
      </c>
      <c r="F1799" s="483">
        <v>5506</v>
      </c>
      <c r="G1799" s="483" t="s">
        <v>6943</v>
      </c>
      <c r="H1799" s="483" t="s">
        <v>7281</v>
      </c>
    </row>
    <row r="1801" spans="1:8">
      <c r="A1801" s="483" t="s">
        <v>7282</v>
      </c>
      <c r="E1801" s="484"/>
      <c r="F1801" s="484"/>
      <c r="G1801" s="484"/>
    </row>
    <row r="1802" spans="1:8">
      <c r="C1802" s="483">
        <v>22857</v>
      </c>
      <c r="H1802" s="483" t="s">
        <v>7283</v>
      </c>
    </row>
    <row r="1803" spans="1:8">
      <c r="C1803" s="483">
        <v>93000</v>
      </c>
      <c r="H1803" s="483" t="s">
        <v>7284</v>
      </c>
    </row>
    <row r="1804" spans="1:8">
      <c r="C1804" s="483">
        <v>63352</v>
      </c>
      <c r="H1804" s="483" t="s">
        <v>7285</v>
      </c>
    </row>
    <row r="1806" spans="1:8">
      <c r="A1806" s="483" t="s">
        <v>7286</v>
      </c>
      <c r="E1806" s="484"/>
      <c r="F1806" s="484"/>
      <c r="G1806" s="484"/>
    </row>
    <row r="1807" spans="1:8">
      <c r="E1807" s="329">
        <v>80</v>
      </c>
      <c r="F1807" s="329">
        <v>5426</v>
      </c>
      <c r="G1807" s="483" t="s">
        <v>6924</v>
      </c>
      <c r="H1807" s="483" t="s">
        <v>7287</v>
      </c>
    </row>
    <row r="1808" spans="1:8">
      <c r="E1808" s="329">
        <v>65</v>
      </c>
      <c r="F1808" s="329">
        <v>5361</v>
      </c>
      <c r="G1808" s="483" t="s">
        <v>6924</v>
      </c>
      <c r="H1808" s="483" t="s">
        <v>7288</v>
      </c>
    </row>
    <row r="1809" spans="1:8">
      <c r="E1809" s="329">
        <v>100</v>
      </c>
      <c r="F1809" s="329">
        <v>5261</v>
      </c>
      <c r="G1809" s="483" t="s">
        <v>6924</v>
      </c>
      <c r="H1809" s="483" t="s">
        <v>7289</v>
      </c>
    </row>
    <row r="1810" spans="1:8">
      <c r="E1810" s="329">
        <v>65</v>
      </c>
      <c r="F1810" s="329">
        <v>5196</v>
      </c>
      <c r="G1810" s="483" t="s">
        <v>6924</v>
      </c>
      <c r="H1810" s="483" t="s">
        <v>7288</v>
      </c>
    </row>
    <row r="1811" spans="1:8">
      <c r="E1811" s="329">
        <v>80</v>
      </c>
      <c r="F1811" s="329">
        <v>5116</v>
      </c>
      <c r="G1811" s="483" t="s">
        <v>6924</v>
      </c>
      <c r="H1811" s="483" t="s">
        <v>7287</v>
      </c>
    </row>
    <row r="1812" spans="1:8">
      <c r="E1812" s="329"/>
      <c r="F1812" s="329"/>
    </row>
    <row r="1813" spans="1:8">
      <c r="F1813" s="329"/>
    </row>
    <row r="1814" spans="1:8">
      <c r="A1814" s="483" t="s">
        <v>7290</v>
      </c>
    </row>
    <row r="1815" spans="1:8">
      <c r="C1815" s="483">
        <v>33661</v>
      </c>
      <c r="H1815" s="483" t="s">
        <v>7291</v>
      </c>
    </row>
    <row r="1817" spans="1:8">
      <c r="A1817" s="483" t="s">
        <v>7292</v>
      </c>
      <c r="E1817" s="484"/>
      <c r="F1817" s="484"/>
      <c r="G1817" s="484"/>
    </row>
    <row r="1818" spans="1:8">
      <c r="E1818" s="329">
        <v>70</v>
      </c>
      <c r="F1818" s="329">
        <v>5046</v>
      </c>
      <c r="G1818" s="483" t="s">
        <v>6924</v>
      </c>
      <c r="H1818" s="483" t="s">
        <v>7293</v>
      </c>
    </row>
    <row r="1819" spans="1:8">
      <c r="E1819" s="329">
        <v>65</v>
      </c>
      <c r="F1819" s="329">
        <v>4981</v>
      </c>
      <c r="G1819" s="483" t="s">
        <v>6924</v>
      </c>
      <c r="H1819" s="483" t="s">
        <v>7288</v>
      </c>
    </row>
    <row r="1820" spans="1:8">
      <c r="E1820" s="329">
        <v>100</v>
      </c>
      <c r="F1820" s="329">
        <v>4881</v>
      </c>
      <c r="G1820" s="483" t="s">
        <v>6924</v>
      </c>
      <c r="H1820" s="483" t="s">
        <v>7289</v>
      </c>
    </row>
    <row r="1821" spans="1:8">
      <c r="E1821" s="329">
        <v>65</v>
      </c>
      <c r="F1821" s="329">
        <v>4816</v>
      </c>
      <c r="G1821" s="483" t="s">
        <v>6924</v>
      </c>
      <c r="H1821" s="483" t="s">
        <v>7288</v>
      </c>
    </row>
    <row r="1822" spans="1:8">
      <c r="E1822" s="329">
        <v>75</v>
      </c>
      <c r="F1822" s="329">
        <v>4741</v>
      </c>
      <c r="G1822" s="483" t="s">
        <v>6924</v>
      </c>
      <c r="H1822" s="483" t="s">
        <v>7287</v>
      </c>
    </row>
    <row r="1824" spans="1:8">
      <c r="A1824" s="483" t="s">
        <v>7294</v>
      </c>
      <c r="E1824" s="484"/>
      <c r="F1824" s="484"/>
      <c r="G1824" s="484"/>
    </row>
    <row r="1825" spans="1:8">
      <c r="E1825" s="329">
        <v>35</v>
      </c>
      <c r="F1825" s="329">
        <v>4706</v>
      </c>
      <c r="G1825" s="483" t="s">
        <v>6924</v>
      </c>
      <c r="H1825" s="483" t="s">
        <v>7295</v>
      </c>
    </row>
    <row r="1826" spans="1:8">
      <c r="E1826" s="329">
        <v>35</v>
      </c>
      <c r="F1826" s="329">
        <v>4671</v>
      </c>
      <c r="G1826" s="483" t="s">
        <v>6924</v>
      </c>
      <c r="H1826" s="483" t="s">
        <v>7296</v>
      </c>
    </row>
    <row r="1827" spans="1:8">
      <c r="H1827" s="484" t="s">
        <v>7297</v>
      </c>
    </row>
    <row r="1828" spans="1:8">
      <c r="E1828" s="484"/>
      <c r="F1828" s="484"/>
      <c r="G1828" s="484"/>
      <c r="H1828" s="484"/>
    </row>
    <row r="1829" spans="1:8">
      <c r="A1829" s="483" t="s">
        <v>7298</v>
      </c>
      <c r="E1829" s="484"/>
      <c r="F1829" s="484"/>
      <c r="G1829" s="484"/>
      <c r="H1829" s="484"/>
    </row>
    <row r="1830" spans="1:8">
      <c r="E1830" s="329">
        <v>80</v>
      </c>
      <c r="F1830" s="329">
        <v>4591</v>
      </c>
      <c r="G1830" s="483" t="s">
        <v>6913</v>
      </c>
      <c r="H1830" s="483" t="s">
        <v>7299</v>
      </c>
    </row>
    <row r="1831" spans="1:8">
      <c r="E1831" s="484"/>
      <c r="F1831" s="484"/>
      <c r="G1831" s="484"/>
      <c r="H1831" s="484"/>
    </row>
    <row r="1832" spans="1:8">
      <c r="A1832" s="483" t="s">
        <v>7300</v>
      </c>
      <c r="E1832" s="484"/>
      <c r="F1832" s="484"/>
      <c r="G1832" s="484"/>
      <c r="H1832" s="484"/>
    </row>
    <row r="1833" spans="1:8">
      <c r="E1833" s="329">
        <v>6</v>
      </c>
      <c r="F1833" s="329">
        <v>4585</v>
      </c>
      <c r="G1833" s="483" t="s">
        <v>6972</v>
      </c>
      <c r="H1833" s="483" t="s">
        <v>7301</v>
      </c>
    </row>
    <row r="1834" spans="1:8">
      <c r="E1834" s="483">
        <v>52</v>
      </c>
      <c r="F1834" s="483">
        <v>4533</v>
      </c>
      <c r="G1834" s="483" t="s">
        <v>6943</v>
      </c>
      <c r="H1834" s="483" t="s">
        <v>7302</v>
      </c>
    </row>
    <row r="1835" spans="1:8">
      <c r="E1835" s="329">
        <v>78</v>
      </c>
      <c r="F1835" s="329">
        <v>4455</v>
      </c>
      <c r="G1835" s="483" t="s">
        <v>6972</v>
      </c>
      <c r="H1835" s="483" t="s">
        <v>7303</v>
      </c>
    </row>
    <row r="1836" spans="1:8">
      <c r="E1836" s="484"/>
      <c r="F1836" s="484"/>
      <c r="G1836" s="484"/>
      <c r="H1836" s="484"/>
    </row>
    <row r="1837" spans="1:8">
      <c r="A1837" s="483" t="s">
        <v>7304</v>
      </c>
      <c r="E1837" s="484"/>
      <c r="F1837" s="484"/>
      <c r="G1837" s="484"/>
      <c r="H1837" s="484"/>
    </row>
    <row r="1838" spans="1:8">
      <c r="E1838" s="329">
        <v>1205</v>
      </c>
      <c r="F1838" s="329">
        <v>3250</v>
      </c>
      <c r="G1838" s="483" t="s">
        <v>6931</v>
      </c>
      <c r="H1838" s="483" t="s">
        <v>7305</v>
      </c>
    </row>
    <row r="1839" spans="1:8">
      <c r="E1839" s="484"/>
      <c r="F1839" s="484"/>
      <c r="G1839" s="484"/>
      <c r="H1839" s="484"/>
    </row>
    <row r="1840" spans="1:8">
      <c r="A1840" s="483" t="s">
        <v>7306</v>
      </c>
      <c r="E1840" s="484"/>
      <c r="F1840" s="484"/>
      <c r="G1840" s="484"/>
      <c r="H1840" s="484"/>
    </row>
    <row r="1841" spans="1:8" ht="330">
      <c r="C1841" s="483">
        <v>16000</v>
      </c>
      <c r="E1841" s="329"/>
      <c r="F1841" s="329"/>
      <c r="H1841" s="486" t="s">
        <v>7307</v>
      </c>
    </row>
    <row r="1842" spans="1:8">
      <c r="E1842" s="329"/>
      <c r="F1842" s="329"/>
      <c r="H1842" s="486"/>
    </row>
    <row r="1843" spans="1:8">
      <c r="A1843" s="483" t="s">
        <v>7308</v>
      </c>
    </row>
    <row r="1844" spans="1:8">
      <c r="E1844" s="329">
        <v>100</v>
      </c>
      <c r="F1844" s="329">
        <v>3150</v>
      </c>
      <c r="G1844" s="483" t="s">
        <v>6924</v>
      </c>
      <c r="H1844" s="483" t="s">
        <v>7309</v>
      </c>
    </row>
    <row r="1845" spans="1:8">
      <c r="E1845" s="329">
        <v>100</v>
      </c>
      <c r="F1845" s="329">
        <v>3050</v>
      </c>
      <c r="G1845" s="483" t="s">
        <v>6924</v>
      </c>
      <c r="H1845" s="483" t="s">
        <v>7310</v>
      </c>
    </row>
    <row r="1846" spans="1:8">
      <c r="E1846" s="484"/>
      <c r="F1846" s="484"/>
      <c r="G1846" s="484"/>
      <c r="H1846" s="484"/>
    </row>
    <row r="1847" spans="1:8">
      <c r="E1847" s="329"/>
      <c r="F1847" s="329"/>
      <c r="H1847" s="486"/>
    </row>
    <row r="1848" spans="1:8">
      <c r="A1848" s="483" t="s">
        <v>7308</v>
      </c>
    </row>
    <row r="1849" spans="1:8">
      <c r="E1849" s="329">
        <v>144</v>
      </c>
      <c r="F1849" s="329">
        <v>2906</v>
      </c>
      <c r="G1849" s="483" t="s">
        <v>6924</v>
      </c>
      <c r="H1849" s="483" t="s">
        <v>7311</v>
      </c>
    </row>
    <row r="1850" spans="1:8">
      <c r="E1850" s="329">
        <v>30</v>
      </c>
      <c r="F1850" s="329">
        <v>2876</v>
      </c>
      <c r="G1850" s="483" t="s">
        <v>6924</v>
      </c>
      <c r="H1850" s="483" t="s">
        <v>7311</v>
      </c>
    </row>
    <row r="1851" spans="1:8">
      <c r="E1851" s="329"/>
      <c r="F1851" s="329"/>
      <c r="G1851" s="329"/>
    </row>
    <row r="1852" spans="1:8">
      <c r="A1852" s="483" t="s">
        <v>7312</v>
      </c>
      <c r="E1852" s="329"/>
      <c r="F1852" s="329"/>
      <c r="G1852" s="329"/>
    </row>
    <row r="1853" spans="1:8">
      <c r="E1853" s="329">
        <v>18</v>
      </c>
      <c r="F1853" s="329">
        <v>2858</v>
      </c>
      <c r="G1853" s="483" t="s">
        <v>6913</v>
      </c>
      <c r="H1853" s="483" t="s">
        <v>7313</v>
      </c>
    </row>
    <row r="1854" spans="1:8">
      <c r="E1854" s="484"/>
      <c r="F1854" s="484"/>
      <c r="G1854" s="484"/>
      <c r="H1854" s="484"/>
    </row>
    <row r="1855" spans="1:8">
      <c r="A1855" s="483" t="s">
        <v>7314</v>
      </c>
    </row>
    <row r="1856" spans="1:8">
      <c r="C1856" s="483">
        <v>17000</v>
      </c>
      <c r="H1856" s="483" t="s">
        <v>7315</v>
      </c>
    </row>
    <row r="1858" spans="1:8">
      <c r="A1858" s="483" t="s">
        <v>7316</v>
      </c>
      <c r="E1858" s="484"/>
      <c r="F1858" s="484"/>
      <c r="G1858" s="484"/>
    </row>
    <row r="1859" spans="1:8">
      <c r="C1859" s="483">
        <v>22857</v>
      </c>
      <c r="H1859" s="483" t="s">
        <v>7317</v>
      </c>
    </row>
    <row r="1860" spans="1:8">
      <c r="C1860" s="483">
        <v>12000</v>
      </c>
      <c r="H1860" s="483" t="s">
        <v>7318</v>
      </c>
    </row>
    <row r="1861" spans="1:8">
      <c r="C1861" s="483">
        <v>63352</v>
      </c>
      <c r="H1861" s="483" t="s">
        <v>7319</v>
      </c>
    </row>
    <row r="1862" spans="1:8">
      <c r="E1862" s="484"/>
      <c r="F1862" s="484"/>
      <c r="G1862" s="484"/>
      <c r="H1862" s="484"/>
    </row>
    <row r="1863" spans="1:8">
      <c r="A1863" s="483" t="s">
        <v>7320</v>
      </c>
    </row>
    <row r="1864" spans="1:8">
      <c r="C1864" s="483">
        <v>2176</v>
      </c>
      <c r="H1864" s="483" t="s">
        <v>7321</v>
      </c>
    </row>
    <row r="1866" spans="1:8">
      <c r="A1866" s="483" t="s">
        <v>7322</v>
      </c>
      <c r="E1866" s="484"/>
      <c r="F1866" s="484"/>
      <c r="G1866" s="484"/>
    </row>
    <row r="1867" spans="1:8">
      <c r="E1867" s="329">
        <v>200</v>
      </c>
      <c r="F1867" s="329">
        <v>2658</v>
      </c>
      <c r="G1867" s="483" t="s">
        <v>6924</v>
      </c>
      <c r="H1867" s="483" t="s">
        <v>7323</v>
      </c>
    </row>
    <row r="1868" spans="1:8">
      <c r="E1868" s="329">
        <v>200</v>
      </c>
      <c r="F1868" s="329">
        <v>2458</v>
      </c>
      <c r="G1868" s="483" t="s">
        <v>6924</v>
      </c>
      <c r="H1868" s="483" t="s">
        <v>7323</v>
      </c>
    </row>
    <row r="1869" spans="1:8">
      <c r="E1869" s="329"/>
      <c r="F1869" s="329"/>
    </row>
    <row r="1870" spans="1:8">
      <c r="A1870" s="483" t="s">
        <v>7324</v>
      </c>
      <c r="E1870" s="484"/>
      <c r="F1870" s="484"/>
      <c r="G1870" s="484"/>
    </row>
    <row r="1871" spans="1:8">
      <c r="E1871" s="329">
        <v>300</v>
      </c>
      <c r="F1871" s="329">
        <v>2158</v>
      </c>
      <c r="G1871" s="483" t="s">
        <v>6924</v>
      </c>
      <c r="H1871" s="483" t="s">
        <v>7325</v>
      </c>
    </row>
    <row r="1872" spans="1:8">
      <c r="E1872" s="329">
        <v>300</v>
      </c>
      <c r="F1872" s="329">
        <v>1858</v>
      </c>
      <c r="G1872" s="483" t="s">
        <v>6924</v>
      </c>
      <c r="H1872" s="483" t="s">
        <v>7325</v>
      </c>
    </row>
    <row r="1873" spans="1:8">
      <c r="E1873" s="329"/>
      <c r="F1873" s="329"/>
    </row>
    <row r="1874" spans="1:8">
      <c r="A1874" s="483" t="s">
        <v>7326</v>
      </c>
      <c r="E1874" s="484"/>
      <c r="F1874" s="484"/>
      <c r="G1874" s="484"/>
    </row>
    <row r="1875" spans="1:8">
      <c r="E1875" s="329">
        <v>130</v>
      </c>
      <c r="F1875" s="329">
        <v>1728</v>
      </c>
      <c r="G1875" s="483" t="s">
        <v>6924</v>
      </c>
      <c r="H1875" s="483" t="s">
        <v>7327</v>
      </c>
    </row>
    <row r="1876" spans="1:8">
      <c r="E1876" s="329">
        <v>120</v>
      </c>
      <c r="F1876" s="329">
        <v>1608</v>
      </c>
      <c r="G1876" s="483" t="s">
        <v>6924</v>
      </c>
      <c r="H1876" s="483" t="s">
        <v>7327</v>
      </c>
    </row>
    <row r="1877" spans="1:8">
      <c r="E1877" s="484"/>
      <c r="F1877" s="484"/>
      <c r="G1877" s="484"/>
    </row>
    <row r="1878" spans="1:8">
      <c r="A1878" s="483" t="s">
        <v>7328</v>
      </c>
      <c r="E1878" s="484"/>
      <c r="F1878" s="484"/>
      <c r="G1878" s="484"/>
    </row>
    <row r="1879" spans="1:8">
      <c r="E1879" s="483">
        <v>40</v>
      </c>
      <c r="F1879" s="329">
        <v>1568</v>
      </c>
      <c r="G1879" s="483" t="s">
        <v>6960</v>
      </c>
      <c r="H1879" s="483" t="s">
        <v>7329</v>
      </c>
    </row>
    <row r="1880" spans="1:8">
      <c r="E1880" s="329">
        <v>45</v>
      </c>
      <c r="F1880" s="329">
        <v>1523</v>
      </c>
      <c r="G1880" s="483" t="s">
        <v>6924</v>
      </c>
      <c r="H1880" s="483" t="s">
        <v>7330</v>
      </c>
    </row>
    <row r="1881" spans="1:8">
      <c r="E1881" s="329"/>
      <c r="F1881" s="329"/>
    </row>
    <row r="1882" spans="1:8">
      <c r="A1882" s="483" t="s">
        <v>7331</v>
      </c>
      <c r="E1882" s="484"/>
      <c r="F1882" s="484"/>
      <c r="G1882" s="484"/>
    </row>
    <row r="1883" spans="1:8">
      <c r="E1883" s="329">
        <v>230</v>
      </c>
      <c r="F1883" s="329">
        <v>1293</v>
      </c>
      <c r="G1883" s="483" t="s">
        <v>6924</v>
      </c>
      <c r="H1883" s="483" t="s">
        <v>7332</v>
      </c>
    </row>
    <row r="1884" spans="1:8">
      <c r="E1884" s="329">
        <v>240</v>
      </c>
      <c r="F1884" s="329">
        <v>1053</v>
      </c>
      <c r="G1884" s="483" t="s">
        <v>6924</v>
      </c>
      <c r="H1884" s="483" t="s">
        <v>7332</v>
      </c>
    </row>
    <row r="1885" spans="1:8">
      <c r="E1885" s="484"/>
      <c r="F1885" s="484"/>
      <c r="G1885" s="484"/>
      <c r="H1885" s="484"/>
    </row>
    <row r="1886" spans="1:8">
      <c r="A1886" s="483" t="s">
        <v>7333</v>
      </c>
      <c r="E1886" s="484"/>
      <c r="F1886" s="484"/>
      <c r="G1886" s="484"/>
      <c r="H1886" s="484"/>
    </row>
    <row r="1887" spans="1:8">
      <c r="D1887" s="483">
        <v>5000</v>
      </c>
      <c r="E1887" s="484"/>
      <c r="F1887" s="329">
        <v>6053</v>
      </c>
      <c r="G1887" s="484"/>
      <c r="H1887" s="483" t="s">
        <v>6836</v>
      </c>
    </row>
    <row r="1888" spans="1:8">
      <c r="E1888" s="329">
        <v>216</v>
      </c>
      <c r="F1888" s="329">
        <v>5837</v>
      </c>
      <c r="G1888" s="483" t="s">
        <v>6972</v>
      </c>
      <c r="H1888" s="483" t="s">
        <v>7334</v>
      </c>
    </row>
    <row r="1889" spans="1:8">
      <c r="E1889" s="484"/>
      <c r="F1889" s="484"/>
      <c r="G1889" s="484"/>
      <c r="H1889" s="484"/>
    </row>
    <row r="1890" spans="1:8" ht="148.5">
      <c r="E1890" s="484"/>
      <c r="F1890" s="484"/>
      <c r="G1890" s="484"/>
      <c r="H1890" s="486" t="s">
        <v>7335</v>
      </c>
    </row>
    <row r="1891" spans="1:8">
      <c r="E1891" s="484"/>
      <c r="F1891" s="484"/>
      <c r="G1891" s="484"/>
      <c r="H1891" s="484"/>
    </row>
    <row r="1892" spans="1:8">
      <c r="A1892" s="483" t="s">
        <v>7333</v>
      </c>
      <c r="E1892" s="484"/>
      <c r="F1892" s="484"/>
      <c r="G1892" s="484"/>
      <c r="H1892" s="484"/>
    </row>
    <row r="1893" spans="1:8">
      <c r="E1893" s="329">
        <v>1205</v>
      </c>
      <c r="F1893" s="329">
        <v>4632</v>
      </c>
      <c r="G1893" s="483" t="s">
        <v>6931</v>
      </c>
      <c r="H1893" s="483" t="s">
        <v>7336</v>
      </c>
    </row>
    <row r="1894" spans="1:8">
      <c r="E1894" s="484"/>
      <c r="F1894" s="484"/>
      <c r="G1894" s="484"/>
      <c r="H1894" s="484"/>
    </row>
    <row r="1895" spans="1:8">
      <c r="A1895" s="483" t="s">
        <v>7337</v>
      </c>
      <c r="E1895" s="484"/>
      <c r="F1895" s="484"/>
      <c r="G1895" s="484"/>
      <c r="H1895" s="484"/>
    </row>
    <row r="1896" spans="1:8">
      <c r="E1896" s="329">
        <v>188</v>
      </c>
      <c r="F1896" s="329">
        <v>4444</v>
      </c>
      <c r="G1896" s="329" t="s">
        <v>6937</v>
      </c>
      <c r="H1896" s="483" t="s">
        <v>7338</v>
      </c>
    </row>
    <row r="1897" spans="1:8">
      <c r="E1897" s="484"/>
      <c r="F1897" s="484"/>
      <c r="G1897" s="484"/>
      <c r="H1897" s="484"/>
    </row>
    <row r="1898" spans="1:8" ht="297">
      <c r="A1898" s="483" t="s">
        <v>7339</v>
      </c>
      <c r="C1898" s="483">
        <v>200000</v>
      </c>
      <c r="H1898" s="486" t="s">
        <v>7340</v>
      </c>
    </row>
    <row r="1899" spans="1:8">
      <c r="C1899" s="483">
        <v>17000</v>
      </c>
      <c r="H1899" s="483" t="s">
        <v>7341</v>
      </c>
    </row>
    <row r="1900" spans="1:8">
      <c r="H1900" s="486"/>
    </row>
    <row r="1901" spans="1:8">
      <c r="A1901" s="483" t="s">
        <v>7342</v>
      </c>
      <c r="E1901" s="484"/>
      <c r="F1901" s="484"/>
      <c r="G1901" s="484"/>
    </row>
    <row r="1902" spans="1:8">
      <c r="C1902" s="483">
        <v>22857</v>
      </c>
      <c r="H1902" s="483" t="s">
        <v>7343</v>
      </c>
    </row>
    <row r="1903" spans="1:8">
      <c r="C1903" s="483">
        <v>15000</v>
      </c>
      <c r="H1903" s="483" t="s">
        <v>7344</v>
      </c>
    </row>
    <row r="1904" spans="1:8">
      <c r="C1904" s="483">
        <v>51000</v>
      </c>
      <c r="H1904" s="483" t="s">
        <v>7345</v>
      </c>
    </row>
    <row r="1905" spans="1:8">
      <c r="C1905" s="483">
        <v>63248</v>
      </c>
      <c r="H1905" s="483" t="s">
        <v>7346</v>
      </c>
    </row>
    <row r="1906" spans="1:8">
      <c r="C1906" s="483">
        <v>30000</v>
      </c>
      <c r="H1906" s="483" t="s">
        <v>7347</v>
      </c>
    </row>
    <row r="1907" spans="1:8">
      <c r="E1907" s="484"/>
      <c r="F1907" s="484"/>
      <c r="G1907" s="484"/>
      <c r="H1907" s="484"/>
    </row>
    <row r="1908" spans="1:8">
      <c r="A1908" s="483" t="s">
        <v>7348</v>
      </c>
      <c r="E1908" s="484"/>
      <c r="F1908" s="484"/>
      <c r="G1908" s="484"/>
      <c r="H1908" s="484"/>
    </row>
    <row r="1909" spans="1:8">
      <c r="C1909" s="483">
        <v>40519</v>
      </c>
      <c r="H1909" s="483" t="s">
        <v>7349</v>
      </c>
    </row>
    <row r="1910" spans="1:8">
      <c r="E1910" s="329">
        <v>40</v>
      </c>
      <c r="F1910" s="329">
        <v>4404</v>
      </c>
      <c r="G1910" s="483" t="s">
        <v>6972</v>
      </c>
      <c r="H1910" s="483" t="s">
        <v>7350</v>
      </c>
    </row>
    <row r="1911" spans="1:8">
      <c r="E1911" s="329">
        <v>40</v>
      </c>
      <c r="F1911" s="329">
        <v>4364</v>
      </c>
      <c r="G1911" s="483" t="s">
        <v>6972</v>
      </c>
      <c r="H1911" s="483" t="s">
        <v>7253</v>
      </c>
    </row>
    <row r="1912" spans="1:8">
      <c r="E1912" s="329">
        <v>30</v>
      </c>
      <c r="F1912" s="329">
        <v>4334</v>
      </c>
      <c r="G1912" s="329" t="s">
        <v>6913</v>
      </c>
      <c r="H1912" s="483" t="s">
        <v>7351</v>
      </c>
    </row>
    <row r="1913" spans="1:8">
      <c r="E1913" s="329">
        <v>31</v>
      </c>
      <c r="F1913" s="329">
        <v>4303</v>
      </c>
      <c r="G1913" s="483" t="s">
        <v>6924</v>
      </c>
      <c r="H1913" s="483" t="s">
        <v>7352</v>
      </c>
    </row>
    <row r="1914" spans="1:8">
      <c r="E1914" s="329">
        <v>31</v>
      </c>
      <c r="F1914" s="329">
        <v>4272</v>
      </c>
      <c r="G1914" s="483" t="s">
        <v>6924</v>
      </c>
      <c r="H1914" s="483" t="s">
        <v>7352</v>
      </c>
    </row>
    <row r="1915" spans="1:8">
      <c r="E1915" s="483">
        <v>300</v>
      </c>
      <c r="F1915" s="329">
        <v>3972</v>
      </c>
      <c r="G1915" s="483" t="s">
        <v>7163</v>
      </c>
      <c r="H1915" s="483" t="s">
        <v>7164</v>
      </c>
    </row>
    <row r="1916" spans="1:8" s="329" customFormat="1">
      <c r="H1916" s="489" t="s">
        <v>7353</v>
      </c>
    </row>
    <row r="1917" spans="1:8">
      <c r="E1917" s="484"/>
      <c r="F1917" s="484"/>
      <c r="G1917" s="484"/>
      <c r="H1917" s="484"/>
    </row>
    <row r="1918" spans="1:8">
      <c r="A1918" s="483" t="s">
        <v>7354</v>
      </c>
      <c r="E1918" s="484"/>
      <c r="F1918" s="484"/>
      <c r="G1918" s="484"/>
      <c r="H1918" s="484"/>
    </row>
    <row r="1919" spans="1:8">
      <c r="E1919" s="329">
        <v>1205</v>
      </c>
      <c r="F1919" s="329">
        <v>2767</v>
      </c>
      <c r="G1919" s="483" t="s">
        <v>6931</v>
      </c>
      <c r="H1919" s="483" t="s">
        <v>7355</v>
      </c>
    </row>
    <row r="1920" spans="1:8">
      <c r="E1920" s="484"/>
      <c r="F1920" s="484"/>
      <c r="G1920" s="484"/>
      <c r="H1920" s="484"/>
    </row>
    <row r="1921" spans="1:8">
      <c r="A1921" s="483" t="s">
        <v>7356</v>
      </c>
      <c r="E1921" s="484"/>
      <c r="F1921" s="484"/>
      <c r="G1921" s="484"/>
      <c r="H1921" s="484"/>
    </row>
    <row r="1922" spans="1:8" s="329" customFormat="1" ht="49.5">
      <c r="C1922" s="329">
        <v>190400</v>
      </c>
      <c r="H1922" s="486" t="s">
        <v>7357</v>
      </c>
    </row>
    <row r="1923" spans="1:8">
      <c r="E1923" s="484"/>
      <c r="F1923" s="484"/>
      <c r="G1923" s="484"/>
      <c r="H1923" s="484"/>
    </row>
    <row r="1924" spans="1:8">
      <c r="A1924" s="483" t="s">
        <v>7358</v>
      </c>
      <c r="E1924" s="484"/>
      <c r="F1924" s="484"/>
      <c r="G1924" s="484"/>
      <c r="H1924" s="484"/>
    </row>
    <row r="1925" spans="1:8">
      <c r="D1925" s="483">
        <v>46</v>
      </c>
      <c r="E1925" s="329"/>
      <c r="F1925" s="329">
        <v>2813</v>
      </c>
      <c r="H1925" s="483" t="s">
        <v>7359</v>
      </c>
    </row>
    <row r="1926" spans="1:8" s="329" customFormat="1">
      <c r="E1926" s="329">
        <v>48</v>
      </c>
      <c r="F1926" s="329">
        <v>2765</v>
      </c>
      <c r="G1926" s="483" t="s">
        <v>6924</v>
      </c>
      <c r="H1926" s="483" t="s">
        <v>7360</v>
      </c>
    </row>
    <row r="1927" spans="1:8">
      <c r="E1927" s="329">
        <v>18</v>
      </c>
      <c r="F1927" s="329">
        <v>2747</v>
      </c>
      <c r="G1927" s="483" t="s">
        <v>6913</v>
      </c>
      <c r="H1927" s="483" t="s">
        <v>7361</v>
      </c>
    </row>
    <row r="1928" spans="1:8">
      <c r="E1928" s="484"/>
      <c r="F1928" s="484"/>
      <c r="G1928" s="484"/>
      <c r="H1928" s="484"/>
    </row>
    <row r="1929" spans="1:8">
      <c r="A1929" s="483" t="s">
        <v>7362</v>
      </c>
    </row>
    <row r="1930" spans="1:8">
      <c r="C1930" s="483">
        <v>17000</v>
      </c>
      <c r="H1930" s="483" t="s">
        <v>7363</v>
      </c>
    </row>
    <row r="1931" spans="1:8">
      <c r="E1931" s="483">
        <v>50</v>
      </c>
      <c r="F1931" s="329">
        <v>2697</v>
      </c>
      <c r="G1931" s="483" t="s">
        <v>6943</v>
      </c>
      <c r="H1931" s="483" t="s">
        <v>7364</v>
      </c>
    </row>
    <row r="1932" spans="1:8">
      <c r="H1932" s="486"/>
    </row>
    <row r="1933" spans="1:8">
      <c r="A1933" s="483" t="s">
        <v>7365</v>
      </c>
      <c r="E1933" s="484"/>
      <c r="F1933" s="484"/>
      <c r="G1933" s="484"/>
    </row>
    <row r="1934" spans="1:8">
      <c r="C1934" s="483">
        <v>22857</v>
      </c>
      <c r="H1934" s="483" t="s">
        <v>7343</v>
      </c>
    </row>
    <row r="1935" spans="1:8">
      <c r="C1935" s="483">
        <v>33248</v>
      </c>
      <c r="H1935" s="483" t="s">
        <v>7346</v>
      </c>
    </row>
    <row r="1936" spans="1:8">
      <c r="E1936" s="484"/>
      <c r="F1936" s="484"/>
      <c r="G1936" s="484"/>
      <c r="H1936" s="484" t="s">
        <v>7366</v>
      </c>
    </row>
    <row r="1937" spans="1:8">
      <c r="C1937" s="483">
        <v>2558</v>
      </c>
      <c r="H1937" s="483" t="s">
        <v>7367</v>
      </c>
    </row>
    <row r="1938" spans="1:8">
      <c r="E1938" s="484"/>
      <c r="F1938" s="484"/>
      <c r="G1938" s="484"/>
    </row>
    <row r="1939" spans="1:8">
      <c r="A1939" s="483" t="s">
        <v>7368</v>
      </c>
    </row>
    <row r="1940" spans="1:8">
      <c r="E1940" s="483">
        <v>200</v>
      </c>
      <c r="F1940" s="329">
        <v>2497</v>
      </c>
      <c r="G1940" s="483" t="s">
        <v>6960</v>
      </c>
      <c r="H1940" s="483" t="s">
        <v>7369</v>
      </c>
    </row>
    <row r="1941" spans="1:8">
      <c r="C1941" s="483">
        <v>15000</v>
      </c>
      <c r="H1941" s="483" t="s">
        <v>7346</v>
      </c>
    </row>
    <row r="1942" spans="1:8">
      <c r="E1942" s="484"/>
      <c r="F1942" s="484"/>
      <c r="G1942" s="484"/>
      <c r="H1942" s="484" t="s">
        <v>7370</v>
      </c>
    </row>
    <row r="1943" spans="1:8">
      <c r="E1943" s="484"/>
      <c r="F1943" s="484"/>
      <c r="G1943" s="484"/>
    </row>
    <row r="1944" spans="1:8">
      <c r="A1944" s="483" t="s">
        <v>7371</v>
      </c>
    </row>
    <row r="1945" spans="1:8">
      <c r="E1945" s="483">
        <v>45</v>
      </c>
      <c r="F1945" s="483">
        <v>2452</v>
      </c>
      <c r="G1945" s="483" t="s">
        <v>6943</v>
      </c>
      <c r="H1945" s="483" t="s">
        <v>7372</v>
      </c>
    </row>
    <row r="1947" spans="1:8">
      <c r="A1947" s="483" t="s">
        <v>7373</v>
      </c>
    </row>
    <row r="1948" spans="1:8">
      <c r="C1948" s="483">
        <v>28733</v>
      </c>
      <c r="H1948" s="483" t="s">
        <v>7374</v>
      </c>
    </row>
    <row r="1949" spans="1:8">
      <c r="C1949" s="483">
        <v>15000</v>
      </c>
      <c r="H1949" s="483" t="s">
        <v>7346</v>
      </c>
    </row>
    <row r="1950" spans="1:8">
      <c r="E1950" s="484"/>
      <c r="F1950" s="484"/>
      <c r="G1950" s="484"/>
      <c r="H1950" s="484" t="s">
        <v>7375</v>
      </c>
    </row>
    <row r="1951" spans="1:8">
      <c r="E1951" s="484"/>
      <c r="F1951" s="484"/>
      <c r="G1951" s="484"/>
      <c r="H1951" s="484"/>
    </row>
    <row r="1952" spans="1:8">
      <c r="A1952" s="483" t="s">
        <v>7373</v>
      </c>
    </row>
    <row r="1953" spans="1:8">
      <c r="E1953" s="329">
        <v>209</v>
      </c>
      <c r="F1953" s="329">
        <v>2243</v>
      </c>
      <c r="G1953" s="329" t="s">
        <v>6937</v>
      </c>
      <c r="H1953" s="483" t="s">
        <v>7376</v>
      </c>
    </row>
    <row r="1954" spans="1:8" s="329" customFormat="1">
      <c r="E1954" s="329">
        <v>1205</v>
      </c>
      <c r="F1954" s="329">
        <v>1038</v>
      </c>
      <c r="G1954" s="483" t="s">
        <v>6931</v>
      </c>
      <c r="H1954" s="483" t="s">
        <v>7377</v>
      </c>
    </row>
    <row r="1955" spans="1:8">
      <c r="E1955" s="484"/>
      <c r="F1955" s="484"/>
      <c r="G1955" s="484"/>
    </row>
    <row r="1956" spans="1:8">
      <c r="A1956" s="483" t="s">
        <v>7378</v>
      </c>
    </row>
    <row r="1957" spans="1:8">
      <c r="E1957" s="483">
        <v>35</v>
      </c>
      <c r="F1957" s="483">
        <v>1003</v>
      </c>
      <c r="G1957" s="483" t="s">
        <v>6943</v>
      </c>
      <c r="H1957" s="483" t="s">
        <v>7379</v>
      </c>
    </row>
    <row r="1958" spans="1:8">
      <c r="D1958" s="483">
        <v>5000</v>
      </c>
      <c r="E1958" s="484"/>
      <c r="F1958" s="329">
        <v>6003</v>
      </c>
      <c r="G1958" s="484"/>
      <c r="H1958" s="483" t="s">
        <v>6836</v>
      </c>
    </row>
    <row r="1959" spans="1:8">
      <c r="E1959" s="484"/>
      <c r="F1959" s="484"/>
      <c r="G1959" s="484"/>
      <c r="H1959" s="484"/>
    </row>
    <row r="1960" spans="1:8">
      <c r="A1960" s="483" t="s">
        <v>7380</v>
      </c>
    </row>
    <row r="1961" spans="1:8">
      <c r="C1961" s="483">
        <v>17000</v>
      </c>
      <c r="H1961" s="483" t="s">
        <v>7381</v>
      </c>
    </row>
    <row r="1962" spans="1:8">
      <c r="E1962" s="329">
        <v>100</v>
      </c>
      <c r="F1962" s="329">
        <v>5903</v>
      </c>
      <c r="G1962" s="483" t="s">
        <v>6924</v>
      </c>
      <c r="H1962" s="483" t="s">
        <v>7382</v>
      </c>
    </row>
    <row r="1963" spans="1:8">
      <c r="H1963" s="486"/>
    </row>
    <row r="1964" spans="1:8">
      <c r="A1964" s="483" t="s">
        <v>7383</v>
      </c>
      <c r="E1964" s="484"/>
      <c r="F1964" s="484"/>
      <c r="G1964" s="484"/>
    </row>
    <row r="1965" spans="1:8">
      <c r="C1965" s="483">
        <v>22857</v>
      </c>
      <c r="H1965" s="483" t="s">
        <v>7384</v>
      </c>
    </row>
    <row r="1966" spans="1:8">
      <c r="C1966" s="483">
        <v>36500</v>
      </c>
      <c r="H1966" s="483" t="s">
        <v>7385</v>
      </c>
    </row>
    <row r="1967" spans="1:8">
      <c r="C1967" s="483">
        <v>63248</v>
      </c>
      <c r="H1967" s="483" t="s">
        <v>7386</v>
      </c>
    </row>
    <row r="1968" spans="1:8">
      <c r="E1968" s="484"/>
      <c r="F1968" s="484"/>
      <c r="G1968" s="484"/>
      <c r="H1968" s="484"/>
    </row>
    <row r="1969" spans="1:8">
      <c r="E1969" s="329"/>
      <c r="F1969" s="329"/>
    </row>
    <row r="1970" spans="1:8">
      <c r="A1970" s="483" t="s">
        <v>7387</v>
      </c>
      <c r="E1970" s="484"/>
      <c r="F1970" s="484"/>
      <c r="G1970" s="484"/>
    </row>
    <row r="1971" spans="1:8">
      <c r="E1971" s="329">
        <v>100</v>
      </c>
      <c r="F1971" s="329">
        <v>5803</v>
      </c>
      <c r="G1971" s="483" t="s">
        <v>6924</v>
      </c>
      <c r="H1971" s="483" t="s">
        <v>7388</v>
      </c>
    </row>
    <row r="1972" spans="1:8">
      <c r="E1972" s="329">
        <v>90</v>
      </c>
      <c r="F1972" s="329">
        <v>5713</v>
      </c>
      <c r="G1972" s="483" t="s">
        <v>6924</v>
      </c>
      <c r="H1972" s="483" t="s">
        <v>7388</v>
      </c>
    </row>
    <row r="1974" spans="1:8">
      <c r="A1974" s="483" t="s">
        <v>7389</v>
      </c>
      <c r="E1974" s="484"/>
      <c r="F1974" s="484"/>
      <c r="G1974" s="484"/>
    </row>
    <row r="1975" spans="1:8">
      <c r="E1975" s="483">
        <v>500</v>
      </c>
      <c r="F1975" s="329">
        <v>5213</v>
      </c>
      <c r="G1975" s="483" t="s">
        <v>6943</v>
      </c>
      <c r="H1975" s="483" t="s">
        <v>7390</v>
      </c>
    </row>
    <row r="1976" spans="1:8">
      <c r="E1976" s="483">
        <v>45</v>
      </c>
      <c r="F1976" s="483">
        <v>5168</v>
      </c>
      <c r="G1976" s="483" t="s">
        <v>6943</v>
      </c>
      <c r="H1976" s="483" t="s">
        <v>7391</v>
      </c>
    </row>
    <row r="1977" spans="1:8" s="329" customFormat="1">
      <c r="E1977" s="329">
        <v>32</v>
      </c>
      <c r="F1977" s="329">
        <v>5136</v>
      </c>
      <c r="G1977" s="483" t="s">
        <v>6924</v>
      </c>
      <c r="H1977" s="483" t="s">
        <v>7360</v>
      </c>
    </row>
    <row r="1978" spans="1:8">
      <c r="A1978" s="483" t="s">
        <v>7392</v>
      </c>
      <c r="E1978" s="484"/>
      <c r="F1978" s="484"/>
      <c r="G1978" s="484"/>
    </row>
    <row r="1979" spans="1:8">
      <c r="E1979" s="329">
        <v>35</v>
      </c>
      <c r="F1979" s="329">
        <v>5101</v>
      </c>
      <c r="G1979" s="483" t="s">
        <v>6924</v>
      </c>
      <c r="H1979" s="483" t="s">
        <v>7393</v>
      </c>
    </row>
    <row r="1980" spans="1:8">
      <c r="E1980" s="329">
        <v>70</v>
      </c>
      <c r="F1980" s="329">
        <v>5031</v>
      </c>
      <c r="G1980" s="483" t="s">
        <v>6924</v>
      </c>
      <c r="H1980" s="483" t="s">
        <v>7394</v>
      </c>
    </row>
    <row r="1981" spans="1:8">
      <c r="E1981" s="329">
        <v>300</v>
      </c>
      <c r="F1981" s="329">
        <v>4731</v>
      </c>
      <c r="G1981" s="483" t="s">
        <v>6924</v>
      </c>
      <c r="H1981" s="483" t="s">
        <v>7394</v>
      </c>
    </row>
    <row r="1982" spans="1:8">
      <c r="E1982" s="484"/>
      <c r="F1982" s="484"/>
      <c r="G1982" s="484"/>
      <c r="H1982" s="484"/>
    </row>
    <row r="1983" spans="1:8">
      <c r="A1983" s="483" t="s">
        <v>7395</v>
      </c>
      <c r="E1983" s="484"/>
      <c r="F1983" s="484"/>
      <c r="G1983" s="484"/>
      <c r="H1983" s="484"/>
    </row>
    <row r="1984" spans="1:8">
      <c r="E1984" s="329">
        <v>1205</v>
      </c>
      <c r="F1984" s="329">
        <v>3526</v>
      </c>
      <c r="G1984" s="483" t="s">
        <v>6931</v>
      </c>
      <c r="H1984" s="483" t="s">
        <v>7396</v>
      </c>
    </row>
    <row r="1986" spans="1:8">
      <c r="A1986" s="483" t="s">
        <v>7397</v>
      </c>
    </row>
    <row r="1987" spans="1:8">
      <c r="E1987" s="483">
        <v>100</v>
      </c>
      <c r="F1987" s="483">
        <v>3426</v>
      </c>
      <c r="G1987" s="483" t="s">
        <v>6924</v>
      </c>
      <c r="H1987" s="483" t="s">
        <v>7398</v>
      </c>
    </row>
    <row r="1989" spans="1:8">
      <c r="A1989" s="483" t="s">
        <v>7399</v>
      </c>
    </row>
    <row r="1990" spans="1:8">
      <c r="E1990" s="483">
        <v>95</v>
      </c>
      <c r="F1990" s="483">
        <v>3331</v>
      </c>
      <c r="G1990" s="483" t="s">
        <v>6943</v>
      </c>
      <c r="H1990" s="483" t="s">
        <v>7400</v>
      </c>
    </row>
    <row r="1992" spans="1:8">
      <c r="A1992" s="483" t="s">
        <v>7401</v>
      </c>
    </row>
    <row r="1993" spans="1:8">
      <c r="E1993" s="483">
        <v>100</v>
      </c>
      <c r="F1993" s="483">
        <v>3231</v>
      </c>
      <c r="G1993" s="483" t="s">
        <v>6924</v>
      </c>
      <c r="H1993" s="483" t="s">
        <v>7402</v>
      </c>
    </row>
    <row r="1994" spans="1:8">
      <c r="E1994" s="484"/>
      <c r="F1994" s="484"/>
      <c r="G1994" s="484"/>
      <c r="H1994" s="484"/>
    </row>
    <row r="1995" spans="1:8">
      <c r="A1995" s="483" t="s">
        <v>7403</v>
      </c>
    </row>
    <row r="1996" spans="1:8">
      <c r="C1996" s="483">
        <v>17000</v>
      </c>
      <c r="H1996" s="483" t="s">
        <v>7404</v>
      </c>
    </row>
    <row r="1997" spans="1:8">
      <c r="C1997" s="483">
        <v>24968</v>
      </c>
      <c r="H1997" s="483" t="s">
        <v>7405</v>
      </c>
    </row>
    <row r="1998" spans="1:8">
      <c r="E1998" s="484"/>
      <c r="F1998" s="484"/>
      <c r="G1998" s="484"/>
    </row>
    <row r="1999" spans="1:8">
      <c r="A1999" s="483" t="s">
        <v>7406</v>
      </c>
    </row>
    <row r="2000" spans="1:8" ht="49.5">
      <c r="C2000" s="483">
        <v>39000</v>
      </c>
      <c r="H2000" s="486" t="s">
        <v>7407</v>
      </c>
    </row>
    <row r="2001" spans="1:8">
      <c r="H2001" s="486"/>
    </row>
    <row r="2002" spans="1:8">
      <c r="A2002" s="483" t="s">
        <v>7408</v>
      </c>
      <c r="E2002" s="484"/>
      <c r="F2002" s="484"/>
      <c r="G2002" s="484"/>
    </row>
    <row r="2003" spans="1:8">
      <c r="C2003" s="483">
        <v>22827</v>
      </c>
      <c r="H2003" s="483" t="s">
        <v>7409</v>
      </c>
    </row>
    <row r="2004" spans="1:8">
      <c r="C2004" s="483">
        <v>22000</v>
      </c>
      <c r="H2004" s="483" t="s">
        <v>7410</v>
      </c>
    </row>
    <row r="2005" spans="1:8">
      <c r="C2005" s="483">
        <v>33248</v>
      </c>
      <c r="H2005" s="483" t="s">
        <v>7411</v>
      </c>
    </row>
    <row r="2006" spans="1:8">
      <c r="E2006" s="483">
        <v>100</v>
      </c>
      <c r="F2006" s="483">
        <v>3131</v>
      </c>
      <c r="G2006" s="483" t="s">
        <v>6924</v>
      </c>
      <c r="H2006" s="483" t="s">
        <v>7412</v>
      </c>
    </row>
    <row r="2007" spans="1:8">
      <c r="H2007" s="486"/>
    </row>
    <row r="2008" spans="1:8">
      <c r="A2008" s="483" t="s">
        <v>7413</v>
      </c>
      <c r="E2008" s="484"/>
      <c r="F2008" s="484"/>
      <c r="G2008" s="484"/>
    </row>
    <row r="2009" spans="1:8">
      <c r="C2009" s="483">
        <v>30000</v>
      </c>
      <c r="H2009" s="483" t="s">
        <v>7414</v>
      </c>
    </row>
    <row r="2010" spans="1:8">
      <c r="C2010" s="483">
        <v>11877</v>
      </c>
      <c r="H2010" s="483" t="s">
        <v>7415</v>
      </c>
    </row>
    <row r="2011" spans="1:8">
      <c r="E2011" s="484"/>
      <c r="F2011" s="484"/>
      <c r="G2011" s="484"/>
      <c r="H2011" s="484"/>
    </row>
    <row r="2012" spans="1:8">
      <c r="A2012" s="483" t="s">
        <v>7416</v>
      </c>
      <c r="E2012" s="484"/>
      <c r="F2012" s="484"/>
      <c r="G2012" s="484"/>
    </row>
    <row r="2013" spans="1:8" ht="99">
      <c r="C2013" s="483">
        <v>240030</v>
      </c>
      <c r="E2013" s="484"/>
      <c r="F2013" s="484"/>
      <c r="G2013" s="484"/>
      <c r="H2013" s="486" t="s">
        <v>7417</v>
      </c>
    </row>
    <row r="2014" spans="1:8">
      <c r="E2014" s="484"/>
      <c r="F2014" s="484"/>
      <c r="G2014" s="484"/>
      <c r="H2014" s="484"/>
    </row>
    <row r="2015" spans="1:8">
      <c r="A2015" s="483" t="s">
        <v>7418</v>
      </c>
      <c r="E2015" s="484"/>
      <c r="F2015" s="484"/>
      <c r="G2015" s="484"/>
      <c r="H2015" s="484"/>
    </row>
    <row r="2016" spans="1:8">
      <c r="E2016" s="329">
        <v>124</v>
      </c>
      <c r="F2016" s="329">
        <v>3007</v>
      </c>
      <c r="G2016" s="483" t="s">
        <v>6972</v>
      </c>
      <c r="H2016" s="483" t="s">
        <v>7419</v>
      </c>
    </row>
    <row r="2017" spans="1:8">
      <c r="E2017" s="484"/>
      <c r="F2017" s="484"/>
      <c r="G2017" s="484"/>
      <c r="H2017" s="484"/>
    </row>
    <row r="2018" spans="1:8">
      <c r="A2018" s="483" t="s">
        <v>7420</v>
      </c>
      <c r="E2018" s="484"/>
      <c r="F2018" s="484"/>
      <c r="G2018" s="484"/>
      <c r="H2018" s="484"/>
    </row>
    <row r="2019" spans="1:8">
      <c r="E2019" s="483">
        <v>96</v>
      </c>
      <c r="F2019" s="483">
        <v>2911</v>
      </c>
      <c r="G2019" s="483" t="s">
        <v>6913</v>
      </c>
      <c r="H2019" s="483" t="s">
        <v>7126</v>
      </c>
    </row>
    <row r="2020" spans="1:8">
      <c r="E2020" s="484"/>
      <c r="F2020" s="484"/>
      <c r="G2020" s="484"/>
      <c r="H2020" s="484"/>
    </row>
    <row r="2021" spans="1:8">
      <c r="E2021" s="484"/>
      <c r="F2021" s="484"/>
      <c r="G2021" s="484"/>
      <c r="H2021" s="484"/>
    </row>
    <row r="2022" spans="1:8">
      <c r="A2022" s="483" t="s">
        <v>7421</v>
      </c>
      <c r="E2022" s="484"/>
      <c r="F2022" s="484"/>
      <c r="G2022" s="484"/>
      <c r="H2022" s="484"/>
    </row>
    <row r="2023" spans="1:8">
      <c r="E2023" s="483">
        <v>1205</v>
      </c>
      <c r="F2023" s="483">
        <v>1706</v>
      </c>
      <c r="G2023" s="483" t="s">
        <v>6931</v>
      </c>
      <c r="H2023" s="483" t="s">
        <v>7422</v>
      </c>
    </row>
    <row r="2024" spans="1:8">
      <c r="E2024" s="484"/>
      <c r="F2024" s="484"/>
      <c r="G2024" s="484"/>
      <c r="H2024" s="484"/>
    </row>
    <row r="2025" spans="1:8">
      <c r="A2025" s="483" t="s">
        <v>7423</v>
      </c>
    </row>
    <row r="2026" spans="1:8">
      <c r="E2026" s="329">
        <v>209</v>
      </c>
      <c r="F2026" s="329">
        <v>1497</v>
      </c>
      <c r="G2026" s="329" t="s">
        <v>6937</v>
      </c>
      <c r="H2026" s="483" t="s">
        <v>7424</v>
      </c>
    </row>
    <row r="2027" spans="1:8">
      <c r="E2027" s="484"/>
      <c r="F2027" s="484"/>
      <c r="G2027" s="484"/>
      <c r="H2027" s="484"/>
    </row>
    <row r="2028" spans="1:8">
      <c r="A2028" s="483" t="s">
        <v>7425</v>
      </c>
    </row>
    <row r="2029" spans="1:8">
      <c r="C2029" s="483">
        <v>17000</v>
      </c>
      <c r="H2029" s="483" t="s">
        <v>7426</v>
      </c>
    </row>
    <row r="2030" spans="1:8">
      <c r="E2030" s="484"/>
      <c r="F2030" s="484"/>
      <c r="G2030" s="484"/>
      <c r="H2030" s="484"/>
    </row>
    <row r="2031" spans="1:8">
      <c r="A2031" s="483" t="s">
        <v>7427</v>
      </c>
      <c r="E2031" s="484"/>
      <c r="F2031" s="484"/>
      <c r="G2031" s="484"/>
      <c r="H2031" s="484"/>
    </row>
    <row r="2032" spans="1:8">
      <c r="C2032" s="483">
        <v>22827</v>
      </c>
      <c r="H2032" s="483" t="s">
        <v>7428</v>
      </c>
    </row>
    <row r="2033" spans="1:8">
      <c r="C2033" s="483">
        <v>63248</v>
      </c>
      <c r="H2033" s="483" t="s">
        <v>7429</v>
      </c>
    </row>
    <row r="2034" spans="1:8">
      <c r="E2034" s="483">
        <v>250</v>
      </c>
      <c r="F2034" s="483">
        <v>1247</v>
      </c>
      <c r="G2034" s="483" t="s">
        <v>6913</v>
      </c>
      <c r="H2034" s="483" t="s">
        <v>7430</v>
      </c>
    </row>
    <row r="2035" spans="1:8">
      <c r="E2035" s="484"/>
      <c r="F2035" s="484"/>
      <c r="G2035" s="484"/>
      <c r="H2035" s="484"/>
    </row>
    <row r="2036" spans="1:8">
      <c r="A2036" s="483" t="s">
        <v>7431</v>
      </c>
      <c r="E2036" s="484"/>
      <c r="F2036" s="484"/>
      <c r="G2036" s="484"/>
      <c r="H2036" s="484"/>
    </row>
    <row r="2037" spans="1:8" s="329" customFormat="1">
      <c r="E2037" s="329">
        <v>32</v>
      </c>
      <c r="F2037" s="329">
        <v>1215</v>
      </c>
      <c r="G2037" s="483" t="s">
        <v>6924</v>
      </c>
      <c r="H2037" s="483" t="s">
        <v>7432</v>
      </c>
    </row>
    <row r="2039" spans="1:8">
      <c r="A2039" s="483" t="s">
        <v>7433</v>
      </c>
      <c r="E2039" s="484"/>
      <c r="F2039" s="484"/>
      <c r="G2039" s="484"/>
    </row>
    <row r="2040" spans="1:8">
      <c r="E2040" s="483">
        <v>60</v>
      </c>
      <c r="F2040" s="483">
        <v>1155</v>
      </c>
      <c r="G2040" s="483" t="s">
        <v>6943</v>
      </c>
      <c r="H2040" s="483" t="s">
        <v>7434</v>
      </c>
    </row>
    <row r="2041" spans="1:8">
      <c r="E2041" s="484"/>
      <c r="F2041" s="484"/>
      <c r="G2041" s="484"/>
      <c r="H2041" s="489" t="s">
        <v>7353</v>
      </c>
    </row>
    <row r="2043" spans="1:8">
      <c r="A2043" s="483" t="s">
        <v>7435</v>
      </c>
      <c r="E2043" s="484"/>
      <c r="F2043" s="484"/>
      <c r="G2043" s="484"/>
    </row>
    <row r="2044" spans="1:8">
      <c r="D2044" s="483">
        <v>5000</v>
      </c>
      <c r="E2044" s="484"/>
      <c r="F2044" s="329">
        <v>6155</v>
      </c>
      <c r="G2044" s="484"/>
      <c r="H2044" s="483" t="s">
        <v>6836</v>
      </c>
    </row>
    <row r="2046" spans="1:8">
      <c r="A2046" s="483" t="s">
        <v>7436</v>
      </c>
      <c r="E2046" s="484"/>
      <c r="F2046" s="484"/>
      <c r="G2046" s="484"/>
    </row>
    <row r="2047" spans="1:8">
      <c r="E2047" s="329">
        <v>255</v>
      </c>
      <c r="F2047" s="329">
        <v>5900</v>
      </c>
      <c r="G2047" s="483" t="s">
        <v>6924</v>
      </c>
      <c r="H2047" s="483" t="s">
        <v>7437</v>
      </c>
    </row>
    <row r="2048" spans="1:8">
      <c r="E2048" s="329">
        <v>235</v>
      </c>
      <c r="F2048" s="329">
        <v>5665</v>
      </c>
      <c r="G2048" s="483" t="s">
        <v>6924</v>
      </c>
      <c r="H2048" s="483" t="s">
        <v>7437</v>
      </c>
    </row>
    <row r="2050" spans="1:8">
      <c r="A2050" s="483" t="s">
        <v>7438</v>
      </c>
      <c r="E2050" s="484"/>
      <c r="F2050" s="484"/>
      <c r="G2050" s="484"/>
    </row>
    <row r="2051" spans="1:8">
      <c r="E2051" s="483">
        <v>32</v>
      </c>
      <c r="F2051" s="483">
        <v>5633</v>
      </c>
      <c r="G2051" s="483" t="s">
        <v>6943</v>
      </c>
      <c r="H2051" s="483" t="s">
        <v>7439</v>
      </c>
    </row>
    <row r="2053" spans="1:8">
      <c r="A2053" s="483" t="s">
        <v>7440</v>
      </c>
      <c r="E2053" s="484"/>
      <c r="F2053" s="484"/>
      <c r="G2053" s="484"/>
    </row>
    <row r="2054" spans="1:8">
      <c r="E2054" s="483">
        <v>35</v>
      </c>
      <c r="F2054" s="483">
        <v>5598</v>
      </c>
      <c r="G2054" s="483" t="s">
        <v>6943</v>
      </c>
      <c r="H2054" s="483" t="s">
        <v>7441</v>
      </c>
    </row>
    <row r="2056" spans="1:8">
      <c r="A2056" s="483" t="s">
        <v>7442</v>
      </c>
      <c r="E2056" s="484"/>
      <c r="F2056" s="484"/>
      <c r="G2056" s="484"/>
    </row>
    <row r="2057" spans="1:8">
      <c r="C2057" s="483">
        <v>27091</v>
      </c>
      <c r="H2057" s="483" t="s">
        <v>7443</v>
      </c>
    </row>
    <row r="2058" spans="1:8">
      <c r="E2058" s="483">
        <v>18</v>
      </c>
      <c r="F2058" s="483">
        <v>5580</v>
      </c>
      <c r="G2058" s="483" t="s">
        <v>6913</v>
      </c>
      <c r="H2058" s="483" t="s">
        <v>7444</v>
      </c>
    </row>
    <row r="2060" spans="1:8">
      <c r="A2060" s="483" t="s">
        <v>7445</v>
      </c>
      <c r="E2060" s="484"/>
      <c r="F2060" s="484"/>
      <c r="G2060" s="484"/>
    </row>
    <row r="2061" spans="1:8">
      <c r="E2061" s="329">
        <v>380</v>
      </c>
      <c r="F2061" s="329">
        <v>5200</v>
      </c>
      <c r="G2061" s="483" t="s">
        <v>6924</v>
      </c>
      <c r="H2061" s="483" t="s">
        <v>7446</v>
      </c>
    </row>
    <row r="2062" spans="1:8">
      <c r="E2062" s="329">
        <v>355</v>
      </c>
      <c r="F2062" s="329">
        <v>4845</v>
      </c>
      <c r="G2062" s="483" t="s">
        <v>6924</v>
      </c>
      <c r="H2062" s="483" t="s">
        <v>7446</v>
      </c>
    </row>
    <row r="2063" spans="1:8">
      <c r="E2063" s="484"/>
      <c r="F2063" s="484"/>
      <c r="G2063" s="484"/>
      <c r="H2063" s="484"/>
    </row>
    <row r="2064" spans="1:8">
      <c r="A2064" s="483" t="s">
        <v>7447</v>
      </c>
    </row>
    <row r="2065" spans="1:8">
      <c r="C2065" s="483">
        <v>17000</v>
      </c>
      <c r="H2065" s="483" t="s">
        <v>7448</v>
      </c>
    </row>
    <row r="2066" spans="1:8">
      <c r="E2066" s="484"/>
      <c r="F2066" s="484"/>
      <c r="G2066" s="484"/>
      <c r="H2066" s="484"/>
    </row>
    <row r="2067" spans="1:8">
      <c r="A2067" s="483" t="s">
        <v>7449</v>
      </c>
      <c r="E2067" s="484"/>
      <c r="F2067" s="484"/>
      <c r="G2067" s="484"/>
    </row>
    <row r="2068" spans="1:8" ht="66">
      <c r="C2068" s="483">
        <v>120030</v>
      </c>
      <c r="E2068" s="484"/>
      <c r="F2068" s="484"/>
      <c r="G2068" s="484"/>
      <c r="H2068" s="486" t="s">
        <v>7450</v>
      </c>
    </row>
    <row r="2069" spans="1:8">
      <c r="E2069" s="484"/>
      <c r="F2069" s="484"/>
      <c r="G2069" s="484"/>
      <c r="H2069" s="484"/>
    </row>
    <row r="2070" spans="1:8" s="496" customFormat="1">
      <c r="A2070" s="496" t="s">
        <v>7451</v>
      </c>
    </row>
    <row r="2071" spans="1:8" s="496" customFormat="1">
      <c r="E2071" s="496">
        <v>47</v>
      </c>
      <c r="F2071" s="496">
        <v>4798</v>
      </c>
      <c r="G2071" s="496" t="s">
        <v>6924</v>
      </c>
      <c r="H2071" s="496" t="s">
        <v>7452</v>
      </c>
    </row>
    <row r="2073" spans="1:8">
      <c r="A2073" s="483" t="s">
        <v>7453</v>
      </c>
      <c r="E2073" s="484"/>
      <c r="F2073" s="484"/>
      <c r="G2073" s="484"/>
    </row>
    <row r="2074" spans="1:8">
      <c r="C2074" s="483">
        <v>22827</v>
      </c>
      <c r="H2074" s="483" t="s">
        <v>7454</v>
      </c>
    </row>
    <row r="2075" spans="1:8">
      <c r="C2075" s="483">
        <v>48800</v>
      </c>
      <c r="H2075" s="483" t="s">
        <v>7455</v>
      </c>
    </row>
    <row r="2076" spans="1:8">
      <c r="C2076" s="483">
        <v>63248</v>
      </c>
      <c r="H2076" s="483" t="s">
        <v>7456</v>
      </c>
    </row>
    <row r="2077" spans="1:8">
      <c r="E2077" s="484"/>
      <c r="F2077" s="484"/>
      <c r="G2077" s="484"/>
      <c r="H2077" s="484"/>
    </row>
    <row r="2078" spans="1:8" s="496" customFormat="1">
      <c r="A2078" s="496" t="s">
        <v>7457</v>
      </c>
    </row>
    <row r="2079" spans="1:8" s="496" customFormat="1">
      <c r="E2079" s="496">
        <v>200</v>
      </c>
      <c r="F2079" s="496">
        <v>4598</v>
      </c>
      <c r="G2079" s="496" t="s">
        <v>7163</v>
      </c>
      <c r="H2079" s="496" t="s">
        <v>7458</v>
      </c>
    </row>
    <row r="2080" spans="1:8">
      <c r="E2080" s="483">
        <v>45</v>
      </c>
      <c r="F2080" s="483">
        <v>4553</v>
      </c>
      <c r="G2080" s="483" t="s">
        <v>6943</v>
      </c>
      <c r="H2080" s="483" t="s">
        <v>7459</v>
      </c>
    </row>
    <row r="2081" spans="1:8">
      <c r="E2081" s="483">
        <v>1205</v>
      </c>
      <c r="F2081" s="483">
        <v>3348</v>
      </c>
      <c r="G2081" s="483" t="s">
        <v>6931</v>
      </c>
      <c r="H2081" s="483" t="s">
        <v>7460</v>
      </c>
    </row>
    <row r="2083" spans="1:8">
      <c r="A2083" s="483" t="s">
        <v>7461</v>
      </c>
    </row>
    <row r="2084" spans="1:8">
      <c r="C2084" s="483">
        <v>22819</v>
      </c>
      <c r="H2084" s="483" t="s">
        <v>7462</v>
      </c>
    </row>
    <row r="2085" spans="1:8">
      <c r="E2085" s="484"/>
      <c r="F2085" s="484"/>
      <c r="G2085" s="484"/>
      <c r="H2085" s="484"/>
    </row>
    <row r="2086" spans="1:8">
      <c r="A2086" s="483" t="s">
        <v>7463</v>
      </c>
      <c r="E2086" s="484"/>
      <c r="F2086" s="484"/>
      <c r="G2086" s="484"/>
      <c r="H2086" s="484"/>
    </row>
    <row r="2087" spans="1:8">
      <c r="E2087" s="329">
        <v>50</v>
      </c>
      <c r="F2087" s="329">
        <v>3298</v>
      </c>
      <c r="G2087" s="483" t="s">
        <v>6913</v>
      </c>
      <c r="H2087" s="483" t="s">
        <v>7464</v>
      </c>
    </row>
    <row r="2088" spans="1:8">
      <c r="E2088" s="483">
        <v>200</v>
      </c>
      <c r="F2088" s="483">
        <v>3098</v>
      </c>
      <c r="G2088" s="483" t="s">
        <v>6924</v>
      </c>
      <c r="H2088" s="483" t="s">
        <v>7398</v>
      </c>
    </row>
    <row r="2090" spans="1:8">
      <c r="A2090" s="483" t="s">
        <v>7465</v>
      </c>
      <c r="E2090" s="484"/>
      <c r="F2090" s="484"/>
      <c r="G2090" s="484"/>
    </row>
    <row r="2091" spans="1:8">
      <c r="E2091" s="329">
        <v>175</v>
      </c>
      <c r="F2091" s="329">
        <v>2923</v>
      </c>
      <c r="G2091" s="483" t="s">
        <v>6924</v>
      </c>
      <c r="H2091" s="483" t="s">
        <v>7466</v>
      </c>
    </row>
    <row r="2092" spans="1:8">
      <c r="E2092" s="329">
        <v>160</v>
      </c>
      <c r="F2092" s="329">
        <v>2763</v>
      </c>
      <c r="G2092" s="483" t="s">
        <v>6924</v>
      </c>
      <c r="H2092" s="483" t="s">
        <v>7466</v>
      </c>
    </row>
    <row r="2094" spans="1:8">
      <c r="A2094" s="483" t="s">
        <v>7467</v>
      </c>
      <c r="E2094" s="484"/>
      <c r="F2094" s="484"/>
      <c r="G2094" s="484"/>
    </row>
    <row r="2095" spans="1:8">
      <c r="E2095" s="329">
        <v>375</v>
      </c>
      <c r="F2095" s="329">
        <v>2388</v>
      </c>
      <c r="G2095" s="483" t="s">
        <v>6924</v>
      </c>
      <c r="H2095" s="483" t="s">
        <v>7468</v>
      </c>
    </row>
    <row r="2096" spans="1:8">
      <c r="E2096" s="329">
        <v>325</v>
      </c>
      <c r="F2096" s="329">
        <v>2063</v>
      </c>
      <c r="G2096" s="483" t="s">
        <v>6924</v>
      </c>
      <c r="H2096" s="483" t="s">
        <v>7468</v>
      </c>
    </row>
    <row r="2098" spans="1:8">
      <c r="A2098" s="483" t="s">
        <v>7469</v>
      </c>
      <c r="E2098" s="484"/>
      <c r="F2098" s="484"/>
      <c r="G2098" s="484"/>
    </row>
    <row r="2099" spans="1:8">
      <c r="E2099" s="329">
        <v>117</v>
      </c>
      <c r="F2099" s="329">
        <v>1946</v>
      </c>
      <c r="G2099" s="483" t="s">
        <v>6972</v>
      </c>
      <c r="H2099" s="483" t="s">
        <v>7252</v>
      </c>
    </row>
    <row r="2100" spans="1:8">
      <c r="E2100" s="329">
        <v>40</v>
      </c>
      <c r="F2100" s="329">
        <v>1906</v>
      </c>
      <c r="G2100" s="483" t="s">
        <v>6972</v>
      </c>
      <c r="H2100" s="483" t="s">
        <v>7253</v>
      </c>
    </row>
    <row r="2102" spans="1:8">
      <c r="A2102" s="483" t="s">
        <v>7470</v>
      </c>
      <c r="E2102" s="484"/>
      <c r="F2102" s="484"/>
      <c r="G2102" s="484"/>
    </row>
    <row r="2103" spans="1:8">
      <c r="E2103" s="329">
        <v>125</v>
      </c>
      <c r="F2103" s="329">
        <v>1781</v>
      </c>
      <c r="G2103" s="483" t="s">
        <v>6972</v>
      </c>
      <c r="H2103" s="483" t="s">
        <v>7252</v>
      </c>
    </row>
    <row r="2104" spans="1:8">
      <c r="E2104" s="329">
        <v>110</v>
      </c>
      <c r="F2104" s="329">
        <v>1671</v>
      </c>
      <c r="G2104" s="483" t="s">
        <v>6972</v>
      </c>
      <c r="H2104" s="483" t="s">
        <v>7253</v>
      </c>
    </row>
    <row r="2105" spans="1:8">
      <c r="E2105" s="483">
        <v>1205</v>
      </c>
      <c r="F2105" s="483">
        <v>466</v>
      </c>
      <c r="G2105" s="483" t="s">
        <v>6931</v>
      </c>
      <c r="H2105" s="483" t="s">
        <v>7471</v>
      </c>
    </row>
    <row r="2106" spans="1:8">
      <c r="D2106" s="483">
        <v>5000</v>
      </c>
      <c r="E2106" s="329"/>
      <c r="F2106" s="329">
        <v>5466</v>
      </c>
      <c r="H2106" s="483" t="s">
        <v>6836</v>
      </c>
    </row>
    <row r="2108" spans="1:8">
      <c r="A2108" s="483" t="s">
        <v>7472</v>
      </c>
      <c r="E2108" s="484"/>
      <c r="F2108" s="484"/>
      <c r="G2108" s="484"/>
    </row>
    <row r="2109" spans="1:8">
      <c r="E2109" s="329">
        <v>71</v>
      </c>
      <c r="F2109" s="329">
        <v>5395</v>
      </c>
      <c r="G2109" s="483" t="s">
        <v>6924</v>
      </c>
      <c r="H2109" s="483" t="s">
        <v>7473</v>
      </c>
    </row>
    <row r="2110" spans="1:8">
      <c r="E2110" s="329">
        <v>160</v>
      </c>
      <c r="F2110" s="329">
        <v>5235</v>
      </c>
      <c r="G2110" s="483" t="s">
        <v>6924</v>
      </c>
      <c r="H2110" s="483" t="s">
        <v>7474</v>
      </c>
    </row>
    <row r="2111" spans="1:8">
      <c r="E2111" s="329">
        <v>160</v>
      </c>
      <c r="F2111" s="329">
        <v>5075</v>
      </c>
      <c r="G2111" s="483" t="s">
        <v>6924</v>
      </c>
      <c r="H2111" s="483" t="s">
        <v>7474</v>
      </c>
    </row>
    <row r="2112" spans="1:8">
      <c r="E2112" s="329">
        <v>71</v>
      </c>
      <c r="F2112" s="329">
        <v>5004</v>
      </c>
      <c r="G2112" s="483" t="s">
        <v>6924</v>
      </c>
      <c r="H2112" s="483" t="s">
        <v>7473</v>
      </c>
    </row>
    <row r="2113" spans="1:8">
      <c r="E2113" s="329">
        <v>188</v>
      </c>
      <c r="F2113" s="329">
        <v>4816</v>
      </c>
      <c r="G2113" s="329" t="s">
        <v>6937</v>
      </c>
      <c r="H2113" s="483" t="s">
        <v>7475</v>
      </c>
    </row>
    <row r="2115" spans="1:8">
      <c r="A2115" s="483" t="s">
        <v>7476</v>
      </c>
      <c r="E2115" s="484"/>
      <c r="F2115" s="484"/>
      <c r="G2115" s="484"/>
    </row>
    <row r="2116" spans="1:8">
      <c r="E2116" s="329">
        <v>230</v>
      </c>
      <c r="F2116" s="329">
        <v>4586</v>
      </c>
      <c r="G2116" s="483" t="s">
        <v>6924</v>
      </c>
      <c r="H2116" s="483" t="s">
        <v>7477</v>
      </c>
    </row>
    <row r="2117" spans="1:8">
      <c r="E2117" s="329">
        <v>70</v>
      </c>
      <c r="F2117" s="329">
        <v>4516</v>
      </c>
      <c r="G2117" s="483" t="s">
        <v>6924</v>
      </c>
      <c r="H2117" s="483" t="s">
        <v>7477</v>
      </c>
    </row>
    <row r="2118" spans="1:8">
      <c r="E2118" s="329">
        <v>20</v>
      </c>
      <c r="F2118" s="329">
        <v>4496</v>
      </c>
      <c r="G2118" s="483" t="s">
        <v>6924</v>
      </c>
      <c r="H2118" s="483" t="s">
        <v>7477</v>
      </c>
    </row>
    <row r="2119" spans="1:8">
      <c r="E2119" s="329">
        <v>32</v>
      </c>
      <c r="F2119" s="329">
        <v>4464</v>
      </c>
      <c r="G2119" s="483" t="s">
        <v>6924</v>
      </c>
      <c r="H2119" s="483" t="s">
        <v>7478</v>
      </c>
    </row>
    <row r="2120" spans="1:8">
      <c r="E2120" s="329">
        <v>43</v>
      </c>
      <c r="F2120" s="329">
        <v>4421</v>
      </c>
      <c r="G2120" s="483" t="s">
        <v>6960</v>
      </c>
      <c r="H2120" s="483" t="s">
        <v>7479</v>
      </c>
    </row>
    <row r="2121" spans="1:8">
      <c r="E2121" s="484"/>
      <c r="F2121" s="484"/>
      <c r="G2121" s="484"/>
      <c r="H2121" s="484"/>
    </row>
    <row r="2122" spans="1:8">
      <c r="A2122" s="483" t="s">
        <v>7480</v>
      </c>
    </row>
    <row r="2123" spans="1:8">
      <c r="C2123" s="483">
        <v>17000</v>
      </c>
      <c r="H2123" s="483" t="s">
        <v>7481</v>
      </c>
    </row>
    <row r="2125" spans="1:8">
      <c r="A2125" s="483" t="s">
        <v>7482</v>
      </c>
      <c r="E2125" s="484"/>
      <c r="F2125" s="484"/>
      <c r="G2125" s="484"/>
    </row>
    <row r="2126" spans="1:8">
      <c r="E2126" s="329">
        <v>70</v>
      </c>
      <c r="F2126" s="329">
        <v>4351</v>
      </c>
      <c r="G2126" s="483" t="s">
        <v>6924</v>
      </c>
      <c r="H2126" s="483" t="s">
        <v>7483</v>
      </c>
    </row>
    <row r="2127" spans="1:8">
      <c r="E2127" s="329">
        <v>90</v>
      </c>
      <c r="F2127" s="329">
        <v>4261</v>
      </c>
      <c r="G2127" s="483" t="s">
        <v>6924</v>
      </c>
      <c r="H2127" s="483" t="s">
        <v>7484</v>
      </c>
    </row>
    <row r="2128" spans="1:8">
      <c r="E2128" s="329">
        <v>20</v>
      </c>
      <c r="F2128" s="329">
        <v>4241</v>
      </c>
      <c r="G2128" s="483" t="s">
        <v>6924</v>
      </c>
      <c r="H2128" s="483" t="s">
        <v>7485</v>
      </c>
    </row>
    <row r="2130" spans="1:8">
      <c r="A2130" s="483" t="s">
        <v>7486</v>
      </c>
      <c r="E2130" s="484"/>
      <c r="F2130" s="484"/>
      <c r="G2130" s="484"/>
    </row>
    <row r="2131" spans="1:8">
      <c r="C2131" s="483">
        <v>22827</v>
      </c>
      <c r="H2131" s="483" t="s">
        <v>7487</v>
      </c>
    </row>
    <row r="2132" spans="1:8">
      <c r="C2132" s="483">
        <v>25500</v>
      </c>
      <c r="H2132" s="483" t="s">
        <v>7488</v>
      </c>
    </row>
    <row r="2133" spans="1:8">
      <c r="C2133" s="483">
        <v>63248</v>
      </c>
      <c r="H2133" s="483" t="s">
        <v>7489</v>
      </c>
    </row>
    <row r="2134" spans="1:8">
      <c r="E2134" s="329">
        <v>20</v>
      </c>
      <c r="F2134" s="329">
        <v>4221</v>
      </c>
      <c r="G2134" s="483" t="s">
        <v>6924</v>
      </c>
      <c r="H2134" s="483" t="s">
        <v>7485</v>
      </c>
    </row>
    <row r="2135" spans="1:8">
      <c r="E2135" s="329">
        <v>95</v>
      </c>
      <c r="F2135" s="329">
        <v>4126</v>
      </c>
      <c r="G2135" s="483" t="s">
        <v>6924</v>
      </c>
      <c r="H2135" s="483" t="s">
        <v>7490</v>
      </c>
    </row>
    <row r="2136" spans="1:8">
      <c r="E2136" s="329">
        <v>70</v>
      </c>
      <c r="F2136" s="329">
        <v>4056</v>
      </c>
      <c r="G2136" s="483" t="s">
        <v>6924</v>
      </c>
      <c r="H2136" s="483" t="s">
        <v>7490</v>
      </c>
    </row>
    <row r="2137" spans="1:8">
      <c r="E2137" s="329">
        <v>20</v>
      </c>
      <c r="F2137" s="329">
        <v>4036</v>
      </c>
      <c r="G2137" s="483" t="s">
        <v>6924</v>
      </c>
      <c r="H2137" s="483" t="s">
        <v>7491</v>
      </c>
    </row>
    <row r="2139" spans="1:8">
      <c r="A2139" s="483" t="s">
        <v>7492</v>
      </c>
      <c r="E2139" s="484"/>
      <c r="F2139" s="484"/>
      <c r="G2139" s="484"/>
    </row>
    <row r="2140" spans="1:8">
      <c r="C2140" s="483">
        <v>28287</v>
      </c>
      <c r="H2140" s="483" t="s">
        <v>7493</v>
      </c>
    </row>
    <row r="2141" spans="1:8">
      <c r="E2141" s="484"/>
      <c r="F2141" s="484"/>
      <c r="G2141" s="484"/>
      <c r="H2141" s="484"/>
    </row>
    <row r="2142" spans="1:8" s="496" customFormat="1">
      <c r="A2142" s="496" t="s">
        <v>7494</v>
      </c>
    </row>
    <row r="2143" spans="1:8">
      <c r="E2143" s="483">
        <v>35</v>
      </c>
      <c r="F2143" s="483">
        <v>4001</v>
      </c>
      <c r="G2143" s="483" t="s">
        <v>6943</v>
      </c>
      <c r="H2143" s="483" t="s">
        <v>7495</v>
      </c>
    </row>
    <row r="2144" spans="1:8">
      <c r="E2144" s="484"/>
      <c r="F2144" s="484"/>
      <c r="G2144" s="484"/>
      <c r="H2144" s="484"/>
    </row>
    <row r="2145" spans="1:8" s="496" customFormat="1">
      <c r="A2145" s="496" t="s">
        <v>7496</v>
      </c>
    </row>
    <row r="2146" spans="1:8">
      <c r="E2146" s="483">
        <v>100</v>
      </c>
      <c r="F2146" s="483">
        <v>3901</v>
      </c>
      <c r="G2146" s="483" t="s">
        <v>6943</v>
      </c>
      <c r="H2146" s="483" t="s">
        <v>7497</v>
      </c>
    </row>
    <row r="2148" spans="1:8">
      <c r="A2148" s="483" t="s">
        <v>7498</v>
      </c>
      <c r="E2148" s="484"/>
      <c r="F2148" s="484"/>
      <c r="G2148" s="484"/>
    </row>
    <row r="2149" spans="1:8">
      <c r="E2149" s="329">
        <v>110</v>
      </c>
      <c r="F2149" s="329">
        <v>3791</v>
      </c>
      <c r="G2149" s="483" t="s">
        <v>6960</v>
      </c>
      <c r="H2149" s="483" t="s">
        <v>7499</v>
      </c>
    </row>
    <row r="2150" spans="1:8">
      <c r="E2150" s="484"/>
      <c r="F2150" s="484"/>
      <c r="G2150" s="484"/>
      <c r="H2150" s="484"/>
    </row>
    <row r="2151" spans="1:8" s="496" customFormat="1">
      <c r="A2151" s="496" t="s">
        <v>7500</v>
      </c>
    </row>
    <row r="2152" spans="1:8">
      <c r="E2152" s="483">
        <v>60</v>
      </c>
      <c r="F2152" s="483">
        <v>3731</v>
      </c>
      <c r="G2152" s="483" t="s">
        <v>6943</v>
      </c>
      <c r="H2152" s="483" t="s">
        <v>7501</v>
      </c>
    </row>
    <row r="2154" spans="1:8">
      <c r="A2154" s="483" t="s">
        <v>7502</v>
      </c>
      <c r="E2154" s="484"/>
      <c r="F2154" s="484"/>
      <c r="G2154" s="484"/>
    </row>
    <row r="2155" spans="1:8">
      <c r="E2155" s="329">
        <v>130</v>
      </c>
      <c r="F2155" s="329">
        <v>3601</v>
      </c>
      <c r="G2155" s="483" t="s">
        <v>6924</v>
      </c>
      <c r="H2155" s="483" t="s">
        <v>7503</v>
      </c>
    </row>
    <row r="2156" spans="1:8">
      <c r="E2156" s="329">
        <v>140</v>
      </c>
      <c r="F2156" s="329">
        <v>3461</v>
      </c>
      <c r="G2156" s="483" t="s">
        <v>6924</v>
      </c>
      <c r="H2156" s="483" t="s">
        <v>7503</v>
      </c>
    </row>
    <row r="2158" spans="1:8">
      <c r="A2158" s="483" t="s">
        <v>7504</v>
      </c>
      <c r="E2158" s="484"/>
      <c r="F2158" s="484"/>
      <c r="G2158" s="484"/>
    </row>
    <row r="2159" spans="1:8">
      <c r="E2159" s="329">
        <v>263</v>
      </c>
      <c r="F2159" s="329">
        <v>3198</v>
      </c>
      <c r="G2159" s="483" t="s">
        <v>6972</v>
      </c>
      <c r="H2159" s="483" t="s">
        <v>7505</v>
      </c>
    </row>
    <row r="2160" spans="1:8">
      <c r="C2160" s="483">
        <v>20030</v>
      </c>
      <c r="E2160" s="484"/>
      <c r="F2160" s="484"/>
      <c r="G2160" s="484"/>
      <c r="H2160" s="329" t="s">
        <v>7506</v>
      </c>
    </row>
    <row r="2161" spans="1:8">
      <c r="E2161" s="484"/>
      <c r="F2161" s="484"/>
      <c r="G2161" s="484"/>
      <c r="H2161" s="329"/>
    </row>
    <row r="2162" spans="1:8">
      <c r="A2162" s="483" t="s">
        <v>7507</v>
      </c>
      <c r="E2162" s="484"/>
      <c r="F2162" s="484"/>
      <c r="G2162" s="484"/>
      <c r="H2162" s="329"/>
    </row>
    <row r="2163" spans="1:8">
      <c r="C2163" s="483">
        <v>5000</v>
      </c>
      <c r="E2163" s="484"/>
      <c r="F2163" s="329">
        <v>8198</v>
      </c>
      <c r="G2163" s="484"/>
      <c r="H2163" s="329" t="s">
        <v>6836</v>
      </c>
    </row>
    <row r="2164" spans="1:8">
      <c r="E2164" s="484"/>
      <c r="F2164" s="484"/>
      <c r="G2164" s="484"/>
      <c r="H2164" s="329"/>
    </row>
    <row r="2165" spans="1:8">
      <c r="A2165" s="483" t="s">
        <v>7508</v>
      </c>
      <c r="E2165" s="484"/>
      <c r="F2165" s="484"/>
      <c r="G2165" s="484"/>
      <c r="H2165" s="329"/>
    </row>
    <row r="2166" spans="1:8">
      <c r="E2166" s="483">
        <v>1205</v>
      </c>
      <c r="F2166" s="483">
        <v>6993</v>
      </c>
      <c r="G2166" s="483" t="s">
        <v>6931</v>
      </c>
      <c r="H2166" s="483" t="s">
        <v>7509</v>
      </c>
    </row>
    <row r="2167" spans="1:8">
      <c r="E2167" s="484"/>
      <c r="F2167" s="484"/>
      <c r="G2167" s="484"/>
      <c r="H2167" s="329"/>
    </row>
    <row r="2168" spans="1:8">
      <c r="A2168" s="483" t="s">
        <v>7510</v>
      </c>
      <c r="E2168" s="484"/>
      <c r="F2168" s="484"/>
      <c r="G2168" s="484"/>
      <c r="H2168" s="329"/>
    </row>
    <row r="2169" spans="1:8" s="329" customFormat="1">
      <c r="E2169" s="329">
        <v>32</v>
      </c>
      <c r="F2169" s="329">
        <v>6961</v>
      </c>
      <c r="G2169" s="483" t="s">
        <v>6924</v>
      </c>
      <c r="H2169" s="483" t="s">
        <v>7511</v>
      </c>
    </row>
    <row r="2170" spans="1:8">
      <c r="E2170" s="329">
        <v>18</v>
      </c>
      <c r="F2170" s="329">
        <v>6943</v>
      </c>
      <c r="G2170" s="483" t="s">
        <v>6913</v>
      </c>
      <c r="H2170" s="483" t="s">
        <v>7512</v>
      </c>
    </row>
    <row r="2171" spans="1:8">
      <c r="E2171" s="484"/>
      <c r="F2171" s="484"/>
      <c r="G2171" s="484"/>
      <c r="H2171" s="484"/>
    </row>
    <row r="2172" spans="1:8">
      <c r="A2172" s="483" t="s">
        <v>7513</v>
      </c>
    </row>
    <row r="2173" spans="1:8">
      <c r="C2173" s="483">
        <v>17000</v>
      </c>
      <c r="H2173" s="483" t="s">
        <v>7514</v>
      </c>
    </row>
    <row r="2175" spans="1:8">
      <c r="A2175" s="483" t="s">
        <v>7515</v>
      </c>
      <c r="E2175" s="484"/>
      <c r="F2175" s="484"/>
      <c r="G2175" s="484"/>
    </row>
    <row r="2176" spans="1:8">
      <c r="C2176" s="483">
        <v>42011</v>
      </c>
      <c r="H2176" s="483" t="s">
        <v>7516</v>
      </c>
    </row>
    <row r="2177" spans="1:8">
      <c r="H2177" s="486"/>
    </row>
    <row r="2178" spans="1:8">
      <c r="A2178" s="483" t="s">
        <v>7517</v>
      </c>
      <c r="E2178" s="484"/>
      <c r="F2178" s="484"/>
      <c r="G2178" s="484"/>
    </row>
    <row r="2179" spans="1:8">
      <c r="C2179" s="483">
        <v>22827</v>
      </c>
      <c r="H2179" s="483" t="s">
        <v>7518</v>
      </c>
    </row>
    <row r="2180" spans="1:8">
      <c r="C2180" s="483">
        <v>63248</v>
      </c>
      <c r="H2180" s="483" t="s">
        <v>7519</v>
      </c>
    </row>
    <row r="2181" spans="1:8">
      <c r="C2181" s="483">
        <v>20500</v>
      </c>
      <c r="H2181" s="483" t="s">
        <v>7520</v>
      </c>
    </row>
    <row r="2182" spans="1:8">
      <c r="C2182" s="483">
        <v>14363</v>
      </c>
      <c r="H2182" s="483" t="s">
        <v>7521</v>
      </c>
    </row>
    <row r="2184" spans="1:8">
      <c r="A2184" s="483" t="s">
        <v>7522</v>
      </c>
    </row>
    <row r="2185" spans="1:8">
      <c r="C2185" s="483">
        <v>11035</v>
      </c>
      <c r="H2185" s="483" t="s">
        <v>7523</v>
      </c>
    </row>
    <row r="2187" spans="1:8">
      <c r="A2187" s="483" t="s">
        <v>7524</v>
      </c>
    </row>
    <row r="2188" spans="1:8">
      <c r="E2188" s="329">
        <v>50</v>
      </c>
      <c r="F2188" s="329">
        <v>6853</v>
      </c>
      <c r="G2188" s="483" t="s">
        <v>6924</v>
      </c>
      <c r="H2188" s="329" t="s">
        <v>7525</v>
      </c>
    </row>
    <row r="2189" spans="1:8">
      <c r="E2189" s="329">
        <v>45</v>
      </c>
      <c r="F2189" s="329">
        <v>6848</v>
      </c>
      <c r="G2189" s="483" t="s">
        <v>6960</v>
      </c>
      <c r="H2189" s="329" t="s">
        <v>7526</v>
      </c>
    </row>
    <row r="2191" spans="1:8">
      <c r="A2191" s="483" t="s">
        <v>7527</v>
      </c>
    </row>
    <row r="2192" spans="1:8">
      <c r="E2192" s="329">
        <v>30</v>
      </c>
      <c r="F2192" s="329">
        <v>6818</v>
      </c>
      <c r="G2192" s="483" t="s">
        <v>6924</v>
      </c>
      <c r="H2192" s="329" t="s">
        <v>7528</v>
      </c>
    </row>
    <row r="2193" spans="1:8">
      <c r="E2193" s="484"/>
      <c r="F2193" s="484"/>
      <c r="G2193" s="484"/>
      <c r="H2193" s="484"/>
    </row>
    <row r="2194" spans="1:8">
      <c r="A2194" s="483" t="s">
        <v>7529</v>
      </c>
    </row>
    <row r="2195" spans="1:8">
      <c r="E2195" s="329">
        <v>220</v>
      </c>
      <c r="F2195" s="329">
        <v>6598</v>
      </c>
      <c r="G2195" s="329" t="s">
        <v>6937</v>
      </c>
      <c r="H2195" s="483" t="s">
        <v>7475</v>
      </c>
    </row>
    <row r="2196" spans="1:8">
      <c r="E2196" s="483">
        <v>1205</v>
      </c>
      <c r="F2196" s="483">
        <v>5393</v>
      </c>
      <c r="G2196" s="483" t="s">
        <v>6931</v>
      </c>
      <c r="H2196" s="483" t="s">
        <v>7530</v>
      </c>
    </row>
    <row r="2197" spans="1:8">
      <c r="E2197" s="329">
        <v>84</v>
      </c>
      <c r="F2197" s="329">
        <v>5309</v>
      </c>
      <c r="G2197" s="483" t="s">
        <v>6960</v>
      </c>
      <c r="H2197" s="329" t="s">
        <v>7531</v>
      </c>
    </row>
    <row r="2198" spans="1:8">
      <c r="E2198" s="329">
        <v>90</v>
      </c>
      <c r="F2198" s="329">
        <v>5219</v>
      </c>
      <c r="G2198" s="483" t="s">
        <v>6960</v>
      </c>
      <c r="H2198" s="329" t="s">
        <v>7532</v>
      </c>
    </row>
    <row r="2199" spans="1:8">
      <c r="E2199" s="484"/>
      <c r="F2199" s="484"/>
      <c r="G2199" s="484"/>
      <c r="H2199" s="484"/>
    </row>
    <row r="2200" spans="1:8">
      <c r="A2200" s="483" t="s">
        <v>7533</v>
      </c>
      <c r="E2200" s="484"/>
      <c r="F2200" s="484"/>
      <c r="G2200" s="484"/>
      <c r="H2200" s="484"/>
    </row>
    <row r="2201" spans="1:8">
      <c r="E2201" s="329">
        <v>144</v>
      </c>
      <c r="F2201" s="329">
        <v>5075</v>
      </c>
      <c r="G2201" s="483" t="s">
        <v>6913</v>
      </c>
      <c r="H2201" s="483" t="s">
        <v>7534</v>
      </c>
    </row>
    <row r="2202" spans="1:8">
      <c r="E2202" s="483">
        <v>119</v>
      </c>
      <c r="F2202" s="329">
        <v>4956</v>
      </c>
      <c r="G2202" s="483" t="s">
        <v>6913</v>
      </c>
      <c r="H2202" s="483" t="s">
        <v>7126</v>
      </c>
    </row>
    <row r="2203" spans="1:8">
      <c r="E2203" s="484"/>
      <c r="F2203" s="484"/>
      <c r="G2203" s="484"/>
      <c r="H2203" s="484"/>
    </row>
    <row r="2204" spans="1:8">
      <c r="A2204" s="483" t="s">
        <v>7535</v>
      </c>
    </row>
    <row r="2205" spans="1:8">
      <c r="C2205" s="483">
        <v>17000</v>
      </c>
      <c r="H2205" s="483" t="s">
        <v>7536</v>
      </c>
    </row>
    <row r="2206" spans="1:8">
      <c r="C2206" s="483">
        <v>14430</v>
      </c>
      <c r="H2206" s="483" t="s">
        <v>7537</v>
      </c>
    </row>
    <row r="2207" spans="1:8">
      <c r="E2207" s="329">
        <v>25</v>
      </c>
      <c r="F2207" s="329">
        <v>4931</v>
      </c>
      <c r="G2207" s="483" t="s">
        <v>6972</v>
      </c>
      <c r="H2207" s="483" t="s">
        <v>7538</v>
      </c>
    </row>
    <row r="2209" spans="1:8">
      <c r="A2209" s="483" t="s">
        <v>7539</v>
      </c>
      <c r="E2209" s="484"/>
      <c r="F2209" s="484"/>
      <c r="G2209" s="484"/>
    </row>
    <row r="2210" spans="1:8">
      <c r="E2210" s="329">
        <v>365</v>
      </c>
      <c r="F2210" s="329">
        <v>4566</v>
      </c>
      <c r="G2210" s="483" t="s">
        <v>6924</v>
      </c>
      <c r="H2210" s="483" t="s">
        <v>7540</v>
      </c>
    </row>
    <row r="2211" spans="1:8">
      <c r="E2211" s="329">
        <v>350</v>
      </c>
      <c r="F2211" s="329">
        <v>4216</v>
      </c>
      <c r="G2211" s="483" t="s">
        <v>6924</v>
      </c>
      <c r="H2211" s="483" t="s">
        <v>7540</v>
      </c>
    </row>
    <row r="2212" spans="1:8">
      <c r="H2212" s="486"/>
    </row>
    <row r="2213" spans="1:8">
      <c r="A2213" s="483" t="s">
        <v>7541</v>
      </c>
      <c r="E2213" s="484"/>
      <c r="F2213" s="484"/>
      <c r="G2213" s="484"/>
    </row>
    <row r="2214" spans="1:8">
      <c r="C2214" s="483">
        <v>22827</v>
      </c>
      <c r="H2214" s="483" t="s">
        <v>7542</v>
      </c>
    </row>
    <row r="2215" spans="1:8">
      <c r="C2215" s="483">
        <v>63248</v>
      </c>
      <c r="H2215" s="483" t="s">
        <v>7543</v>
      </c>
    </row>
    <row r="2216" spans="1:8">
      <c r="E2216" s="484"/>
      <c r="F2216" s="484"/>
      <c r="G2216" s="484"/>
      <c r="H2216" s="484"/>
    </row>
    <row r="2217" spans="1:8">
      <c r="A2217" s="483" t="s">
        <v>7544</v>
      </c>
      <c r="E2217" s="484"/>
      <c r="F2217" s="484"/>
      <c r="G2217" s="484"/>
      <c r="H2217" s="484"/>
    </row>
    <row r="2218" spans="1:8">
      <c r="E2218" s="329">
        <v>99</v>
      </c>
      <c r="F2218" s="329">
        <v>4117</v>
      </c>
      <c r="G2218" s="483" t="s">
        <v>6913</v>
      </c>
      <c r="H2218" s="483" t="s">
        <v>7545</v>
      </c>
    </row>
    <row r="2219" spans="1:8">
      <c r="E2219" s="483">
        <v>25</v>
      </c>
      <c r="F2219" s="483">
        <v>4092</v>
      </c>
      <c r="G2219" s="483" t="s">
        <v>6943</v>
      </c>
      <c r="H2219" s="483" t="s">
        <v>7546</v>
      </c>
    </row>
    <row r="2220" spans="1:8">
      <c r="E2220" s="484"/>
      <c r="F2220" s="484"/>
      <c r="G2220" s="484"/>
      <c r="H2220" s="484"/>
    </row>
    <row r="2221" spans="1:8">
      <c r="A2221" s="483" t="s">
        <v>7547</v>
      </c>
      <c r="E2221" s="484"/>
      <c r="F2221" s="484"/>
      <c r="G2221" s="484"/>
      <c r="H2221" s="484"/>
    </row>
    <row r="2222" spans="1:8">
      <c r="E2222" s="329">
        <v>156</v>
      </c>
      <c r="F2222" s="329">
        <v>3936</v>
      </c>
      <c r="G2222" s="483" t="s">
        <v>6972</v>
      </c>
      <c r="H2222" s="483" t="s">
        <v>7548</v>
      </c>
    </row>
    <row r="2223" spans="1:8">
      <c r="E2223" s="329">
        <v>24</v>
      </c>
      <c r="F2223" s="329">
        <v>3912</v>
      </c>
      <c r="G2223" s="483" t="s">
        <v>6972</v>
      </c>
      <c r="H2223" s="483" t="s">
        <v>7253</v>
      </c>
    </row>
    <row r="2224" spans="1:8">
      <c r="E2224" s="484"/>
      <c r="F2224" s="484"/>
      <c r="G2224" s="484"/>
      <c r="H2224" s="484"/>
    </row>
    <row r="2225" spans="1:8" s="496" customFormat="1">
      <c r="A2225" s="496" t="s">
        <v>7549</v>
      </c>
    </row>
    <row r="2226" spans="1:8">
      <c r="E2226" s="483">
        <v>75</v>
      </c>
      <c r="F2226" s="483">
        <v>3837</v>
      </c>
      <c r="G2226" s="483" t="s">
        <v>6943</v>
      </c>
      <c r="H2226" s="483" t="s">
        <v>7550</v>
      </c>
    </row>
    <row r="2227" spans="1:8">
      <c r="E2227" s="484"/>
      <c r="F2227" s="484"/>
      <c r="G2227" s="484"/>
      <c r="H2227" s="484"/>
    </row>
    <row r="2228" spans="1:8" s="496" customFormat="1">
      <c r="A2228" s="496" t="s">
        <v>7551</v>
      </c>
    </row>
    <row r="2229" spans="1:8">
      <c r="E2229" s="483">
        <v>65</v>
      </c>
      <c r="F2229" s="483">
        <v>3772</v>
      </c>
      <c r="G2229" s="483" t="s">
        <v>6943</v>
      </c>
      <c r="H2229" s="483" t="s">
        <v>7552</v>
      </c>
    </row>
    <row r="2230" spans="1:8">
      <c r="E2230" s="329">
        <v>78</v>
      </c>
      <c r="F2230" s="329">
        <v>3694</v>
      </c>
      <c r="G2230" s="483" t="s">
        <v>6972</v>
      </c>
      <c r="H2230" s="483" t="s">
        <v>7548</v>
      </c>
    </row>
    <row r="2231" spans="1:8">
      <c r="E2231" s="484"/>
      <c r="F2231" s="484"/>
      <c r="G2231" s="484"/>
      <c r="H2231" s="484"/>
    </row>
    <row r="2232" spans="1:8" s="496" customFormat="1">
      <c r="A2232" s="496" t="s">
        <v>7553</v>
      </c>
    </row>
    <row r="2233" spans="1:8">
      <c r="C2233" s="483">
        <v>50000</v>
      </c>
      <c r="E2233" s="329"/>
      <c r="F2233" s="329"/>
      <c r="H2233" s="483" t="s">
        <v>7554</v>
      </c>
    </row>
    <row r="2234" spans="1:8">
      <c r="E2234" s="484"/>
      <c r="F2234" s="484"/>
      <c r="G2234" s="484"/>
      <c r="H2234" s="484"/>
    </row>
    <row r="2235" spans="1:8">
      <c r="A2235" s="483" t="s">
        <v>7555</v>
      </c>
    </row>
    <row r="2236" spans="1:8">
      <c r="E2236" s="483">
        <v>1205</v>
      </c>
      <c r="F2236" s="483">
        <v>2489</v>
      </c>
      <c r="G2236" s="483" t="s">
        <v>6931</v>
      </c>
      <c r="H2236" s="483" t="s">
        <v>7556</v>
      </c>
    </row>
    <row r="2237" spans="1:8">
      <c r="E2237" s="484"/>
      <c r="F2237" s="484"/>
      <c r="G2237" s="484"/>
      <c r="H2237" s="329"/>
    </row>
    <row r="2238" spans="1:8">
      <c r="A2238" s="483" t="s">
        <v>7557</v>
      </c>
      <c r="E2238" s="484"/>
      <c r="F2238" s="484"/>
      <c r="G2238" s="484"/>
      <c r="H2238" s="329"/>
    </row>
    <row r="2239" spans="1:8" s="329" customFormat="1">
      <c r="E2239" s="329">
        <v>32</v>
      </c>
      <c r="F2239" s="329">
        <v>2457</v>
      </c>
      <c r="G2239" s="483" t="s">
        <v>6924</v>
      </c>
      <c r="H2239" s="483" t="s">
        <v>7511</v>
      </c>
    </row>
    <row r="2240" spans="1:8">
      <c r="E2240" s="329">
        <v>18</v>
      </c>
      <c r="F2240" s="329">
        <v>2439</v>
      </c>
      <c r="G2240" s="483" t="s">
        <v>6913</v>
      </c>
      <c r="H2240" s="483" t="s">
        <v>7558</v>
      </c>
    </row>
    <row r="2241" spans="1:8">
      <c r="E2241" s="484"/>
      <c r="F2241" s="484"/>
      <c r="G2241" s="484"/>
      <c r="H2241" s="484"/>
    </row>
    <row r="2242" spans="1:8">
      <c r="A2242" s="483" t="s">
        <v>7559</v>
      </c>
    </row>
    <row r="2243" spans="1:8">
      <c r="C2243" s="483">
        <v>17000</v>
      </c>
      <c r="H2243" s="483" t="s">
        <v>7560</v>
      </c>
    </row>
    <row r="2244" spans="1:8">
      <c r="H2244" s="486"/>
    </row>
    <row r="2245" spans="1:8">
      <c r="A2245" s="483" t="s">
        <v>7561</v>
      </c>
      <c r="E2245" s="484"/>
      <c r="F2245" s="484"/>
      <c r="G2245" s="484"/>
    </row>
    <row r="2246" spans="1:8">
      <c r="C2246" s="483">
        <v>22827</v>
      </c>
      <c r="H2246" s="483" t="s">
        <v>7562</v>
      </c>
    </row>
    <row r="2247" spans="1:8">
      <c r="C2247" s="483">
        <v>63248</v>
      </c>
      <c r="H2247" s="483" t="s">
        <v>7563</v>
      </c>
    </row>
    <row r="2248" spans="1:8">
      <c r="E2248" s="483">
        <v>280</v>
      </c>
      <c r="F2248" s="329">
        <v>2159</v>
      </c>
      <c r="G2248" s="483" t="s">
        <v>6913</v>
      </c>
      <c r="H2248" s="483" t="s">
        <v>7564</v>
      </c>
    </row>
    <row r="2250" spans="1:8">
      <c r="A2250" s="483" t="s">
        <v>7565</v>
      </c>
    </row>
    <row r="2251" spans="1:8">
      <c r="C2251" s="483">
        <v>19921</v>
      </c>
      <c r="H2251" s="483" t="s">
        <v>7566</v>
      </c>
    </row>
    <row r="2252" spans="1:8">
      <c r="C2252" s="483">
        <v>5000</v>
      </c>
      <c r="H2252" s="483" t="s">
        <v>6836</v>
      </c>
    </row>
    <row r="2253" spans="1:8">
      <c r="D2253" s="483">
        <v>5000</v>
      </c>
      <c r="F2253" s="329">
        <v>7159</v>
      </c>
      <c r="H2253" s="483" t="s">
        <v>6836</v>
      </c>
    </row>
    <row r="2254" spans="1:8">
      <c r="E2254" s="483">
        <v>500</v>
      </c>
      <c r="F2254" s="329">
        <v>6659</v>
      </c>
      <c r="G2254" s="483" t="s">
        <v>6943</v>
      </c>
      <c r="H2254" s="483" t="s">
        <v>7390</v>
      </c>
    </row>
    <row r="2255" spans="1:8">
      <c r="E2255" s="483">
        <v>125</v>
      </c>
      <c r="F2255" s="483">
        <v>6534</v>
      </c>
      <c r="G2255" s="483" t="s">
        <v>6943</v>
      </c>
      <c r="H2255" s="483" t="s">
        <v>7567</v>
      </c>
    </row>
    <row r="2256" spans="1:8">
      <c r="E2256" s="329"/>
      <c r="F2256" s="329"/>
      <c r="H2256" s="487"/>
    </row>
    <row r="2257" spans="1:8">
      <c r="A2257" s="483" t="s">
        <v>7568</v>
      </c>
      <c r="E2257" s="484"/>
      <c r="F2257" s="484"/>
      <c r="G2257" s="484"/>
      <c r="H2257" s="484"/>
    </row>
    <row r="2258" spans="1:8">
      <c r="C2258" s="483">
        <v>180000</v>
      </c>
      <c r="E2258" s="484"/>
      <c r="F2258" s="484"/>
      <c r="G2258" s="484"/>
      <c r="H2258" s="329" t="s">
        <v>7569</v>
      </c>
    </row>
    <row r="2259" spans="1:8">
      <c r="C2259" s="483">
        <v>14546</v>
      </c>
      <c r="E2259" s="484"/>
      <c r="F2259" s="484"/>
      <c r="G2259" s="484"/>
      <c r="H2259" s="329" t="s">
        <v>7570</v>
      </c>
    </row>
    <row r="2260" spans="1:8">
      <c r="E2260" s="484"/>
      <c r="F2260" s="484"/>
      <c r="G2260" s="484"/>
      <c r="H2260" s="484"/>
    </row>
    <row r="2261" spans="1:8">
      <c r="A2261" s="483" t="s">
        <v>7571</v>
      </c>
    </row>
    <row r="2262" spans="1:8">
      <c r="E2262" s="329">
        <v>230</v>
      </c>
      <c r="F2262" s="329">
        <v>6304</v>
      </c>
      <c r="G2262" s="329" t="s">
        <v>6937</v>
      </c>
      <c r="H2262" s="483" t="s">
        <v>7572</v>
      </c>
    </row>
    <row r="2263" spans="1:8">
      <c r="E2263" s="483">
        <v>1205</v>
      </c>
      <c r="F2263" s="483">
        <v>5099</v>
      </c>
      <c r="G2263" s="483" t="s">
        <v>6931</v>
      </c>
      <c r="H2263" s="483" t="s">
        <v>7573</v>
      </c>
    </row>
    <row r="2264" spans="1:8">
      <c r="E2264" s="483">
        <v>200</v>
      </c>
      <c r="F2264" s="483">
        <v>4899</v>
      </c>
      <c r="G2264" s="483" t="s">
        <v>6924</v>
      </c>
      <c r="H2264" s="483" t="s">
        <v>7398</v>
      </c>
    </row>
    <row r="2265" spans="1:8">
      <c r="E2265" s="484"/>
      <c r="F2265" s="484"/>
      <c r="G2265" s="484"/>
      <c r="H2265" s="484"/>
    </row>
    <row r="2266" spans="1:8">
      <c r="A2266" s="483" t="s">
        <v>7574</v>
      </c>
    </row>
    <row r="2267" spans="1:8">
      <c r="E2267" s="329">
        <v>57</v>
      </c>
      <c r="F2267" s="329">
        <v>4842</v>
      </c>
      <c r="G2267" s="483" t="s">
        <v>6960</v>
      </c>
      <c r="H2267" s="329" t="s">
        <v>7526</v>
      </c>
    </row>
    <row r="2268" spans="1:8">
      <c r="E2268" s="329">
        <v>220</v>
      </c>
      <c r="F2268" s="329">
        <v>4622</v>
      </c>
      <c r="G2268" s="483" t="s">
        <v>6960</v>
      </c>
      <c r="H2268" s="329" t="s">
        <v>7575</v>
      </c>
    </row>
    <row r="2269" spans="1:8">
      <c r="E2269" s="484"/>
      <c r="F2269" s="484"/>
      <c r="G2269" s="484"/>
      <c r="H2269" s="484"/>
    </row>
    <row r="2270" spans="1:8">
      <c r="A2270" s="483" t="s">
        <v>7576</v>
      </c>
    </row>
    <row r="2271" spans="1:8">
      <c r="C2271" s="483">
        <v>17000</v>
      </c>
      <c r="H2271" s="483" t="s">
        <v>7577</v>
      </c>
    </row>
    <row r="2272" spans="1:8">
      <c r="C2272" s="483">
        <v>21820</v>
      </c>
      <c r="H2272" s="483" t="s">
        <v>7578</v>
      </c>
    </row>
    <row r="2273" spans="1:8">
      <c r="E2273" s="484"/>
      <c r="F2273" s="484"/>
      <c r="G2273" s="484"/>
      <c r="H2273" s="484"/>
    </row>
    <row r="2274" spans="1:8">
      <c r="A2274" s="483" t="s">
        <v>7579</v>
      </c>
    </row>
    <row r="2275" spans="1:8">
      <c r="E2275" s="329">
        <v>190</v>
      </c>
      <c r="F2275" s="329">
        <v>4432</v>
      </c>
      <c r="G2275" s="483" t="s">
        <v>6972</v>
      </c>
      <c r="H2275" s="483" t="s">
        <v>7548</v>
      </c>
    </row>
    <row r="2276" spans="1:8">
      <c r="E2276" s="484"/>
      <c r="F2276" s="484"/>
      <c r="G2276" s="484"/>
      <c r="H2276" s="484"/>
    </row>
    <row r="2277" spans="1:8">
      <c r="A2277" s="483" t="s">
        <v>7580</v>
      </c>
    </row>
    <row r="2278" spans="1:8">
      <c r="E2278" s="329">
        <v>378</v>
      </c>
      <c r="F2278" s="329">
        <v>4054</v>
      </c>
      <c r="G2278" s="487" t="s">
        <v>7022</v>
      </c>
      <c r="H2278" s="483" t="s">
        <v>7581</v>
      </c>
    </row>
    <row r="2279" spans="1:8">
      <c r="E2279" s="484"/>
      <c r="F2279" s="484"/>
      <c r="G2279" s="484"/>
      <c r="H2279" s="484"/>
    </row>
    <row r="2280" spans="1:8">
      <c r="A2280" s="483" t="s">
        <v>7582</v>
      </c>
    </row>
    <row r="2281" spans="1:8">
      <c r="E2281" s="483">
        <v>5</v>
      </c>
      <c r="F2281" s="483">
        <v>4049</v>
      </c>
      <c r="G2281" s="483" t="s">
        <v>6943</v>
      </c>
      <c r="H2281" s="483" t="s">
        <v>7583</v>
      </c>
    </row>
    <row r="2283" spans="1:8">
      <c r="A2283" s="483" t="s">
        <v>7584</v>
      </c>
      <c r="E2283" s="484"/>
      <c r="F2283" s="484"/>
      <c r="G2283" s="484"/>
    </row>
    <row r="2284" spans="1:8">
      <c r="E2284" s="329">
        <v>550</v>
      </c>
      <c r="F2284" s="329">
        <v>3499</v>
      </c>
      <c r="G2284" s="483" t="s">
        <v>6924</v>
      </c>
      <c r="H2284" s="483" t="s">
        <v>7394</v>
      </c>
    </row>
    <row r="2285" spans="1:8">
      <c r="E2285" s="329">
        <v>300</v>
      </c>
      <c r="F2285" s="329">
        <v>3199</v>
      </c>
      <c r="G2285" s="483" t="s">
        <v>6924</v>
      </c>
      <c r="H2285" s="483" t="s">
        <v>7394</v>
      </c>
    </row>
    <row r="2286" spans="1:8">
      <c r="E2286" s="484"/>
      <c r="F2286" s="484"/>
      <c r="G2286" s="484"/>
      <c r="H2286" s="484"/>
    </row>
    <row r="2287" spans="1:8">
      <c r="A2287" s="483" t="s">
        <v>7585</v>
      </c>
    </row>
    <row r="2288" spans="1:8">
      <c r="E2288" s="483">
        <v>74</v>
      </c>
      <c r="F2288" s="483">
        <v>3125</v>
      </c>
      <c r="G2288" s="483" t="s">
        <v>6943</v>
      </c>
      <c r="H2288" s="483" t="s">
        <v>7586</v>
      </c>
    </row>
    <row r="2289" spans="1:8">
      <c r="E2289" s="484"/>
      <c r="F2289" s="484"/>
      <c r="G2289" s="484"/>
      <c r="H2289" s="484"/>
    </row>
    <row r="2290" spans="1:8">
      <c r="A2290" s="483" t="s">
        <v>7587</v>
      </c>
    </row>
    <row r="2291" spans="1:8">
      <c r="E2291" s="483">
        <v>1205</v>
      </c>
      <c r="F2291" s="483">
        <v>1920</v>
      </c>
      <c r="G2291" s="483" t="s">
        <v>6931</v>
      </c>
      <c r="H2291" s="483" t="s">
        <v>7588</v>
      </c>
    </row>
    <row r="2292" spans="1:8">
      <c r="E2292" s="329">
        <v>330</v>
      </c>
      <c r="F2292" s="329">
        <v>1590</v>
      </c>
      <c r="G2292" s="483" t="s">
        <v>6960</v>
      </c>
      <c r="H2292" s="329" t="s">
        <v>7589</v>
      </c>
    </row>
    <row r="2293" spans="1:8">
      <c r="E2293" s="484"/>
      <c r="F2293" s="484"/>
      <c r="G2293" s="484"/>
      <c r="H2293" s="484"/>
    </row>
    <row r="2294" spans="1:8">
      <c r="A2294" s="483" t="s">
        <v>7590</v>
      </c>
    </row>
    <row r="2295" spans="1:8">
      <c r="E2295" s="329">
        <v>18</v>
      </c>
      <c r="F2295" s="329">
        <v>1572</v>
      </c>
      <c r="G2295" s="483" t="s">
        <v>6913</v>
      </c>
      <c r="H2295" s="483" t="s">
        <v>7591</v>
      </c>
    </row>
    <row r="2296" spans="1:8">
      <c r="E2296" s="484"/>
      <c r="F2296" s="484"/>
      <c r="G2296" s="484"/>
      <c r="H2296" s="484"/>
    </row>
    <row r="2297" spans="1:8">
      <c r="A2297" s="483" t="s">
        <v>7592</v>
      </c>
    </row>
    <row r="2298" spans="1:8">
      <c r="C2298" s="483">
        <v>17000</v>
      </c>
      <c r="H2298" s="483" t="s">
        <v>7593</v>
      </c>
    </row>
    <row r="2299" spans="1:8">
      <c r="C2299" s="483">
        <v>6600</v>
      </c>
      <c r="H2299" s="483" t="s">
        <v>6836</v>
      </c>
    </row>
    <row r="2300" spans="1:8">
      <c r="D2300" s="483">
        <v>6600</v>
      </c>
      <c r="F2300" s="329">
        <v>8172</v>
      </c>
      <c r="H2300" s="483" t="s">
        <v>6836</v>
      </c>
    </row>
    <row r="2301" spans="1:8">
      <c r="E2301" s="329">
        <v>1600</v>
      </c>
      <c r="F2301" s="329">
        <v>6572</v>
      </c>
      <c r="G2301" s="487" t="s">
        <v>7022</v>
      </c>
      <c r="H2301" s="483" t="s">
        <v>7594</v>
      </c>
    </row>
    <row r="2302" spans="1:8">
      <c r="E2302" s="484"/>
      <c r="F2302" s="484"/>
      <c r="G2302" s="484"/>
      <c r="H2302" s="484"/>
    </row>
    <row r="2303" spans="1:8">
      <c r="A2303" s="483" t="s">
        <v>7595</v>
      </c>
      <c r="E2303" s="484"/>
      <c r="F2303" s="484"/>
      <c r="G2303" s="484"/>
      <c r="H2303" s="484"/>
    </row>
    <row r="2304" spans="1:8">
      <c r="E2304" s="329">
        <v>115</v>
      </c>
      <c r="F2304" s="329">
        <v>6457</v>
      </c>
      <c r="G2304" s="483" t="s">
        <v>6913</v>
      </c>
      <c r="H2304" s="483" t="s">
        <v>7596</v>
      </c>
    </row>
    <row r="2305" spans="1:8">
      <c r="C2305" s="483">
        <v>22827</v>
      </c>
      <c r="H2305" s="483" t="s">
        <v>7597</v>
      </c>
    </row>
    <row r="2306" spans="1:8">
      <c r="C2306" s="483">
        <v>63248</v>
      </c>
      <c r="H2306" s="483" t="s">
        <v>7598</v>
      </c>
    </row>
    <row r="2307" spans="1:8">
      <c r="C2307" s="483">
        <v>15938</v>
      </c>
      <c r="H2307" s="483" t="s">
        <v>7599</v>
      </c>
    </row>
    <row r="2309" spans="1:8">
      <c r="A2309" s="483" t="s">
        <v>7600</v>
      </c>
      <c r="E2309" s="484"/>
      <c r="F2309" s="484"/>
      <c r="G2309" s="484"/>
    </row>
    <row r="2310" spans="1:8">
      <c r="E2310" s="329">
        <v>280</v>
      </c>
      <c r="F2310" s="329">
        <v>6177</v>
      </c>
      <c r="G2310" s="483" t="s">
        <v>6924</v>
      </c>
      <c r="H2310" s="483" t="s">
        <v>7601</v>
      </c>
    </row>
    <row r="2311" spans="1:8">
      <c r="E2311" s="329">
        <v>250</v>
      </c>
      <c r="F2311" s="329">
        <v>5927</v>
      </c>
      <c r="G2311" s="483" t="s">
        <v>6924</v>
      </c>
      <c r="H2311" s="483" t="s">
        <v>7601</v>
      </c>
    </row>
    <row r="2312" spans="1:8">
      <c r="E2312" s="484"/>
      <c r="F2312" s="484"/>
      <c r="G2312" s="484"/>
      <c r="H2312" s="484"/>
    </row>
    <row r="2314" spans="1:8">
      <c r="A2314" s="483" t="s">
        <v>7602</v>
      </c>
      <c r="E2314" s="484"/>
      <c r="F2314" s="484"/>
      <c r="G2314" s="484"/>
    </row>
    <row r="2315" spans="1:8">
      <c r="E2315" s="329">
        <v>220</v>
      </c>
      <c r="F2315" s="329">
        <v>5707</v>
      </c>
      <c r="G2315" s="483" t="s">
        <v>6924</v>
      </c>
      <c r="H2315" s="483" t="s">
        <v>7603</v>
      </c>
    </row>
    <row r="2316" spans="1:8">
      <c r="E2316" s="329">
        <v>245</v>
      </c>
      <c r="F2316" s="329">
        <v>5462</v>
      </c>
      <c r="G2316" s="483" t="s">
        <v>6924</v>
      </c>
      <c r="H2316" s="483" t="s">
        <v>7603</v>
      </c>
    </row>
    <row r="2317" spans="1:8">
      <c r="E2317" s="484"/>
      <c r="F2317" s="484"/>
      <c r="G2317" s="484"/>
      <c r="H2317" s="484"/>
    </row>
    <row r="2318" spans="1:8">
      <c r="A2318" s="483" t="s">
        <v>7604</v>
      </c>
    </row>
    <row r="2319" spans="1:8">
      <c r="E2319" s="483">
        <v>5</v>
      </c>
      <c r="F2319" s="483">
        <v>5457</v>
      </c>
      <c r="G2319" s="483" t="s">
        <v>6943</v>
      </c>
      <c r="H2319" s="483" t="s">
        <v>7605</v>
      </c>
    </row>
    <row r="2320" spans="1:8">
      <c r="E2320" s="329">
        <v>220</v>
      </c>
      <c r="F2320" s="329">
        <v>5237</v>
      </c>
      <c r="G2320" s="483" t="s">
        <v>6924</v>
      </c>
      <c r="H2320" s="483" t="s">
        <v>7603</v>
      </c>
    </row>
    <row r="2321" spans="1:8">
      <c r="E2321" s="329">
        <v>255</v>
      </c>
      <c r="F2321" s="329">
        <v>4982</v>
      </c>
      <c r="G2321" s="483" t="s">
        <v>6924</v>
      </c>
      <c r="H2321" s="483" t="s">
        <v>7603</v>
      </c>
    </row>
    <row r="2322" spans="1:8">
      <c r="E2322" s="484"/>
      <c r="F2322" s="484"/>
      <c r="G2322" s="484"/>
      <c r="H2322" s="484"/>
    </row>
    <row r="2323" spans="1:8">
      <c r="A2323" s="483" t="s">
        <v>7606</v>
      </c>
    </row>
    <row r="2324" spans="1:8">
      <c r="E2324" s="483">
        <v>25</v>
      </c>
      <c r="F2324" s="483">
        <v>4957</v>
      </c>
      <c r="G2324" s="483" t="s">
        <v>6943</v>
      </c>
      <c r="H2324" s="483" t="s">
        <v>7607</v>
      </c>
    </row>
    <row r="2325" spans="1:8">
      <c r="E2325" s="484"/>
      <c r="F2325" s="484"/>
      <c r="G2325" s="484"/>
      <c r="H2325" s="484"/>
    </row>
    <row r="2326" spans="1:8">
      <c r="A2326" s="483" t="s">
        <v>7608</v>
      </c>
    </row>
    <row r="2327" spans="1:8">
      <c r="E2327" s="483">
        <v>1205</v>
      </c>
      <c r="F2327" s="483">
        <v>3752</v>
      </c>
      <c r="G2327" s="483" t="s">
        <v>6931</v>
      </c>
      <c r="H2327" s="483" t="s">
        <v>7609</v>
      </c>
    </row>
    <row r="2328" spans="1:8">
      <c r="E2328" s="484"/>
      <c r="F2328" s="484"/>
      <c r="G2328" s="484"/>
      <c r="H2328" s="484"/>
    </row>
    <row r="2329" spans="1:8">
      <c r="A2329" s="483" t="s">
        <v>7610</v>
      </c>
    </row>
    <row r="2330" spans="1:8">
      <c r="E2330" s="329">
        <v>230</v>
      </c>
      <c r="F2330" s="329">
        <v>3522</v>
      </c>
      <c r="G2330" s="329" t="s">
        <v>6937</v>
      </c>
      <c r="H2330" s="483" t="s">
        <v>7611</v>
      </c>
    </row>
    <row r="2331" spans="1:8">
      <c r="E2331" s="484"/>
      <c r="F2331" s="484"/>
      <c r="G2331" s="484"/>
      <c r="H2331" s="484"/>
    </row>
    <row r="2332" spans="1:8">
      <c r="A2332" s="483" t="s">
        <v>7612</v>
      </c>
    </row>
    <row r="2333" spans="1:8">
      <c r="C2333" s="483">
        <v>17000</v>
      </c>
      <c r="H2333" s="483" t="s">
        <v>7613</v>
      </c>
    </row>
    <row r="2334" spans="1:8">
      <c r="C2334" s="483">
        <v>22818</v>
      </c>
      <c r="H2334" s="483" t="s">
        <v>7614</v>
      </c>
    </row>
    <row r="2335" spans="1:8">
      <c r="C2335" s="483">
        <v>63185</v>
      </c>
      <c r="H2335" s="483" t="s">
        <v>7615</v>
      </c>
    </row>
    <row r="2336" spans="1:8">
      <c r="C2336" s="483">
        <v>35000</v>
      </c>
      <c r="H2336" s="483" t="s">
        <v>7616</v>
      </c>
    </row>
    <row r="2337" spans="1:8">
      <c r="E2337" s="484"/>
      <c r="F2337" s="484"/>
      <c r="G2337" s="484"/>
    </row>
    <row r="2338" spans="1:8">
      <c r="A2338" s="483" t="s">
        <v>7617</v>
      </c>
      <c r="E2338" s="484"/>
      <c r="F2338" s="484"/>
      <c r="G2338" s="484"/>
    </row>
    <row r="2339" spans="1:8">
      <c r="E2339" s="483">
        <v>30</v>
      </c>
      <c r="F2339" s="329">
        <v>3492</v>
      </c>
      <c r="G2339" s="483" t="s">
        <v>6960</v>
      </c>
      <c r="H2339" s="483" t="s">
        <v>7329</v>
      </c>
    </row>
    <row r="2340" spans="1:8">
      <c r="E2340" s="329"/>
      <c r="F2340" s="329"/>
      <c r="H2340" s="487"/>
    </row>
    <row r="2341" spans="1:8">
      <c r="A2341" s="483" t="s">
        <v>7618</v>
      </c>
      <c r="E2341" s="484"/>
      <c r="F2341" s="484"/>
      <c r="G2341" s="484"/>
      <c r="H2341" s="484"/>
    </row>
    <row r="2342" spans="1:8">
      <c r="C2342" s="483">
        <v>10000</v>
      </c>
      <c r="E2342" s="484"/>
      <c r="F2342" s="484"/>
      <c r="G2342" s="484"/>
      <c r="H2342" s="329" t="s">
        <v>7570</v>
      </c>
    </row>
    <row r="2343" spans="1:8">
      <c r="E2343" s="329">
        <v>689</v>
      </c>
      <c r="F2343" s="329">
        <v>2803</v>
      </c>
      <c r="G2343" s="483" t="s">
        <v>6960</v>
      </c>
      <c r="H2343" s="329" t="s">
        <v>7619</v>
      </c>
    </row>
    <row r="2344" spans="1:8">
      <c r="E2344" s="483">
        <v>100</v>
      </c>
      <c r="F2344" s="483">
        <v>2703</v>
      </c>
      <c r="G2344" s="483" t="s">
        <v>6943</v>
      </c>
      <c r="H2344" s="483" t="s">
        <v>7620</v>
      </c>
    </row>
    <row r="2345" spans="1:8" ht="214.5">
      <c r="C2345" s="487" t="s">
        <v>7621</v>
      </c>
      <c r="H2345" s="486" t="s">
        <v>7622</v>
      </c>
    </row>
    <row r="2346" spans="1:8">
      <c r="C2346" s="487">
        <v>5598</v>
      </c>
      <c r="H2346" s="486"/>
    </row>
    <row r="2347" spans="1:8">
      <c r="E2347" s="487">
        <v>5598</v>
      </c>
      <c r="H2347" s="486" t="s">
        <v>7623</v>
      </c>
    </row>
    <row r="2348" spans="1:8">
      <c r="D2348" s="487">
        <v>5598</v>
      </c>
      <c r="H2348" s="486" t="s">
        <v>7624</v>
      </c>
    </row>
    <row r="2349" spans="1:8">
      <c r="E2349" s="329"/>
      <c r="F2349" s="329"/>
      <c r="H2349" s="487"/>
    </row>
    <row r="2350" spans="1:8">
      <c r="A2350" s="483" t="s">
        <v>7625</v>
      </c>
      <c r="E2350" s="484"/>
      <c r="F2350" s="484"/>
      <c r="G2350" s="484"/>
      <c r="H2350" s="484"/>
    </row>
    <row r="2351" spans="1:8">
      <c r="E2351" s="483">
        <v>300</v>
      </c>
      <c r="F2351" s="329">
        <v>2403</v>
      </c>
      <c r="G2351" s="483" t="s">
        <v>7163</v>
      </c>
      <c r="H2351" s="483" t="s">
        <v>7164</v>
      </c>
    </row>
    <row r="2352" spans="1:8">
      <c r="E2352" s="329"/>
      <c r="F2352" s="329"/>
      <c r="H2352" s="487"/>
    </row>
    <row r="2353" spans="1:8">
      <c r="A2353" s="483" t="s">
        <v>7626</v>
      </c>
      <c r="E2353" s="484"/>
      <c r="F2353" s="484"/>
      <c r="G2353" s="484"/>
      <c r="H2353" s="484"/>
    </row>
    <row r="2354" spans="1:8">
      <c r="E2354" s="329">
        <v>10</v>
      </c>
      <c r="F2354" s="329">
        <v>2393</v>
      </c>
      <c r="G2354" s="483" t="s">
        <v>6972</v>
      </c>
      <c r="H2354" s="483" t="s">
        <v>7627</v>
      </c>
    </row>
    <row r="2355" spans="1:8">
      <c r="E2355" s="329"/>
      <c r="F2355" s="329"/>
      <c r="H2355" s="487"/>
    </row>
    <row r="2356" spans="1:8">
      <c r="A2356" s="483" t="s">
        <v>7628</v>
      </c>
      <c r="E2356" s="484"/>
      <c r="F2356" s="484"/>
      <c r="G2356" s="484"/>
      <c r="H2356" s="484"/>
    </row>
    <row r="2357" spans="1:8" ht="66">
      <c r="C2357" s="483">
        <v>3100</v>
      </c>
      <c r="E2357" s="484"/>
      <c r="F2357" s="484"/>
      <c r="G2357" s="484"/>
      <c r="H2357" s="488" t="s">
        <v>7629</v>
      </c>
    </row>
    <row r="2358" spans="1:8">
      <c r="E2358" s="484"/>
      <c r="F2358" s="484"/>
      <c r="G2358" s="484"/>
      <c r="H2358" s="484"/>
    </row>
    <row r="2359" spans="1:8">
      <c r="A2359" s="483" t="s">
        <v>7630</v>
      </c>
    </row>
    <row r="2360" spans="1:8">
      <c r="E2360" s="483">
        <v>1205</v>
      </c>
      <c r="F2360" s="483">
        <v>1188</v>
      </c>
      <c r="G2360" s="483" t="s">
        <v>6931</v>
      </c>
      <c r="H2360" s="483" t="s">
        <v>7631</v>
      </c>
    </row>
    <row r="2361" spans="1:8">
      <c r="E2361" s="484"/>
      <c r="F2361" s="484"/>
      <c r="G2361" s="484"/>
      <c r="H2361" s="484"/>
    </row>
    <row r="2362" spans="1:8">
      <c r="A2362" s="483" t="s">
        <v>7632</v>
      </c>
    </row>
    <row r="2363" spans="1:8">
      <c r="C2363" s="483">
        <v>5000</v>
      </c>
      <c r="H2363" s="483" t="s">
        <v>6836</v>
      </c>
    </row>
    <row r="2364" spans="1:8">
      <c r="D2364" s="483">
        <v>5000</v>
      </c>
      <c r="F2364" s="329">
        <v>6188</v>
      </c>
      <c r="H2364" s="483" t="s">
        <v>6836</v>
      </c>
    </row>
    <row r="2365" spans="1:8">
      <c r="E2365" s="484"/>
      <c r="F2365" s="484"/>
      <c r="G2365" s="484"/>
      <c r="H2365" s="484"/>
    </row>
    <row r="2366" spans="1:8">
      <c r="A2366" s="483" t="s">
        <v>7633</v>
      </c>
    </row>
    <row r="2367" spans="1:8">
      <c r="C2367" s="483">
        <v>17000</v>
      </c>
      <c r="H2367" s="483" t="s">
        <v>7634</v>
      </c>
    </row>
    <row r="2368" spans="1:8">
      <c r="E2368" s="329"/>
      <c r="F2368" s="329"/>
      <c r="G2368" s="329"/>
    </row>
    <row r="2369" spans="1:8">
      <c r="A2369" s="483" t="s">
        <v>7635</v>
      </c>
      <c r="E2369" s="329"/>
      <c r="F2369" s="329"/>
      <c r="G2369" s="329"/>
    </row>
    <row r="2370" spans="1:8">
      <c r="E2370" s="329">
        <v>18</v>
      </c>
      <c r="F2370" s="329">
        <v>6170</v>
      </c>
      <c r="G2370" s="483" t="s">
        <v>6913</v>
      </c>
      <c r="H2370" s="483" t="s">
        <v>7636</v>
      </c>
    </row>
    <row r="2371" spans="1:8">
      <c r="E2371" s="329">
        <v>32</v>
      </c>
      <c r="F2371" s="329">
        <v>6138</v>
      </c>
      <c r="G2371" s="483" t="s">
        <v>6924</v>
      </c>
      <c r="H2371" s="483" t="s">
        <v>7637</v>
      </c>
    </row>
    <row r="2372" spans="1:8">
      <c r="C2372" s="483">
        <v>98564</v>
      </c>
      <c r="E2372" s="484"/>
      <c r="F2372" s="484"/>
      <c r="G2372" s="484"/>
      <c r="H2372" s="329" t="s">
        <v>7569</v>
      </c>
    </row>
    <row r="2373" spans="1:8">
      <c r="E2373" s="329"/>
      <c r="F2373" s="329"/>
      <c r="G2373" s="329"/>
    </row>
    <row r="2374" spans="1:8">
      <c r="A2374" s="483" t="s">
        <v>7638</v>
      </c>
      <c r="E2374" s="329"/>
      <c r="F2374" s="329"/>
      <c r="G2374" s="329"/>
    </row>
    <row r="2375" spans="1:8">
      <c r="C2375" s="483">
        <v>13715</v>
      </c>
      <c r="H2375" s="483" t="s">
        <v>7639</v>
      </c>
    </row>
    <row r="2376" spans="1:8">
      <c r="C2376" s="483">
        <v>25318</v>
      </c>
      <c r="H2376" s="483" t="s">
        <v>7640</v>
      </c>
    </row>
    <row r="2377" spans="1:8">
      <c r="C2377" s="483">
        <v>63185</v>
      </c>
      <c r="H2377" s="483" t="s">
        <v>7641</v>
      </c>
    </row>
    <row r="2378" spans="1:8">
      <c r="C2378" s="483">
        <v>12800</v>
      </c>
      <c r="H2378" s="483" t="s">
        <v>7642</v>
      </c>
    </row>
    <row r="2379" spans="1:8">
      <c r="E2379" s="484"/>
      <c r="F2379" s="484"/>
      <c r="G2379" s="484"/>
      <c r="H2379" s="484"/>
    </row>
    <row r="2380" spans="1:8">
      <c r="A2380" s="483" t="s">
        <v>7643</v>
      </c>
    </row>
    <row r="2381" spans="1:8">
      <c r="C2381" s="483">
        <v>30000</v>
      </c>
      <c r="E2381" s="329"/>
      <c r="F2381" s="329"/>
      <c r="G2381" s="487"/>
      <c r="H2381" s="483" t="s">
        <v>7644</v>
      </c>
    </row>
    <row r="2382" spans="1:8">
      <c r="E2382" s="329">
        <v>15</v>
      </c>
      <c r="F2382" s="329">
        <v>6123</v>
      </c>
      <c r="G2382" s="483" t="s">
        <v>6913</v>
      </c>
      <c r="H2382" s="483" t="s">
        <v>7645</v>
      </c>
    </row>
    <row r="2383" spans="1:8">
      <c r="E2383" s="329">
        <v>32</v>
      </c>
      <c r="F2383" s="329">
        <v>6091</v>
      </c>
      <c r="G2383" s="483" t="s">
        <v>6913</v>
      </c>
      <c r="H2383" s="483" t="s">
        <v>7646</v>
      </c>
    </row>
    <row r="2385" spans="1:8">
      <c r="A2385" s="483" t="s">
        <v>7647</v>
      </c>
      <c r="E2385" s="484"/>
      <c r="F2385" s="484"/>
      <c r="G2385" s="484"/>
    </row>
    <row r="2386" spans="1:8">
      <c r="E2386" s="329">
        <v>225</v>
      </c>
      <c r="F2386" s="329">
        <v>5866</v>
      </c>
      <c r="G2386" s="483" t="s">
        <v>6924</v>
      </c>
      <c r="H2386" s="483" t="s">
        <v>7648</v>
      </c>
    </row>
    <row r="2387" spans="1:8">
      <c r="E2387" s="329">
        <v>105</v>
      </c>
      <c r="F2387" s="329">
        <v>5761</v>
      </c>
      <c r="G2387" s="483" t="s">
        <v>6924</v>
      </c>
      <c r="H2387" s="483" t="s">
        <v>7648</v>
      </c>
    </row>
    <row r="2388" spans="1:8">
      <c r="E2388" s="329">
        <v>25</v>
      </c>
      <c r="F2388" s="329">
        <v>5736</v>
      </c>
      <c r="G2388" s="483" t="s">
        <v>6924</v>
      </c>
      <c r="H2388" s="483" t="s">
        <v>7649</v>
      </c>
    </row>
    <row r="2389" spans="1:8">
      <c r="E2389" s="484"/>
      <c r="F2389" s="484"/>
      <c r="G2389" s="484"/>
      <c r="H2389" s="484"/>
    </row>
    <row r="2390" spans="1:8">
      <c r="A2390" s="483" t="s">
        <v>7650</v>
      </c>
    </row>
    <row r="2391" spans="1:8">
      <c r="E2391" s="483">
        <v>1205</v>
      </c>
      <c r="F2391" s="483">
        <v>4531</v>
      </c>
      <c r="G2391" s="483" t="s">
        <v>6931</v>
      </c>
      <c r="H2391" s="483" t="s">
        <v>7651</v>
      </c>
    </row>
    <row r="2392" spans="1:8">
      <c r="E2392" s="484"/>
      <c r="F2392" s="484"/>
      <c r="G2392" s="484"/>
      <c r="H2392" s="484"/>
    </row>
    <row r="2393" spans="1:8">
      <c r="A2393" s="483" t="s">
        <v>7652</v>
      </c>
    </row>
    <row r="2394" spans="1:8">
      <c r="E2394" s="329">
        <v>90</v>
      </c>
      <c r="F2394" s="329">
        <v>4441</v>
      </c>
      <c r="G2394" s="483" t="s">
        <v>6972</v>
      </c>
      <c r="H2394" s="483" t="s">
        <v>7653</v>
      </c>
    </row>
    <row r="2395" spans="1:8">
      <c r="E2395" s="483">
        <v>52</v>
      </c>
      <c r="F2395" s="483">
        <v>4389</v>
      </c>
      <c r="G2395" s="483" t="s">
        <v>6943</v>
      </c>
      <c r="H2395" s="483" t="s">
        <v>7654</v>
      </c>
    </row>
    <row r="2396" spans="1:8">
      <c r="E2396" s="484"/>
      <c r="F2396" s="484"/>
      <c r="G2396" s="484"/>
      <c r="H2396" s="484"/>
    </row>
    <row r="2397" spans="1:8">
      <c r="A2397" s="483" t="s">
        <v>7655</v>
      </c>
    </row>
    <row r="2398" spans="1:8">
      <c r="E2398" s="483">
        <v>25</v>
      </c>
      <c r="F2398" s="483">
        <v>4364</v>
      </c>
      <c r="G2398" s="483" t="s">
        <v>6943</v>
      </c>
      <c r="H2398" s="483" t="s">
        <v>7656</v>
      </c>
    </row>
    <row r="2399" spans="1:8">
      <c r="E2399" s="483">
        <v>35</v>
      </c>
      <c r="F2399" s="483">
        <v>4329</v>
      </c>
      <c r="G2399" s="483" t="s">
        <v>6943</v>
      </c>
      <c r="H2399" s="483" t="s">
        <v>7657</v>
      </c>
    </row>
    <row r="2400" spans="1:8">
      <c r="E2400" s="329">
        <v>304</v>
      </c>
      <c r="F2400" s="329">
        <v>4025</v>
      </c>
      <c r="G2400" s="329" t="s">
        <v>6937</v>
      </c>
      <c r="H2400" s="483" t="s">
        <v>7658</v>
      </c>
    </row>
    <row r="2401" spans="1:8">
      <c r="C2401" s="483">
        <v>17000</v>
      </c>
      <c r="H2401" s="483" t="s">
        <v>7659</v>
      </c>
    </row>
    <row r="2402" spans="1:8">
      <c r="E2402" s="329"/>
      <c r="F2402" s="329"/>
      <c r="G2402" s="329"/>
    </row>
    <row r="2403" spans="1:8">
      <c r="A2403" s="483" t="s">
        <v>7660</v>
      </c>
      <c r="E2403" s="329"/>
      <c r="F2403" s="329"/>
      <c r="G2403" s="329"/>
    </row>
    <row r="2404" spans="1:8">
      <c r="C2404" s="483">
        <v>18617</v>
      </c>
      <c r="H2404" s="483" t="s">
        <v>7661</v>
      </c>
    </row>
    <row r="2405" spans="1:8">
      <c r="C2405" s="483">
        <v>1808</v>
      </c>
      <c r="H2405" s="483" t="s">
        <v>7662</v>
      </c>
    </row>
    <row r="2406" spans="1:8">
      <c r="E2406" s="329"/>
      <c r="F2406" s="329"/>
      <c r="G2406" s="329"/>
    </row>
    <row r="2407" spans="1:8">
      <c r="A2407" s="483" t="s">
        <v>7663</v>
      </c>
      <c r="E2407" s="329"/>
      <c r="F2407" s="329"/>
      <c r="G2407" s="329"/>
    </row>
    <row r="2408" spans="1:8">
      <c r="C2408" s="483">
        <v>25318</v>
      </c>
      <c r="H2408" s="483" t="s">
        <v>7640</v>
      </c>
    </row>
    <row r="2409" spans="1:8">
      <c r="C2409" s="483">
        <v>63185</v>
      </c>
      <c r="H2409" s="483" t="s">
        <v>7641</v>
      </c>
    </row>
    <row r="2410" spans="1:8">
      <c r="C2410" s="483">
        <v>28000</v>
      </c>
      <c r="H2410" s="483" t="s">
        <v>7642</v>
      </c>
    </row>
    <row r="2411" spans="1:8">
      <c r="E2411" s="329"/>
      <c r="F2411" s="329"/>
      <c r="G2411" s="329"/>
    </row>
    <row r="2412" spans="1:8">
      <c r="A2412" s="483" t="s">
        <v>7664</v>
      </c>
      <c r="E2412" s="329"/>
      <c r="F2412" s="329"/>
      <c r="G2412" s="329"/>
    </row>
    <row r="2413" spans="1:8">
      <c r="E2413" s="483">
        <v>99</v>
      </c>
      <c r="F2413" s="329">
        <v>3926</v>
      </c>
      <c r="G2413" s="483" t="s">
        <v>6913</v>
      </c>
      <c r="H2413" s="483" t="s">
        <v>7126</v>
      </c>
    </row>
    <row r="2414" spans="1:8">
      <c r="E2414" s="329"/>
      <c r="F2414" s="329"/>
      <c r="G2414" s="329"/>
    </row>
    <row r="2415" spans="1:8">
      <c r="A2415" s="483" t="s">
        <v>7665</v>
      </c>
      <c r="E2415" s="329"/>
      <c r="F2415" s="329"/>
      <c r="G2415" s="329"/>
    </row>
    <row r="2416" spans="1:8">
      <c r="E2416" s="483">
        <v>279</v>
      </c>
      <c r="F2416" s="329">
        <v>3647</v>
      </c>
      <c r="G2416" s="483" t="s">
        <v>6972</v>
      </c>
      <c r="H2416" s="483" t="s">
        <v>7666</v>
      </c>
    </row>
    <row r="2417" spans="1:8">
      <c r="E2417" s="484"/>
      <c r="F2417" s="484"/>
      <c r="G2417" s="484"/>
      <c r="H2417" s="484"/>
    </row>
    <row r="2418" spans="1:8">
      <c r="A2418" s="483" t="s">
        <v>7667</v>
      </c>
    </row>
    <row r="2419" spans="1:8">
      <c r="E2419" s="483">
        <v>35</v>
      </c>
      <c r="F2419" s="483">
        <v>3612</v>
      </c>
      <c r="G2419" s="483" t="s">
        <v>6943</v>
      </c>
      <c r="H2419" s="483" t="s">
        <v>7668</v>
      </c>
    </row>
    <row r="2421" spans="1:8">
      <c r="A2421" s="483" t="s">
        <v>7669</v>
      </c>
    </row>
    <row r="2422" spans="1:8">
      <c r="C2422" s="483">
        <v>42000</v>
      </c>
      <c r="H2422" s="483" t="s">
        <v>7670</v>
      </c>
    </row>
    <row r="2423" spans="1:8">
      <c r="E2423" s="484"/>
      <c r="F2423" s="484"/>
      <c r="G2423" s="484"/>
      <c r="H2423" s="484"/>
    </row>
    <row r="2424" spans="1:8">
      <c r="A2424" s="483" t="s">
        <v>7671</v>
      </c>
    </row>
    <row r="2425" spans="1:8">
      <c r="E2425" s="483">
        <v>75</v>
      </c>
      <c r="F2425" s="483">
        <v>3537</v>
      </c>
      <c r="G2425" s="483" t="s">
        <v>6943</v>
      </c>
      <c r="H2425" s="483" t="s">
        <v>7672</v>
      </c>
    </row>
    <row r="2426" spans="1:8">
      <c r="E2426" s="483">
        <v>1205</v>
      </c>
      <c r="F2426" s="483">
        <v>2332</v>
      </c>
      <c r="G2426" s="483" t="s">
        <v>6931</v>
      </c>
      <c r="H2426" s="483" t="s">
        <v>7673</v>
      </c>
    </row>
    <row r="2427" spans="1:8">
      <c r="E2427" s="329">
        <v>48</v>
      </c>
      <c r="F2427" s="329">
        <v>2284</v>
      </c>
      <c r="G2427" s="483" t="s">
        <v>6924</v>
      </c>
      <c r="H2427" s="483" t="s">
        <v>7674</v>
      </c>
    </row>
    <row r="2428" spans="1:8">
      <c r="E2428" s="484"/>
      <c r="F2428" s="484"/>
      <c r="G2428" s="484"/>
      <c r="H2428" s="484"/>
    </row>
    <row r="2429" spans="1:8">
      <c r="A2429" s="483" t="s">
        <v>7675</v>
      </c>
    </row>
    <row r="2430" spans="1:8">
      <c r="E2430" s="329">
        <v>18</v>
      </c>
      <c r="F2430" s="329">
        <v>2266</v>
      </c>
      <c r="G2430" s="483" t="s">
        <v>6913</v>
      </c>
      <c r="H2430" s="483" t="s">
        <v>7676</v>
      </c>
    </row>
    <row r="2431" spans="1:8">
      <c r="C2431" s="483">
        <v>200000</v>
      </c>
      <c r="E2431" s="484"/>
      <c r="F2431" s="484"/>
      <c r="G2431" s="484"/>
      <c r="H2431" s="329" t="s">
        <v>7569</v>
      </c>
    </row>
    <row r="2432" spans="1:8">
      <c r="E2432" s="329">
        <v>840</v>
      </c>
      <c r="F2432" s="329">
        <v>1426</v>
      </c>
      <c r="G2432" s="483" t="s">
        <v>6943</v>
      </c>
      <c r="H2432" s="483" t="s">
        <v>7677</v>
      </c>
    </row>
    <row r="2433" spans="1:8">
      <c r="E2433" s="484"/>
      <c r="F2433" s="484"/>
      <c r="G2433" s="484"/>
      <c r="H2433" s="484"/>
    </row>
    <row r="2434" spans="1:8">
      <c r="A2434" s="483" t="s">
        <v>7678</v>
      </c>
    </row>
    <row r="2435" spans="1:8">
      <c r="C2435" s="483">
        <v>17000</v>
      </c>
      <c r="H2435" s="483" t="s">
        <v>7679</v>
      </c>
    </row>
    <row r="2436" spans="1:8">
      <c r="C2436" s="483">
        <v>5000</v>
      </c>
      <c r="H2436" s="483" t="s">
        <v>6836</v>
      </c>
    </row>
    <row r="2437" spans="1:8">
      <c r="D2437" s="483">
        <v>5000</v>
      </c>
      <c r="F2437" s="483">
        <v>6426</v>
      </c>
      <c r="H2437" s="483" t="s">
        <v>6836</v>
      </c>
    </row>
    <row r="2439" spans="1:8">
      <c r="A2439" s="483" t="s">
        <v>7680</v>
      </c>
      <c r="E2439" s="484"/>
      <c r="F2439" s="484"/>
      <c r="G2439" s="484"/>
    </row>
    <row r="2440" spans="1:8">
      <c r="E2440" s="329">
        <v>370</v>
      </c>
      <c r="F2440" s="329">
        <v>6056</v>
      </c>
      <c r="G2440" s="483" t="s">
        <v>6924</v>
      </c>
      <c r="H2440" s="483" t="s">
        <v>7681</v>
      </c>
    </row>
    <row r="2441" spans="1:8">
      <c r="E2441" s="329">
        <v>365</v>
      </c>
      <c r="F2441" s="329">
        <v>5691</v>
      </c>
      <c r="G2441" s="483" t="s">
        <v>6924</v>
      </c>
      <c r="H2441" s="483" t="s">
        <v>7681</v>
      </c>
    </row>
    <row r="2442" spans="1:8">
      <c r="E2442" s="329"/>
      <c r="F2442" s="329"/>
      <c r="H2442" s="487" t="s">
        <v>7682</v>
      </c>
    </row>
    <row r="2443" spans="1:8">
      <c r="A2443" s="483" t="s">
        <v>7683</v>
      </c>
      <c r="E2443" s="483">
        <v>500</v>
      </c>
      <c r="F2443" s="329">
        <v>5191</v>
      </c>
      <c r="G2443" s="483" t="s">
        <v>6943</v>
      </c>
      <c r="H2443" s="483" t="s">
        <v>7390</v>
      </c>
    </row>
    <row r="2444" spans="1:8">
      <c r="A2444" s="483" t="s">
        <v>7683</v>
      </c>
      <c r="C2444" s="483">
        <v>11568</v>
      </c>
      <c r="H2444" s="483" t="s">
        <v>7684</v>
      </c>
    </row>
    <row r="2445" spans="1:8">
      <c r="A2445" s="483" t="s">
        <v>7685</v>
      </c>
      <c r="E2445" s="483">
        <v>200</v>
      </c>
      <c r="F2445" s="329">
        <v>4991</v>
      </c>
      <c r="G2445" s="483" t="s">
        <v>6924</v>
      </c>
      <c r="H2445" s="483" t="s">
        <v>7398</v>
      </c>
    </row>
    <row r="2446" spans="1:8">
      <c r="A2446" s="483" t="s">
        <v>7685</v>
      </c>
      <c r="E2446" s="483">
        <v>80</v>
      </c>
      <c r="F2446" s="329">
        <v>4911</v>
      </c>
      <c r="G2446" s="483" t="s">
        <v>6972</v>
      </c>
      <c r="H2446" s="483" t="s">
        <v>7686</v>
      </c>
    </row>
    <row r="2447" spans="1:8">
      <c r="A2447" s="483" t="s">
        <v>7685</v>
      </c>
      <c r="E2447" s="483">
        <v>300</v>
      </c>
      <c r="F2447" s="329">
        <v>4611</v>
      </c>
      <c r="G2447" s="483" t="s">
        <v>7163</v>
      </c>
      <c r="H2447" s="483" t="s">
        <v>7687</v>
      </c>
    </row>
    <row r="2448" spans="1:8">
      <c r="A2448" s="483" t="s">
        <v>7688</v>
      </c>
      <c r="C2448" s="483">
        <v>8139</v>
      </c>
      <c r="H2448" s="483" t="s">
        <v>7689</v>
      </c>
    </row>
    <row r="2449" spans="1:8">
      <c r="A2449" s="483" t="s">
        <v>7690</v>
      </c>
      <c r="E2449" s="329">
        <v>150</v>
      </c>
      <c r="F2449" s="329">
        <v>4461</v>
      </c>
      <c r="G2449" s="483" t="s">
        <v>6924</v>
      </c>
      <c r="H2449" s="483" t="s">
        <v>7691</v>
      </c>
    </row>
    <row r="2450" spans="1:8">
      <c r="A2450" s="483" t="s">
        <v>7690</v>
      </c>
      <c r="E2450" s="329">
        <v>160</v>
      </c>
      <c r="F2450" s="329">
        <v>4301</v>
      </c>
      <c r="G2450" s="483" t="s">
        <v>6924</v>
      </c>
      <c r="H2450" s="483" t="s">
        <v>7691</v>
      </c>
    </row>
    <row r="2451" spans="1:8">
      <c r="E2451" s="329"/>
      <c r="F2451" s="329"/>
      <c r="H2451" s="487" t="s">
        <v>7692</v>
      </c>
    </row>
    <row r="2452" spans="1:8">
      <c r="A2452" s="483" t="s">
        <v>7693</v>
      </c>
      <c r="E2452" s="329">
        <v>216</v>
      </c>
      <c r="F2452" s="329">
        <v>4085</v>
      </c>
      <c r="G2452" s="483" t="s">
        <v>6943</v>
      </c>
      <c r="H2452" s="483" t="s">
        <v>7694</v>
      </c>
    </row>
    <row r="2453" spans="1:8">
      <c r="A2453" s="483" t="s">
        <v>7695</v>
      </c>
      <c r="E2453" s="483">
        <v>1205</v>
      </c>
      <c r="F2453" s="483">
        <v>2880</v>
      </c>
      <c r="G2453" s="483" t="s">
        <v>6931</v>
      </c>
      <c r="H2453" s="483" t="s">
        <v>7696</v>
      </c>
    </row>
    <row r="2454" spans="1:8">
      <c r="A2454" s="483" t="s">
        <v>7695</v>
      </c>
      <c r="E2454" s="329">
        <v>251</v>
      </c>
      <c r="F2454" s="329">
        <v>2629</v>
      </c>
      <c r="G2454" s="329" t="s">
        <v>6937</v>
      </c>
      <c r="H2454" s="483" t="s">
        <v>7697</v>
      </c>
    </row>
    <row r="2455" spans="1:8">
      <c r="A2455" s="483" t="s">
        <v>7695</v>
      </c>
      <c r="E2455" s="483">
        <v>65</v>
      </c>
      <c r="F2455" s="329">
        <v>2564</v>
      </c>
      <c r="G2455" s="483" t="s">
        <v>6960</v>
      </c>
      <c r="H2455" s="483" t="s">
        <v>7698</v>
      </c>
    </row>
    <row r="2456" spans="1:8">
      <c r="A2456" s="483" t="s">
        <v>7699</v>
      </c>
      <c r="E2456" s="329">
        <v>120</v>
      </c>
      <c r="F2456" s="329">
        <v>2444</v>
      </c>
      <c r="G2456" s="483" t="s">
        <v>6924</v>
      </c>
      <c r="H2456" s="483" t="s">
        <v>7700</v>
      </c>
    </row>
    <row r="2457" spans="1:8">
      <c r="A2457" s="483" t="s">
        <v>7699</v>
      </c>
      <c r="E2457" s="329">
        <v>130</v>
      </c>
      <c r="F2457" s="329">
        <v>2314</v>
      </c>
      <c r="G2457" s="483" t="s">
        <v>6924</v>
      </c>
      <c r="H2457" s="483" t="s">
        <v>7700</v>
      </c>
    </row>
    <row r="2458" spans="1:8">
      <c r="A2458" s="483" t="s">
        <v>7701</v>
      </c>
      <c r="E2458" s="329">
        <v>275</v>
      </c>
      <c r="F2458" s="329">
        <v>2039</v>
      </c>
      <c r="G2458" s="483" t="s">
        <v>6924</v>
      </c>
      <c r="H2458" s="483" t="s">
        <v>7702</v>
      </c>
    </row>
    <row r="2459" spans="1:8">
      <c r="A2459" s="483" t="s">
        <v>7701</v>
      </c>
      <c r="E2459" s="329">
        <v>280</v>
      </c>
      <c r="F2459" s="329">
        <v>1759</v>
      </c>
      <c r="G2459" s="483" t="s">
        <v>6924</v>
      </c>
      <c r="H2459" s="483" t="s">
        <v>7702</v>
      </c>
    </row>
    <row r="2460" spans="1:8">
      <c r="A2460" s="483" t="s">
        <v>7703</v>
      </c>
      <c r="E2460" s="483">
        <v>16</v>
      </c>
      <c r="F2460" s="329">
        <v>1743</v>
      </c>
      <c r="G2460" s="483" t="s">
        <v>6960</v>
      </c>
      <c r="H2460" s="483" t="s">
        <v>7704</v>
      </c>
    </row>
    <row r="2461" spans="1:8">
      <c r="A2461" s="483" t="s">
        <v>7703</v>
      </c>
      <c r="E2461" s="483">
        <v>60</v>
      </c>
      <c r="F2461" s="329">
        <v>1683</v>
      </c>
      <c r="G2461" s="483" t="s">
        <v>6960</v>
      </c>
      <c r="H2461" s="483" t="s">
        <v>7705</v>
      </c>
    </row>
    <row r="2462" spans="1:8">
      <c r="A2462" s="483" t="s">
        <v>7706</v>
      </c>
      <c r="E2462" s="329">
        <v>210</v>
      </c>
      <c r="F2462" s="329">
        <v>1473</v>
      </c>
      <c r="G2462" s="483" t="s">
        <v>6924</v>
      </c>
      <c r="H2462" s="483" t="s">
        <v>7707</v>
      </c>
    </row>
    <row r="2463" spans="1:8">
      <c r="A2463" s="483" t="s">
        <v>7706</v>
      </c>
      <c r="E2463" s="329">
        <v>200</v>
      </c>
      <c r="F2463" s="329">
        <v>1273</v>
      </c>
      <c r="G2463" s="483" t="s">
        <v>6924</v>
      </c>
      <c r="H2463" s="483" t="s">
        <v>7707</v>
      </c>
    </row>
    <row r="2464" spans="1:8">
      <c r="A2464" s="483" t="s">
        <v>7708</v>
      </c>
      <c r="C2464" s="483">
        <v>17000</v>
      </c>
      <c r="H2464" s="483" t="s">
        <v>7709</v>
      </c>
    </row>
    <row r="2465" spans="1:8">
      <c r="A2465" s="483" t="s">
        <v>7708</v>
      </c>
      <c r="E2465" s="483">
        <v>32</v>
      </c>
      <c r="F2465" s="329">
        <v>1241</v>
      </c>
      <c r="G2465" s="483" t="s">
        <v>6960</v>
      </c>
      <c r="H2465" s="483" t="s">
        <v>7704</v>
      </c>
    </row>
    <row r="2466" spans="1:8">
      <c r="A2466" s="483" t="s">
        <v>7710</v>
      </c>
      <c r="E2466" s="329">
        <v>120</v>
      </c>
      <c r="F2466" s="329">
        <v>1121</v>
      </c>
      <c r="G2466" s="483" t="s">
        <v>6943</v>
      </c>
      <c r="H2466" s="483" t="s">
        <v>7711</v>
      </c>
    </row>
    <row r="2467" spans="1:8">
      <c r="A2467" s="483" t="s">
        <v>7712</v>
      </c>
      <c r="C2467" s="483">
        <v>85053</v>
      </c>
      <c r="H2467" s="483" t="s">
        <v>7713</v>
      </c>
    </row>
    <row r="2468" spans="1:8">
      <c r="A2468" s="483" t="s">
        <v>7712</v>
      </c>
      <c r="C2468" s="483">
        <v>25318</v>
      </c>
      <c r="H2468" s="483" t="s">
        <v>7714</v>
      </c>
    </row>
    <row r="2469" spans="1:8">
      <c r="A2469" s="483" t="s">
        <v>7712</v>
      </c>
      <c r="C2469" s="483">
        <v>62750</v>
      </c>
      <c r="H2469" s="483" t="s">
        <v>7641</v>
      </c>
    </row>
    <row r="2470" spans="1:8">
      <c r="A2470" s="483" t="s">
        <v>7712</v>
      </c>
      <c r="C2470" s="483">
        <v>18500</v>
      </c>
      <c r="H2470" s="483" t="s">
        <v>7642</v>
      </c>
    </row>
    <row r="2471" spans="1:8">
      <c r="A2471" s="483" t="s">
        <v>7715</v>
      </c>
      <c r="C2471" s="483">
        <v>3000</v>
      </c>
      <c r="H2471" s="483" t="s">
        <v>7716</v>
      </c>
    </row>
    <row r="2472" spans="1:8">
      <c r="A2472" s="483" t="s">
        <v>7717</v>
      </c>
      <c r="E2472" s="483">
        <v>35</v>
      </c>
      <c r="F2472" s="483">
        <v>1086</v>
      </c>
      <c r="G2472" s="483" t="s">
        <v>6943</v>
      </c>
      <c r="H2472" s="483" t="s">
        <v>7718</v>
      </c>
    </row>
    <row r="2473" spans="1:8">
      <c r="A2473" s="483" t="s">
        <v>7719</v>
      </c>
      <c r="C2473" s="483">
        <v>16500</v>
      </c>
      <c r="H2473" s="483" t="s">
        <v>7720</v>
      </c>
    </row>
    <row r="2474" spans="1:8">
      <c r="A2474" s="483" t="s">
        <v>7721</v>
      </c>
      <c r="C2474" s="483">
        <v>825</v>
      </c>
      <c r="H2474" s="483" t="s">
        <v>7722</v>
      </c>
    </row>
    <row r="2475" spans="1:8">
      <c r="A2475" s="483" t="s">
        <v>7723</v>
      </c>
      <c r="C2475" s="483">
        <v>5000</v>
      </c>
      <c r="H2475" s="483" t="s">
        <v>6836</v>
      </c>
    </row>
    <row r="2476" spans="1:8">
      <c r="A2476" s="483" t="s">
        <v>7723</v>
      </c>
      <c r="D2476" s="483">
        <v>5000</v>
      </c>
      <c r="F2476" s="483">
        <v>6086</v>
      </c>
      <c r="H2476" s="483" t="s">
        <v>6836</v>
      </c>
    </row>
    <row r="2477" spans="1:8">
      <c r="A2477" s="483" t="s">
        <v>7723</v>
      </c>
      <c r="E2477" s="483">
        <v>1205</v>
      </c>
      <c r="F2477" s="483">
        <v>4881</v>
      </c>
      <c r="G2477" s="483" t="s">
        <v>6931</v>
      </c>
      <c r="H2477" s="483" t="s">
        <v>7724</v>
      </c>
    </row>
    <row r="2478" spans="1:8">
      <c r="A2478" s="483" t="s">
        <v>7725</v>
      </c>
      <c r="E2478" s="329">
        <v>18</v>
      </c>
      <c r="F2478" s="329">
        <v>4863</v>
      </c>
      <c r="G2478" s="483" t="s">
        <v>6913</v>
      </c>
      <c r="H2478" s="483" t="s">
        <v>7726</v>
      </c>
    </row>
    <row r="2479" spans="1:8" ht="66">
      <c r="A2479" s="483" t="s">
        <v>7727</v>
      </c>
      <c r="C2479" s="483">
        <v>25000</v>
      </c>
      <c r="E2479" s="329"/>
      <c r="F2479" s="329"/>
      <c r="H2479" s="486" t="s">
        <v>7728</v>
      </c>
    </row>
    <row r="2480" spans="1:8">
      <c r="A2480" s="483" t="s">
        <v>7729</v>
      </c>
      <c r="C2480" s="483">
        <v>17000</v>
      </c>
      <c r="H2480" s="483" t="s">
        <v>7730</v>
      </c>
    </row>
    <row r="2481" spans="1:8">
      <c r="A2481" s="483" t="s">
        <v>7731</v>
      </c>
      <c r="C2481" s="483">
        <v>14193</v>
      </c>
      <c r="H2481" s="483" t="s">
        <v>7732</v>
      </c>
    </row>
    <row r="2482" spans="1:8">
      <c r="A2482" s="483" t="s">
        <v>7731</v>
      </c>
      <c r="E2482" s="329">
        <v>435</v>
      </c>
      <c r="F2482" s="329">
        <v>4428</v>
      </c>
      <c r="G2482" s="483" t="s">
        <v>6924</v>
      </c>
      <c r="H2482" s="483" t="s">
        <v>7733</v>
      </c>
    </row>
    <row r="2483" spans="1:8">
      <c r="A2483" s="483" t="s">
        <v>7734</v>
      </c>
      <c r="E2483" s="329">
        <v>500</v>
      </c>
      <c r="F2483" s="329">
        <v>3928</v>
      </c>
      <c r="G2483" s="483" t="s">
        <v>6924</v>
      </c>
      <c r="H2483" s="483" t="s">
        <v>7735</v>
      </c>
    </row>
    <row r="2484" spans="1:8">
      <c r="A2484" s="483" t="s">
        <v>7736</v>
      </c>
      <c r="C2484" s="483">
        <v>25318</v>
      </c>
      <c r="H2484" s="483" t="s">
        <v>7737</v>
      </c>
    </row>
    <row r="2485" spans="1:8">
      <c r="A2485" s="483" t="s">
        <v>7736</v>
      </c>
      <c r="C2485" s="483">
        <v>62750</v>
      </c>
      <c r="H2485" s="483" t="s">
        <v>7738</v>
      </c>
    </row>
    <row r="2486" spans="1:8">
      <c r="A2486" s="483" t="s">
        <v>7736</v>
      </c>
      <c r="C2486" s="483">
        <v>89500</v>
      </c>
      <c r="H2486" s="483" t="s">
        <v>7739</v>
      </c>
    </row>
    <row r="2487" spans="1:8">
      <c r="A2487" s="483" t="s">
        <v>7740</v>
      </c>
      <c r="C2487" s="483">
        <v>39562</v>
      </c>
      <c r="H2487" s="483" t="s">
        <v>7741</v>
      </c>
    </row>
    <row r="2488" spans="1:8">
      <c r="A2488" s="483" t="s">
        <v>7742</v>
      </c>
      <c r="E2488" s="329">
        <v>209</v>
      </c>
      <c r="F2488" s="329">
        <v>3719</v>
      </c>
      <c r="G2488" s="329" t="s">
        <v>6937</v>
      </c>
      <c r="H2488" s="483" t="s">
        <v>7743</v>
      </c>
    </row>
    <row r="2489" spans="1:8">
      <c r="A2489" s="483" t="s">
        <v>7742</v>
      </c>
      <c r="E2489" s="483">
        <v>1205</v>
      </c>
      <c r="F2489" s="483">
        <v>2514</v>
      </c>
      <c r="G2489" s="483" t="s">
        <v>6931</v>
      </c>
      <c r="H2489" s="483" t="s">
        <v>7744</v>
      </c>
    </row>
    <row r="2490" spans="1:8">
      <c r="A2490" s="483" t="s">
        <v>7745</v>
      </c>
      <c r="C2490" s="483">
        <v>17000</v>
      </c>
      <c r="H2490" s="483" t="s">
        <v>7746</v>
      </c>
    </row>
    <row r="2491" spans="1:8">
      <c r="A2491" s="483" t="s">
        <v>7747</v>
      </c>
      <c r="C2491" s="483">
        <v>5077</v>
      </c>
      <c r="H2491" s="483" t="s">
        <v>7748</v>
      </c>
    </row>
    <row r="2492" spans="1:8">
      <c r="A2492" s="483" t="s">
        <v>7749</v>
      </c>
      <c r="E2492" s="483">
        <v>200</v>
      </c>
      <c r="F2492" s="329">
        <v>2314</v>
      </c>
      <c r="G2492" s="483" t="s">
        <v>6960</v>
      </c>
      <c r="H2492" s="483" t="s">
        <v>6861</v>
      </c>
    </row>
    <row r="2493" spans="1:8">
      <c r="A2493" s="483" t="s">
        <v>7749</v>
      </c>
      <c r="C2493" s="483">
        <v>25318</v>
      </c>
      <c r="H2493" s="483" t="s">
        <v>7750</v>
      </c>
    </row>
    <row r="2494" spans="1:8">
      <c r="A2494" s="483" t="s">
        <v>7751</v>
      </c>
      <c r="C2494" s="483">
        <v>62750</v>
      </c>
      <c r="H2494" s="483" t="s">
        <v>7752</v>
      </c>
    </row>
    <row r="2495" spans="1:8">
      <c r="A2495" s="483" t="s">
        <v>7751</v>
      </c>
      <c r="C2495" s="483">
        <v>18000</v>
      </c>
      <c r="H2495" s="483" t="s">
        <v>7753</v>
      </c>
    </row>
    <row r="2496" spans="1:8">
      <c r="A2496" s="483" t="s">
        <v>7754</v>
      </c>
      <c r="E2496" s="483">
        <v>200</v>
      </c>
      <c r="F2496" s="483">
        <v>2114</v>
      </c>
      <c r="G2496" s="483" t="s">
        <v>7755</v>
      </c>
      <c r="H2496" s="483" t="s">
        <v>7756</v>
      </c>
    </row>
    <row r="2497" spans="1:8">
      <c r="A2497" s="483" t="s">
        <v>7757</v>
      </c>
      <c r="E2497" s="483">
        <v>35</v>
      </c>
      <c r="F2497" s="483">
        <v>2079</v>
      </c>
      <c r="G2497" s="483" t="s">
        <v>7755</v>
      </c>
      <c r="H2497" s="483" t="s">
        <v>7758</v>
      </c>
    </row>
    <row r="2498" spans="1:8">
      <c r="A2498" s="483" t="s">
        <v>7757</v>
      </c>
      <c r="E2498" s="329">
        <v>20</v>
      </c>
      <c r="F2498" s="329">
        <v>2059</v>
      </c>
      <c r="G2498" s="483" t="s">
        <v>7759</v>
      </c>
      <c r="H2498" s="483" t="s">
        <v>7760</v>
      </c>
    </row>
    <row r="2499" spans="1:8">
      <c r="A2499" s="483" t="s">
        <v>7757</v>
      </c>
      <c r="E2499" s="483">
        <v>39</v>
      </c>
      <c r="F2499" s="329">
        <v>2020</v>
      </c>
      <c r="G2499" s="483" t="s">
        <v>7759</v>
      </c>
      <c r="H2499" s="483" t="s">
        <v>7761</v>
      </c>
    </row>
    <row r="2500" spans="1:8">
      <c r="A2500" s="483" t="s">
        <v>7762</v>
      </c>
      <c r="E2500" s="483">
        <v>1205</v>
      </c>
      <c r="F2500" s="483">
        <v>815</v>
      </c>
      <c r="G2500" s="483" t="s">
        <v>7763</v>
      </c>
      <c r="H2500" s="483" t="s">
        <v>7764</v>
      </c>
    </row>
    <row r="2501" spans="1:8">
      <c r="A2501" s="483" t="s">
        <v>7765</v>
      </c>
      <c r="C2501" s="483">
        <v>5000</v>
      </c>
      <c r="H2501" s="483" t="s">
        <v>7766</v>
      </c>
    </row>
    <row r="2502" spans="1:8">
      <c r="A2502" s="483" t="s">
        <v>7765</v>
      </c>
      <c r="D2502" s="483">
        <v>5000</v>
      </c>
      <c r="F2502" s="483">
        <v>5815</v>
      </c>
      <c r="H2502" s="483" t="s">
        <v>7766</v>
      </c>
    </row>
    <row r="2503" spans="1:8">
      <c r="A2503" s="483" t="s">
        <v>7765</v>
      </c>
      <c r="E2503" s="329">
        <v>18</v>
      </c>
      <c r="F2503" s="329">
        <v>5797</v>
      </c>
      <c r="G2503" s="483" t="s">
        <v>7767</v>
      </c>
      <c r="H2503" s="483" t="s">
        <v>7768</v>
      </c>
    </row>
    <row r="2504" spans="1:8">
      <c r="A2504" s="483" t="s">
        <v>7769</v>
      </c>
      <c r="C2504" s="483">
        <v>17000</v>
      </c>
      <c r="H2504" s="483" t="s">
        <v>7770</v>
      </c>
    </row>
    <row r="2505" spans="1:8">
      <c r="A2505" s="483" t="s">
        <v>7771</v>
      </c>
      <c r="C2505" s="483">
        <v>8998</v>
      </c>
      <c r="H2505" s="483" t="s">
        <v>7772</v>
      </c>
    </row>
    <row r="2506" spans="1:8">
      <c r="A2506" s="483" t="s">
        <v>7773</v>
      </c>
      <c r="E2506" s="483">
        <v>39</v>
      </c>
      <c r="F2506" s="329">
        <v>5758</v>
      </c>
      <c r="G2506" s="483" t="s">
        <v>7774</v>
      </c>
      <c r="H2506" s="483" t="s">
        <v>7775</v>
      </c>
    </row>
    <row r="2507" spans="1:8">
      <c r="A2507" s="483" t="s">
        <v>7773</v>
      </c>
      <c r="E2507" s="329">
        <v>32</v>
      </c>
      <c r="F2507" s="329">
        <v>5726</v>
      </c>
      <c r="G2507" s="483" t="s">
        <v>7776</v>
      </c>
      <c r="H2507" s="483" t="s">
        <v>7777</v>
      </c>
    </row>
    <row r="2508" spans="1:8">
      <c r="A2508" s="483" t="s">
        <v>7778</v>
      </c>
      <c r="E2508" s="329">
        <v>199</v>
      </c>
      <c r="F2508" s="329">
        <v>5527</v>
      </c>
      <c r="G2508" s="329" t="s">
        <v>7779</v>
      </c>
      <c r="H2508" s="483" t="s">
        <v>7780</v>
      </c>
    </row>
    <row r="2509" spans="1:8">
      <c r="A2509" s="483" t="s">
        <v>7778</v>
      </c>
      <c r="E2509" s="483">
        <v>1205</v>
      </c>
      <c r="F2509" s="483">
        <v>4322</v>
      </c>
      <c r="G2509" s="483" t="s">
        <v>7763</v>
      </c>
      <c r="H2509" s="483" t="s">
        <v>7781</v>
      </c>
    </row>
    <row r="2510" spans="1:8">
      <c r="A2510" s="483" t="s">
        <v>7782</v>
      </c>
      <c r="E2510" s="329">
        <v>80</v>
      </c>
      <c r="F2510" s="329">
        <v>4242</v>
      </c>
      <c r="G2510" s="483" t="s">
        <v>7776</v>
      </c>
      <c r="H2510" s="483" t="s">
        <v>7783</v>
      </c>
    </row>
    <row r="2511" spans="1:8">
      <c r="A2511" s="483" t="s">
        <v>7782</v>
      </c>
      <c r="E2511" s="329">
        <v>80</v>
      </c>
      <c r="F2511" s="329">
        <v>4162</v>
      </c>
      <c r="G2511" s="483" t="s">
        <v>7776</v>
      </c>
      <c r="H2511" s="483" t="s">
        <v>7783</v>
      </c>
    </row>
    <row r="2512" spans="1:8">
      <c r="A2512" s="483" t="s">
        <v>7784</v>
      </c>
      <c r="E2512" s="329">
        <v>70</v>
      </c>
      <c r="F2512" s="329">
        <v>4092</v>
      </c>
      <c r="G2512" s="483" t="s">
        <v>7776</v>
      </c>
      <c r="H2512" s="483" t="s">
        <v>7785</v>
      </c>
    </row>
    <row r="2513" spans="1:8">
      <c r="A2513" s="483" t="s">
        <v>7784</v>
      </c>
      <c r="E2513" s="329">
        <v>75</v>
      </c>
      <c r="F2513" s="329">
        <v>4017</v>
      </c>
      <c r="G2513" s="483" t="s">
        <v>7776</v>
      </c>
      <c r="H2513" s="483" t="s">
        <v>7785</v>
      </c>
    </row>
    <row r="2514" spans="1:8">
      <c r="A2514" s="483" t="s">
        <v>7784</v>
      </c>
      <c r="E2514" s="329">
        <v>100</v>
      </c>
      <c r="F2514" s="329">
        <v>3917</v>
      </c>
      <c r="G2514" s="483" t="s">
        <v>7776</v>
      </c>
      <c r="H2514" s="483" t="s">
        <v>7786</v>
      </c>
    </row>
    <row r="2515" spans="1:8">
      <c r="A2515" s="483" t="s">
        <v>7787</v>
      </c>
      <c r="C2515" s="483">
        <v>17000</v>
      </c>
      <c r="H2515" s="483" t="s">
        <v>7788</v>
      </c>
    </row>
    <row r="2516" spans="1:8">
      <c r="A2516" s="483" t="s">
        <v>7789</v>
      </c>
      <c r="C2516" s="483">
        <v>1354</v>
      </c>
      <c r="H2516" s="483" t="s">
        <v>7790</v>
      </c>
    </row>
    <row r="2517" spans="1:8">
      <c r="A2517" s="483" t="s">
        <v>7791</v>
      </c>
      <c r="E2517" s="483">
        <v>30</v>
      </c>
      <c r="F2517" s="329">
        <v>3887</v>
      </c>
      <c r="G2517" s="483" t="s">
        <v>7774</v>
      </c>
      <c r="H2517" s="483" t="s">
        <v>7792</v>
      </c>
    </row>
    <row r="2518" spans="1:8">
      <c r="A2518" s="483" t="s">
        <v>7793</v>
      </c>
      <c r="E2518" s="483">
        <v>35</v>
      </c>
      <c r="F2518" s="483">
        <v>3852</v>
      </c>
      <c r="G2518" s="483" t="s">
        <v>7755</v>
      </c>
      <c r="H2518" s="483" t="s">
        <v>7794</v>
      </c>
    </row>
    <row r="2519" spans="1:8">
      <c r="A2519" s="483" t="s">
        <v>7795</v>
      </c>
      <c r="E2519" s="483">
        <v>1205</v>
      </c>
      <c r="F2519" s="483">
        <v>2647</v>
      </c>
      <c r="G2519" s="483" t="s">
        <v>7763</v>
      </c>
      <c r="H2519" s="483" t="s">
        <v>7796</v>
      </c>
    </row>
    <row r="2520" spans="1:8">
      <c r="A2520" s="483" t="s">
        <v>7797</v>
      </c>
      <c r="E2520" s="329">
        <v>86</v>
      </c>
      <c r="F2520" s="329">
        <v>2561</v>
      </c>
      <c r="G2520" s="483" t="s">
        <v>7774</v>
      </c>
      <c r="H2520" s="329" t="s">
        <v>7798</v>
      </c>
    </row>
    <row r="2521" spans="1:8">
      <c r="A2521" s="483" t="s">
        <v>7797</v>
      </c>
      <c r="E2521" s="329">
        <v>169</v>
      </c>
      <c r="F2521" s="329">
        <v>2392</v>
      </c>
      <c r="G2521" s="483" t="s">
        <v>7774</v>
      </c>
      <c r="H2521" s="329" t="s">
        <v>7799</v>
      </c>
    </row>
    <row r="2522" spans="1:8">
      <c r="A2522" s="483" t="s">
        <v>7797</v>
      </c>
      <c r="E2522" s="329">
        <v>18</v>
      </c>
      <c r="F2522" s="329">
        <v>2374</v>
      </c>
      <c r="G2522" s="483" t="s">
        <v>7767</v>
      </c>
      <c r="H2522" s="483" t="s">
        <v>7800</v>
      </c>
    </row>
    <row r="2523" spans="1:8">
      <c r="A2523" s="483" t="s">
        <v>7801</v>
      </c>
      <c r="E2523" s="329">
        <v>140</v>
      </c>
      <c r="F2523" s="329">
        <v>2234</v>
      </c>
      <c r="G2523" s="483" t="s">
        <v>7776</v>
      </c>
      <c r="H2523" s="483" t="s">
        <v>7802</v>
      </c>
    </row>
    <row r="2524" spans="1:8">
      <c r="A2524" s="483" t="s">
        <v>7801</v>
      </c>
      <c r="E2524" s="329">
        <v>145</v>
      </c>
      <c r="F2524" s="329">
        <v>2089</v>
      </c>
      <c r="G2524" s="483" t="s">
        <v>7776</v>
      </c>
      <c r="H2524" s="483" t="s">
        <v>7802</v>
      </c>
    </row>
    <row r="2525" spans="1:8">
      <c r="A2525" s="483" t="s">
        <v>7801</v>
      </c>
      <c r="E2525" s="329">
        <v>155</v>
      </c>
      <c r="F2525" s="329">
        <v>1934</v>
      </c>
      <c r="G2525" s="483" t="s">
        <v>7776</v>
      </c>
      <c r="H2525" s="483" t="s">
        <v>7803</v>
      </c>
    </row>
    <row r="2526" spans="1:8">
      <c r="A2526" s="483" t="s">
        <v>7801</v>
      </c>
      <c r="E2526" s="329">
        <v>145</v>
      </c>
      <c r="F2526" s="329">
        <v>1789</v>
      </c>
      <c r="G2526" s="483" t="s">
        <v>7776</v>
      </c>
      <c r="H2526" s="483" t="s">
        <v>7803</v>
      </c>
    </row>
    <row r="2527" spans="1:8">
      <c r="A2527" s="483" t="s">
        <v>7804</v>
      </c>
      <c r="E2527" s="483">
        <v>145</v>
      </c>
      <c r="F2527" s="329">
        <v>1644</v>
      </c>
      <c r="G2527" s="483" t="s">
        <v>7767</v>
      </c>
      <c r="H2527" s="483" t="s">
        <v>7805</v>
      </c>
    </row>
    <row r="2528" spans="1:8">
      <c r="A2528" s="483" t="s">
        <v>7806</v>
      </c>
      <c r="C2528" s="483">
        <v>17000</v>
      </c>
      <c r="H2528" s="483" t="s">
        <v>7807</v>
      </c>
    </row>
    <row r="2529" spans="1:8">
      <c r="A2529" s="483" t="s">
        <v>7806</v>
      </c>
      <c r="C2529" s="483">
        <v>5000</v>
      </c>
      <c r="H2529" s="483" t="s">
        <v>7766</v>
      </c>
    </row>
    <row r="2530" spans="1:8">
      <c r="A2530" s="483" t="s">
        <v>7806</v>
      </c>
      <c r="C2530" s="483">
        <v>28652</v>
      </c>
      <c r="H2530" s="483" t="s">
        <v>7808</v>
      </c>
    </row>
    <row r="2531" spans="1:8">
      <c r="A2531" s="483" t="s">
        <v>7806</v>
      </c>
      <c r="E2531" s="483">
        <v>30</v>
      </c>
      <c r="F2531" s="483">
        <v>1614</v>
      </c>
      <c r="G2531" s="483" t="s">
        <v>7755</v>
      </c>
      <c r="H2531" s="483" t="s">
        <v>7809</v>
      </c>
    </row>
    <row r="2532" spans="1:8">
      <c r="A2532" s="483" t="s">
        <v>7806</v>
      </c>
      <c r="D2532" s="483">
        <v>5000</v>
      </c>
      <c r="F2532" s="483">
        <v>6614</v>
      </c>
      <c r="H2532" s="483" t="s">
        <v>7766</v>
      </c>
    </row>
    <row r="2533" spans="1:8">
      <c r="A2533" s="483" t="s">
        <v>7810</v>
      </c>
      <c r="E2533" s="483">
        <v>695</v>
      </c>
      <c r="F2533" s="483">
        <v>5919</v>
      </c>
      <c r="G2533" s="483" t="s">
        <v>7755</v>
      </c>
      <c r="H2533" s="483" t="s">
        <v>7811</v>
      </c>
    </row>
    <row r="2534" spans="1:8">
      <c r="A2534" s="483" t="s">
        <v>7810</v>
      </c>
      <c r="E2534" s="483">
        <v>284</v>
      </c>
      <c r="F2534" s="329">
        <v>5635</v>
      </c>
      <c r="G2534" s="483" t="s">
        <v>7759</v>
      </c>
      <c r="H2534" s="483" t="s">
        <v>7812</v>
      </c>
    </row>
    <row r="2535" spans="1:8">
      <c r="A2535" s="483" t="s">
        <v>7813</v>
      </c>
      <c r="C2535" s="483">
        <v>25318</v>
      </c>
      <c r="H2535" s="483" t="s">
        <v>7814</v>
      </c>
    </row>
    <row r="2536" spans="1:8">
      <c r="A2536" s="483" t="s">
        <v>7813</v>
      </c>
      <c r="C2536" s="483">
        <v>62750</v>
      </c>
      <c r="H2536" s="483" t="s">
        <v>7815</v>
      </c>
    </row>
    <row r="2537" spans="1:8">
      <c r="A2537" s="483" t="s">
        <v>7813</v>
      </c>
      <c r="C2537" s="483">
        <v>12000</v>
      </c>
      <c r="H2537" s="483" t="s">
        <v>7816</v>
      </c>
    </row>
    <row r="2538" spans="1:8">
      <c r="A2538" s="483" t="s">
        <v>7813</v>
      </c>
      <c r="E2538" s="483">
        <v>60</v>
      </c>
      <c r="F2538" s="483">
        <v>5575</v>
      </c>
      <c r="G2538" s="483" t="s">
        <v>7755</v>
      </c>
      <c r="H2538" s="483" t="s">
        <v>7817</v>
      </c>
    </row>
    <row r="2539" spans="1:8">
      <c r="A2539" s="483" t="s">
        <v>7813</v>
      </c>
      <c r="E2539" s="329">
        <v>32</v>
      </c>
      <c r="F2539" s="329">
        <v>5543</v>
      </c>
      <c r="G2539" s="483" t="s">
        <v>7776</v>
      </c>
      <c r="H2539" s="483" t="s">
        <v>7818</v>
      </c>
    </row>
    <row r="2540" spans="1:8">
      <c r="A2540" s="483" t="s">
        <v>7813</v>
      </c>
      <c r="E2540" s="329">
        <v>10</v>
      </c>
      <c r="F2540" s="329">
        <v>5533</v>
      </c>
      <c r="G2540" s="483" t="s">
        <v>7759</v>
      </c>
      <c r="H2540" s="483" t="s">
        <v>7819</v>
      </c>
    </row>
    <row r="2541" spans="1:8">
      <c r="A2541" s="483" t="s">
        <v>7820</v>
      </c>
      <c r="C2541" s="483">
        <v>10725</v>
      </c>
      <c r="H2541" s="483" t="s">
        <v>7821</v>
      </c>
    </row>
    <row r="2542" spans="1:8">
      <c r="A2542" s="483" t="s">
        <v>7820</v>
      </c>
      <c r="E2542" s="329">
        <v>130</v>
      </c>
      <c r="F2542" s="329">
        <v>5403</v>
      </c>
      <c r="G2542" s="483" t="s">
        <v>7776</v>
      </c>
      <c r="H2542" s="483" t="s">
        <v>7822</v>
      </c>
    </row>
    <row r="2543" spans="1:8">
      <c r="A2543" s="483" t="s">
        <v>7820</v>
      </c>
      <c r="E2543" s="329">
        <v>130</v>
      </c>
      <c r="F2543" s="329">
        <v>5273</v>
      </c>
      <c r="G2543" s="483" t="s">
        <v>7776</v>
      </c>
      <c r="H2543" s="483" t="s">
        <v>7822</v>
      </c>
    </row>
    <row r="2544" spans="1:8">
      <c r="A2544" s="483" t="s">
        <v>7823</v>
      </c>
      <c r="E2544" s="483">
        <v>30</v>
      </c>
      <c r="F2544" s="483">
        <v>5243</v>
      </c>
      <c r="G2544" s="483" t="s">
        <v>7755</v>
      </c>
      <c r="H2544" s="483" t="s">
        <v>7824</v>
      </c>
    </row>
    <row r="2545" spans="1:8">
      <c r="A2545" s="483" t="s">
        <v>7823</v>
      </c>
      <c r="E2545" s="329">
        <v>220</v>
      </c>
      <c r="F2545" s="329">
        <v>5023</v>
      </c>
      <c r="G2545" s="483" t="s">
        <v>7776</v>
      </c>
      <c r="H2545" s="483" t="s">
        <v>7825</v>
      </c>
    </row>
    <row r="2546" spans="1:8">
      <c r="A2546" s="483" t="s">
        <v>7823</v>
      </c>
      <c r="E2546" s="329">
        <v>215</v>
      </c>
      <c r="F2546" s="329">
        <v>4808</v>
      </c>
      <c r="G2546" s="483" t="s">
        <v>7776</v>
      </c>
      <c r="H2546" s="483" t="s">
        <v>7825</v>
      </c>
    </row>
    <row r="2547" spans="1:8">
      <c r="A2547" s="483" t="s">
        <v>7826</v>
      </c>
      <c r="E2547" s="483">
        <v>1205</v>
      </c>
      <c r="F2547" s="483">
        <v>3603</v>
      </c>
      <c r="G2547" s="483" t="s">
        <v>7763</v>
      </c>
      <c r="H2547" s="483" t="s">
        <v>7827</v>
      </c>
    </row>
    <row r="2548" spans="1:8">
      <c r="A2548" s="483" t="s">
        <v>7826</v>
      </c>
      <c r="E2548" s="483">
        <v>35</v>
      </c>
      <c r="F2548" s="483">
        <v>3568</v>
      </c>
      <c r="G2548" s="483" t="s">
        <v>7755</v>
      </c>
      <c r="H2548" s="483" t="s">
        <v>7828</v>
      </c>
    </row>
    <row r="2549" spans="1:8">
      <c r="A2549" s="483" t="s">
        <v>7826</v>
      </c>
      <c r="E2549" s="483">
        <v>700</v>
      </c>
      <c r="F2549" s="483">
        <v>2868</v>
      </c>
      <c r="G2549" s="483" t="s">
        <v>7755</v>
      </c>
      <c r="H2549" s="483" t="s">
        <v>7829</v>
      </c>
    </row>
    <row r="2550" spans="1:8">
      <c r="A2550" s="483" t="s">
        <v>7826</v>
      </c>
      <c r="E2550" s="329">
        <v>199</v>
      </c>
      <c r="F2550" s="329">
        <v>2669</v>
      </c>
      <c r="G2550" s="329" t="s">
        <v>7779</v>
      </c>
      <c r="H2550" s="483" t="s">
        <v>7830</v>
      </c>
    </row>
    <row r="2551" spans="1:8">
      <c r="A2551" s="483" t="s">
        <v>7831</v>
      </c>
      <c r="E2551" s="483">
        <v>35</v>
      </c>
      <c r="F2551" s="483">
        <v>2634</v>
      </c>
      <c r="G2551" s="483" t="s">
        <v>7755</v>
      </c>
      <c r="H2551" s="483" t="s">
        <v>7832</v>
      </c>
    </row>
    <row r="2552" spans="1:8">
      <c r="A2552" s="483" t="s">
        <v>7833</v>
      </c>
      <c r="C2552" s="483">
        <v>840</v>
      </c>
      <c r="H2552" s="483" t="s">
        <v>7834</v>
      </c>
    </row>
    <row r="2553" spans="1:8">
      <c r="A2553" s="483" t="s">
        <v>7835</v>
      </c>
      <c r="C2553" s="483">
        <v>17000</v>
      </c>
      <c r="H2553" s="483" t="s">
        <v>7836</v>
      </c>
    </row>
    <row r="2554" spans="1:8">
      <c r="A2554" s="483" t="s">
        <v>7837</v>
      </c>
      <c r="E2554" s="483">
        <v>45</v>
      </c>
      <c r="F2554" s="483">
        <v>2589</v>
      </c>
      <c r="G2554" s="483" t="s">
        <v>7755</v>
      </c>
      <c r="H2554" s="483" t="s">
        <v>7838</v>
      </c>
    </row>
    <row r="2555" spans="1:8">
      <c r="A2555" s="483" t="s">
        <v>7839</v>
      </c>
      <c r="E2555" s="483">
        <v>35</v>
      </c>
      <c r="F2555" s="483">
        <v>2554</v>
      </c>
      <c r="G2555" s="483" t="s">
        <v>7755</v>
      </c>
      <c r="H2555" s="483" t="s">
        <v>7840</v>
      </c>
    </row>
    <row r="2556" spans="1:8">
      <c r="A2556" s="483" t="s">
        <v>7841</v>
      </c>
      <c r="E2556" s="329">
        <v>94</v>
      </c>
      <c r="F2556" s="329">
        <v>2460</v>
      </c>
      <c r="G2556" s="483" t="s">
        <v>7776</v>
      </c>
      <c r="H2556" s="483" t="s">
        <v>7786</v>
      </c>
    </row>
    <row r="2557" spans="1:8">
      <c r="A2557" s="483" t="s">
        <v>7842</v>
      </c>
      <c r="E2557" s="483">
        <v>65</v>
      </c>
      <c r="F2557" s="483">
        <v>2395</v>
      </c>
      <c r="G2557" s="483" t="s">
        <v>7755</v>
      </c>
      <c r="H2557" s="483" t="s">
        <v>7843</v>
      </c>
    </row>
    <row r="2558" spans="1:8">
      <c r="A2558" s="483" t="s">
        <v>7844</v>
      </c>
      <c r="E2558" s="329">
        <v>400</v>
      </c>
      <c r="F2558" s="329">
        <v>1995</v>
      </c>
      <c r="G2558" s="483" t="s">
        <v>7776</v>
      </c>
      <c r="H2558" s="483" t="s">
        <v>7845</v>
      </c>
    </row>
    <row r="2559" spans="1:8">
      <c r="A2559" s="483" t="s">
        <v>7846</v>
      </c>
      <c r="E2559" s="483">
        <v>1205</v>
      </c>
      <c r="F2559" s="483">
        <v>790</v>
      </c>
      <c r="G2559" s="483" t="s">
        <v>7763</v>
      </c>
      <c r="H2559" s="483" t="s">
        <v>7847</v>
      </c>
    </row>
    <row r="2560" spans="1:8" ht="33">
      <c r="C2560" s="483">
        <v>50000</v>
      </c>
      <c r="H2560" s="486" t="s">
        <v>7848</v>
      </c>
    </row>
    <row r="2561" spans="1:8">
      <c r="A2561" s="483" t="s">
        <v>7849</v>
      </c>
      <c r="E2561" s="329">
        <v>18</v>
      </c>
      <c r="F2561" s="329">
        <v>772</v>
      </c>
      <c r="G2561" s="483" t="s">
        <v>7767</v>
      </c>
      <c r="H2561" s="483" t="s">
        <v>7850</v>
      </c>
    </row>
    <row r="2562" spans="1:8">
      <c r="A2562" s="483" t="s">
        <v>7851</v>
      </c>
      <c r="E2562" s="483">
        <v>30</v>
      </c>
      <c r="F2562" s="483">
        <v>742</v>
      </c>
      <c r="G2562" s="483" t="s">
        <v>7755</v>
      </c>
      <c r="H2562" s="483" t="s">
        <v>7852</v>
      </c>
    </row>
    <row r="2563" spans="1:8" s="485" customFormat="1" ht="3" customHeight="1">
      <c r="E2563" s="651"/>
      <c r="F2563" s="651"/>
    </row>
    <row r="2564" spans="1:8">
      <c r="A2564" s="483" t="s">
        <v>7853</v>
      </c>
      <c r="C2564" s="483">
        <v>17000</v>
      </c>
      <c r="H2564" s="483" t="s">
        <v>7854</v>
      </c>
    </row>
    <row r="2565" spans="1:8">
      <c r="A2565" s="483" t="s">
        <v>7853</v>
      </c>
      <c r="C2565" s="483">
        <v>25318</v>
      </c>
      <c r="H2565" s="483" t="s">
        <v>7855</v>
      </c>
    </row>
    <row r="2566" spans="1:8">
      <c r="A2566" s="483" t="s">
        <v>7853</v>
      </c>
      <c r="C2566" s="483">
        <v>62750</v>
      </c>
      <c r="H2566" s="483" t="s">
        <v>7856</v>
      </c>
    </row>
    <row r="2567" spans="1:8">
      <c r="A2567" s="483" t="s">
        <v>7853</v>
      </c>
      <c r="C2567" s="483">
        <v>23000</v>
      </c>
      <c r="H2567" s="483" t="s">
        <v>7857</v>
      </c>
    </row>
    <row r="2568" spans="1:8">
      <c r="A2568" s="483" t="s">
        <v>7853</v>
      </c>
      <c r="C2568" s="483">
        <v>5000</v>
      </c>
      <c r="H2568" s="483" t="s">
        <v>7766</v>
      </c>
    </row>
    <row r="2569" spans="1:8">
      <c r="A2569" s="483" t="s">
        <v>7853</v>
      </c>
      <c r="C2569" s="483">
        <v>15359</v>
      </c>
      <c r="H2569" s="483" t="s">
        <v>7858</v>
      </c>
    </row>
    <row r="2570" spans="1:8">
      <c r="A2570" s="483" t="s">
        <v>7853</v>
      </c>
      <c r="C2570" s="483">
        <v>1090</v>
      </c>
      <c r="H2570" s="483" t="s">
        <v>7859</v>
      </c>
    </row>
    <row r="2571" spans="1:8">
      <c r="A2571" s="483" t="s">
        <v>7853</v>
      </c>
      <c r="E2571" s="483">
        <v>300</v>
      </c>
      <c r="F2571" s="483">
        <v>442</v>
      </c>
      <c r="G2571" s="483" t="s">
        <v>7860</v>
      </c>
      <c r="H2571" s="483" t="s">
        <v>7861</v>
      </c>
    </row>
    <row r="2572" spans="1:8">
      <c r="A2572" s="483" t="s">
        <v>7853</v>
      </c>
      <c r="D2572" s="483">
        <v>5000</v>
      </c>
      <c r="F2572" s="483">
        <v>5442</v>
      </c>
      <c r="H2572" s="483" t="s">
        <v>7766</v>
      </c>
    </row>
    <row r="2573" spans="1:8">
      <c r="A2573" s="483" t="s">
        <v>7862</v>
      </c>
      <c r="E2573" s="329">
        <v>110</v>
      </c>
      <c r="F2573" s="329">
        <v>5332</v>
      </c>
      <c r="G2573" s="483" t="s">
        <v>7776</v>
      </c>
      <c r="H2573" s="483" t="s">
        <v>7822</v>
      </c>
    </row>
    <row r="2574" spans="1:8">
      <c r="A2574" s="483" t="s">
        <v>7862</v>
      </c>
      <c r="E2574" s="329">
        <v>140</v>
      </c>
      <c r="F2574" s="329">
        <v>5192</v>
      </c>
      <c r="G2574" s="483" t="s">
        <v>7776</v>
      </c>
      <c r="H2574" s="483" t="s">
        <v>7822</v>
      </c>
    </row>
    <row r="2575" spans="1:8" ht="181.5">
      <c r="A2575" s="483" t="s">
        <v>7863</v>
      </c>
      <c r="C2575" s="483">
        <v>494498</v>
      </c>
      <c r="H2575" s="486" t="s">
        <v>7864</v>
      </c>
    </row>
    <row r="2576" spans="1:8">
      <c r="A2576" s="483" t="s">
        <v>7865</v>
      </c>
      <c r="C2576" s="483">
        <v>51801</v>
      </c>
      <c r="H2576" s="483" t="s">
        <v>7866</v>
      </c>
    </row>
    <row r="2577" spans="1:8">
      <c r="A2577" s="483" t="s">
        <v>7867</v>
      </c>
      <c r="E2577" s="483">
        <v>1205</v>
      </c>
      <c r="F2577" s="483">
        <v>3987</v>
      </c>
      <c r="G2577" s="483" t="s">
        <v>7763</v>
      </c>
      <c r="H2577" s="483" t="s">
        <v>7868</v>
      </c>
    </row>
    <row r="2578" spans="1:8" ht="115.5">
      <c r="A2578" s="483" t="s">
        <v>7869</v>
      </c>
      <c r="C2578" s="483">
        <v>59000</v>
      </c>
      <c r="H2578" s="486" t="s">
        <v>7870</v>
      </c>
    </row>
    <row r="2579" spans="1:8">
      <c r="A2579" s="483" t="s">
        <v>7871</v>
      </c>
      <c r="E2579" s="329">
        <v>209</v>
      </c>
      <c r="F2579" s="329">
        <v>3778</v>
      </c>
      <c r="G2579" s="329" t="s">
        <v>7779</v>
      </c>
      <c r="H2579" s="483" t="s">
        <v>7872</v>
      </c>
    </row>
    <row r="2580" spans="1:8">
      <c r="A2580" s="483" t="s">
        <v>7873</v>
      </c>
      <c r="C2580" s="483">
        <v>17000</v>
      </c>
      <c r="H2580" s="483" t="s">
        <v>7874</v>
      </c>
    </row>
    <row r="2581" spans="1:8">
      <c r="A2581" s="483" t="s">
        <v>7875</v>
      </c>
      <c r="E2581" s="483">
        <v>200</v>
      </c>
      <c r="F2581" s="329">
        <v>3578</v>
      </c>
      <c r="G2581" s="483" t="s">
        <v>7774</v>
      </c>
      <c r="H2581" s="483" t="s">
        <v>7876</v>
      </c>
    </row>
    <row r="2582" spans="1:8">
      <c r="A2582" s="483" t="s">
        <v>7877</v>
      </c>
      <c r="H2582" s="483" t="s">
        <v>7878</v>
      </c>
    </row>
    <row r="2583" spans="1:8">
      <c r="A2583" s="483" t="s">
        <v>7877</v>
      </c>
      <c r="C2583" s="483">
        <v>50000</v>
      </c>
      <c r="H2583" s="483" t="s">
        <v>7879</v>
      </c>
    </row>
    <row r="2584" spans="1:8">
      <c r="A2584" s="483" t="s">
        <v>7877</v>
      </c>
      <c r="H2584" s="483" t="s">
        <v>7880</v>
      </c>
    </row>
    <row r="2585" spans="1:8">
      <c r="A2585" s="483" t="s">
        <v>7881</v>
      </c>
      <c r="C2585" s="483">
        <v>26036</v>
      </c>
      <c r="H2585" s="483" t="s">
        <v>7882</v>
      </c>
    </row>
    <row r="2586" spans="1:8">
      <c r="A2586" s="483" t="s">
        <v>7883</v>
      </c>
      <c r="E2586" s="329">
        <v>145</v>
      </c>
      <c r="F2586" s="329">
        <v>3433</v>
      </c>
      <c r="G2586" s="483" t="s">
        <v>7776</v>
      </c>
      <c r="H2586" s="483" t="s">
        <v>7884</v>
      </c>
    </row>
    <row r="2587" spans="1:8">
      <c r="A2587" s="483" t="s">
        <v>7883</v>
      </c>
      <c r="E2587" s="329">
        <v>155</v>
      </c>
      <c r="F2587" s="329">
        <v>3278</v>
      </c>
      <c r="G2587" s="483" t="s">
        <v>7776</v>
      </c>
      <c r="H2587" s="483" t="s">
        <v>7884</v>
      </c>
    </row>
    <row r="2588" spans="1:8">
      <c r="A2588" s="483" t="s">
        <v>7885</v>
      </c>
      <c r="E2588" s="329">
        <v>190</v>
      </c>
      <c r="F2588" s="329">
        <v>3088</v>
      </c>
      <c r="G2588" s="483" t="s">
        <v>7776</v>
      </c>
      <c r="H2588" s="483" t="s">
        <v>7886</v>
      </c>
    </row>
    <row r="2589" spans="1:8">
      <c r="A2589" s="483" t="s">
        <v>7885</v>
      </c>
      <c r="E2589" s="329">
        <v>20</v>
      </c>
      <c r="F2589" s="329">
        <v>3068</v>
      </c>
      <c r="G2589" s="483" t="s">
        <v>7776</v>
      </c>
      <c r="H2589" s="483" t="s">
        <v>7887</v>
      </c>
    </row>
    <row r="2590" spans="1:8">
      <c r="A2590" s="483" t="s">
        <v>7888</v>
      </c>
      <c r="E2590" s="483">
        <v>1205</v>
      </c>
      <c r="F2590" s="483">
        <v>1863</v>
      </c>
      <c r="G2590" s="483" t="s">
        <v>7763</v>
      </c>
      <c r="H2590" s="483" t="s">
        <v>7889</v>
      </c>
    </row>
    <row r="2591" spans="1:8">
      <c r="A2591" s="483" t="s">
        <v>7890</v>
      </c>
      <c r="C2591" s="483">
        <v>17000</v>
      </c>
      <c r="H2591" s="483" t="s">
        <v>7891</v>
      </c>
    </row>
    <row r="2592" spans="1:8">
      <c r="A2592" s="483" t="s">
        <v>7892</v>
      </c>
      <c r="E2592" s="329">
        <v>18</v>
      </c>
      <c r="F2592" s="329">
        <v>1845</v>
      </c>
      <c r="G2592" s="483" t="s">
        <v>7767</v>
      </c>
      <c r="H2592" s="483" t="s">
        <v>7893</v>
      </c>
    </row>
    <row r="2593" spans="1:8">
      <c r="A2593" s="483" t="s">
        <v>7892</v>
      </c>
      <c r="E2593" s="483">
        <v>204</v>
      </c>
      <c r="F2593" s="329">
        <v>1641</v>
      </c>
      <c r="G2593" s="483" t="s">
        <v>7759</v>
      </c>
      <c r="H2593" s="483" t="s">
        <v>7894</v>
      </c>
    </row>
    <row r="2594" spans="1:8">
      <c r="A2594" s="483" t="s">
        <v>7892</v>
      </c>
      <c r="E2594" s="329">
        <v>80</v>
      </c>
      <c r="F2594" s="329">
        <v>1561</v>
      </c>
      <c r="G2594" s="483" t="s">
        <v>7759</v>
      </c>
      <c r="H2594" s="483" t="s">
        <v>7760</v>
      </c>
    </row>
    <row r="2595" spans="1:8">
      <c r="A2595" s="483" t="s">
        <v>7895</v>
      </c>
      <c r="C2595" s="483">
        <v>25318</v>
      </c>
      <c r="H2595" s="483" t="s">
        <v>7896</v>
      </c>
    </row>
    <row r="2596" spans="1:8">
      <c r="A2596" s="483" t="s">
        <v>7895</v>
      </c>
      <c r="C2596" s="483">
        <v>62750</v>
      </c>
      <c r="H2596" s="483" t="s">
        <v>7897</v>
      </c>
    </row>
    <row r="2597" spans="1:8">
      <c r="A2597" s="483" t="s">
        <v>7895</v>
      </c>
      <c r="C2597" s="483">
        <v>18000</v>
      </c>
      <c r="H2597" s="483" t="s">
        <v>7898</v>
      </c>
    </row>
    <row r="2598" spans="1:8">
      <c r="A2598" s="483" t="s">
        <v>7895</v>
      </c>
      <c r="C2598" s="483">
        <v>2036</v>
      </c>
      <c r="H2598" s="483" t="s">
        <v>7899</v>
      </c>
    </row>
    <row r="2599" spans="1:8">
      <c r="A2599" s="483" t="s">
        <v>7895</v>
      </c>
      <c r="C2599" s="483">
        <v>28321</v>
      </c>
      <c r="H2599" s="483" t="s">
        <v>7900</v>
      </c>
    </row>
    <row r="2600" spans="1:8">
      <c r="A2600" s="483" t="s">
        <v>7901</v>
      </c>
      <c r="E2600" s="483">
        <v>45</v>
      </c>
      <c r="F2600" s="483">
        <v>1516</v>
      </c>
      <c r="G2600" s="483" t="s">
        <v>7755</v>
      </c>
      <c r="H2600" s="483" t="s">
        <v>7902</v>
      </c>
    </row>
    <row r="2601" spans="1:8">
      <c r="A2601" s="483" t="s">
        <v>7903</v>
      </c>
      <c r="C2601" s="483">
        <v>5000</v>
      </c>
      <c r="H2601" s="483" t="s">
        <v>7766</v>
      </c>
    </row>
    <row r="2602" spans="1:8">
      <c r="A2602" s="483" t="s">
        <v>7903</v>
      </c>
      <c r="C2602" s="483">
        <v>8712</v>
      </c>
      <c r="H2602" s="483" t="s">
        <v>7904</v>
      </c>
    </row>
    <row r="2603" spans="1:8">
      <c r="A2603" s="483" t="s">
        <v>7905</v>
      </c>
      <c r="D2603" s="483">
        <v>5000</v>
      </c>
      <c r="F2603" s="483">
        <v>6516</v>
      </c>
      <c r="H2603" s="483" t="s">
        <v>7766</v>
      </c>
    </row>
    <row r="2604" spans="1:8">
      <c r="A2604" s="483" t="s">
        <v>7906</v>
      </c>
      <c r="E2604" s="329">
        <v>150</v>
      </c>
      <c r="F2604" s="329">
        <v>6366</v>
      </c>
      <c r="G2604" s="483" t="s">
        <v>7776</v>
      </c>
      <c r="H2604" s="483" t="s">
        <v>7907</v>
      </c>
    </row>
    <row r="2605" spans="1:8">
      <c r="A2605" s="483" t="s">
        <v>7906</v>
      </c>
      <c r="E2605" s="329">
        <v>150</v>
      </c>
      <c r="F2605" s="329">
        <v>6216</v>
      </c>
      <c r="G2605" s="483" t="s">
        <v>7776</v>
      </c>
      <c r="H2605" s="483" t="s">
        <v>7907</v>
      </c>
    </row>
    <row r="2606" spans="1:8">
      <c r="A2606" s="483" t="s">
        <v>7908</v>
      </c>
      <c r="E2606" s="329">
        <v>245</v>
      </c>
      <c r="F2606" s="329">
        <v>5971</v>
      </c>
      <c r="G2606" s="483" t="s">
        <v>7776</v>
      </c>
      <c r="H2606" s="483" t="s">
        <v>7909</v>
      </c>
    </row>
    <row r="2607" spans="1:8">
      <c r="A2607" s="483" t="s">
        <v>7908</v>
      </c>
      <c r="E2607" s="329">
        <v>275</v>
      </c>
      <c r="F2607" s="329">
        <v>5696</v>
      </c>
      <c r="G2607" s="483" t="s">
        <v>7776</v>
      </c>
      <c r="H2607" s="483" t="s">
        <v>7909</v>
      </c>
    </row>
    <row r="2608" spans="1:8">
      <c r="A2608" s="483" t="s">
        <v>7908</v>
      </c>
      <c r="E2608" s="483">
        <v>1205</v>
      </c>
      <c r="F2608" s="483">
        <v>4491</v>
      </c>
      <c r="G2608" s="483" t="s">
        <v>7763</v>
      </c>
      <c r="H2608" s="483" t="s">
        <v>7910</v>
      </c>
    </row>
    <row r="2609" spans="1:8">
      <c r="A2609" s="483" t="s">
        <v>7911</v>
      </c>
      <c r="E2609" s="329">
        <v>190</v>
      </c>
      <c r="F2609" s="329">
        <v>4301</v>
      </c>
      <c r="G2609" s="483" t="s">
        <v>7774</v>
      </c>
      <c r="H2609" s="329" t="s">
        <v>7798</v>
      </c>
    </row>
    <row r="2610" spans="1:8">
      <c r="A2610" s="483" t="s">
        <v>7912</v>
      </c>
      <c r="E2610" s="329">
        <v>188</v>
      </c>
      <c r="F2610" s="329">
        <v>4113</v>
      </c>
      <c r="G2610" s="329" t="s">
        <v>7779</v>
      </c>
      <c r="H2610" s="483" t="s">
        <v>7913</v>
      </c>
    </row>
    <row r="2611" spans="1:8">
      <c r="A2611" s="483" t="s">
        <v>7914</v>
      </c>
      <c r="E2611" s="483">
        <v>35</v>
      </c>
      <c r="F2611" s="483">
        <v>4078</v>
      </c>
      <c r="G2611" s="483" t="s">
        <v>7755</v>
      </c>
      <c r="H2611" s="483" t="s">
        <v>7915</v>
      </c>
    </row>
    <row r="2612" spans="1:8">
      <c r="A2612" s="483" t="s">
        <v>7916</v>
      </c>
      <c r="C2612" s="483">
        <v>17000</v>
      </c>
      <c r="H2612" s="483" t="s">
        <v>7917</v>
      </c>
    </row>
    <row r="2613" spans="1:8">
      <c r="A2613" s="483" t="s">
        <v>7918</v>
      </c>
      <c r="C2613" s="483">
        <v>25318</v>
      </c>
      <c r="H2613" s="483" t="s">
        <v>7919</v>
      </c>
    </row>
    <row r="2614" spans="1:8">
      <c r="A2614" s="483" t="s">
        <v>7918</v>
      </c>
      <c r="C2614" s="483">
        <v>62750</v>
      </c>
      <c r="H2614" s="483" t="s">
        <v>7920</v>
      </c>
    </row>
    <row r="2615" spans="1:8">
      <c r="A2615" s="483" t="s">
        <v>7918</v>
      </c>
      <c r="C2615" s="483">
        <v>36000</v>
      </c>
      <c r="H2615" s="483" t="s">
        <v>7921</v>
      </c>
    </row>
    <row r="2616" spans="1:8">
      <c r="A2616" s="483" t="s">
        <v>7918</v>
      </c>
      <c r="C2616" s="483">
        <v>5998</v>
      </c>
      <c r="H2616" s="483" t="s">
        <v>7922</v>
      </c>
    </row>
    <row r="2617" spans="1:8">
      <c r="A2617" s="483" t="s">
        <v>7918</v>
      </c>
      <c r="C2617" s="483">
        <v>27660</v>
      </c>
      <c r="H2617" s="483" t="s">
        <v>7923</v>
      </c>
    </row>
    <row r="2618" spans="1:8" ht="132">
      <c r="A2618" s="483" t="s">
        <v>7918</v>
      </c>
      <c r="C2618" s="483">
        <v>35000</v>
      </c>
      <c r="H2618" s="486" t="s">
        <v>7924</v>
      </c>
    </row>
    <row r="2619" spans="1:8">
      <c r="A2619" s="483" t="s">
        <v>7925</v>
      </c>
      <c r="E2619" s="329">
        <v>205</v>
      </c>
      <c r="F2619" s="329">
        <v>3873</v>
      </c>
      <c r="G2619" s="483" t="s">
        <v>7776</v>
      </c>
      <c r="H2619" s="483" t="s">
        <v>7926</v>
      </c>
    </row>
    <row r="2620" spans="1:8">
      <c r="A2620" s="483" t="s">
        <v>7925</v>
      </c>
      <c r="E2620" s="329">
        <v>215</v>
      </c>
      <c r="F2620" s="329">
        <v>3658</v>
      </c>
      <c r="G2620" s="483" t="s">
        <v>7776</v>
      </c>
      <c r="H2620" s="483" t="s">
        <v>7926</v>
      </c>
    </row>
    <row r="2621" spans="1:8">
      <c r="A2621" s="483" t="s">
        <v>7927</v>
      </c>
      <c r="E2621" s="329">
        <v>105</v>
      </c>
      <c r="F2621" s="329">
        <v>3553</v>
      </c>
      <c r="G2621" s="483" t="s">
        <v>7767</v>
      </c>
      <c r="H2621" s="483" t="s">
        <v>7928</v>
      </c>
    </row>
    <row r="2622" spans="1:8">
      <c r="A2622" s="483" t="s">
        <v>7929</v>
      </c>
      <c r="E2622" s="483">
        <v>1205</v>
      </c>
      <c r="F2622" s="483">
        <v>2348</v>
      </c>
      <c r="G2622" s="483" t="s">
        <v>7763</v>
      </c>
      <c r="H2622" s="483" t="s">
        <v>7930</v>
      </c>
    </row>
    <row r="2623" spans="1:8">
      <c r="A2623" s="483" t="s">
        <v>7931</v>
      </c>
      <c r="E2623" s="483">
        <v>35</v>
      </c>
      <c r="F2623" s="483">
        <v>2313</v>
      </c>
      <c r="G2623" s="483" t="s">
        <v>7755</v>
      </c>
      <c r="H2623" s="483" t="s">
        <v>7932</v>
      </c>
    </row>
    <row r="2624" spans="1:8">
      <c r="A2624" s="483" t="s">
        <v>7933</v>
      </c>
      <c r="E2624" s="329">
        <v>18</v>
      </c>
      <c r="F2624" s="329">
        <v>2295</v>
      </c>
      <c r="G2624" s="483" t="s">
        <v>7767</v>
      </c>
      <c r="H2624" s="483" t="s">
        <v>7934</v>
      </c>
    </row>
    <row r="2625" spans="1:8">
      <c r="A2625" s="483" t="s">
        <v>7935</v>
      </c>
      <c r="C2625" s="483">
        <v>17000</v>
      </c>
      <c r="H2625" s="483" t="s">
        <v>7936</v>
      </c>
    </row>
    <row r="2626" spans="1:8">
      <c r="A2626" s="483" t="s">
        <v>7937</v>
      </c>
      <c r="E2626" s="483">
        <v>35</v>
      </c>
      <c r="F2626" s="483">
        <v>2260</v>
      </c>
      <c r="G2626" s="483" t="s">
        <v>7755</v>
      </c>
      <c r="H2626" s="483" t="s">
        <v>7938</v>
      </c>
    </row>
    <row r="2627" spans="1:8">
      <c r="A2627" s="483" t="s">
        <v>7939</v>
      </c>
      <c r="C2627" s="483">
        <v>25318</v>
      </c>
      <c r="H2627" s="483" t="s">
        <v>7940</v>
      </c>
    </row>
    <row r="2628" spans="1:8">
      <c r="A2628" s="483" t="s">
        <v>7939</v>
      </c>
      <c r="C2628" s="483">
        <v>61326</v>
      </c>
      <c r="H2628" s="483" t="s">
        <v>7941</v>
      </c>
    </row>
    <row r="2629" spans="1:8">
      <c r="A2629" s="483" t="s">
        <v>7939</v>
      </c>
      <c r="C2629" s="483">
        <v>11956</v>
      </c>
      <c r="H2629" s="483" t="s">
        <v>7942</v>
      </c>
    </row>
    <row r="2630" spans="1:8">
      <c r="A2630" s="483" t="s">
        <v>7939</v>
      </c>
      <c r="E2630" s="329">
        <v>110</v>
      </c>
      <c r="F2630" s="329">
        <v>2150</v>
      </c>
      <c r="G2630" s="483" t="s">
        <v>7776</v>
      </c>
      <c r="H2630" s="483" t="s">
        <v>7943</v>
      </c>
    </row>
    <row r="2631" spans="1:8">
      <c r="A2631" s="483" t="s">
        <v>7939</v>
      </c>
      <c r="E2631" s="329">
        <v>100</v>
      </c>
      <c r="F2631" s="329">
        <v>2050</v>
      </c>
      <c r="G2631" s="483" t="s">
        <v>7776</v>
      </c>
      <c r="H2631" s="483" t="s">
        <v>7943</v>
      </c>
    </row>
    <row r="2632" spans="1:8">
      <c r="A2632" s="483" t="s">
        <v>7944</v>
      </c>
      <c r="C2632" s="483">
        <v>8608</v>
      </c>
      <c r="H2632" s="483" t="s">
        <v>7945</v>
      </c>
    </row>
    <row r="2633" spans="1:8">
      <c r="A2633" s="483" t="s">
        <v>7946</v>
      </c>
      <c r="C2633" s="483">
        <v>5000</v>
      </c>
      <c r="H2633" s="483" t="s">
        <v>7766</v>
      </c>
    </row>
    <row r="2634" spans="1:8">
      <c r="A2634" s="483" t="s">
        <v>7946</v>
      </c>
      <c r="D2634" s="483">
        <v>5000</v>
      </c>
      <c r="F2634" s="483">
        <v>7050</v>
      </c>
      <c r="H2634" s="483" t="s">
        <v>7766</v>
      </c>
    </row>
    <row r="2635" spans="1:8">
      <c r="A2635" s="483" t="s">
        <v>7946</v>
      </c>
      <c r="E2635" s="329">
        <v>121</v>
      </c>
      <c r="F2635" s="329">
        <v>6929</v>
      </c>
      <c r="G2635" s="483" t="s">
        <v>7755</v>
      </c>
      <c r="H2635" s="483" t="s">
        <v>7947</v>
      </c>
    </row>
    <row r="2636" spans="1:8">
      <c r="A2636" s="483" t="s">
        <v>7946</v>
      </c>
      <c r="E2636" s="483">
        <v>1020</v>
      </c>
      <c r="F2636" s="483">
        <v>5909</v>
      </c>
      <c r="G2636" s="483" t="s">
        <v>7755</v>
      </c>
      <c r="H2636" s="483" t="s">
        <v>7948</v>
      </c>
    </row>
    <row r="2637" spans="1:8">
      <c r="A2637" s="483" t="s">
        <v>7949</v>
      </c>
      <c r="E2637" s="329">
        <v>375</v>
      </c>
      <c r="F2637" s="329">
        <v>5534</v>
      </c>
      <c r="G2637" s="483" t="s">
        <v>7776</v>
      </c>
      <c r="H2637" s="483" t="s">
        <v>7950</v>
      </c>
    </row>
    <row r="2638" spans="1:8">
      <c r="A2638" s="483" t="s">
        <v>7949</v>
      </c>
      <c r="E2638" s="329">
        <v>405</v>
      </c>
      <c r="F2638" s="329">
        <v>5129</v>
      </c>
      <c r="G2638" s="483" t="s">
        <v>7776</v>
      </c>
      <c r="H2638" s="483" t="s">
        <v>7950</v>
      </c>
    </row>
    <row r="2639" spans="1:8">
      <c r="A2639" s="483" t="s">
        <v>7951</v>
      </c>
      <c r="E2639" s="329">
        <v>120</v>
      </c>
      <c r="F2639" s="329">
        <v>5009</v>
      </c>
      <c r="G2639" s="483" t="s">
        <v>7776</v>
      </c>
      <c r="H2639" s="483" t="s">
        <v>7952</v>
      </c>
    </row>
    <row r="2640" spans="1:8">
      <c r="A2640" s="483" t="s">
        <v>7951</v>
      </c>
      <c r="E2640" s="329">
        <v>235</v>
      </c>
      <c r="F2640" s="329">
        <v>4774</v>
      </c>
      <c r="G2640" s="483" t="s">
        <v>7776</v>
      </c>
      <c r="H2640" s="483" t="s">
        <v>7953</v>
      </c>
    </row>
    <row r="2641" spans="1:8">
      <c r="A2641" s="483" t="s">
        <v>7951</v>
      </c>
      <c r="E2641" s="329">
        <v>165</v>
      </c>
      <c r="F2641" s="329">
        <v>4609</v>
      </c>
      <c r="G2641" s="483" t="s">
        <v>7776</v>
      </c>
      <c r="H2641" s="483" t="s">
        <v>7952</v>
      </c>
    </row>
    <row r="2642" spans="1:8">
      <c r="E2642" s="329"/>
      <c r="F2642" s="329"/>
      <c r="H2642" s="487" t="s">
        <v>7954</v>
      </c>
    </row>
    <row r="2643" spans="1:8">
      <c r="A2643" s="483" t="s">
        <v>7955</v>
      </c>
      <c r="E2643" s="329">
        <v>1205</v>
      </c>
      <c r="F2643" s="329">
        <v>3404</v>
      </c>
      <c r="G2643" s="483" t="s">
        <v>7763</v>
      </c>
      <c r="H2643" s="483" t="s">
        <v>7956</v>
      </c>
    </row>
    <row r="2644" spans="1:8">
      <c r="A2644" s="483" t="s">
        <v>7955</v>
      </c>
      <c r="E2644" s="329">
        <v>187</v>
      </c>
      <c r="F2644" s="329">
        <v>3217</v>
      </c>
      <c r="G2644" s="329" t="s">
        <v>7779</v>
      </c>
      <c r="H2644" s="483" t="s">
        <v>7957</v>
      </c>
    </row>
    <row r="2645" spans="1:8">
      <c r="A2645" s="483" t="s">
        <v>7958</v>
      </c>
      <c r="E2645" s="329">
        <v>280</v>
      </c>
      <c r="F2645" s="329">
        <v>2937</v>
      </c>
      <c r="G2645" s="483" t="s">
        <v>7776</v>
      </c>
      <c r="H2645" s="483" t="s">
        <v>7950</v>
      </c>
    </row>
    <row r="2646" spans="1:8">
      <c r="A2646" s="483" t="s">
        <v>7958</v>
      </c>
      <c r="E2646" s="329">
        <v>275</v>
      </c>
      <c r="F2646" s="329">
        <v>2662</v>
      </c>
      <c r="G2646" s="483" t="s">
        <v>7776</v>
      </c>
      <c r="H2646" s="483" t="s">
        <v>7952</v>
      </c>
    </row>
    <row r="2647" spans="1:8">
      <c r="A2647" s="483" t="s">
        <v>7959</v>
      </c>
      <c r="E2647" s="329">
        <v>30</v>
      </c>
      <c r="F2647" s="329">
        <v>2632</v>
      </c>
      <c r="G2647" s="483" t="s">
        <v>7755</v>
      </c>
      <c r="H2647" s="483" t="s">
        <v>7960</v>
      </c>
    </row>
    <row r="2648" spans="1:8">
      <c r="A2648" s="483" t="s">
        <v>7961</v>
      </c>
      <c r="E2648" s="329">
        <v>30</v>
      </c>
      <c r="F2648" s="329">
        <v>2602</v>
      </c>
      <c r="G2648" s="483" t="s">
        <v>7755</v>
      </c>
      <c r="H2648" s="483" t="s">
        <v>7962</v>
      </c>
    </row>
    <row r="2649" spans="1:8" ht="33">
      <c r="A2649" s="483" t="s">
        <v>7961</v>
      </c>
      <c r="C2649" s="483">
        <v>50000</v>
      </c>
      <c r="H2649" s="486" t="s">
        <v>7963</v>
      </c>
    </row>
    <row r="2650" spans="1:8">
      <c r="A2650" s="483" t="s">
        <v>7964</v>
      </c>
      <c r="C2650" s="483">
        <v>17000</v>
      </c>
      <c r="H2650" s="483" t="s">
        <v>7965</v>
      </c>
    </row>
    <row r="2651" spans="1:8">
      <c r="A2651" s="483" t="s">
        <v>7966</v>
      </c>
      <c r="E2651" s="483">
        <v>149</v>
      </c>
      <c r="F2651" s="329">
        <v>2453</v>
      </c>
      <c r="G2651" s="483" t="s">
        <v>7767</v>
      </c>
      <c r="H2651" s="483" t="s">
        <v>7805</v>
      </c>
    </row>
    <row r="2652" spans="1:8">
      <c r="A2652" s="483" t="s">
        <v>7967</v>
      </c>
      <c r="E2652" s="329">
        <v>5</v>
      </c>
      <c r="F2652" s="329">
        <v>2448</v>
      </c>
      <c r="G2652" s="483" t="s">
        <v>7767</v>
      </c>
      <c r="H2652" s="483" t="s">
        <v>7968</v>
      </c>
    </row>
    <row r="2653" spans="1:8">
      <c r="A2653" s="483" t="s">
        <v>7967</v>
      </c>
      <c r="D2653" s="483">
        <v>5000</v>
      </c>
      <c r="E2653" s="329"/>
      <c r="F2653" s="329">
        <v>7448</v>
      </c>
      <c r="H2653" s="483" t="s">
        <v>7766</v>
      </c>
    </row>
    <row r="2654" spans="1:8">
      <c r="A2654" s="483" t="s">
        <v>7967</v>
      </c>
      <c r="E2654" s="483">
        <v>1300</v>
      </c>
      <c r="F2654" s="329">
        <v>6148</v>
      </c>
      <c r="H2654" s="483" t="s">
        <v>7969</v>
      </c>
    </row>
    <row r="2655" spans="1:8">
      <c r="A2655" s="483" t="s">
        <v>7967</v>
      </c>
      <c r="E2655" s="483">
        <v>900</v>
      </c>
      <c r="F2655" s="329">
        <v>5248</v>
      </c>
      <c r="H2655" s="483" t="s">
        <v>7970</v>
      </c>
    </row>
    <row r="2656" spans="1:8">
      <c r="A2656" s="483" t="s">
        <v>7967</v>
      </c>
      <c r="E2656" s="483">
        <v>500</v>
      </c>
      <c r="F2656" s="329">
        <v>4748</v>
      </c>
      <c r="H2656" s="483" t="s">
        <v>7971</v>
      </c>
    </row>
    <row r="2657" spans="1:8">
      <c r="A2657" s="483" t="s">
        <v>7967</v>
      </c>
      <c r="E2657" s="329">
        <v>110</v>
      </c>
      <c r="F2657" s="329">
        <v>4638</v>
      </c>
      <c r="G2657" s="483" t="s">
        <v>7776</v>
      </c>
      <c r="H2657" s="483" t="s">
        <v>7972</v>
      </c>
    </row>
    <row r="2658" spans="1:8">
      <c r="A2658" s="483" t="s">
        <v>7967</v>
      </c>
      <c r="E2658" s="329">
        <v>95</v>
      </c>
      <c r="F2658" s="329">
        <v>4543</v>
      </c>
      <c r="G2658" s="483" t="s">
        <v>7776</v>
      </c>
      <c r="H2658" s="483" t="s">
        <v>7973</v>
      </c>
    </row>
    <row r="2659" spans="1:8">
      <c r="A2659" s="483" t="s">
        <v>7974</v>
      </c>
      <c r="E2659" s="329">
        <v>110</v>
      </c>
      <c r="F2659" s="329">
        <v>4433</v>
      </c>
      <c r="G2659" s="483" t="s">
        <v>7776</v>
      </c>
      <c r="H2659" s="483" t="s">
        <v>7975</v>
      </c>
    </row>
    <row r="2660" spans="1:8">
      <c r="A2660" s="483" t="s">
        <v>7974</v>
      </c>
      <c r="E2660" s="329">
        <v>121</v>
      </c>
      <c r="F2660" s="329">
        <v>4312</v>
      </c>
      <c r="G2660" s="483" t="s">
        <v>7755</v>
      </c>
      <c r="H2660" s="483" t="s">
        <v>7976</v>
      </c>
    </row>
    <row r="2661" spans="1:8">
      <c r="A2661" s="483" t="s">
        <v>7977</v>
      </c>
      <c r="C2661" s="483">
        <v>41609</v>
      </c>
      <c r="H2661" s="483" t="s">
        <v>7978</v>
      </c>
    </row>
    <row r="2662" spans="1:8">
      <c r="A2662" s="483" t="s">
        <v>7979</v>
      </c>
      <c r="E2662" s="483">
        <v>220</v>
      </c>
      <c r="F2662" s="329">
        <v>4092</v>
      </c>
      <c r="G2662" s="483" t="s">
        <v>7759</v>
      </c>
      <c r="H2662" s="483" t="s">
        <v>7980</v>
      </c>
    </row>
    <row r="2663" spans="1:8">
      <c r="A2663" s="483" t="s">
        <v>7981</v>
      </c>
      <c r="E2663" s="483">
        <v>300</v>
      </c>
      <c r="F2663" s="483">
        <v>3792</v>
      </c>
      <c r="G2663" s="483" t="s">
        <v>7860</v>
      </c>
      <c r="H2663" s="483" t="s">
        <v>7861</v>
      </c>
    </row>
    <row r="2664" spans="1:8">
      <c r="A2664" s="483" t="s">
        <v>7982</v>
      </c>
      <c r="E2664" s="329">
        <v>200</v>
      </c>
      <c r="F2664" s="329">
        <v>3592</v>
      </c>
      <c r="G2664" s="483" t="s">
        <v>7776</v>
      </c>
      <c r="H2664" s="483" t="s">
        <v>7983</v>
      </c>
    </row>
    <row r="2665" spans="1:8">
      <c r="A2665" s="483" t="s">
        <v>7982</v>
      </c>
      <c r="E2665" s="329">
        <v>280</v>
      </c>
      <c r="F2665" s="329">
        <v>3312</v>
      </c>
      <c r="G2665" s="483" t="s">
        <v>7776</v>
      </c>
      <c r="H2665" s="483" t="s">
        <v>7983</v>
      </c>
    </row>
    <row r="2666" spans="1:8">
      <c r="A2666" s="483" t="s">
        <v>7982</v>
      </c>
      <c r="E2666" s="329">
        <v>1205</v>
      </c>
      <c r="F2666" s="329">
        <v>2107</v>
      </c>
      <c r="G2666" s="483" t="s">
        <v>7763</v>
      </c>
      <c r="H2666" s="483" t="s">
        <v>7984</v>
      </c>
    </row>
    <row r="2667" spans="1:8">
      <c r="A2667" s="483" t="s">
        <v>7985</v>
      </c>
      <c r="E2667" s="329">
        <v>18</v>
      </c>
      <c r="F2667" s="329">
        <v>2089</v>
      </c>
      <c r="G2667" s="483" t="s">
        <v>7767</v>
      </c>
      <c r="H2667" s="483" t="s">
        <v>7986</v>
      </c>
    </row>
    <row r="2668" spans="1:8">
      <c r="A2668" s="483" t="s">
        <v>7985</v>
      </c>
      <c r="E2668" s="329">
        <v>248</v>
      </c>
      <c r="F2668" s="329">
        <v>1841</v>
      </c>
      <c r="G2668" s="483" t="s">
        <v>7774</v>
      </c>
      <c r="H2668" s="329" t="s">
        <v>7799</v>
      </c>
    </row>
    <row r="2669" spans="1:8">
      <c r="A2669" s="483" t="s">
        <v>7985</v>
      </c>
      <c r="E2669" s="329">
        <v>32</v>
      </c>
      <c r="F2669" s="329">
        <v>1809</v>
      </c>
      <c r="G2669" s="483" t="s">
        <v>7776</v>
      </c>
      <c r="H2669" s="483" t="s">
        <v>7987</v>
      </c>
    </row>
    <row r="2670" spans="1:8">
      <c r="A2670" s="483" t="s">
        <v>7988</v>
      </c>
      <c r="C2670" s="483">
        <v>17000</v>
      </c>
      <c r="H2670" s="483" t="s">
        <v>7989</v>
      </c>
    </row>
    <row r="2671" spans="1:8">
      <c r="A2671" s="483" t="s">
        <v>7990</v>
      </c>
      <c r="C2671" s="483">
        <v>18613</v>
      </c>
      <c r="H2671" s="483" t="s">
        <v>7991</v>
      </c>
    </row>
    <row r="2672" spans="1:8">
      <c r="A2672" s="483" t="s">
        <v>7992</v>
      </c>
      <c r="C2672" s="483">
        <v>30723</v>
      </c>
      <c r="H2672" s="483" t="s">
        <v>7993</v>
      </c>
    </row>
    <row r="2673" spans="1:8">
      <c r="A2673" s="483" t="s">
        <v>7992</v>
      </c>
      <c r="C2673" s="483">
        <v>25318</v>
      </c>
      <c r="H2673" s="483" t="s">
        <v>7994</v>
      </c>
    </row>
    <row r="2674" spans="1:8">
      <c r="A2674" s="483" t="s">
        <v>7992</v>
      </c>
      <c r="C2674" s="483">
        <v>61326</v>
      </c>
      <c r="H2674" s="483" t="s">
        <v>7995</v>
      </c>
    </row>
    <row r="2675" spans="1:8">
      <c r="A2675" s="483" t="s">
        <v>7992</v>
      </c>
      <c r="C2675" s="483">
        <v>15000</v>
      </c>
      <c r="H2675" s="483" t="s">
        <v>7996</v>
      </c>
    </row>
    <row r="2676" spans="1:8">
      <c r="A2676" s="483" t="s">
        <v>7997</v>
      </c>
      <c r="E2676" s="483">
        <v>57</v>
      </c>
      <c r="F2676" s="329">
        <v>1752</v>
      </c>
      <c r="G2676" s="483" t="s">
        <v>7759</v>
      </c>
      <c r="H2676" s="483" t="s">
        <v>7998</v>
      </c>
    </row>
    <row r="2677" spans="1:8">
      <c r="A2677" s="483" t="s">
        <v>7999</v>
      </c>
      <c r="E2677" s="329">
        <v>45</v>
      </c>
      <c r="F2677" s="329">
        <v>1707</v>
      </c>
      <c r="G2677" s="483" t="s">
        <v>7755</v>
      </c>
      <c r="H2677" s="483" t="s">
        <v>8000</v>
      </c>
    </row>
    <row r="2678" spans="1:8">
      <c r="A2678" s="483" t="s">
        <v>8001</v>
      </c>
      <c r="E2678" s="329">
        <v>7</v>
      </c>
      <c r="F2678" s="329">
        <v>1700</v>
      </c>
      <c r="G2678" s="483" t="s">
        <v>7755</v>
      </c>
      <c r="H2678" s="483" t="s">
        <v>8002</v>
      </c>
    </row>
    <row r="2679" spans="1:8">
      <c r="A2679" s="483" t="s">
        <v>8003</v>
      </c>
      <c r="D2679" s="483">
        <v>5000</v>
      </c>
      <c r="E2679" s="329"/>
      <c r="F2679" s="329">
        <v>6700</v>
      </c>
      <c r="H2679" s="483" t="s">
        <v>7766</v>
      </c>
    </row>
    <row r="2680" spans="1:8">
      <c r="A2680" s="483" t="s">
        <v>8003</v>
      </c>
      <c r="E2680" s="329">
        <v>1205</v>
      </c>
      <c r="F2680" s="329">
        <v>5495</v>
      </c>
      <c r="G2680" s="483" t="s">
        <v>7763</v>
      </c>
      <c r="H2680" s="483" t="s">
        <v>8004</v>
      </c>
    </row>
    <row r="2681" spans="1:8">
      <c r="A2681" s="483" t="s">
        <v>8005</v>
      </c>
      <c r="E2681" s="329">
        <v>300</v>
      </c>
      <c r="F2681" s="329">
        <v>5195</v>
      </c>
      <c r="H2681" s="483" t="s">
        <v>8006</v>
      </c>
    </row>
    <row r="2682" spans="1:8">
      <c r="A2682" s="483" t="s">
        <v>8005</v>
      </c>
      <c r="E2682" s="329">
        <v>35</v>
      </c>
      <c r="F2682" s="329">
        <v>5160</v>
      </c>
      <c r="G2682" s="483" t="s">
        <v>7755</v>
      </c>
      <c r="H2682" s="483" t="s">
        <v>8007</v>
      </c>
    </row>
    <row r="2683" spans="1:8">
      <c r="A2683" s="483" t="s">
        <v>8008</v>
      </c>
      <c r="E2683" s="329">
        <v>35</v>
      </c>
      <c r="F2683" s="329">
        <v>5125</v>
      </c>
      <c r="G2683" s="483" t="s">
        <v>7755</v>
      </c>
      <c r="H2683" s="483" t="s">
        <v>8009</v>
      </c>
    </row>
    <row r="2684" spans="1:8">
      <c r="A2684" s="483" t="s">
        <v>8008</v>
      </c>
      <c r="E2684" s="329">
        <v>199</v>
      </c>
      <c r="F2684" s="329">
        <v>4926</v>
      </c>
      <c r="G2684" s="329" t="s">
        <v>7779</v>
      </c>
      <c r="H2684" s="483" t="s">
        <v>8010</v>
      </c>
    </row>
    <row r="2685" spans="1:8">
      <c r="A2685" s="483" t="s">
        <v>8008</v>
      </c>
      <c r="E2685" s="483">
        <v>264</v>
      </c>
      <c r="F2685" s="329">
        <v>4662</v>
      </c>
      <c r="G2685" s="483" t="s">
        <v>7759</v>
      </c>
      <c r="H2685" s="483" t="s">
        <v>8011</v>
      </c>
    </row>
    <row r="2686" spans="1:8">
      <c r="A2686" s="483" t="s">
        <v>8012</v>
      </c>
      <c r="E2686" s="329">
        <v>35</v>
      </c>
      <c r="F2686" s="329">
        <v>4627</v>
      </c>
      <c r="G2686" s="483" t="s">
        <v>7755</v>
      </c>
      <c r="H2686" s="483" t="s">
        <v>8013</v>
      </c>
    </row>
    <row r="2687" spans="1:8">
      <c r="A2687" s="483" t="s">
        <v>8014</v>
      </c>
      <c r="C2687" s="483">
        <v>17000</v>
      </c>
      <c r="H2687" s="483" t="s">
        <v>8015</v>
      </c>
    </row>
    <row r="2688" spans="1:8">
      <c r="A2688" s="483" t="s">
        <v>8016</v>
      </c>
      <c r="E2688" s="329">
        <v>250</v>
      </c>
      <c r="F2688" s="329">
        <v>4377</v>
      </c>
      <c r="G2688" s="483" t="s">
        <v>7776</v>
      </c>
      <c r="H2688" s="483" t="s">
        <v>8017</v>
      </c>
    </row>
    <row r="2689" spans="1:8">
      <c r="A2689" s="483" t="s">
        <v>8016</v>
      </c>
      <c r="E2689" s="329">
        <v>25</v>
      </c>
      <c r="F2689" s="329">
        <v>4352</v>
      </c>
      <c r="G2689" s="483" t="s">
        <v>7776</v>
      </c>
      <c r="H2689" s="483" t="s">
        <v>8018</v>
      </c>
    </row>
    <row r="2690" spans="1:8">
      <c r="A2690" s="483" t="s">
        <v>8019</v>
      </c>
      <c r="C2690" s="483">
        <v>25318</v>
      </c>
      <c r="H2690" s="483" t="s">
        <v>8020</v>
      </c>
    </row>
    <row r="2691" spans="1:8">
      <c r="A2691" s="483" t="s">
        <v>8019</v>
      </c>
      <c r="C2691" s="483">
        <v>61326</v>
      </c>
      <c r="H2691" s="483" t="s">
        <v>8021</v>
      </c>
    </row>
    <row r="2692" spans="1:8">
      <c r="A2692" s="483" t="s">
        <v>8019</v>
      </c>
      <c r="C2692" s="483">
        <v>34800</v>
      </c>
      <c r="H2692" s="483" t="s">
        <v>8022</v>
      </c>
    </row>
    <row r="2693" spans="1:8">
      <c r="A2693" s="483" t="s">
        <v>8019</v>
      </c>
      <c r="C2693" s="483">
        <v>2412</v>
      </c>
      <c r="H2693" s="483" t="s">
        <v>8023</v>
      </c>
    </row>
    <row r="2694" spans="1:8">
      <c r="A2694" s="483" t="s">
        <v>8019</v>
      </c>
      <c r="C2694" s="483">
        <v>10047</v>
      </c>
      <c r="H2694" s="483" t="s">
        <v>8024</v>
      </c>
    </row>
    <row r="2695" spans="1:8">
      <c r="A2695" s="483" t="s">
        <v>8025</v>
      </c>
      <c r="E2695" s="329">
        <v>32</v>
      </c>
      <c r="F2695" s="329">
        <v>4320</v>
      </c>
      <c r="G2695" s="483" t="s">
        <v>7776</v>
      </c>
      <c r="H2695" s="483" t="s">
        <v>8026</v>
      </c>
    </row>
    <row r="2696" spans="1:8">
      <c r="A2696" s="483" t="s">
        <v>8025</v>
      </c>
      <c r="E2696" s="329">
        <v>187</v>
      </c>
      <c r="F2696" s="329">
        <v>4133</v>
      </c>
      <c r="G2696" s="483" t="s">
        <v>7774</v>
      </c>
      <c r="H2696" s="483" t="s">
        <v>8027</v>
      </c>
    </row>
    <row r="2697" spans="1:8">
      <c r="A2697" s="483" t="s">
        <v>8025</v>
      </c>
      <c r="E2697" s="329">
        <v>155</v>
      </c>
      <c r="F2697" s="329">
        <v>3978</v>
      </c>
      <c r="G2697" s="483" t="s">
        <v>7774</v>
      </c>
      <c r="H2697" s="483" t="s">
        <v>8028</v>
      </c>
    </row>
    <row r="2698" spans="1:8">
      <c r="A2698" s="483" t="s">
        <v>8029</v>
      </c>
      <c r="E2698" s="329">
        <v>65</v>
      </c>
      <c r="F2698" s="329">
        <v>3913</v>
      </c>
      <c r="G2698" s="483" t="s">
        <v>7774</v>
      </c>
      <c r="H2698" s="483" t="s">
        <v>8028</v>
      </c>
    </row>
    <row r="2699" spans="1:8">
      <c r="A2699" s="483" t="s">
        <v>8029</v>
      </c>
      <c r="E2699" s="329">
        <v>100</v>
      </c>
      <c r="F2699" s="329">
        <v>3813</v>
      </c>
      <c r="G2699" s="483" t="s">
        <v>7776</v>
      </c>
      <c r="H2699" s="483" t="s">
        <v>8030</v>
      </c>
    </row>
    <row r="2700" spans="1:8">
      <c r="A2700" s="483" t="s">
        <v>8031</v>
      </c>
      <c r="C2700" s="483">
        <v>9250</v>
      </c>
      <c r="H2700" s="483" t="s">
        <v>8032</v>
      </c>
    </row>
    <row r="2701" spans="1:8">
      <c r="A2701" s="483" t="s">
        <v>8033</v>
      </c>
      <c r="E2701" s="329">
        <v>200</v>
      </c>
      <c r="F2701" s="329">
        <v>3613</v>
      </c>
      <c r="G2701" s="483" t="s">
        <v>7776</v>
      </c>
      <c r="H2701" s="483" t="s">
        <v>8034</v>
      </c>
    </row>
    <row r="2702" spans="1:8">
      <c r="A2702" s="483" t="s">
        <v>8033</v>
      </c>
      <c r="E2702" s="329">
        <v>195</v>
      </c>
      <c r="F2702" s="329">
        <v>3418</v>
      </c>
      <c r="G2702" s="483" t="s">
        <v>7776</v>
      </c>
      <c r="H2702" s="483" t="s">
        <v>8034</v>
      </c>
    </row>
    <row r="2703" spans="1:8">
      <c r="A2703" s="483" t="s">
        <v>8035</v>
      </c>
      <c r="E2703" s="329">
        <v>1205</v>
      </c>
      <c r="F2703" s="329">
        <v>2213</v>
      </c>
      <c r="G2703" s="483" t="s">
        <v>7763</v>
      </c>
      <c r="H2703" s="483" t="s">
        <v>8036</v>
      </c>
    </row>
    <row r="2704" spans="1:8">
      <c r="A2704" s="483" t="s">
        <v>8037</v>
      </c>
      <c r="C2704" s="483">
        <v>200030</v>
      </c>
      <c r="E2704" s="484"/>
      <c r="F2704" s="484"/>
      <c r="G2704" s="484"/>
      <c r="H2704" s="329" t="s">
        <v>8038</v>
      </c>
    </row>
    <row r="2705" spans="1:8">
      <c r="A2705" s="483" t="s">
        <v>8037</v>
      </c>
      <c r="E2705" s="329">
        <v>18</v>
      </c>
      <c r="F2705" s="329">
        <v>2195</v>
      </c>
      <c r="G2705" s="483" t="s">
        <v>7767</v>
      </c>
      <c r="H2705" s="483" t="s">
        <v>8039</v>
      </c>
    </row>
    <row r="2706" spans="1:8">
      <c r="A2706" s="483" t="s">
        <v>8037</v>
      </c>
      <c r="E2706" s="329">
        <v>200</v>
      </c>
      <c r="F2706" s="329">
        <v>1995</v>
      </c>
      <c r="G2706" s="483" t="s">
        <v>7776</v>
      </c>
      <c r="H2706" s="483" t="s">
        <v>8040</v>
      </c>
    </row>
    <row r="2707" spans="1:8">
      <c r="A2707" s="483" t="s">
        <v>8041</v>
      </c>
      <c r="C2707" s="483">
        <v>17000</v>
      </c>
      <c r="H2707" s="483" t="s">
        <v>8042</v>
      </c>
    </row>
    <row r="2708" spans="1:8">
      <c r="A2708" s="483" t="s">
        <v>8041</v>
      </c>
      <c r="E2708" s="329">
        <v>10</v>
      </c>
      <c r="F2708" s="329">
        <v>1985</v>
      </c>
      <c r="G2708" s="483" t="s">
        <v>7755</v>
      </c>
      <c r="H2708" s="483" t="s">
        <v>8043</v>
      </c>
    </row>
    <row r="2709" spans="1:8">
      <c r="A2709" s="483" t="s">
        <v>8044</v>
      </c>
      <c r="E2709" s="329">
        <v>305</v>
      </c>
      <c r="F2709" s="329">
        <v>1680</v>
      </c>
      <c r="G2709" s="483" t="s">
        <v>7776</v>
      </c>
      <c r="H2709" s="483" t="s">
        <v>8045</v>
      </c>
    </row>
    <row r="2710" spans="1:8">
      <c r="A2710" s="483" t="s">
        <v>8044</v>
      </c>
      <c r="E2710" s="329">
        <v>295</v>
      </c>
      <c r="F2710" s="329">
        <v>1385</v>
      </c>
      <c r="G2710" s="483" t="s">
        <v>7776</v>
      </c>
      <c r="H2710" s="483" t="s">
        <v>8045</v>
      </c>
    </row>
    <row r="2711" spans="1:8">
      <c r="A2711" s="483" t="s">
        <v>8046</v>
      </c>
      <c r="C2711" s="483">
        <v>25318</v>
      </c>
      <c r="H2711" s="483" t="s">
        <v>8047</v>
      </c>
    </row>
    <row r="2712" spans="1:8">
      <c r="A2712" s="483" t="s">
        <v>8046</v>
      </c>
      <c r="C2712" s="483">
        <v>61326</v>
      </c>
      <c r="H2712" s="483" t="s">
        <v>8048</v>
      </c>
    </row>
    <row r="2713" spans="1:8">
      <c r="A2713" s="483" t="s">
        <v>8049</v>
      </c>
      <c r="C2713" s="483">
        <v>8556</v>
      </c>
      <c r="H2713" s="483" t="s">
        <v>8050</v>
      </c>
    </row>
    <row r="2714" spans="1:8">
      <c r="A2714" s="483" t="s">
        <v>8051</v>
      </c>
      <c r="C2714" s="483">
        <v>33182</v>
      </c>
      <c r="H2714" s="483" t="s">
        <v>8052</v>
      </c>
    </row>
    <row r="2715" spans="1:8">
      <c r="A2715" s="483" t="s">
        <v>8051</v>
      </c>
      <c r="E2715" s="329">
        <v>50</v>
      </c>
      <c r="F2715" s="329">
        <v>1335</v>
      </c>
      <c r="G2715" s="483" t="s">
        <v>7755</v>
      </c>
      <c r="H2715" s="483" t="s">
        <v>8053</v>
      </c>
    </row>
    <row r="2716" spans="1:8" ht="82.5">
      <c r="A2716" s="483" t="s">
        <v>8054</v>
      </c>
      <c r="C2716" s="483">
        <v>20000</v>
      </c>
      <c r="E2716" s="329"/>
      <c r="F2716" s="329"/>
      <c r="H2716" s="488" t="s">
        <v>8055</v>
      </c>
    </row>
    <row r="2717" spans="1:8">
      <c r="A2717" s="483" t="s">
        <v>8056</v>
      </c>
      <c r="D2717" s="483">
        <v>5000</v>
      </c>
      <c r="E2717" s="329"/>
      <c r="F2717" s="329">
        <v>6335</v>
      </c>
      <c r="H2717" s="483" t="s">
        <v>7766</v>
      </c>
    </row>
    <row r="2718" spans="1:8">
      <c r="A2718" s="483" t="s">
        <v>8057</v>
      </c>
      <c r="E2718" s="329">
        <v>192</v>
      </c>
      <c r="F2718" s="329">
        <v>6143</v>
      </c>
      <c r="G2718" s="329" t="s">
        <v>7779</v>
      </c>
      <c r="H2718" s="483" t="s">
        <v>8058</v>
      </c>
    </row>
    <row r="2719" spans="1:8">
      <c r="A2719" s="483" t="s">
        <v>8059</v>
      </c>
      <c r="E2719" s="329">
        <v>1205</v>
      </c>
      <c r="F2719" s="329">
        <v>4938</v>
      </c>
      <c r="G2719" s="483" t="s">
        <v>7763</v>
      </c>
      <c r="H2719" s="483" t="s">
        <v>8060</v>
      </c>
    </row>
    <row r="2720" spans="1:8">
      <c r="A2720" s="483" t="s">
        <v>8061</v>
      </c>
      <c r="E2720" s="329">
        <v>330</v>
      </c>
      <c r="F2720" s="329">
        <v>4608</v>
      </c>
      <c r="G2720" s="483" t="s">
        <v>7776</v>
      </c>
      <c r="H2720" s="483" t="s">
        <v>8062</v>
      </c>
    </row>
    <row r="2721" spans="1:8">
      <c r="A2721" s="483" t="s">
        <v>8061</v>
      </c>
      <c r="E2721" s="329">
        <v>345</v>
      </c>
      <c r="F2721" s="329">
        <v>4263</v>
      </c>
      <c r="G2721" s="483" t="s">
        <v>7776</v>
      </c>
      <c r="H2721" s="483" t="s">
        <v>8062</v>
      </c>
    </row>
    <row r="2722" spans="1:8">
      <c r="A2722" s="483" t="s">
        <v>8063</v>
      </c>
      <c r="C2722" s="483">
        <v>1560</v>
      </c>
      <c r="H2722" s="483" t="s">
        <v>8064</v>
      </c>
    </row>
    <row r="2723" spans="1:8">
      <c r="A2723" s="483" t="s">
        <v>8063</v>
      </c>
      <c r="C2723" s="483">
        <v>12390</v>
      </c>
      <c r="H2723" s="483" t="s">
        <v>8065</v>
      </c>
    </row>
    <row r="2724" spans="1:8">
      <c r="A2724" s="483" t="s">
        <v>8066</v>
      </c>
      <c r="E2724" s="329">
        <v>36</v>
      </c>
      <c r="F2724" s="329">
        <v>4227</v>
      </c>
      <c r="G2724" s="483" t="s">
        <v>7759</v>
      </c>
      <c r="H2724" s="483" t="s">
        <v>8067</v>
      </c>
    </row>
    <row r="2725" spans="1:8">
      <c r="A2725" s="483" t="s">
        <v>8068</v>
      </c>
      <c r="E2725" s="483">
        <v>72</v>
      </c>
      <c r="F2725" s="483">
        <v>4155</v>
      </c>
      <c r="G2725" s="483" t="s">
        <v>7755</v>
      </c>
      <c r="H2725" s="483" t="s">
        <v>8069</v>
      </c>
    </row>
    <row r="2726" spans="1:8">
      <c r="A2726" s="483" t="s">
        <v>8025</v>
      </c>
      <c r="E2726" s="329">
        <v>840</v>
      </c>
      <c r="F2726" s="329">
        <v>3315</v>
      </c>
      <c r="G2726" s="483" t="s">
        <v>7774</v>
      </c>
      <c r="H2726" s="483" t="s">
        <v>8070</v>
      </c>
    </row>
    <row r="2727" spans="1:8">
      <c r="A2727" s="483" t="s">
        <v>8071</v>
      </c>
      <c r="E2727" s="483">
        <v>30</v>
      </c>
      <c r="F2727" s="329">
        <v>3285</v>
      </c>
      <c r="G2727" s="483" t="s">
        <v>7755</v>
      </c>
      <c r="H2727" s="483" t="s">
        <v>8072</v>
      </c>
    </row>
    <row r="2728" spans="1:8">
      <c r="A2728" s="483" t="s">
        <v>8073</v>
      </c>
      <c r="E2728" s="329">
        <v>1205</v>
      </c>
      <c r="F2728" s="329">
        <v>2080</v>
      </c>
      <c r="G2728" s="483" t="s">
        <v>7763</v>
      </c>
      <c r="H2728" s="483" t="s">
        <v>8074</v>
      </c>
    </row>
    <row r="2729" spans="1:8">
      <c r="A2729" s="483" t="s">
        <v>8075</v>
      </c>
      <c r="E2729" s="329">
        <v>57</v>
      </c>
      <c r="F2729" s="329">
        <v>2023</v>
      </c>
      <c r="G2729" s="483" t="s">
        <v>7759</v>
      </c>
      <c r="H2729" s="483" t="s">
        <v>8076</v>
      </c>
    </row>
    <row r="2730" spans="1:8">
      <c r="A2730" s="483" t="s">
        <v>8075</v>
      </c>
      <c r="E2730" s="483">
        <v>52</v>
      </c>
      <c r="F2730" s="329">
        <v>1971</v>
      </c>
      <c r="G2730" s="483" t="s">
        <v>7755</v>
      </c>
      <c r="H2730" s="483" t="s">
        <v>8077</v>
      </c>
    </row>
    <row r="2731" spans="1:8">
      <c r="A2731" s="483" t="s">
        <v>8075</v>
      </c>
      <c r="E2731" s="483">
        <v>250</v>
      </c>
      <c r="F2731" s="329">
        <v>1721</v>
      </c>
      <c r="G2731" s="483" t="s">
        <v>7755</v>
      </c>
      <c r="H2731" s="483" t="s">
        <v>8078</v>
      </c>
    </row>
    <row r="2732" spans="1:8">
      <c r="A2732" s="483" t="s">
        <v>8079</v>
      </c>
      <c r="E2732" s="483">
        <v>30</v>
      </c>
      <c r="F2732" s="329">
        <v>1691</v>
      </c>
      <c r="G2732" s="483" t="s">
        <v>7755</v>
      </c>
      <c r="H2732" s="483" t="s">
        <v>8080</v>
      </c>
    </row>
    <row r="2733" spans="1:8">
      <c r="A2733" s="483" t="s">
        <v>8079</v>
      </c>
      <c r="E2733" s="329">
        <v>18</v>
      </c>
      <c r="F2733" s="329">
        <v>1673</v>
      </c>
      <c r="G2733" s="483" t="s">
        <v>7767</v>
      </c>
      <c r="H2733" s="483" t="s">
        <v>8081</v>
      </c>
    </row>
    <row r="2734" spans="1:8">
      <c r="A2734" s="483" t="s">
        <v>8082</v>
      </c>
      <c r="C2734" s="483">
        <v>17000</v>
      </c>
      <c r="H2734" s="483" t="s">
        <v>8083</v>
      </c>
    </row>
    <row r="2735" spans="1:8">
      <c r="A2735" s="483" t="s">
        <v>8084</v>
      </c>
      <c r="C2735" s="483">
        <v>24508</v>
      </c>
      <c r="H2735" s="483" t="s">
        <v>8085</v>
      </c>
    </row>
    <row r="2736" spans="1:8">
      <c r="A2736" s="483" t="s">
        <v>8082</v>
      </c>
      <c r="E2736" s="483">
        <v>35</v>
      </c>
      <c r="F2736" s="329">
        <v>1638</v>
      </c>
      <c r="G2736" s="483" t="s">
        <v>7755</v>
      </c>
      <c r="H2736" s="483" t="s">
        <v>8086</v>
      </c>
    </row>
    <row r="2737" spans="1:8">
      <c r="A2737" s="483" t="s">
        <v>8087</v>
      </c>
      <c r="C2737" s="483">
        <v>11734</v>
      </c>
      <c r="H2737" s="483" t="s">
        <v>8088</v>
      </c>
    </row>
    <row r="2738" spans="1:8">
      <c r="A2738" s="483" t="s">
        <v>8089</v>
      </c>
      <c r="E2738" s="329">
        <v>270</v>
      </c>
      <c r="F2738" s="329">
        <v>1368</v>
      </c>
      <c r="G2738" s="483" t="s">
        <v>7776</v>
      </c>
      <c r="H2738" s="483" t="s">
        <v>8090</v>
      </c>
    </row>
    <row r="2739" spans="1:8">
      <c r="A2739" s="483" t="s">
        <v>8089</v>
      </c>
      <c r="E2739" s="329">
        <v>255</v>
      </c>
      <c r="F2739" s="329">
        <v>1113</v>
      </c>
      <c r="G2739" s="483" t="s">
        <v>7776</v>
      </c>
      <c r="H2739" s="483" t="s">
        <v>8090</v>
      </c>
    </row>
    <row r="2740" spans="1:8">
      <c r="A2740" s="483" t="s">
        <v>8091</v>
      </c>
      <c r="C2740" s="483">
        <v>30000</v>
      </c>
      <c r="E2740" s="329"/>
      <c r="F2740" s="329"/>
      <c r="H2740" s="483" t="s">
        <v>8092</v>
      </c>
    </row>
    <row r="2741" spans="1:8">
      <c r="A2741" s="483" t="s">
        <v>8091</v>
      </c>
      <c r="E2741" s="329">
        <v>410</v>
      </c>
      <c r="F2741" s="329">
        <v>703</v>
      </c>
      <c r="G2741" s="483" t="s">
        <v>7755</v>
      </c>
      <c r="H2741" s="483" t="s">
        <v>8093</v>
      </c>
    </row>
    <row r="2742" spans="1:8">
      <c r="A2742" s="483" t="s">
        <v>8094</v>
      </c>
      <c r="D2742" s="483">
        <v>5000</v>
      </c>
      <c r="E2742" s="329"/>
      <c r="F2742" s="329">
        <v>5703</v>
      </c>
      <c r="H2742" s="483" t="s">
        <v>7766</v>
      </c>
    </row>
    <row r="2743" spans="1:8">
      <c r="A2743" s="483" t="s">
        <v>8095</v>
      </c>
      <c r="E2743" s="329">
        <v>1205</v>
      </c>
      <c r="F2743" s="329">
        <v>4498</v>
      </c>
      <c r="G2743" s="483" t="s">
        <v>7763</v>
      </c>
      <c r="H2743" s="483" t="s">
        <v>8096</v>
      </c>
    </row>
    <row r="2744" spans="1:8">
      <c r="A2744" s="483" t="s">
        <v>8097</v>
      </c>
      <c r="E2744" s="329">
        <v>199</v>
      </c>
      <c r="F2744" s="329">
        <v>4299</v>
      </c>
      <c r="G2744" s="329" t="s">
        <v>7779</v>
      </c>
      <c r="H2744" s="483" t="s">
        <v>8098</v>
      </c>
    </row>
    <row r="2745" spans="1:8">
      <c r="A2745" s="483" t="s">
        <v>8099</v>
      </c>
      <c r="E2745" s="329">
        <v>255</v>
      </c>
      <c r="F2745" s="329">
        <v>4044</v>
      </c>
      <c r="G2745" s="483" t="s">
        <v>7776</v>
      </c>
      <c r="H2745" s="483" t="s">
        <v>8090</v>
      </c>
    </row>
    <row r="2746" spans="1:8">
      <c r="A2746" s="483" t="s">
        <v>8099</v>
      </c>
      <c r="E2746" s="329">
        <v>250</v>
      </c>
      <c r="F2746" s="329">
        <v>3794</v>
      </c>
      <c r="G2746" s="483" t="s">
        <v>7776</v>
      </c>
      <c r="H2746" s="483" t="s">
        <v>8090</v>
      </c>
    </row>
    <row r="2747" spans="1:8">
      <c r="A2747" s="483" t="s">
        <v>8100</v>
      </c>
      <c r="C2747" s="483">
        <v>17000</v>
      </c>
      <c r="H2747" s="483" t="s">
        <v>8101</v>
      </c>
    </row>
    <row r="2748" spans="1:8">
      <c r="A2748" s="483" t="s">
        <v>8102</v>
      </c>
      <c r="C2748" s="483">
        <v>230030</v>
      </c>
      <c r="E2748" s="484"/>
      <c r="F2748" s="484"/>
      <c r="G2748" s="484"/>
      <c r="H2748" s="329" t="s">
        <v>8038</v>
      </c>
    </row>
    <row r="2749" spans="1:8">
      <c r="A2749" s="483" t="s">
        <v>8102</v>
      </c>
      <c r="E2749" s="483">
        <v>300</v>
      </c>
      <c r="F2749" s="483">
        <v>3494</v>
      </c>
      <c r="G2749" s="483" t="s">
        <v>7860</v>
      </c>
      <c r="H2749" s="483" t="s">
        <v>7861</v>
      </c>
    </row>
    <row r="2750" spans="1:8">
      <c r="A2750" s="483" t="s">
        <v>8103</v>
      </c>
      <c r="C2750" s="483">
        <v>2221</v>
      </c>
      <c r="H2750" s="483" t="s">
        <v>8104</v>
      </c>
    </row>
    <row r="2751" spans="1:8">
      <c r="A2751" s="483" t="s">
        <v>8103</v>
      </c>
      <c r="C2751" s="483">
        <v>8886</v>
      </c>
      <c r="H2751" s="483" t="s">
        <v>8105</v>
      </c>
    </row>
    <row r="2752" spans="1:8">
      <c r="A2752" s="483" t="s">
        <v>8103</v>
      </c>
      <c r="C2752" s="483">
        <v>25318</v>
      </c>
      <c r="H2752" s="483" t="s">
        <v>8106</v>
      </c>
    </row>
    <row r="2753" spans="1:8">
      <c r="A2753" s="483" t="s">
        <v>8103</v>
      </c>
      <c r="C2753" s="483">
        <v>61326</v>
      </c>
      <c r="H2753" s="483" t="s">
        <v>8107</v>
      </c>
    </row>
    <row r="2754" spans="1:8">
      <c r="A2754" s="483" t="s">
        <v>8103</v>
      </c>
      <c r="C2754" s="483">
        <v>19000</v>
      </c>
      <c r="H2754" s="483" t="s">
        <v>8108</v>
      </c>
    </row>
    <row r="2755" spans="1:8">
      <c r="A2755" s="483" t="s">
        <v>8109</v>
      </c>
      <c r="E2755" s="329">
        <v>210</v>
      </c>
      <c r="F2755" s="329">
        <v>3284</v>
      </c>
      <c r="G2755" s="483" t="s">
        <v>7776</v>
      </c>
      <c r="H2755" s="483" t="s">
        <v>8110</v>
      </c>
    </row>
    <row r="2756" spans="1:8">
      <c r="A2756" s="483" t="s">
        <v>8109</v>
      </c>
      <c r="E2756" s="329">
        <v>190</v>
      </c>
      <c r="F2756" s="329">
        <v>3094</v>
      </c>
      <c r="G2756" s="483" t="s">
        <v>7776</v>
      </c>
      <c r="H2756" s="483" t="s">
        <v>8110</v>
      </c>
    </row>
    <row r="2757" spans="1:8">
      <c r="A2757" s="483" t="s">
        <v>8111</v>
      </c>
      <c r="E2757" s="483">
        <v>45</v>
      </c>
      <c r="F2757" s="329">
        <v>3049</v>
      </c>
      <c r="G2757" s="483" t="s">
        <v>7755</v>
      </c>
      <c r="H2757" s="483" t="s">
        <v>8112</v>
      </c>
    </row>
    <row r="2758" spans="1:8">
      <c r="A2758" s="483" t="s">
        <v>8113</v>
      </c>
      <c r="E2758" s="329">
        <v>145</v>
      </c>
      <c r="F2758" s="329">
        <v>2904</v>
      </c>
      <c r="G2758" s="483" t="s">
        <v>7776</v>
      </c>
      <c r="H2758" s="483" t="s">
        <v>8114</v>
      </c>
    </row>
    <row r="2759" spans="1:8">
      <c r="A2759" s="483" t="s">
        <v>8113</v>
      </c>
      <c r="E2759" s="329">
        <v>155</v>
      </c>
      <c r="F2759" s="329">
        <v>2749</v>
      </c>
      <c r="G2759" s="483" t="s">
        <v>7776</v>
      </c>
      <c r="H2759" s="483" t="s">
        <v>8114</v>
      </c>
    </row>
    <row r="2760" spans="1:8">
      <c r="A2760" s="483" t="s">
        <v>8115</v>
      </c>
      <c r="E2760" s="483">
        <v>25</v>
      </c>
      <c r="F2760" s="329">
        <v>2724</v>
      </c>
      <c r="G2760" s="483" t="s">
        <v>7755</v>
      </c>
      <c r="H2760" s="483" t="s">
        <v>8116</v>
      </c>
    </row>
    <row r="2761" spans="1:8">
      <c r="A2761" s="483" t="s">
        <v>8115</v>
      </c>
      <c r="E2761" s="483">
        <v>32</v>
      </c>
      <c r="F2761" s="329">
        <v>2692</v>
      </c>
      <c r="G2761" s="483" t="s">
        <v>7755</v>
      </c>
      <c r="H2761" s="483" t="s">
        <v>8117</v>
      </c>
    </row>
    <row r="2762" spans="1:8">
      <c r="A2762" s="483" t="s">
        <v>8118</v>
      </c>
      <c r="B2762" s="483">
        <v>50000</v>
      </c>
      <c r="F2762" s="329"/>
      <c r="H2762" s="483" t="s">
        <v>8119</v>
      </c>
    </row>
    <row r="2763" spans="1:8">
      <c r="A2763" s="483" t="s">
        <v>8118</v>
      </c>
      <c r="C2763" s="483">
        <v>130030</v>
      </c>
      <c r="E2763" s="484"/>
      <c r="F2763" s="484"/>
      <c r="G2763" s="484"/>
      <c r="H2763" s="329" t="s">
        <v>8120</v>
      </c>
    </row>
    <row r="2764" spans="1:8">
      <c r="A2764" s="483" t="s">
        <v>8121</v>
      </c>
      <c r="B2764" s="483">
        <v>130000</v>
      </c>
      <c r="E2764" s="484"/>
      <c r="F2764" s="484"/>
      <c r="G2764" s="484"/>
      <c r="H2764" s="329" t="s">
        <v>8122</v>
      </c>
    </row>
    <row r="2765" spans="1:8">
      <c r="A2765" s="483" t="s">
        <v>8123</v>
      </c>
      <c r="E2765" s="329">
        <v>1205</v>
      </c>
      <c r="F2765" s="329">
        <v>1487</v>
      </c>
      <c r="G2765" s="483" t="s">
        <v>7763</v>
      </c>
      <c r="H2765" s="483" t="s">
        <v>8124</v>
      </c>
    </row>
    <row r="2766" spans="1:8" s="485" customFormat="1" ht="6.75" customHeight="1">
      <c r="E2766" s="497"/>
      <c r="F2766" s="497"/>
      <c r="G2766" s="497"/>
      <c r="H2766" s="651"/>
    </row>
    <row r="2767" spans="1:8">
      <c r="A2767" s="483" t="s">
        <v>8125</v>
      </c>
      <c r="C2767" s="483">
        <v>17000</v>
      </c>
      <c r="H2767" s="483" t="s">
        <v>8126</v>
      </c>
    </row>
    <row r="2768" spans="1:8">
      <c r="A2768" s="483" t="s">
        <v>3235</v>
      </c>
      <c r="C2768" s="483">
        <v>25318</v>
      </c>
      <c r="H2768" s="483" t="s">
        <v>8127</v>
      </c>
    </row>
    <row r="2769" spans="1:8">
      <c r="A2769" s="483" t="s">
        <v>3235</v>
      </c>
      <c r="C2769" s="483">
        <v>61326</v>
      </c>
      <c r="H2769" s="483" t="s">
        <v>8128</v>
      </c>
    </row>
    <row r="2770" spans="1:8">
      <c r="A2770" s="483" t="s">
        <v>3235</v>
      </c>
      <c r="C2770" s="483">
        <v>54000</v>
      </c>
      <c r="H2770" s="483" t="s">
        <v>8129</v>
      </c>
    </row>
    <row r="2771" spans="1:8">
      <c r="A2771" s="483" t="s">
        <v>3235</v>
      </c>
      <c r="C2771" s="483">
        <v>50000</v>
      </c>
      <c r="F2771" s="329"/>
      <c r="H2771" s="483" t="s">
        <v>8130</v>
      </c>
    </row>
    <row r="2772" spans="1:8">
      <c r="A2772" s="483" t="s">
        <v>3235</v>
      </c>
      <c r="C2772" s="483">
        <v>3400</v>
      </c>
      <c r="H2772" s="483" t="s">
        <v>8131</v>
      </c>
    </row>
    <row r="2773" spans="1:8">
      <c r="A2773" s="483" t="s">
        <v>3235</v>
      </c>
      <c r="C2773" s="483">
        <v>5976</v>
      </c>
      <c r="H2773" s="483" t="s">
        <v>8132</v>
      </c>
    </row>
    <row r="2774" spans="1:8">
      <c r="A2774" s="483" t="s">
        <v>4432</v>
      </c>
      <c r="E2774" s="329">
        <v>18</v>
      </c>
      <c r="F2774" s="329">
        <v>1469</v>
      </c>
      <c r="G2774" s="483" t="s">
        <v>7767</v>
      </c>
      <c r="H2774" s="483" t="s">
        <v>8133</v>
      </c>
    </row>
    <row r="2775" spans="1:8">
      <c r="A2775" s="483" t="s">
        <v>8134</v>
      </c>
      <c r="C2775" s="483">
        <v>32615</v>
      </c>
      <c r="H2775" s="483" t="s">
        <v>8135</v>
      </c>
    </row>
    <row r="2776" spans="1:8">
      <c r="A2776" s="483" t="s">
        <v>8134</v>
      </c>
      <c r="C2776" s="483">
        <v>38571</v>
      </c>
      <c r="H2776" s="483" t="s">
        <v>8136</v>
      </c>
    </row>
    <row r="2777" spans="1:8">
      <c r="A2777" s="483" t="s">
        <v>8137</v>
      </c>
      <c r="E2777" s="483">
        <v>92</v>
      </c>
      <c r="F2777" s="483">
        <v>1377</v>
      </c>
      <c r="G2777" s="483" t="s">
        <v>7776</v>
      </c>
      <c r="H2777" s="483" t="s">
        <v>7786</v>
      </c>
    </row>
    <row r="2778" spans="1:8">
      <c r="A2778" s="483" t="s">
        <v>8138</v>
      </c>
      <c r="E2778" s="483">
        <v>70</v>
      </c>
      <c r="F2778" s="329">
        <v>1307</v>
      </c>
      <c r="G2778" s="483" t="s">
        <v>7755</v>
      </c>
      <c r="H2778" s="483" t="s">
        <v>8139</v>
      </c>
    </row>
    <row r="2779" spans="1:8">
      <c r="A2779" s="483" t="s">
        <v>8138</v>
      </c>
      <c r="E2779" s="483">
        <v>115</v>
      </c>
      <c r="F2779" s="329">
        <v>1192</v>
      </c>
      <c r="G2779" s="483" t="s">
        <v>7774</v>
      </c>
      <c r="H2779" s="483" t="s">
        <v>8140</v>
      </c>
    </row>
    <row r="2780" spans="1:8">
      <c r="A2780" s="483" t="s">
        <v>8141</v>
      </c>
      <c r="D2780" s="483">
        <v>5000</v>
      </c>
      <c r="E2780" s="329"/>
      <c r="F2780" s="329">
        <v>6192</v>
      </c>
      <c r="H2780" s="483" t="s">
        <v>7766</v>
      </c>
    </row>
    <row r="2781" spans="1:8">
      <c r="A2781" s="483" t="s">
        <v>8142</v>
      </c>
      <c r="E2781" s="329">
        <v>1205</v>
      </c>
      <c r="F2781" s="329">
        <v>4987</v>
      </c>
      <c r="G2781" s="483" t="s">
        <v>7763</v>
      </c>
      <c r="H2781" s="483" t="s">
        <v>8143</v>
      </c>
    </row>
    <row r="2782" spans="1:8">
      <c r="A2782" s="483" t="s">
        <v>8142</v>
      </c>
      <c r="E2782" s="483">
        <v>74</v>
      </c>
      <c r="F2782" s="329">
        <v>4913</v>
      </c>
      <c r="G2782" s="483" t="s">
        <v>7755</v>
      </c>
      <c r="H2782" s="483" t="s">
        <v>8144</v>
      </c>
    </row>
    <row r="2783" spans="1:8">
      <c r="A2783" s="483" t="s">
        <v>8145</v>
      </c>
      <c r="E2783" s="329">
        <v>199</v>
      </c>
      <c r="F2783" s="329">
        <v>4714</v>
      </c>
      <c r="G2783" s="329" t="s">
        <v>7779</v>
      </c>
      <c r="H2783" s="483" t="s">
        <v>8098</v>
      </c>
    </row>
    <row r="2784" spans="1:8">
      <c r="E2784" s="329"/>
      <c r="F2784" s="329"/>
      <c r="H2784" s="487" t="s">
        <v>8146</v>
      </c>
    </row>
    <row r="2785" spans="1:8">
      <c r="A2785" s="483" t="s">
        <v>8147</v>
      </c>
      <c r="E2785" s="483">
        <v>1960</v>
      </c>
      <c r="F2785" s="329">
        <v>2754</v>
      </c>
      <c r="G2785" s="483" t="s">
        <v>7774</v>
      </c>
      <c r="H2785" s="483" t="s">
        <v>8148</v>
      </c>
    </row>
    <row r="2786" spans="1:8">
      <c r="A2786" s="483" t="s">
        <v>8147</v>
      </c>
      <c r="E2786" s="329">
        <v>15</v>
      </c>
      <c r="F2786" s="329">
        <v>2739</v>
      </c>
      <c r="G2786" s="483" t="s">
        <v>7767</v>
      </c>
      <c r="H2786" s="483" t="s">
        <v>8149</v>
      </c>
    </row>
    <row r="2787" spans="1:8">
      <c r="A2787" s="483" t="s">
        <v>8150</v>
      </c>
      <c r="C2787" s="483">
        <v>25318</v>
      </c>
      <c r="H2787" s="483" t="s">
        <v>8151</v>
      </c>
    </row>
    <row r="2788" spans="1:8">
      <c r="A2788" s="483" t="s">
        <v>8150</v>
      </c>
      <c r="C2788" s="483">
        <v>61326</v>
      </c>
      <c r="H2788" s="483" t="s">
        <v>8152</v>
      </c>
    </row>
    <row r="2789" spans="1:8">
      <c r="A2789" s="483" t="s">
        <v>8150</v>
      </c>
      <c r="C2789" s="483">
        <v>40000</v>
      </c>
      <c r="H2789" s="483" t="s">
        <v>8153</v>
      </c>
    </row>
    <row r="2790" spans="1:8">
      <c r="A2790" s="483" t="s">
        <v>8150</v>
      </c>
      <c r="C2790" s="483">
        <v>423</v>
      </c>
      <c r="H2790" s="483" t="s">
        <v>8154</v>
      </c>
    </row>
    <row r="2791" spans="1:8" ht="49.5">
      <c r="A2791" s="483" t="s">
        <v>8155</v>
      </c>
      <c r="C2791" s="483">
        <v>18000</v>
      </c>
      <c r="E2791" s="329"/>
      <c r="F2791" s="329"/>
      <c r="H2791" s="486" t="s">
        <v>8156</v>
      </c>
    </row>
    <row r="2792" spans="1:8">
      <c r="A2792" s="483" t="s">
        <v>8157</v>
      </c>
      <c r="E2792" s="329">
        <v>18</v>
      </c>
      <c r="F2792" s="329">
        <v>2721</v>
      </c>
      <c r="G2792" s="483" t="s">
        <v>7767</v>
      </c>
      <c r="H2792" s="483" t="s">
        <v>8158</v>
      </c>
    </row>
    <row r="2793" spans="1:8">
      <c r="A2793" s="483" t="s">
        <v>8157</v>
      </c>
      <c r="E2793" s="329">
        <v>1205</v>
      </c>
      <c r="F2793" s="329">
        <v>1516</v>
      </c>
      <c r="G2793" s="483" t="s">
        <v>7763</v>
      </c>
      <c r="H2793" s="483" t="s">
        <v>8159</v>
      </c>
    </row>
    <row r="2794" spans="1:8">
      <c r="A2794" s="483" t="s">
        <v>8157</v>
      </c>
      <c r="E2794" s="329">
        <v>200</v>
      </c>
      <c r="F2794" s="329">
        <v>1316</v>
      </c>
      <c r="G2794" s="483" t="s">
        <v>7776</v>
      </c>
      <c r="H2794" s="483" t="s">
        <v>8040</v>
      </c>
    </row>
    <row r="2795" spans="1:8">
      <c r="A2795" s="483" t="s">
        <v>8160</v>
      </c>
      <c r="D2795" s="483">
        <v>5000</v>
      </c>
      <c r="E2795" s="329"/>
      <c r="F2795" s="329">
        <v>6316</v>
      </c>
      <c r="H2795" s="483" t="s">
        <v>7766</v>
      </c>
    </row>
    <row r="2796" spans="1:8">
      <c r="A2796" s="483" t="s">
        <v>8160</v>
      </c>
      <c r="E2796" s="483">
        <v>128</v>
      </c>
      <c r="F2796" s="329">
        <v>6188</v>
      </c>
      <c r="G2796" s="483" t="s">
        <v>7755</v>
      </c>
      <c r="H2796" s="483" t="s">
        <v>8161</v>
      </c>
    </row>
    <row r="2797" spans="1:8">
      <c r="A2797" s="483" t="s">
        <v>8160</v>
      </c>
      <c r="E2797" s="483">
        <v>520</v>
      </c>
      <c r="F2797" s="329">
        <v>5668</v>
      </c>
      <c r="G2797" s="483" t="s">
        <v>7755</v>
      </c>
      <c r="H2797" s="483" t="s">
        <v>8162</v>
      </c>
    </row>
    <row r="2798" spans="1:8">
      <c r="A2798" s="483" t="s">
        <v>8163</v>
      </c>
      <c r="C2798" s="483">
        <v>17000</v>
      </c>
      <c r="H2798" s="483" t="s">
        <v>8164</v>
      </c>
    </row>
    <row r="2799" spans="1:8">
      <c r="A2799" s="483" t="s">
        <v>8165</v>
      </c>
      <c r="C2799" s="483">
        <v>25318</v>
      </c>
      <c r="H2799" s="483" t="s">
        <v>8166</v>
      </c>
    </row>
    <row r="2800" spans="1:8">
      <c r="A2800" s="483" t="s">
        <v>8165</v>
      </c>
      <c r="C2800" s="483">
        <v>61326</v>
      </c>
      <c r="H2800" s="483" t="s">
        <v>8167</v>
      </c>
    </row>
    <row r="2801" spans="1:8">
      <c r="A2801" s="483" t="s">
        <v>8168</v>
      </c>
      <c r="C2801" s="483">
        <v>11328</v>
      </c>
      <c r="H2801" s="483" t="s">
        <v>8169</v>
      </c>
    </row>
    <row r="2802" spans="1:8">
      <c r="A2802" s="483" t="s">
        <v>8168</v>
      </c>
      <c r="C2802" s="483">
        <v>4080</v>
      </c>
      <c r="H2802" s="483" t="s">
        <v>8170</v>
      </c>
    </row>
    <row r="2803" spans="1:8">
      <c r="A2803" s="483" t="s">
        <v>8171</v>
      </c>
      <c r="C2803" s="483">
        <v>5059</v>
      </c>
      <c r="H2803" s="483" t="s">
        <v>8172</v>
      </c>
    </row>
    <row r="2804" spans="1:8">
      <c r="A2804" s="483" t="s">
        <v>8168</v>
      </c>
      <c r="E2804" s="329">
        <v>400</v>
      </c>
      <c r="F2804" s="329">
        <v>5268</v>
      </c>
      <c r="G2804" s="483" t="s">
        <v>7776</v>
      </c>
      <c r="H2804" s="483" t="s">
        <v>8173</v>
      </c>
    </row>
    <row r="2805" spans="1:8">
      <c r="A2805" s="483" t="s">
        <v>8168</v>
      </c>
      <c r="E2805" s="329">
        <v>430</v>
      </c>
      <c r="F2805" s="329">
        <v>4838</v>
      </c>
      <c r="G2805" s="483" t="s">
        <v>7776</v>
      </c>
      <c r="H2805" s="483" t="s">
        <v>8173</v>
      </c>
    </row>
    <row r="2806" spans="1:8">
      <c r="A2806" s="483" t="s">
        <v>8174</v>
      </c>
      <c r="E2806" s="329">
        <v>193</v>
      </c>
      <c r="F2806" s="329">
        <v>4645</v>
      </c>
      <c r="G2806" s="483" t="s">
        <v>7767</v>
      </c>
      <c r="H2806" s="483" t="s">
        <v>8175</v>
      </c>
    </row>
    <row r="2807" spans="1:8">
      <c r="A2807" s="483" t="s">
        <v>8176</v>
      </c>
      <c r="E2807" s="329">
        <v>265</v>
      </c>
      <c r="F2807" s="329">
        <v>4380</v>
      </c>
      <c r="G2807" s="483" t="s">
        <v>7776</v>
      </c>
      <c r="H2807" s="483" t="s">
        <v>8177</v>
      </c>
    </row>
    <row r="2808" spans="1:8">
      <c r="A2808" s="483" t="s">
        <v>8176</v>
      </c>
      <c r="E2808" s="329">
        <v>335</v>
      </c>
      <c r="F2808" s="329">
        <v>4045</v>
      </c>
      <c r="G2808" s="483" t="s">
        <v>7776</v>
      </c>
      <c r="H2808" s="483" t="s">
        <v>8177</v>
      </c>
    </row>
    <row r="2809" spans="1:8">
      <c r="A2809" s="483" t="s">
        <v>8178</v>
      </c>
      <c r="E2809" s="329">
        <v>1205</v>
      </c>
      <c r="F2809" s="329">
        <v>2840</v>
      </c>
      <c r="G2809" s="483" t="s">
        <v>7763</v>
      </c>
      <c r="H2809" s="483" t="s">
        <v>8159</v>
      </c>
    </row>
    <row r="2810" spans="1:8">
      <c r="A2810" s="483" t="s">
        <v>8178</v>
      </c>
      <c r="B2810" s="483">
        <v>70000</v>
      </c>
      <c r="E2810" s="484"/>
      <c r="F2810" s="484"/>
      <c r="G2810" s="484"/>
      <c r="H2810" s="329" t="s">
        <v>8122</v>
      </c>
    </row>
    <row r="2811" spans="1:8">
      <c r="A2811" s="483" t="s">
        <v>8179</v>
      </c>
      <c r="C2811" s="483">
        <v>17000</v>
      </c>
      <c r="H2811" s="483" t="s">
        <v>8180</v>
      </c>
    </row>
    <row r="2812" spans="1:8">
      <c r="A2812" s="483" t="s">
        <v>8179</v>
      </c>
      <c r="C2812" s="483">
        <v>25318</v>
      </c>
      <c r="H2812" s="483" t="s">
        <v>8181</v>
      </c>
    </row>
    <row r="2813" spans="1:8">
      <c r="A2813" s="483" t="s">
        <v>8179</v>
      </c>
      <c r="C2813" s="483">
        <v>61326</v>
      </c>
      <c r="H2813" s="483" t="s">
        <v>8182</v>
      </c>
    </row>
    <row r="2814" spans="1:8">
      <c r="A2814" s="483" t="s">
        <v>8179</v>
      </c>
      <c r="C2814" s="483">
        <v>15000</v>
      </c>
      <c r="H2814" s="483" t="s">
        <v>8183</v>
      </c>
    </row>
    <row r="2815" spans="1:8">
      <c r="A2815" s="483" t="s">
        <v>8184</v>
      </c>
      <c r="C2815" s="483">
        <v>19161</v>
      </c>
      <c r="H2815" s="483" t="s">
        <v>8185</v>
      </c>
    </row>
    <row r="2816" spans="1:8">
      <c r="A2816" s="483" t="s">
        <v>8184</v>
      </c>
      <c r="E2816" s="329">
        <v>209</v>
      </c>
      <c r="F2816" s="329">
        <v>2631</v>
      </c>
      <c r="G2816" s="329" t="s">
        <v>7779</v>
      </c>
      <c r="H2816" s="483" t="s">
        <v>8186</v>
      </c>
    </row>
    <row r="2817" spans="1:8">
      <c r="A2817" s="483" t="s">
        <v>8187</v>
      </c>
      <c r="C2817" s="483">
        <v>1000</v>
      </c>
      <c r="H2817" s="483" t="s">
        <v>8188</v>
      </c>
    </row>
    <row r="2818" spans="1:8" ht="66">
      <c r="A2818" s="483" t="s">
        <v>8189</v>
      </c>
      <c r="C2818" s="483">
        <v>18000</v>
      </c>
      <c r="E2818" s="329"/>
      <c r="F2818" s="329"/>
      <c r="H2818" s="486" t="s">
        <v>8190</v>
      </c>
    </row>
    <row r="2819" spans="1:8">
      <c r="A2819" s="483" t="s">
        <v>8191</v>
      </c>
      <c r="E2819" s="329">
        <v>340</v>
      </c>
      <c r="F2819" s="329">
        <v>2291</v>
      </c>
      <c r="G2819" s="483" t="s">
        <v>7776</v>
      </c>
      <c r="H2819" s="483" t="s">
        <v>8192</v>
      </c>
    </row>
    <row r="2820" spans="1:8">
      <c r="A2820" s="483" t="s">
        <v>8191</v>
      </c>
      <c r="E2820" s="329">
        <v>350</v>
      </c>
      <c r="F2820" s="329">
        <v>1941</v>
      </c>
      <c r="G2820" s="483" t="s">
        <v>7776</v>
      </c>
      <c r="H2820" s="483" t="s">
        <v>8192</v>
      </c>
    </row>
    <row r="2821" spans="1:8">
      <c r="A2821" s="483" t="s">
        <v>8193</v>
      </c>
      <c r="E2821" s="329">
        <v>415</v>
      </c>
      <c r="F2821" s="329">
        <v>1526</v>
      </c>
      <c r="G2821" s="483" t="s">
        <v>7776</v>
      </c>
      <c r="H2821" s="483" t="s">
        <v>8194</v>
      </c>
    </row>
    <row r="2822" spans="1:8">
      <c r="A2822" s="483" t="s">
        <v>8193</v>
      </c>
      <c r="E2822" s="329">
        <v>380</v>
      </c>
      <c r="F2822" s="329">
        <v>1146</v>
      </c>
      <c r="G2822" s="483" t="s">
        <v>7776</v>
      </c>
      <c r="H2822" s="483" t="s">
        <v>8194</v>
      </c>
    </row>
    <row r="2823" spans="1:8">
      <c r="A2823" s="483" t="s">
        <v>8195</v>
      </c>
      <c r="E2823" s="329">
        <v>18</v>
      </c>
      <c r="F2823" s="329">
        <v>1128</v>
      </c>
      <c r="G2823" s="483" t="s">
        <v>7767</v>
      </c>
      <c r="H2823" s="483" t="s">
        <v>8196</v>
      </c>
    </row>
    <row r="2824" spans="1:8">
      <c r="A2824" s="483" t="s">
        <v>8197</v>
      </c>
      <c r="D2824" s="483">
        <v>5000</v>
      </c>
      <c r="E2824" s="329"/>
      <c r="F2824" s="329">
        <v>6128</v>
      </c>
      <c r="H2824" s="483" t="s">
        <v>7766</v>
      </c>
    </row>
    <row r="2825" spans="1:8">
      <c r="A2825" s="483" t="s">
        <v>8197</v>
      </c>
      <c r="E2825" s="329">
        <v>121</v>
      </c>
      <c r="F2825" s="329">
        <v>6007</v>
      </c>
      <c r="G2825" s="483" t="s">
        <v>7755</v>
      </c>
      <c r="H2825" s="483" t="s">
        <v>7947</v>
      </c>
    </row>
    <row r="2826" spans="1:8">
      <c r="A2826" s="483" t="s">
        <v>8197</v>
      </c>
      <c r="E2826" s="329">
        <v>1205</v>
      </c>
      <c r="F2826" s="329">
        <v>4802</v>
      </c>
      <c r="G2826" s="483" t="s">
        <v>7763</v>
      </c>
      <c r="H2826" s="483" t="s">
        <v>8198</v>
      </c>
    </row>
    <row r="2827" spans="1:8">
      <c r="A2827" s="483" t="s">
        <v>8199</v>
      </c>
      <c r="C2827" s="483">
        <v>17000</v>
      </c>
      <c r="H2827" s="483" t="s">
        <v>8200</v>
      </c>
    </row>
    <row r="2828" spans="1:8">
      <c r="A2828" s="483" t="s">
        <v>8199</v>
      </c>
      <c r="C2828" s="483">
        <v>9913</v>
      </c>
      <c r="H2828" s="483" t="s">
        <v>8201</v>
      </c>
    </row>
    <row r="2829" spans="1:8">
      <c r="A2829" s="483" t="s">
        <v>8202</v>
      </c>
      <c r="E2829" s="329">
        <v>120</v>
      </c>
      <c r="F2829" s="329">
        <v>4682</v>
      </c>
      <c r="G2829" s="483" t="s">
        <v>7759</v>
      </c>
      <c r="H2829" s="483" t="s">
        <v>8203</v>
      </c>
    </row>
    <row r="2830" spans="1:8">
      <c r="A2830" s="483" t="s">
        <v>8202</v>
      </c>
      <c r="E2830" s="329">
        <v>192</v>
      </c>
      <c r="F2830" s="329">
        <v>4490</v>
      </c>
      <c r="G2830" s="483" t="s">
        <v>7759</v>
      </c>
      <c r="H2830" s="483" t="s">
        <v>8204</v>
      </c>
    </row>
    <row r="2831" spans="1:8">
      <c r="H2831" s="487" t="s">
        <v>8205</v>
      </c>
    </row>
    <row r="2832" spans="1:8">
      <c r="A2832" s="483" t="s">
        <v>8206</v>
      </c>
      <c r="C2832" s="483">
        <v>16288</v>
      </c>
      <c r="H2832" s="483" t="s">
        <v>8207</v>
      </c>
    </row>
    <row r="2833" spans="1:8">
      <c r="A2833" s="483" t="s">
        <v>8206</v>
      </c>
      <c r="C2833" s="483">
        <v>25318</v>
      </c>
      <c r="H2833" s="483" t="s">
        <v>8208</v>
      </c>
    </row>
    <row r="2834" spans="1:8">
      <c r="A2834" s="483" t="s">
        <v>8206</v>
      </c>
      <c r="C2834" s="483">
        <v>61326</v>
      </c>
      <c r="H2834" s="483" t="s">
        <v>8209</v>
      </c>
    </row>
    <row r="2835" spans="1:8">
      <c r="A2835" s="483" t="s">
        <v>8206</v>
      </c>
      <c r="C2835" s="483">
        <v>20300</v>
      </c>
      <c r="H2835" s="483" t="s">
        <v>8210</v>
      </c>
    </row>
    <row r="2836" spans="1:8">
      <c r="A2836" s="483" t="s">
        <v>8211</v>
      </c>
      <c r="E2836" s="329">
        <v>35</v>
      </c>
      <c r="F2836" s="329">
        <v>4455</v>
      </c>
      <c r="G2836" s="483" t="s">
        <v>7755</v>
      </c>
      <c r="H2836" s="483" t="s">
        <v>8212</v>
      </c>
    </row>
    <row r="2837" spans="1:8">
      <c r="A2837" s="483" t="s">
        <v>8213</v>
      </c>
      <c r="E2837" s="329">
        <v>200</v>
      </c>
      <c r="F2837" s="329">
        <v>4255</v>
      </c>
      <c r="G2837" s="483" t="s">
        <v>7776</v>
      </c>
      <c r="H2837" s="483" t="s">
        <v>8214</v>
      </c>
    </row>
    <row r="2838" spans="1:8">
      <c r="A2838" s="483" t="s">
        <v>8215</v>
      </c>
      <c r="C2838" s="483">
        <v>250030</v>
      </c>
      <c r="H2838" s="483" t="s">
        <v>8216</v>
      </c>
    </row>
    <row r="2839" spans="1:8">
      <c r="A2839" s="483" t="s">
        <v>8217</v>
      </c>
      <c r="E2839" s="329">
        <v>145</v>
      </c>
      <c r="F2839" s="329">
        <v>4110</v>
      </c>
      <c r="G2839" s="483" t="s">
        <v>7776</v>
      </c>
      <c r="H2839" s="483" t="s">
        <v>8218</v>
      </c>
    </row>
    <row r="2840" spans="1:8">
      <c r="A2840" s="483" t="s">
        <v>8217</v>
      </c>
      <c r="E2840" s="329">
        <v>25</v>
      </c>
      <c r="F2840" s="329">
        <v>4085</v>
      </c>
      <c r="G2840" s="483" t="s">
        <v>7776</v>
      </c>
      <c r="H2840" s="483" t="s">
        <v>8218</v>
      </c>
    </row>
    <row r="2841" spans="1:8">
      <c r="A2841" s="483" t="s">
        <v>8219</v>
      </c>
      <c r="E2841" s="329">
        <v>140</v>
      </c>
      <c r="F2841" s="329">
        <v>3945</v>
      </c>
      <c r="G2841" s="483" t="s">
        <v>7776</v>
      </c>
      <c r="H2841" s="483" t="s">
        <v>8220</v>
      </c>
    </row>
    <row r="2842" spans="1:8">
      <c r="A2842" s="483" t="s">
        <v>8215</v>
      </c>
      <c r="E2842" s="329">
        <v>1205</v>
      </c>
      <c r="F2842" s="329">
        <v>2740</v>
      </c>
      <c r="G2842" s="483" t="s">
        <v>7763</v>
      </c>
      <c r="H2842" s="483" t="s">
        <v>8221</v>
      </c>
    </row>
    <row r="2843" spans="1:8">
      <c r="A2843" s="483" t="s">
        <v>8222</v>
      </c>
      <c r="E2843" s="483">
        <v>173</v>
      </c>
      <c r="F2843" s="329">
        <v>2567</v>
      </c>
      <c r="G2843" s="483" t="s">
        <v>7759</v>
      </c>
      <c r="H2843" s="483" t="s">
        <v>8223</v>
      </c>
    </row>
    <row r="2844" spans="1:8">
      <c r="A2844" s="483" t="s">
        <v>8224</v>
      </c>
      <c r="E2844" s="329">
        <v>231</v>
      </c>
      <c r="F2844" s="329">
        <v>2336</v>
      </c>
      <c r="G2844" s="329" t="s">
        <v>7779</v>
      </c>
      <c r="H2844" s="483" t="s">
        <v>8225</v>
      </c>
    </row>
    <row r="2845" spans="1:8">
      <c r="A2845" s="483" t="s">
        <v>8226</v>
      </c>
      <c r="C2845" s="483">
        <v>17000</v>
      </c>
      <c r="H2845" s="483" t="s">
        <v>8227</v>
      </c>
    </row>
    <row r="2846" spans="1:8">
      <c r="A2846" s="483" t="s">
        <v>8228</v>
      </c>
      <c r="E2846" s="329">
        <v>245</v>
      </c>
      <c r="F2846" s="329">
        <v>2091</v>
      </c>
      <c r="G2846" s="483" t="s">
        <v>7776</v>
      </c>
      <c r="H2846" s="483" t="s">
        <v>8229</v>
      </c>
    </row>
    <row r="2847" spans="1:8">
      <c r="A2847" s="483" t="s">
        <v>8230</v>
      </c>
      <c r="C2847" s="483">
        <v>25318</v>
      </c>
      <c r="H2847" s="483" t="s">
        <v>8231</v>
      </c>
    </row>
    <row r="2848" spans="1:8">
      <c r="A2848" s="483" t="s">
        <v>8230</v>
      </c>
      <c r="C2848" s="483">
        <v>61326</v>
      </c>
      <c r="H2848" s="483" t="s">
        <v>8232</v>
      </c>
    </row>
    <row r="2849" spans="1:8">
      <c r="A2849" s="483" t="s">
        <v>8230</v>
      </c>
      <c r="C2849" s="483">
        <v>13500</v>
      </c>
      <c r="H2849" s="483" t="s">
        <v>8233</v>
      </c>
    </row>
    <row r="2850" spans="1:8">
      <c r="A2850" s="483" t="s">
        <v>8230</v>
      </c>
      <c r="C2850" s="483">
        <v>30365</v>
      </c>
      <c r="H2850" s="483" t="s">
        <v>8234</v>
      </c>
    </row>
    <row r="2851" spans="1:8">
      <c r="A2851" s="483" t="s">
        <v>8230</v>
      </c>
      <c r="C2851" s="483">
        <v>6120</v>
      </c>
      <c r="H2851" s="483" t="s">
        <v>8235</v>
      </c>
    </row>
    <row r="2852" spans="1:8" ht="66">
      <c r="A2852" s="483" t="s">
        <v>8236</v>
      </c>
      <c r="C2852" s="483">
        <v>15000</v>
      </c>
      <c r="H2852" s="486" t="s">
        <v>8237</v>
      </c>
    </row>
    <row r="2853" spans="1:8">
      <c r="A2853" s="483" t="s">
        <v>8238</v>
      </c>
      <c r="E2853" s="329">
        <v>100</v>
      </c>
      <c r="F2853" s="329">
        <v>1991</v>
      </c>
      <c r="G2853" s="483" t="s">
        <v>7776</v>
      </c>
      <c r="H2853" s="483" t="s">
        <v>8239</v>
      </c>
    </row>
    <row r="2854" spans="1:8">
      <c r="A2854" s="483" t="s">
        <v>8240</v>
      </c>
      <c r="E2854" s="329">
        <v>1205</v>
      </c>
      <c r="F2854" s="329">
        <v>786</v>
      </c>
      <c r="G2854" s="483" t="s">
        <v>7763</v>
      </c>
      <c r="H2854" s="483" t="s">
        <v>8241</v>
      </c>
    </row>
    <row r="2855" spans="1:8">
      <c r="A2855" s="483" t="s">
        <v>8242</v>
      </c>
      <c r="E2855" s="329">
        <v>600</v>
      </c>
      <c r="F2855" s="329">
        <v>186</v>
      </c>
      <c r="G2855" s="483" t="s">
        <v>7776</v>
      </c>
      <c r="H2855" s="483" t="s">
        <v>8243</v>
      </c>
    </row>
    <row r="2856" spans="1:8">
      <c r="A2856" s="483" t="s">
        <v>8242</v>
      </c>
      <c r="D2856" s="483">
        <v>5000</v>
      </c>
      <c r="E2856" s="329"/>
      <c r="F2856" s="329">
        <v>5186</v>
      </c>
      <c r="H2856" s="483" t="s">
        <v>7766</v>
      </c>
    </row>
    <row r="2857" spans="1:8">
      <c r="A2857" s="483" t="s">
        <v>8244</v>
      </c>
      <c r="E2857" s="329">
        <v>115</v>
      </c>
      <c r="F2857" s="329">
        <v>5071</v>
      </c>
      <c r="G2857" s="483" t="s">
        <v>7776</v>
      </c>
      <c r="H2857" s="483" t="s">
        <v>8245</v>
      </c>
    </row>
    <row r="2858" spans="1:8">
      <c r="A2858" s="483" t="s">
        <v>8244</v>
      </c>
      <c r="E2858" s="329">
        <v>185</v>
      </c>
      <c r="F2858" s="329">
        <v>4886</v>
      </c>
      <c r="G2858" s="483" t="s">
        <v>7776</v>
      </c>
      <c r="H2858" s="483" t="s">
        <v>8245</v>
      </c>
    </row>
    <row r="2859" spans="1:8">
      <c r="A2859" s="483" t="s">
        <v>8246</v>
      </c>
      <c r="C2859" s="483">
        <v>17000</v>
      </c>
      <c r="H2859" s="483" t="s">
        <v>8247</v>
      </c>
    </row>
    <row r="2860" spans="1:8">
      <c r="A2860" s="483" t="s">
        <v>8248</v>
      </c>
      <c r="C2860" s="483">
        <v>25318</v>
      </c>
      <c r="H2860" s="483" t="s">
        <v>8249</v>
      </c>
    </row>
    <row r="2861" spans="1:8">
      <c r="A2861" s="483" t="s">
        <v>8248</v>
      </c>
      <c r="C2861" s="483">
        <v>61326</v>
      </c>
      <c r="H2861" s="483" t="s">
        <v>8250</v>
      </c>
    </row>
    <row r="2862" spans="1:8">
      <c r="A2862" s="483" t="s">
        <v>8248</v>
      </c>
      <c r="C2862" s="483">
        <v>46500</v>
      </c>
      <c r="H2862" s="483" t="s">
        <v>8251</v>
      </c>
    </row>
    <row r="2863" spans="1:8">
      <c r="A2863" s="483" t="s">
        <v>8252</v>
      </c>
      <c r="E2863" s="329">
        <v>230</v>
      </c>
      <c r="F2863" s="329">
        <v>4656</v>
      </c>
      <c r="G2863" s="483" t="s">
        <v>7776</v>
      </c>
      <c r="H2863" s="483" t="s">
        <v>8253</v>
      </c>
    </row>
    <row r="2864" spans="1:8">
      <c r="A2864" s="483" t="s">
        <v>8254</v>
      </c>
      <c r="E2864" s="483">
        <v>200</v>
      </c>
      <c r="F2864" s="329">
        <v>4456</v>
      </c>
      <c r="G2864" s="483" t="s">
        <v>7776</v>
      </c>
      <c r="H2864" s="483" t="s">
        <v>8255</v>
      </c>
    </row>
    <row r="2865" spans="1:8">
      <c r="A2865" s="483" t="s">
        <v>8254</v>
      </c>
      <c r="E2865" s="329">
        <v>255</v>
      </c>
      <c r="F2865" s="329">
        <v>4201</v>
      </c>
      <c r="G2865" s="483" t="s">
        <v>7774</v>
      </c>
      <c r="H2865" s="483" t="s">
        <v>8256</v>
      </c>
    </row>
    <row r="2866" spans="1:8">
      <c r="A2866" s="483" t="s">
        <v>8254</v>
      </c>
      <c r="E2866" s="329">
        <v>140</v>
      </c>
      <c r="F2866" s="329">
        <v>4061</v>
      </c>
      <c r="G2866" s="483" t="s">
        <v>7774</v>
      </c>
      <c r="H2866" s="483" t="s">
        <v>8257</v>
      </c>
    </row>
    <row r="2867" spans="1:8">
      <c r="A2867" s="483" t="s">
        <v>8254</v>
      </c>
      <c r="C2867" s="483">
        <v>42883</v>
      </c>
      <c r="H2867" s="483" t="s">
        <v>8258</v>
      </c>
    </row>
    <row r="2868" spans="1:8">
      <c r="A2868" s="483" t="s">
        <v>8254</v>
      </c>
      <c r="C2868" s="483">
        <v>33926</v>
      </c>
      <c r="H2868" s="483" t="s">
        <v>8259</v>
      </c>
    </row>
    <row r="2869" spans="1:8">
      <c r="A2869" s="483" t="s">
        <v>8260</v>
      </c>
      <c r="E2869" s="329">
        <v>199</v>
      </c>
      <c r="F2869" s="329">
        <v>3862</v>
      </c>
      <c r="G2869" s="329" t="s">
        <v>7779</v>
      </c>
      <c r="H2869" s="483" t="s">
        <v>8261</v>
      </c>
    </row>
    <row r="2870" spans="1:8">
      <c r="A2870" s="483" t="s">
        <v>8260</v>
      </c>
      <c r="E2870" s="329">
        <v>1205</v>
      </c>
      <c r="F2870" s="329">
        <v>2657</v>
      </c>
      <c r="G2870" s="483" t="s">
        <v>7763</v>
      </c>
      <c r="H2870" s="483" t="s">
        <v>8262</v>
      </c>
    </row>
    <row r="2871" spans="1:8">
      <c r="A2871" s="483" t="s">
        <v>8263</v>
      </c>
      <c r="C2871" s="483">
        <v>17000</v>
      </c>
      <c r="H2871" s="483" t="s">
        <v>8264</v>
      </c>
    </row>
    <row r="2872" spans="1:8">
      <c r="A2872" s="483" t="s">
        <v>8263</v>
      </c>
      <c r="C2872" s="483">
        <v>4896</v>
      </c>
      <c r="H2872" s="483" t="s">
        <v>8265</v>
      </c>
    </row>
    <row r="2873" spans="1:8">
      <c r="A2873" s="483" t="s">
        <v>8266</v>
      </c>
      <c r="E2873" s="329">
        <v>835</v>
      </c>
      <c r="F2873" s="329">
        <v>1822</v>
      </c>
      <c r="G2873" s="483" t="s">
        <v>7755</v>
      </c>
      <c r="H2873" s="483" t="s">
        <v>8267</v>
      </c>
    </row>
    <row r="2874" spans="1:8">
      <c r="A2874" s="483" t="s">
        <v>8268</v>
      </c>
      <c r="C2874" s="483">
        <v>25318</v>
      </c>
      <c r="H2874" s="483" t="s">
        <v>8269</v>
      </c>
    </row>
    <row r="2875" spans="1:8">
      <c r="A2875" s="483" t="s">
        <v>8268</v>
      </c>
      <c r="C2875" s="483">
        <v>31326</v>
      </c>
      <c r="H2875" s="483" t="s">
        <v>8270</v>
      </c>
    </row>
    <row r="2876" spans="1:8">
      <c r="A2876" s="483" t="s">
        <v>8268</v>
      </c>
      <c r="C2876" s="483">
        <v>30000</v>
      </c>
      <c r="H2876" s="483" t="s">
        <v>8271</v>
      </c>
    </row>
    <row r="2877" spans="1:8">
      <c r="A2877" s="483" t="s">
        <v>8268</v>
      </c>
      <c r="C2877" s="483">
        <v>33500</v>
      </c>
      <c r="H2877" s="483" t="s">
        <v>8272</v>
      </c>
    </row>
    <row r="2878" spans="1:8">
      <c r="A2878" s="483" t="s">
        <v>8268</v>
      </c>
      <c r="C2878" s="483">
        <v>2516</v>
      </c>
      <c r="H2878" s="483" t="s">
        <v>8273</v>
      </c>
    </row>
    <row r="2879" spans="1:8">
      <c r="A2879" s="483" t="s">
        <v>8268</v>
      </c>
      <c r="E2879" s="329">
        <v>45</v>
      </c>
      <c r="F2879" s="329">
        <v>1777</v>
      </c>
      <c r="G2879" s="483" t="s">
        <v>7755</v>
      </c>
      <c r="H2879" s="483" t="s">
        <v>8274</v>
      </c>
    </row>
    <row r="2880" spans="1:8">
      <c r="A2880" s="483" t="s">
        <v>8275</v>
      </c>
      <c r="C2880" s="483">
        <v>12854</v>
      </c>
      <c r="H2880" s="483" t="s">
        <v>8276</v>
      </c>
    </row>
    <row r="2881" spans="1:8">
      <c r="A2881" s="483" t="s">
        <v>8275</v>
      </c>
      <c r="E2881" s="329">
        <v>35</v>
      </c>
      <c r="F2881" s="329">
        <v>1742</v>
      </c>
      <c r="G2881" s="483" t="s">
        <v>7755</v>
      </c>
      <c r="H2881" s="483" t="s">
        <v>8277</v>
      </c>
    </row>
    <row r="2882" spans="1:8">
      <c r="A2882" s="483" t="s">
        <v>8278</v>
      </c>
      <c r="E2882" s="483">
        <v>173</v>
      </c>
      <c r="F2882" s="329">
        <v>1569</v>
      </c>
      <c r="G2882" s="483" t="s">
        <v>7767</v>
      </c>
      <c r="H2882" s="483" t="s">
        <v>7805</v>
      </c>
    </row>
    <row r="2883" spans="1:8">
      <c r="A2883" s="483" t="s">
        <v>8279</v>
      </c>
      <c r="E2883" s="329">
        <v>50</v>
      </c>
      <c r="F2883" s="329">
        <v>1519</v>
      </c>
      <c r="G2883" s="483" t="s">
        <v>7767</v>
      </c>
      <c r="H2883" s="483" t="s">
        <v>8280</v>
      </c>
    </row>
    <row r="2884" spans="1:8">
      <c r="A2884" s="483" t="s">
        <v>8281</v>
      </c>
      <c r="E2884" s="329">
        <v>1205</v>
      </c>
      <c r="F2884" s="329">
        <v>314</v>
      </c>
      <c r="G2884" s="483" t="s">
        <v>7763</v>
      </c>
      <c r="H2884" s="483" t="s">
        <v>8282</v>
      </c>
    </row>
    <row r="2885" spans="1:8">
      <c r="A2885" s="483" t="s">
        <v>8283</v>
      </c>
      <c r="D2885" s="483">
        <v>5000</v>
      </c>
      <c r="E2885" s="329"/>
      <c r="F2885" s="329"/>
      <c r="H2885" s="483" t="s">
        <v>7766</v>
      </c>
    </row>
    <row r="2886" spans="1:8">
      <c r="A2886" s="483" t="s">
        <v>8284</v>
      </c>
      <c r="E2886" s="329">
        <v>320</v>
      </c>
      <c r="F2886" s="329">
        <v>4994</v>
      </c>
      <c r="G2886" s="483" t="s">
        <v>7776</v>
      </c>
      <c r="H2886" s="483" t="s">
        <v>8285</v>
      </c>
    </row>
    <row r="2887" spans="1:8">
      <c r="A2887" s="483" t="s">
        <v>8284</v>
      </c>
      <c r="E2887" s="329">
        <v>300</v>
      </c>
      <c r="F2887" s="329">
        <v>4694</v>
      </c>
      <c r="G2887" s="483" t="s">
        <v>7776</v>
      </c>
      <c r="H2887" s="483" t="s">
        <v>8285</v>
      </c>
    </row>
    <row r="2888" spans="1:8">
      <c r="A2888" s="483" t="s">
        <v>8286</v>
      </c>
      <c r="C2888" s="483">
        <v>17000</v>
      </c>
      <c r="H2888" s="483" t="s">
        <v>8287</v>
      </c>
    </row>
    <row r="2889" spans="1:8">
      <c r="A2889" s="483" t="s">
        <v>8286</v>
      </c>
      <c r="C2889" s="483">
        <v>12000</v>
      </c>
      <c r="E2889" s="329"/>
      <c r="F2889" s="329"/>
      <c r="H2889" s="329" t="s">
        <v>8288</v>
      </c>
    </row>
    <row r="2890" spans="1:8">
      <c r="A2890" s="483" t="s">
        <v>8289</v>
      </c>
      <c r="C2890" s="483">
        <v>25318</v>
      </c>
      <c r="H2890" s="483" t="s">
        <v>8290</v>
      </c>
    </row>
    <row r="2891" spans="1:8">
      <c r="A2891" s="483" t="s">
        <v>8289</v>
      </c>
      <c r="C2891" s="483">
        <v>61326</v>
      </c>
      <c r="H2891" s="483" t="s">
        <v>8291</v>
      </c>
    </row>
    <row r="2892" spans="1:8">
      <c r="A2892" s="483" t="s">
        <v>8289</v>
      </c>
      <c r="C2892" s="483">
        <v>24500</v>
      </c>
      <c r="H2892" s="483" t="s">
        <v>8292</v>
      </c>
    </row>
    <row r="2893" spans="1:8">
      <c r="A2893" s="483" t="s">
        <v>8293</v>
      </c>
      <c r="C2893" s="483">
        <v>11158</v>
      </c>
      <c r="H2893" s="483" t="s">
        <v>8294</v>
      </c>
    </row>
    <row r="2894" spans="1:8" s="329" customFormat="1" ht="82.5">
      <c r="A2894" s="483" t="s">
        <v>8295</v>
      </c>
      <c r="C2894" s="329">
        <v>34000</v>
      </c>
      <c r="H2894" s="488" t="s">
        <v>8296</v>
      </c>
    </row>
    <row r="2895" spans="1:8">
      <c r="A2895" s="483" t="s">
        <v>8297</v>
      </c>
      <c r="E2895" s="329">
        <v>1205</v>
      </c>
      <c r="F2895" s="329">
        <v>3489</v>
      </c>
      <c r="G2895" s="483" t="s">
        <v>7763</v>
      </c>
      <c r="H2895" s="483" t="s">
        <v>8298</v>
      </c>
    </row>
    <row r="2896" spans="1:8">
      <c r="A2896" s="483" t="s">
        <v>8299</v>
      </c>
      <c r="E2896" s="329">
        <v>199</v>
      </c>
      <c r="F2896" s="329">
        <v>3290</v>
      </c>
      <c r="G2896" s="329" t="s">
        <v>7779</v>
      </c>
      <c r="H2896" s="483" t="s">
        <v>8300</v>
      </c>
    </row>
    <row r="2897" spans="1:8">
      <c r="A2897" s="483" t="s">
        <v>8301</v>
      </c>
      <c r="C2897" s="483">
        <v>25318</v>
      </c>
      <c r="H2897" s="483" t="s">
        <v>8302</v>
      </c>
    </row>
    <row r="2898" spans="1:8">
      <c r="A2898" s="483" t="s">
        <v>8301</v>
      </c>
      <c r="C2898" s="483">
        <v>61326</v>
      </c>
      <c r="H2898" s="483" t="s">
        <v>8303</v>
      </c>
    </row>
    <row r="2899" spans="1:8">
      <c r="A2899" s="483" t="s">
        <v>8301</v>
      </c>
      <c r="C2899" s="483">
        <v>12000</v>
      </c>
      <c r="H2899" s="483" t="s">
        <v>8304</v>
      </c>
    </row>
    <row r="2900" spans="1:8">
      <c r="A2900" s="483" t="s">
        <v>8301</v>
      </c>
      <c r="C2900" s="483">
        <v>1219</v>
      </c>
      <c r="H2900" s="483" t="s">
        <v>8305</v>
      </c>
    </row>
    <row r="2901" spans="1:8">
      <c r="A2901" s="483" t="s">
        <v>8306</v>
      </c>
      <c r="E2901" s="329">
        <v>109</v>
      </c>
      <c r="F2901" s="329">
        <v>3181</v>
      </c>
      <c r="G2901" s="483" t="s">
        <v>7767</v>
      </c>
      <c r="H2901" s="483" t="s">
        <v>8307</v>
      </c>
    </row>
    <row r="2902" spans="1:8">
      <c r="A2902" s="483" t="s">
        <v>8308</v>
      </c>
      <c r="E2902" s="329">
        <v>64</v>
      </c>
      <c r="F2902" s="329">
        <v>3117</v>
      </c>
      <c r="G2902" s="483" t="s">
        <v>7776</v>
      </c>
      <c r="H2902" s="483" t="s">
        <v>8309</v>
      </c>
    </row>
    <row r="2903" spans="1:8">
      <c r="A2903" s="483" t="s">
        <v>8310</v>
      </c>
      <c r="E2903" s="329">
        <v>50</v>
      </c>
      <c r="F2903" s="329">
        <v>3067</v>
      </c>
      <c r="G2903" s="483" t="s">
        <v>7767</v>
      </c>
      <c r="H2903" s="483" t="s">
        <v>8311</v>
      </c>
    </row>
    <row r="2904" spans="1:8">
      <c r="A2904" s="483" t="s">
        <v>8310</v>
      </c>
      <c r="E2904" s="329">
        <v>1205</v>
      </c>
      <c r="F2904" s="329">
        <v>1862</v>
      </c>
      <c r="G2904" s="483" t="s">
        <v>7763</v>
      </c>
      <c r="H2904" s="483" t="s">
        <v>8312</v>
      </c>
    </row>
    <row r="2905" spans="1:8">
      <c r="A2905" s="483" t="s">
        <v>8313</v>
      </c>
      <c r="E2905" s="329">
        <v>124</v>
      </c>
      <c r="F2905" s="329">
        <v>1738</v>
      </c>
      <c r="G2905" s="483" t="s">
        <v>7755</v>
      </c>
      <c r="H2905" s="483" t="s">
        <v>8314</v>
      </c>
    </row>
    <row r="2906" spans="1:8">
      <c r="E2906" s="329"/>
      <c r="F2906" s="329"/>
      <c r="H2906" s="487" t="s">
        <v>8146</v>
      </c>
    </row>
    <row r="2907" spans="1:8">
      <c r="A2907" s="483" t="s">
        <v>8315</v>
      </c>
      <c r="C2907" s="483">
        <v>17000</v>
      </c>
      <c r="H2907" s="483" t="s">
        <v>8316</v>
      </c>
    </row>
    <row r="2908" spans="1:8">
      <c r="A2908" s="483" t="s">
        <v>8317</v>
      </c>
      <c r="C2908" s="483">
        <v>25318</v>
      </c>
      <c r="H2908" s="483" t="s">
        <v>8318</v>
      </c>
    </row>
    <row r="2909" spans="1:8">
      <c r="A2909" s="483" t="s">
        <v>8317</v>
      </c>
      <c r="C2909" s="483">
        <v>61326</v>
      </c>
      <c r="H2909" s="483" t="s">
        <v>8319</v>
      </c>
    </row>
    <row r="2910" spans="1:8">
      <c r="A2910" s="483" t="s">
        <v>8320</v>
      </c>
      <c r="C2910" s="483">
        <v>6299</v>
      </c>
      <c r="H2910" s="483" t="s">
        <v>8321</v>
      </c>
    </row>
    <row r="2911" spans="1:8">
      <c r="A2911" s="483" t="s">
        <v>8322</v>
      </c>
      <c r="E2911" s="329">
        <v>94</v>
      </c>
      <c r="F2911" s="329">
        <v>1644</v>
      </c>
      <c r="G2911" s="483" t="s">
        <v>7755</v>
      </c>
      <c r="H2911" s="483" t="s">
        <v>8323</v>
      </c>
    </row>
    <row r="2912" spans="1:8">
      <c r="A2912" s="483" t="s">
        <v>8324</v>
      </c>
      <c r="E2912" s="483">
        <v>100</v>
      </c>
      <c r="F2912" s="329">
        <v>1544</v>
      </c>
      <c r="G2912" s="483" t="s">
        <v>7776</v>
      </c>
      <c r="H2912" s="483" t="s">
        <v>8325</v>
      </c>
    </row>
    <row r="2913" spans="1:8">
      <c r="A2913" s="483" t="s">
        <v>8326</v>
      </c>
      <c r="E2913" s="329">
        <v>40</v>
      </c>
      <c r="F2913" s="329">
        <v>1504</v>
      </c>
      <c r="G2913" s="483" t="s">
        <v>7759</v>
      </c>
      <c r="H2913" s="483" t="s">
        <v>7760</v>
      </c>
    </row>
    <row r="2914" spans="1:8">
      <c r="A2914" s="483" t="s">
        <v>8326</v>
      </c>
      <c r="E2914" s="329">
        <v>2</v>
      </c>
      <c r="F2914" s="329">
        <v>1502</v>
      </c>
      <c r="G2914" s="483" t="s">
        <v>7755</v>
      </c>
      <c r="H2914" s="483" t="s">
        <v>8327</v>
      </c>
    </row>
    <row r="2915" spans="1:8">
      <c r="A2915" s="483" t="s">
        <v>8328</v>
      </c>
      <c r="E2915" s="329">
        <v>800</v>
      </c>
      <c r="F2915" s="329">
        <v>702</v>
      </c>
      <c r="G2915" s="483" t="s">
        <v>7776</v>
      </c>
      <c r="H2915" s="483" t="s">
        <v>8329</v>
      </c>
    </row>
    <row r="2916" spans="1:8">
      <c r="A2916" s="483" t="s">
        <v>8330</v>
      </c>
      <c r="E2916" s="329">
        <v>15</v>
      </c>
      <c r="F2916" s="329">
        <v>687</v>
      </c>
      <c r="G2916" s="483" t="s">
        <v>7767</v>
      </c>
      <c r="H2916" s="483" t="s">
        <v>8331</v>
      </c>
    </row>
    <row r="2917" spans="1:8">
      <c r="A2917" s="483" t="s">
        <v>8332</v>
      </c>
      <c r="D2917" s="483">
        <v>5000</v>
      </c>
      <c r="E2917" s="329"/>
      <c r="F2917" s="329"/>
      <c r="H2917" s="483" t="s">
        <v>7766</v>
      </c>
    </row>
    <row r="2918" spans="1:8">
      <c r="A2918" s="483" t="s">
        <v>8332</v>
      </c>
      <c r="E2918" s="329">
        <v>1205</v>
      </c>
      <c r="F2918" s="329">
        <v>4482</v>
      </c>
      <c r="G2918" s="483" t="s">
        <v>7763</v>
      </c>
      <c r="H2918" s="483" t="s">
        <v>8333</v>
      </c>
    </row>
    <row r="2919" spans="1:8">
      <c r="A2919" s="483" t="s">
        <v>8332</v>
      </c>
      <c r="E2919" s="329">
        <v>64</v>
      </c>
      <c r="F2919" s="329">
        <v>4418</v>
      </c>
      <c r="G2919" s="483" t="s">
        <v>7755</v>
      </c>
      <c r="H2919" s="483" t="s">
        <v>8334</v>
      </c>
    </row>
    <row r="2920" spans="1:8">
      <c r="A2920" s="483" t="s">
        <v>8335</v>
      </c>
      <c r="E2920" s="329">
        <v>210</v>
      </c>
      <c r="F2920" s="329">
        <v>4208</v>
      </c>
      <c r="G2920" s="329" t="s">
        <v>7779</v>
      </c>
      <c r="H2920" s="483" t="s">
        <v>8336</v>
      </c>
    </row>
    <row r="2921" spans="1:8" s="329" customFormat="1">
      <c r="A2921" s="329" t="s">
        <v>8335</v>
      </c>
      <c r="C2921" s="329">
        <v>20000</v>
      </c>
      <c r="H2921" s="488" t="s">
        <v>8337</v>
      </c>
    </row>
    <row r="2922" spans="1:8" s="329" customFormat="1">
      <c r="A2922" s="329" t="s">
        <v>8338</v>
      </c>
      <c r="C2922" s="329">
        <v>230030</v>
      </c>
      <c r="H2922" s="488" t="s">
        <v>8038</v>
      </c>
    </row>
    <row r="2923" spans="1:8">
      <c r="A2923" s="483" t="s">
        <v>8339</v>
      </c>
      <c r="C2923" s="483">
        <v>17000</v>
      </c>
      <c r="H2923" s="483" t="s">
        <v>8340</v>
      </c>
    </row>
    <row r="2924" spans="1:8">
      <c r="A2924" s="483" t="s">
        <v>8339</v>
      </c>
      <c r="C2924" s="483">
        <v>25318</v>
      </c>
      <c r="H2924" s="483" t="s">
        <v>8341</v>
      </c>
    </row>
    <row r="2925" spans="1:8">
      <c r="A2925" s="483" t="s">
        <v>8339</v>
      </c>
      <c r="C2925" s="483">
        <v>61326</v>
      </c>
      <c r="H2925" s="483" t="s">
        <v>8342</v>
      </c>
    </row>
    <row r="2926" spans="1:8">
      <c r="A2926" s="483" t="s">
        <v>8339</v>
      </c>
      <c r="C2926" s="483">
        <v>9500</v>
      </c>
      <c r="H2926" s="483" t="s">
        <v>8343</v>
      </c>
    </row>
    <row r="2927" spans="1:8">
      <c r="A2927" s="483" t="s">
        <v>8344</v>
      </c>
      <c r="C2927" s="483">
        <v>31260</v>
      </c>
      <c r="H2927" s="483" t="s">
        <v>8345</v>
      </c>
    </row>
    <row r="2928" spans="1:8">
      <c r="A2928" s="483" t="s">
        <v>8344</v>
      </c>
      <c r="E2928" s="329">
        <v>75</v>
      </c>
      <c r="F2928" s="329">
        <v>4133</v>
      </c>
      <c r="G2928" s="483" t="s">
        <v>7755</v>
      </c>
      <c r="H2928" s="483" t="s">
        <v>8346</v>
      </c>
    </row>
    <row r="2929" spans="1:8">
      <c r="A2929" s="483" t="s">
        <v>8347</v>
      </c>
      <c r="E2929" s="483">
        <v>405</v>
      </c>
      <c r="F2929" s="329">
        <v>3728</v>
      </c>
      <c r="G2929" s="483" t="s">
        <v>7759</v>
      </c>
      <c r="H2929" s="483" t="s">
        <v>8348</v>
      </c>
    </row>
    <row r="2930" spans="1:8">
      <c r="A2930" s="483" t="s">
        <v>8347</v>
      </c>
      <c r="E2930" s="483">
        <v>15</v>
      </c>
      <c r="F2930" s="329">
        <v>3713</v>
      </c>
      <c r="G2930" s="483" t="s">
        <v>7759</v>
      </c>
      <c r="H2930" s="483" t="s">
        <v>8349</v>
      </c>
    </row>
    <row r="2931" spans="1:8">
      <c r="A2931" s="483" t="s">
        <v>8350</v>
      </c>
      <c r="B2931" s="483">
        <v>80000</v>
      </c>
      <c r="F2931" s="329"/>
      <c r="H2931" s="483" t="s">
        <v>8122</v>
      </c>
    </row>
    <row r="2932" spans="1:8">
      <c r="A2932" s="483" t="s">
        <v>8351</v>
      </c>
      <c r="E2932" s="483">
        <v>5</v>
      </c>
      <c r="F2932" s="329">
        <v>3708</v>
      </c>
      <c r="G2932" s="483" t="s">
        <v>7755</v>
      </c>
      <c r="H2932" s="483" t="s">
        <v>7852</v>
      </c>
    </row>
    <row r="2933" spans="1:8" s="329" customFormat="1" ht="231">
      <c r="A2933" s="483" t="s">
        <v>8351</v>
      </c>
      <c r="C2933" s="329">
        <v>40030</v>
      </c>
      <c r="H2933" s="488" t="s">
        <v>8352</v>
      </c>
    </row>
    <row r="2934" spans="1:8">
      <c r="A2934" s="483" t="s">
        <v>8353</v>
      </c>
      <c r="E2934" s="329">
        <v>1205</v>
      </c>
      <c r="F2934" s="329">
        <v>2503</v>
      </c>
      <c r="G2934" s="483" t="s">
        <v>7763</v>
      </c>
      <c r="H2934" s="483" t="s">
        <v>8354</v>
      </c>
    </row>
    <row r="2935" spans="1:8">
      <c r="A2935" s="483" t="s">
        <v>8353</v>
      </c>
      <c r="E2935" s="329">
        <v>18</v>
      </c>
      <c r="F2935" s="329">
        <v>2485</v>
      </c>
      <c r="G2935" s="483" t="s">
        <v>7767</v>
      </c>
      <c r="H2935" s="483" t="s">
        <v>8355</v>
      </c>
    </row>
    <row r="2936" spans="1:8">
      <c r="A2936" s="483" t="s">
        <v>8356</v>
      </c>
      <c r="C2936" s="483">
        <v>17000</v>
      </c>
      <c r="H2936" s="483" t="s">
        <v>8357</v>
      </c>
    </row>
    <row r="2937" spans="1:8">
      <c r="A2937" s="483" t="s">
        <v>8358</v>
      </c>
      <c r="E2937" s="329">
        <v>75</v>
      </c>
      <c r="F2937" s="329">
        <v>2410</v>
      </c>
      <c r="G2937" s="483" t="s">
        <v>7776</v>
      </c>
      <c r="H2937" s="483" t="s">
        <v>8359</v>
      </c>
    </row>
    <row r="2938" spans="1:8">
      <c r="A2938" s="483" t="s">
        <v>8358</v>
      </c>
      <c r="E2938" s="329">
        <v>70</v>
      </c>
      <c r="F2938" s="329">
        <v>2340</v>
      </c>
      <c r="G2938" s="483" t="s">
        <v>7776</v>
      </c>
      <c r="H2938" s="483" t="s">
        <v>8359</v>
      </c>
    </row>
    <row r="2939" spans="1:8">
      <c r="A2939" s="483" t="s">
        <v>8360</v>
      </c>
      <c r="E2939" s="329">
        <v>35</v>
      </c>
      <c r="F2939" s="329">
        <v>2305</v>
      </c>
      <c r="G2939" s="483" t="s">
        <v>7755</v>
      </c>
      <c r="H2939" s="483" t="s">
        <v>8361</v>
      </c>
    </row>
    <row r="2940" spans="1:8">
      <c r="A2940" s="483" t="s">
        <v>8360</v>
      </c>
      <c r="C2940" s="483">
        <v>25318</v>
      </c>
      <c r="H2940" s="483" t="s">
        <v>8362</v>
      </c>
    </row>
    <row r="2941" spans="1:8">
      <c r="A2941" s="483" t="s">
        <v>8360</v>
      </c>
      <c r="C2941" s="483">
        <v>9000</v>
      </c>
      <c r="H2941" s="483" t="s">
        <v>8363</v>
      </c>
    </row>
    <row r="2942" spans="1:8">
      <c r="A2942" s="483" t="s">
        <v>8364</v>
      </c>
      <c r="C2942" s="329">
        <v>32326</v>
      </c>
      <c r="H2942" s="483" t="s">
        <v>8363</v>
      </c>
    </row>
    <row r="2943" spans="1:8">
      <c r="A2943" s="483" t="s">
        <v>8365</v>
      </c>
      <c r="C2943" s="329">
        <v>20000</v>
      </c>
      <c r="H2943" s="483" t="s">
        <v>8366</v>
      </c>
    </row>
    <row r="2944" spans="1:8">
      <c r="A2944" s="483" t="s">
        <v>8360</v>
      </c>
      <c r="C2944" s="483">
        <v>36000</v>
      </c>
      <c r="H2944" s="483" t="s">
        <v>8367</v>
      </c>
    </row>
    <row r="2945" spans="1:8">
      <c r="A2945" s="483" t="s">
        <v>8360</v>
      </c>
      <c r="C2945" s="483">
        <v>9821</v>
      </c>
      <c r="H2945" s="483" t="s">
        <v>8368</v>
      </c>
    </row>
    <row r="2946" spans="1:8">
      <c r="A2946" s="483" t="s">
        <v>8360</v>
      </c>
      <c r="C2946" s="483">
        <v>20696</v>
      </c>
      <c r="H2946" s="483" t="s">
        <v>8369</v>
      </c>
    </row>
    <row r="2947" spans="1:8">
      <c r="A2947" s="483" t="s">
        <v>8370</v>
      </c>
      <c r="C2947" s="483">
        <v>20000</v>
      </c>
      <c r="E2947" s="329"/>
      <c r="F2947" s="329"/>
      <c r="H2947" s="487" t="s">
        <v>8371</v>
      </c>
    </row>
    <row r="2948" spans="1:8">
      <c r="A2948" s="483" t="s">
        <v>8370</v>
      </c>
      <c r="C2948" s="483">
        <v>25318</v>
      </c>
      <c r="E2948" s="329"/>
      <c r="F2948" s="329"/>
      <c r="H2948" s="483" t="s">
        <v>8372</v>
      </c>
    </row>
    <row r="2949" spans="1:8">
      <c r="A2949" s="483" t="s">
        <v>8373</v>
      </c>
      <c r="C2949" s="483">
        <v>1900</v>
      </c>
      <c r="E2949" s="329"/>
      <c r="F2949" s="329"/>
      <c r="H2949" s="483" t="s">
        <v>8372</v>
      </c>
    </row>
    <row r="2950" spans="1:8">
      <c r="A2950" s="483" t="s">
        <v>8374</v>
      </c>
      <c r="E2950" s="329">
        <v>210</v>
      </c>
      <c r="F2950" s="329">
        <v>2095</v>
      </c>
      <c r="G2950" s="329" t="s">
        <v>7779</v>
      </c>
      <c r="H2950" s="483" t="s">
        <v>8375</v>
      </c>
    </row>
    <row r="2951" spans="1:8">
      <c r="A2951" s="483" t="s">
        <v>8374</v>
      </c>
      <c r="E2951" s="329">
        <v>1205</v>
      </c>
      <c r="F2951" s="329">
        <v>890</v>
      </c>
      <c r="G2951" s="483" t="s">
        <v>7763</v>
      </c>
      <c r="H2951" s="483" t="s">
        <v>8376</v>
      </c>
    </row>
    <row r="2952" spans="1:8">
      <c r="A2952" s="483" t="s">
        <v>8365</v>
      </c>
      <c r="D2952" s="483">
        <v>5000</v>
      </c>
      <c r="E2952" s="329"/>
      <c r="F2952" s="329"/>
      <c r="H2952" s="483" t="s">
        <v>7766</v>
      </c>
    </row>
    <row r="2953" spans="1:8">
      <c r="A2953" s="483" t="s">
        <v>8365</v>
      </c>
      <c r="E2953" s="483">
        <v>500</v>
      </c>
      <c r="F2953" s="329">
        <v>5390</v>
      </c>
      <c r="G2953" s="483" t="s">
        <v>7755</v>
      </c>
      <c r="H2953" s="483" t="s">
        <v>8377</v>
      </c>
    </row>
    <row r="2954" spans="1:8">
      <c r="A2954" s="483" t="s">
        <v>8365</v>
      </c>
      <c r="C2954" s="483">
        <v>400</v>
      </c>
      <c r="H2954" s="483" t="s">
        <v>8378</v>
      </c>
    </row>
    <row r="2955" spans="1:8">
      <c r="A2955" s="483" t="s">
        <v>8365</v>
      </c>
      <c r="C2955" s="483">
        <v>600</v>
      </c>
      <c r="H2955" s="483" t="s">
        <v>8379</v>
      </c>
    </row>
    <row r="2956" spans="1:8">
      <c r="A2956" s="483" t="s">
        <v>8380</v>
      </c>
      <c r="C2956" s="329">
        <v>61326</v>
      </c>
      <c r="H2956" s="483" t="s">
        <v>8381</v>
      </c>
    </row>
    <row r="2957" spans="1:8">
      <c r="A2957" s="483" t="s">
        <v>8380</v>
      </c>
      <c r="E2957" s="483">
        <v>150</v>
      </c>
      <c r="F2957" s="329">
        <v>5240</v>
      </c>
      <c r="G2957" s="483" t="s">
        <v>7759</v>
      </c>
      <c r="H2957" s="483" t="s">
        <v>8382</v>
      </c>
    </row>
    <row r="2958" spans="1:8">
      <c r="A2958" s="483" t="s">
        <v>8383</v>
      </c>
      <c r="E2958" s="329">
        <v>1480</v>
      </c>
      <c r="F2958" s="329">
        <v>3760</v>
      </c>
      <c r="H2958" s="483" t="s">
        <v>8384</v>
      </c>
    </row>
    <row r="2959" spans="1:8">
      <c r="A2959" s="483" t="s">
        <v>8383</v>
      </c>
      <c r="E2959" s="483">
        <v>35</v>
      </c>
      <c r="F2959" s="329">
        <v>3725</v>
      </c>
      <c r="G2959" s="483" t="s">
        <v>7755</v>
      </c>
      <c r="H2959" s="483" t="s">
        <v>8385</v>
      </c>
    </row>
    <row r="2960" spans="1:8">
      <c r="A2960" s="483" t="s">
        <v>8383</v>
      </c>
      <c r="E2960" s="329">
        <v>214</v>
      </c>
      <c r="F2960" s="329">
        <v>3511</v>
      </c>
      <c r="G2960" s="483" t="s">
        <v>7755</v>
      </c>
      <c r="H2960" s="483" t="s">
        <v>8386</v>
      </c>
    </row>
    <row r="2961" spans="1:8">
      <c r="A2961" s="483" t="s">
        <v>8387</v>
      </c>
      <c r="E2961" s="483">
        <v>82</v>
      </c>
      <c r="F2961" s="329">
        <v>3429</v>
      </c>
      <c r="G2961" s="483" t="s">
        <v>7755</v>
      </c>
      <c r="H2961" s="483" t="s">
        <v>8388</v>
      </c>
    </row>
    <row r="2962" spans="1:8">
      <c r="A2962" s="483" t="s">
        <v>8387</v>
      </c>
      <c r="E2962" s="483">
        <v>164</v>
      </c>
      <c r="F2962" s="329">
        <v>3265</v>
      </c>
      <c r="G2962" s="483" t="s">
        <v>7767</v>
      </c>
      <c r="H2962" s="483" t="s">
        <v>7805</v>
      </c>
    </row>
    <row r="2963" spans="1:8">
      <c r="A2963" s="483" t="s">
        <v>8389</v>
      </c>
      <c r="E2963" s="329">
        <v>18</v>
      </c>
      <c r="F2963" s="329">
        <v>3247</v>
      </c>
      <c r="G2963" s="483" t="s">
        <v>7767</v>
      </c>
      <c r="H2963" s="483" t="s">
        <v>8390</v>
      </c>
    </row>
    <row r="2964" spans="1:8">
      <c r="A2964" s="483" t="s">
        <v>8389</v>
      </c>
      <c r="E2964" s="483">
        <v>100</v>
      </c>
      <c r="F2964" s="329">
        <v>3147</v>
      </c>
      <c r="G2964" s="483" t="s">
        <v>7776</v>
      </c>
      <c r="H2964" s="483" t="s">
        <v>7876</v>
      </c>
    </row>
    <row r="2965" spans="1:8">
      <c r="A2965" s="483" t="s">
        <v>4792</v>
      </c>
      <c r="E2965" s="329">
        <v>185</v>
      </c>
      <c r="F2965" s="329">
        <v>2962</v>
      </c>
      <c r="G2965" s="483" t="s">
        <v>7776</v>
      </c>
      <c r="H2965" s="483" t="s">
        <v>8391</v>
      </c>
    </row>
    <row r="2966" spans="1:8">
      <c r="A2966" s="483" t="s">
        <v>4792</v>
      </c>
      <c r="E2966" s="329">
        <v>185</v>
      </c>
      <c r="F2966" s="329">
        <v>2777</v>
      </c>
      <c r="G2966" s="483" t="s">
        <v>7776</v>
      </c>
      <c r="H2966" s="483" t="s">
        <v>8391</v>
      </c>
    </row>
    <row r="2967" spans="1:8">
      <c r="A2967" s="483" t="s">
        <v>8392</v>
      </c>
      <c r="E2967" s="329">
        <v>1205</v>
      </c>
      <c r="F2967" s="329">
        <v>1572</v>
      </c>
      <c r="G2967" s="483" t="s">
        <v>7763</v>
      </c>
      <c r="H2967" s="483" t="s">
        <v>8376</v>
      </c>
    </row>
    <row r="2968" spans="1:8">
      <c r="A2968" s="483" t="s">
        <v>8393</v>
      </c>
      <c r="E2968" s="483">
        <v>70</v>
      </c>
      <c r="F2968" s="329">
        <v>1502</v>
      </c>
      <c r="G2968" s="483" t="s">
        <v>7755</v>
      </c>
      <c r="H2968" s="483" t="s">
        <v>8394</v>
      </c>
    </row>
    <row r="2969" spans="1:8">
      <c r="A2969" s="483" t="s">
        <v>8395</v>
      </c>
      <c r="E2969" s="329">
        <v>225</v>
      </c>
      <c r="F2969" s="329">
        <v>1277</v>
      </c>
      <c r="G2969" s="483" t="s">
        <v>7776</v>
      </c>
      <c r="H2969" s="483" t="s">
        <v>8396</v>
      </c>
    </row>
    <row r="2970" spans="1:8">
      <c r="A2970" s="483" t="s">
        <v>8395</v>
      </c>
      <c r="E2970" s="329">
        <v>235</v>
      </c>
      <c r="F2970" s="329">
        <v>1042</v>
      </c>
      <c r="G2970" s="483" t="s">
        <v>7776</v>
      </c>
      <c r="H2970" s="483" t="s">
        <v>8396</v>
      </c>
    </row>
    <row r="2971" spans="1:8">
      <c r="A2971" s="483" t="s">
        <v>8397</v>
      </c>
      <c r="E2971" s="329">
        <v>235</v>
      </c>
      <c r="F2971" s="329">
        <v>807</v>
      </c>
      <c r="G2971" s="483" t="s">
        <v>7776</v>
      </c>
      <c r="H2971" s="483" t="s">
        <v>8398</v>
      </c>
    </row>
    <row r="2972" spans="1:8">
      <c r="A2972" s="483" t="s">
        <v>8397</v>
      </c>
      <c r="E2972" s="329">
        <v>320</v>
      </c>
      <c r="F2972" s="329">
        <v>487</v>
      </c>
      <c r="G2972" s="483" t="s">
        <v>7776</v>
      </c>
      <c r="H2972" s="483" t="s">
        <v>8398</v>
      </c>
    </row>
    <row r="2973" spans="1:8">
      <c r="A2973" s="483" t="s">
        <v>8397</v>
      </c>
      <c r="E2973" s="483">
        <v>2</v>
      </c>
      <c r="F2973" s="329">
        <v>485</v>
      </c>
      <c r="G2973" s="483" t="s">
        <v>7755</v>
      </c>
      <c r="H2973" s="483" t="s">
        <v>8399</v>
      </c>
    </row>
    <row r="2974" spans="1:8">
      <c r="A2974" s="483" t="s">
        <v>8397</v>
      </c>
      <c r="C2974" s="483">
        <v>10158</v>
      </c>
      <c r="H2974" s="483" t="s">
        <v>8400</v>
      </c>
    </row>
    <row r="2975" spans="1:8">
      <c r="A2975" s="483" t="s">
        <v>8401</v>
      </c>
      <c r="C2975" s="483">
        <v>14567</v>
      </c>
      <c r="H2975" s="483" t="s">
        <v>8402</v>
      </c>
    </row>
    <row r="2976" spans="1:8">
      <c r="A2976" s="483" t="s">
        <v>8401</v>
      </c>
      <c r="D2976" s="483">
        <v>5000</v>
      </c>
      <c r="E2976" s="329"/>
      <c r="F2976" s="329">
        <v>5485</v>
      </c>
      <c r="H2976" s="483" t="s">
        <v>7766</v>
      </c>
    </row>
    <row r="2977" spans="1:8">
      <c r="A2977" s="483" t="s">
        <v>8403</v>
      </c>
      <c r="E2977" s="329">
        <v>225</v>
      </c>
      <c r="F2977" s="329">
        <v>5260</v>
      </c>
      <c r="G2977" s="483" t="s">
        <v>7776</v>
      </c>
      <c r="H2977" s="483" t="s">
        <v>8396</v>
      </c>
    </row>
    <row r="2978" spans="1:8">
      <c r="A2978" s="483" t="s">
        <v>8403</v>
      </c>
      <c r="E2978" s="329">
        <v>235</v>
      </c>
      <c r="F2978" s="329">
        <v>5025</v>
      </c>
      <c r="G2978" s="483" t="s">
        <v>7776</v>
      </c>
      <c r="H2978" s="483" t="s">
        <v>8396</v>
      </c>
    </row>
    <row r="2979" spans="1:8" ht="33">
      <c r="A2979" s="483" t="s">
        <v>8404</v>
      </c>
      <c r="C2979" s="483">
        <v>30000</v>
      </c>
      <c r="E2979" s="329"/>
      <c r="F2979" s="329"/>
      <c r="H2979" s="486" t="s">
        <v>8405</v>
      </c>
    </row>
    <row r="2980" spans="1:8">
      <c r="A2980" s="483" t="s">
        <v>4794</v>
      </c>
      <c r="E2980" s="329">
        <v>100</v>
      </c>
      <c r="F2980" s="329">
        <v>4925</v>
      </c>
      <c r="G2980" s="483" t="s">
        <v>7774</v>
      </c>
      <c r="H2980" s="483" t="s">
        <v>8406</v>
      </c>
    </row>
    <row r="2981" spans="1:8">
      <c r="A2981" s="483" t="s">
        <v>4794</v>
      </c>
      <c r="E2981" s="329">
        <v>1205</v>
      </c>
      <c r="F2981" s="329">
        <v>3720</v>
      </c>
      <c r="G2981" s="483" t="s">
        <v>7763</v>
      </c>
      <c r="H2981" s="483" t="s">
        <v>8407</v>
      </c>
    </row>
    <row r="2982" spans="1:8">
      <c r="A2982" s="483" t="s">
        <v>8408</v>
      </c>
      <c r="E2982" s="483">
        <v>52</v>
      </c>
      <c r="F2982" s="329">
        <v>3668</v>
      </c>
      <c r="G2982" s="483" t="s">
        <v>7755</v>
      </c>
      <c r="H2982" s="483" t="s">
        <v>8409</v>
      </c>
    </row>
    <row r="2983" spans="1:8">
      <c r="A2983" s="483" t="s">
        <v>8410</v>
      </c>
      <c r="E2983" s="329">
        <v>85</v>
      </c>
      <c r="F2983" s="329">
        <v>3583</v>
      </c>
      <c r="G2983" s="483" t="s">
        <v>7776</v>
      </c>
      <c r="H2983" s="483" t="s">
        <v>8411</v>
      </c>
    </row>
    <row r="2984" spans="1:8">
      <c r="A2984" s="483" t="s">
        <v>8410</v>
      </c>
      <c r="E2984" s="329">
        <v>85</v>
      </c>
      <c r="F2984" s="329">
        <v>3498</v>
      </c>
      <c r="G2984" s="483" t="s">
        <v>7776</v>
      </c>
      <c r="H2984" s="483" t="s">
        <v>8411</v>
      </c>
    </row>
    <row r="2985" spans="1:8">
      <c r="A2985" s="483" t="s">
        <v>8412</v>
      </c>
      <c r="E2985" s="329">
        <v>80</v>
      </c>
      <c r="F2985" s="329">
        <v>3418</v>
      </c>
      <c r="G2985" s="483" t="s">
        <v>7759</v>
      </c>
      <c r="H2985" s="483" t="s">
        <v>7760</v>
      </c>
    </row>
    <row r="2986" spans="1:8">
      <c r="A2986" s="483" t="s">
        <v>8413</v>
      </c>
      <c r="C2986" s="483">
        <v>17000</v>
      </c>
      <c r="H2986" s="483" t="s">
        <v>8414</v>
      </c>
    </row>
    <row r="2987" spans="1:8">
      <c r="A2987" s="483" t="s">
        <v>8415</v>
      </c>
      <c r="C2987" s="487">
        <v>20000</v>
      </c>
      <c r="H2987" s="483" t="s">
        <v>8416</v>
      </c>
    </row>
    <row r="2988" spans="1:8">
      <c r="A2988" s="483" t="s">
        <v>8415</v>
      </c>
      <c r="C2988" s="483">
        <v>27218</v>
      </c>
      <c r="H2988" s="483" t="s">
        <v>8417</v>
      </c>
    </row>
    <row r="2989" spans="1:8">
      <c r="A2989" s="483" t="s">
        <v>8415</v>
      </c>
      <c r="C2989" s="483">
        <v>30800</v>
      </c>
      <c r="H2989" s="483" t="s">
        <v>8418</v>
      </c>
    </row>
    <row r="2990" spans="1:8">
      <c r="A2990" s="483" t="s">
        <v>8415</v>
      </c>
      <c r="E2990" s="329">
        <v>178</v>
      </c>
      <c r="F2990" s="329">
        <v>3240</v>
      </c>
      <c r="G2990" s="329" t="s">
        <v>7779</v>
      </c>
      <c r="H2990" s="483" t="s">
        <v>8419</v>
      </c>
    </row>
    <row r="2991" spans="1:8">
      <c r="A2991" s="483" t="s">
        <v>8420</v>
      </c>
      <c r="E2991" s="329">
        <v>80</v>
      </c>
      <c r="F2991" s="329">
        <v>3160</v>
      </c>
      <c r="G2991" s="483" t="s">
        <v>7776</v>
      </c>
      <c r="H2991" s="483" t="s">
        <v>8421</v>
      </c>
    </row>
    <row r="2992" spans="1:8">
      <c r="A2992" s="483" t="s">
        <v>8420</v>
      </c>
      <c r="E2992" s="329">
        <v>80</v>
      </c>
      <c r="F2992" s="329">
        <v>3080</v>
      </c>
      <c r="G2992" s="483" t="s">
        <v>7776</v>
      </c>
      <c r="H2992" s="483" t="s">
        <v>8421</v>
      </c>
    </row>
    <row r="2993" spans="1:8">
      <c r="A2993" s="483" t="s">
        <v>8422</v>
      </c>
      <c r="E2993" s="329">
        <v>1000</v>
      </c>
      <c r="F2993" s="329">
        <v>2080</v>
      </c>
      <c r="G2993" s="483" t="s">
        <v>7776</v>
      </c>
      <c r="H2993" s="483" t="s">
        <v>8423</v>
      </c>
    </row>
    <row r="2994" spans="1:8">
      <c r="A2994" s="483" t="s">
        <v>8424</v>
      </c>
      <c r="C2994" s="487">
        <v>11326</v>
      </c>
      <c r="H2994" s="483" t="s">
        <v>8425</v>
      </c>
    </row>
    <row r="2995" spans="1:8">
      <c r="A2995" s="483" t="s">
        <v>8410</v>
      </c>
      <c r="E2995" s="329">
        <v>115</v>
      </c>
      <c r="F2995" s="329">
        <v>1965</v>
      </c>
      <c r="G2995" s="483" t="s">
        <v>7776</v>
      </c>
      <c r="H2995" s="483" t="s">
        <v>8426</v>
      </c>
    </row>
    <row r="2996" spans="1:8">
      <c r="A2996" s="483" t="s">
        <v>8410</v>
      </c>
      <c r="E2996" s="329">
        <v>150</v>
      </c>
      <c r="F2996" s="329">
        <v>1815</v>
      </c>
      <c r="G2996" s="483" t="s">
        <v>7776</v>
      </c>
      <c r="H2996" s="483" t="s">
        <v>8426</v>
      </c>
    </row>
    <row r="2997" spans="1:8">
      <c r="A2997" s="483" t="s">
        <v>8422</v>
      </c>
      <c r="D2997" s="483">
        <v>4320</v>
      </c>
      <c r="E2997" s="329"/>
      <c r="F2997" s="329"/>
      <c r="H2997" s="483" t="s">
        <v>8427</v>
      </c>
    </row>
    <row r="2998" spans="1:8">
      <c r="A2998" s="483" t="s">
        <v>8428</v>
      </c>
      <c r="C2998" s="487">
        <v>20000</v>
      </c>
      <c r="D2998" s="483" t="s">
        <v>8429</v>
      </c>
      <c r="H2998" s="483" t="s">
        <v>8430</v>
      </c>
    </row>
    <row r="2999" spans="1:8">
      <c r="A2999" s="483" t="s">
        <v>8428</v>
      </c>
      <c r="C2999" s="483">
        <v>40580</v>
      </c>
      <c r="H2999" s="483" t="s">
        <v>8431</v>
      </c>
    </row>
    <row r="3000" spans="1:8">
      <c r="A3000" s="483" t="s">
        <v>4799</v>
      </c>
      <c r="E3000" s="329">
        <v>299</v>
      </c>
      <c r="F3000" s="329">
        <v>5836</v>
      </c>
      <c r="G3000" s="483" t="s">
        <v>7774</v>
      </c>
      <c r="H3000" s="483" t="s">
        <v>8406</v>
      </c>
    </row>
    <row r="3001" spans="1:8">
      <c r="A3001" s="483" t="s">
        <v>4800</v>
      </c>
      <c r="E3001" s="329">
        <v>290</v>
      </c>
      <c r="F3001" s="329">
        <v>5546</v>
      </c>
      <c r="G3001" s="483" t="s">
        <v>7776</v>
      </c>
      <c r="H3001" s="483" t="s">
        <v>8432</v>
      </c>
    </row>
    <row r="3002" spans="1:8">
      <c r="A3002" s="483" t="s">
        <v>4800</v>
      </c>
      <c r="E3002" s="329">
        <v>335</v>
      </c>
      <c r="F3002" s="329">
        <v>5211</v>
      </c>
      <c r="G3002" s="483" t="s">
        <v>7776</v>
      </c>
      <c r="H3002" s="483" t="s">
        <v>8432</v>
      </c>
    </row>
    <row r="3003" spans="1:8">
      <c r="A3003" s="483" t="s">
        <v>8433</v>
      </c>
      <c r="E3003" s="329">
        <v>125</v>
      </c>
      <c r="F3003" s="329">
        <v>5086</v>
      </c>
      <c r="G3003" s="483" t="s">
        <v>7776</v>
      </c>
      <c r="H3003" s="483" t="s">
        <v>8434</v>
      </c>
    </row>
    <row r="3004" spans="1:8">
      <c r="A3004" s="483" t="s">
        <v>8433</v>
      </c>
      <c r="E3004" s="329">
        <v>120</v>
      </c>
      <c r="F3004" s="329">
        <v>4966</v>
      </c>
      <c r="G3004" s="483" t="s">
        <v>7776</v>
      </c>
      <c r="H3004" s="483" t="s">
        <v>8434</v>
      </c>
    </row>
    <row r="3005" spans="1:8">
      <c r="A3005" s="483" t="s">
        <v>8435</v>
      </c>
      <c r="E3005" s="329">
        <v>18</v>
      </c>
      <c r="F3005" s="329">
        <v>4948</v>
      </c>
      <c r="G3005" s="483" t="s">
        <v>7767</v>
      </c>
      <c r="H3005" s="483" t="s">
        <v>8436</v>
      </c>
    </row>
    <row r="3006" spans="1:8">
      <c r="A3006" s="483" t="s">
        <v>8435</v>
      </c>
      <c r="E3006" s="483">
        <v>90</v>
      </c>
      <c r="F3006" s="329">
        <v>4858</v>
      </c>
      <c r="G3006" s="483" t="s">
        <v>7776</v>
      </c>
      <c r="H3006" s="483" t="s">
        <v>7876</v>
      </c>
    </row>
    <row r="3007" spans="1:8">
      <c r="A3007" s="483" t="s">
        <v>8437</v>
      </c>
      <c r="E3007" s="329">
        <v>1205</v>
      </c>
      <c r="F3007" s="329">
        <v>3653</v>
      </c>
      <c r="G3007" s="483" t="s">
        <v>7763</v>
      </c>
      <c r="H3007" s="483" t="s">
        <v>8438</v>
      </c>
    </row>
    <row r="3008" spans="1:8">
      <c r="A3008" s="483" t="s">
        <v>8437</v>
      </c>
      <c r="C3008" s="487">
        <v>10000</v>
      </c>
      <c r="H3008" s="483" t="s">
        <v>8439</v>
      </c>
    </row>
    <row r="3009" spans="1:8">
      <c r="A3009" s="483" t="s">
        <v>8440</v>
      </c>
      <c r="D3009" s="483">
        <v>29400</v>
      </c>
      <c r="E3009" s="329"/>
      <c r="F3009" s="329"/>
      <c r="H3009" s="483" t="s">
        <v>8441</v>
      </c>
    </row>
    <row r="3010" spans="1:8">
      <c r="A3010" s="483" t="s">
        <v>8440</v>
      </c>
      <c r="E3010" s="329">
        <v>600</v>
      </c>
      <c r="F3010" s="329">
        <v>3053</v>
      </c>
      <c r="G3010" s="483" t="s">
        <v>7776</v>
      </c>
      <c r="H3010" s="483" t="s">
        <v>8442</v>
      </c>
    </row>
    <row r="3011" spans="1:8">
      <c r="A3011" s="483" t="s">
        <v>8440</v>
      </c>
      <c r="E3011" s="329">
        <v>100</v>
      </c>
      <c r="F3011" s="329">
        <v>2953</v>
      </c>
      <c r="G3011" s="483" t="s">
        <v>7776</v>
      </c>
      <c r="H3011" s="483" t="s">
        <v>8442</v>
      </c>
    </row>
    <row r="3012" spans="1:8">
      <c r="A3012" s="483" t="s">
        <v>8443</v>
      </c>
      <c r="E3012" s="483">
        <v>100</v>
      </c>
      <c r="F3012" s="329">
        <v>2853</v>
      </c>
      <c r="G3012" s="483" t="s">
        <v>7776</v>
      </c>
      <c r="H3012" s="483" t="s">
        <v>7876</v>
      </c>
    </row>
    <row r="3013" spans="1:8">
      <c r="A3013" s="483" t="s">
        <v>8444</v>
      </c>
      <c r="E3013" s="329">
        <v>800</v>
      </c>
      <c r="F3013" s="329">
        <v>2053</v>
      </c>
      <c r="G3013" s="483" t="s">
        <v>7776</v>
      </c>
      <c r="H3013" s="483" t="s">
        <v>8445</v>
      </c>
    </row>
    <row r="3014" spans="1:8">
      <c r="A3014" s="483" t="s">
        <v>8446</v>
      </c>
      <c r="C3014" s="483">
        <v>27218</v>
      </c>
      <c r="H3014" s="483" t="s">
        <v>8447</v>
      </c>
    </row>
    <row r="3015" spans="1:8">
      <c r="A3015" s="483" t="s">
        <v>8446</v>
      </c>
      <c r="C3015" s="483">
        <v>30250</v>
      </c>
      <c r="D3015" s="487" t="s">
        <v>8448</v>
      </c>
      <c r="H3015" s="483" t="s">
        <v>8449</v>
      </c>
    </row>
    <row r="3016" spans="1:8">
      <c r="A3016" s="483" t="s">
        <v>8446</v>
      </c>
      <c r="D3016" s="487" t="s">
        <v>8450</v>
      </c>
      <c r="H3016" s="483" t="s">
        <v>8451</v>
      </c>
    </row>
    <row r="3017" spans="1:8">
      <c r="A3017" s="483" t="s">
        <v>8446</v>
      </c>
      <c r="C3017" s="483">
        <v>7303</v>
      </c>
      <c r="E3017" s="483">
        <v>29400</v>
      </c>
      <c r="H3017" s="483" t="s">
        <v>8452</v>
      </c>
    </row>
    <row r="3018" spans="1:8">
      <c r="A3018" s="483" t="s">
        <v>8453</v>
      </c>
      <c r="E3018" s="483">
        <v>100</v>
      </c>
      <c r="F3018" s="329">
        <v>1953</v>
      </c>
      <c r="G3018" s="483" t="s">
        <v>7755</v>
      </c>
      <c r="H3018" s="483" t="s">
        <v>8454</v>
      </c>
    </row>
    <row r="3019" spans="1:8">
      <c r="A3019" s="483" t="s">
        <v>8453</v>
      </c>
      <c r="E3019" s="329">
        <v>84</v>
      </c>
      <c r="F3019" s="329">
        <v>1869</v>
      </c>
      <c r="G3019" s="483" t="s">
        <v>7767</v>
      </c>
      <c r="H3019" s="483" t="s">
        <v>8455</v>
      </c>
    </row>
    <row r="3020" spans="1:8">
      <c r="A3020" s="483" t="s">
        <v>8456</v>
      </c>
      <c r="C3020" s="483">
        <v>1196</v>
      </c>
      <c r="H3020" s="483" t="s">
        <v>8457</v>
      </c>
    </row>
    <row r="3021" spans="1:8">
      <c r="A3021" s="483" t="s">
        <v>8458</v>
      </c>
      <c r="D3021" s="483">
        <v>3150</v>
      </c>
      <c r="F3021" s="483">
        <v>5019</v>
      </c>
      <c r="H3021" s="483" t="s">
        <v>8459</v>
      </c>
    </row>
    <row r="3022" spans="1:8">
      <c r="A3022" s="483" t="s">
        <v>8460</v>
      </c>
      <c r="C3022" s="483">
        <v>69000</v>
      </c>
      <c r="H3022" s="483" t="s">
        <v>8461</v>
      </c>
    </row>
    <row r="3023" spans="1:8">
      <c r="A3023" s="483" t="s">
        <v>8462</v>
      </c>
      <c r="C3023" s="483">
        <v>3658</v>
      </c>
      <c r="H3023" s="483" t="s">
        <v>8461</v>
      </c>
    </row>
    <row r="3024" spans="1:8">
      <c r="A3024" s="483" t="s">
        <v>8463</v>
      </c>
      <c r="E3024" s="483">
        <v>35</v>
      </c>
      <c r="F3024" s="329">
        <v>4984</v>
      </c>
      <c r="G3024" s="483" t="s">
        <v>7755</v>
      </c>
      <c r="H3024" s="483" t="s">
        <v>8464</v>
      </c>
    </row>
    <row r="3025" spans="1:8">
      <c r="A3025" s="483" t="s">
        <v>8465</v>
      </c>
      <c r="E3025" s="329">
        <v>1205</v>
      </c>
      <c r="F3025" s="329">
        <v>3779</v>
      </c>
      <c r="G3025" s="483" t="s">
        <v>7763</v>
      </c>
      <c r="H3025" s="483" t="s">
        <v>8466</v>
      </c>
    </row>
    <row r="3026" spans="1:8">
      <c r="A3026" s="483" t="s">
        <v>8467</v>
      </c>
      <c r="E3026" s="329">
        <v>70</v>
      </c>
      <c r="F3026" s="329">
        <v>3709</v>
      </c>
      <c r="G3026" s="483" t="s">
        <v>7776</v>
      </c>
      <c r="H3026" s="483" t="s">
        <v>8468</v>
      </c>
    </row>
    <row r="3027" spans="1:8">
      <c r="A3027" s="483" t="s">
        <v>5451</v>
      </c>
      <c r="E3027" s="483">
        <v>70</v>
      </c>
      <c r="F3027" s="329">
        <v>3639</v>
      </c>
      <c r="G3027" s="483" t="s">
        <v>7774</v>
      </c>
      <c r="H3027" s="483" t="s">
        <v>8469</v>
      </c>
    </row>
    <row r="3028" spans="1:8">
      <c r="A3028" s="483" t="s">
        <v>8470</v>
      </c>
      <c r="C3028" s="483">
        <v>17000</v>
      </c>
      <c r="H3028" s="483" t="s">
        <v>8471</v>
      </c>
    </row>
    <row r="3029" spans="1:8">
      <c r="A3029" s="483" t="s">
        <v>8472</v>
      </c>
      <c r="C3029" s="483">
        <v>27218</v>
      </c>
      <c r="H3029" s="483" t="s">
        <v>8473</v>
      </c>
    </row>
    <row r="3030" spans="1:8">
      <c r="A3030" s="483" t="s">
        <v>8472</v>
      </c>
      <c r="C3030" s="483">
        <v>50000</v>
      </c>
      <c r="D3030" s="487"/>
      <c r="H3030" s="483" t="s">
        <v>8474</v>
      </c>
    </row>
    <row r="3031" spans="1:8">
      <c r="A3031" s="483" t="s">
        <v>8472</v>
      </c>
      <c r="D3031" s="487" t="s">
        <v>8475</v>
      </c>
      <c r="H3031" s="483" t="s">
        <v>8476</v>
      </c>
    </row>
    <row r="3032" spans="1:8">
      <c r="A3032" s="483" t="s">
        <v>8472</v>
      </c>
      <c r="C3032" s="483">
        <v>41454</v>
      </c>
      <c r="D3032" s="487" t="s">
        <v>8477</v>
      </c>
      <c r="E3032" s="487"/>
      <c r="H3032" s="483" t="s">
        <v>8478</v>
      </c>
    </row>
    <row r="3033" spans="1:8">
      <c r="A3033" s="483" t="s">
        <v>8472</v>
      </c>
      <c r="D3033" s="487" t="s">
        <v>8479</v>
      </c>
      <c r="E3033" s="487" t="s">
        <v>8480</v>
      </c>
      <c r="H3033" s="483" t="s">
        <v>8481</v>
      </c>
    </row>
    <row r="3034" spans="1:8">
      <c r="A3034" s="483" t="s">
        <v>8472</v>
      </c>
      <c r="C3034" s="483">
        <v>32275</v>
      </c>
      <c r="H3034" s="483" t="s">
        <v>8482</v>
      </c>
    </row>
    <row r="3035" spans="1:8">
      <c r="A3035" s="483" t="s">
        <v>8472</v>
      </c>
      <c r="C3035" s="483">
        <v>2167</v>
      </c>
      <c r="H3035" s="483" t="s">
        <v>8483</v>
      </c>
    </row>
    <row r="3036" spans="1:8">
      <c r="A3036" s="483" t="s">
        <v>8472</v>
      </c>
      <c r="E3036" s="329">
        <v>32</v>
      </c>
      <c r="F3036" s="329">
        <v>3607</v>
      </c>
      <c r="G3036" s="483" t="s">
        <v>7767</v>
      </c>
      <c r="H3036" s="483" t="s">
        <v>8484</v>
      </c>
    </row>
    <row r="3037" spans="1:8">
      <c r="A3037" s="483" t="s">
        <v>8472</v>
      </c>
      <c r="E3037" s="329">
        <v>199</v>
      </c>
      <c r="F3037" s="329">
        <v>3408</v>
      </c>
      <c r="G3037" s="329" t="s">
        <v>7779</v>
      </c>
      <c r="H3037" s="483" t="s">
        <v>8485</v>
      </c>
    </row>
    <row r="3038" spans="1:8">
      <c r="A3038" s="483" t="s">
        <v>8486</v>
      </c>
      <c r="E3038" s="329">
        <v>200</v>
      </c>
      <c r="F3038" s="329">
        <v>3208</v>
      </c>
      <c r="G3038" s="483" t="s">
        <v>7776</v>
      </c>
      <c r="H3038" s="483" t="s">
        <v>8487</v>
      </c>
    </row>
    <row r="3039" spans="1:8" ht="49.5">
      <c r="A3039" s="483" t="s">
        <v>8488</v>
      </c>
      <c r="C3039" s="483">
        <v>20000</v>
      </c>
      <c r="E3039" s="329"/>
      <c r="F3039" s="329"/>
      <c r="H3039" s="489" t="s">
        <v>8489</v>
      </c>
    </row>
    <row r="3040" spans="1:8">
      <c r="A3040" s="483" t="s">
        <v>8488</v>
      </c>
      <c r="C3040" s="483">
        <v>20000</v>
      </c>
      <c r="D3040" s="487"/>
      <c r="E3040" s="487"/>
      <c r="H3040" s="483" t="s">
        <v>8490</v>
      </c>
    </row>
    <row r="3041" spans="1:8">
      <c r="A3041" s="483" t="s">
        <v>8488</v>
      </c>
      <c r="C3041" s="483">
        <v>61454</v>
      </c>
      <c r="D3041" s="487"/>
      <c r="E3041" s="487"/>
      <c r="H3041" s="483" t="s">
        <v>8491</v>
      </c>
    </row>
    <row r="3042" spans="1:8">
      <c r="A3042" s="483" t="s">
        <v>8488</v>
      </c>
      <c r="C3042" s="483">
        <v>33000</v>
      </c>
      <c r="D3042" s="487"/>
      <c r="H3042" s="483" t="s">
        <v>8492</v>
      </c>
    </row>
    <row r="3043" spans="1:8" ht="132">
      <c r="A3043" s="483" t="s">
        <v>8488</v>
      </c>
      <c r="C3043" s="483">
        <v>175830</v>
      </c>
      <c r="H3043" s="486" t="s">
        <v>8493</v>
      </c>
    </row>
    <row r="3044" spans="1:8" ht="231">
      <c r="A3044" s="483" t="s">
        <v>8494</v>
      </c>
      <c r="H3044" s="486" t="s">
        <v>8495</v>
      </c>
    </row>
    <row r="3045" spans="1:8">
      <c r="A3045" s="483" t="s">
        <v>8496</v>
      </c>
      <c r="E3045" s="329">
        <v>1205</v>
      </c>
      <c r="F3045" s="329">
        <v>2003</v>
      </c>
      <c r="G3045" s="483" t="s">
        <v>7763</v>
      </c>
      <c r="H3045" s="483" t="s">
        <v>8466</v>
      </c>
    </row>
    <row r="3046" spans="1:8">
      <c r="A3046" s="483" t="s">
        <v>8497</v>
      </c>
      <c r="E3046" s="329">
        <v>18</v>
      </c>
      <c r="F3046" s="329">
        <v>1985</v>
      </c>
      <c r="G3046" s="483" t="s">
        <v>7767</v>
      </c>
      <c r="H3046" s="483" t="s">
        <v>8498</v>
      </c>
    </row>
    <row r="3047" spans="1:8">
      <c r="A3047" s="483" t="s">
        <v>8497</v>
      </c>
      <c r="C3047" s="483">
        <v>17000</v>
      </c>
      <c r="H3047" s="483" t="s">
        <v>8499</v>
      </c>
    </row>
    <row r="3048" spans="1:8">
      <c r="A3048" s="483" t="s">
        <v>8500</v>
      </c>
      <c r="E3048" s="483">
        <v>25</v>
      </c>
      <c r="F3048" s="329">
        <v>1960</v>
      </c>
      <c r="G3048" s="483" t="s">
        <v>7755</v>
      </c>
      <c r="H3048" s="483" t="s">
        <v>8501</v>
      </c>
    </row>
    <row r="3049" spans="1:8">
      <c r="A3049" s="483" t="s">
        <v>8502</v>
      </c>
      <c r="C3049" s="483">
        <v>27218</v>
      </c>
      <c r="H3049" s="483" t="s">
        <v>8503</v>
      </c>
    </row>
    <row r="3050" spans="1:8">
      <c r="A3050" s="483" t="s">
        <v>8502</v>
      </c>
      <c r="C3050" s="483">
        <v>18000</v>
      </c>
      <c r="D3050" s="487"/>
      <c r="H3050" s="483" t="s">
        <v>8504</v>
      </c>
    </row>
    <row r="3051" spans="1:8">
      <c r="A3051" s="483" t="s">
        <v>8505</v>
      </c>
      <c r="C3051" s="483">
        <v>15000</v>
      </c>
      <c r="D3051" s="487" t="s">
        <v>8506</v>
      </c>
      <c r="E3051" s="487"/>
      <c r="H3051" s="483" t="s">
        <v>8507</v>
      </c>
    </row>
    <row r="3052" spans="1:8">
      <c r="A3052" s="483" t="s">
        <v>8505</v>
      </c>
      <c r="C3052" s="483">
        <v>2650</v>
      </c>
      <c r="H3052" s="483" t="s">
        <v>8508</v>
      </c>
    </row>
    <row r="3053" spans="1:8">
      <c r="A3053" s="483" t="s">
        <v>8509</v>
      </c>
      <c r="C3053" s="483">
        <v>31264</v>
      </c>
      <c r="H3053" s="483" t="s">
        <v>8510</v>
      </c>
    </row>
    <row r="3054" spans="1:8">
      <c r="A3054" s="483" t="s">
        <v>8511</v>
      </c>
      <c r="E3054" s="329">
        <v>28</v>
      </c>
      <c r="F3054" s="329">
        <v>1932</v>
      </c>
      <c r="G3054" s="483" t="s">
        <v>7759</v>
      </c>
      <c r="H3054" s="483" t="s">
        <v>8512</v>
      </c>
    </row>
    <row r="3055" spans="1:8">
      <c r="A3055" s="483" t="s">
        <v>8513</v>
      </c>
      <c r="E3055" s="329">
        <v>1205</v>
      </c>
      <c r="F3055" s="329">
        <v>727</v>
      </c>
      <c r="G3055" s="483" t="s">
        <v>7763</v>
      </c>
      <c r="H3055" s="483" t="s">
        <v>8514</v>
      </c>
    </row>
    <row r="3056" spans="1:8">
      <c r="A3056" s="483" t="s">
        <v>8515</v>
      </c>
      <c r="E3056" s="483">
        <v>169</v>
      </c>
      <c r="F3056" s="329">
        <v>558</v>
      </c>
      <c r="G3056" s="483" t="s">
        <v>7767</v>
      </c>
      <c r="H3056" s="483" t="s">
        <v>7805</v>
      </c>
    </row>
    <row r="3057" spans="1:8">
      <c r="A3057" s="483" t="s">
        <v>8516</v>
      </c>
      <c r="E3057" s="329">
        <v>189</v>
      </c>
      <c r="F3057" s="329">
        <v>369</v>
      </c>
      <c r="G3057" s="329" t="s">
        <v>7779</v>
      </c>
      <c r="H3057" s="483" t="s">
        <v>8517</v>
      </c>
    </row>
    <row r="3058" spans="1:8">
      <c r="A3058" s="483" t="s">
        <v>8516</v>
      </c>
      <c r="D3058" s="483">
        <v>5000</v>
      </c>
      <c r="E3058" s="329"/>
      <c r="F3058" s="329">
        <v>5369</v>
      </c>
      <c r="H3058" s="483" t="s">
        <v>7766</v>
      </c>
    </row>
    <row r="3059" spans="1:8">
      <c r="A3059" s="483" t="s">
        <v>8516</v>
      </c>
      <c r="E3059" s="483">
        <v>535</v>
      </c>
      <c r="F3059" s="329">
        <v>4834</v>
      </c>
      <c r="G3059" s="483" t="s">
        <v>7755</v>
      </c>
      <c r="H3059" s="483" t="s">
        <v>8518</v>
      </c>
    </row>
    <row r="3060" spans="1:8">
      <c r="A3060" s="483" t="s">
        <v>8516</v>
      </c>
      <c r="E3060" s="329">
        <v>352</v>
      </c>
      <c r="F3060" s="329">
        <v>4482</v>
      </c>
      <c r="G3060" s="483" t="s">
        <v>7759</v>
      </c>
      <c r="H3060" s="483" t="s">
        <v>8519</v>
      </c>
    </row>
    <row r="3061" spans="1:8">
      <c r="A3061" s="483" t="s">
        <v>8520</v>
      </c>
      <c r="C3061" s="483">
        <v>17000</v>
      </c>
      <c r="H3061" s="483" t="s">
        <v>8521</v>
      </c>
    </row>
    <row r="3062" spans="1:8">
      <c r="A3062" s="483" t="s">
        <v>8522</v>
      </c>
      <c r="E3062" s="483">
        <v>196</v>
      </c>
      <c r="F3062" s="329">
        <v>4286</v>
      </c>
      <c r="G3062" s="483" t="s">
        <v>7755</v>
      </c>
      <c r="H3062" s="483" t="s">
        <v>8523</v>
      </c>
    </row>
    <row r="3063" spans="1:8">
      <c r="A3063" s="483" t="s">
        <v>8522</v>
      </c>
      <c r="C3063" s="483">
        <v>26897</v>
      </c>
      <c r="H3063" s="483" t="s">
        <v>8524</v>
      </c>
    </row>
    <row r="3064" spans="1:8">
      <c r="A3064" s="483" t="s">
        <v>8522</v>
      </c>
      <c r="C3064" s="483">
        <v>26000</v>
      </c>
      <c r="D3064" s="487"/>
      <c r="H3064" s="483" t="s">
        <v>8525</v>
      </c>
    </row>
    <row r="3065" spans="1:8">
      <c r="A3065" s="483" t="s">
        <v>8526</v>
      </c>
      <c r="C3065" s="483">
        <v>46454</v>
      </c>
      <c r="D3065" s="487"/>
      <c r="E3065" s="487"/>
      <c r="H3065" s="483" t="s">
        <v>8527</v>
      </c>
    </row>
    <row r="3066" spans="1:8">
      <c r="A3066" s="483" t="s">
        <v>8526</v>
      </c>
      <c r="C3066" s="483">
        <v>2516</v>
      </c>
      <c r="H3066" s="483" t="s">
        <v>8528</v>
      </c>
    </row>
    <row r="3067" spans="1:8">
      <c r="A3067" s="483" t="s">
        <v>8526</v>
      </c>
      <c r="C3067" s="483">
        <v>25003</v>
      </c>
      <c r="H3067" s="483" t="s">
        <v>8529</v>
      </c>
    </row>
    <row r="3068" spans="1:8">
      <c r="A3068" s="483" t="s">
        <v>8526</v>
      </c>
      <c r="E3068" s="483">
        <v>28</v>
      </c>
      <c r="F3068" s="329">
        <v>4258</v>
      </c>
      <c r="G3068" s="483" t="s">
        <v>7755</v>
      </c>
      <c r="H3068" s="483" t="s">
        <v>8530</v>
      </c>
    </row>
    <row r="3069" spans="1:8">
      <c r="A3069" s="483" t="s">
        <v>8531</v>
      </c>
      <c r="E3069" s="329">
        <v>430</v>
      </c>
      <c r="F3069" s="329">
        <v>3828</v>
      </c>
      <c r="G3069" s="483" t="s">
        <v>7776</v>
      </c>
      <c r="H3069" s="483" t="s">
        <v>8532</v>
      </c>
    </row>
    <row r="3070" spans="1:8">
      <c r="A3070" s="483" t="s">
        <v>8531</v>
      </c>
      <c r="E3070" s="329">
        <v>355</v>
      </c>
      <c r="F3070" s="329">
        <v>3473</v>
      </c>
      <c r="G3070" s="483" t="s">
        <v>7776</v>
      </c>
      <c r="H3070" s="483" t="s">
        <v>8532</v>
      </c>
    </row>
    <row r="3071" spans="1:8">
      <c r="A3071" s="483" t="s">
        <v>8533</v>
      </c>
      <c r="E3071" s="483">
        <v>28</v>
      </c>
      <c r="F3071" s="329">
        <v>3445</v>
      </c>
      <c r="G3071" s="483" t="s">
        <v>7755</v>
      </c>
      <c r="H3071" s="483" t="s">
        <v>8534</v>
      </c>
    </row>
    <row r="3072" spans="1:8">
      <c r="A3072" s="483" t="s">
        <v>8535</v>
      </c>
      <c r="E3072" s="329">
        <v>121</v>
      </c>
      <c r="F3072" s="329">
        <v>3324</v>
      </c>
      <c r="G3072" s="483" t="s">
        <v>7755</v>
      </c>
      <c r="H3072" s="483" t="s">
        <v>8536</v>
      </c>
    </row>
    <row r="3073" spans="1:8">
      <c r="A3073" s="483" t="s">
        <v>8537</v>
      </c>
      <c r="E3073" s="329">
        <v>50</v>
      </c>
      <c r="F3073" s="329">
        <v>3274</v>
      </c>
      <c r="G3073" s="483" t="s">
        <v>7767</v>
      </c>
      <c r="H3073" s="483" t="s">
        <v>8538</v>
      </c>
    </row>
    <row r="3074" spans="1:8">
      <c r="A3074" s="483" t="s">
        <v>8537</v>
      </c>
      <c r="E3074" s="329">
        <v>1458</v>
      </c>
      <c r="F3074" s="329">
        <v>1816</v>
      </c>
      <c r="G3074" s="483" t="s">
        <v>7763</v>
      </c>
      <c r="H3074" s="483" t="s">
        <v>8539</v>
      </c>
    </row>
    <row r="3075" spans="1:8">
      <c r="A3075" s="483" t="s">
        <v>8540</v>
      </c>
      <c r="E3075" s="329">
        <v>28</v>
      </c>
      <c r="F3075" s="329">
        <v>1788</v>
      </c>
      <c r="G3075" s="483" t="s">
        <v>7755</v>
      </c>
      <c r="H3075" s="483" t="s">
        <v>8541</v>
      </c>
    </row>
    <row r="3076" spans="1:8">
      <c r="A3076" s="483" t="s">
        <v>8542</v>
      </c>
      <c r="C3076" s="483">
        <v>61454</v>
      </c>
      <c r="D3076" s="487"/>
      <c r="E3076" s="487"/>
      <c r="H3076" s="483" t="s">
        <v>8543</v>
      </c>
    </row>
    <row r="3077" spans="1:8">
      <c r="A3077" s="483" t="s">
        <v>8544</v>
      </c>
      <c r="E3077" s="329">
        <v>140</v>
      </c>
      <c r="F3077" s="329">
        <v>1648</v>
      </c>
      <c r="G3077" s="483" t="s">
        <v>7776</v>
      </c>
      <c r="H3077" s="483" t="s">
        <v>8545</v>
      </c>
    </row>
    <row r="3078" spans="1:8">
      <c r="A3078" s="483" t="s">
        <v>8546</v>
      </c>
      <c r="C3078" s="483">
        <v>17000</v>
      </c>
      <c r="H3078" s="483" t="s">
        <v>8547</v>
      </c>
    </row>
    <row r="3079" spans="1:8" ht="66">
      <c r="A3079" s="483" t="s">
        <v>8548</v>
      </c>
      <c r="E3079" s="329"/>
      <c r="F3079" s="329"/>
      <c r="H3079" s="486" t="s">
        <v>8549</v>
      </c>
    </row>
    <row r="3080" spans="1:8">
      <c r="A3080" s="483" t="s">
        <v>8548</v>
      </c>
      <c r="C3080" s="483">
        <v>26897</v>
      </c>
      <c r="H3080" s="483" t="s">
        <v>8550</v>
      </c>
    </row>
    <row r="3081" spans="1:8">
      <c r="A3081" s="483" t="s">
        <v>8548</v>
      </c>
      <c r="C3081" s="483">
        <v>37500</v>
      </c>
      <c r="D3081" s="487"/>
      <c r="H3081" s="483" t="s">
        <v>8551</v>
      </c>
    </row>
    <row r="3082" spans="1:8">
      <c r="A3082" s="483" t="s">
        <v>8552</v>
      </c>
      <c r="C3082" s="483">
        <v>10057</v>
      </c>
      <c r="H3082" s="483" t="s">
        <v>8553</v>
      </c>
    </row>
    <row r="3083" spans="1:8">
      <c r="A3083" s="483" t="s">
        <v>8554</v>
      </c>
      <c r="E3083" s="483">
        <v>60</v>
      </c>
      <c r="F3083" s="329">
        <v>1588</v>
      </c>
      <c r="G3083" s="483" t="s">
        <v>7755</v>
      </c>
      <c r="H3083" s="483" t="s">
        <v>8555</v>
      </c>
    </row>
    <row r="3084" spans="1:8" ht="297">
      <c r="A3084" s="483" t="s">
        <v>8556</v>
      </c>
      <c r="C3084" s="483">
        <v>62750</v>
      </c>
      <c r="D3084" s="483" t="s">
        <v>8557</v>
      </c>
      <c r="H3084" s="486" t="s">
        <v>8558</v>
      </c>
    </row>
    <row r="3085" spans="1:8">
      <c r="A3085" s="483" t="s">
        <v>8559</v>
      </c>
      <c r="C3085" s="483">
        <v>16458</v>
      </c>
      <c r="H3085" s="483" t="s">
        <v>8560</v>
      </c>
    </row>
    <row r="3086" spans="1:8">
      <c r="A3086" s="483" t="s">
        <v>8559</v>
      </c>
      <c r="E3086" s="329">
        <v>100</v>
      </c>
      <c r="F3086" s="329">
        <v>1488</v>
      </c>
      <c r="G3086" s="483" t="s">
        <v>7776</v>
      </c>
      <c r="H3086" s="483" t="s">
        <v>8545</v>
      </c>
    </row>
    <row r="3087" spans="1:8">
      <c r="A3087" s="483" t="s">
        <v>8561</v>
      </c>
      <c r="E3087" s="483">
        <v>44</v>
      </c>
      <c r="F3087" s="329">
        <v>1444</v>
      </c>
      <c r="G3087" s="483" t="s">
        <v>7755</v>
      </c>
      <c r="H3087" s="483" t="s">
        <v>8562</v>
      </c>
    </row>
    <row r="3088" spans="1:8">
      <c r="A3088" s="483" t="s">
        <v>8563</v>
      </c>
      <c r="E3088" s="483">
        <v>28</v>
      </c>
      <c r="F3088" s="329">
        <v>1416</v>
      </c>
      <c r="G3088" s="483" t="s">
        <v>7755</v>
      </c>
      <c r="H3088" s="483" t="s">
        <v>8564</v>
      </c>
    </row>
    <row r="3089" spans="1:8">
      <c r="A3089" s="483" t="s">
        <v>8565</v>
      </c>
      <c r="E3089" s="483">
        <v>100</v>
      </c>
      <c r="F3089" s="329">
        <v>1316</v>
      </c>
      <c r="G3089" s="483" t="s">
        <v>7776</v>
      </c>
      <c r="H3089" s="483" t="s">
        <v>8566</v>
      </c>
    </row>
    <row r="3090" spans="1:8">
      <c r="A3090" s="483" t="s">
        <v>8567</v>
      </c>
      <c r="C3090" s="483">
        <v>61454</v>
      </c>
      <c r="D3090" s="487"/>
      <c r="E3090" s="487"/>
      <c r="H3090" s="483" t="s">
        <v>8568</v>
      </c>
    </row>
    <row r="3091" spans="1:8">
      <c r="A3091" s="483" t="s">
        <v>8569</v>
      </c>
      <c r="E3091" s="329">
        <v>199</v>
      </c>
      <c r="F3091" s="329">
        <v>1117</v>
      </c>
      <c r="G3091" s="329" t="s">
        <v>7779</v>
      </c>
      <c r="H3091" s="483" t="s">
        <v>8570</v>
      </c>
    </row>
    <row r="3092" spans="1:8" ht="49.5">
      <c r="A3092" s="483" t="s">
        <v>8571</v>
      </c>
      <c r="C3092" s="483">
        <v>12000</v>
      </c>
      <c r="E3092" s="329"/>
      <c r="F3092" s="329"/>
      <c r="H3092" s="486" t="s">
        <v>8572</v>
      </c>
    </row>
    <row r="3093" spans="1:8">
      <c r="A3093" s="483" t="s">
        <v>8571</v>
      </c>
      <c r="C3093" s="483">
        <v>25330</v>
      </c>
      <c r="H3093" s="483" t="s">
        <v>8573</v>
      </c>
    </row>
    <row r="3094" spans="1:8">
      <c r="A3094" s="483" t="s">
        <v>8571</v>
      </c>
      <c r="D3094" s="483">
        <v>5000</v>
      </c>
      <c r="E3094" s="329"/>
      <c r="F3094" s="329">
        <v>6117</v>
      </c>
      <c r="H3094" s="483" t="s">
        <v>7766</v>
      </c>
    </row>
    <row r="3095" spans="1:8">
      <c r="A3095" s="483" t="s">
        <v>8571</v>
      </c>
      <c r="E3095" s="329">
        <v>1458</v>
      </c>
      <c r="F3095" s="329">
        <v>4659</v>
      </c>
      <c r="G3095" s="483" t="s">
        <v>7763</v>
      </c>
      <c r="H3095" s="483" t="s">
        <v>8574</v>
      </c>
    </row>
    <row r="3096" spans="1:8">
      <c r="A3096" s="483" t="s">
        <v>8571</v>
      </c>
      <c r="E3096" s="483">
        <v>28</v>
      </c>
      <c r="F3096" s="329">
        <v>4631</v>
      </c>
      <c r="G3096" s="483" t="s">
        <v>7755</v>
      </c>
      <c r="H3096" s="483" t="s">
        <v>8575</v>
      </c>
    </row>
    <row r="3097" spans="1:8">
      <c r="A3097" s="483" t="s">
        <v>8576</v>
      </c>
      <c r="E3097" s="483">
        <v>100</v>
      </c>
      <c r="F3097" s="329">
        <v>4531</v>
      </c>
      <c r="G3097" s="483" t="s">
        <v>7776</v>
      </c>
      <c r="H3097" s="483" t="s">
        <v>8577</v>
      </c>
    </row>
    <row r="3098" spans="1:8">
      <c r="A3098" s="483" t="s">
        <v>8576</v>
      </c>
      <c r="C3098" s="483">
        <v>26897</v>
      </c>
      <c r="H3098" s="483" t="s">
        <v>8578</v>
      </c>
    </row>
    <row r="3099" spans="1:8">
      <c r="A3099" s="483" t="s">
        <v>8576</v>
      </c>
      <c r="C3099" s="483">
        <v>12800</v>
      </c>
      <c r="D3099" s="487"/>
      <c r="H3099" s="483" t="s">
        <v>8579</v>
      </c>
    </row>
    <row r="3100" spans="1:8">
      <c r="A3100" s="483" t="s">
        <v>8580</v>
      </c>
      <c r="E3100" s="329">
        <v>280</v>
      </c>
      <c r="F3100" s="329">
        <v>4251</v>
      </c>
      <c r="G3100" s="483" t="s">
        <v>7774</v>
      </c>
      <c r="H3100" s="483" t="s">
        <v>8581</v>
      </c>
    </row>
    <row r="3101" spans="1:8">
      <c r="A3101" s="483" t="s">
        <v>8582</v>
      </c>
      <c r="E3101" s="329">
        <v>18</v>
      </c>
      <c r="F3101" s="329">
        <v>4233</v>
      </c>
      <c r="G3101" s="483" t="s">
        <v>7767</v>
      </c>
      <c r="H3101" s="483" t="s">
        <v>8583</v>
      </c>
    </row>
    <row r="3102" spans="1:8">
      <c r="A3102" s="483" t="s">
        <v>8582</v>
      </c>
      <c r="E3102" s="329">
        <v>285</v>
      </c>
      <c r="F3102" s="329">
        <v>3948</v>
      </c>
      <c r="G3102" s="483" t="s">
        <v>7776</v>
      </c>
      <c r="H3102" s="483" t="s">
        <v>8584</v>
      </c>
    </row>
    <row r="3103" spans="1:8">
      <c r="A3103" s="483" t="s">
        <v>8582</v>
      </c>
      <c r="E3103" s="329">
        <v>300</v>
      </c>
      <c r="F3103" s="329">
        <v>3648</v>
      </c>
      <c r="G3103" s="483" t="s">
        <v>7776</v>
      </c>
      <c r="H3103" s="483" t="s">
        <v>8584</v>
      </c>
    </row>
    <row r="3104" spans="1:8">
      <c r="A3104" s="483" t="s">
        <v>8582</v>
      </c>
      <c r="E3104" s="329">
        <v>95</v>
      </c>
      <c r="F3104" s="329">
        <v>3553</v>
      </c>
      <c r="G3104" s="483" t="s">
        <v>7776</v>
      </c>
      <c r="H3104" s="483" t="s">
        <v>8585</v>
      </c>
    </row>
    <row r="3105" spans="1:8">
      <c r="A3105" s="483" t="s">
        <v>8582</v>
      </c>
      <c r="E3105" s="329">
        <v>245</v>
      </c>
      <c r="F3105" s="329">
        <v>3308</v>
      </c>
      <c r="G3105" s="483" t="s">
        <v>7776</v>
      </c>
      <c r="H3105" s="483" t="s">
        <v>8586</v>
      </c>
    </row>
    <row r="3106" spans="1:8">
      <c r="A3106" s="483" t="s">
        <v>8587</v>
      </c>
      <c r="E3106" s="329">
        <v>1458</v>
      </c>
      <c r="F3106" s="329">
        <v>1850</v>
      </c>
      <c r="G3106" s="483" t="s">
        <v>7763</v>
      </c>
      <c r="H3106" s="483" t="s">
        <v>8588</v>
      </c>
    </row>
    <row r="3107" spans="1:8">
      <c r="A3107" s="483" t="s">
        <v>8589</v>
      </c>
      <c r="E3107" s="329">
        <v>92</v>
      </c>
      <c r="F3107" s="329">
        <v>1758</v>
      </c>
      <c r="G3107" s="483" t="s">
        <v>7755</v>
      </c>
      <c r="H3107" s="483" t="s">
        <v>8590</v>
      </c>
    </row>
    <row r="3108" spans="1:8">
      <c r="A3108" s="483" t="s">
        <v>8589</v>
      </c>
      <c r="E3108" s="483">
        <v>84</v>
      </c>
      <c r="F3108" s="329">
        <v>1674</v>
      </c>
      <c r="G3108" s="483" t="s">
        <v>7755</v>
      </c>
      <c r="H3108" s="483" t="s">
        <v>8591</v>
      </c>
    </row>
    <row r="3109" spans="1:8">
      <c r="A3109" s="483" t="s">
        <v>8592</v>
      </c>
      <c r="C3109" s="483">
        <v>17000</v>
      </c>
      <c r="H3109" s="483" t="s">
        <v>8593</v>
      </c>
    </row>
    <row r="3110" spans="1:8">
      <c r="A3110" s="483" t="s">
        <v>5603</v>
      </c>
      <c r="C3110" s="483">
        <v>61454</v>
      </c>
      <c r="D3110" s="487"/>
      <c r="E3110" s="487"/>
      <c r="H3110" s="483" t="s">
        <v>8594</v>
      </c>
    </row>
    <row r="3111" spans="1:8">
      <c r="A3111" s="483" t="s">
        <v>8595</v>
      </c>
      <c r="C3111" s="483">
        <v>15000</v>
      </c>
      <c r="D3111" s="487"/>
      <c r="H3111" s="483" t="s">
        <v>8596</v>
      </c>
    </row>
    <row r="3112" spans="1:8">
      <c r="A3112" s="483" t="s">
        <v>8595</v>
      </c>
      <c r="C3112" s="483">
        <v>26897</v>
      </c>
      <c r="H3112" s="483" t="s">
        <v>8597</v>
      </c>
    </row>
    <row r="3113" spans="1:8">
      <c r="A3113" s="483" t="s">
        <v>8598</v>
      </c>
      <c r="E3113" s="329">
        <v>48</v>
      </c>
      <c r="F3113" s="329">
        <v>1626</v>
      </c>
      <c r="G3113" s="483" t="s">
        <v>7776</v>
      </c>
      <c r="H3113" s="483" t="s">
        <v>8599</v>
      </c>
    </row>
    <row r="3114" spans="1:8">
      <c r="A3114" s="483" t="s">
        <v>8600</v>
      </c>
      <c r="C3114" s="483">
        <v>12314</v>
      </c>
      <c r="H3114" s="483" t="s">
        <v>8601</v>
      </c>
    </row>
    <row r="3115" spans="1:8">
      <c r="A3115" s="483" t="s">
        <v>8600</v>
      </c>
      <c r="C3115" s="483">
        <v>61454</v>
      </c>
      <c r="D3115" s="487"/>
      <c r="E3115" s="487"/>
      <c r="H3115" s="483" t="s">
        <v>8602</v>
      </c>
    </row>
    <row r="3116" spans="1:8">
      <c r="A3116" s="483" t="s">
        <v>5604</v>
      </c>
      <c r="E3116" s="483">
        <v>476</v>
      </c>
      <c r="F3116" s="329">
        <v>1150</v>
      </c>
      <c r="G3116" s="483" t="s">
        <v>7755</v>
      </c>
      <c r="H3116" s="483" t="s">
        <v>8603</v>
      </c>
    </row>
    <row r="3117" spans="1:8">
      <c r="A3117" s="483" t="s">
        <v>8604</v>
      </c>
      <c r="E3117" s="329">
        <v>199</v>
      </c>
      <c r="F3117" s="329">
        <v>951</v>
      </c>
      <c r="G3117" s="329" t="s">
        <v>7779</v>
      </c>
      <c r="H3117" s="483" t="s">
        <v>8605</v>
      </c>
    </row>
    <row r="3118" spans="1:8">
      <c r="A3118" s="483" t="s">
        <v>8606</v>
      </c>
      <c r="D3118" s="483">
        <v>5000</v>
      </c>
      <c r="E3118" s="329"/>
      <c r="F3118" s="329">
        <v>5951</v>
      </c>
      <c r="H3118" s="483" t="s">
        <v>7766</v>
      </c>
    </row>
    <row r="3119" spans="1:8">
      <c r="A3119" s="483" t="s">
        <v>8606</v>
      </c>
      <c r="E3119" s="329">
        <v>1458</v>
      </c>
      <c r="F3119" s="329">
        <v>4493</v>
      </c>
      <c r="G3119" s="483" t="s">
        <v>7763</v>
      </c>
      <c r="H3119" s="483" t="s">
        <v>8588</v>
      </c>
    </row>
    <row r="3120" spans="1:8">
      <c r="A3120" s="483" t="s">
        <v>8607</v>
      </c>
      <c r="E3120" s="329">
        <v>115</v>
      </c>
      <c r="F3120" s="329">
        <v>4378</v>
      </c>
      <c r="G3120" s="483" t="s">
        <v>7776</v>
      </c>
      <c r="H3120" s="483" t="s">
        <v>8608</v>
      </c>
    </row>
    <row r="3121" spans="1:8">
      <c r="A3121" s="483" t="s">
        <v>8607</v>
      </c>
      <c r="E3121" s="329">
        <v>135</v>
      </c>
      <c r="F3121" s="329">
        <v>4243</v>
      </c>
      <c r="G3121" s="483" t="s">
        <v>7776</v>
      </c>
      <c r="H3121" s="483" t="s">
        <v>8608</v>
      </c>
    </row>
    <row r="3122" spans="1:8">
      <c r="A3122" s="483" t="s">
        <v>8609</v>
      </c>
      <c r="C3122" s="483">
        <v>17000</v>
      </c>
      <c r="H3122" s="483" t="s">
        <v>8610</v>
      </c>
    </row>
    <row r="3123" spans="1:8">
      <c r="A3123" s="483" t="s">
        <v>8611</v>
      </c>
      <c r="C3123" s="483">
        <v>61454</v>
      </c>
      <c r="D3123" s="487"/>
      <c r="E3123" s="487"/>
      <c r="H3123" s="483" t="s">
        <v>8612</v>
      </c>
    </row>
    <row r="3124" spans="1:8">
      <c r="A3124" s="483" t="s">
        <v>8611</v>
      </c>
      <c r="C3124" s="483">
        <v>14000</v>
      </c>
      <c r="D3124" s="487"/>
      <c r="H3124" s="483" t="s">
        <v>8613</v>
      </c>
    </row>
    <row r="3125" spans="1:8">
      <c r="A3125" s="483" t="s">
        <v>8611</v>
      </c>
      <c r="C3125" s="483">
        <v>26897</v>
      </c>
      <c r="H3125" s="483" t="s">
        <v>8614</v>
      </c>
    </row>
    <row r="3126" spans="1:8">
      <c r="A3126" s="483" t="s">
        <v>8615</v>
      </c>
      <c r="C3126" s="483">
        <v>8534</v>
      </c>
      <c r="H3126" s="483" t="s">
        <v>8616</v>
      </c>
    </row>
    <row r="3127" spans="1:8" ht="330">
      <c r="A3127" s="483" t="s">
        <v>8617</v>
      </c>
      <c r="C3127" s="483">
        <v>196030</v>
      </c>
      <c r="H3127" s="486" t="s">
        <v>8618</v>
      </c>
    </row>
    <row r="3128" spans="1:8">
      <c r="A3128" s="483" t="s">
        <v>8619</v>
      </c>
      <c r="E3128" s="329">
        <v>250</v>
      </c>
      <c r="F3128" s="329">
        <v>3993</v>
      </c>
      <c r="G3128" s="483" t="s">
        <v>7776</v>
      </c>
      <c r="H3128" s="483" t="s">
        <v>8620</v>
      </c>
    </row>
    <row r="3129" spans="1:8">
      <c r="A3129" s="483" t="s">
        <v>8619</v>
      </c>
      <c r="E3129" s="329">
        <v>255</v>
      </c>
      <c r="F3129" s="329">
        <v>3738</v>
      </c>
      <c r="G3129" s="483" t="s">
        <v>7776</v>
      </c>
      <c r="H3129" s="483" t="s">
        <v>8620</v>
      </c>
    </row>
    <row r="3130" spans="1:8">
      <c r="A3130" s="483" t="s">
        <v>8621</v>
      </c>
      <c r="E3130" s="483">
        <v>35</v>
      </c>
      <c r="F3130" s="329">
        <v>3703</v>
      </c>
      <c r="G3130" s="483" t="s">
        <v>7755</v>
      </c>
      <c r="H3130" s="483" t="s">
        <v>8622</v>
      </c>
    </row>
    <row r="3131" spans="1:8">
      <c r="A3131" s="483" t="s">
        <v>8621</v>
      </c>
      <c r="E3131" s="329">
        <v>1458</v>
      </c>
      <c r="F3131" s="329">
        <v>2245</v>
      </c>
      <c r="G3131" s="483" t="s">
        <v>7763</v>
      </c>
      <c r="H3131" s="483" t="s">
        <v>8623</v>
      </c>
    </row>
    <row r="3132" spans="1:8">
      <c r="A3132" s="483" t="s">
        <v>8624</v>
      </c>
      <c r="C3132" s="483">
        <v>18000</v>
      </c>
      <c r="D3132" s="487"/>
      <c r="H3132" s="483" t="s">
        <v>8625</v>
      </c>
    </row>
    <row r="3133" spans="1:8">
      <c r="A3133" s="483" t="s">
        <v>8624</v>
      </c>
      <c r="C3133" s="483">
        <v>26897</v>
      </c>
      <c r="H3133" s="483" t="s">
        <v>8626</v>
      </c>
    </row>
    <row r="3134" spans="1:8">
      <c r="A3134" s="483" t="s">
        <v>8624</v>
      </c>
      <c r="C3134" s="483">
        <v>22362</v>
      </c>
      <c r="H3134" s="483" t="s">
        <v>8627</v>
      </c>
    </row>
    <row r="3135" spans="1:8" ht="49.5">
      <c r="A3135" s="483" t="s">
        <v>8624</v>
      </c>
      <c r="C3135" s="483">
        <v>30000</v>
      </c>
      <c r="E3135" s="329"/>
      <c r="F3135" s="329"/>
      <c r="H3135" s="486" t="s">
        <v>8628</v>
      </c>
    </row>
    <row r="3136" spans="1:8">
      <c r="A3136" s="483" t="s">
        <v>8629</v>
      </c>
      <c r="E3136" s="329">
        <v>18</v>
      </c>
      <c r="F3136" s="329">
        <v>2227</v>
      </c>
      <c r="G3136" s="483" t="s">
        <v>7767</v>
      </c>
      <c r="H3136" s="483" t="s">
        <v>8630</v>
      </c>
    </row>
    <row r="3137" spans="1:8">
      <c r="A3137" s="483" t="s">
        <v>8629</v>
      </c>
      <c r="E3137" s="483">
        <v>32</v>
      </c>
      <c r="F3137" s="329">
        <v>2195</v>
      </c>
      <c r="G3137" s="483" t="s">
        <v>7776</v>
      </c>
      <c r="H3137" s="483" t="s">
        <v>8631</v>
      </c>
    </row>
    <row r="3138" spans="1:8">
      <c r="A3138" s="483" t="s">
        <v>8632</v>
      </c>
      <c r="E3138" s="483">
        <v>84</v>
      </c>
      <c r="F3138" s="329">
        <v>2111</v>
      </c>
      <c r="G3138" s="483" t="s">
        <v>7755</v>
      </c>
      <c r="H3138" s="483" t="s">
        <v>8633</v>
      </c>
    </row>
    <row r="3139" spans="1:8">
      <c r="A3139" s="483" t="s">
        <v>8634</v>
      </c>
      <c r="C3139" s="483">
        <v>61454</v>
      </c>
      <c r="D3139" s="487"/>
      <c r="E3139" s="487"/>
      <c r="H3139" s="483" t="s">
        <v>8635</v>
      </c>
    </row>
    <row r="3140" spans="1:8">
      <c r="A3140" s="483" t="s">
        <v>8634</v>
      </c>
      <c r="E3140" s="483">
        <v>60</v>
      </c>
      <c r="F3140" s="329">
        <v>2051</v>
      </c>
      <c r="G3140" s="483" t="s">
        <v>7755</v>
      </c>
      <c r="H3140" s="483" t="s">
        <v>8636</v>
      </c>
    </row>
    <row r="3141" spans="1:8">
      <c r="A3141" s="483" t="s">
        <v>8637</v>
      </c>
      <c r="E3141" s="483">
        <v>60</v>
      </c>
      <c r="F3141" s="329">
        <v>1991</v>
      </c>
      <c r="G3141" s="483" t="s">
        <v>7755</v>
      </c>
      <c r="H3141" s="483" t="s">
        <v>8638</v>
      </c>
    </row>
    <row r="3142" spans="1:8">
      <c r="A3142" s="483" t="s">
        <v>8637</v>
      </c>
      <c r="E3142" s="329">
        <v>366</v>
      </c>
      <c r="F3142" s="329">
        <v>1625</v>
      </c>
      <c r="G3142" s="483" t="s">
        <v>7759</v>
      </c>
      <c r="H3142" s="483" t="s">
        <v>8639</v>
      </c>
    </row>
    <row r="3143" spans="1:8">
      <c r="A3143" s="483" t="s">
        <v>8640</v>
      </c>
      <c r="C3143" s="483">
        <v>10000</v>
      </c>
      <c r="D3143" s="487"/>
      <c r="E3143" s="487"/>
      <c r="H3143" s="483" t="s">
        <v>8641</v>
      </c>
    </row>
    <row r="3144" spans="1:8">
      <c r="A3144" s="483" t="s">
        <v>5606</v>
      </c>
      <c r="E3144" s="329">
        <v>1458</v>
      </c>
      <c r="F3144" s="329">
        <v>167</v>
      </c>
      <c r="G3144" s="483" t="s">
        <v>7763</v>
      </c>
      <c r="H3144" s="483" t="s">
        <v>8642</v>
      </c>
    </row>
    <row r="3145" spans="1:8">
      <c r="A3145" s="483" t="s">
        <v>5606</v>
      </c>
      <c r="D3145" s="483">
        <v>5000</v>
      </c>
      <c r="E3145" s="329"/>
      <c r="F3145" s="329">
        <v>5167</v>
      </c>
      <c r="H3145" s="483" t="s">
        <v>7766</v>
      </c>
    </row>
    <row r="3146" spans="1:8">
      <c r="A3146" s="483" t="s">
        <v>5606</v>
      </c>
      <c r="E3146" s="483">
        <v>74</v>
      </c>
      <c r="F3146" s="329">
        <v>5093</v>
      </c>
      <c r="G3146" s="483" t="s">
        <v>7755</v>
      </c>
      <c r="H3146" s="483" t="s">
        <v>8144</v>
      </c>
    </row>
    <row r="3147" spans="1:8">
      <c r="A3147" s="483" t="s">
        <v>8643</v>
      </c>
      <c r="E3147" s="329">
        <v>135</v>
      </c>
      <c r="F3147" s="329">
        <v>4958</v>
      </c>
      <c r="G3147" s="483" t="s">
        <v>7776</v>
      </c>
      <c r="H3147" s="483" t="s">
        <v>8644</v>
      </c>
    </row>
    <row r="3148" spans="1:8">
      <c r="A3148" s="483" t="s">
        <v>8643</v>
      </c>
      <c r="E3148" s="329">
        <v>210</v>
      </c>
      <c r="F3148" s="329">
        <v>4748</v>
      </c>
      <c r="G3148" s="483" t="s">
        <v>7776</v>
      </c>
      <c r="H3148" s="483" t="s">
        <v>8644</v>
      </c>
    </row>
    <row r="3149" spans="1:8">
      <c r="A3149" s="483" t="s">
        <v>8645</v>
      </c>
      <c r="E3149" s="329">
        <v>189</v>
      </c>
      <c r="F3149" s="329">
        <v>4559</v>
      </c>
      <c r="G3149" s="329" t="s">
        <v>7779</v>
      </c>
      <c r="H3149" s="483" t="s">
        <v>8646</v>
      </c>
    </row>
    <row r="3150" spans="1:8">
      <c r="A3150" s="483" t="s">
        <v>8647</v>
      </c>
      <c r="C3150" s="483">
        <v>17000</v>
      </c>
      <c r="H3150" s="483" t="s">
        <v>8648</v>
      </c>
    </row>
    <row r="3151" spans="1:8">
      <c r="A3151" s="483" t="s">
        <v>8649</v>
      </c>
      <c r="E3151" s="483">
        <v>28</v>
      </c>
      <c r="F3151" s="329">
        <v>4531</v>
      </c>
      <c r="G3151" s="483" t="s">
        <v>8650</v>
      </c>
      <c r="H3151" s="483" t="s">
        <v>8651</v>
      </c>
    </row>
    <row r="3152" spans="1:8">
      <c r="A3152" s="483" t="s">
        <v>8652</v>
      </c>
      <c r="C3152" s="483">
        <v>18000</v>
      </c>
      <c r="D3152" s="487"/>
      <c r="H3152" s="483" t="s">
        <v>8653</v>
      </c>
    </row>
    <row r="3153" spans="1:8">
      <c r="A3153" s="483" t="s">
        <v>8652</v>
      </c>
      <c r="C3153" s="483">
        <v>29647</v>
      </c>
      <c r="H3153" s="483" t="s">
        <v>8654</v>
      </c>
    </row>
    <row r="3154" spans="1:8">
      <c r="A3154" s="483" t="s">
        <v>8655</v>
      </c>
      <c r="C3154" s="483">
        <v>31556</v>
      </c>
      <c r="H3154" s="483" t="s">
        <v>8656</v>
      </c>
    </row>
    <row r="3155" spans="1:8" ht="214.5">
      <c r="A3155" s="483" t="s">
        <v>8657</v>
      </c>
      <c r="C3155" s="483">
        <v>20030</v>
      </c>
      <c r="H3155" s="486" t="s">
        <v>8658</v>
      </c>
    </row>
    <row r="3156" spans="1:8">
      <c r="A3156" s="483" t="s">
        <v>8659</v>
      </c>
      <c r="E3156" s="483">
        <v>196</v>
      </c>
      <c r="F3156" s="329">
        <v>4335</v>
      </c>
      <c r="G3156" s="483" t="s">
        <v>8650</v>
      </c>
      <c r="H3156" s="483" t="s">
        <v>8660</v>
      </c>
    </row>
    <row r="3157" spans="1:8">
      <c r="A3157" s="483" t="s">
        <v>5610</v>
      </c>
      <c r="E3157" s="483">
        <v>89</v>
      </c>
      <c r="F3157" s="329">
        <v>4246</v>
      </c>
      <c r="G3157" s="483" t="s">
        <v>8661</v>
      </c>
      <c r="H3157" s="483" t="s">
        <v>8662</v>
      </c>
    </row>
    <row r="3158" spans="1:8">
      <c r="A3158" s="483" t="s">
        <v>8663</v>
      </c>
      <c r="C3158" s="483">
        <v>10000</v>
      </c>
      <c r="D3158" s="487">
        <v>10000</v>
      </c>
      <c r="E3158" s="487"/>
      <c r="H3158" s="483" t="s">
        <v>8664</v>
      </c>
    </row>
    <row r="3159" spans="1:8">
      <c r="A3159" s="483" t="s">
        <v>8665</v>
      </c>
      <c r="E3159" s="329">
        <v>364</v>
      </c>
      <c r="F3159" s="329">
        <v>3882</v>
      </c>
      <c r="G3159" s="483" t="s">
        <v>8666</v>
      </c>
      <c r="H3159" s="483" t="s">
        <v>8667</v>
      </c>
    </row>
    <row r="3160" spans="1:8">
      <c r="A3160" s="483" t="s">
        <v>8668</v>
      </c>
      <c r="C3160" s="483">
        <v>8000</v>
      </c>
      <c r="D3160" s="487">
        <v>2000</v>
      </c>
      <c r="E3160" s="487"/>
      <c r="H3160" s="483" t="s">
        <v>8669</v>
      </c>
    </row>
    <row r="3161" spans="1:8" ht="49.5">
      <c r="A3161" s="483" t="s">
        <v>8670</v>
      </c>
      <c r="C3161" s="483">
        <v>16000</v>
      </c>
      <c r="E3161" s="329"/>
      <c r="F3161" s="329"/>
      <c r="H3161" s="486" t="s">
        <v>8671</v>
      </c>
    </row>
    <row r="3162" spans="1:8">
      <c r="A3162" s="483" t="s">
        <v>8672</v>
      </c>
      <c r="E3162" s="329">
        <v>1458</v>
      </c>
      <c r="F3162" s="329">
        <v>2424</v>
      </c>
      <c r="G3162" s="483" t="s">
        <v>8673</v>
      </c>
      <c r="H3162" s="483" t="s">
        <v>8674</v>
      </c>
    </row>
    <row r="3163" spans="1:8" ht="264">
      <c r="A3163" s="483" t="s">
        <v>8675</v>
      </c>
      <c r="C3163" s="483">
        <v>277060</v>
      </c>
      <c r="H3163" s="486" t="s">
        <v>8676</v>
      </c>
    </row>
    <row r="3164" spans="1:8">
      <c r="A3164" s="483" t="s">
        <v>5613</v>
      </c>
      <c r="E3164" s="329">
        <v>18</v>
      </c>
      <c r="F3164" s="329">
        <v>2406</v>
      </c>
      <c r="G3164" s="483" t="s">
        <v>8661</v>
      </c>
      <c r="H3164" s="483" t="s">
        <v>8677</v>
      </c>
    </row>
    <row r="3165" spans="1:8">
      <c r="A3165" s="483" t="s">
        <v>5613</v>
      </c>
      <c r="E3165" s="483">
        <v>32</v>
      </c>
      <c r="F3165" s="329">
        <v>2374</v>
      </c>
      <c r="G3165" s="483" t="s">
        <v>8678</v>
      </c>
      <c r="H3165" s="483" t="s">
        <v>8679</v>
      </c>
    </row>
    <row r="3166" spans="1:8">
      <c r="A3166" s="483" t="s">
        <v>5613</v>
      </c>
      <c r="E3166" s="329">
        <v>115</v>
      </c>
      <c r="F3166" s="329">
        <v>2259</v>
      </c>
      <c r="G3166" s="483" t="s">
        <v>8661</v>
      </c>
      <c r="H3166" s="483" t="s">
        <v>8680</v>
      </c>
    </row>
    <row r="3167" spans="1:8">
      <c r="A3167" s="483" t="s">
        <v>5613</v>
      </c>
      <c r="C3167" s="483">
        <v>2000</v>
      </c>
      <c r="D3167" s="487"/>
      <c r="E3167" s="487"/>
      <c r="H3167" s="483" t="s">
        <v>8681</v>
      </c>
    </row>
    <row r="3168" spans="1:8">
      <c r="A3168" s="483" t="s">
        <v>5613</v>
      </c>
      <c r="C3168" s="483">
        <v>61454</v>
      </c>
      <c r="D3168" s="487"/>
      <c r="E3168" s="487"/>
      <c r="H3168" s="483" t="s">
        <v>8682</v>
      </c>
    </row>
    <row r="3169" spans="1:8">
      <c r="A3169" s="483" t="s">
        <v>8683</v>
      </c>
      <c r="E3169" s="483">
        <v>200</v>
      </c>
      <c r="F3169" s="329">
        <v>2059</v>
      </c>
      <c r="G3169" s="483" t="s">
        <v>8678</v>
      </c>
      <c r="H3169" s="483" t="s">
        <v>8684</v>
      </c>
    </row>
    <row r="3170" spans="1:8">
      <c r="A3170" s="483" t="s">
        <v>8683</v>
      </c>
      <c r="C3170" s="483">
        <v>17000</v>
      </c>
      <c r="H3170" s="483" t="s">
        <v>8685</v>
      </c>
    </row>
    <row r="3171" spans="1:8">
      <c r="A3171" s="483" t="s">
        <v>8686</v>
      </c>
      <c r="C3171" s="483">
        <v>19000</v>
      </c>
      <c r="D3171" s="487"/>
      <c r="H3171" s="483" t="s">
        <v>8687</v>
      </c>
    </row>
    <row r="3172" spans="1:8">
      <c r="A3172" s="483" t="s">
        <v>8686</v>
      </c>
      <c r="C3172" s="483">
        <v>29647</v>
      </c>
      <c r="H3172" s="483" t="s">
        <v>8688</v>
      </c>
    </row>
    <row r="3173" spans="1:8">
      <c r="A3173" s="483" t="s">
        <v>8686</v>
      </c>
      <c r="E3173" s="329">
        <v>1507</v>
      </c>
      <c r="F3173" s="329">
        <v>552</v>
      </c>
      <c r="G3173" s="329" t="s">
        <v>8689</v>
      </c>
      <c r="H3173" s="483" t="s">
        <v>8690</v>
      </c>
    </row>
    <row r="3174" spans="1:8">
      <c r="A3174" s="483" t="s">
        <v>8691</v>
      </c>
      <c r="C3174" s="483">
        <v>28440</v>
      </c>
      <c r="H3174" s="483" t="s">
        <v>8692</v>
      </c>
    </row>
    <row r="3175" spans="1:8">
      <c r="A3175" s="483" t="s">
        <v>8693</v>
      </c>
      <c r="C3175" s="483">
        <v>61454</v>
      </c>
      <c r="D3175" s="487"/>
      <c r="E3175" s="487"/>
      <c r="H3175" s="483" t="s">
        <v>8694</v>
      </c>
    </row>
    <row r="3176" spans="1:8">
      <c r="A3176" s="483" t="s">
        <v>8695</v>
      </c>
      <c r="D3176" s="483">
        <v>5000</v>
      </c>
      <c r="E3176" s="329"/>
      <c r="F3176" s="329">
        <v>5552</v>
      </c>
      <c r="H3176" s="483" t="s">
        <v>8696</v>
      </c>
    </row>
    <row r="3177" spans="1:8">
      <c r="A3177" s="483" t="s">
        <v>8695</v>
      </c>
      <c r="E3177" s="329">
        <v>220</v>
      </c>
      <c r="F3177" s="329">
        <v>5332</v>
      </c>
      <c r="G3177" s="483" t="s">
        <v>8678</v>
      </c>
      <c r="H3177" s="483" t="s">
        <v>8697</v>
      </c>
    </row>
    <row r="3178" spans="1:8">
      <c r="A3178" s="483" t="s">
        <v>8695</v>
      </c>
      <c r="E3178" s="329">
        <v>190</v>
      </c>
      <c r="F3178" s="329">
        <v>5142</v>
      </c>
      <c r="G3178" s="483" t="s">
        <v>8678</v>
      </c>
      <c r="H3178" s="483" t="s">
        <v>8697</v>
      </c>
    </row>
    <row r="3179" spans="1:8">
      <c r="A3179" s="483" t="s">
        <v>8698</v>
      </c>
      <c r="E3179" s="329">
        <v>1458</v>
      </c>
      <c r="F3179" s="329">
        <v>3684</v>
      </c>
      <c r="G3179" s="483" t="s">
        <v>8673</v>
      </c>
      <c r="H3179" s="483" t="s">
        <v>8699</v>
      </c>
    </row>
    <row r="3180" spans="1:8" ht="33">
      <c r="A3180" s="483" t="s">
        <v>8700</v>
      </c>
      <c r="C3180" s="483">
        <v>6000</v>
      </c>
      <c r="F3180" s="329"/>
      <c r="H3180" s="486" t="s">
        <v>8701</v>
      </c>
    </row>
    <row r="3181" spans="1:8">
      <c r="A3181" s="483" t="s">
        <v>8702</v>
      </c>
      <c r="E3181" s="329">
        <v>79</v>
      </c>
      <c r="F3181" s="329">
        <v>3605</v>
      </c>
      <c r="G3181" s="483" t="s">
        <v>8661</v>
      </c>
      <c r="H3181" s="483" t="s">
        <v>8703</v>
      </c>
    </row>
    <row r="3182" spans="1:8">
      <c r="A3182" s="483" t="s">
        <v>8704</v>
      </c>
      <c r="C3182" s="483">
        <v>17000</v>
      </c>
      <c r="H3182" s="483" t="s">
        <v>8705</v>
      </c>
    </row>
    <row r="3183" spans="1:8">
      <c r="A3183" s="483" t="s">
        <v>8706</v>
      </c>
      <c r="C3183" s="483">
        <v>53000</v>
      </c>
      <c r="D3183" s="487"/>
      <c r="H3183" s="483" t="s">
        <v>8707</v>
      </c>
    </row>
    <row r="3184" spans="1:8">
      <c r="A3184" s="483" t="s">
        <v>8706</v>
      </c>
      <c r="C3184" s="483">
        <v>29647</v>
      </c>
      <c r="H3184" s="483" t="s">
        <v>8708</v>
      </c>
    </row>
    <row r="3185" spans="1:8">
      <c r="A3185" s="483" t="s">
        <v>8706</v>
      </c>
      <c r="C3185" s="483">
        <v>61454</v>
      </c>
      <c r="D3185" s="487"/>
      <c r="E3185" s="487"/>
      <c r="H3185" s="483" t="s">
        <v>8709</v>
      </c>
    </row>
    <row r="3186" spans="1:8">
      <c r="A3186" s="483" t="s">
        <v>8706</v>
      </c>
      <c r="E3186" s="329">
        <v>189</v>
      </c>
      <c r="F3186" s="329">
        <v>3416</v>
      </c>
      <c r="G3186" s="329" t="s">
        <v>8710</v>
      </c>
      <c r="H3186" s="483" t="s">
        <v>8711</v>
      </c>
    </row>
    <row r="3187" spans="1:8">
      <c r="A3187" s="483" t="s">
        <v>8712</v>
      </c>
      <c r="E3187" s="329">
        <v>265</v>
      </c>
      <c r="F3187" s="329">
        <v>3151</v>
      </c>
      <c r="G3187" s="483" t="s">
        <v>8678</v>
      </c>
      <c r="H3187" s="483" t="s">
        <v>8713</v>
      </c>
    </row>
    <row r="3188" spans="1:8">
      <c r="A3188" s="483" t="s">
        <v>8712</v>
      </c>
      <c r="E3188" s="329">
        <v>320</v>
      </c>
      <c r="F3188" s="329">
        <v>2831</v>
      </c>
      <c r="G3188" s="483" t="s">
        <v>8678</v>
      </c>
      <c r="H3188" s="483" t="s">
        <v>8713</v>
      </c>
    </row>
    <row r="3189" spans="1:8">
      <c r="A3189" s="483" t="s">
        <v>8714</v>
      </c>
      <c r="E3189" s="329">
        <v>1458</v>
      </c>
      <c r="F3189" s="329">
        <v>1373</v>
      </c>
      <c r="G3189" s="483" t="s">
        <v>8673</v>
      </c>
      <c r="H3189" s="483" t="s">
        <v>8715</v>
      </c>
    </row>
    <row r="3190" spans="1:8">
      <c r="A3190" s="483" t="s">
        <v>8716</v>
      </c>
      <c r="C3190" s="483">
        <v>17000</v>
      </c>
      <c r="H3190" s="483" t="s">
        <v>8717</v>
      </c>
    </row>
    <row r="3191" spans="1:8">
      <c r="A3191" s="483" t="s">
        <v>8718</v>
      </c>
      <c r="E3191" s="329">
        <v>18</v>
      </c>
      <c r="F3191" s="329">
        <v>1355</v>
      </c>
      <c r="G3191" s="483" t="s">
        <v>8661</v>
      </c>
      <c r="H3191" s="483" t="s">
        <v>8719</v>
      </c>
    </row>
    <row r="3192" spans="1:8">
      <c r="A3192" s="483" t="s">
        <v>8720</v>
      </c>
      <c r="C3192" s="483">
        <v>29647</v>
      </c>
      <c r="H3192" s="483" t="s">
        <v>8721</v>
      </c>
    </row>
    <row r="3193" spans="1:8">
      <c r="A3193" s="483" t="s">
        <v>8720</v>
      </c>
      <c r="C3193" s="483">
        <v>17624</v>
      </c>
      <c r="H3193" s="483" t="s">
        <v>8722</v>
      </c>
    </row>
    <row r="3194" spans="1:8">
      <c r="A3194" s="483" t="s">
        <v>8720</v>
      </c>
      <c r="E3194" s="483">
        <v>196</v>
      </c>
      <c r="F3194" s="329">
        <v>1159</v>
      </c>
      <c r="G3194" s="483" t="s">
        <v>8650</v>
      </c>
      <c r="H3194" s="483" t="s">
        <v>8660</v>
      </c>
    </row>
    <row r="3195" spans="1:8">
      <c r="A3195" s="483" t="s">
        <v>8723</v>
      </c>
      <c r="C3195" s="483">
        <v>61454</v>
      </c>
      <c r="D3195" s="487"/>
      <c r="E3195" s="487"/>
      <c r="H3195" s="483" t="s">
        <v>8724</v>
      </c>
    </row>
    <row r="3196" spans="1:8">
      <c r="A3196" s="483" t="s">
        <v>8723</v>
      </c>
      <c r="C3196" s="483">
        <v>4515</v>
      </c>
      <c r="H3196" s="483" t="s">
        <v>8725</v>
      </c>
    </row>
    <row r="3197" spans="1:8">
      <c r="A3197" s="483" t="s">
        <v>8726</v>
      </c>
      <c r="E3197" s="329">
        <v>195</v>
      </c>
      <c r="F3197" s="329">
        <v>964</v>
      </c>
      <c r="G3197" s="483" t="s">
        <v>8678</v>
      </c>
      <c r="H3197" s="483" t="s">
        <v>8727</v>
      </c>
    </row>
    <row r="3198" spans="1:8">
      <c r="A3198" s="483" t="s">
        <v>8726</v>
      </c>
      <c r="E3198" s="329">
        <v>20</v>
      </c>
      <c r="F3198" s="329">
        <v>944</v>
      </c>
      <c r="G3198" s="483" t="s">
        <v>8678</v>
      </c>
      <c r="H3198" s="483" t="s">
        <v>8727</v>
      </c>
    </row>
    <row r="3199" spans="1:8">
      <c r="A3199" s="483" t="s">
        <v>8728</v>
      </c>
      <c r="D3199" s="483">
        <v>5000</v>
      </c>
      <c r="E3199" s="329"/>
      <c r="F3199" s="329">
        <v>5944</v>
      </c>
      <c r="H3199" s="483" t="s">
        <v>8696</v>
      </c>
    </row>
    <row r="3200" spans="1:8">
      <c r="A3200" s="483" t="s">
        <v>8728</v>
      </c>
      <c r="E3200" s="329">
        <v>1458</v>
      </c>
      <c r="F3200" s="329">
        <v>4486</v>
      </c>
      <c r="G3200" s="483" t="s">
        <v>8673</v>
      </c>
      <c r="H3200" s="483" t="s">
        <v>8729</v>
      </c>
    </row>
    <row r="3201" spans="1:8">
      <c r="A3201" s="483" t="s">
        <v>8730</v>
      </c>
      <c r="E3201" s="483">
        <v>179</v>
      </c>
      <c r="F3201" s="329">
        <v>4307</v>
      </c>
      <c r="G3201" s="483" t="s">
        <v>8661</v>
      </c>
      <c r="H3201" s="483" t="s">
        <v>8662</v>
      </c>
    </row>
    <row r="3202" spans="1:8">
      <c r="A3202" s="483" t="s">
        <v>8731</v>
      </c>
      <c r="E3202" s="483">
        <v>44</v>
      </c>
      <c r="F3202" s="329">
        <v>4263</v>
      </c>
      <c r="G3202" s="483" t="s">
        <v>8650</v>
      </c>
      <c r="H3202" s="483" t="s">
        <v>8732</v>
      </c>
    </row>
    <row r="3203" spans="1:8">
      <c r="A3203" s="483" t="s">
        <v>8733</v>
      </c>
      <c r="C3203" s="483">
        <v>17000</v>
      </c>
      <c r="H3203" s="483" t="s">
        <v>8734</v>
      </c>
    </row>
    <row r="3204" spans="1:8">
      <c r="A3204" s="483" t="s">
        <v>8735</v>
      </c>
      <c r="C3204" s="483">
        <v>29647</v>
      </c>
      <c r="H3204" s="483" t="s">
        <v>8736</v>
      </c>
    </row>
    <row r="3205" spans="1:8">
      <c r="A3205" s="483" t="s">
        <v>8735</v>
      </c>
      <c r="C3205" s="483">
        <v>61454</v>
      </c>
      <c r="D3205" s="487"/>
      <c r="E3205" s="487"/>
      <c r="H3205" s="483" t="s">
        <v>8737</v>
      </c>
    </row>
    <row r="3206" spans="1:8">
      <c r="A3206" s="483" t="s">
        <v>8735</v>
      </c>
      <c r="C3206" s="483">
        <v>21491</v>
      </c>
      <c r="H3206" s="483" t="s">
        <v>8738</v>
      </c>
    </row>
    <row r="3207" spans="1:8">
      <c r="A3207" s="483" t="s">
        <v>8739</v>
      </c>
      <c r="E3207" s="329">
        <v>189</v>
      </c>
      <c r="F3207" s="329">
        <v>4074</v>
      </c>
      <c r="G3207" s="329" t="s">
        <v>8710</v>
      </c>
      <c r="H3207" s="483" t="s">
        <v>8740</v>
      </c>
    </row>
    <row r="3208" spans="1:8">
      <c r="A3208" s="483" t="s">
        <v>8741</v>
      </c>
      <c r="E3208" s="483">
        <v>56</v>
      </c>
      <c r="F3208" s="329">
        <v>4018</v>
      </c>
      <c r="G3208" s="483" t="s">
        <v>8650</v>
      </c>
      <c r="H3208" s="483" t="s">
        <v>8742</v>
      </c>
    </row>
    <row r="3209" spans="1:8">
      <c r="A3209" s="483" t="s">
        <v>8741</v>
      </c>
      <c r="E3209" s="329">
        <v>1458</v>
      </c>
      <c r="F3209" s="329">
        <v>2560</v>
      </c>
      <c r="G3209" s="483" t="s">
        <v>8673</v>
      </c>
      <c r="H3209" s="483" t="s">
        <v>8743</v>
      </c>
    </row>
    <row r="3210" spans="1:8">
      <c r="A3210" s="483" t="s">
        <v>8744</v>
      </c>
      <c r="E3210" s="329">
        <v>18</v>
      </c>
      <c r="F3210" s="329">
        <v>2542</v>
      </c>
      <c r="G3210" s="483" t="s">
        <v>8661</v>
      </c>
      <c r="H3210" s="483" t="s">
        <v>8745</v>
      </c>
    </row>
    <row r="3211" spans="1:8">
      <c r="A3211" s="483" t="s">
        <v>8746</v>
      </c>
      <c r="E3211" s="483">
        <v>60</v>
      </c>
      <c r="F3211" s="329">
        <v>2482</v>
      </c>
      <c r="G3211" s="483" t="s">
        <v>8650</v>
      </c>
      <c r="H3211" s="483" t="s">
        <v>8747</v>
      </c>
    </row>
    <row r="3212" spans="1:8">
      <c r="A3212" s="483" t="s">
        <v>8748</v>
      </c>
      <c r="E3212" s="329">
        <v>200</v>
      </c>
      <c r="F3212" s="329">
        <v>2282</v>
      </c>
      <c r="G3212" s="483" t="s">
        <v>8678</v>
      </c>
      <c r="H3212" s="483" t="s">
        <v>8749</v>
      </c>
    </row>
    <row r="3213" spans="1:8">
      <c r="A3213" s="483" t="s">
        <v>8748</v>
      </c>
      <c r="C3213" s="483">
        <v>18000</v>
      </c>
      <c r="D3213" s="487"/>
      <c r="H3213" s="483" t="s">
        <v>8750</v>
      </c>
    </row>
    <row r="3214" spans="1:8">
      <c r="A3214" s="483" t="s">
        <v>8748</v>
      </c>
      <c r="C3214" s="483">
        <v>29647</v>
      </c>
      <c r="H3214" s="483" t="s">
        <v>8751</v>
      </c>
    </row>
    <row r="3215" spans="1:8">
      <c r="A3215" s="483" t="s">
        <v>8752</v>
      </c>
      <c r="E3215" s="483">
        <v>28</v>
      </c>
      <c r="F3215" s="329">
        <v>2254</v>
      </c>
      <c r="G3215" s="483" t="s">
        <v>8650</v>
      </c>
      <c r="H3215" s="483" t="s">
        <v>8753</v>
      </c>
    </row>
    <row r="3216" spans="1:8" ht="49.5">
      <c r="A3216" s="483" t="s">
        <v>8754</v>
      </c>
      <c r="C3216" s="483">
        <v>30000</v>
      </c>
      <c r="H3216" s="486" t="s">
        <v>8755</v>
      </c>
    </row>
    <row r="3217" spans="1:8">
      <c r="A3217" s="483" t="s">
        <v>8756</v>
      </c>
      <c r="E3217" s="483">
        <v>44</v>
      </c>
      <c r="F3217" s="329">
        <v>2210</v>
      </c>
      <c r="G3217" s="483" t="s">
        <v>8650</v>
      </c>
      <c r="H3217" s="483" t="s">
        <v>8757</v>
      </c>
    </row>
    <row r="3218" spans="1:8">
      <c r="A3218" s="483" t="s">
        <v>8758</v>
      </c>
      <c r="E3218" s="329">
        <v>250</v>
      </c>
      <c r="F3218" s="329">
        <v>1960</v>
      </c>
      <c r="G3218" s="483" t="s">
        <v>8678</v>
      </c>
      <c r="H3218" s="483" t="s">
        <v>8759</v>
      </c>
    </row>
    <row r="3219" spans="1:8">
      <c r="A3219" s="483" t="s">
        <v>8758</v>
      </c>
      <c r="E3219" s="329">
        <v>55</v>
      </c>
      <c r="F3219" s="329">
        <v>1905</v>
      </c>
      <c r="G3219" s="483" t="s">
        <v>8678</v>
      </c>
      <c r="H3219" s="483" t="s">
        <v>8759</v>
      </c>
    </row>
    <row r="3220" spans="1:8">
      <c r="A3220" s="483" t="s">
        <v>8758</v>
      </c>
      <c r="E3220" s="329">
        <v>70</v>
      </c>
      <c r="F3220" s="329">
        <v>1835</v>
      </c>
      <c r="G3220" s="483" t="s">
        <v>8678</v>
      </c>
      <c r="H3220" s="483" t="s">
        <v>8760</v>
      </c>
    </row>
    <row r="3221" spans="1:8">
      <c r="A3221" s="483" t="s">
        <v>8758</v>
      </c>
      <c r="E3221" s="329">
        <v>235</v>
      </c>
      <c r="F3221" s="329">
        <v>1600</v>
      </c>
      <c r="G3221" s="483" t="s">
        <v>8678</v>
      </c>
      <c r="H3221" s="483" t="s">
        <v>8760</v>
      </c>
    </row>
    <row r="3222" spans="1:8">
      <c r="A3222" s="483" t="s">
        <v>8761</v>
      </c>
      <c r="E3222" s="329">
        <v>225</v>
      </c>
      <c r="F3222" s="329">
        <v>1375</v>
      </c>
      <c r="G3222" s="483" t="s">
        <v>8678</v>
      </c>
      <c r="H3222" s="483" t="s">
        <v>8762</v>
      </c>
    </row>
    <row r="3223" spans="1:8">
      <c r="A3223" s="483" t="s">
        <v>8761</v>
      </c>
      <c r="E3223" s="329">
        <v>245</v>
      </c>
      <c r="F3223" s="329">
        <v>1130</v>
      </c>
      <c r="G3223" s="483" t="s">
        <v>8678</v>
      </c>
      <c r="H3223" s="483" t="s">
        <v>8762</v>
      </c>
    </row>
    <row r="3224" spans="1:8">
      <c r="A3224" s="483" t="s">
        <v>8763</v>
      </c>
      <c r="D3224" s="483">
        <v>5000</v>
      </c>
      <c r="E3224" s="329"/>
      <c r="F3224" s="329">
        <v>6130</v>
      </c>
      <c r="H3224" s="483" t="s">
        <v>8696</v>
      </c>
    </row>
    <row r="3225" spans="1:8">
      <c r="A3225" s="483" t="s">
        <v>8763</v>
      </c>
      <c r="E3225" s="329">
        <v>1458</v>
      </c>
      <c r="F3225" s="329">
        <v>4672</v>
      </c>
      <c r="G3225" s="483" t="s">
        <v>8673</v>
      </c>
      <c r="H3225" s="483" t="s">
        <v>8764</v>
      </c>
    </row>
    <row r="3226" spans="1:8">
      <c r="A3226" s="483" t="s">
        <v>8763</v>
      </c>
      <c r="E3226" s="329">
        <v>178</v>
      </c>
      <c r="F3226" s="329">
        <v>4494</v>
      </c>
      <c r="G3226" s="329" t="s">
        <v>8710</v>
      </c>
      <c r="H3226" s="483" t="s">
        <v>8765</v>
      </c>
    </row>
    <row r="3227" spans="1:8">
      <c r="A3227" s="483" t="s">
        <v>8766</v>
      </c>
      <c r="E3227" s="329">
        <v>300</v>
      </c>
      <c r="F3227" s="329">
        <v>4184</v>
      </c>
      <c r="G3227" s="483" t="s">
        <v>8678</v>
      </c>
      <c r="H3227" s="483" t="s">
        <v>8759</v>
      </c>
    </row>
    <row r="3228" spans="1:8">
      <c r="A3228" s="483" t="s">
        <v>8766</v>
      </c>
      <c r="E3228" s="329">
        <v>290</v>
      </c>
      <c r="F3228" s="329">
        <v>3894</v>
      </c>
      <c r="G3228" s="483" t="s">
        <v>8678</v>
      </c>
      <c r="H3228" s="483" t="s">
        <v>8759</v>
      </c>
    </row>
    <row r="3229" spans="1:8">
      <c r="E3229" s="329"/>
      <c r="F3229" s="329"/>
      <c r="H3229" s="487" t="s">
        <v>8767</v>
      </c>
    </row>
    <row r="3230" spans="1:8">
      <c r="A3230" s="483" t="s">
        <v>8768</v>
      </c>
      <c r="C3230" s="483">
        <v>17000</v>
      </c>
      <c r="H3230" s="483" t="s">
        <v>8769</v>
      </c>
    </row>
    <row r="3231" spans="1:8">
      <c r="A3231" s="483" t="s">
        <v>8770</v>
      </c>
      <c r="E3231" s="483">
        <v>756</v>
      </c>
      <c r="F3231" s="329">
        <v>3138</v>
      </c>
      <c r="G3231" s="483" t="s">
        <v>8650</v>
      </c>
      <c r="H3231" s="483" t="s">
        <v>8771</v>
      </c>
    </row>
    <row r="3232" spans="1:8">
      <c r="A3232" s="483" t="s">
        <v>8772</v>
      </c>
      <c r="E3232" s="483">
        <v>44</v>
      </c>
      <c r="F3232" s="329">
        <v>3094</v>
      </c>
      <c r="G3232" s="483" t="s">
        <v>8650</v>
      </c>
      <c r="H3232" s="483" t="s">
        <v>8773</v>
      </c>
    </row>
    <row r="3233" spans="1:8">
      <c r="A3233" s="483" t="s">
        <v>8774</v>
      </c>
      <c r="E3233" s="329">
        <v>1458</v>
      </c>
      <c r="F3233" s="329">
        <v>1636</v>
      </c>
      <c r="G3233" s="483" t="s">
        <v>8673</v>
      </c>
      <c r="H3233" s="483" t="s">
        <v>8775</v>
      </c>
    </row>
    <row r="3234" spans="1:8">
      <c r="A3234" s="483" t="s">
        <v>8776</v>
      </c>
      <c r="E3234" s="329">
        <v>18</v>
      </c>
      <c r="F3234" s="329">
        <v>1618</v>
      </c>
      <c r="G3234" s="483" t="s">
        <v>8661</v>
      </c>
      <c r="H3234" s="483" t="s">
        <v>8777</v>
      </c>
    </row>
    <row r="3235" spans="1:8">
      <c r="A3235" s="483" t="s">
        <v>8776</v>
      </c>
      <c r="E3235" s="483">
        <v>32</v>
      </c>
      <c r="F3235" s="329">
        <v>1586</v>
      </c>
      <c r="G3235" s="483" t="s">
        <v>8678</v>
      </c>
      <c r="H3235" s="483" t="s">
        <v>8684</v>
      </c>
    </row>
    <row r="3236" spans="1:8">
      <c r="E3236" s="329"/>
      <c r="F3236" s="329"/>
      <c r="H3236" s="487" t="s">
        <v>8767</v>
      </c>
    </row>
    <row r="3237" spans="1:8">
      <c r="A3237" s="483" t="s">
        <v>8778</v>
      </c>
      <c r="C3237" s="483">
        <v>17000</v>
      </c>
      <c r="H3237" s="483" t="s">
        <v>8779</v>
      </c>
    </row>
    <row r="3238" spans="1:8">
      <c r="A3238" s="483" t="s">
        <v>8780</v>
      </c>
      <c r="E3238" s="329">
        <v>390</v>
      </c>
      <c r="F3238" s="329">
        <v>1196</v>
      </c>
      <c r="G3238" s="483" t="s">
        <v>8678</v>
      </c>
      <c r="H3238" s="483" t="s">
        <v>8781</v>
      </c>
    </row>
    <row r="3239" spans="1:8">
      <c r="A3239" s="483" t="s">
        <v>8780</v>
      </c>
      <c r="E3239" s="329">
        <v>395</v>
      </c>
      <c r="F3239" s="329">
        <v>801</v>
      </c>
      <c r="G3239" s="483" t="s">
        <v>8678</v>
      </c>
      <c r="H3239" s="483" t="s">
        <v>8781</v>
      </c>
    </row>
    <row r="3240" spans="1:8">
      <c r="A3240" s="483" t="s">
        <v>8780</v>
      </c>
      <c r="D3240" s="483">
        <v>5000</v>
      </c>
      <c r="E3240" s="329"/>
      <c r="F3240" s="329">
        <v>5801</v>
      </c>
      <c r="H3240" s="483" t="s">
        <v>8696</v>
      </c>
    </row>
    <row r="3241" spans="1:8">
      <c r="A3241" s="483" t="s">
        <v>8780</v>
      </c>
      <c r="E3241" s="329">
        <v>410</v>
      </c>
      <c r="F3241" s="329">
        <v>5391</v>
      </c>
      <c r="G3241" s="483" t="s">
        <v>8678</v>
      </c>
      <c r="H3241" s="483" t="s">
        <v>8782</v>
      </c>
    </row>
    <row r="3242" spans="1:8">
      <c r="A3242" s="483" t="s">
        <v>8780</v>
      </c>
      <c r="E3242" s="329">
        <v>405</v>
      </c>
      <c r="F3242" s="329">
        <v>4986</v>
      </c>
      <c r="G3242" s="483" t="s">
        <v>8678</v>
      </c>
      <c r="H3242" s="483" t="s">
        <v>8782</v>
      </c>
    </row>
    <row r="3243" spans="1:8">
      <c r="A3243" s="483" t="s">
        <v>8783</v>
      </c>
      <c r="C3243" s="483">
        <v>516</v>
      </c>
      <c r="F3243" s="329"/>
      <c r="H3243" s="483" t="s">
        <v>8784</v>
      </c>
    </row>
    <row r="3244" spans="1:8">
      <c r="A3244" s="483" t="s">
        <v>8783</v>
      </c>
      <c r="C3244" s="483">
        <v>41154</v>
      </c>
      <c r="H3244" s="483" t="s">
        <v>8785</v>
      </c>
    </row>
    <row r="3245" spans="1:8">
      <c r="A3245" s="483" t="s">
        <v>8783</v>
      </c>
      <c r="C3245" s="483">
        <v>43500</v>
      </c>
      <c r="D3245" s="487"/>
      <c r="H3245" s="483" t="s">
        <v>8786</v>
      </c>
    </row>
    <row r="3246" spans="1:8">
      <c r="A3246" s="483" t="s">
        <v>8783</v>
      </c>
      <c r="C3246" s="483">
        <v>29647</v>
      </c>
      <c r="H3246" s="483" t="s">
        <v>8787</v>
      </c>
    </row>
    <row r="3247" spans="1:8">
      <c r="A3247" s="483" t="s">
        <v>8788</v>
      </c>
      <c r="E3247" s="329">
        <v>390</v>
      </c>
      <c r="F3247" s="329">
        <v>4596</v>
      </c>
      <c r="G3247" s="483" t="s">
        <v>8678</v>
      </c>
      <c r="H3247" s="483" t="s">
        <v>8789</v>
      </c>
    </row>
    <row r="3248" spans="1:8">
      <c r="A3248" s="483" t="s">
        <v>8788</v>
      </c>
      <c r="E3248" s="329">
        <v>420</v>
      </c>
      <c r="F3248" s="329">
        <v>4176</v>
      </c>
      <c r="G3248" s="483" t="s">
        <v>8678</v>
      </c>
      <c r="H3248" s="483" t="s">
        <v>8789</v>
      </c>
    </row>
    <row r="3249" spans="1:9">
      <c r="A3249" s="483" t="s">
        <v>8788</v>
      </c>
      <c r="C3249" s="483">
        <v>41454</v>
      </c>
      <c r="D3249" s="487"/>
      <c r="H3249" s="483" t="s">
        <v>8790</v>
      </c>
    </row>
    <row r="3250" spans="1:9">
      <c r="A3250" s="483" t="s">
        <v>8791</v>
      </c>
      <c r="E3250" s="483">
        <v>244</v>
      </c>
      <c r="F3250" s="329">
        <v>3932</v>
      </c>
      <c r="G3250" s="483" t="s">
        <v>8650</v>
      </c>
      <c r="H3250" s="483" t="s">
        <v>8792</v>
      </c>
    </row>
    <row r="3251" spans="1:9">
      <c r="A3251" s="483" t="s">
        <v>8791</v>
      </c>
      <c r="C3251" s="483">
        <v>22824</v>
      </c>
      <c r="H3251" s="483" t="s">
        <v>8793</v>
      </c>
    </row>
    <row r="3252" spans="1:9">
      <c r="E3252" s="329"/>
      <c r="F3252" s="329"/>
      <c r="H3252" s="487" t="s">
        <v>8767</v>
      </c>
    </row>
    <row r="3253" spans="1:9">
      <c r="A3253" s="483" t="s">
        <v>8794</v>
      </c>
      <c r="E3253" s="483">
        <v>28</v>
      </c>
      <c r="F3253" s="329">
        <v>3904</v>
      </c>
      <c r="G3253" s="483" t="s">
        <v>8650</v>
      </c>
      <c r="H3253" s="483" t="s">
        <v>8795</v>
      </c>
    </row>
    <row r="3254" spans="1:9">
      <c r="A3254" s="483" t="s">
        <v>8796</v>
      </c>
      <c r="E3254" s="483">
        <v>144</v>
      </c>
      <c r="F3254" s="329">
        <v>3760</v>
      </c>
      <c r="G3254" s="483" t="s">
        <v>8650</v>
      </c>
      <c r="H3254" s="483" t="s">
        <v>8797</v>
      </c>
    </row>
    <row r="3255" spans="1:9">
      <c r="A3255" s="483" t="s">
        <v>8796</v>
      </c>
      <c r="E3255" s="329">
        <v>15</v>
      </c>
      <c r="F3255" s="329">
        <v>3745</v>
      </c>
      <c r="G3255" s="483" t="s">
        <v>8798</v>
      </c>
      <c r="H3255" s="483" t="s">
        <v>8799</v>
      </c>
    </row>
    <row r="3256" spans="1:9">
      <c r="A3256" s="483" t="s">
        <v>8796</v>
      </c>
      <c r="E3256" s="329">
        <v>459</v>
      </c>
      <c r="F3256" s="329">
        <v>3286</v>
      </c>
      <c r="G3256" s="483" t="s">
        <v>8798</v>
      </c>
      <c r="H3256" s="483" t="s">
        <v>8800</v>
      </c>
    </row>
    <row r="3257" spans="1:9">
      <c r="A3257" s="483" t="s">
        <v>8801</v>
      </c>
      <c r="E3257" s="483">
        <v>44</v>
      </c>
      <c r="F3257" s="329">
        <v>3242</v>
      </c>
      <c r="G3257" s="483" t="s">
        <v>8650</v>
      </c>
      <c r="H3257" s="483" t="s">
        <v>8802</v>
      </c>
    </row>
    <row r="3258" spans="1:9">
      <c r="A3258" s="483" t="s">
        <v>8803</v>
      </c>
      <c r="C3258" s="483">
        <v>20000</v>
      </c>
      <c r="D3258" s="487"/>
      <c r="H3258" s="483" t="s">
        <v>8790</v>
      </c>
    </row>
    <row r="3259" spans="1:9">
      <c r="E3259" s="329"/>
      <c r="F3259" s="329"/>
      <c r="H3259" s="487" t="s">
        <v>8767</v>
      </c>
    </row>
    <row r="3260" spans="1:9">
      <c r="A3260" s="483" t="s">
        <v>8804</v>
      </c>
      <c r="E3260" s="329">
        <v>1458</v>
      </c>
      <c r="F3260" s="329">
        <v>1784</v>
      </c>
      <c r="G3260" s="483" t="s">
        <v>8673</v>
      </c>
      <c r="H3260" s="483" t="s">
        <v>8805</v>
      </c>
    </row>
    <row r="3261" spans="1:9">
      <c r="A3261" s="483" t="s">
        <v>8804</v>
      </c>
      <c r="E3261" s="329">
        <v>168</v>
      </c>
      <c r="F3261" s="329">
        <v>1616</v>
      </c>
      <c r="G3261" s="329" t="s">
        <v>8710</v>
      </c>
      <c r="H3261" s="483" t="s">
        <v>8806</v>
      </c>
    </row>
    <row r="3262" spans="1:9">
      <c r="A3262" s="483" t="s">
        <v>8807</v>
      </c>
      <c r="C3262" s="483">
        <v>19994</v>
      </c>
      <c r="H3262" s="483" t="s">
        <v>8808</v>
      </c>
    </row>
    <row r="3263" spans="1:9">
      <c r="E3263" s="329"/>
      <c r="F3263" s="329"/>
      <c r="H3263" s="487" t="s">
        <v>8767</v>
      </c>
    </row>
    <row r="3264" spans="1:9">
      <c r="A3264" s="483" t="s">
        <v>8809</v>
      </c>
      <c r="C3264" s="483">
        <v>17000</v>
      </c>
      <c r="H3264" s="483" t="s">
        <v>8810</v>
      </c>
      <c r="I3264" s="483" t="s">
        <v>8811</v>
      </c>
    </row>
    <row r="3265" spans="1:8">
      <c r="A3265" s="483" t="s">
        <v>8812</v>
      </c>
      <c r="C3265" s="483">
        <v>39800</v>
      </c>
      <c r="D3265" s="487"/>
      <c r="H3265" s="483" t="s">
        <v>8786</v>
      </c>
    </row>
    <row r="3266" spans="1:8">
      <c r="A3266" s="483" t="s">
        <v>8812</v>
      </c>
      <c r="C3266" s="483">
        <v>29647</v>
      </c>
      <c r="H3266" s="483" t="s">
        <v>8813</v>
      </c>
    </row>
    <row r="3267" spans="1:8">
      <c r="A3267" s="483" t="s">
        <v>8814</v>
      </c>
      <c r="C3267" s="483">
        <v>18907</v>
      </c>
      <c r="H3267" s="483" t="s">
        <v>8815</v>
      </c>
    </row>
    <row r="3268" spans="1:8">
      <c r="A3268" s="483" t="s">
        <v>8814</v>
      </c>
      <c r="C3268" s="483">
        <v>50000</v>
      </c>
      <c r="D3268" s="487"/>
      <c r="H3268" s="483" t="s">
        <v>8816</v>
      </c>
    </row>
    <row r="3269" spans="1:8">
      <c r="A3269" s="483" t="s">
        <v>8817</v>
      </c>
      <c r="C3269" s="483">
        <v>61454</v>
      </c>
      <c r="D3269" s="487"/>
      <c r="H3269" s="483" t="s">
        <v>8818</v>
      </c>
    </row>
    <row r="3270" spans="1:8">
      <c r="A3270" s="483" t="s">
        <v>8819</v>
      </c>
      <c r="E3270" s="329">
        <v>110</v>
      </c>
      <c r="F3270" s="329">
        <v>1506</v>
      </c>
      <c r="G3270" s="483" t="s">
        <v>8666</v>
      </c>
      <c r="H3270" s="483" t="s">
        <v>8667</v>
      </c>
    </row>
    <row r="3271" spans="1:8">
      <c r="A3271" s="483" t="s">
        <v>8820</v>
      </c>
      <c r="E3271" s="329">
        <v>1458</v>
      </c>
      <c r="F3271" s="329">
        <v>48</v>
      </c>
      <c r="G3271" s="483" t="s">
        <v>8673</v>
      </c>
      <c r="H3271" s="483" t="s">
        <v>8821</v>
      </c>
    </row>
    <row r="3272" spans="1:8">
      <c r="A3272" s="483" t="s">
        <v>8822</v>
      </c>
      <c r="E3272" s="329">
        <v>18</v>
      </c>
      <c r="F3272" s="329">
        <v>30</v>
      </c>
      <c r="G3272" s="483" t="s">
        <v>8661</v>
      </c>
      <c r="H3272" s="483" t="s">
        <v>8823</v>
      </c>
    </row>
    <row r="3273" spans="1:8">
      <c r="A3273" s="483" t="s">
        <v>8824</v>
      </c>
      <c r="D3273" s="483">
        <v>5000</v>
      </c>
      <c r="E3273" s="329"/>
      <c r="F3273" s="329">
        <v>5030</v>
      </c>
      <c r="H3273" s="483" t="s">
        <v>8696</v>
      </c>
    </row>
    <row r="3274" spans="1:8">
      <c r="A3274" s="483" t="s">
        <v>8824</v>
      </c>
      <c r="E3274" s="483">
        <v>324</v>
      </c>
      <c r="F3274" s="329">
        <v>4706</v>
      </c>
      <c r="G3274" s="483" t="s">
        <v>8650</v>
      </c>
      <c r="H3274" s="483" t="s">
        <v>8825</v>
      </c>
    </row>
    <row r="3275" spans="1:8">
      <c r="E3275" s="329"/>
      <c r="F3275" s="329"/>
      <c r="H3275" s="487" t="s">
        <v>8767</v>
      </c>
    </row>
    <row r="3276" spans="1:8">
      <c r="A3276" s="483" t="s">
        <v>8826</v>
      </c>
      <c r="C3276" s="483">
        <v>20000</v>
      </c>
      <c r="H3276" s="483" t="s">
        <v>8827</v>
      </c>
    </row>
    <row r="3277" spans="1:8">
      <c r="A3277" s="483" t="s">
        <v>8828</v>
      </c>
      <c r="C3277" s="483">
        <v>7500</v>
      </c>
      <c r="D3277" s="487"/>
      <c r="H3277" s="483" t="s">
        <v>8829</v>
      </c>
    </row>
    <row r="3278" spans="1:8">
      <c r="A3278" s="483" t="s">
        <v>8828</v>
      </c>
      <c r="C3278" s="483">
        <v>29647</v>
      </c>
      <c r="H3278" s="483" t="s">
        <v>8830</v>
      </c>
    </row>
    <row r="3279" spans="1:8">
      <c r="A3279" s="483" t="s">
        <v>8831</v>
      </c>
      <c r="C3279" s="483">
        <v>8137</v>
      </c>
      <c r="H3279" s="483" t="s">
        <v>8815</v>
      </c>
    </row>
    <row r="3280" spans="1:8">
      <c r="A3280" s="483" t="s">
        <v>8832</v>
      </c>
      <c r="C3280" s="483">
        <v>10670</v>
      </c>
      <c r="H3280" s="483" t="s">
        <v>8833</v>
      </c>
    </row>
    <row r="3281" spans="1:8">
      <c r="A3281" s="483" t="s">
        <v>8834</v>
      </c>
      <c r="C3281" s="483">
        <v>60000</v>
      </c>
      <c r="D3281" s="487"/>
      <c r="H3281" s="483" t="s">
        <v>8816</v>
      </c>
    </row>
    <row r="3282" spans="1:8">
      <c r="A3282" s="483" t="s">
        <v>8835</v>
      </c>
      <c r="E3282" s="483">
        <v>28</v>
      </c>
      <c r="F3282" s="329">
        <v>4678</v>
      </c>
      <c r="G3282" s="483" t="s">
        <v>8650</v>
      </c>
      <c r="H3282" s="483" t="s">
        <v>8836</v>
      </c>
    </row>
    <row r="3283" spans="1:8">
      <c r="A3283" s="483" t="s">
        <v>8837</v>
      </c>
      <c r="E3283" s="329">
        <v>105</v>
      </c>
      <c r="F3283" s="329">
        <v>4573</v>
      </c>
      <c r="G3283" s="483" t="s">
        <v>8661</v>
      </c>
      <c r="H3283" s="483" t="s">
        <v>8838</v>
      </c>
    </row>
    <row r="3284" spans="1:8" ht="231">
      <c r="A3284" s="483" t="s">
        <v>8839</v>
      </c>
      <c r="C3284" s="483">
        <v>104030</v>
      </c>
      <c r="H3284" s="486" t="s">
        <v>8840</v>
      </c>
    </row>
    <row r="3285" spans="1:8">
      <c r="A3285" s="483" t="s">
        <v>8839</v>
      </c>
      <c r="C3285" s="483">
        <v>31454</v>
      </c>
      <c r="D3285" s="487" t="s">
        <v>8841</v>
      </c>
      <c r="H3285" s="483" t="s">
        <v>8842</v>
      </c>
    </row>
    <row r="3286" spans="1:8">
      <c r="A3286" s="483" t="s">
        <v>8839</v>
      </c>
      <c r="E3286" s="329">
        <v>178</v>
      </c>
      <c r="F3286" s="329">
        <v>4395</v>
      </c>
      <c r="G3286" s="329" t="s">
        <v>8710</v>
      </c>
      <c r="H3286" s="483" t="s">
        <v>8843</v>
      </c>
    </row>
    <row r="3287" spans="1:8">
      <c r="A3287" s="483" t="s">
        <v>8839</v>
      </c>
      <c r="E3287" s="329">
        <v>1458</v>
      </c>
      <c r="F3287" s="329">
        <v>2937</v>
      </c>
      <c r="G3287" s="483" t="s">
        <v>8673</v>
      </c>
      <c r="H3287" s="483" t="s">
        <v>8844</v>
      </c>
    </row>
    <row r="3288" spans="1:8">
      <c r="E3288" s="329"/>
      <c r="F3288" s="329"/>
      <c r="H3288" s="487" t="s">
        <v>8767</v>
      </c>
    </row>
    <row r="3289" spans="1:8">
      <c r="A3289" s="483" t="s">
        <v>8845</v>
      </c>
      <c r="C3289" s="487">
        <v>20030</v>
      </c>
      <c r="H3289" s="483" t="s">
        <v>8846</v>
      </c>
    </row>
    <row r="3290" spans="1:8">
      <c r="A3290" s="483" t="s">
        <v>8847</v>
      </c>
      <c r="E3290" s="329">
        <v>50</v>
      </c>
      <c r="F3290" s="329">
        <v>2887</v>
      </c>
      <c r="G3290" s="485"/>
      <c r="H3290" s="483" t="s">
        <v>8848</v>
      </c>
    </row>
    <row r="3291" spans="1:8">
      <c r="A3291" s="483" t="s">
        <v>8847</v>
      </c>
      <c r="C3291" s="483">
        <v>29647</v>
      </c>
      <c r="H3291" s="483" t="s">
        <v>8849</v>
      </c>
    </row>
    <row r="3292" spans="1:8">
      <c r="A3292" s="483" t="s">
        <v>8847</v>
      </c>
      <c r="C3292" s="483">
        <v>30000</v>
      </c>
      <c r="D3292" s="487"/>
      <c r="H3292" s="483" t="s">
        <v>8850</v>
      </c>
    </row>
    <row r="3293" spans="1:8" ht="148.5">
      <c r="A3293" s="483" t="s">
        <v>8847</v>
      </c>
      <c r="C3293" s="483">
        <v>114521</v>
      </c>
      <c r="H3293" s="486" t="s">
        <v>8851</v>
      </c>
    </row>
    <row r="3294" spans="1:8">
      <c r="A3294" s="483" t="s">
        <v>8847</v>
      </c>
      <c r="E3294" s="483">
        <v>36</v>
      </c>
      <c r="F3294" s="329">
        <v>2851</v>
      </c>
      <c r="G3294" s="483" t="s">
        <v>8650</v>
      </c>
      <c r="H3294" s="483" t="s">
        <v>8852</v>
      </c>
    </row>
    <row r="3295" spans="1:8">
      <c r="A3295" s="483" t="s">
        <v>8847</v>
      </c>
      <c r="C3295" s="483">
        <v>29647</v>
      </c>
      <c r="H3295" s="483" t="s">
        <v>8849</v>
      </c>
    </row>
    <row r="3296" spans="1:8">
      <c r="A3296" s="483" t="s">
        <v>8847</v>
      </c>
      <c r="C3296" s="483">
        <v>61454</v>
      </c>
      <c r="D3296" s="487"/>
      <c r="H3296" s="483" t="s">
        <v>8853</v>
      </c>
    </row>
    <row r="3297" spans="1:11">
      <c r="A3297" s="483" t="s">
        <v>8847</v>
      </c>
      <c r="C3297" s="483">
        <v>3832</v>
      </c>
      <c r="D3297" s="487"/>
      <c r="H3297" s="483" t="s">
        <v>8854</v>
      </c>
    </row>
    <row r="3298" spans="1:11">
      <c r="A3298" s="483" t="s">
        <v>8855</v>
      </c>
      <c r="C3298" s="483">
        <v>44648</v>
      </c>
      <c r="H3298" s="483" t="s">
        <v>8856</v>
      </c>
    </row>
    <row r="3299" spans="1:11">
      <c r="A3299" s="483" t="s">
        <v>8857</v>
      </c>
      <c r="E3299" s="329">
        <v>250</v>
      </c>
      <c r="F3299" s="329">
        <v>2601</v>
      </c>
      <c r="G3299" s="483" t="s">
        <v>8678</v>
      </c>
      <c r="H3299" s="483" t="s">
        <v>8858</v>
      </c>
    </row>
    <row r="3300" spans="1:11">
      <c r="A3300" s="483" t="s">
        <v>8857</v>
      </c>
      <c r="E3300" s="329">
        <v>280</v>
      </c>
      <c r="F3300" s="329">
        <v>2321</v>
      </c>
      <c r="G3300" s="483" t="s">
        <v>8678</v>
      </c>
      <c r="H3300" s="483" t="s">
        <v>8858</v>
      </c>
    </row>
    <row r="3301" spans="1:11">
      <c r="A3301" s="483" t="s">
        <v>8859</v>
      </c>
      <c r="E3301" s="483">
        <v>84</v>
      </c>
      <c r="F3301" s="329">
        <v>2237</v>
      </c>
      <c r="G3301" s="483" t="s">
        <v>8650</v>
      </c>
      <c r="H3301" s="483" t="s">
        <v>8860</v>
      </c>
    </row>
    <row r="3302" spans="1:11">
      <c r="E3302" s="329"/>
      <c r="F3302" s="329"/>
      <c r="H3302" s="487" t="s">
        <v>8767</v>
      </c>
    </row>
    <row r="3303" spans="1:11">
      <c r="A3303" s="483" t="s">
        <v>8861</v>
      </c>
      <c r="E3303" s="329">
        <v>200</v>
      </c>
      <c r="F3303" s="329">
        <v>2037</v>
      </c>
      <c r="G3303" s="483" t="s">
        <v>8678</v>
      </c>
      <c r="H3303" s="483" t="s">
        <v>8862</v>
      </c>
    </row>
    <row r="3304" spans="1:11">
      <c r="A3304" s="483" t="s">
        <v>8861</v>
      </c>
      <c r="E3304" s="329">
        <v>200</v>
      </c>
      <c r="F3304" s="329">
        <v>1837</v>
      </c>
      <c r="G3304" s="483" t="s">
        <v>8678</v>
      </c>
      <c r="H3304" s="483" t="s">
        <v>8862</v>
      </c>
    </row>
    <row r="3305" spans="1:11">
      <c r="A3305" s="483" t="s">
        <v>8863</v>
      </c>
      <c r="E3305" s="329">
        <v>235</v>
      </c>
      <c r="F3305" s="329">
        <v>1602</v>
      </c>
      <c r="G3305" s="483" t="s">
        <v>8678</v>
      </c>
      <c r="H3305" s="483" t="s">
        <v>8864</v>
      </c>
    </row>
    <row r="3306" spans="1:11">
      <c r="A3306" s="483" t="s">
        <v>8863</v>
      </c>
      <c r="E3306" s="329">
        <v>240</v>
      </c>
      <c r="F3306" s="329">
        <v>1362</v>
      </c>
      <c r="G3306" s="483" t="s">
        <v>8678</v>
      </c>
      <c r="H3306" s="483" t="s">
        <v>8864</v>
      </c>
    </row>
    <row r="3307" spans="1:11">
      <c r="A3307" s="483" t="s">
        <v>8863</v>
      </c>
      <c r="D3307" s="483">
        <v>2900</v>
      </c>
      <c r="E3307" s="329"/>
      <c r="F3307" s="329">
        <v>4262</v>
      </c>
      <c r="H3307" s="483" t="s">
        <v>8865</v>
      </c>
    </row>
    <row r="3308" spans="1:11">
      <c r="A3308" s="483" t="s">
        <v>8863</v>
      </c>
      <c r="E3308" s="329">
        <v>255</v>
      </c>
      <c r="F3308" s="329">
        <v>4007</v>
      </c>
      <c r="G3308" s="483" t="s">
        <v>8661</v>
      </c>
      <c r="H3308" s="483" t="s">
        <v>8866</v>
      </c>
    </row>
    <row r="3309" spans="1:11">
      <c r="A3309" s="483" t="s">
        <v>8867</v>
      </c>
      <c r="E3309" s="329">
        <v>18</v>
      </c>
      <c r="F3309" s="329">
        <v>3989</v>
      </c>
      <c r="G3309" s="483" t="s">
        <v>8661</v>
      </c>
      <c r="H3309" s="483" t="s">
        <v>8868</v>
      </c>
    </row>
    <row r="3310" spans="1:11">
      <c r="A3310" s="483" t="s">
        <v>8869</v>
      </c>
      <c r="D3310" s="483">
        <v>5000</v>
      </c>
      <c r="E3310" s="329"/>
      <c r="F3310" s="329">
        <v>8989</v>
      </c>
      <c r="H3310" s="483" t="s">
        <v>8696</v>
      </c>
    </row>
    <row r="3311" spans="1:11">
      <c r="A3311" s="483" t="s">
        <v>8869</v>
      </c>
      <c r="E3311" s="329">
        <v>1458</v>
      </c>
      <c r="F3311" s="329">
        <v>7531</v>
      </c>
      <c r="G3311" s="483" t="s">
        <v>8673</v>
      </c>
      <c r="H3311" s="483" t="s">
        <v>8870</v>
      </c>
    </row>
    <row r="3312" spans="1:11">
      <c r="A3312" s="483" t="s">
        <v>8871</v>
      </c>
      <c r="C3312" s="483">
        <v>20000</v>
      </c>
      <c r="H3312" s="483" t="s">
        <v>8872</v>
      </c>
      <c r="K3312" s="483" t="s">
        <v>8873</v>
      </c>
    </row>
    <row r="3313" spans="1:8">
      <c r="A3313" s="483" t="s">
        <v>8874</v>
      </c>
      <c r="E3313" s="329">
        <v>70</v>
      </c>
      <c r="F3313" s="329">
        <v>7461</v>
      </c>
      <c r="G3313" s="483" t="s">
        <v>8678</v>
      </c>
      <c r="H3313" s="483" t="s">
        <v>8875</v>
      </c>
    </row>
    <row r="3314" spans="1:8">
      <c r="A3314" s="483" t="s">
        <v>8874</v>
      </c>
      <c r="E3314" s="329">
        <v>70</v>
      </c>
      <c r="F3314" s="329">
        <v>7391</v>
      </c>
      <c r="G3314" s="483" t="s">
        <v>8678</v>
      </c>
      <c r="H3314" s="483" t="s">
        <v>8875</v>
      </c>
    </row>
    <row r="3315" spans="1:8">
      <c r="A3315" s="483" t="s">
        <v>8874</v>
      </c>
      <c r="E3315" s="329">
        <v>195</v>
      </c>
      <c r="F3315" s="329">
        <v>7196</v>
      </c>
      <c r="G3315" s="483" t="s">
        <v>8678</v>
      </c>
      <c r="H3315" s="483" t="s">
        <v>8876</v>
      </c>
    </row>
    <row r="3316" spans="1:8">
      <c r="A3316" s="483" t="s">
        <v>8874</v>
      </c>
      <c r="E3316" s="329">
        <v>190</v>
      </c>
      <c r="F3316" s="329">
        <v>7006</v>
      </c>
      <c r="G3316" s="483" t="s">
        <v>8678</v>
      </c>
      <c r="H3316" s="483" t="s">
        <v>8876</v>
      </c>
    </row>
    <row r="3317" spans="1:8">
      <c r="A3317" s="483" t="s">
        <v>8877</v>
      </c>
      <c r="C3317" s="483">
        <v>16800</v>
      </c>
      <c r="H3317" s="652" t="s">
        <v>8878</v>
      </c>
    </row>
    <row r="3318" spans="1:8">
      <c r="A3318" s="483" t="s">
        <v>8879</v>
      </c>
      <c r="C3318" s="483">
        <v>29647</v>
      </c>
      <c r="H3318" s="483" t="s">
        <v>8880</v>
      </c>
    </row>
    <row r="3319" spans="1:8">
      <c r="A3319" s="483" t="s">
        <v>8879</v>
      </c>
      <c r="C3319" s="483">
        <v>61454</v>
      </c>
      <c r="D3319" s="487"/>
      <c r="H3319" s="483" t="s">
        <v>8881</v>
      </c>
    </row>
    <row r="3320" spans="1:8">
      <c r="A3320" s="483" t="s">
        <v>8879</v>
      </c>
      <c r="C3320" s="483">
        <v>18000</v>
      </c>
      <c r="D3320" s="487"/>
      <c r="H3320" s="483" t="s">
        <v>8882</v>
      </c>
    </row>
    <row r="3321" spans="1:8">
      <c r="A3321" s="483" t="s">
        <v>8883</v>
      </c>
      <c r="C3321" s="483">
        <v>34335</v>
      </c>
      <c r="H3321" s="483" t="s">
        <v>8884</v>
      </c>
    </row>
    <row r="3322" spans="1:8">
      <c r="E3322" s="329"/>
      <c r="F3322" s="329"/>
      <c r="H3322" s="487" t="s">
        <v>8767</v>
      </c>
    </row>
    <row r="3323" spans="1:8">
      <c r="A3323" s="483" t="s">
        <v>8885</v>
      </c>
      <c r="C3323" s="329">
        <v>15000</v>
      </c>
      <c r="D3323" s="487"/>
      <c r="E3323" s="487"/>
      <c r="H3323" s="329" t="s">
        <v>8886</v>
      </c>
    </row>
    <row r="3324" spans="1:8">
      <c r="A3324" s="483" t="s">
        <v>8885</v>
      </c>
      <c r="E3324" s="329">
        <v>100</v>
      </c>
      <c r="F3324" s="329">
        <v>6906</v>
      </c>
      <c r="G3324" s="483" t="s">
        <v>8661</v>
      </c>
      <c r="H3324" s="483" t="s">
        <v>8887</v>
      </c>
    </row>
    <row r="3325" spans="1:8">
      <c r="A3325" s="483" t="s">
        <v>8888</v>
      </c>
      <c r="E3325" s="329">
        <v>365</v>
      </c>
      <c r="F3325" s="329">
        <v>6541</v>
      </c>
      <c r="G3325" s="483" t="s">
        <v>8678</v>
      </c>
      <c r="H3325" s="483" t="s">
        <v>8889</v>
      </c>
    </row>
    <row r="3326" spans="1:8">
      <c r="A3326" s="483" t="s">
        <v>8888</v>
      </c>
      <c r="E3326" s="329">
        <v>110</v>
      </c>
      <c r="F3326" s="329">
        <v>6431</v>
      </c>
      <c r="G3326" s="483" t="s">
        <v>8678</v>
      </c>
      <c r="H3326" s="483" t="s">
        <v>8889</v>
      </c>
    </row>
    <row r="3327" spans="1:8">
      <c r="A3327" s="483" t="s">
        <v>8890</v>
      </c>
      <c r="E3327" s="483">
        <v>60</v>
      </c>
      <c r="F3327" s="329">
        <v>6371</v>
      </c>
      <c r="G3327" s="483" t="s">
        <v>8650</v>
      </c>
      <c r="H3327" s="483" t="s">
        <v>8891</v>
      </c>
    </row>
    <row r="3328" spans="1:8" ht="49.5">
      <c r="A3328" s="483" t="s">
        <v>8892</v>
      </c>
      <c r="E3328" s="483">
        <v>1800</v>
      </c>
      <c r="F3328" s="329">
        <v>4571</v>
      </c>
      <c r="G3328" s="653"/>
      <c r="H3328" s="486" t="s">
        <v>8893</v>
      </c>
    </row>
    <row r="3329" spans="1:11">
      <c r="A3329" s="483" t="s">
        <v>8894</v>
      </c>
      <c r="E3329" s="329">
        <v>1458</v>
      </c>
      <c r="F3329" s="329">
        <v>3113</v>
      </c>
      <c r="G3329" s="483" t="s">
        <v>8673</v>
      </c>
      <c r="H3329" s="483" t="s">
        <v>8895</v>
      </c>
    </row>
    <row r="3330" spans="1:11">
      <c r="A3330" s="483" t="s">
        <v>8896</v>
      </c>
      <c r="C3330" s="483">
        <v>20000</v>
      </c>
      <c r="H3330" s="483" t="s">
        <v>8897</v>
      </c>
      <c r="K3330" s="483" t="s">
        <v>8873</v>
      </c>
    </row>
    <row r="3331" spans="1:11">
      <c r="A3331" s="483" t="s">
        <v>8896</v>
      </c>
      <c r="E3331" s="329">
        <v>189</v>
      </c>
      <c r="F3331" s="329">
        <v>2924</v>
      </c>
      <c r="G3331" s="329" t="s">
        <v>8710</v>
      </c>
      <c r="H3331" s="483" t="s">
        <v>8898</v>
      </c>
    </row>
    <row r="3332" spans="1:11">
      <c r="A3332" s="483" t="s">
        <v>8896</v>
      </c>
      <c r="C3332" s="483">
        <v>29647</v>
      </c>
      <c r="H3332" s="483" t="s">
        <v>8899</v>
      </c>
    </row>
    <row r="3333" spans="1:11">
      <c r="A3333" s="483" t="s">
        <v>8896</v>
      </c>
      <c r="C3333" s="483">
        <v>12000</v>
      </c>
      <c r="D3333" s="487"/>
      <c r="H3333" s="483" t="s">
        <v>8900</v>
      </c>
    </row>
    <row r="3334" spans="1:11">
      <c r="A3334" s="483" t="s">
        <v>8901</v>
      </c>
      <c r="C3334" s="483">
        <v>15090</v>
      </c>
      <c r="H3334" s="483" t="s">
        <v>8902</v>
      </c>
    </row>
    <row r="3335" spans="1:11">
      <c r="A3335" s="483" t="s">
        <v>8901</v>
      </c>
      <c r="C3335" s="483">
        <v>61454</v>
      </c>
      <c r="D3335" s="487"/>
      <c r="H3335" s="483" t="s">
        <v>8903</v>
      </c>
    </row>
    <row r="3336" spans="1:11">
      <c r="A3336" s="483" t="s">
        <v>8904</v>
      </c>
      <c r="E3336" s="483">
        <v>228</v>
      </c>
      <c r="F3336" s="329">
        <v>2696</v>
      </c>
      <c r="G3336" s="483" t="s">
        <v>8650</v>
      </c>
      <c r="H3336" s="483" t="s">
        <v>8905</v>
      </c>
    </row>
    <row r="3337" spans="1:11">
      <c r="A3337" s="483" t="s">
        <v>8904</v>
      </c>
      <c r="E3337" s="483">
        <v>360</v>
      </c>
      <c r="F3337" s="329">
        <v>2336</v>
      </c>
      <c r="G3337" s="483" t="s">
        <v>8650</v>
      </c>
      <c r="H3337" s="483" t="s">
        <v>8906</v>
      </c>
    </row>
    <row r="3338" spans="1:11">
      <c r="A3338" s="483" t="s">
        <v>8907</v>
      </c>
      <c r="E3338" s="483">
        <v>28</v>
      </c>
      <c r="F3338" s="329">
        <v>2308</v>
      </c>
      <c r="G3338" s="483" t="s">
        <v>8650</v>
      </c>
      <c r="H3338" s="483" t="s">
        <v>8908</v>
      </c>
    </row>
    <row r="3339" spans="1:11">
      <c r="A3339" s="483" t="s">
        <v>8907</v>
      </c>
      <c r="E3339" s="483">
        <v>44</v>
      </c>
      <c r="F3339" s="329">
        <v>2264</v>
      </c>
      <c r="G3339" s="483" t="s">
        <v>8650</v>
      </c>
      <c r="H3339" s="483" t="s">
        <v>8909</v>
      </c>
    </row>
    <row r="3340" spans="1:11">
      <c r="A3340" s="483" t="s">
        <v>8907</v>
      </c>
      <c r="E3340" s="329">
        <v>120</v>
      </c>
      <c r="F3340" s="329">
        <v>2144</v>
      </c>
      <c r="G3340" s="483" t="s">
        <v>8798</v>
      </c>
      <c r="H3340" s="483" t="s">
        <v>8910</v>
      </c>
    </row>
    <row r="3341" spans="1:11">
      <c r="A3341" s="483" t="s">
        <v>8911</v>
      </c>
      <c r="E3341" s="483">
        <v>44</v>
      </c>
      <c r="F3341" s="329">
        <v>2100</v>
      </c>
      <c r="G3341" s="483" t="s">
        <v>8650</v>
      </c>
      <c r="H3341" s="483" t="s">
        <v>8912</v>
      </c>
    </row>
    <row r="3342" spans="1:11">
      <c r="A3342" s="483" t="s">
        <v>8913</v>
      </c>
      <c r="E3342" s="483">
        <v>125</v>
      </c>
      <c r="F3342" s="329">
        <v>1975</v>
      </c>
      <c r="G3342" s="483" t="s">
        <v>8666</v>
      </c>
      <c r="H3342" s="483" t="s">
        <v>8914</v>
      </c>
    </row>
    <row r="3343" spans="1:11">
      <c r="E3343" s="329"/>
      <c r="F3343" s="329"/>
      <c r="H3343" s="487" t="s">
        <v>8767</v>
      </c>
    </row>
    <row r="3344" spans="1:11">
      <c r="A3344" s="483" t="s">
        <v>8915</v>
      </c>
      <c r="E3344" s="329">
        <v>1458</v>
      </c>
      <c r="F3344" s="329">
        <v>517</v>
      </c>
      <c r="G3344" s="483" t="s">
        <v>8673</v>
      </c>
      <c r="H3344" s="483" t="s">
        <v>8916</v>
      </c>
    </row>
    <row r="3345" spans="1:11">
      <c r="A3345" s="483" t="s">
        <v>8915</v>
      </c>
      <c r="E3345" s="329">
        <v>18</v>
      </c>
      <c r="F3345" s="329">
        <v>499</v>
      </c>
      <c r="G3345" s="483" t="s">
        <v>8661</v>
      </c>
      <c r="H3345" s="483" t="s">
        <v>8917</v>
      </c>
    </row>
    <row r="3346" spans="1:11">
      <c r="A3346" s="483" t="s">
        <v>8915</v>
      </c>
      <c r="E3346" s="483">
        <v>32</v>
      </c>
      <c r="F3346" s="329">
        <v>467</v>
      </c>
      <c r="G3346" s="483" t="s">
        <v>8678</v>
      </c>
      <c r="H3346" s="483" t="s">
        <v>8679</v>
      </c>
    </row>
    <row r="3347" spans="1:11">
      <c r="A3347" s="483" t="s">
        <v>8918</v>
      </c>
      <c r="C3347" s="483">
        <v>20000</v>
      </c>
      <c r="H3347" s="483" t="s">
        <v>8919</v>
      </c>
      <c r="K3347" s="483" t="s">
        <v>8873</v>
      </c>
    </row>
    <row r="3348" spans="1:11">
      <c r="A3348" s="483" t="s">
        <v>8920</v>
      </c>
      <c r="C3348" s="483">
        <v>29647</v>
      </c>
      <c r="H3348" s="483" t="s">
        <v>8921</v>
      </c>
    </row>
    <row r="3349" spans="1:11">
      <c r="A3349" s="483" t="s">
        <v>8920</v>
      </c>
      <c r="C3349" s="483">
        <v>61454</v>
      </c>
      <c r="D3349" s="487"/>
      <c r="H3349" s="483" t="s">
        <v>8922</v>
      </c>
    </row>
    <row r="3350" spans="1:11">
      <c r="A3350" s="483" t="s">
        <v>8920</v>
      </c>
      <c r="E3350" s="483">
        <v>100</v>
      </c>
      <c r="F3350" s="329">
        <v>367</v>
      </c>
      <c r="G3350" s="483" t="s">
        <v>8650</v>
      </c>
      <c r="H3350" s="483" t="s">
        <v>8923</v>
      </c>
    </row>
    <row r="3351" spans="1:11">
      <c r="A3351" s="483" t="s">
        <v>8924</v>
      </c>
      <c r="C3351" s="483">
        <v>400</v>
      </c>
      <c r="H3351" s="483" t="s">
        <v>8925</v>
      </c>
    </row>
    <row r="3352" spans="1:11">
      <c r="A3352" s="483" t="s">
        <v>8926</v>
      </c>
      <c r="C3352" s="483">
        <v>17387</v>
      </c>
      <c r="H3352" s="483" t="s">
        <v>8927</v>
      </c>
    </row>
    <row r="3353" spans="1:11">
      <c r="A3353" s="483" t="s">
        <v>8928</v>
      </c>
      <c r="C3353" s="329">
        <v>25000</v>
      </c>
      <c r="D3353" s="487"/>
      <c r="E3353" s="487"/>
      <c r="H3353" s="329" t="s">
        <v>8929</v>
      </c>
    </row>
    <row r="3354" spans="1:11">
      <c r="A3354" s="483" t="s">
        <v>8930</v>
      </c>
      <c r="D3354" s="483">
        <v>5000</v>
      </c>
      <c r="E3354" s="329"/>
      <c r="F3354" s="329">
        <v>5367</v>
      </c>
      <c r="H3354" s="483" t="s">
        <v>8696</v>
      </c>
    </row>
    <row r="3355" spans="1:11">
      <c r="A3355" s="483" t="s">
        <v>8930</v>
      </c>
      <c r="E3355" s="329">
        <v>130</v>
      </c>
      <c r="F3355" s="329">
        <v>5237</v>
      </c>
      <c r="G3355" s="483" t="s">
        <v>8678</v>
      </c>
      <c r="H3355" s="483" t="s">
        <v>8931</v>
      </c>
    </row>
    <row r="3356" spans="1:11">
      <c r="A3356" s="483" t="s">
        <v>8930</v>
      </c>
      <c r="E3356" s="329">
        <v>115</v>
      </c>
      <c r="F3356" s="329">
        <v>5122</v>
      </c>
      <c r="G3356" s="483" t="s">
        <v>8678</v>
      </c>
      <c r="H3356" s="483" t="s">
        <v>8931</v>
      </c>
    </row>
    <row r="3357" spans="1:11">
      <c r="A3357" s="483" t="s">
        <v>8932</v>
      </c>
      <c r="E3357" s="329">
        <v>120</v>
      </c>
      <c r="F3357" s="329">
        <v>5002</v>
      </c>
      <c r="G3357" s="483" t="s">
        <v>8678</v>
      </c>
      <c r="H3357" s="483" t="s">
        <v>8931</v>
      </c>
    </row>
    <row r="3358" spans="1:11">
      <c r="A3358" s="483" t="s">
        <v>8932</v>
      </c>
      <c r="E3358" s="329">
        <v>16</v>
      </c>
      <c r="F3358" s="329">
        <v>4986</v>
      </c>
      <c r="G3358" s="483" t="s">
        <v>8678</v>
      </c>
      <c r="H3358" s="483" t="s">
        <v>8931</v>
      </c>
    </row>
    <row r="3359" spans="1:11" ht="181.15" customHeight="1">
      <c r="A3359" s="483" t="s">
        <v>8933</v>
      </c>
      <c r="C3359" s="654">
        <v>92120</v>
      </c>
      <c r="E3359" s="329"/>
      <c r="F3359" s="329"/>
      <c r="H3359" s="486" t="s">
        <v>8934</v>
      </c>
    </row>
    <row r="3360" spans="1:11">
      <c r="A3360" s="483" t="s">
        <v>8935</v>
      </c>
      <c r="E3360" s="329">
        <v>1458</v>
      </c>
      <c r="F3360" s="329">
        <v>3528</v>
      </c>
      <c r="G3360" s="483" t="s">
        <v>8673</v>
      </c>
      <c r="H3360" s="483" t="s">
        <v>8936</v>
      </c>
    </row>
    <row r="3361" spans="1:11">
      <c r="A3361" s="483" t="s">
        <v>8937</v>
      </c>
      <c r="E3361" s="329">
        <v>87</v>
      </c>
      <c r="F3361" s="329">
        <v>3441</v>
      </c>
      <c r="G3361" s="483" t="s">
        <v>8798</v>
      </c>
      <c r="H3361" s="483" t="s">
        <v>8938</v>
      </c>
    </row>
    <row r="3362" spans="1:11">
      <c r="A3362" s="483" t="s">
        <v>8939</v>
      </c>
      <c r="C3362" s="483">
        <v>20000</v>
      </c>
      <c r="H3362" s="483" t="s">
        <v>8940</v>
      </c>
      <c r="K3362" s="483" t="s">
        <v>8873</v>
      </c>
    </row>
    <row r="3363" spans="1:11">
      <c r="A3363" s="483" t="s">
        <v>8941</v>
      </c>
      <c r="E3363" s="329">
        <v>168</v>
      </c>
      <c r="F3363" s="329">
        <v>3273</v>
      </c>
      <c r="G3363" s="329" t="s">
        <v>8710</v>
      </c>
      <c r="H3363" s="483" t="s">
        <v>8942</v>
      </c>
    </row>
    <row r="3364" spans="1:11">
      <c r="A3364" s="483" t="s">
        <v>8943</v>
      </c>
      <c r="C3364" s="483">
        <v>29647</v>
      </c>
      <c r="H3364" s="483" t="s">
        <v>8944</v>
      </c>
    </row>
    <row r="3365" spans="1:11">
      <c r="A3365" s="483" t="s">
        <v>8943</v>
      </c>
      <c r="C3365" s="483">
        <v>61454</v>
      </c>
      <c r="D3365" s="487"/>
      <c r="H3365" s="483" t="s">
        <v>8945</v>
      </c>
    </row>
    <row r="3366" spans="1:11">
      <c r="A3366" s="483" t="s">
        <v>8943</v>
      </c>
      <c r="C3366" s="483">
        <v>12000</v>
      </c>
      <c r="D3366" s="487"/>
      <c r="H3366" s="483" t="s">
        <v>8946</v>
      </c>
    </row>
    <row r="3367" spans="1:11">
      <c r="A3367" s="483" t="s">
        <v>8947</v>
      </c>
      <c r="C3367" s="483">
        <v>9375</v>
      </c>
      <c r="H3367" s="483" t="s">
        <v>8948</v>
      </c>
    </row>
    <row r="3368" spans="1:11">
      <c r="A3368" s="483" t="s">
        <v>8949</v>
      </c>
      <c r="E3368" s="329">
        <v>208</v>
      </c>
      <c r="F3368" s="329">
        <v>3065</v>
      </c>
      <c r="G3368" s="483" t="s">
        <v>8661</v>
      </c>
      <c r="H3368" s="483" t="s">
        <v>8950</v>
      </c>
    </row>
    <row r="3369" spans="1:11">
      <c r="A3369" s="483" t="s">
        <v>8951</v>
      </c>
      <c r="E3369" s="483">
        <v>60</v>
      </c>
      <c r="F3369" s="329">
        <v>3005</v>
      </c>
      <c r="G3369" s="483" t="s">
        <v>8650</v>
      </c>
      <c r="H3369" s="483" t="s">
        <v>8952</v>
      </c>
    </row>
    <row r="3370" spans="1:11" ht="33">
      <c r="A3370" s="483" t="s">
        <v>8953</v>
      </c>
      <c r="C3370" s="483">
        <v>6600</v>
      </c>
      <c r="H3370" s="488" t="s">
        <v>8954</v>
      </c>
    </row>
    <row r="3371" spans="1:11" ht="49.5">
      <c r="A3371" s="483" t="s">
        <v>8955</v>
      </c>
      <c r="C3371" s="329">
        <v>1468</v>
      </c>
      <c r="F3371" s="329"/>
      <c r="G3371" s="483" t="s">
        <v>8673</v>
      </c>
      <c r="H3371" s="486" t="s">
        <v>8956</v>
      </c>
    </row>
    <row r="3372" spans="1:11">
      <c r="A3372" s="483" t="s">
        <v>8955</v>
      </c>
      <c r="E3372" s="329">
        <v>140</v>
      </c>
      <c r="F3372" s="329">
        <v>2865</v>
      </c>
      <c r="G3372" s="483" t="s">
        <v>8666</v>
      </c>
      <c r="H3372" s="483" t="s">
        <v>8957</v>
      </c>
    </row>
    <row r="3373" spans="1:11">
      <c r="A3373" s="483" t="s">
        <v>8958</v>
      </c>
      <c r="E3373" s="329">
        <v>18</v>
      </c>
      <c r="F3373" s="329">
        <v>2847</v>
      </c>
      <c r="G3373" s="483" t="s">
        <v>8661</v>
      </c>
      <c r="H3373" s="483" t="s">
        <v>8959</v>
      </c>
    </row>
    <row r="3374" spans="1:11">
      <c r="A3374" s="483" t="s">
        <v>8958</v>
      </c>
      <c r="E3374" s="483">
        <v>100</v>
      </c>
      <c r="F3374" s="329">
        <v>2747</v>
      </c>
      <c r="G3374" s="483" t="s">
        <v>8678</v>
      </c>
      <c r="H3374" s="483" t="s">
        <v>8960</v>
      </c>
    </row>
    <row r="3375" spans="1:11">
      <c r="A3375" s="483" t="s">
        <v>8958</v>
      </c>
      <c r="E3375" s="329">
        <v>243</v>
      </c>
      <c r="F3375" s="329">
        <v>2504</v>
      </c>
      <c r="G3375" s="483" t="s">
        <v>8661</v>
      </c>
      <c r="H3375" s="483" t="s">
        <v>8961</v>
      </c>
    </row>
    <row r="3376" spans="1:11">
      <c r="A3376" s="483" t="s">
        <v>8962</v>
      </c>
      <c r="E3376" s="483">
        <v>60</v>
      </c>
      <c r="F3376" s="329">
        <v>2444</v>
      </c>
      <c r="G3376" s="483" t="s">
        <v>8650</v>
      </c>
      <c r="H3376" s="483" t="s">
        <v>8963</v>
      </c>
    </row>
    <row r="3377" spans="1:11">
      <c r="A3377" s="483" t="s">
        <v>8964</v>
      </c>
      <c r="C3377" s="483">
        <v>20010</v>
      </c>
      <c r="H3377" s="483" t="s">
        <v>8965</v>
      </c>
      <c r="K3377" s="483" t="s">
        <v>8873</v>
      </c>
    </row>
    <row r="3378" spans="1:11">
      <c r="E3378" s="329"/>
      <c r="F3378" s="329"/>
      <c r="H3378" s="487" t="s">
        <v>8972</v>
      </c>
    </row>
    <row r="3379" spans="1:11">
      <c r="A3379" s="483" t="s">
        <v>8966</v>
      </c>
      <c r="C3379" s="483">
        <v>29647</v>
      </c>
      <c r="H3379" s="483" t="s">
        <v>8967</v>
      </c>
    </row>
    <row r="3380" spans="1:11">
      <c r="A3380" s="483" t="s">
        <v>8966</v>
      </c>
      <c r="C3380" s="483">
        <v>61454</v>
      </c>
      <c r="D3380" s="487"/>
      <c r="H3380" s="483" t="s">
        <v>8968</v>
      </c>
    </row>
    <row r="3381" spans="1:11">
      <c r="A3381" s="483" t="s">
        <v>8966</v>
      </c>
      <c r="C3381" s="483">
        <v>5569</v>
      </c>
      <c r="H3381" s="483" t="s">
        <v>8969</v>
      </c>
    </row>
    <row r="3382" spans="1:11">
      <c r="H3382" s="489" t="s">
        <v>8970</v>
      </c>
    </row>
    <row r="3383" spans="1:11">
      <c r="H3383" s="489"/>
    </row>
    <row r="3384" spans="1:11">
      <c r="A3384" s="329" t="s">
        <v>8973</v>
      </c>
      <c r="E3384" s="483">
        <v>120</v>
      </c>
      <c r="F3384" s="329"/>
      <c r="G3384" s="483" t="s">
        <v>8650</v>
      </c>
      <c r="H3384" s="329" t="s">
        <v>8974</v>
      </c>
    </row>
    <row r="3385" spans="1:11">
      <c r="A3385" s="329" t="s">
        <v>8973</v>
      </c>
      <c r="E3385" s="483">
        <v>44</v>
      </c>
      <c r="F3385" s="329"/>
      <c r="G3385" s="483" t="s">
        <v>8650</v>
      </c>
      <c r="H3385" s="329" t="s">
        <v>8975</v>
      </c>
    </row>
    <row r="3386" spans="1:11">
      <c r="H3386" s="484"/>
    </row>
    <row r="3388" spans="1:11">
      <c r="H3388" s="489" t="s">
        <v>8971</v>
      </c>
    </row>
  </sheetData>
  <phoneticPr fontId="3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1"/>
  <sheetViews>
    <sheetView workbookViewId="0">
      <pane ySplit="705" activePane="bottomLeft"/>
      <selection activeCell="G1" sqref="G1:G65536"/>
      <selection pane="bottomLeft" activeCell="H109" sqref="H109"/>
    </sheetView>
  </sheetViews>
  <sheetFormatPr defaultColWidth="8.875" defaultRowHeight="16.5"/>
  <cols>
    <col min="1" max="1" width="12.25" style="483" customWidth="1"/>
    <col min="2" max="5" width="8.875" style="483"/>
    <col min="6" max="6" width="9.5" style="483" bestFit="1" customWidth="1"/>
    <col min="7" max="7" width="8.875" style="483"/>
    <col min="8" max="8" width="46.375" style="483" bestFit="1" customWidth="1"/>
    <col min="9" max="16384" width="8.875" style="483"/>
  </cols>
  <sheetData>
    <row r="1" spans="1:4" s="480" customFormat="1" ht="12.75" customHeight="1">
      <c r="A1" s="480" t="s">
        <v>241</v>
      </c>
      <c r="B1" s="480" t="s">
        <v>1455</v>
      </c>
      <c r="C1" s="480" t="s">
        <v>2384</v>
      </c>
      <c r="D1" s="480" t="s">
        <v>2437</v>
      </c>
    </row>
    <row r="2" spans="1:4">
      <c r="A2" s="481" t="s">
        <v>8629</v>
      </c>
      <c r="B2" s="481">
        <v>32</v>
      </c>
      <c r="C2" s="481" t="s">
        <v>7776</v>
      </c>
      <c r="D2" s="481" t="s">
        <v>8631</v>
      </c>
    </row>
    <row r="3" spans="1:4">
      <c r="A3" s="481" t="s">
        <v>8643</v>
      </c>
      <c r="B3" s="481">
        <v>135</v>
      </c>
      <c r="C3" s="481" t="s">
        <v>7776</v>
      </c>
      <c r="D3" s="481" t="s">
        <v>8644</v>
      </c>
    </row>
    <row r="4" spans="1:4">
      <c r="A4" s="481" t="s">
        <v>8643</v>
      </c>
      <c r="B4" s="481">
        <v>210</v>
      </c>
      <c r="C4" s="481" t="s">
        <v>7776</v>
      </c>
      <c r="D4" s="481" t="s">
        <v>8644</v>
      </c>
    </row>
    <row r="5" spans="1:4">
      <c r="A5" s="481" t="s">
        <v>5613</v>
      </c>
      <c r="B5" s="481">
        <v>32</v>
      </c>
      <c r="C5" s="481" t="s">
        <v>8678</v>
      </c>
      <c r="D5" s="481" t="s">
        <v>8679</v>
      </c>
    </row>
    <row r="6" spans="1:4">
      <c r="A6" s="481" t="s">
        <v>8683</v>
      </c>
      <c r="B6" s="481">
        <v>200</v>
      </c>
      <c r="C6" s="481" t="s">
        <v>8678</v>
      </c>
      <c r="D6" s="481" t="s">
        <v>8684</v>
      </c>
    </row>
    <row r="7" spans="1:4">
      <c r="A7" s="481" t="s">
        <v>8695</v>
      </c>
      <c r="B7" s="481">
        <v>220</v>
      </c>
      <c r="C7" s="481" t="s">
        <v>8678</v>
      </c>
      <c r="D7" s="481" t="s">
        <v>8697</v>
      </c>
    </row>
    <row r="8" spans="1:4">
      <c r="A8" s="481" t="s">
        <v>8695</v>
      </c>
      <c r="B8" s="481">
        <v>190</v>
      </c>
      <c r="C8" s="481" t="s">
        <v>8678</v>
      </c>
      <c r="D8" s="481" t="s">
        <v>8697</v>
      </c>
    </row>
    <row r="9" spans="1:4">
      <c r="A9" s="481" t="s">
        <v>8712</v>
      </c>
      <c r="B9" s="481">
        <v>265</v>
      </c>
      <c r="C9" s="481" t="s">
        <v>8678</v>
      </c>
      <c r="D9" s="481" t="s">
        <v>8713</v>
      </c>
    </row>
    <row r="10" spans="1:4">
      <c r="A10" s="481" t="s">
        <v>8712</v>
      </c>
      <c r="B10" s="481">
        <v>320</v>
      </c>
      <c r="C10" s="481" t="s">
        <v>8678</v>
      </c>
      <c r="D10" s="481" t="s">
        <v>8713</v>
      </c>
    </row>
    <row r="11" spans="1:4">
      <c r="A11" s="481" t="s">
        <v>8726</v>
      </c>
      <c r="B11" s="481">
        <v>195</v>
      </c>
      <c r="C11" s="481" t="s">
        <v>8678</v>
      </c>
      <c r="D11" s="481" t="s">
        <v>8727</v>
      </c>
    </row>
    <row r="12" spans="1:4">
      <c r="A12" s="481" t="s">
        <v>8726</v>
      </c>
      <c r="B12" s="481">
        <v>20</v>
      </c>
      <c r="C12" s="481" t="s">
        <v>8678</v>
      </c>
      <c r="D12" s="481" t="s">
        <v>8727</v>
      </c>
    </row>
    <row r="13" spans="1:4">
      <c r="A13" s="481" t="s">
        <v>8748</v>
      </c>
      <c r="B13" s="481">
        <v>200</v>
      </c>
      <c r="C13" s="481" t="s">
        <v>8678</v>
      </c>
      <c r="D13" s="481" t="s">
        <v>8749</v>
      </c>
    </row>
    <row r="14" spans="1:4">
      <c r="A14" s="481" t="s">
        <v>8758</v>
      </c>
      <c r="B14" s="481">
        <v>250</v>
      </c>
      <c r="C14" s="481" t="s">
        <v>8678</v>
      </c>
      <c r="D14" s="481" t="s">
        <v>8759</v>
      </c>
    </row>
    <row r="15" spans="1:4">
      <c r="A15" s="481" t="s">
        <v>8758</v>
      </c>
      <c r="B15" s="481">
        <v>55</v>
      </c>
      <c r="C15" s="481" t="s">
        <v>8678</v>
      </c>
      <c r="D15" s="481" t="s">
        <v>8759</v>
      </c>
    </row>
    <row r="16" spans="1:4">
      <c r="A16" s="481" t="s">
        <v>8758</v>
      </c>
      <c r="B16" s="481">
        <v>70</v>
      </c>
      <c r="C16" s="481" t="s">
        <v>8678</v>
      </c>
      <c r="D16" s="481" t="s">
        <v>8760</v>
      </c>
    </row>
    <row r="17" spans="1:4">
      <c r="A17" s="481" t="s">
        <v>8758</v>
      </c>
      <c r="B17" s="481">
        <v>235</v>
      </c>
      <c r="C17" s="481" t="s">
        <v>8678</v>
      </c>
      <c r="D17" s="481" t="s">
        <v>8760</v>
      </c>
    </row>
    <row r="18" spans="1:4">
      <c r="A18" s="481" t="s">
        <v>8761</v>
      </c>
      <c r="B18" s="481">
        <v>225</v>
      </c>
      <c r="C18" s="481" t="s">
        <v>8678</v>
      </c>
      <c r="D18" s="481" t="s">
        <v>8762</v>
      </c>
    </row>
    <row r="19" spans="1:4">
      <c r="A19" s="481" t="s">
        <v>8761</v>
      </c>
      <c r="B19" s="481">
        <v>245</v>
      </c>
      <c r="C19" s="481" t="s">
        <v>8678</v>
      </c>
      <c r="D19" s="481" t="s">
        <v>8762</v>
      </c>
    </row>
    <row r="20" spans="1:4">
      <c r="A20" s="481" t="s">
        <v>8766</v>
      </c>
      <c r="B20" s="481">
        <v>300</v>
      </c>
      <c r="C20" s="481" t="s">
        <v>8678</v>
      </c>
      <c r="D20" s="481" t="s">
        <v>8759</v>
      </c>
    </row>
    <row r="21" spans="1:4">
      <c r="A21" s="481" t="s">
        <v>8766</v>
      </c>
      <c r="B21" s="481">
        <v>290</v>
      </c>
      <c r="C21" s="481" t="s">
        <v>8678</v>
      </c>
      <c r="D21" s="481" t="s">
        <v>8759</v>
      </c>
    </row>
    <row r="22" spans="1:4">
      <c r="A22" s="481" t="s">
        <v>8776</v>
      </c>
      <c r="B22" s="481">
        <v>32</v>
      </c>
      <c r="C22" s="481" t="s">
        <v>8678</v>
      </c>
      <c r="D22" s="481" t="s">
        <v>8684</v>
      </c>
    </row>
    <row r="23" spans="1:4">
      <c r="A23" s="481" t="s">
        <v>8780</v>
      </c>
      <c r="B23" s="481">
        <v>390</v>
      </c>
      <c r="C23" s="481" t="s">
        <v>8678</v>
      </c>
      <c r="D23" s="481" t="s">
        <v>8781</v>
      </c>
    </row>
    <row r="24" spans="1:4">
      <c r="A24" s="481" t="s">
        <v>8780</v>
      </c>
      <c r="B24" s="481">
        <v>395</v>
      </c>
      <c r="C24" s="481" t="s">
        <v>8678</v>
      </c>
      <c r="D24" s="481" t="s">
        <v>8781</v>
      </c>
    </row>
    <row r="25" spans="1:4">
      <c r="A25" s="481" t="s">
        <v>8780</v>
      </c>
      <c r="B25" s="481">
        <v>410</v>
      </c>
      <c r="C25" s="481" t="s">
        <v>8678</v>
      </c>
      <c r="D25" s="481" t="s">
        <v>8782</v>
      </c>
    </row>
    <row r="26" spans="1:4">
      <c r="A26" s="481" t="s">
        <v>8780</v>
      </c>
      <c r="B26" s="481">
        <v>405</v>
      </c>
      <c r="C26" s="481" t="s">
        <v>8678</v>
      </c>
      <c r="D26" s="481" t="s">
        <v>8782</v>
      </c>
    </row>
    <row r="27" spans="1:4">
      <c r="A27" s="481" t="s">
        <v>8788</v>
      </c>
      <c r="B27" s="481">
        <v>390</v>
      </c>
      <c r="C27" s="481" t="s">
        <v>8678</v>
      </c>
      <c r="D27" s="481" t="s">
        <v>8789</v>
      </c>
    </row>
    <row r="28" spans="1:4">
      <c r="A28" s="481" t="s">
        <v>8788</v>
      </c>
      <c r="B28" s="481">
        <v>420</v>
      </c>
      <c r="C28" s="481" t="s">
        <v>8678</v>
      </c>
      <c r="D28" s="481" t="s">
        <v>8789</v>
      </c>
    </row>
    <row r="29" spans="1:4">
      <c r="A29" s="481" t="s">
        <v>8857</v>
      </c>
      <c r="B29" s="481">
        <v>250</v>
      </c>
      <c r="C29" s="481" t="s">
        <v>8678</v>
      </c>
      <c r="D29" s="481" t="s">
        <v>8858</v>
      </c>
    </row>
    <row r="30" spans="1:4">
      <c r="A30" s="481" t="s">
        <v>8857</v>
      </c>
      <c r="B30" s="481">
        <v>280</v>
      </c>
      <c r="C30" s="481" t="s">
        <v>8678</v>
      </c>
      <c r="D30" s="481" t="s">
        <v>8858</v>
      </c>
    </row>
    <row r="31" spans="1:4">
      <c r="A31" s="481" t="s">
        <v>8861</v>
      </c>
      <c r="B31" s="481">
        <v>200</v>
      </c>
      <c r="C31" s="481" t="s">
        <v>8678</v>
      </c>
      <c r="D31" s="481" t="s">
        <v>8862</v>
      </c>
    </row>
    <row r="32" spans="1:4">
      <c r="A32" s="481" t="s">
        <v>8861</v>
      </c>
      <c r="B32" s="481">
        <v>200</v>
      </c>
      <c r="C32" s="481" t="s">
        <v>8678</v>
      </c>
      <c r="D32" s="481" t="s">
        <v>8862</v>
      </c>
    </row>
    <row r="33" spans="1:4">
      <c r="A33" s="481" t="s">
        <v>8863</v>
      </c>
      <c r="B33" s="481">
        <v>235</v>
      </c>
      <c r="C33" s="481" t="s">
        <v>8678</v>
      </c>
      <c r="D33" s="481" t="s">
        <v>8864</v>
      </c>
    </row>
    <row r="34" spans="1:4">
      <c r="A34" s="481" t="s">
        <v>8863</v>
      </c>
      <c r="B34" s="481">
        <v>240</v>
      </c>
      <c r="C34" s="481" t="s">
        <v>8678</v>
      </c>
      <c r="D34" s="481" t="s">
        <v>8864</v>
      </c>
    </row>
    <row r="35" spans="1:4" s="566" customFormat="1">
      <c r="A35" s="567"/>
      <c r="B35" s="567">
        <f>SUM(B2:B34)</f>
        <v>7536</v>
      </c>
      <c r="C35" s="567"/>
      <c r="D35" s="567"/>
    </row>
    <row r="36" spans="1:4">
      <c r="A36" s="481" t="s">
        <v>5606</v>
      </c>
      <c r="B36" s="481">
        <v>1458</v>
      </c>
      <c r="C36" s="481" t="s">
        <v>7763</v>
      </c>
      <c r="D36" s="481" t="s">
        <v>8642</v>
      </c>
    </row>
    <row r="37" spans="1:4">
      <c r="A37" s="481" t="s">
        <v>8672</v>
      </c>
      <c r="B37" s="481">
        <v>1458</v>
      </c>
      <c r="C37" s="481" t="s">
        <v>8673</v>
      </c>
      <c r="D37" s="481" t="s">
        <v>8674</v>
      </c>
    </row>
    <row r="38" spans="1:4">
      <c r="A38" s="481" t="s">
        <v>8698</v>
      </c>
      <c r="B38" s="481">
        <v>1458</v>
      </c>
      <c r="C38" s="481" t="s">
        <v>8673</v>
      </c>
      <c r="D38" s="481" t="s">
        <v>8699</v>
      </c>
    </row>
    <row r="39" spans="1:4">
      <c r="A39" s="481" t="s">
        <v>8714</v>
      </c>
      <c r="B39" s="481">
        <v>1458</v>
      </c>
      <c r="C39" s="481" t="s">
        <v>8673</v>
      </c>
      <c r="D39" s="481" t="s">
        <v>8715</v>
      </c>
    </row>
    <row r="40" spans="1:4">
      <c r="A40" s="481" t="s">
        <v>8728</v>
      </c>
      <c r="B40" s="481">
        <v>1458</v>
      </c>
      <c r="C40" s="481" t="s">
        <v>8673</v>
      </c>
      <c r="D40" s="481" t="s">
        <v>8729</v>
      </c>
    </row>
    <row r="41" spans="1:4">
      <c r="A41" s="481" t="s">
        <v>8741</v>
      </c>
      <c r="B41" s="481">
        <v>1458</v>
      </c>
      <c r="C41" s="481" t="s">
        <v>8673</v>
      </c>
      <c r="D41" s="481" t="s">
        <v>8743</v>
      </c>
    </row>
    <row r="42" spans="1:4">
      <c r="A42" s="481" t="s">
        <v>8763</v>
      </c>
      <c r="B42" s="481">
        <v>1458</v>
      </c>
      <c r="C42" s="481" t="s">
        <v>8673</v>
      </c>
      <c r="D42" s="481" t="s">
        <v>8764</v>
      </c>
    </row>
    <row r="43" spans="1:4">
      <c r="A43" s="481" t="s">
        <v>8774</v>
      </c>
      <c r="B43" s="481">
        <v>1458</v>
      </c>
      <c r="C43" s="481" t="s">
        <v>8673</v>
      </c>
      <c r="D43" s="481" t="s">
        <v>8775</v>
      </c>
    </row>
    <row r="44" spans="1:4">
      <c r="A44" s="481" t="s">
        <v>8804</v>
      </c>
      <c r="B44" s="481">
        <v>1458</v>
      </c>
      <c r="C44" s="481" t="s">
        <v>8673</v>
      </c>
      <c r="D44" s="481" t="s">
        <v>8805</v>
      </c>
    </row>
    <row r="45" spans="1:4">
      <c r="A45" s="481" t="s">
        <v>8820</v>
      </c>
      <c r="B45" s="481">
        <v>1458</v>
      </c>
      <c r="C45" s="481" t="s">
        <v>8673</v>
      </c>
      <c r="D45" s="481" t="s">
        <v>8821</v>
      </c>
    </row>
    <row r="46" spans="1:4">
      <c r="A46" s="481" t="s">
        <v>8839</v>
      </c>
      <c r="B46" s="481">
        <v>1458</v>
      </c>
      <c r="C46" s="481" t="s">
        <v>8673</v>
      </c>
      <c r="D46" s="481" t="s">
        <v>8844</v>
      </c>
    </row>
    <row r="47" spans="1:4">
      <c r="A47" s="481" t="s">
        <v>8869</v>
      </c>
      <c r="B47" s="481">
        <v>1458</v>
      </c>
      <c r="C47" s="481" t="s">
        <v>8673</v>
      </c>
      <c r="D47" s="481" t="s">
        <v>8870</v>
      </c>
    </row>
    <row r="48" spans="1:4" s="566" customFormat="1">
      <c r="A48" s="567"/>
      <c r="B48" s="567">
        <f>SUM(B36:B47)</f>
        <v>17496</v>
      </c>
      <c r="C48" s="567"/>
      <c r="D48" s="567"/>
    </row>
    <row r="49" spans="1:4">
      <c r="A49" s="481" t="s">
        <v>8645</v>
      </c>
      <c r="B49" s="481">
        <v>189</v>
      </c>
      <c r="C49" s="481" t="s">
        <v>7779</v>
      </c>
      <c r="D49" s="481" t="s">
        <v>8646</v>
      </c>
    </row>
    <row r="50" spans="1:4">
      <c r="A50" s="481" t="s">
        <v>8706</v>
      </c>
      <c r="B50" s="481">
        <v>189</v>
      </c>
      <c r="C50" s="481" t="s">
        <v>8710</v>
      </c>
      <c r="D50" s="481" t="s">
        <v>8711</v>
      </c>
    </row>
    <row r="51" spans="1:4">
      <c r="A51" s="481" t="s">
        <v>8739</v>
      </c>
      <c r="B51" s="481">
        <v>189</v>
      </c>
      <c r="C51" s="481" t="s">
        <v>8710</v>
      </c>
      <c r="D51" s="481" t="s">
        <v>8740</v>
      </c>
    </row>
    <row r="52" spans="1:4">
      <c r="A52" s="481" t="s">
        <v>8763</v>
      </c>
      <c r="B52" s="481">
        <v>178</v>
      </c>
      <c r="C52" s="481" t="s">
        <v>8710</v>
      </c>
      <c r="D52" s="481" t="s">
        <v>8765</v>
      </c>
    </row>
    <row r="53" spans="1:4">
      <c r="A53" s="481" t="s">
        <v>8804</v>
      </c>
      <c r="B53" s="481">
        <v>168</v>
      </c>
      <c r="C53" s="481" t="s">
        <v>8710</v>
      </c>
      <c r="D53" s="481" t="s">
        <v>8806</v>
      </c>
    </row>
    <row r="54" spans="1:4">
      <c r="A54" s="481" t="s">
        <v>8839</v>
      </c>
      <c r="B54" s="481">
        <v>178</v>
      </c>
      <c r="C54" s="481" t="s">
        <v>8710</v>
      </c>
      <c r="D54" s="481" t="s">
        <v>8843</v>
      </c>
    </row>
    <row r="55" spans="1:4" s="566" customFormat="1">
      <c r="A55" s="567"/>
      <c r="B55" s="567">
        <f>SUM(B49:B54)</f>
        <v>1091</v>
      </c>
      <c r="C55" s="567"/>
      <c r="D55" s="567"/>
    </row>
    <row r="56" spans="1:4">
      <c r="A56" s="481" t="s">
        <v>8686</v>
      </c>
      <c r="B56" s="481">
        <v>1507</v>
      </c>
      <c r="C56" s="481" t="s">
        <v>8689</v>
      </c>
      <c r="D56" s="481" t="s">
        <v>8690</v>
      </c>
    </row>
    <row r="57" spans="1:4" s="566" customFormat="1">
      <c r="A57" s="567"/>
      <c r="B57" s="567">
        <f>SUM(B56:B56)</f>
        <v>1507</v>
      </c>
      <c r="C57" s="567"/>
      <c r="D57" s="567"/>
    </row>
    <row r="58" spans="1:4">
      <c r="A58" s="481" t="s">
        <v>8665</v>
      </c>
      <c r="B58" s="481">
        <v>364</v>
      </c>
      <c r="C58" s="481" t="s">
        <v>8666</v>
      </c>
      <c r="D58" s="481" t="s">
        <v>8667</v>
      </c>
    </row>
    <row r="59" spans="1:4">
      <c r="A59" s="481" t="s">
        <v>8819</v>
      </c>
      <c r="B59" s="481">
        <v>110</v>
      </c>
      <c r="C59" s="481" t="s">
        <v>8666</v>
      </c>
      <c r="D59" s="481" t="s">
        <v>8667</v>
      </c>
    </row>
    <row r="60" spans="1:4" s="566" customFormat="1">
      <c r="A60" s="567"/>
      <c r="B60" s="567">
        <f>SUM(B58:B59)</f>
        <v>474</v>
      </c>
      <c r="C60" s="567"/>
      <c r="D60" s="567"/>
    </row>
    <row r="61" spans="1:4">
      <c r="A61" s="481" t="s">
        <v>8629</v>
      </c>
      <c r="B61" s="481">
        <v>18</v>
      </c>
      <c r="C61" s="481" t="s">
        <v>7767</v>
      </c>
      <c r="D61" s="481" t="s">
        <v>8630</v>
      </c>
    </row>
    <row r="62" spans="1:4">
      <c r="A62" s="481" t="s">
        <v>5610</v>
      </c>
      <c r="B62" s="481">
        <v>89</v>
      </c>
      <c r="C62" s="481" t="s">
        <v>8661</v>
      </c>
      <c r="D62" s="481" t="s">
        <v>8662</v>
      </c>
    </row>
    <row r="63" spans="1:4">
      <c r="A63" s="481" t="s">
        <v>5613</v>
      </c>
      <c r="B63" s="481">
        <v>18</v>
      </c>
      <c r="C63" s="481" t="s">
        <v>8661</v>
      </c>
      <c r="D63" s="481" t="s">
        <v>8677</v>
      </c>
    </row>
    <row r="64" spans="1:4">
      <c r="A64" s="481" t="s">
        <v>5613</v>
      </c>
      <c r="B64" s="481">
        <v>115</v>
      </c>
      <c r="C64" s="481" t="s">
        <v>8661</v>
      </c>
      <c r="D64" s="481" t="s">
        <v>8680</v>
      </c>
    </row>
    <row r="65" spans="1:4">
      <c r="A65" s="481" t="s">
        <v>8702</v>
      </c>
      <c r="B65" s="481">
        <v>79</v>
      </c>
      <c r="C65" s="481" t="s">
        <v>8661</v>
      </c>
      <c r="D65" s="481" t="s">
        <v>8703</v>
      </c>
    </row>
    <row r="66" spans="1:4">
      <c r="A66" s="481" t="s">
        <v>8718</v>
      </c>
      <c r="B66" s="481">
        <v>18</v>
      </c>
      <c r="C66" s="481" t="s">
        <v>8661</v>
      </c>
      <c r="D66" s="481" t="s">
        <v>8719</v>
      </c>
    </row>
    <row r="67" spans="1:4">
      <c r="A67" s="481" t="s">
        <v>8730</v>
      </c>
      <c r="B67" s="481">
        <v>179</v>
      </c>
      <c r="C67" s="481" t="s">
        <v>8661</v>
      </c>
      <c r="D67" s="481" t="s">
        <v>8662</v>
      </c>
    </row>
    <row r="68" spans="1:4">
      <c r="A68" s="481" t="s">
        <v>8744</v>
      </c>
      <c r="B68" s="481">
        <v>18</v>
      </c>
      <c r="C68" s="481" t="s">
        <v>8661</v>
      </c>
      <c r="D68" s="481" t="s">
        <v>8745</v>
      </c>
    </row>
    <row r="69" spans="1:4">
      <c r="A69" s="481" t="s">
        <v>8776</v>
      </c>
      <c r="B69" s="481">
        <v>18</v>
      </c>
      <c r="C69" s="481" t="s">
        <v>8661</v>
      </c>
      <c r="D69" s="481" t="s">
        <v>8777</v>
      </c>
    </row>
    <row r="70" spans="1:4">
      <c r="A70" s="481" t="s">
        <v>8822</v>
      </c>
      <c r="B70" s="481">
        <v>18</v>
      </c>
      <c r="C70" s="481" t="s">
        <v>8661</v>
      </c>
      <c r="D70" s="481" t="s">
        <v>8823</v>
      </c>
    </row>
    <row r="71" spans="1:4">
      <c r="A71" s="481" t="s">
        <v>8837</v>
      </c>
      <c r="B71" s="481">
        <v>105</v>
      </c>
      <c r="C71" s="481" t="s">
        <v>8661</v>
      </c>
      <c r="D71" s="481" t="s">
        <v>8838</v>
      </c>
    </row>
    <row r="72" spans="1:4">
      <c r="A72" s="481" t="s">
        <v>8863</v>
      </c>
      <c r="B72" s="481">
        <v>255</v>
      </c>
      <c r="C72" s="481" t="s">
        <v>8661</v>
      </c>
      <c r="D72" s="481" t="s">
        <v>8866</v>
      </c>
    </row>
    <row r="73" spans="1:4">
      <c r="A73" s="481" t="s">
        <v>8867</v>
      </c>
      <c r="B73" s="481">
        <v>18</v>
      </c>
      <c r="C73" s="481" t="s">
        <v>8661</v>
      </c>
      <c r="D73" s="481" t="s">
        <v>8868</v>
      </c>
    </row>
    <row r="74" spans="1:4" s="566" customFormat="1">
      <c r="A74" s="567"/>
      <c r="B74" s="567">
        <f>SUM(B61:B73)</f>
        <v>948</v>
      </c>
      <c r="C74" s="567"/>
      <c r="D74" s="567"/>
    </row>
    <row r="75" spans="1:4">
      <c r="A75" s="481" t="s">
        <v>8637</v>
      </c>
      <c r="B75" s="481">
        <v>366</v>
      </c>
      <c r="C75" s="481" t="s">
        <v>7759</v>
      </c>
      <c r="D75" s="481" t="s">
        <v>8639</v>
      </c>
    </row>
    <row r="76" spans="1:4">
      <c r="A76" s="481" t="s">
        <v>8796</v>
      </c>
      <c r="B76" s="481">
        <v>15</v>
      </c>
      <c r="C76" s="481" t="s">
        <v>8798</v>
      </c>
      <c r="D76" s="481" t="s">
        <v>8799</v>
      </c>
    </row>
    <row r="77" spans="1:4">
      <c r="A77" s="481" t="s">
        <v>8796</v>
      </c>
      <c r="B77" s="481">
        <v>459</v>
      </c>
      <c r="C77" s="481" t="s">
        <v>8798</v>
      </c>
      <c r="D77" s="481" t="s">
        <v>8800</v>
      </c>
    </row>
    <row r="78" spans="1:4" s="566" customFormat="1">
      <c r="A78" s="567"/>
      <c r="B78" s="567">
        <f>SUM(B75:B77)</f>
        <v>840</v>
      </c>
      <c r="C78" s="567"/>
      <c r="D78" s="567"/>
    </row>
    <row r="79" spans="1:4">
      <c r="A79" s="481" t="s">
        <v>8632</v>
      </c>
      <c r="B79" s="481">
        <v>84</v>
      </c>
      <c r="C79" s="481" t="s">
        <v>7755</v>
      </c>
      <c r="D79" s="481" t="s">
        <v>8633</v>
      </c>
    </row>
    <row r="80" spans="1:4">
      <c r="A80" s="481" t="s">
        <v>8634</v>
      </c>
      <c r="B80" s="481">
        <v>60</v>
      </c>
      <c r="C80" s="481" t="s">
        <v>7755</v>
      </c>
      <c r="D80" s="481" t="s">
        <v>8636</v>
      </c>
    </row>
    <row r="81" spans="1:4">
      <c r="A81" s="481" t="s">
        <v>8637</v>
      </c>
      <c r="B81" s="481">
        <v>60</v>
      </c>
      <c r="C81" s="481" t="s">
        <v>7755</v>
      </c>
      <c r="D81" s="481" t="s">
        <v>8638</v>
      </c>
    </row>
    <row r="82" spans="1:4">
      <c r="A82" s="481" t="s">
        <v>5606</v>
      </c>
      <c r="B82" s="481">
        <v>74</v>
      </c>
      <c r="C82" s="481" t="s">
        <v>7755</v>
      </c>
      <c r="D82" s="481" t="s">
        <v>8144</v>
      </c>
    </row>
    <row r="83" spans="1:4">
      <c r="A83" s="481" t="s">
        <v>8649</v>
      </c>
      <c r="B83" s="481">
        <v>28</v>
      </c>
      <c r="C83" s="481" t="s">
        <v>8650</v>
      </c>
      <c r="D83" s="481" t="s">
        <v>8651</v>
      </c>
    </row>
    <row r="84" spans="1:4">
      <c r="A84" s="481" t="s">
        <v>8659</v>
      </c>
      <c r="B84" s="481">
        <v>196</v>
      </c>
      <c r="C84" s="481" t="s">
        <v>8650</v>
      </c>
      <c r="D84" s="481" t="s">
        <v>8660</v>
      </c>
    </row>
    <row r="85" spans="1:4">
      <c r="A85" s="481" t="s">
        <v>8720</v>
      </c>
      <c r="B85" s="481">
        <v>196</v>
      </c>
      <c r="C85" s="481" t="s">
        <v>8650</v>
      </c>
      <c r="D85" s="481" t="s">
        <v>8660</v>
      </c>
    </row>
    <row r="86" spans="1:4">
      <c r="A86" s="481" t="s">
        <v>8731</v>
      </c>
      <c r="B86" s="481">
        <v>44</v>
      </c>
      <c r="C86" s="481" t="s">
        <v>8650</v>
      </c>
      <c r="D86" s="481" t="s">
        <v>8732</v>
      </c>
    </row>
    <row r="87" spans="1:4">
      <c r="A87" s="481" t="s">
        <v>8741</v>
      </c>
      <c r="B87" s="481">
        <v>56</v>
      </c>
      <c r="C87" s="481" t="s">
        <v>8650</v>
      </c>
      <c r="D87" s="481" t="s">
        <v>8742</v>
      </c>
    </row>
    <row r="88" spans="1:4">
      <c r="A88" s="481" t="s">
        <v>8746</v>
      </c>
      <c r="B88" s="481">
        <v>60</v>
      </c>
      <c r="C88" s="481" t="s">
        <v>8650</v>
      </c>
      <c r="D88" s="481" t="s">
        <v>8747</v>
      </c>
    </row>
    <row r="89" spans="1:4">
      <c r="A89" s="481" t="s">
        <v>8752</v>
      </c>
      <c r="B89" s="481">
        <v>28</v>
      </c>
      <c r="C89" s="481" t="s">
        <v>8650</v>
      </c>
      <c r="D89" s="481" t="s">
        <v>8753</v>
      </c>
    </row>
    <row r="90" spans="1:4">
      <c r="A90" s="481" t="s">
        <v>8756</v>
      </c>
      <c r="B90" s="481">
        <v>44</v>
      </c>
      <c r="C90" s="481" t="s">
        <v>8650</v>
      </c>
      <c r="D90" s="481" t="s">
        <v>8757</v>
      </c>
    </row>
    <row r="91" spans="1:4">
      <c r="A91" s="481" t="s">
        <v>8770</v>
      </c>
      <c r="B91" s="481">
        <v>756</v>
      </c>
      <c r="C91" s="481" t="s">
        <v>8650</v>
      </c>
      <c r="D91" s="481" t="s">
        <v>8771</v>
      </c>
    </row>
    <row r="92" spans="1:4">
      <c r="A92" s="481" t="s">
        <v>8772</v>
      </c>
      <c r="B92" s="481">
        <v>44</v>
      </c>
      <c r="C92" s="481" t="s">
        <v>8650</v>
      </c>
      <c r="D92" s="481" t="s">
        <v>8773</v>
      </c>
    </row>
    <row r="93" spans="1:4">
      <c r="A93" s="481" t="s">
        <v>8791</v>
      </c>
      <c r="B93" s="481">
        <v>244</v>
      </c>
      <c r="C93" s="481" t="s">
        <v>8650</v>
      </c>
      <c r="D93" s="481" t="s">
        <v>8792</v>
      </c>
    </row>
    <row r="94" spans="1:4">
      <c r="A94" s="481" t="s">
        <v>8794</v>
      </c>
      <c r="B94" s="481">
        <v>28</v>
      </c>
      <c r="C94" s="481" t="s">
        <v>8650</v>
      </c>
      <c r="D94" s="481" t="s">
        <v>8795</v>
      </c>
    </row>
    <row r="95" spans="1:4">
      <c r="A95" s="481" t="s">
        <v>8796</v>
      </c>
      <c r="B95" s="481">
        <v>144</v>
      </c>
      <c r="C95" s="481" t="s">
        <v>8650</v>
      </c>
      <c r="D95" s="481" t="s">
        <v>8797</v>
      </c>
    </row>
    <row r="96" spans="1:4">
      <c r="A96" s="481" t="s">
        <v>8801</v>
      </c>
      <c r="B96" s="481">
        <v>44</v>
      </c>
      <c r="C96" s="481" t="s">
        <v>8650</v>
      </c>
      <c r="D96" s="481" t="s">
        <v>8802</v>
      </c>
    </row>
    <row r="97" spans="1:8">
      <c r="A97" s="481" t="s">
        <v>8824</v>
      </c>
      <c r="B97" s="481">
        <v>324</v>
      </c>
      <c r="C97" s="481" t="s">
        <v>8650</v>
      </c>
      <c r="D97" s="481" t="s">
        <v>8825</v>
      </c>
    </row>
    <row r="98" spans="1:8">
      <c r="A98" s="481" t="s">
        <v>8835</v>
      </c>
      <c r="B98" s="481">
        <v>28</v>
      </c>
      <c r="C98" s="481" t="s">
        <v>8650</v>
      </c>
      <c r="D98" s="481" t="s">
        <v>8836</v>
      </c>
    </row>
    <row r="99" spans="1:8">
      <c r="A99" s="481" t="s">
        <v>8847</v>
      </c>
      <c r="B99" s="481">
        <v>36</v>
      </c>
      <c r="C99" s="481" t="s">
        <v>8650</v>
      </c>
      <c r="D99" s="481" t="s">
        <v>8852</v>
      </c>
    </row>
    <row r="100" spans="1:8">
      <c r="A100" s="481" t="s">
        <v>8859</v>
      </c>
      <c r="B100" s="481">
        <v>84</v>
      </c>
      <c r="C100" s="481" t="s">
        <v>8650</v>
      </c>
      <c r="D100" s="481" t="s">
        <v>8860</v>
      </c>
    </row>
    <row r="101" spans="1:8" s="566" customFormat="1">
      <c r="A101" s="567"/>
      <c r="B101" s="567">
        <f>SUM(B79:B100)</f>
        <v>2662</v>
      </c>
      <c r="C101" s="567"/>
      <c r="D101" s="567"/>
    </row>
    <row r="102" spans="1:8">
      <c r="A102" s="482"/>
      <c r="B102" s="482"/>
      <c r="C102" s="631"/>
      <c r="D102" s="482"/>
      <c r="E102" s="487"/>
    </row>
    <row r="103" spans="1:8">
      <c r="A103" s="481" t="s">
        <v>8847</v>
      </c>
      <c r="B103" s="481">
        <v>50</v>
      </c>
      <c r="C103" s="663"/>
      <c r="D103" s="481" t="s">
        <v>10150</v>
      </c>
    </row>
    <row r="104" spans="1:8">
      <c r="A104" s="482"/>
      <c r="B104" s="482"/>
      <c r="C104" s="631"/>
      <c r="D104" s="482"/>
      <c r="E104" s="487"/>
    </row>
    <row r="105" spans="1:8">
      <c r="A105" s="482"/>
      <c r="B105" s="482"/>
      <c r="C105" s="631"/>
      <c r="D105" s="482"/>
      <c r="E105" s="487"/>
    </row>
    <row r="106" spans="1:8">
      <c r="A106" s="482"/>
      <c r="B106" s="482"/>
      <c r="C106" s="631"/>
      <c r="D106" s="482"/>
      <c r="E106" s="487"/>
    </row>
    <row r="107" spans="1:8">
      <c r="A107" s="482"/>
      <c r="B107" s="482"/>
      <c r="C107" s="631"/>
      <c r="D107" s="482"/>
      <c r="E107" s="487"/>
    </row>
    <row r="108" spans="1:8">
      <c r="A108" s="482"/>
      <c r="B108" s="482"/>
      <c r="C108" s="631"/>
      <c r="D108" s="482"/>
      <c r="E108" s="487"/>
    </row>
    <row r="109" spans="1:8">
      <c r="A109" s="482"/>
      <c r="B109" s="482"/>
      <c r="C109" s="631"/>
      <c r="D109" s="482"/>
      <c r="E109" s="487"/>
    </row>
    <row r="110" spans="1:8">
      <c r="A110" s="483" t="s">
        <v>4424</v>
      </c>
      <c r="B110" s="483" t="s">
        <v>4425</v>
      </c>
      <c r="C110" s="483" t="s">
        <v>4426</v>
      </c>
      <c r="D110" s="483" t="s">
        <v>4427</v>
      </c>
      <c r="E110" s="483" t="s">
        <v>4428</v>
      </c>
      <c r="F110" s="483" t="s">
        <v>4429</v>
      </c>
      <c r="G110" s="483" t="s">
        <v>4430</v>
      </c>
      <c r="H110" s="483" t="s">
        <v>4431</v>
      </c>
    </row>
    <row r="111" spans="1:8" s="485" customFormat="1" ht="6.75" customHeight="1">
      <c r="E111" s="630"/>
      <c r="F111" s="630"/>
    </row>
    <row r="112" spans="1:8">
      <c r="A112" s="483" t="s">
        <v>8624</v>
      </c>
      <c r="C112" s="483">
        <v>18000</v>
      </c>
      <c r="D112" s="487"/>
      <c r="H112" s="483" t="s">
        <v>8625</v>
      </c>
    </row>
    <row r="113" spans="1:8">
      <c r="A113" s="483" t="s">
        <v>8624</v>
      </c>
      <c r="C113" s="483">
        <v>26897</v>
      </c>
      <c r="H113" s="483" t="s">
        <v>8626</v>
      </c>
    </row>
    <row r="114" spans="1:8">
      <c r="A114" s="483" t="s">
        <v>8624</v>
      </c>
      <c r="C114" s="483">
        <v>22362</v>
      </c>
      <c r="H114" s="483" t="s">
        <v>8627</v>
      </c>
    </row>
    <row r="115" spans="1:8" ht="49.5">
      <c r="A115" s="483" t="s">
        <v>8624</v>
      </c>
      <c r="C115" s="483">
        <v>30000</v>
      </c>
      <c r="E115" s="329"/>
      <c r="F115" s="329"/>
      <c r="H115" s="486" t="s">
        <v>8628</v>
      </c>
    </row>
    <row r="116" spans="1:8">
      <c r="A116" s="483" t="s">
        <v>8629</v>
      </c>
      <c r="E116" s="329">
        <v>18</v>
      </c>
      <c r="F116" s="329">
        <v>2227</v>
      </c>
      <c r="G116" s="483" t="s">
        <v>7767</v>
      </c>
      <c r="H116" s="483" t="s">
        <v>8630</v>
      </c>
    </row>
    <row r="117" spans="1:8">
      <c r="A117" s="483" t="s">
        <v>8629</v>
      </c>
      <c r="E117" s="483">
        <v>32</v>
      </c>
      <c r="F117" s="329">
        <v>2195</v>
      </c>
      <c r="G117" s="483" t="s">
        <v>7776</v>
      </c>
      <c r="H117" s="483" t="s">
        <v>8631</v>
      </c>
    </row>
    <row r="118" spans="1:8">
      <c r="A118" s="483" t="s">
        <v>8632</v>
      </c>
      <c r="E118" s="483">
        <v>84</v>
      </c>
      <c r="F118" s="329">
        <v>2111</v>
      </c>
      <c r="G118" s="483" t="s">
        <v>7755</v>
      </c>
      <c r="H118" s="483" t="s">
        <v>8633</v>
      </c>
    </row>
    <row r="119" spans="1:8">
      <c r="A119" s="483" t="s">
        <v>8634</v>
      </c>
      <c r="C119" s="483">
        <v>61454</v>
      </c>
      <c r="D119" s="487"/>
      <c r="E119" s="487"/>
      <c r="H119" s="483" t="s">
        <v>8635</v>
      </c>
    </row>
    <row r="120" spans="1:8">
      <c r="A120" s="483" t="s">
        <v>8634</v>
      </c>
      <c r="E120" s="483">
        <v>60</v>
      </c>
      <c r="F120" s="329">
        <v>2051</v>
      </c>
      <c r="G120" s="483" t="s">
        <v>7755</v>
      </c>
      <c r="H120" s="483" t="s">
        <v>8636</v>
      </c>
    </row>
    <row r="121" spans="1:8">
      <c r="A121" s="483" t="s">
        <v>8637</v>
      </c>
      <c r="E121" s="483">
        <v>60</v>
      </c>
      <c r="F121" s="329">
        <v>1991</v>
      </c>
      <c r="G121" s="483" t="s">
        <v>7755</v>
      </c>
      <c r="H121" s="483" t="s">
        <v>8638</v>
      </c>
    </row>
    <row r="122" spans="1:8">
      <c r="A122" s="483" t="s">
        <v>8637</v>
      </c>
      <c r="E122" s="329">
        <v>366</v>
      </c>
      <c r="F122" s="329">
        <v>1625</v>
      </c>
      <c r="G122" s="483" t="s">
        <v>7759</v>
      </c>
      <c r="H122" s="483" t="s">
        <v>8639</v>
      </c>
    </row>
    <row r="123" spans="1:8">
      <c r="A123" s="483" t="s">
        <v>8640</v>
      </c>
      <c r="C123" s="483">
        <v>10000</v>
      </c>
      <c r="D123" s="487"/>
      <c r="E123" s="487"/>
      <c r="H123" s="483" t="s">
        <v>8641</v>
      </c>
    </row>
    <row r="124" spans="1:8">
      <c r="A124" s="483" t="s">
        <v>5606</v>
      </c>
      <c r="E124" s="329">
        <v>1458</v>
      </c>
      <c r="F124" s="329">
        <v>167</v>
      </c>
      <c r="G124" s="483" t="s">
        <v>7763</v>
      </c>
      <c r="H124" s="483" t="s">
        <v>8642</v>
      </c>
    </row>
    <row r="125" spans="1:8">
      <c r="A125" s="483" t="s">
        <v>5606</v>
      </c>
      <c r="D125" s="483">
        <v>5000</v>
      </c>
      <c r="E125" s="329"/>
      <c r="F125" s="329">
        <v>5167</v>
      </c>
      <c r="H125" s="483" t="s">
        <v>7766</v>
      </c>
    </row>
    <row r="126" spans="1:8">
      <c r="A126" s="483" t="s">
        <v>5606</v>
      </c>
      <c r="E126" s="483">
        <v>74</v>
      </c>
      <c r="F126" s="329">
        <v>5093</v>
      </c>
      <c r="G126" s="483" t="s">
        <v>7755</v>
      </c>
      <c r="H126" s="483" t="s">
        <v>8144</v>
      </c>
    </row>
    <row r="127" spans="1:8">
      <c r="A127" s="483" t="s">
        <v>8643</v>
      </c>
      <c r="E127" s="329">
        <v>135</v>
      </c>
      <c r="F127" s="329">
        <v>4958</v>
      </c>
      <c r="G127" s="483" t="s">
        <v>7776</v>
      </c>
      <c r="H127" s="483" t="s">
        <v>8644</v>
      </c>
    </row>
    <row r="128" spans="1:8">
      <c r="A128" s="483" t="s">
        <v>8643</v>
      </c>
      <c r="E128" s="329">
        <v>210</v>
      </c>
      <c r="F128" s="329">
        <v>4748</v>
      </c>
      <c r="G128" s="483" t="s">
        <v>7776</v>
      </c>
      <c r="H128" s="483" t="s">
        <v>8644</v>
      </c>
    </row>
    <row r="129" spans="1:8">
      <c r="A129" s="483" t="s">
        <v>8645</v>
      </c>
      <c r="E129" s="329">
        <v>189</v>
      </c>
      <c r="F129" s="329">
        <v>4559</v>
      </c>
      <c r="G129" s="329" t="s">
        <v>7779</v>
      </c>
      <c r="H129" s="483" t="s">
        <v>8646</v>
      </c>
    </row>
    <row r="130" spans="1:8">
      <c r="A130" s="483" t="s">
        <v>8647</v>
      </c>
      <c r="C130" s="483">
        <v>17000</v>
      </c>
      <c r="H130" s="483" t="s">
        <v>8648</v>
      </c>
    </row>
    <row r="131" spans="1:8">
      <c r="A131" s="483" t="s">
        <v>8649</v>
      </c>
      <c r="E131" s="483">
        <v>28</v>
      </c>
      <c r="F131" s="329">
        <v>4531</v>
      </c>
      <c r="G131" s="483" t="s">
        <v>8650</v>
      </c>
      <c r="H131" s="483" t="s">
        <v>8651</v>
      </c>
    </row>
    <row r="132" spans="1:8">
      <c r="A132" s="483" t="s">
        <v>8652</v>
      </c>
      <c r="C132" s="483">
        <v>18000</v>
      </c>
      <c r="D132" s="487"/>
      <c r="H132" s="483" t="s">
        <v>8653</v>
      </c>
    </row>
    <row r="133" spans="1:8">
      <c r="A133" s="483" t="s">
        <v>8652</v>
      </c>
      <c r="C133" s="483">
        <v>29647</v>
      </c>
      <c r="H133" s="483" t="s">
        <v>8654</v>
      </c>
    </row>
    <row r="134" spans="1:8">
      <c r="A134" s="483" t="s">
        <v>8655</v>
      </c>
      <c r="C134" s="483">
        <v>31556</v>
      </c>
      <c r="H134" s="483" t="s">
        <v>8656</v>
      </c>
    </row>
    <row r="135" spans="1:8" ht="214.5">
      <c r="A135" s="483" t="s">
        <v>8657</v>
      </c>
      <c r="C135" s="483">
        <v>20030</v>
      </c>
      <c r="H135" s="486" t="s">
        <v>8658</v>
      </c>
    </row>
    <row r="136" spans="1:8">
      <c r="A136" s="483" t="s">
        <v>8659</v>
      </c>
      <c r="E136" s="483">
        <v>196</v>
      </c>
      <c r="F136" s="329">
        <v>4335</v>
      </c>
      <c r="G136" s="483" t="s">
        <v>8650</v>
      </c>
      <c r="H136" s="483" t="s">
        <v>8660</v>
      </c>
    </row>
    <row r="137" spans="1:8">
      <c r="A137" s="483" t="s">
        <v>5610</v>
      </c>
      <c r="E137" s="483">
        <v>89</v>
      </c>
      <c r="F137" s="329">
        <v>4246</v>
      </c>
      <c r="G137" s="483" t="s">
        <v>8661</v>
      </c>
      <c r="H137" s="483" t="s">
        <v>8662</v>
      </c>
    </row>
    <row r="138" spans="1:8">
      <c r="A138" s="483" t="s">
        <v>8663</v>
      </c>
      <c r="C138" s="483">
        <v>10000</v>
      </c>
      <c r="D138" s="487">
        <v>10000</v>
      </c>
      <c r="E138" s="487"/>
      <c r="H138" s="483" t="s">
        <v>8664</v>
      </c>
    </row>
    <row r="139" spans="1:8">
      <c r="A139" s="483" t="s">
        <v>8665</v>
      </c>
      <c r="E139" s="329">
        <v>364</v>
      </c>
      <c r="F139" s="329">
        <v>3882</v>
      </c>
      <c r="G139" s="483" t="s">
        <v>8666</v>
      </c>
      <c r="H139" s="483" t="s">
        <v>8667</v>
      </c>
    </row>
    <row r="140" spans="1:8">
      <c r="A140" s="483" t="s">
        <v>8668</v>
      </c>
      <c r="C140" s="483">
        <v>8000</v>
      </c>
      <c r="D140" s="487">
        <v>2000</v>
      </c>
      <c r="E140" s="487"/>
      <c r="H140" s="483" t="s">
        <v>8669</v>
      </c>
    </row>
    <row r="141" spans="1:8" ht="49.5">
      <c r="A141" s="483" t="s">
        <v>8670</v>
      </c>
      <c r="C141" s="483">
        <v>16000</v>
      </c>
      <c r="E141" s="329"/>
      <c r="F141" s="329"/>
      <c r="H141" s="486" t="s">
        <v>8671</v>
      </c>
    </row>
    <row r="142" spans="1:8">
      <c r="A142" s="483" t="s">
        <v>8672</v>
      </c>
      <c r="E142" s="329">
        <v>1458</v>
      </c>
      <c r="F142" s="329">
        <v>2424</v>
      </c>
      <c r="G142" s="483" t="s">
        <v>8673</v>
      </c>
      <c r="H142" s="483" t="s">
        <v>8674</v>
      </c>
    </row>
    <row r="143" spans="1:8" ht="264">
      <c r="A143" s="483" t="s">
        <v>8675</v>
      </c>
      <c r="C143" s="483">
        <v>277060</v>
      </c>
      <c r="H143" s="486" t="s">
        <v>8676</v>
      </c>
    </row>
    <row r="144" spans="1:8">
      <c r="A144" s="483" t="s">
        <v>5613</v>
      </c>
      <c r="E144" s="329">
        <v>18</v>
      </c>
      <c r="F144" s="329">
        <v>2406</v>
      </c>
      <c r="G144" s="483" t="s">
        <v>8661</v>
      </c>
      <c r="H144" s="483" t="s">
        <v>8677</v>
      </c>
    </row>
    <row r="145" spans="1:8">
      <c r="A145" s="483" t="s">
        <v>5613</v>
      </c>
      <c r="E145" s="483">
        <v>32</v>
      </c>
      <c r="F145" s="329">
        <v>2374</v>
      </c>
      <c r="G145" s="483" t="s">
        <v>8678</v>
      </c>
      <c r="H145" s="483" t="s">
        <v>8679</v>
      </c>
    </row>
    <row r="146" spans="1:8">
      <c r="A146" s="483" t="s">
        <v>5613</v>
      </c>
      <c r="E146" s="329">
        <v>115</v>
      </c>
      <c r="F146" s="329">
        <v>2259</v>
      </c>
      <c r="G146" s="483" t="s">
        <v>8661</v>
      </c>
      <c r="H146" s="483" t="s">
        <v>8680</v>
      </c>
    </row>
    <row r="147" spans="1:8">
      <c r="A147" s="483" t="s">
        <v>5613</v>
      </c>
      <c r="C147" s="483">
        <v>2000</v>
      </c>
      <c r="D147" s="487"/>
      <c r="E147" s="487"/>
      <c r="H147" s="483" t="s">
        <v>8681</v>
      </c>
    </row>
    <row r="148" spans="1:8">
      <c r="A148" s="483" t="s">
        <v>5613</v>
      </c>
      <c r="C148" s="483">
        <v>61454</v>
      </c>
      <c r="D148" s="487"/>
      <c r="E148" s="487"/>
      <c r="H148" s="483" t="s">
        <v>8682</v>
      </c>
    </row>
    <row r="149" spans="1:8">
      <c r="A149" s="483" t="s">
        <v>8683</v>
      </c>
      <c r="E149" s="483">
        <v>200</v>
      </c>
      <c r="F149" s="329">
        <v>2059</v>
      </c>
      <c r="G149" s="483" t="s">
        <v>8678</v>
      </c>
      <c r="H149" s="483" t="s">
        <v>8684</v>
      </c>
    </row>
    <row r="150" spans="1:8">
      <c r="A150" s="483" t="s">
        <v>8683</v>
      </c>
      <c r="C150" s="483">
        <v>17000</v>
      </c>
      <c r="H150" s="483" t="s">
        <v>8685</v>
      </c>
    </row>
    <row r="151" spans="1:8">
      <c r="A151" s="483" t="s">
        <v>8686</v>
      </c>
      <c r="C151" s="483">
        <v>19000</v>
      </c>
      <c r="D151" s="487"/>
      <c r="H151" s="483" t="s">
        <v>8687</v>
      </c>
    </row>
    <row r="152" spans="1:8">
      <c r="A152" s="483" t="s">
        <v>8686</v>
      </c>
      <c r="C152" s="483">
        <v>29647</v>
      </c>
      <c r="H152" s="483" t="s">
        <v>8688</v>
      </c>
    </row>
    <row r="153" spans="1:8">
      <c r="A153" s="483" t="s">
        <v>8686</v>
      </c>
      <c r="E153" s="329">
        <v>1507</v>
      </c>
      <c r="F153" s="329">
        <v>552</v>
      </c>
      <c r="G153" s="329" t="s">
        <v>8689</v>
      </c>
      <c r="H153" s="483" t="s">
        <v>8690</v>
      </c>
    </row>
    <row r="154" spans="1:8">
      <c r="A154" s="483" t="s">
        <v>8691</v>
      </c>
      <c r="C154" s="483">
        <v>28440</v>
      </c>
      <c r="H154" s="483" t="s">
        <v>8692</v>
      </c>
    </row>
    <row r="155" spans="1:8">
      <c r="A155" s="483" t="s">
        <v>8693</v>
      </c>
      <c r="C155" s="483">
        <v>61454</v>
      </c>
      <c r="D155" s="487"/>
      <c r="E155" s="487"/>
      <c r="H155" s="483" t="s">
        <v>8694</v>
      </c>
    </row>
    <row r="156" spans="1:8">
      <c r="A156" s="483" t="s">
        <v>8695</v>
      </c>
      <c r="D156" s="483">
        <v>5000</v>
      </c>
      <c r="E156" s="329"/>
      <c r="F156" s="329">
        <v>5552</v>
      </c>
      <c r="H156" s="483" t="s">
        <v>8696</v>
      </c>
    </row>
    <row r="157" spans="1:8">
      <c r="A157" s="483" t="s">
        <v>8695</v>
      </c>
      <c r="E157" s="329">
        <v>220</v>
      </c>
      <c r="F157" s="329">
        <v>5332</v>
      </c>
      <c r="G157" s="483" t="s">
        <v>8678</v>
      </c>
      <c r="H157" s="483" t="s">
        <v>8697</v>
      </c>
    </row>
    <row r="158" spans="1:8">
      <c r="A158" s="483" t="s">
        <v>8695</v>
      </c>
      <c r="E158" s="329">
        <v>190</v>
      </c>
      <c r="F158" s="329">
        <v>5142</v>
      </c>
      <c r="G158" s="483" t="s">
        <v>8678</v>
      </c>
      <c r="H158" s="483" t="s">
        <v>8697</v>
      </c>
    </row>
    <row r="159" spans="1:8">
      <c r="A159" s="483" t="s">
        <v>8698</v>
      </c>
      <c r="E159" s="329">
        <v>1458</v>
      </c>
      <c r="F159" s="329">
        <v>3684</v>
      </c>
      <c r="G159" s="483" t="s">
        <v>8673</v>
      </c>
      <c r="H159" s="483" t="s">
        <v>8699</v>
      </c>
    </row>
    <row r="160" spans="1:8" ht="33">
      <c r="A160" s="483" t="s">
        <v>8700</v>
      </c>
      <c r="C160" s="483">
        <v>6000</v>
      </c>
      <c r="F160" s="329"/>
      <c r="H160" s="486" t="s">
        <v>8701</v>
      </c>
    </row>
    <row r="161" spans="1:8">
      <c r="A161" s="483" t="s">
        <v>8702</v>
      </c>
      <c r="E161" s="329">
        <v>79</v>
      </c>
      <c r="F161" s="329">
        <v>3605</v>
      </c>
      <c r="G161" s="483" t="s">
        <v>8661</v>
      </c>
      <c r="H161" s="483" t="s">
        <v>8703</v>
      </c>
    </row>
    <row r="162" spans="1:8">
      <c r="A162" s="483" t="s">
        <v>8704</v>
      </c>
      <c r="C162" s="483">
        <v>17000</v>
      </c>
      <c r="H162" s="483" t="s">
        <v>8705</v>
      </c>
    </row>
    <row r="163" spans="1:8">
      <c r="A163" s="483" t="s">
        <v>8706</v>
      </c>
      <c r="C163" s="483">
        <v>53000</v>
      </c>
      <c r="D163" s="487"/>
      <c r="H163" s="483" t="s">
        <v>8707</v>
      </c>
    </row>
    <row r="164" spans="1:8">
      <c r="A164" s="483" t="s">
        <v>8706</v>
      </c>
      <c r="C164" s="483">
        <v>29647</v>
      </c>
      <c r="H164" s="483" t="s">
        <v>8708</v>
      </c>
    </row>
    <row r="165" spans="1:8">
      <c r="A165" s="483" t="s">
        <v>8706</v>
      </c>
      <c r="C165" s="483">
        <v>61454</v>
      </c>
      <c r="D165" s="487"/>
      <c r="E165" s="487"/>
      <c r="H165" s="483" t="s">
        <v>8709</v>
      </c>
    </row>
    <row r="166" spans="1:8">
      <c r="A166" s="483" t="s">
        <v>8706</v>
      </c>
      <c r="E166" s="329">
        <v>189</v>
      </c>
      <c r="F166" s="329">
        <v>3416</v>
      </c>
      <c r="G166" s="329" t="s">
        <v>8710</v>
      </c>
      <c r="H166" s="483" t="s">
        <v>8711</v>
      </c>
    </row>
    <row r="167" spans="1:8">
      <c r="A167" s="483" t="s">
        <v>8712</v>
      </c>
      <c r="E167" s="329">
        <v>265</v>
      </c>
      <c r="F167" s="329">
        <v>3151</v>
      </c>
      <c r="G167" s="483" t="s">
        <v>8678</v>
      </c>
      <c r="H167" s="483" t="s">
        <v>8713</v>
      </c>
    </row>
    <row r="168" spans="1:8">
      <c r="A168" s="483" t="s">
        <v>8712</v>
      </c>
      <c r="E168" s="329">
        <v>320</v>
      </c>
      <c r="F168" s="329">
        <v>2831</v>
      </c>
      <c r="G168" s="483" t="s">
        <v>8678</v>
      </c>
      <c r="H168" s="483" t="s">
        <v>8713</v>
      </c>
    </row>
    <row r="169" spans="1:8">
      <c r="A169" s="483" t="s">
        <v>8714</v>
      </c>
      <c r="E169" s="329">
        <v>1458</v>
      </c>
      <c r="F169" s="329">
        <v>1373</v>
      </c>
      <c r="G169" s="483" t="s">
        <v>8673</v>
      </c>
      <c r="H169" s="483" t="s">
        <v>8715</v>
      </c>
    </row>
    <row r="170" spans="1:8">
      <c r="A170" s="483" t="s">
        <v>8716</v>
      </c>
      <c r="C170" s="483">
        <v>17000</v>
      </c>
      <c r="H170" s="483" t="s">
        <v>8717</v>
      </c>
    </row>
    <row r="171" spans="1:8">
      <c r="A171" s="483" t="s">
        <v>8718</v>
      </c>
      <c r="E171" s="329">
        <v>18</v>
      </c>
      <c r="F171" s="329">
        <v>1355</v>
      </c>
      <c r="G171" s="483" t="s">
        <v>8661</v>
      </c>
      <c r="H171" s="483" t="s">
        <v>8719</v>
      </c>
    </row>
    <row r="172" spans="1:8">
      <c r="A172" s="483" t="s">
        <v>8720</v>
      </c>
      <c r="C172" s="483">
        <v>29647</v>
      </c>
      <c r="H172" s="483" t="s">
        <v>8721</v>
      </c>
    </row>
    <row r="173" spans="1:8">
      <c r="A173" s="483" t="s">
        <v>8720</v>
      </c>
      <c r="C173" s="483">
        <v>17624</v>
      </c>
      <c r="H173" s="483" t="s">
        <v>8722</v>
      </c>
    </row>
    <row r="174" spans="1:8">
      <c r="A174" s="483" t="s">
        <v>8720</v>
      </c>
      <c r="E174" s="483">
        <v>196</v>
      </c>
      <c r="F174" s="329">
        <v>1159</v>
      </c>
      <c r="G174" s="483" t="s">
        <v>8650</v>
      </c>
      <c r="H174" s="483" t="s">
        <v>8660</v>
      </c>
    </row>
    <row r="175" spans="1:8">
      <c r="A175" s="483" t="s">
        <v>8723</v>
      </c>
      <c r="C175" s="483">
        <v>61454</v>
      </c>
      <c r="D175" s="487"/>
      <c r="E175" s="487"/>
      <c r="H175" s="483" t="s">
        <v>8724</v>
      </c>
    </row>
    <row r="176" spans="1:8">
      <c r="A176" s="483" t="s">
        <v>8723</v>
      </c>
      <c r="C176" s="483">
        <v>4515</v>
      </c>
      <c r="H176" s="483" t="s">
        <v>8725</v>
      </c>
    </row>
    <row r="177" spans="1:8">
      <c r="A177" s="483" t="s">
        <v>8726</v>
      </c>
      <c r="E177" s="329">
        <v>195</v>
      </c>
      <c r="F177" s="329">
        <v>964</v>
      </c>
      <c r="G177" s="483" t="s">
        <v>8678</v>
      </c>
      <c r="H177" s="483" t="s">
        <v>8727</v>
      </c>
    </row>
    <row r="178" spans="1:8">
      <c r="A178" s="483" t="s">
        <v>8726</v>
      </c>
      <c r="E178" s="329">
        <v>20</v>
      </c>
      <c r="F178" s="329">
        <v>944</v>
      </c>
      <c r="G178" s="483" t="s">
        <v>8678</v>
      </c>
      <c r="H178" s="483" t="s">
        <v>8727</v>
      </c>
    </row>
    <row r="179" spans="1:8">
      <c r="A179" s="483" t="s">
        <v>8728</v>
      </c>
      <c r="D179" s="483">
        <v>5000</v>
      </c>
      <c r="E179" s="329"/>
      <c r="F179" s="329">
        <v>5944</v>
      </c>
      <c r="H179" s="483" t="s">
        <v>8696</v>
      </c>
    </row>
    <row r="180" spans="1:8">
      <c r="A180" s="483" t="s">
        <v>8728</v>
      </c>
      <c r="E180" s="329">
        <v>1458</v>
      </c>
      <c r="F180" s="329">
        <v>4486</v>
      </c>
      <c r="G180" s="483" t="s">
        <v>8673</v>
      </c>
      <c r="H180" s="483" t="s">
        <v>8729</v>
      </c>
    </row>
    <row r="181" spans="1:8">
      <c r="A181" s="483" t="s">
        <v>8730</v>
      </c>
      <c r="E181" s="483">
        <v>179</v>
      </c>
      <c r="F181" s="329">
        <v>4307</v>
      </c>
      <c r="G181" s="483" t="s">
        <v>8661</v>
      </c>
      <c r="H181" s="483" t="s">
        <v>8662</v>
      </c>
    </row>
    <row r="182" spans="1:8">
      <c r="A182" s="483" t="s">
        <v>8731</v>
      </c>
      <c r="E182" s="483">
        <v>44</v>
      </c>
      <c r="F182" s="329">
        <v>4263</v>
      </c>
      <c r="G182" s="483" t="s">
        <v>8650</v>
      </c>
      <c r="H182" s="483" t="s">
        <v>8732</v>
      </c>
    </row>
    <row r="183" spans="1:8">
      <c r="A183" s="483" t="s">
        <v>8733</v>
      </c>
      <c r="C183" s="483">
        <v>17000</v>
      </c>
      <c r="H183" s="483" t="s">
        <v>8734</v>
      </c>
    </row>
    <row r="184" spans="1:8">
      <c r="A184" s="483" t="s">
        <v>8735</v>
      </c>
      <c r="C184" s="483">
        <v>29647</v>
      </c>
      <c r="H184" s="483" t="s">
        <v>8736</v>
      </c>
    </row>
    <row r="185" spans="1:8">
      <c r="A185" s="483" t="s">
        <v>8735</v>
      </c>
      <c r="C185" s="483">
        <v>61454</v>
      </c>
      <c r="D185" s="487"/>
      <c r="E185" s="487"/>
      <c r="H185" s="483" t="s">
        <v>8737</v>
      </c>
    </row>
    <row r="186" spans="1:8">
      <c r="A186" s="483" t="s">
        <v>8735</v>
      </c>
      <c r="C186" s="483">
        <v>21491</v>
      </c>
      <c r="H186" s="483" t="s">
        <v>8738</v>
      </c>
    </row>
    <row r="187" spans="1:8">
      <c r="A187" s="483" t="s">
        <v>8739</v>
      </c>
      <c r="E187" s="329">
        <v>189</v>
      </c>
      <c r="F187" s="329">
        <v>4074</v>
      </c>
      <c r="G187" s="329" t="s">
        <v>8710</v>
      </c>
      <c r="H187" s="483" t="s">
        <v>8740</v>
      </c>
    </row>
    <row r="188" spans="1:8">
      <c r="A188" s="483" t="s">
        <v>8741</v>
      </c>
      <c r="E188" s="483">
        <v>56</v>
      </c>
      <c r="F188" s="329">
        <v>4018</v>
      </c>
      <c r="G188" s="483" t="s">
        <v>8650</v>
      </c>
      <c r="H188" s="483" t="s">
        <v>8742</v>
      </c>
    </row>
    <row r="189" spans="1:8">
      <c r="A189" s="483" t="s">
        <v>8741</v>
      </c>
      <c r="E189" s="329">
        <v>1458</v>
      </c>
      <c r="F189" s="329">
        <v>2560</v>
      </c>
      <c r="G189" s="483" t="s">
        <v>8673</v>
      </c>
      <c r="H189" s="483" t="s">
        <v>8743</v>
      </c>
    </row>
    <row r="190" spans="1:8">
      <c r="A190" s="483" t="s">
        <v>8744</v>
      </c>
      <c r="E190" s="329">
        <v>18</v>
      </c>
      <c r="F190" s="329">
        <v>2542</v>
      </c>
      <c r="G190" s="483" t="s">
        <v>8661</v>
      </c>
      <c r="H190" s="483" t="s">
        <v>8745</v>
      </c>
    </row>
    <row r="191" spans="1:8">
      <c r="A191" s="483" t="s">
        <v>8746</v>
      </c>
      <c r="E191" s="483">
        <v>60</v>
      </c>
      <c r="F191" s="329">
        <v>2482</v>
      </c>
      <c r="G191" s="483" t="s">
        <v>8650</v>
      </c>
      <c r="H191" s="483" t="s">
        <v>8747</v>
      </c>
    </row>
    <row r="192" spans="1:8">
      <c r="A192" s="483" t="s">
        <v>8748</v>
      </c>
      <c r="E192" s="329">
        <v>200</v>
      </c>
      <c r="F192" s="329">
        <v>2282</v>
      </c>
      <c r="G192" s="483" t="s">
        <v>8678</v>
      </c>
      <c r="H192" s="483" t="s">
        <v>8749</v>
      </c>
    </row>
    <row r="193" spans="1:8">
      <c r="A193" s="483" t="s">
        <v>8748</v>
      </c>
      <c r="C193" s="483">
        <v>18000</v>
      </c>
      <c r="D193" s="487"/>
      <c r="H193" s="483" t="s">
        <v>8750</v>
      </c>
    </row>
    <row r="194" spans="1:8">
      <c r="A194" s="483" t="s">
        <v>8748</v>
      </c>
      <c r="C194" s="483">
        <v>29647</v>
      </c>
      <c r="H194" s="483" t="s">
        <v>8751</v>
      </c>
    </row>
    <row r="195" spans="1:8">
      <c r="A195" s="483" t="s">
        <v>8752</v>
      </c>
      <c r="E195" s="483">
        <v>28</v>
      </c>
      <c r="F195" s="329">
        <v>2254</v>
      </c>
      <c r="G195" s="483" t="s">
        <v>8650</v>
      </c>
      <c r="H195" s="483" t="s">
        <v>8753</v>
      </c>
    </row>
    <row r="196" spans="1:8" ht="49.5">
      <c r="A196" s="483" t="s">
        <v>8754</v>
      </c>
      <c r="C196" s="483">
        <v>30000</v>
      </c>
      <c r="H196" s="486" t="s">
        <v>8755</v>
      </c>
    </row>
    <row r="197" spans="1:8">
      <c r="A197" s="483" t="s">
        <v>8756</v>
      </c>
      <c r="E197" s="483">
        <v>44</v>
      </c>
      <c r="F197" s="329">
        <v>2210</v>
      </c>
      <c r="G197" s="483" t="s">
        <v>8650</v>
      </c>
      <c r="H197" s="483" t="s">
        <v>8757</v>
      </c>
    </row>
    <row r="198" spans="1:8">
      <c r="A198" s="483" t="s">
        <v>8758</v>
      </c>
      <c r="E198" s="329">
        <v>250</v>
      </c>
      <c r="F198" s="329">
        <v>1960</v>
      </c>
      <c r="G198" s="483" t="s">
        <v>8678</v>
      </c>
      <c r="H198" s="483" t="s">
        <v>8759</v>
      </c>
    </row>
    <row r="199" spans="1:8">
      <c r="A199" s="483" t="s">
        <v>8758</v>
      </c>
      <c r="E199" s="329">
        <v>55</v>
      </c>
      <c r="F199" s="329">
        <v>1905</v>
      </c>
      <c r="G199" s="483" t="s">
        <v>8678</v>
      </c>
      <c r="H199" s="483" t="s">
        <v>8759</v>
      </c>
    </row>
    <row r="200" spans="1:8">
      <c r="A200" s="483" t="s">
        <v>8758</v>
      </c>
      <c r="E200" s="329">
        <v>70</v>
      </c>
      <c r="F200" s="329">
        <v>1835</v>
      </c>
      <c r="G200" s="483" t="s">
        <v>8678</v>
      </c>
      <c r="H200" s="483" t="s">
        <v>8760</v>
      </c>
    </row>
    <row r="201" spans="1:8">
      <c r="A201" s="483" t="s">
        <v>8758</v>
      </c>
      <c r="E201" s="329">
        <v>235</v>
      </c>
      <c r="F201" s="329">
        <v>1600</v>
      </c>
      <c r="G201" s="483" t="s">
        <v>8678</v>
      </c>
      <c r="H201" s="483" t="s">
        <v>8760</v>
      </c>
    </row>
    <row r="202" spans="1:8">
      <c r="A202" s="483" t="s">
        <v>8761</v>
      </c>
      <c r="E202" s="329">
        <v>225</v>
      </c>
      <c r="F202" s="329">
        <v>1375</v>
      </c>
      <c r="G202" s="483" t="s">
        <v>8678</v>
      </c>
      <c r="H202" s="483" t="s">
        <v>8762</v>
      </c>
    </row>
    <row r="203" spans="1:8">
      <c r="A203" s="483" t="s">
        <v>8761</v>
      </c>
      <c r="E203" s="329">
        <v>245</v>
      </c>
      <c r="F203" s="329">
        <v>1130</v>
      </c>
      <c r="G203" s="483" t="s">
        <v>8678</v>
      </c>
      <c r="H203" s="483" t="s">
        <v>8762</v>
      </c>
    </row>
    <row r="204" spans="1:8">
      <c r="A204" s="483" t="s">
        <v>8763</v>
      </c>
      <c r="D204" s="483">
        <v>5000</v>
      </c>
      <c r="E204" s="329"/>
      <c r="F204" s="329">
        <v>6130</v>
      </c>
      <c r="H204" s="483" t="s">
        <v>8696</v>
      </c>
    </row>
    <row r="205" spans="1:8">
      <c r="A205" s="483" t="s">
        <v>8763</v>
      </c>
      <c r="E205" s="329">
        <v>1458</v>
      </c>
      <c r="F205" s="329">
        <v>4672</v>
      </c>
      <c r="G205" s="483" t="s">
        <v>8673</v>
      </c>
      <c r="H205" s="483" t="s">
        <v>8764</v>
      </c>
    </row>
    <row r="206" spans="1:8">
      <c r="A206" s="483" t="s">
        <v>8763</v>
      </c>
      <c r="E206" s="329">
        <v>178</v>
      </c>
      <c r="F206" s="329">
        <v>4494</v>
      </c>
      <c r="G206" s="329" t="s">
        <v>8710</v>
      </c>
      <c r="H206" s="483" t="s">
        <v>8765</v>
      </c>
    </row>
    <row r="207" spans="1:8">
      <c r="A207" s="483" t="s">
        <v>8766</v>
      </c>
      <c r="E207" s="329">
        <v>300</v>
      </c>
      <c r="F207" s="329">
        <v>4184</v>
      </c>
      <c r="G207" s="483" t="s">
        <v>8678</v>
      </c>
      <c r="H207" s="483" t="s">
        <v>8759</v>
      </c>
    </row>
    <row r="208" spans="1:8">
      <c r="A208" s="483" t="s">
        <v>8766</v>
      </c>
      <c r="E208" s="329">
        <v>290</v>
      </c>
      <c r="F208" s="329">
        <v>3894</v>
      </c>
      <c r="G208" s="483" t="s">
        <v>8678</v>
      </c>
      <c r="H208" s="483" t="s">
        <v>8759</v>
      </c>
    </row>
    <row r="209" spans="1:8">
      <c r="E209" s="329"/>
      <c r="F209" s="329"/>
      <c r="H209" s="487" t="s">
        <v>8767</v>
      </c>
    </row>
    <row r="210" spans="1:8">
      <c r="A210" s="483" t="s">
        <v>8768</v>
      </c>
      <c r="C210" s="483">
        <v>17000</v>
      </c>
      <c r="H210" s="483" t="s">
        <v>8769</v>
      </c>
    </row>
    <row r="211" spans="1:8">
      <c r="A211" s="483" t="s">
        <v>8770</v>
      </c>
      <c r="E211" s="483">
        <v>756</v>
      </c>
      <c r="F211" s="329">
        <v>3138</v>
      </c>
      <c r="G211" s="483" t="s">
        <v>8650</v>
      </c>
      <c r="H211" s="483" t="s">
        <v>8771</v>
      </c>
    </row>
    <row r="212" spans="1:8">
      <c r="A212" s="483" t="s">
        <v>8772</v>
      </c>
      <c r="E212" s="483">
        <v>44</v>
      </c>
      <c r="F212" s="329">
        <v>3094</v>
      </c>
      <c r="G212" s="483" t="s">
        <v>8650</v>
      </c>
      <c r="H212" s="483" t="s">
        <v>8773</v>
      </c>
    </row>
    <row r="213" spans="1:8">
      <c r="A213" s="483" t="s">
        <v>8774</v>
      </c>
      <c r="E213" s="329">
        <v>1458</v>
      </c>
      <c r="F213" s="329">
        <v>1636</v>
      </c>
      <c r="G213" s="483" t="s">
        <v>8673</v>
      </c>
      <c r="H213" s="483" t="s">
        <v>8775</v>
      </c>
    </row>
    <row r="214" spans="1:8">
      <c r="A214" s="483" t="s">
        <v>8776</v>
      </c>
      <c r="E214" s="329">
        <v>18</v>
      </c>
      <c r="F214" s="329">
        <v>1618</v>
      </c>
      <c r="G214" s="483" t="s">
        <v>8661</v>
      </c>
      <c r="H214" s="483" t="s">
        <v>8777</v>
      </c>
    </row>
    <row r="215" spans="1:8">
      <c r="A215" s="483" t="s">
        <v>8776</v>
      </c>
      <c r="E215" s="483">
        <v>32</v>
      </c>
      <c r="F215" s="329">
        <v>1586</v>
      </c>
      <c r="G215" s="483" t="s">
        <v>8678</v>
      </c>
      <c r="H215" s="483" t="s">
        <v>8684</v>
      </c>
    </row>
    <row r="216" spans="1:8">
      <c r="E216" s="329"/>
      <c r="F216" s="329"/>
      <c r="H216" s="487" t="s">
        <v>8767</v>
      </c>
    </row>
    <row r="217" spans="1:8">
      <c r="A217" s="483" t="s">
        <v>8778</v>
      </c>
      <c r="C217" s="483">
        <v>17000</v>
      </c>
      <c r="H217" s="483" t="s">
        <v>8779</v>
      </c>
    </row>
    <row r="218" spans="1:8">
      <c r="A218" s="483" t="s">
        <v>8780</v>
      </c>
      <c r="E218" s="329">
        <v>390</v>
      </c>
      <c r="F218" s="329">
        <v>1196</v>
      </c>
      <c r="G218" s="483" t="s">
        <v>8678</v>
      </c>
      <c r="H218" s="483" t="s">
        <v>8781</v>
      </c>
    </row>
    <row r="219" spans="1:8">
      <c r="A219" s="483" t="s">
        <v>8780</v>
      </c>
      <c r="E219" s="329">
        <v>395</v>
      </c>
      <c r="F219" s="329">
        <v>801</v>
      </c>
      <c r="G219" s="483" t="s">
        <v>8678</v>
      </c>
      <c r="H219" s="483" t="s">
        <v>8781</v>
      </c>
    </row>
    <row r="220" spans="1:8">
      <c r="A220" s="483" t="s">
        <v>8780</v>
      </c>
      <c r="D220" s="483">
        <v>5000</v>
      </c>
      <c r="E220" s="329"/>
      <c r="F220" s="329">
        <v>5801</v>
      </c>
      <c r="H220" s="483" t="s">
        <v>8696</v>
      </c>
    </row>
    <row r="221" spans="1:8">
      <c r="A221" s="483" t="s">
        <v>8780</v>
      </c>
      <c r="E221" s="329">
        <v>410</v>
      </c>
      <c r="F221" s="329">
        <v>5391</v>
      </c>
      <c r="G221" s="483" t="s">
        <v>8678</v>
      </c>
      <c r="H221" s="483" t="s">
        <v>8782</v>
      </c>
    </row>
    <row r="222" spans="1:8">
      <c r="A222" s="483" t="s">
        <v>8780</v>
      </c>
      <c r="E222" s="329">
        <v>405</v>
      </c>
      <c r="F222" s="329">
        <v>4986</v>
      </c>
      <c r="G222" s="483" t="s">
        <v>8678</v>
      </c>
      <c r="H222" s="483" t="s">
        <v>8782</v>
      </c>
    </row>
    <row r="223" spans="1:8">
      <c r="A223" s="483" t="s">
        <v>8783</v>
      </c>
      <c r="C223" s="483">
        <v>516</v>
      </c>
      <c r="F223" s="329"/>
      <c r="H223" s="483" t="s">
        <v>8784</v>
      </c>
    </row>
    <row r="224" spans="1:8">
      <c r="A224" s="483" t="s">
        <v>8783</v>
      </c>
      <c r="C224" s="483">
        <v>41154</v>
      </c>
      <c r="H224" s="483" t="s">
        <v>8785</v>
      </c>
    </row>
    <row r="225" spans="1:8">
      <c r="A225" s="483" t="s">
        <v>8783</v>
      </c>
      <c r="C225" s="483">
        <v>43500</v>
      </c>
      <c r="D225" s="487"/>
      <c r="H225" s="483" t="s">
        <v>8786</v>
      </c>
    </row>
    <row r="226" spans="1:8">
      <c r="A226" s="483" t="s">
        <v>8783</v>
      </c>
      <c r="C226" s="483">
        <v>29647</v>
      </c>
      <c r="H226" s="483" t="s">
        <v>8787</v>
      </c>
    </row>
    <row r="227" spans="1:8">
      <c r="A227" s="483" t="s">
        <v>8788</v>
      </c>
      <c r="E227" s="329">
        <v>390</v>
      </c>
      <c r="F227" s="329">
        <v>4596</v>
      </c>
      <c r="G227" s="483" t="s">
        <v>8678</v>
      </c>
      <c r="H227" s="483" t="s">
        <v>8789</v>
      </c>
    </row>
    <row r="228" spans="1:8">
      <c r="A228" s="483" t="s">
        <v>8788</v>
      </c>
      <c r="E228" s="329">
        <v>420</v>
      </c>
      <c r="F228" s="329">
        <v>4176</v>
      </c>
      <c r="G228" s="483" t="s">
        <v>8678</v>
      </c>
      <c r="H228" s="483" t="s">
        <v>8789</v>
      </c>
    </row>
    <row r="229" spans="1:8">
      <c r="A229" s="483" t="s">
        <v>8788</v>
      </c>
      <c r="C229" s="483">
        <v>41454</v>
      </c>
      <c r="D229" s="487"/>
      <c r="H229" s="483" t="s">
        <v>8790</v>
      </c>
    </row>
    <row r="230" spans="1:8">
      <c r="A230" s="483" t="s">
        <v>8791</v>
      </c>
      <c r="E230" s="483">
        <v>244</v>
      </c>
      <c r="F230" s="329">
        <v>3932</v>
      </c>
      <c r="G230" s="483" t="s">
        <v>8650</v>
      </c>
      <c r="H230" s="483" t="s">
        <v>8792</v>
      </c>
    </row>
    <row r="231" spans="1:8">
      <c r="A231" s="483" t="s">
        <v>8791</v>
      </c>
      <c r="C231" s="483">
        <v>22824</v>
      </c>
      <c r="H231" s="483" t="s">
        <v>8793</v>
      </c>
    </row>
    <row r="232" spans="1:8">
      <c r="E232" s="329"/>
      <c r="F232" s="329"/>
      <c r="H232" s="487" t="s">
        <v>8767</v>
      </c>
    </row>
    <row r="233" spans="1:8">
      <c r="A233" s="483" t="s">
        <v>8794</v>
      </c>
      <c r="E233" s="483">
        <v>28</v>
      </c>
      <c r="F233" s="329">
        <v>3904</v>
      </c>
      <c r="G233" s="483" t="s">
        <v>8650</v>
      </c>
      <c r="H233" s="483" t="s">
        <v>8795</v>
      </c>
    </row>
    <row r="234" spans="1:8">
      <c r="A234" s="483" t="s">
        <v>8796</v>
      </c>
      <c r="E234" s="483">
        <v>144</v>
      </c>
      <c r="F234" s="329">
        <v>3760</v>
      </c>
      <c r="G234" s="483" t="s">
        <v>8650</v>
      </c>
      <c r="H234" s="483" t="s">
        <v>8797</v>
      </c>
    </row>
    <row r="235" spans="1:8">
      <c r="A235" s="483" t="s">
        <v>8796</v>
      </c>
      <c r="E235" s="329">
        <v>15</v>
      </c>
      <c r="F235" s="329">
        <v>3745</v>
      </c>
      <c r="G235" s="483" t="s">
        <v>8798</v>
      </c>
      <c r="H235" s="483" t="s">
        <v>8799</v>
      </c>
    </row>
    <row r="236" spans="1:8">
      <c r="A236" s="483" t="s">
        <v>8796</v>
      </c>
      <c r="E236" s="329">
        <v>459</v>
      </c>
      <c r="F236" s="329">
        <v>3286</v>
      </c>
      <c r="G236" s="483" t="s">
        <v>8798</v>
      </c>
      <c r="H236" s="483" t="s">
        <v>8800</v>
      </c>
    </row>
    <row r="237" spans="1:8">
      <c r="A237" s="483" t="s">
        <v>8801</v>
      </c>
      <c r="E237" s="483">
        <v>44</v>
      </c>
      <c r="F237" s="329">
        <v>3242</v>
      </c>
      <c r="G237" s="483" t="s">
        <v>8650</v>
      </c>
      <c r="H237" s="483" t="s">
        <v>8802</v>
      </c>
    </row>
    <row r="238" spans="1:8">
      <c r="A238" s="483" t="s">
        <v>8803</v>
      </c>
      <c r="C238" s="483">
        <v>20000</v>
      </c>
      <c r="D238" s="487"/>
      <c r="H238" s="483" t="s">
        <v>8790</v>
      </c>
    </row>
    <row r="239" spans="1:8">
      <c r="E239" s="329"/>
      <c r="F239" s="329"/>
      <c r="H239" s="487" t="s">
        <v>8767</v>
      </c>
    </row>
    <row r="240" spans="1:8">
      <c r="A240" s="483" t="s">
        <v>8804</v>
      </c>
      <c r="E240" s="329">
        <v>1458</v>
      </c>
      <c r="F240" s="329">
        <v>1784</v>
      </c>
      <c r="G240" s="483" t="s">
        <v>8673</v>
      </c>
      <c r="H240" s="483" t="s">
        <v>8805</v>
      </c>
    </row>
    <row r="241" spans="1:9">
      <c r="A241" s="483" t="s">
        <v>8804</v>
      </c>
      <c r="E241" s="329">
        <v>168</v>
      </c>
      <c r="F241" s="329">
        <v>1616</v>
      </c>
      <c r="G241" s="329" t="s">
        <v>8710</v>
      </c>
      <c r="H241" s="483" t="s">
        <v>8806</v>
      </c>
    </row>
    <row r="242" spans="1:9">
      <c r="A242" s="483" t="s">
        <v>8807</v>
      </c>
      <c r="C242" s="483">
        <v>19994</v>
      </c>
      <c r="H242" s="483" t="s">
        <v>8808</v>
      </c>
    </row>
    <row r="243" spans="1:9">
      <c r="E243" s="329"/>
      <c r="F243" s="329"/>
      <c r="H243" s="487" t="s">
        <v>8767</v>
      </c>
    </row>
    <row r="244" spans="1:9">
      <c r="A244" s="483" t="s">
        <v>8809</v>
      </c>
      <c r="C244" s="483">
        <v>17000</v>
      </c>
      <c r="H244" s="483" t="s">
        <v>8810</v>
      </c>
      <c r="I244" s="483" t="s">
        <v>8811</v>
      </c>
    </row>
    <row r="245" spans="1:9">
      <c r="A245" s="483" t="s">
        <v>8812</v>
      </c>
      <c r="C245" s="483">
        <v>39800</v>
      </c>
      <c r="D245" s="487"/>
      <c r="H245" s="483" t="s">
        <v>8786</v>
      </c>
    </row>
    <row r="246" spans="1:9">
      <c r="A246" s="483" t="s">
        <v>8812</v>
      </c>
      <c r="C246" s="483">
        <v>29647</v>
      </c>
      <c r="H246" s="483" t="s">
        <v>8813</v>
      </c>
    </row>
    <row r="247" spans="1:9">
      <c r="A247" s="483" t="s">
        <v>8814</v>
      </c>
      <c r="C247" s="483">
        <v>18907</v>
      </c>
      <c r="H247" s="483" t="s">
        <v>8815</v>
      </c>
    </row>
    <row r="248" spans="1:9">
      <c r="A248" s="483" t="s">
        <v>8814</v>
      </c>
      <c r="C248" s="483">
        <v>50000</v>
      </c>
      <c r="D248" s="487"/>
      <c r="H248" s="483" t="s">
        <v>8816</v>
      </c>
    </row>
    <row r="249" spans="1:9">
      <c r="A249" s="483" t="s">
        <v>8817</v>
      </c>
      <c r="C249" s="483">
        <v>61454</v>
      </c>
      <c r="D249" s="487"/>
      <c r="H249" s="483" t="s">
        <v>8818</v>
      </c>
    </row>
    <row r="250" spans="1:9">
      <c r="A250" s="483" t="s">
        <v>8819</v>
      </c>
      <c r="E250" s="329">
        <v>110</v>
      </c>
      <c r="F250" s="329">
        <v>1506</v>
      </c>
      <c r="G250" s="483" t="s">
        <v>8666</v>
      </c>
      <c r="H250" s="483" t="s">
        <v>8667</v>
      </c>
    </row>
    <row r="251" spans="1:9">
      <c r="A251" s="483" t="s">
        <v>8820</v>
      </c>
      <c r="E251" s="329">
        <v>1458</v>
      </c>
      <c r="F251" s="329">
        <v>48</v>
      </c>
      <c r="G251" s="483" t="s">
        <v>8673</v>
      </c>
      <c r="H251" s="483" t="s">
        <v>8821</v>
      </c>
    </row>
    <row r="252" spans="1:9">
      <c r="A252" s="483" t="s">
        <v>8822</v>
      </c>
      <c r="E252" s="329">
        <v>18</v>
      </c>
      <c r="F252" s="329">
        <v>30</v>
      </c>
      <c r="G252" s="483" t="s">
        <v>8661</v>
      </c>
      <c r="H252" s="483" t="s">
        <v>8823</v>
      </c>
    </row>
    <row r="253" spans="1:9">
      <c r="A253" s="483" t="s">
        <v>8824</v>
      </c>
      <c r="D253" s="483">
        <v>5000</v>
      </c>
      <c r="E253" s="329"/>
      <c r="F253" s="329">
        <v>5030</v>
      </c>
      <c r="H253" s="483" t="s">
        <v>8696</v>
      </c>
    </row>
    <row r="254" spans="1:9">
      <c r="A254" s="483" t="s">
        <v>8824</v>
      </c>
      <c r="E254" s="483">
        <v>324</v>
      </c>
      <c r="F254" s="329">
        <v>4706</v>
      </c>
      <c r="G254" s="483" t="s">
        <v>8650</v>
      </c>
      <c r="H254" s="483" t="s">
        <v>8825</v>
      </c>
    </row>
    <row r="255" spans="1:9">
      <c r="E255" s="329"/>
      <c r="F255" s="329"/>
      <c r="H255" s="487" t="s">
        <v>8767</v>
      </c>
    </row>
    <row r="256" spans="1:9">
      <c r="A256" s="483" t="s">
        <v>8826</v>
      </c>
      <c r="C256" s="483">
        <v>20000</v>
      </c>
      <c r="H256" s="483" t="s">
        <v>8827</v>
      </c>
    </row>
    <row r="257" spans="1:8">
      <c r="A257" s="483" t="s">
        <v>8828</v>
      </c>
      <c r="C257" s="483">
        <v>7500</v>
      </c>
      <c r="D257" s="487"/>
      <c r="H257" s="483" t="s">
        <v>8829</v>
      </c>
    </row>
    <row r="258" spans="1:8">
      <c r="A258" s="483" t="s">
        <v>8828</v>
      </c>
      <c r="C258" s="483">
        <v>29647</v>
      </c>
      <c r="H258" s="483" t="s">
        <v>8830</v>
      </c>
    </row>
    <row r="259" spans="1:8">
      <c r="A259" s="483" t="s">
        <v>8831</v>
      </c>
      <c r="C259" s="483">
        <v>8137</v>
      </c>
      <c r="H259" s="483" t="s">
        <v>8815</v>
      </c>
    </row>
    <row r="260" spans="1:8">
      <c r="A260" s="483" t="s">
        <v>8832</v>
      </c>
      <c r="C260" s="483">
        <v>10670</v>
      </c>
      <c r="H260" s="483" t="s">
        <v>8833</v>
      </c>
    </row>
    <row r="261" spans="1:8">
      <c r="A261" s="483" t="s">
        <v>8834</v>
      </c>
      <c r="C261" s="483">
        <v>60000</v>
      </c>
      <c r="D261" s="487"/>
      <c r="H261" s="483" t="s">
        <v>8816</v>
      </c>
    </row>
    <row r="262" spans="1:8">
      <c r="A262" s="483" t="s">
        <v>8835</v>
      </c>
      <c r="E262" s="483">
        <v>28</v>
      </c>
      <c r="F262" s="329">
        <v>4678</v>
      </c>
      <c r="G262" s="483" t="s">
        <v>8650</v>
      </c>
      <c r="H262" s="483" t="s">
        <v>8836</v>
      </c>
    </row>
    <row r="263" spans="1:8">
      <c r="A263" s="483" t="s">
        <v>8837</v>
      </c>
      <c r="E263" s="329">
        <v>105</v>
      </c>
      <c r="F263" s="329">
        <v>4573</v>
      </c>
      <c r="G263" s="483" t="s">
        <v>8661</v>
      </c>
      <c r="H263" s="483" t="s">
        <v>8838</v>
      </c>
    </row>
    <row r="264" spans="1:8" ht="231">
      <c r="A264" s="483" t="s">
        <v>8839</v>
      </c>
      <c r="C264" s="483">
        <v>104030</v>
      </c>
      <c r="H264" s="486" t="s">
        <v>8840</v>
      </c>
    </row>
    <row r="265" spans="1:8">
      <c r="A265" s="483" t="s">
        <v>8839</v>
      </c>
      <c r="C265" s="483">
        <v>31454</v>
      </c>
      <c r="D265" s="487" t="s">
        <v>8841</v>
      </c>
      <c r="H265" s="483" t="s">
        <v>8842</v>
      </c>
    </row>
    <row r="266" spans="1:8">
      <c r="A266" s="483" t="s">
        <v>8839</v>
      </c>
      <c r="E266" s="329">
        <v>178</v>
      </c>
      <c r="F266" s="329">
        <v>4395</v>
      </c>
      <c r="G266" s="329" t="s">
        <v>8710</v>
      </c>
      <c r="H266" s="483" t="s">
        <v>8843</v>
      </c>
    </row>
    <row r="267" spans="1:8">
      <c r="A267" s="483" t="s">
        <v>8839</v>
      </c>
      <c r="E267" s="329">
        <v>1458</v>
      </c>
      <c r="F267" s="329">
        <v>2937</v>
      </c>
      <c r="G267" s="483" t="s">
        <v>8673</v>
      </c>
      <c r="H267" s="483" t="s">
        <v>8844</v>
      </c>
    </row>
    <row r="268" spans="1:8">
      <c r="E268" s="329"/>
      <c r="F268" s="329"/>
      <c r="H268" s="487" t="s">
        <v>8767</v>
      </c>
    </row>
    <row r="269" spans="1:8">
      <c r="A269" s="483" t="s">
        <v>8845</v>
      </c>
      <c r="C269" s="487">
        <v>20030</v>
      </c>
      <c r="H269" s="483" t="s">
        <v>8846</v>
      </c>
    </row>
    <row r="270" spans="1:8">
      <c r="A270" s="483" t="s">
        <v>8847</v>
      </c>
      <c r="E270" s="329">
        <v>50</v>
      </c>
      <c r="F270" s="329">
        <v>2887</v>
      </c>
      <c r="G270" s="485"/>
      <c r="H270" s="483" t="s">
        <v>8848</v>
      </c>
    </row>
    <row r="271" spans="1:8">
      <c r="A271" s="483" t="s">
        <v>8847</v>
      </c>
      <c r="C271" s="483">
        <v>29647</v>
      </c>
      <c r="H271" s="483" t="s">
        <v>8849</v>
      </c>
    </row>
    <row r="272" spans="1:8">
      <c r="A272" s="483" t="s">
        <v>8847</v>
      </c>
      <c r="C272" s="483">
        <v>30000</v>
      </c>
      <c r="D272" s="487"/>
      <c r="H272" s="483" t="s">
        <v>8850</v>
      </c>
    </row>
    <row r="273" spans="1:8" ht="148.5">
      <c r="A273" s="483" t="s">
        <v>8847</v>
      </c>
      <c r="C273" s="483">
        <v>114521</v>
      </c>
      <c r="H273" s="486" t="s">
        <v>8851</v>
      </c>
    </row>
    <row r="274" spans="1:8">
      <c r="A274" s="483" t="s">
        <v>8847</v>
      </c>
      <c r="E274" s="483">
        <v>36</v>
      </c>
      <c r="F274" s="329">
        <v>2851</v>
      </c>
      <c r="G274" s="483" t="s">
        <v>8650</v>
      </c>
      <c r="H274" s="483" t="s">
        <v>8852</v>
      </c>
    </row>
    <row r="275" spans="1:8">
      <c r="A275" s="483" t="s">
        <v>8847</v>
      </c>
      <c r="C275" s="483">
        <v>29647</v>
      </c>
      <c r="H275" s="483" t="s">
        <v>8849</v>
      </c>
    </row>
    <row r="276" spans="1:8">
      <c r="A276" s="483" t="s">
        <v>8847</v>
      </c>
      <c r="C276" s="483">
        <v>61454</v>
      </c>
      <c r="D276" s="487"/>
      <c r="H276" s="483" t="s">
        <v>8853</v>
      </c>
    </row>
    <row r="277" spans="1:8">
      <c r="A277" s="483" t="s">
        <v>8847</v>
      </c>
      <c r="C277" s="483">
        <v>3832</v>
      </c>
      <c r="D277" s="487"/>
      <c r="H277" s="483" t="s">
        <v>8854</v>
      </c>
    </row>
    <row r="278" spans="1:8">
      <c r="A278" s="483" t="s">
        <v>8855</v>
      </c>
      <c r="C278" s="483">
        <v>44648</v>
      </c>
      <c r="H278" s="483" t="s">
        <v>8856</v>
      </c>
    </row>
    <row r="279" spans="1:8">
      <c r="A279" s="483" t="s">
        <v>8857</v>
      </c>
      <c r="E279" s="329">
        <v>250</v>
      </c>
      <c r="F279" s="329">
        <v>2601</v>
      </c>
      <c r="G279" s="483" t="s">
        <v>8678</v>
      </c>
      <c r="H279" s="483" t="s">
        <v>8858</v>
      </c>
    </row>
    <row r="280" spans="1:8">
      <c r="A280" s="483" t="s">
        <v>8857</v>
      </c>
      <c r="E280" s="329">
        <v>280</v>
      </c>
      <c r="F280" s="329">
        <v>2321</v>
      </c>
      <c r="G280" s="483" t="s">
        <v>8678</v>
      </c>
      <c r="H280" s="483" t="s">
        <v>8858</v>
      </c>
    </row>
    <row r="281" spans="1:8">
      <c r="A281" s="483" t="s">
        <v>8859</v>
      </c>
      <c r="E281" s="483">
        <v>84</v>
      </c>
      <c r="F281" s="329">
        <v>2237</v>
      </c>
      <c r="G281" s="483" t="s">
        <v>8650</v>
      </c>
      <c r="H281" s="483" t="s">
        <v>8860</v>
      </c>
    </row>
    <row r="282" spans="1:8">
      <c r="E282" s="329"/>
      <c r="F282" s="329"/>
      <c r="H282" s="487" t="s">
        <v>8767</v>
      </c>
    </row>
    <row r="283" spans="1:8">
      <c r="A283" s="483" t="s">
        <v>8861</v>
      </c>
      <c r="E283" s="329">
        <v>200</v>
      </c>
      <c r="F283" s="329">
        <v>2037</v>
      </c>
      <c r="G283" s="483" t="s">
        <v>8678</v>
      </c>
      <c r="H283" s="483" t="s">
        <v>8862</v>
      </c>
    </row>
    <row r="284" spans="1:8">
      <c r="A284" s="483" t="s">
        <v>8861</v>
      </c>
      <c r="E284" s="329">
        <v>200</v>
      </c>
      <c r="F284" s="329">
        <v>1837</v>
      </c>
      <c r="G284" s="483" t="s">
        <v>8678</v>
      </c>
      <c r="H284" s="483" t="s">
        <v>8862</v>
      </c>
    </row>
    <row r="285" spans="1:8">
      <c r="A285" s="483" t="s">
        <v>8863</v>
      </c>
      <c r="E285" s="329">
        <v>235</v>
      </c>
      <c r="F285" s="329">
        <v>1602</v>
      </c>
      <c r="G285" s="483" t="s">
        <v>8678</v>
      </c>
      <c r="H285" s="483" t="s">
        <v>8864</v>
      </c>
    </row>
    <row r="286" spans="1:8">
      <c r="A286" s="483" t="s">
        <v>8863</v>
      </c>
      <c r="E286" s="329">
        <v>240</v>
      </c>
      <c r="F286" s="329">
        <v>1362</v>
      </c>
      <c r="G286" s="483" t="s">
        <v>8678</v>
      </c>
      <c r="H286" s="483" t="s">
        <v>8864</v>
      </c>
    </row>
    <row r="287" spans="1:8">
      <c r="A287" s="329" t="s">
        <v>10155</v>
      </c>
      <c r="D287" s="483">
        <v>2900</v>
      </c>
      <c r="E287" s="329"/>
      <c r="F287" s="329">
        <v>4262</v>
      </c>
      <c r="H287" s="329" t="s">
        <v>10152</v>
      </c>
    </row>
    <row r="288" spans="1:8">
      <c r="A288" s="483" t="s">
        <v>8863</v>
      </c>
      <c r="E288" s="329">
        <v>255</v>
      </c>
      <c r="F288" s="329">
        <v>4007</v>
      </c>
      <c r="G288" s="483" t="s">
        <v>8661</v>
      </c>
      <c r="H288" s="483" t="s">
        <v>8866</v>
      </c>
    </row>
    <row r="289" spans="1:8">
      <c r="A289" s="483" t="s">
        <v>8867</v>
      </c>
      <c r="E289" s="329">
        <v>18</v>
      </c>
      <c r="F289" s="329">
        <v>3989</v>
      </c>
      <c r="G289" s="483" t="s">
        <v>8661</v>
      </c>
      <c r="H289" s="483" t="s">
        <v>8868</v>
      </c>
    </row>
    <row r="290" spans="1:8">
      <c r="A290" s="483" t="s">
        <v>8869</v>
      </c>
      <c r="D290" s="483">
        <v>5000</v>
      </c>
      <c r="E290" s="329"/>
      <c r="F290" s="329">
        <v>8989</v>
      </c>
      <c r="H290" s="483" t="s">
        <v>8696</v>
      </c>
    </row>
    <row r="291" spans="1:8">
      <c r="A291" s="483" t="s">
        <v>8869</v>
      </c>
      <c r="E291" s="329">
        <v>1458</v>
      </c>
      <c r="F291" s="329">
        <v>7531</v>
      </c>
      <c r="G291" s="483" t="s">
        <v>8673</v>
      </c>
      <c r="H291" s="483" t="s">
        <v>8870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607"/>
  <sheetViews>
    <sheetView topLeftCell="A1298" workbookViewId="0">
      <selection activeCell="H1307" sqref="H1307"/>
    </sheetView>
  </sheetViews>
  <sheetFormatPr defaultColWidth="8.875" defaultRowHeight="16.5"/>
  <cols>
    <col min="1" max="1" width="12.25" style="183" customWidth="1"/>
    <col min="2" max="5" width="8.875" style="183"/>
    <col min="6" max="6" width="9.5" style="183" bestFit="1" customWidth="1"/>
    <col min="7" max="7" width="8.875" style="183"/>
    <col min="8" max="8" width="47.25" style="183" customWidth="1"/>
    <col min="9" max="9" width="8.875" style="183"/>
    <col min="10" max="10" width="16.5" style="183" bestFit="1" customWidth="1"/>
    <col min="11" max="16384" width="8.875" style="183"/>
  </cols>
  <sheetData>
    <row r="1" spans="1:8">
      <c r="A1" s="183" t="s">
        <v>11148</v>
      </c>
      <c r="B1" s="183" t="s">
        <v>11149</v>
      </c>
      <c r="C1" s="183" t="s">
        <v>11150</v>
      </c>
      <c r="D1" s="183" t="s">
        <v>11151</v>
      </c>
      <c r="E1" s="183" t="s">
        <v>11152</v>
      </c>
      <c r="F1" s="183" t="s">
        <v>11153</v>
      </c>
      <c r="G1" s="183" t="s">
        <v>11154</v>
      </c>
      <c r="H1" s="183" t="s">
        <v>11155</v>
      </c>
    </row>
    <row r="2" spans="1:8">
      <c r="D2" s="183">
        <v>331</v>
      </c>
      <c r="H2" s="183" t="s">
        <v>11156</v>
      </c>
    </row>
    <row r="3" spans="1:8">
      <c r="A3" s="183" t="s">
        <v>11157</v>
      </c>
    </row>
    <row r="4" spans="1:8">
      <c r="E4" s="183">
        <v>200</v>
      </c>
      <c r="H4" s="183" t="s">
        <v>11158</v>
      </c>
    </row>
    <row r="5" spans="1:8">
      <c r="E5" s="699" t="s">
        <v>11159</v>
      </c>
      <c r="F5" s="699"/>
      <c r="G5" s="699"/>
    </row>
    <row r="6" spans="1:8">
      <c r="A6" s="183" t="s">
        <v>11160</v>
      </c>
    </row>
    <row r="7" spans="1:8">
      <c r="D7" s="183">
        <v>8503</v>
      </c>
      <c r="H7" s="183" t="s">
        <v>11161</v>
      </c>
    </row>
    <row r="8" spans="1:8">
      <c r="E8" s="183">
        <v>6725</v>
      </c>
      <c r="H8" s="183" t="s">
        <v>11162</v>
      </c>
    </row>
    <row r="9" spans="1:8">
      <c r="E9" s="183">
        <v>1205</v>
      </c>
      <c r="H9" s="183" t="s">
        <v>11163</v>
      </c>
    </row>
    <row r="10" spans="1:8">
      <c r="E10" s="183">
        <v>174</v>
      </c>
      <c r="H10" s="183" t="s">
        <v>11164</v>
      </c>
    </row>
    <row r="11" spans="1:8">
      <c r="E11" s="183">
        <v>399</v>
      </c>
      <c r="H11" s="183" t="s">
        <v>11165</v>
      </c>
    </row>
    <row r="12" spans="1:8">
      <c r="D12" s="183">
        <v>33</v>
      </c>
      <c r="H12" s="183" t="s">
        <v>11166</v>
      </c>
    </row>
    <row r="13" spans="1:8">
      <c r="E13" s="183">
        <v>33</v>
      </c>
      <c r="H13" s="183" t="s">
        <v>11167</v>
      </c>
    </row>
    <row r="15" spans="1:8">
      <c r="A15" s="183" t="s">
        <v>11168</v>
      </c>
    </row>
    <row r="16" spans="1:8">
      <c r="D16" s="183">
        <v>20030</v>
      </c>
      <c r="H16" s="183" t="s">
        <v>11169</v>
      </c>
    </row>
    <row r="17" spans="1:8">
      <c r="E17" s="183">
        <v>20000</v>
      </c>
      <c r="H17" s="183" t="s">
        <v>11170</v>
      </c>
    </row>
    <row r="19" spans="1:8">
      <c r="A19" s="183" t="s">
        <v>11171</v>
      </c>
    </row>
    <row r="20" spans="1:8">
      <c r="D20" s="183">
        <v>150000</v>
      </c>
      <c r="H20" s="183" t="s">
        <v>11169</v>
      </c>
    </row>
    <row r="21" spans="1:8">
      <c r="E21" s="183">
        <v>150000</v>
      </c>
      <c r="H21" s="183" t="s">
        <v>11172</v>
      </c>
    </row>
    <row r="22" spans="1:8">
      <c r="D22" s="183">
        <v>2000</v>
      </c>
      <c r="H22" s="183" t="s">
        <v>11169</v>
      </c>
    </row>
    <row r="23" spans="1:8">
      <c r="E23" s="183">
        <v>40</v>
      </c>
      <c r="H23" s="183" t="s">
        <v>11173</v>
      </c>
    </row>
    <row r="24" spans="1:8">
      <c r="E24" s="699" t="s">
        <v>11174</v>
      </c>
      <c r="F24" s="699"/>
      <c r="G24" s="699"/>
    </row>
    <row r="26" spans="1:8">
      <c r="A26" s="183" t="s">
        <v>11175</v>
      </c>
    </row>
    <row r="27" spans="1:8">
      <c r="E27" s="183">
        <v>73</v>
      </c>
      <c r="H27" s="183" t="s">
        <v>11176</v>
      </c>
    </row>
    <row r="28" spans="1:8">
      <c r="E28" s="183">
        <v>123</v>
      </c>
      <c r="H28" s="183" t="s">
        <v>11177</v>
      </c>
    </row>
    <row r="29" spans="1:8">
      <c r="E29" s="699" t="s">
        <v>11178</v>
      </c>
      <c r="F29" s="699"/>
      <c r="G29" s="699"/>
    </row>
    <row r="31" spans="1:8">
      <c r="A31" s="183" t="s">
        <v>11179</v>
      </c>
    </row>
    <row r="32" spans="1:8">
      <c r="E32" s="183">
        <v>45</v>
      </c>
      <c r="H32" s="183" t="s">
        <v>11180</v>
      </c>
    </row>
    <row r="33" spans="1:9">
      <c r="E33" s="699" t="s">
        <v>11181</v>
      </c>
      <c r="F33" s="699"/>
      <c r="G33" s="699"/>
    </row>
    <row r="35" spans="1:9">
      <c r="A35" s="183" t="s">
        <v>11182</v>
      </c>
    </row>
    <row r="36" spans="1:9">
      <c r="E36" s="183">
        <v>1205</v>
      </c>
      <c r="H36" s="183" t="s">
        <v>11183</v>
      </c>
    </row>
    <row r="37" spans="1:9">
      <c r="E37" s="699" t="s">
        <v>11184</v>
      </c>
      <c r="F37" s="699"/>
      <c r="G37" s="699"/>
    </row>
    <row r="38" spans="1:9">
      <c r="A38" s="183" t="s">
        <v>11185</v>
      </c>
    </row>
    <row r="39" spans="1:9">
      <c r="E39" s="183">
        <v>399</v>
      </c>
      <c r="H39" s="183" t="s">
        <v>11186</v>
      </c>
    </row>
    <row r="40" spans="1:9">
      <c r="E40" s="699" t="s">
        <v>11187</v>
      </c>
      <c r="F40" s="699"/>
      <c r="G40" s="699"/>
    </row>
    <row r="42" spans="1:9">
      <c r="A42" s="183" t="s">
        <v>11188</v>
      </c>
    </row>
    <row r="43" spans="1:9">
      <c r="E43" s="183">
        <v>33</v>
      </c>
      <c r="H43" s="183" t="s">
        <v>11189</v>
      </c>
      <c r="I43" s="183" t="s">
        <v>11190</v>
      </c>
    </row>
    <row r="44" spans="1:9">
      <c r="E44" s="699" t="s">
        <v>11187</v>
      </c>
      <c r="F44" s="699"/>
      <c r="G44" s="699"/>
    </row>
    <row r="46" spans="1:9">
      <c r="A46" s="183" t="s">
        <v>11191</v>
      </c>
    </row>
    <row r="47" spans="1:9">
      <c r="E47" s="183">
        <v>200</v>
      </c>
      <c r="H47" s="183" t="s">
        <v>11192</v>
      </c>
    </row>
    <row r="48" spans="1:9">
      <c r="E48" s="699" t="s">
        <v>11193</v>
      </c>
      <c r="F48" s="699"/>
      <c r="G48" s="699"/>
    </row>
    <row r="50" spans="1:8">
      <c r="A50" s="183" t="s">
        <v>11194</v>
      </c>
    </row>
    <row r="51" spans="1:8">
      <c r="D51" s="183">
        <v>2000</v>
      </c>
      <c r="H51" s="183" t="s">
        <v>11169</v>
      </c>
    </row>
    <row r="52" spans="1:8">
      <c r="E52" s="183">
        <v>300</v>
      </c>
      <c r="H52" s="183" t="s">
        <v>11195</v>
      </c>
    </row>
    <row r="53" spans="1:8">
      <c r="E53" s="183">
        <v>10</v>
      </c>
      <c r="H53" s="183" t="s">
        <v>11196</v>
      </c>
    </row>
    <row r="54" spans="1:8">
      <c r="E54" s="699" t="s">
        <v>11197</v>
      </c>
      <c r="F54" s="699"/>
      <c r="G54" s="699"/>
    </row>
    <row r="56" spans="1:8" s="254" customFormat="1"/>
    <row r="58" spans="1:8">
      <c r="A58" s="183" t="s">
        <v>11198</v>
      </c>
    </row>
    <row r="59" spans="1:8">
      <c r="E59" s="183">
        <v>50</v>
      </c>
      <c r="H59" s="183" t="s">
        <v>11199</v>
      </c>
    </row>
    <row r="60" spans="1:8">
      <c r="E60" s="699" t="s">
        <v>11200</v>
      </c>
      <c r="F60" s="699"/>
      <c r="G60" s="699"/>
    </row>
    <row r="62" spans="1:8">
      <c r="A62" s="183" t="s">
        <v>11201</v>
      </c>
    </row>
    <row r="63" spans="1:8">
      <c r="E63" s="183">
        <v>800</v>
      </c>
      <c r="H63" s="183" t="s">
        <v>11202</v>
      </c>
    </row>
    <row r="64" spans="1:8">
      <c r="E64" s="699" t="s">
        <v>11203</v>
      </c>
      <c r="F64" s="699"/>
      <c r="G64" s="699"/>
    </row>
    <row r="66" spans="1:8">
      <c r="A66" s="183" t="s">
        <v>11204</v>
      </c>
    </row>
    <row r="67" spans="1:8">
      <c r="E67" s="183">
        <v>100</v>
      </c>
      <c r="H67" s="183" t="s">
        <v>11205</v>
      </c>
    </row>
    <row r="68" spans="1:8">
      <c r="E68" s="699" t="s">
        <v>11206</v>
      </c>
      <c r="F68" s="699"/>
      <c r="G68" s="699"/>
    </row>
    <row r="70" spans="1:8">
      <c r="A70" s="183" t="s">
        <v>11207</v>
      </c>
    </row>
    <row r="71" spans="1:8">
      <c r="D71" s="183">
        <v>19062</v>
      </c>
      <c r="H71" s="183" t="s">
        <v>11169</v>
      </c>
    </row>
    <row r="72" spans="1:8">
      <c r="E72" s="183">
        <v>17062</v>
      </c>
      <c r="H72" s="183" t="s">
        <v>11208</v>
      </c>
    </row>
    <row r="73" spans="1:8">
      <c r="E73" s="699" t="s">
        <v>11209</v>
      </c>
      <c r="F73" s="699"/>
      <c r="G73" s="699"/>
    </row>
    <row r="75" spans="1:8">
      <c r="A75" s="183" t="s">
        <v>11210</v>
      </c>
    </row>
    <row r="76" spans="1:8">
      <c r="E76" s="183">
        <v>174</v>
      </c>
      <c r="H76" s="183" t="s">
        <v>11211</v>
      </c>
    </row>
    <row r="77" spans="1:8">
      <c r="E77" s="183">
        <v>399</v>
      </c>
      <c r="H77" s="183" t="s">
        <v>11212</v>
      </c>
    </row>
    <row r="78" spans="1:8">
      <c r="E78" s="699" t="s">
        <v>11213</v>
      </c>
      <c r="F78" s="699"/>
      <c r="G78" s="699"/>
    </row>
    <row r="80" spans="1:8">
      <c r="A80" s="183" t="s">
        <v>11210</v>
      </c>
    </row>
    <row r="81" spans="1:8">
      <c r="D81" s="183">
        <v>8500</v>
      </c>
      <c r="H81" s="183" t="s">
        <v>11169</v>
      </c>
    </row>
    <row r="82" spans="1:8" ht="58.5" customHeight="1">
      <c r="E82" s="183">
        <v>7826</v>
      </c>
      <c r="H82" s="694" t="s">
        <v>11214</v>
      </c>
    </row>
    <row r="83" spans="1:8">
      <c r="E83" s="183">
        <v>220</v>
      </c>
      <c r="H83" s="183" t="s">
        <v>11215</v>
      </c>
    </row>
    <row r="84" spans="1:8">
      <c r="E84" s="699" t="s">
        <v>11216</v>
      </c>
      <c r="F84" s="699"/>
      <c r="G84" s="699"/>
    </row>
    <row r="86" spans="1:8">
      <c r="A86" s="183" t="s">
        <v>11210</v>
      </c>
    </row>
    <row r="87" spans="1:8">
      <c r="E87" s="183">
        <v>1205</v>
      </c>
      <c r="H87" s="183" t="s">
        <v>11217</v>
      </c>
    </row>
    <row r="88" spans="1:8">
      <c r="E88" s="699" t="s">
        <v>11218</v>
      </c>
      <c r="F88" s="699"/>
      <c r="G88" s="699"/>
    </row>
    <row r="90" spans="1:8">
      <c r="A90" s="183" t="s">
        <v>11219</v>
      </c>
    </row>
    <row r="91" spans="1:8">
      <c r="E91" s="183">
        <v>37</v>
      </c>
      <c r="H91" s="183" t="s">
        <v>11220</v>
      </c>
    </row>
    <row r="92" spans="1:8">
      <c r="E92" s="699" t="s">
        <v>11221</v>
      </c>
      <c r="F92" s="699"/>
      <c r="G92" s="699"/>
    </row>
    <row r="94" spans="1:8">
      <c r="A94" s="183" t="s">
        <v>11222</v>
      </c>
    </row>
    <row r="95" spans="1:8">
      <c r="D95" s="183">
        <v>50000</v>
      </c>
      <c r="H95" s="183" t="s">
        <v>11169</v>
      </c>
    </row>
    <row r="96" spans="1:8">
      <c r="E96" s="183">
        <v>50000</v>
      </c>
      <c r="H96" s="183" t="s">
        <v>11223</v>
      </c>
    </row>
    <row r="98" spans="1:8">
      <c r="A98" s="183" t="s">
        <v>11224</v>
      </c>
    </row>
    <row r="99" spans="1:8">
      <c r="E99" s="183">
        <v>9</v>
      </c>
      <c r="H99" s="183" t="s">
        <v>11225</v>
      </c>
    </row>
    <row r="100" spans="1:8">
      <c r="E100" s="699" t="s">
        <v>11226</v>
      </c>
      <c r="F100" s="699"/>
      <c r="G100" s="699"/>
    </row>
    <row r="102" spans="1:8">
      <c r="A102" s="183" t="s">
        <v>11227</v>
      </c>
    </row>
    <row r="103" spans="1:8">
      <c r="E103" s="183">
        <v>100</v>
      </c>
      <c r="H103" s="183" t="s">
        <v>11228</v>
      </c>
    </row>
    <row r="104" spans="1:8">
      <c r="E104" s="699" t="s">
        <v>11229</v>
      </c>
      <c r="F104" s="699"/>
      <c r="G104" s="699"/>
    </row>
    <row r="106" spans="1:8">
      <c r="A106" s="183" t="s">
        <v>11230</v>
      </c>
    </row>
    <row r="107" spans="1:8">
      <c r="E107" s="183">
        <v>67</v>
      </c>
      <c r="H107" s="183" t="s">
        <v>11231</v>
      </c>
    </row>
    <row r="108" spans="1:8">
      <c r="E108" s="183">
        <v>700</v>
      </c>
      <c r="H108" s="183" t="s">
        <v>11232</v>
      </c>
    </row>
    <row r="109" spans="1:8">
      <c r="E109" s="699" t="s">
        <v>11233</v>
      </c>
      <c r="F109" s="699"/>
      <c r="G109" s="699"/>
    </row>
    <row r="111" spans="1:8">
      <c r="A111" s="183" t="s">
        <v>11234</v>
      </c>
    </row>
    <row r="112" spans="1:8">
      <c r="D112" s="183">
        <v>20030</v>
      </c>
      <c r="H112" s="183" t="s">
        <v>11169</v>
      </c>
    </row>
    <row r="113" spans="1:8">
      <c r="E113" s="183">
        <v>20000</v>
      </c>
      <c r="H113" s="183" t="s">
        <v>11235</v>
      </c>
    </row>
    <row r="114" spans="1:8">
      <c r="E114" s="183">
        <v>30</v>
      </c>
      <c r="H114" s="183" t="s">
        <v>11236</v>
      </c>
    </row>
    <row r="115" spans="1:8">
      <c r="E115" s="699" t="s">
        <v>11233</v>
      </c>
      <c r="F115" s="699"/>
      <c r="G115" s="699"/>
    </row>
    <row r="117" spans="1:8">
      <c r="A117" s="183" t="s">
        <v>11237</v>
      </c>
    </row>
    <row r="118" spans="1:8">
      <c r="E118" s="183">
        <v>200</v>
      </c>
      <c r="H118" s="183" t="s">
        <v>11238</v>
      </c>
    </row>
    <row r="119" spans="1:8">
      <c r="E119" s="699" t="s">
        <v>11239</v>
      </c>
      <c r="F119" s="699"/>
      <c r="G119" s="699"/>
    </row>
    <row r="121" spans="1:8">
      <c r="A121" s="183" t="s">
        <v>11240</v>
      </c>
    </row>
    <row r="122" spans="1:8">
      <c r="D122" s="183">
        <v>4000</v>
      </c>
      <c r="H122" s="183" t="s">
        <v>11169</v>
      </c>
    </row>
    <row r="123" spans="1:8">
      <c r="E123" s="183">
        <v>1205</v>
      </c>
      <c r="H123" s="183" t="s">
        <v>11241</v>
      </c>
    </row>
    <row r="124" spans="1:8">
      <c r="E124" s="183">
        <v>35</v>
      </c>
      <c r="H124" s="183" t="s">
        <v>11242</v>
      </c>
    </row>
    <row r="125" spans="1:8">
      <c r="E125" s="183">
        <v>25</v>
      </c>
      <c r="H125" s="183" t="s">
        <v>11243</v>
      </c>
    </row>
    <row r="126" spans="1:8">
      <c r="E126" s="183">
        <v>1000</v>
      </c>
      <c r="H126" s="183" t="s">
        <v>11244</v>
      </c>
    </row>
    <row r="127" spans="1:8">
      <c r="E127" s="699" t="s">
        <v>11245</v>
      </c>
      <c r="F127" s="699"/>
      <c r="G127" s="699"/>
    </row>
    <row r="129" spans="1:8">
      <c r="A129" s="183" t="s">
        <v>11246</v>
      </c>
    </row>
    <row r="130" spans="1:8">
      <c r="E130" s="183">
        <v>500</v>
      </c>
      <c r="H130" s="183" t="s">
        <v>11247</v>
      </c>
    </row>
    <row r="131" spans="1:8">
      <c r="E131" s="699" t="s">
        <v>11248</v>
      </c>
      <c r="F131" s="699"/>
      <c r="G131" s="699"/>
    </row>
    <row r="133" spans="1:8" s="254" customFormat="1"/>
    <row r="135" spans="1:8">
      <c r="A135" s="183" t="s">
        <v>11249</v>
      </c>
    </row>
    <row r="136" spans="1:8">
      <c r="E136" s="183">
        <v>250</v>
      </c>
      <c r="H136" s="183" t="s">
        <v>11250</v>
      </c>
    </row>
    <row r="137" spans="1:8">
      <c r="E137" s="699" t="s">
        <v>11251</v>
      </c>
      <c r="F137" s="699"/>
      <c r="G137" s="699"/>
    </row>
    <row r="139" spans="1:8">
      <c r="A139" s="183" t="s">
        <v>11252</v>
      </c>
    </row>
    <row r="140" spans="1:8">
      <c r="E140" s="183">
        <v>18</v>
      </c>
      <c r="H140" s="183" t="s">
        <v>11253</v>
      </c>
    </row>
    <row r="141" spans="1:8">
      <c r="E141" s="183">
        <v>275</v>
      </c>
      <c r="H141" s="183" t="s">
        <v>11254</v>
      </c>
    </row>
    <row r="142" spans="1:8">
      <c r="E142" s="183">
        <v>169</v>
      </c>
      <c r="H142" s="183" t="s">
        <v>11255</v>
      </c>
    </row>
    <row r="143" spans="1:8">
      <c r="E143" s="699" t="s">
        <v>11256</v>
      </c>
      <c r="F143" s="699"/>
      <c r="G143" s="699"/>
    </row>
    <row r="145" spans="1:8">
      <c r="A145" s="183" t="s">
        <v>11257</v>
      </c>
    </row>
    <row r="146" spans="1:8">
      <c r="C146" s="183">
        <v>12396</v>
      </c>
      <c r="H146" s="183" t="s">
        <v>11258</v>
      </c>
    </row>
    <row r="147" spans="1:8">
      <c r="B147" s="183">
        <v>11340</v>
      </c>
      <c r="H147" s="183" t="s">
        <v>11259</v>
      </c>
    </row>
    <row r="148" spans="1:8">
      <c r="D148" s="183">
        <v>12000</v>
      </c>
      <c r="H148" s="183" t="s">
        <v>11169</v>
      </c>
    </row>
    <row r="149" spans="1:8">
      <c r="E149" s="183">
        <v>10370</v>
      </c>
      <c r="H149" s="183" t="s">
        <v>11260</v>
      </c>
    </row>
    <row r="150" spans="1:8">
      <c r="E150" s="699" t="s">
        <v>11261</v>
      </c>
      <c r="F150" s="699"/>
      <c r="G150" s="699"/>
    </row>
    <row r="152" spans="1:8">
      <c r="A152" s="183" t="s">
        <v>11262</v>
      </c>
    </row>
    <row r="153" spans="1:8">
      <c r="E153" s="183">
        <v>109</v>
      </c>
      <c r="H153" s="183" t="s">
        <v>11263</v>
      </c>
    </row>
    <row r="154" spans="1:8">
      <c r="E154" s="699" t="s">
        <v>11264</v>
      </c>
      <c r="F154" s="699"/>
      <c r="G154" s="699"/>
    </row>
    <row r="156" spans="1:8">
      <c r="A156" s="183" t="s">
        <v>11265</v>
      </c>
    </row>
    <row r="157" spans="1:8">
      <c r="E157" s="183">
        <v>130</v>
      </c>
      <c r="H157" s="183" t="s">
        <v>11266</v>
      </c>
    </row>
    <row r="158" spans="1:8">
      <c r="E158" s="699" t="s">
        <v>11267</v>
      </c>
      <c r="F158" s="699"/>
      <c r="G158" s="699"/>
    </row>
    <row r="159" spans="1:8">
      <c r="E159" s="183">
        <v>159</v>
      </c>
      <c r="H159" s="183" t="s">
        <v>11268</v>
      </c>
    </row>
    <row r="160" spans="1:8">
      <c r="E160" s="183">
        <v>1205</v>
      </c>
      <c r="H160" s="183" t="s">
        <v>11269</v>
      </c>
    </row>
    <row r="161" spans="1:8">
      <c r="E161" s="183">
        <v>798</v>
      </c>
      <c r="H161" s="183" t="s">
        <v>11270</v>
      </c>
    </row>
    <row r="162" spans="1:8">
      <c r="E162" s="699" t="s">
        <v>11271</v>
      </c>
      <c r="F162" s="699"/>
      <c r="G162" s="699"/>
    </row>
    <row r="163" spans="1:8">
      <c r="E163" s="699"/>
      <c r="F163" s="699"/>
      <c r="G163" s="699"/>
    </row>
    <row r="164" spans="1:8">
      <c r="A164" s="183" t="s">
        <v>11272</v>
      </c>
      <c r="E164" s="699"/>
      <c r="F164" s="699"/>
      <c r="G164" s="699"/>
    </row>
    <row r="165" spans="1:8">
      <c r="E165" s="206">
        <v>180</v>
      </c>
      <c r="F165" s="206"/>
      <c r="G165" s="206"/>
      <c r="H165" s="183" t="s">
        <v>11273</v>
      </c>
    </row>
    <row r="166" spans="1:8">
      <c r="E166" s="206">
        <v>200</v>
      </c>
      <c r="F166" s="206"/>
      <c r="G166" s="206"/>
      <c r="H166" s="183" t="s">
        <v>11274</v>
      </c>
    </row>
    <row r="167" spans="1:8">
      <c r="E167" s="699"/>
      <c r="F167" s="699"/>
      <c r="G167" s="699"/>
    </row>
    <row r="168" spans="1:8">
      <c r="A168" s="183" t="s">
        <v>11275</v>
      </c>
      <c r="E168" s="699"/>
      <c r="F168" s="699"/>
      <c r="G168" s="699"/>
    </row>
    <row r="169" spans="1:8">
      <c r="E169" s="206">
        <v>140</v>
      </c>
      <c r="F169" s="206"/>
      <c r="G169" s="206"/>
      <c r="H169" s="183" t="s">
        <v>11276</v>
      </c>
    </row>
    <row r="170" spans="1:8">
      <c r="E170" s="206">
        <v>145</v>
      </c>
      <c r="F170" s="206"/>
      <c r="G170" s="206"/>
      <c r="H170" s="183" t="s">
        <v>11276</v>
      </c>
    </row>
    <row r="171" spans="1:8">
      <c r="E171" s="206"/>
      <c r="F171" s="206"/>
      <c r="G171" s="206"/>
    </row>
    <row r="172" spans="1:8">
      <c r="A172" s="183" t="s">
        <v>11277</v>
      </c>
      <c r="E172" s="699"/>
      <c r="F172" s="699"/>
      <c r="G172" s="699"/>
    </row>
    <row r="173" spans="1:8">
      <c r="E173" s="206">
        <v>25</v>
      </c>
      <c r="F173" s="206"/>
      <c r="G173" s="206"/>
      <c r="H173" s="183" t="s">
        <v>11278</v>
      </c>
    </row>
    <row r="174" spans="1:8">
      <c r="E174" s="699" t="s">
        <v>11279</v>
      </c>
      <c r="F174" s="699"/>
      <c r="G174" s="699"/>
    </row>
    <row r="175" spans="1:8">
      <c r="E175" s="699"/>
      <c r="F175" s="699"/>
      <c r="G175" s="699"/>
    </row>
    <row r="176" spans="1:8">
      <c r="A176" s="183" t="s">
        <v>11277</v>
      </c>
      <c r="E176" s="699"/>
      <c r="F176" s="699"/>
      <c r="G176" s="699"/>
    </row>
    <row r="177" spans="1:8">
      <c r="E177" s="206">
        <v>88</v>
      </c>
      <c r="F177" s="206"/>
      <c r="G177" s="206"/>
      <c r="H177" s="183" t="s">
        <v>11280</v>
      </c>
    </row>
    <row r="178" spans="1:8">
      <c r="E178" s="699"/>
      <c r="F178" s="699"/>
      <c r="G178" s="699"/>
    </row>
    <row r="179" spans="1:8">
      <c r="A179" s="183" t="s">
        <v>11281</v>
      </c>
      <c r="E179" s="699"/>
      <c r="F179" s="699"/>
      <c r="G179" s="699"/>
    </row>
    <row r="180" spans="1:8">
      <c r="E180" s="206">
        <v>98</v>
      </c>
      <c r="F180" s="206"/>
      <c r="G180" s="206"/>
      <c r="H180" s="183" t="s">
        <v>11282</v>
      </c>
    </row>
    <row r="181" spans="1:8">
      <c r="E181" s="699"/>
      <c r="F181" s="699"/>
      <c r="G181" s="699"/>
    </row>
    <row r="182" spans="1:8">
      <c r="A182" s="183" t="s">
        <v>11283</v>
      </c>
      <c r="E182" s="699"/>
      <c r="F182" s="699"/>
      <c r="G182" s="699"/>
    </row>
    <row r="183" spans="1:8">
      <c r="C183" s="183">
        <v>24689</v>
      </c>
      <c r="E183" s="699"/>
      <c r="F183" s="699"/>
      <c r="G183" s="699"/>
      <c r="H183" s="183" t="s">
        <v>11284</v>
      </c>
    </row>
    <row r="184" spans="1:8">
      <c r="C184" s="183">
        <v>40120</v>
      </c>
      <c r="E184" s="699"/>
      <c r="F184" s="699"/>
      <c r="G184" s="699"/>
      <c r="H184" s="183" t="s">
        <v>11285</v>
      </c>
    </row>
    <row r="185" spans="1:8">
      <c r="C185" s="183">
        <v>63796</v>
      </c>
      <c r="E185" s="699"/>
      <c r="F185" s="699"/>
      <c r="G185" s="699"/>
      <c r="H185" s="183" t="s">
        <v>11286</v>
      </c>
    </row>
    <row r="186" spans="1:8">
      <c r="E186" s="699"/>
      <c r="F186" s="699"/>
      <c r="G186" s="699"/>
    </row>
    <row r="187" spans="1:8">
      <c r="A187" s="183" t="s">
        <v>11287</v>
      </c>
    </row>
    <row r="188" spans="1:8" ht="49.5">
      <c r="C188" s="183">
        <v>20000</v>
      </c>
      <c r="H188" s="694" t="s">
        <v>11288</v>
      </c>
    </row>
    <row r="189" spans="1:8">
      <c r="E189" s="183">
        <v>30</v>
      </c>
      <c r="H189" s="183" t="s">
        <v>11289</v>
      </c>
    </row>
    <row r="190" spans="1:8">
      <c r="E190" s="699" t="s">
        <v>11193</v>
      </c>
      <c r="F190" s="699"/>
      <c r="G190" s="699"/>
    </row>
    <row r="191" spans="1:8">
      <c r="D191" s="183">
        <v>45000</v>
      </c>
      <c r="E191" s="699"/>
      <c r="F191" s="699"/>
      <c r="G191" s="699"/>
      <c r="H191" s="183" t="s">
        <v>11169</v>
      </c>
    </row>
    <row r="192" spans="1:8" ht="214.5">
      <c r="E192" s="206">
        <v>39561</v>
      </c>
      <c r="F192" s="206"/>
      <c r="G192" s="206"/>
      <c r="H192" s="694" t="s">
        <v>11290</v>
      </c>
    </row>
    <row r="193" spans="1:8">
      <c r="E193" s="699" t="s">
        <v>11291</v>
      </c>
      <c r="F193" s="699"/>
      <c r="G193" s="699"/>
    </row>
    <row r="194" spans="1:8">
      <c r="E194" s="699"/>
      <c r="F194" s="699"/>
      <c r="G194" s="699"/>
    </row>
    <row r="195" spans="1:8">
      <c r="A195" s="183" t="s">
        <v>11292</v>
      </c>
    </row>
    <row r="196" spans="1:8">
      <c r="C196" s="183">
        <v>15000</v>
      </c>
      <c r="H196" s="183" t="s">
        <v>11293</v>
      </c>
    </row>
    <row r="197" spans="1:8" ht="115.5">
      <c r="B197" s="694" t="s">
        <v>11294</v>
      </c>
      <c r="H197" s="183" t="s">
        <v>11295</v>
      </c>
    </row>
    <row r="199" spans="1:8">
      <c r="A199" s="183" t="s">
        <v>11296</v>
      </c>
    </row>
    <row r="200" spans="1:8">
      <c r="E200" s="183">
        <v>1205</v>
      </c>
      <c r="H200" s="183" t="s">
        <v>11297</v>
      </c>
    </row>
    <row r="201" spans="1:8">
      <c r="E201" s="699" t="s">
        <v>11298</v>
      </c>
      <c r="F201" s="699"/>
      <c r="G201" s="699"/>
    </row>
    <row r="202" spans="1:8">
      <c r="E202" s="699" t="s">
        <v>11299</v>
      </c>
      <c r="F202" s="699"/>
      <c r="G202" s="699"/>
      <c r="H202" s="183" t="s">
        <v>11300</v>
      </c>
    </row>
    <row r="204" spans="1:8">
      <c r="A204" s="183" t="s">
        <v>11301</v>
      </c>
    </row>
    <row r="205" spans="1:8">
      <c r="C205" s="183">
        <v>30000</v>
      </c>
      <c r="H205" s="183" t="s">
        <v>11302</v>
      </c>
    </row>
    <row r="206" spans="1:8">
      <c r="E206" s="183">
        <v>399</v>
      </c>
      <c r="H206" s="183" t="s">
        <v>11303</v>
      </c>
    </row>
    <row r="207" spans="1:8">
      <c r="E207" s="183">
        <v>180</v>
      </c>
      <c r="H207" s="183" t="s">
        <v>11304</v>
      </c>
    </row>
    <row r="208" spans="1:8">
      <c r="E208" s="183">
        <v>185</v>
      </c>
      <c r="H208" s="183" t="s">
        <v>11305</v>
      </c>
    </row>
    <row r="209" spans="1:8">
      <c r="E209" s="699" t="s">
        <v>11306</v>
      </c>
      <c r="F209" s="699"/>
      <c r="G209" s="699"/>
    </row>
    <row r="210" spans="1:8">
      <c r="E210" s="699" t="s">
        <v>11307</v>
      </c>
      <c r="F210" s="699"/>
      <c r="G210" s="699"/>
      <c r="H210" s="183" t="s">
        <v>11308</v>
      </c>
    </row>
    <row r="212" spans="1:8">
      <c r="A212" s="183" t="s">
        <v>11309</v>
      </c>
    </row>
    <row r="213" spans="1:8">
      <c r="E213" s="183">
        <v>145</v>
      </c>
      <c r="H213" s="183" t="s">
        <v>11310</v>
      </c>
    </row>
    <row r="214" spans="1:8">
      <c r="E214" s="183">
        <v>150</v>
      </c>
      <c r="H214" s="183" t="s">
        <v>11310</v>
      </c>
    </row>
    <row r="215" spans="1:8">
      <c r="E215" s="699" t="s">
        <v>11311</v>
      </c>
      <c r="F215" s="699"/>
      <c r="G215" s="699"/>
    </row>
    <row r="217" spans="1:8">
      <c r="A217" s="183" t="s">
        <v>11312</v>
      </c>
    </row>
    <row r="218" spans="1:8">
      <c r="E218" s="183">
        <v>18</v>
      </c>
      <c r="H218" s="183" t="s">
        <v>11313</v>
      </c>
    </row>
    <row r="219" spans="1:8">
      <c r="E219" s="183">
        <v>200</v>
      </c>
      <c r="H219" s="183" t="s">
        <v>11314</v>
      </c>
    </row>
    <row r="220" spans="1:8">
      <c r="E220" s="183">
        <v>600</v>
      </c>
      <c r="H220" s="183" t="s">
        <v>11315</v>
      </c>
    </row>
    <row r="221" spans="1:8">
      <c r="E221" s="699" t="s">
        <v>11316</v>
      </c>
      <c r="F221" s="699"/>
      <c r="G221" s="699"/>
      <c r="H221" s="183" t="s">
        <v>11317</v>
      </c>
    </row>
    <row r="222" spans="1:8">
      <c r="E222" s="699"/>
      <c r="F222" s="699"/>
      <c r="G222" s="699"/>
    </row>
    <row r="223" spans="1:8">
      <c r="A223" s="183" t="s">
        <v>11318</v>
      </c>
      <c r="E223" s="699"/>
      <c r="F223" s="699"/>
      <c r="G223" s="699"/>
    </row>
    <row r="224" spans="1:8">
      <c r="E224" s="206">
        <v>230</v>
      </c>
      <c r="F224" s="206"/>
      <c r="G224" s="206"/>
      <c r="H224" s="183" t="s">
        <v>11319</v>
      </c>
    </row>
    <row r="225" spans="1:8">
      <c r="E225" s="206">
        <v>230</v>
      </c>
      <c r="F225" s="206"/>
      <c r="G225" s="206"/>
      <c r="H225" s="183" t="s">
        <v>11319</v>
      </c>
    </row>
    <row r="226" spans="1:8">
      <c r="E226" s="699" t="s">
        <v>11320</v>
      </c>
      <c r="F226" s="699"/>
      <c r="G226" s="699"/>
      <c r="H226" s="183" t="s">
        <v>11321</v>
      </c>
    </row>
    <row r="227" spans="1:8" s="254" customFormat="1">
      <c r="E227" s="700"/>
      <c r="F227" s="700"/>
      <c r="G227" s="700"/>
    </row>
    <row r="228" spans="1:8">
      <c r="A228" s="183" t="s">
        <v>11322</v>
      </c>
    </row>
    <row r="229" spans="1:8">
      <c r="C229" s="183">
        <v>15000</v>
      </c>
      <c r="H229" s="183" t="s">
        <v>11323</v>
      </c>
    </row>
    <row r="231" spans="1:8">
      <c r="A231" s="183" t="s">
        <v>11324</v>
      </c>
      <c r="E231" s="699"/>
      <c r="F231" s="699"/>
      <c r="G231" s="699"/>
    </row>
    <row r="232" spans="1:8">
      <c r="E232" s="206">
        <v>255</v>
      </c>
      <c r="F232" s="206"/>
      <c r="G232" s="206"/>
      <c r="H232" s="183" t="s">
        <v>11325</v>
      </c>
    </row>
    <row r="233" spans="1:8">
      <c r="E233" s="206">
        <v>270</v>
      </c>
      <c r="F233" s="206"/>
      <c r="G233" s="206"/>
      <c r="H233" s="183" t="s">
        <v>11325</v>
      </c>
    </row>
    <row r="234" spans="1:8">
      <c r="E234" s="699" t="s">
        <v>11326</v>
      </c>
      <c r="F234" s="699"/>
      <c r="G234" s="699"/>
    </row>
    <row r="236" spans="1:8">
      <c r="A236" s="183" t="s">
        <v>11327</v>
      </c>
    </row>
    <row r="237" spans="1:8">
      <c r="D237" s="183">
        <v>7000</v>
      </c>
      <c r="H237" s="183" t="s">
        <v>11169</v>
      </c>
    </row>
    <row r="238" spans="1:8">
      <c r="E238" s="183">
        <v>2000</v>
      </c>
      <c r="H238" s="183" t="s">
        <v>11328</v>
      </c>
    </row>
    <row r="239" spans="1:8">
      <c r="E239" s="699" t="s">
        <v>11329</v>
      </c>
      <c r="F239" s="699"/>
      <c r="G239" s="699"/>
    </row>
    <row r="241" spans="1:8">
      <c r="A241" s="183" t="s">
        <v>11330</v>
      </c>
    </row>
    <row r="242" spans="1:8">
      <c r="D242" s="183">
        <v>53000</v>
      </c>
      <c r="H242" s="183" t="s">
        <v>11169</v>
      </c>
    </row>
    <row r="243" spans="1:8">
      <c r="E243" s="183">
        <v>18234</v>
      </c>
      <c r="H243" s="183" t="s">
        <v>11331</v>
      </c>
    </row>
    <row r="244" spans="1:8">
      <c r="E244" s="183">
        <v>20758</v>
      </c>
      <c r="H244" s="183" t="s">
        <v>11332</v>
      </c>
    </row>
    <row r="245" spans="1:8">
      <c r="E245" s="183">
        <v>13614</v>
      </c>
      <c r="H245" s="183" t="s">
        <v>11333</v>
      </c>
    </row>
    <row r="246" spans="1:8">
      <c r="E246" s="699" t="s">
        <v>11334</v>
      </c>
      <c r="F246" s="699"/>
      <c r="G246" s="699"/>
    </row>
    <row r="248" spans="1:8">
      <c r="A248" s="183" t="s">
        <v>11335</v>
      </c>
    </row>
    <row r="249" spans="1:8">
      <c r="E249" s="183">
        <v>1812</v>
      </c>
      <c r="H249" s="183" t="s">
        <v>11336</v>
      </c>
    </row>
    <row r="250" spans="1:8">
      <c r="E250" s="183">
        <v>399</v>
      </c>
      <c r="H250" s="183" t="s">
        <v>11337</v>
      </c>
    </row>
    <row r="251" spans="1:8">
      <c r="E251" s="699" t="s">
        <v>11338</v>
      </c>
      <c r="F251" s="699"/>
      <c r="G251" s="699"/>
    </row>
    <row r="252" spans="1:8">
      <c r="E252" s="699"/>
      <c r="F252" s="699"/>
      <c r="G252" s="699"/>
    </row>
    <row r="253" spans="1:8">
      <c r="A253" s="183" t="s">
        <v>11339</v>
      </c>
      <c r="E253" s="699"/>
      <c r="F253" s="699"/>
      <c r="G253" s="699"/>
    </row>
    <row r="254" spans="1:8">
      <c r="E254" s="206">
        <v>174</v>
      </c>
      <c r="F254" s="206"/>
      <c r="G254" s="206"/>
      <c r="H254" s="183" t="s">
        <v>11340</v>
      </c>
    </row>
    <row r="255" spans="1:8">
      <c r="E255" s="699" t="s">
        <v>11341</v>
      </c>
      <c r="F255" s="699"/>
      <c r="G255" s="699"/>
    </row>
    <row r="256" spans="1:8">
      <c r="E256" s="699"/>
      <c r="F256" s="699"/>
      <c r="G256" s="699"/>
    </row>
    <row r="257" spans="1:8">
      <c r="A257" s="183" t="s">
        <v>11342</v>
      </c>
    </row>
    <row r="258" spans="1:8">
      <c r="E258" s="183">
        <v>130</v>
      </c>
      <c r="H258" s="183" t="s">
        <v>11343</v>
      </c>
    </row>
    <row r="259" spans="1:8">
      <c r="E259" s="699" t="s">
        <v>11344</v>
      </c>
      <c r="F259" s="699"/>
      <c r="G259" s="699"/>
    </row>
    <row r="261" spans="1:8">
      <c r="A261" s="183" t="s">
        <v>11345</v>
      </c>
    </row>
    <row r="262" spans="1:8">
      <c r="E262" s="183">
        <v>140</v>
      </c>
      <c r="H262" s="183" t="s">
        <v>11346</v>
      </c>
    </row>
    <row r="263" spans="1:8">
      <c r="E263" s="183">
        <v>130</v>
      </c>
      <c r="H263" s="183" t="s">
        <v>11346</v>
      </c>
    </row>
    <row r="264" spans="1:8">
      <c r="E264" s="699" t="s">
        <v>11347</v>
      </c>
      <c r="F264" s="699"/>
      <c r="G264" s="699"/>
    </row>
    <row r="266" spans="1:8">
      <c r="A266" s="183" t="s">
        <v>11348</v>
      </c>
    </row>
    <row r="267" spans="1:8">
      <c r="E267" s="183">
        <v>1205</v>
      </c>
      <c r="H267" s="183" t="s">
        <v>11349</v>
      </c>
    </row>
    <row r="268" spans="1:8">
      <c r="E268" s="699" t="s">
        <v>11350</v>
      </c>
      <c r="F268" s="699"/>
      <c r="G268" s="699"/>
    </row>
    <row r="270" spans="1:8">
      <c r="A270" s="183" t="s">
        <v>11351</v>
      </c>
    </row>
    <row r="271" spans="1:8">
      <c r="E271" s="183">
        <v>200</v>
      </c>
      <c r="H271" s="183" t="s">
        <v>11352</v>
      </c>
    </row>
    <row r="272" spans="1:8">
      <c r="E272" s="699"/>
      <c r="F272" s="699"/>
      <c r="G272" s="699"/>
    </row>
    <row r="274" spans="1:8">
      <c r="A274" s="183" t="s">
        <v>11353</v>
      </c>
    </row>
    <row r="275" spans="1:8">
      <c r="C275" s="183">
        <v>15000</v>
      </c>
      <c r="H275" s="183" t="s">
        <v>11354</v>
      </c>
    </row>
    <row r="277" spans="1:8">
      <c r="A277" s="183" t="s">
        <v>11355</v>
      </c>
    </row>
    <row r="278" spans="1:8">
      <c r="E278" s="183">
        <v>1583</v>
      </c>
      <c r="H278" s="183" t="s">
        <v>11356</v>
      </c>
    </row>
    <row r="279" spans="1:8">
      <c r="E279" s="699" t="s">
        <v>11357</v>
      </c>
      <c r="F279" s="699"/>
      <c r="G279" s="699"/>
    </row>
    <row r="281" spans="1:8">
      <c r="A281" s="183" t="s">
        <v>11358</v>
      </c>
    </row>
    <row r="282" spans="1:8">
      <c r="C282" s="183">
        <v>19536</v>
      </c>
      <c r="H282" s="183" t="s">
        <v>11359</v>
      </c>
    </row>
    <row r="283" spans="1:8">
      <c r="D283" s="183">
        <v>5000</v>
      </c>
      <c r="H283" s="183" t="s">
        <v>11360</v>
      </c>
    </row>
    <row r="284" spans="1:8">
      <c r="E284" s="699" t="s">
        <v>11361</v>
      </c>
      <c r="F284" s="699"/>
      <c r="G284" s="699"/>
    </row>
    <row r="286" spans="1:8">
      <c r="A286" s="183" t="s">
        <v>11362</v>
      </c>
      <c r="E286" s="183">
        <v>250</v>
      </c>
      <c r="H286" s="183" t="s">
        <v>11363</v>
      </c>
    </row>
    <row r="287" spans="1:8">
      <c r="E287" s="183">
        <v>250</v>
      </c>
      <c r="H287" s="183" t="s">
        <v>11363</v>
      </c>
    </row>
    <row r="288" spans="1:8">
      <c r="E288" s="699" t="s">
        <v>11364</v>
      </c>
      <c r="F288" s="699"/>
      <c r="G288" s="699"/>
    </row>
    <row r="290" spans="1:8">
      <c r="A290" s="183" t="s">
        <v>11365</v>
      </c>
    </row>
    <row r="291" spans="1:8">
      <c r="C291" s="183">
        <v>39756</v>
      </c>
      <c r="H291" s="183" t="s">
        <v>11366</v>
      </c>
    </row>
    <row r="293" spans="1:8">
      <c r="A293" s="183" t="s">
        <v>11367</v>
      </c>
    </row>
    <row r="294" spans="1:8">
      <c r="C294" s="183">
        <v>15000</v>
      </c>
      <c r="H294" s="183" t="s">
        <v>11368</v>
      </c>
    </row>
    <row r="296" spans="1:8">
      <c r="A296" s="183" t="s">
        <v>11367</v>
      </c>
    </row>
    <row r="297" spans="1:8">
      <c r="E297" s="183">
        <v>1205</v>
      </c>
      <c r="H297" s="183" t="s">
        <v>11369</v>
      </c>
    </row>
    <row r="298" spans="1:8">
      <c r="E298" s="183">
        <v>1205</v>
      </c>
      <c r="H298" s="183" t="s">
        <v>11370</v>
      </c>
    </row>
    <row r="299" spans="1:8">
      <c r="E299" s="699" t="s">
        <v>11371</v>
      </c>
      <c r="F299" s="699"/>
      <c r="G299" s="699"/>
    </row>
    <row r="300" spans="1:8">
      <c r="E300" s="699" t="s">
        <v>11372</v>
      </c>
      <c r="F300" s="699"/>
      <c r="G300" s="699"/>
      <c r="H300" s="183" t="s">
        <v>11373</v>
      </c>
    </row>
    <row r="301" spans="1:8">
      <c r="E301" s="699"/>
      <c r="F301" s="699"/>
      <c r="G301" s="699"/>
    </row>
    <row r="302" spans="1:8">
      <c r="A302" s="183" t="s">
        <v>11374</v>
      </c>
      <c r="D302" s="183">
        <v>12994</v>
      </c>
      <c r="E302" s="699"/>
      <c r="F302" s="699"/>
      <c r="G302" s="699"/>
    </row>
    <row r="303" spans="1:8">
      <c r="E303" s="183">
        <v>12994</v>
      </c>
      <c r="H303" s="183" t="s">
        <v>11375</v>
      </c>
    </row>
    <row r="305" spans="1:8">
      <c r="A305" s="183" t="s">
        <v>11376</v>
      </c>
      <c r="D305" s="183">
        <v>9600</v>
      </c>
      <c r="H305" s="183" t="s">
        <v>11377</v>
      </c>
    </row>
    <row r="306" spans="1:8">
      <c r="E306" s="699" t="s">
        <v>11378</v>
      </c>
      <c r="F306" s="699"/>
      <c r="G306" s="699"/>
    </row>
    <row r="308" spans="1:8">
      <c r="A308" s="183" t="s">
        <v>11376</v>
      </c>
      <c r="E308" s="183">
        <v>1583</v>
      </c>
      <c r="H308" s="183" t="s">
        <v>11379</v>
      </c>
    </row>
    <row r="309" spans="1:8">
      <c r="E309" s="183">
        <v>3</v>
      </c>
      <c r="H309" s="183" t="s">
        <v>11380</v>
      </c>
    </row>
    <row r="310" spans="1:8">
      <c r="E310" s="699" t="s">
        <v>11381</v>
      </c>
      <c r="F310" s="699"/>
      <c r="G310" s="699"/>
    </row>
    <row r="312" spans="1:8">
      <c r="A312" s="183" t="s">
        <v>11382</v>
      </c>
      <c r="E312" s="183">
        <v>50</v>
      </c>
      <c r="H312" s="183" t="s">
        <v>11383</v>
      </c>
    </row>
    <row r="313" spans="1:8">
      <c r="E313" s="183">
        <v>70</v>
      </c>
      <c r="H313" s="183" t="s">
        <v>11384</v>
      </c>
    </row>
    <row r="314" spans="1:8">
      <c r="E314" s="699" t="s">
        <v>11385</v>
      </c>
      <c r="F314" s="699"/>
      <c r="G314" s="699"/>
    </row>
    <row r="316" spans="1:8">
      <c r="A316" s="183" t="s">
        <v>11386</v>
      </c>
    </row>
    <row r="317" spans="1:8">
      <c r="E317" s="183">
        <v>50</v>
      </c>
      <c r="H317" s="183" t="s">
        <v>11387</v>
      </c>
    </row>
    <row r="318" spans="1:8">
      <c r="E318" s="183">
        <v>798</v>
      </c>
      <c r="H318" s="183" t="s">
        <v>11388</v>
      </c>
    </row>
    <row r="319" spans="1:8">
      <c r="E319" s="699" t="s">
        <v>11389</v>
      </c>
      <c r="F319" s="699"/>
      <c r="G319" s="699"/>
    </row>
    <row r="321" spans="1:8">
      <c r="A321" s="183" t="s">
        <v>11390</v>
      </c>
    </row>
    <row r="322" spans="1:8">
      <c r="C322" s="183">
        <v>7000</v>
      </c>
      <c r="H322" s="183" t="s">
        <v>11391</v>
      </c>
    </row>
    <row r="324" spans="1:8">
      <c r="A324" s="183" t="s">
        <v>11392</v>
      </c>
    </row>
    <row r="325" spans="1:8">
      <c r="E325" s="183">
        <v>5000</v>
      </c>
      <c r="H325" s="183" t="s">
        <v>11393</v>
      </c>
    </row>
    <row r="326" spans="1:8">
      <c r="E326" s="699" t="s">
        <v>11394</v>
      </c>
      <c r="F326" s="699"/>
      <c r="G326" s="699"/>
    </row>
    <row r="328" spans="1:8">
      <c r="A328" s="183" t="s">
        <v>11392</v>
      </c>
    </row>
    <row r="329" spans="1:8">
      <c r="E329" s="183">
        <v>1000</v>
      </c>
      <c r="H329" s="183" t="s">
        <v>11395</v>
      </c>
    </row>
    <row r="330" spans="1:8">
      <c r="E330" s="699" t="s">
        <v>11396</v>
      </c>
      <c r="F330" s="699"/>
      <c r="G330" s="699"/>
    </row>
    <row r="332" spans="1:8">
      <c r="A332" s="183" t="s">
        <v>11397</v>
      </c>
    </row>
    <row r="333" spans="1:8">
      <c r="E333" s="183">
        <v>399</v>
      </c>
      <c r="H333" s="183" t="s">
        <v>11398</v>
      </c>
    </row>
    <row r="334" spans="1:8">
      <c r="E334" s="699" t="s">
        <v>11399</v>
      </c>
      <c r="F334" s="699"/>
      <c r="G334" s="699"/>
    </row>
    <row r="336" spans="1:8">
      <c r="A336" s="183" t="s">
        <v>11400</v>
      </c>
    </row>
    <row r="337" spans="1:8">
      <c r="E337" s="183">
        <v>90</v>
      </c>
      <c r="H337" s="183" t="s">
        <v>11401</v>
      </c>
    </row>
    <row r="338" spans="1:8">
      <c r="E338" s="699" t="s">
        <v>11402</v>
      </c>
      <c r="F338" s="699"/>
      <c r="G338" s="699"/>
    </row>
    <row r="340" spans="1:8">
      <c r="A340" s="183" t="s">
        <v>11403</v>
      </c>
    </row>
    <row r="341" spans="1:8">
      <c r="E341" s="183">
        <v>276</v>
      </c>
      <c r="H341" s="183" t="s">
        <v>11404</v>
      </c>
    </row>
    <row r="342" spans="1:8">
      <c r="E342" s="699" t="s">
        <v>11405</v>
      </c>
      <c r="F342" s="699"/>
      <c r="G342" s="699"/>
    </row>
    <row r="344" spans="1:8">
      <c r="A344" s="183" t="s">
        <v>11406</v>
      </c>
    </row>
    <row r="345" spans="1:8">
      <c r="C345" s="183">
        <v>15000</v>
      </c>
      <c r="H345" s="183" t="s">
        <v>11407</v>
      </c>
    </row>
    <row r="347" spans="1:8">
      <c r="A347" s="183" t="s">
        <v>11406</v>
      </c>
    </row>
    <row r="348" spans="1:8">
      <c r="C348" s="183">
        <v>40000</v>
      </c>
      <c r="H348" s="183" t="s">
        <v>11408</v>
      </c>
    </row>
    <row r="350" spans="1:8">
      <c r="A350" s="183" t="s">
        <v>11406</v>
      </c>
    </row>
    <row r="351" spans="1:8" ht="115.5">
      <c r="B351" s="183">
        <v>97905</v>
      </c>
      <c r="H351" s="694" t="s">
        <v>11409</v>
      </c>
    </row>
    <row r="353" spans="1:8">
      <c r="A353" s="183" t="s">
        <v>11410</v>
      </c>
    </row>
    <row r="354" spans="1:8">
      <c r="C354" s="183">
        <v>63796</v>
      </c>
      <c r="H354" s="183" t="s">
        <v>11411</v>
      </c>
    </row>
    <row r="355" spans="1:8">
      <c r="C355" s="183">
        <v>29000</v>
      </c>
      <c r="H355" s="183" t="s">
        <v>11412</v>
      </c>
    </row>
    <row r="356" spans="1:8">
      <c r="C356" s="183">
        <v>23536</v>
      </c>
      <c r="H356" s="183" t="s">
        <v>11413</v>
      </c>
    </row>
    <row r="357" spans="1:8">
      <c r="C357" s="183">
        <v>13002</v>
      </c>
      <c r="H357" s="183" t="s">
        <v>11414</v>
      </c>
    </row>
    <row r="359" spans="1:8">
      <c r="A359" s="183" t="s">
        <v>11415</v>
      </c>
    </row>
    <row r="360" spans="1:8">
      <c r="D360" s="183">
        <v>10000</v>
      </c>
      <c r="H360" s="183" t="s">
        <v>11416</v>
      </c>
    </row>
    <row r="361" spans="1:8">
      <c r="E361" s="183">
        <v>3844</v>
      </c>
      <c r="H361" s="183" t="s">
        <v>11417</v>
      </c>
    </row>
    <row r="362" spans="1:8">
      <c r="E362" s="183">
        <v>1583</v>
      </c>
      <c r="H362" s="183" t="s">
        <v>11418</v>
      </c>
    </row>
    <row r="363" spans="1:8">
      <c r="E363" s="183">
        <v>1583</v>
      </c>
      <c r="H363" s="183" t="s">
        <v>11419</v>
      </c>
    </row>
    <row r="364" spans="1:8">
      <c r="E364" s="183">
        <v>9</v>
      </c>
      <c r="H364" s="183" t="s">
        <v>11420</v>
      </c>
    </row>
    <row r="365" spans="1:8">
      <c r="E365" s="183">
        <v>17</v>
      </c>
      <c r="H365" s="183" t="s">
        <v>11421</v>
      </c>
    </row>
    <row r="366" spans="1:8">
      <c r="E366" s="699" t="s">
        <v>11422</v>
      </c>
      <c r="F366" s="699"/>
      <c r="G366" s="699"/>
    </row>
    <row r="368" spans="1:8">
      <c r="A368" s="183" t="s">
        <v>11423</v>
      </c>
    </row>
    <row r="369" spans="1:8">
      <c r="E369" s="183">
        <v>200</v>
      </c>
      <c r="H369" s="183" t="s">
        <v>11424</v>
      </c>
    </row>
    <row r="370" spans="1:8">
      <c r="E370" s="699" t="s">
        <v>11425</v>
      </c>
      <c r="F370" s="699"/>
      <c r="G370" s="699"/>
    </row>
    <row r="372" spans="1:8">
      <c r="A372" s="183" t="s">
        <v>11426</v>
      </c>
    </row>
    <row r="373" spans="1:8">
      <c r="E373" s="183">
        <v>114</v>
      </c>
      <c r="H373" s="183" t="s">
        <v>11427</v>
      </c>
    </row>
    <row r="374" spans="1:8">
      <c r="E374" s="699" t="s">
        <v>11428</v>
      </c>
      <c r="F374" s="699"/>
      <c r="G374" s="699"/>
    </row>
    <row r="376" spans="1:8">
      <c r="A376" s="183" t="s">
        <v>11429</v>
      </c>
    </row>
    <row r="377" spans="1:8">
      <c r="E377" s="183">
        <v>1205</v>
      </c>
      <c r="H377" s="183" t="s">
        <v>11430</v>
      </c>
    </row>
    <row r="378" spans="1:8">
      <c r="E378" s="699" t="s">
        <v>11431</v>
      </c>
      <c r="F378" s="699"/>
      <c r="G378" s="699"/>
    </row>
    <row r="380" spans="1:8">
      <c r="A380" s="183" t="s">
        <v>11429</v>
      </c>
    </row>
    <row r="381" spans="1:8">
      <c r="C381" s="183">
        <v>23767</v>
      </c>
      <c r="H381" s="183" t="s">
        <v>11432</v>
      </c>
    </row>
    <row r="383" spans="1:8">
      <c r="A383" s="183" t="s">
        <v>11433</v>
      </c>
    </row>
    <row r="384" spans="1:8">
      <c r="E384" s="183">
        <v>2400</v>
      </c>
      <c r="H384" s="183" t="s">
        <v>11434</v>
      </c>
    </row>
    <row r="385" spans="1:8">
      <c r="E385" s="699" t="s">
        <v>11435</v>
      </c>
      <c r="F385" s="699"/>
      <c r="G385" s="699"/>
    </row>
    <row r="387" spans="1:8">
      <c r="A387" s="183" t="s">
        <v>11436</v>
      </c>
    </row>
    <row r="388" spans="1:8">
      <c r="E388" s="183">
        <v>130</v>
      </c>
      <c r="H388" s="183" t="s">
        <v>11437</v>
      </c>
    </row>
    <row r="389" spans="1:8">
      <c r="E389" s="699" t="s">
        <v>11438</v>
      </c>
      <c r="F389" s="699"/>
      <c r="G389" s="699"/>
    </row>
    <row r="391" spans="1:8">
      <c r="A391" s="183" t="s">
        <v>11439</v>
      </c>
    </row>
    <row r="392" spans="1:8">
      <c r="B392" s="183">
        <v>16380</v>
      </c>
      <c r="H392" s="183" t="s">
        <v>11440</v>
      </c>
    </row>
    <row r="393" spans="1:8">
      <c r="B393" s="183">
        <v>4725</v>
      </c>
      <c r="H393" s="183" t="s">
        <v>11441</v>
      </c>
    </row>
    <row r="394" spans="1:8">
      <c r="B394" s="183">
        <v>11340</v>
      </c>
      <c r="H394" s="183" t="s">
        <v>11442</v>
      </c>
    </row>
    <row r="395" spans="1:8">
      <c r="B395" s="183">
        <v>9450</v>
      </c>
      <c r="H395" s="183" t="s">
        <v>11443</v>
      </c>
    </row>
    <row r="396" spans="1:8">
      <c r="B396" s="183">
        <v>14175</v>
      </c>
      <c r="H396" s="183" t="s">
        <v>11444</v>
      </c>
    </row>
    <row r="397" spans="1:8">
      <c r="B397" s="183">
        <v>14175</v>
      </c>
      <c r="H397" s="183" t="s">
        <v>11445</v>
      </c>
    </row>
    <row r="399" spans="1:8">
      <c r="A399" s="183" t="s">
        <v>11446</v>
      </c>
    </row>
    <row r="400" spans="1:8">
      <c r="E400" s="183">
        <v>320</v>
      </c>
      <c r="H400" s="183" t="s">
        <v>11447</v>
      </c>
    </row>
    <row r="401" spans="1:8">
      <c r="E401" s="699" t="s">
        <v>11448</v>
      </c>
      <c r="F401" s="699"/>
      <c r="G401" s="699"/>
    </row>
    <row r="403" spans="1:8">
      <c r="A403" s="183" t="s">
        <v>11449</v>
      </c>
    </row>
    <row r="404" spans="1:8">
      <c r="B404" s="183">
        <v>12600</v>
      </c>
      <c r="H404" s="183" t="s">
        <v>11450</v>
      </c>
    </row>
    <row r="405" spans="1:8">
      <c r="B405" s="183">
        <v>11340</v>
      </c>
      <c r="H405" s="183" t="s">
        <v>11451</v>
      </c>
    </row>
    <row r="406" spans="1:8">
      <c r="B406" s="183">
        <v>10800</v>
      </c>
      <c r="H406" s="183" t="s">
        <v>11452</v>
      </c>
    </row>
    <row r="407" spans="1:8">
      <c r="B407" s="183">
        <v>14175</v>
      </c>
      <c r="H407" s="183" t="s">
        <v>11453</v>
      </c>
    </row>
    <row r="408" spans="1:8">
      <c r="B408" s="183">
        <v>14175</v>
      </c>
      <c r="H408" s="183" t="s">
        <v>11454</v>
      </c>
    </row>
    <row r="410" spans="1:8">
      <c r="A410" s="183" t="s">
        <v>11455</v>
      </c>
    </row>
    <row r="411" spans="1:8">
      <c r="C411" s="183">
        <v>15000</v>
      </c>
      <c r="H411" s="183" t="s">
        <v>11456</v>
      </c>
    </row>
    <row r="413" spans="1:8">
      <c r="A413" s="183" t="s">
        <v>11455</v>
      </c>
    </row>
    <row r="414" spans="1:8">
      <c r="E414" s="183">
        <v>18</v>
      </c>
      <c r="H414" s="183" t="s">
        <v>11457</v>
      </c>
    </row>
    <row r="415" spans="1:8">
      <c r="E415" s="699" t="s">
        <v>11458</v>
      </c>
      <c r="F415" s="699"/>
      <c r="G415" s="699"/>
    </row>
    <row r="417" spans="1:8">
      <c r="A417" s="183" t="s">
        <v>11459</v>
      </c>
    </row>
    <row r="418" spans="1:8">
      <c r="E418" s="183">
        <v>110</v>
      </c>
      <c r="H418" s="183" t="s">
        <v>11460</v>
      </c>
    </row>
    <row r="419" spans="1:8">
      <c r="E419" s="699" t="s">
        <v>11461</v>
      </c>
      <c r="F419" s="699"/>
      <c r="G419" s="699"/>
    </row>
    <row r="421" spans="1:8">
      <c r="A421" s="183" t="s">
        <v>11462</v>
      </c>
    </row>
    <row r="422" spans="1:8">
      <c r="C422" s="183">
        <v>36000</v>
      </c>
      <c r="H422" s="183" t="s">
        <v>11463</v>
      </c>
    </row>
    <row r="423" spans="1:8">
      <c r="C423" s="183">
        <v>63796</v>
      </c>
      <c r="H423" s="183" t="s">
        <v>11464</v>
      </c>
    </row>
    <row r="424" spans="1:8">
      <c r="C424" s="183">
        <v>23538</v>
      </c>
      <c r="H424" s="183" t="s">
        <v>11465</v>
      </c>
    </row>
    <row r="425" spans="1:8">
      <c r="C425" s="183">
        <v>5000</v>
      </c>
      <c r="H425" s="183" t="s">
        <v>11466</v>
      </c>
    </row>
    <row r="426" spans="1:8">
      <c r="D426" s="183">
        <v>5000</v>
      </c>
      <c r="H426" s="183" t="s">
        <v>11466</v>
      </c>
    </row>
    <row r="427" spans="1:8">
      <c r="E427" s="699" t="s">
        <v>11467</v>
      </c>
      <c r="F427" s="699"/>
      <c r="G427" s="699"/>
    </row>
    <row r="429" spans="1:8">
      <c r="A429" s="183" t="s">
        <v>11468</v>
      </c>
    </row>
    <row r="430" spans="1:8">
      <c r="E430" s="183">
        <v>350</v>
      </c>
      <c r="H430" s="183" t="s">
        <v>11469</v>
      </c>
    </row>
    <row r="431" spans="1:8">
      <c r="E431" s="699" t="s">
        <v>11470</v>
      </c>
      <c r="F431" s="699"/>
      <c r="G431" s="699"/>
    </row>
    <row r="433" spans="1:8">
      <c r="A433" s="183" t="s">
        <v>11468</v>
      </c>
    </row>
    <row r="434" spans="1:8">
      <c r="C434" s="183">
        <v>18560</v>
      </c>
      <c r="H434" s="183" t="s">
        <v>11471</v>
      </c>
    </row>
    <row r="436" spans="1:8">
      <c r="A436" s="183" t="s">
        <v>11472</v>
      </c>
    </row>
    <row r="437" spans="1:8">
      <c r="E437" s="183">
        <v>18560</v>
      </c>
      <c r="H437" s="183" t="s">
        <v>11473</v>
      </c>
    </row>
    <row r="438" spans="1:8">
      <c r="E438" s="699" t="s">
        <v>11470</v>
      </c>
      <c r="F438" s="699"/>
      <c r="G438" s="699"/>
    </row>
    <row r="440" spans="1:8">
      <c r="A440" s="183" t="s">
        <v>11472</v>
      </c>
    </row>
    <row r="441" spans="1:8">
      <c r="E441" s="183">
        <v>200</v>
      </c>
      <c r="H441" s="183" t="s">
        <v>11474</v>
      </c>
    </row>
    <row r="442" spans="1:8">
      <c r="E442" s="699" t="s">
        <v>11475</v>
      </c>
      <c r="F442" s="699"/>
      <c r="G442" s="699"/>
    </row>
    <row r="444" spans="1:8">
      <c r="A444" s="183" t="s">
        <v>11472</v>
      </c>
    </row>
    <row r="445" spans="1:8">
      <c r="E445" s="183">
        <v>1205</v>
      </c>
      <c r="H445" s="183" t="s">
        <v>11476</v>
      </c>
    </row>
    <row r="446" spans="1:8">
      <c r="E446" s="699" t="s">
        <v>11477</v>
      </c>
      <c r="F446" s="699"/>
      <c r="G446" s="699"/>
    </row>
    <row r="448" spans="1:8">
      <c r="A448" s="183" t="s">
        <v>11478</v>
      </c>
    </row>
    <row r="449" spans="1:8">
      <c r="C449" s="183">
        <v>6000</v>
      </c>
      <c r="H449" s="183" t="s">
        <v>11479</v>
      </c>
    </row>
    <row r="451" spans="1:8">
      <c r="A451" s="183" t="s">
        <v>11478</v>
      </c>
    </row>
    <row r="452" spans="1:8">
      <c r="E452" s="183">
        <v>99</v>
      </c>
      <c r="H452" s="183" t="s">
        <v>11480</v>
      </c>
    </row>
    <row r="453" spans="1:8">
      <c r="E453" s="699" t="s">
        <v>11481</v>
      </c>
      <c r="F453" s="699"/>
      <c r="G453" s="699"/>
    </row>
    <row r="455" spans="1:8">
      <c r="A455" s="183" t="s">
        <v>11478</v>
      </c>
    </row>
    <row r="456" spans="1:8">
      <c r="E456" s="183">
        <v>1583</v>
      </c>
      <c r="H456" s="183" t="s">
        <v>11482</v>
      </c>
    </row>
    <row r="457" spans="1:8">
      <c r="E457" s="699" t="s">
        <v>11483</v>
      </c>
      <c r="F457" s="699"/>
      <c r="G457" s="699"/>
    </row>
    <row r="459" spans="1:8">
      <c r="A459" s="183" t="s">
        <v>11484</v>
      </c>
    </row>
    <row r="460" spans="1:8">
      <c r="E460" s="183">
        <v>399</v>
      </c>
      <c r="H460" s="183" t="s">
        <v>11485</v>
      </c>
    </row>
    <row r="461" spans="1:8">
      <c r="E461" s="183">
        <v>399</v>
      </c>
      <c r="H461" s="183" t="s">
        <v>11486</v>
      </c>
    </row>
    <row r="462" spans="1:8">
      <c r="E462" s="699" t="s">
        <v>11487</v>
      </c>
      <c r="F462" s="699"/>
      <c r="G462" s="699"/>
    </row>
    <row r="464" spans="1:8">
      <c r="A464" s="183" t="s">
        <v>11488</v>
      </c>
    </row>
    <row r="465" spans="1:8">
      <c r="E465" s="183">
        <v>109</v>
      </c>
      <c r="H465" s="183" t="s">
        <v>11263</v>
      </c>
    </row>
    <row r="466" spans="1:8">
      <c r="E466" s="699" t="s">
        <v>11489</v>
      </c>
      <c r="F466" s="699"/>
      <c r="G466" s="699"/>
    </row>
    <row r="468" spans="1:8">
      <c r="A468" s="183" t="s">
        <v>11490</v>
      </c>
    </row>
    <row r="469" spans="1:8">
      <c r="C469" s="183">
        <v>2639</v>
      </c>
      <c r="H469" s="183" t="s">
        <v>11491</v>
      </c>
    </row>
    <row r="471" spans="1:8">
      <c r="A471" s="183" t="s">
        <v>11492</v>
      </c>
    </row>
    <row r="472" spans="1:8">
      <c r="E472" s="183">
        <v>104</v>
      </c>
      <c r="H472" s="183" t="s">
        <v>11493</v>
      </c>
    </row>
    <row r="473" spans="1:8">
      <c r="E473" s="183">
        <v>20</v>
      </c>
      <c r="H473" s="183" t="s">
        <v>11494</v>
      </c>
    </row>
    <row r="474" spans="1:8">
      <c r="E474" s="699" t="s">
        <v>11495</v>
      </c>
      <c r="F474" s="699"/>
      <c r="G474" s="699"/>
    </row>
    <row r="475" spans="1:8">
      <c r="E475" s="699"/>
      <c r="F475" s="699"/>
      <c r="G475" s="699"/>
    </row>
    <row r="476" spans="1:8">
      <c r="A476" s="183" t="s">
        <v>11496</v>
      </c>
      <c r="E476" s="699"/>
      <c r="F476" s="699"/>
      <c r="G476" s="699"/>
    </row>
    <row r="477" spans="1:8">
      <c r="E477" s="701">
        <v>65</v>
      </c>
      <c r="F477" s="701"/>
      <c r="G477" s="701"/>
      <c r="H477" s="183" t="s">
        <v>11497</v>
      </c>
    </row>
    <row r="478" spans="1:8">
      <c r="E478" s="699" t="s">
        <v>11498</v>
      </c>
      <c r="F478" s="699"/>
      <c r="G478" s="699"/>
    </row>
    <row r="479" spans="1:8">
      <c r="E479" s="699"/>
      <c r="F479" s="699"/>
      <c r="G479" s="699"/>
    </row>
    <row r="480" spans="1:8">
      <c r="A480" s="183" t="s">
        <v>11499</v>
      </c>
      <c r="E480" s="699"/>
      <c r="F480" s="699"/>
      <c r="G480" s="699"/>
    </row>
    <row r="481" spans="1:8">
      <c r="E481" s="701">
        <v>83</v>
      </c>
      <c r="F481" s="701"/>
      <c r="G481" s="701"/>
      <c r="H481" s="183" t="s">
        <v>11500</v>
      </c>
    </row>
    <row r="482" spans="1:8">
      <c r="E482" s="699" t="s">
        <v>11501</v>
      </c>
      <c r="F482" s="699"/>
      <c r="G482" s="699"/>
    </row>
    <row r="484" spans="1:8">
      <c r="A484" s="183" t="s">
        <v>11499</v>
      </c>
      <c r="E484" s="699"/>
      <c r="F484" s="699"/>
      <c r="G484" s="699"/>
    </row>
    <row r="485" spans="1:8">
      <c r="E485" s="701">
        <v>175</v>
      </c>
      <c r="F485" s="701"/>
      <c r="G485" s="701"/>
      <c r="H485" s="183" t="s">
        <v>11502</v>
      </c>
    </row>
    <row r="486" spans="1:8">
      <c r="E486" s="701">
        <v>205</v>
      </c>
      <c r="F486" s="701"/>
      <c r="G486" s="701"/>
      <c r="H486" s="183" t="s">
        <v>11503</v>
      </c>
    </row>
    <row r="487" spans="1:8">
      <c r="E487" s="699" t="s">
        <v>11504</v>
      </c>
      <c r="F487" s="699"/>
      <c r="G487" s="699"/>
    </row>
    <row r="489" spans="1:8">
      <c r="A489" s="183" t="s">
        <v>11505</v>
      </c>
      <c r="E489" s="699"/>
      <c r="F489" s="699"/>
      <c r="G489" s="699"/>
    </row>
    <row r="490" spans="1:8">
      <c r="E490" s="701">
        <v>80</v>
      </c>
      <c r="F490" s="701"/>
      <c r="G490" s="701"/>
      <c r="H490" s="183" t="s">
        <v>11506</v>
      </c>
    </row>
    <row r="491" spans="1:8">
      <c r="E491" s="701">
        <v>105</v>
      </c>
      <c r="F491" s="701"/>
      <c r="G491" s="701"/>
      <c r="H491" s="183" t="s">
        <v>11507</v>
      </c>
    </row>
    <row r="492" spans="1:8">
      <c r="E492" s="699" t="s">
        <v>11508</v>
      </c>
      <c r="F492" s="699"/>
      <c r="G492" s="699"/>
    </row>
    <row r="494" spans="1:8">
      <c r="A494" s="183" t="s">
        <v>11509</v>
      </c>
    </row>
    <row r="495" spans="1:8">
      <c r="C495" s="183">
        <v>15000</v>
      </c>
      <c r="H495" s="183" t="s">
        <v>11510</v>
      </c>
    </row>
    <row r="497" spans="1:8">
      <c r="A497" s="183" t="s">
        <v>11511</v>
      </c>
      <c r="E497" s="699"/>
      <c r="F497" s="699"/>
      <c r="G497" s="699"/>
    </row>
    <row r="498" spans="1:8">
      <c r="E498" s="701">
        <v>110</v>
      </c>
      <c r="F498" s="701"/>
      <c r="G498" s="701"/>
      <c r="H498" s="183" t="s">
        <v>11512</v>
      </c>
    </row>
    <row r="499" spans="1:8">
      <c r="E499" s="701">
        <v>120</v>
      </c>
      <c r="F499" s="701"/>
      <c r="G499" s="701"/>
      <c r="H499" s="183" t="s">
        <v>11512</v>
      </c>
    </row>
    <row r="500" spans="1:8">
      <c r="E500" s="699" t="s">
        <v>11513</v>
      </c>
      <c r="F500" s="699"/>
      <c r="G500" s="699"/>
    </row>
    <row r="502" spans="1:8">
      <c r="A502" s="183" t="s">
        <v>11511</v>
      </c>
    </row>
    <row r="503" spans="1:8">
      <c r="D503" s="183">
        <v>5000</v>
      </c>
      <c r="H503" s="183" t="s">
        <v>11514</v>
      </c>
    </row>
    <row r="504" spans="1:8">
      <c r="E504" s="699" t="s">
        <v>11515</v>
      </c>
      <c r="F504" s="699"/>
      <c r="G504" s="699"/>
    </row>
    <row r="506" spans="1:8">
      <c r="A506" s="183" t="s">
        <v>11516</v>
      </c>
    </row>
    <row r="507" spans="1:8">
      <c r="C507" s="183">
        <v>18000</v>
      </c>
      <c r="H507" s="183" t="s">
        <v>11517</v>
      </c>
    </row>
    <row r="508" spans="1:8">
      <c r="C508" s="183">
        <v>63796</v>
      </c>
      <c r="H508" s="183" t="s">
        <v>11518</v>
      </c>
    </row>
    <row r="509" spans="1:8">
      <c r="C509" s="183">
        <v>23538</v>
      </c>
      <c r="H509" s="183" t="s">
        <v>11519</v>
      </c>
    </row>
    <row r="511" spans="1:8">
      <c r="A511" s="183" t="s">
        <v>11520</v>
      </c>
    </row>
    <row r="512" spans="1:8">
      <c r="E512" s="183">
        <v>337</v>
      </c>
      <c r="H512" s="183" t="s">
        <v>11521</v>
      </c>
    </row>
    <row r="513" spans="1:8">
      <c r="E513" s="699" t="s">
        <v>11522</v>
      </c>
      <c r="F513" s="699"/>
      <c r="G513" s="699"/>
    </row>
    <row r="515" spans="1:8">
      <c r="A515" s="183" t="s">
        <v>11523</v>
      </c>
    </row>
    <row r="516" spans="1:8">
      <c r="E516" s="183">
        <v>70</v>
      </c>
      <c r="H516" s="183" t="s">
        <v>11524</v>
      </c>
    </row>
    <row r="517" spans="1:8">
      <c r="E517" s="699" t="s">
        <v>11525</v>
      </c>
      <c r="F517" s="699"/>
      <c r="G517" s="699"/>
    </row>
    <row r="518" spans="1:8">
      <c r="E518" s="699"/>
      <c r="F518" s="699"/>
      <c r="G518" s="699"/>
    </row>
    <row r="519" spans="1:8">
      <c r="A519" s="183" t="s">
        <v>11526</v>
      </c>
    </row>
    <row r="520" spans="1:8">
      <c r="C520" s="183">
        <v>20000</v>
      </c>
      <c r="H520" s="183" t="s">
        <v>11527</v>
      </c>
    </row>
    <row r="522" spans="1:8">
      <c r="A522" s="183" t="s">
        <v>11528</v>
      </c>
    </row>
    <row r="523" spans="1:8">
      <c r="E523" s="183">
        <v>180</v>
      </c>
      <c r="H523" s="183" t="s">
        <v>11529</v>
      </c>
    </row>
    <row r="524" spans="1:8">
      <c r="E524" s="183">
        <v>185</v>
      </c>
      <c r="H524" s="183" t="s">
        <v>11529</v>
      </c>
    </row>
    <row r="525" spans="1:8">
      <c r="E525" s="699" t="s">
        <v>11530</v>
      </c>
      <c r="F525" s="699"/>
      <c r="G525" s="699"/>
    </row>
    <row r="527" spans="1:8">
      <c r="A527" s="183" t="s">
        <v>11531</v>
      </c>
    </row>
    <row r="528" spans="1:8">
      <c r="C528" s="183">
        <v>36000</v>
      </c>
      <c r="H528" s="183" t="s">
        <v>11532</v>
      </c>
    </row>
    <row r="530" spans="1:8">
      <c r="A530" s="183" t="s">
        <v>11533</v>
      </c>
    </row>
    <row r="531" spans="1:8">
      <c r="E531" s="183">
        <v>1205</v>
      </c>
      <c r="H531" s="183" t="s">
        <v>11534</v>
      </c>
    </row>
    <row r="532" spans="1:8">
      <c r="E532" s="699" t="s">
        <v>11535</v>
      </c>
      <c r="F532" s="699"/>
      <c r="G532" s="699"/>
    </row>
    <row r="534" spans="1:8">
      <c r="A534" s="183" t="s">
        <v>11536</v>
      </c>
    </row>
    <row r="535" spans="1:8">
      <c r="E535" s="183">
        <v>35</v>
      </c>
      <c r="H535" s="183" t="s">
        <v>11537</v>
      </c>
    </row>
    <row r="536" spans="1:8">
      <c r="E536" s="699" t="s">
        <v>11538</v>
      </c>
      <c r="F536" s="699"/>
      <c r="G536" s="699"/>
    </row>
    <row r="538" spans="1:8">
      <c r="A538" s="183" t="s">
        <v>11539</v>
      </c>
    </row>
    <row r="539" spans="1:8">
      <c r="D539" s="183">
        <v>10000</v>
      </c>
      <c r="H539" s="183" t="s">
        <v>11540</v>
      </c>
    </row>
    <row r="540" spans="1:8">
      <c r="E540" s="699" t="s">
        <v>11541</v>
      </c>
      <c r="F540" s="699"/>
      <c r="G540" s="699"/>
    </row>
    <row r="543" spans="1:8">
      <c r="A543" s="183" t="s">
        <v>11542</v>
      </c>
    </row>
    <row r="544" spans="1:8">
      <c r="E544" s="183">
        <v>109</v>
      </c>
      <c r="H544" s="183" t="s">
        <v>11543</v>
      </c>
    </row>
    <row r="545" spans="1:8">
      <c r="E545" s="183">
        <v>68</v>
      </c>
      <c r="H545" s="183" t="s">
        <v>11544</v>
      </c>
    </row>
    <row r="546" spans="1:8">
      <c r="E546" s="699" t="s">
        <v>11545</v>
      </c>
      <c r="F546" s="699"/>
      <c r="G546" s="699"/>
    </row>
    <row r="548" spans="1:8">
      <c r="A548" s="183" t="s">
        <v>11546</v>
      </c>
    </row>
    <row r="549" spans="1:8">
      <c r="C549" s="183">
        <v>15000</v>
      </c>
      <c r="H549" s="183" t="s">
        <v>11547</v>
      </c>
    </row>
    <row r="551" spans="1:8">
      <c r="A551" s="183" t="s">
        <v>11546</v>
      </c>
    </row>
    <row r="552" spans="1:8">
      <c r="E552" s="183">
        <v>300</v>
      </c>
      <c r="H552" s="183" t="s">
        <v>11548</v>
      </c>
    </row>
    <row r="553" spans="1:8">
      <c r="E553" s="699" t="s">
        <v>11549</v>
      </c>
      <c r="F553" s="699"/>
      <c r="G553" s="699"/>
      <c r="H553" s="699" t="s">
        <v>11550</v>
      </c>
    </row>
    <row r="554" spans="1:8">
      <c r="E554" s="254"/>
      <c r="F554" s="254"/>
      <c r="G554" s="254"/>
    </row>
    <row r="556" spans="1:8">
      <c r="A556" s="183" t="s">
        <v>11551</v>
      </c>
    </row>
    <row r="557" spans="1:8">
      <c r="C557" s="183">
        <v>90000</v>
      </c>
      <c r="H557" s="183" t="s">
        <v>11552</v>
      </c>
    </row>
    <row r="558" spans="1:8">
      <c r="C558" s="183">
        <v>63740</v>
      </c>
      <c r="H558" s="183" t="s">
        <v>11553</v>
      </c>
    </row>
    <row r="559" spans="1:8">
      <c r="C559" s="183">
        <v>23538</v>
      </c>
      <c r="H559" s="183" t="s">
        <v>11554</v>
      </c>
    </row>
    <row r="561" spans="1:8">
      <c r="A561" s="183" t="s">
        <v>11555</v>
      </c>
    </row>
    <row r="562" spans="1:8">
      <c r="D562" s="183">
        <v>249</v>
      </c>
      <c r="H562" s="183" t="s">
        <v>11556</v>
      </c>
    </row>
    <row r="563" spans="1:8">
      <c r="D563" s="183">
        <v>9726</v>
      </c>
      <c r="H563" s="183" t="s">
        <v>11557</v>
      </c>
    </row>
    <row r="564" spans="1:8">
      <c r="E564" s="699" t="s">
        <v>11558</v>
      </c>
      <c r="F564" s="699"/>
      <c r="G564" s="699"/>
    </row>
    <row r="566" spans="1:8">
      <c r="A566" s="183" t="s">
        <v>11559</v>
      </c>
    </row>
    <row r="567" spans="1:8">
      <c r="E567" s="183">
        <v>179</v>
      </c>
      <c r="H567" s="183" t="s">
        <v>11560</v>
      </c>
    </row>
    <row r="568" spans="1:8">
      <c r="E568" s="699" t="s">
        <v>11561</v>
      </c>
      <c r="F568" s="699"/>
      <c r="G568" s="699"/>
    </row>
    <row r="570" spans="1:8">
      <c r="A570" s="183" t="s">
        <v>11559</v>
      </c>
    </row>
    <row r="571" spans="1:8">
      <c r="C571" s="183">
        <v>35072</v>
      </c>
      <c r="H571" s="183" t="s">
        <v>11562</v>
      </c>
    </row>
    <row r="573" spans="1:8">
      <c r="A573" s="183" t="s">
        <v>11563</v>
      </c>
    </row>
    <row r="574" spans="1:8">
      <c r="E574" s="183">
        <v>37020</v>
      </c>
      <c r="H574" s="183" t="s">
        <v>11564</v>
      </c>
    </row>
    <row r="576" spans="1:8">
      <c r="A576" s="183" t="s">
        <v>11563</v>
      </c>
    </row>
    <row r="577" spans="1:8" s="702" customFormat="1">
      <c r="D577" s="702">
        <v>6000</v>
      </c>
      <c r="H577" s="702" t="s">
        <v>11565</v>
      </c>
    </row>
    <row r="579" spans="1:8">
      <c r="A579" s="183" t="s">
        <v>11563</v>
      </c>
    </row>
    <row r="580" spans="1:8">
      <c r="E580" s="183">
        <v>1205</v>
      </c>
      <c r="H580" s="183" t="s">
        <v>11566</v>
      </c>
    </row>
    <row r="581" spans="1:8">
      <c r="E581" s="699" t="s">
        <v>11567</v>
      </c>
      <c r="F581" s="699"/>
      <c r="G581" s="699"/>
    </row>
    <row r="583" spans="1:8">
      <c r="A583" s="183" t="s">
        <v>11568</v>
      </c>
    </row>
    <row r="584" spans="1:8" s="702" customFormat="1">
      <c r="D584" s="702">
        <v>150000</v>
      </c>
      <c r="H584" s="702" t="s">
        <v>11569</v>
      </c>
    </row>
    <row r="586" spans="1:8">
      <c r="A586" s="183" t="s">
        <v>11570</v>
      </c>
    </row>
    <row r="587" spans="1:8">
      <c r="E587" s="183">
        <v>18</v>
      </c>
      <c r="H587" s="183" t="s">
        <v>11571</v>
      </c>
    </row>
    <row r="588" spans="1:8">
      <c r="E588" s="699" t="s">
        <v>11572</v>
      </c>
      <c r="F588" s="699"/>
      <c r="G588" s="699"/>
    </row>
    <row r="590" spans="1:8">
      <c r="A590" s="183" t="s">
        <v>11573</v>
      </c>
    </row>
    <row r="591" spans="1:8">
      <c r="E591" s="183">
        <v>399</v>
      </c>
      <c r="H591" s="183" t="s">
        <v>11574</v>
      </c>
    </row>
    <row r="592" spans="1:8">
      <c r="E592" s="183">
        <v>399</v>
      </c>
      <c r="H592" s="183" t="s">
        <v>11575</v>
      </c>
    </row>
    <row r="593" spans="1:8">
      <c r="E593" s="699" t="s">
        <v>11576</v>
      </c>
      <c r="F593" s="699"/>
      <c r="G593" s="699"/>
    </row>
    <row r="595" spans="1:8">
      <c r="A595" s="183" t="s">
        <v>11577</v>
      </c>
    </row>
    <row r="596" spans="1:8" s="702" customFormat="1">
      <c r="D596" s="702">
        <v>162016</v>
      </c>
      <c r="H596" s="702" t="s">
        <v>11578</v>
      </c>
    </row>
    <row r="598" spans="1:8">
      <c r="A598" s="183" t="s">
        <v>11579</v>
      </c>
    </row>
    <row r="599" spans="1:8">
      <c r="E599" s="183">
        <v>85</v>
      </c>
      <c r="H599" s="183" t="s">
        <v>11580</v>
      </c>
    </row>
    <row r="600" spans="1:8">
      <c r="E600" s="699" t="s">
        <v>11581</v>
      </c>
      <c r="F600" s="699"/>
      <c r="G600" s="699"/>
    </row>
    <row r="602" spans="1:8">
      <c r="A602" s="183" t="s">
        <v>11582</v>
      </c>
    </row>
    <row r="603" spans="1:8">
      <c r="B603" s="183">
        <v>6000</v>
      </c>
      <c r="H603" s="183" t="s">
        <v>11583</v>
      </c>
    </row>
    <row r="604" spans="1:8">
      <c r="B604" s="183">
        <v>150000</v>
      </c>
      <c r="H604" s="183" t="s">
        <v>11583</v>
      </c>
    </row>
    <row r="605" spans="1:8" ht="33">
      <c r="B605" s="694" t="s">
        <v>11584</v>
      </c>
      <c r="H605" s="183" t="s">
        <v>11585</v>
      </c>
    </row>
    <row r="607" spans="1:8">
      <c r="A607" s="183" t="s">
        <v>11586</v>
      </c>
    </row>
    <row r="608" spans="1:8">
      <c r="C608" s="183">
        <v>15000</v>
      </c>
      <c r="H608" s="183" t="s">
        <v>11587</v>
      </c>
    </row>
    <row r="610" spans="1:8">
      <c r="A610" s="183" t="s">
        <v>11588</v>
      </c>
    </row>
    <row r="611" spans="1:8">
      <c r="C611" s="183">
        <v>63740</v>
      </c>
      <c r="H611" s="183" t="s">
        <v>5592</v>
      </c>
    </row>
    <row r="612" spans="1:8">
      <c r="C612" s="183">
        <v>19580</v>
      </c>
      <c r="H612" s="183" t="s">
        <v>11589</v>
      </c>
    </row>
    <row r="614" spans="1:8">
      <c r="A614" s="183" t="s">
        <v>11590</v>
      </c>
    </row>
    <row r="615" spans="1:8">
      <c r="E615" s="183">
        <v>110</v>
      </c>
      <c r="H615" s="183" t="s">
        <v>11591</v>
      </c>
    </row>
    <row r="616" spans="1:8">
      <c r="E616" s="183">
        <v>120</v>
      </c>
      <c r="H616" s="183" t="s">
        <v>11592</v>
      </c>
    </row>
    <row r="617" spans="1:8">
      <c r="E617" s="699" t="s">
        <v>11593</v>
      </c>
      <c r="F617" s="699"/>
      <c r="G617" s="699"/>
    </row>
    <row r="619" spans="1:8">
      <c r="A619" s="183" t="s">
        <v>11594</v>
      </c>
    </row>
    <row r="620" spans="1:8">
      <c r="D620" s="183">
        <v>1559</v>
      </c>
      <c r="H620" s="183" t="s">
        <v>11595</v>
      </c>
    </row>
    <row r="621" spans="1:8">
      <c r="E621" s="699" t="s">
        <v>11596</v>
      </c>
      <c r="F621" s="699"/>
      <c r="G621" s="699"/>
    </row>
    <row r="623" spans="1:8">
      <c r="A623" s="183" t="s">
        <v>11597</v>
      </c>
    </row>
    <row r="624" spans="1:8">
      <c r="E624" s="183">
        <v>1205</v>
      </c>
      <c r="H624" s="183" t="s">
        <v>11598</v>
      </c>
    </row>
    <row r="625" spans="1:8">
      <c r="E625" s="699" t="s">
        <v>11599</v>
      </c>
      <c r="F625" s="699"/>
      <c r="G625" s="699"/>
    </row>
    <row r="627" spans="1:8">
      <c r="A627" s="183" t="s">
        <v>11597</v>
      </c>
    </row>
    <row r="628" spans="1:8">
      <c r="E628" s="183">
        <v>90</v>
      </c>
      <c r="H628" s="183" t="s">
        <v>11600</v>
      </c>
    </row>
    <row r="629" spans="1:8">
      <c r="E629" s="699" t="s">
        <v>11601</v>
      </c>
      <c r="F629" s="699"/>
      <c r="G629" s="699"/>
    </row>
    <row r="631" spans="1:8">
      <c r="A631" s="183" t="s">
        <v>11602</v>
      </c>
    </row>
    <row r="632" spans="1:8">
      <c r="C632" s="183">
        <v>11999</v>
      </c>
      <c r="H632" s="183" t="s">
        <v>11603</v>
      </c>
    </row>
    <row r="634" spans="1:8">
      <c r="A634" s="183" t="s">
        <v>11604</v>
      </c>
    </row>
    <row r="635" spans="1:8">
      <c r="C635" s="183">
        <v>300000</v>
      </c>
      <c r="H635" s="183" t="s">
        <v>11605</v>
      </c>
    </row>
    <row r="636" spans="1:8">
      <c r="C636" s="703" t="s">
        <v>11606</v>
      </c>
      <c r="E636" s="183">
        <v>30</v>
      </c>
      <c r="H636" s="183" t="s">
        <v>5593</v>
      </c>
    </row>
    <row r="637" spans="1:8">
      <c r="E637" s="699" t="s">
        <v>11607</v>
      </c>
      <c r="F637" s="699"/>
      <c r="G637" s="699"/>
    </row>
    <row r="639" spans="1:8">
      <c r="A639" s="183" t="s">
        <v>11608</v>
      </c>
    </row>
    <row r="640" spans="1:8">
      <c r="E640" s="183">
        <v>100</v>
      </c>
      <c r="H640" s="183" t="s">
        <v>11609</v>
      </c>
    </row>
    <row r="641" spans="1:8">
      <c r="E641" s="183">
        <v>110</v>
      </c>
      <c r="H641" s="183" t="s">
        <v>11609</v>
      </c>
    </row>
    <row r="642" spans="1:8">
      <c r="E642" s="699" t="s">
        <v>11610</v>
      </c>
      <c r="F642" s="699"/>
      <c r="G642" s="699"/>
    </row>
    <row r="644" spans="1:8">
      <c r="A644" s="183" t="s">
        <v>11611</v>
      </c>
    </row>
    <row r="645" spans="1:8">
      <c r="E645" s="183">
        <v>370</v>
      </c>
      <c r="H645" s="183" t="s">
        <v>5594</v>
      </c>
    </row>
    <row r="646" spans="1:8">
      <c r="E646" s="183">
        <v>370</v>
      </c>
      <c r="H646" s="183" t="s">
        <v>11612</v>
      </c>
    </row>
    <row r="647" spans="1:8">
      <c r="E647" s="699" t="s">
        <v>11613</v>
      </c>
      <c r="F647" s="699"/>
      <c r="G647" s="699"/>
    </row>
    <row r="649" spans="1:8">
      <c r="A649" s="183" t="s">
        <v>5595</v>
      </c>
    </row>
    <row r="650" spans="1:8">
      <c r="E650" s="183">
        <v>200</v>
      </c>
      <c r="H650" s="183" t="s">
        <v>11614</v>
      </c>
    </row>
    <row r="651" spans="1:8">
      <c r="E651" s="183">
        <v>190</v>
      </c>
      <c r="H651" s="183" t="s">
        <v>11614</v>
      </c>
    </row>
    <row r="652" spans="1:8">
      <c r="E652" s="699" t="s">
        <v>11615</v>
      </c>
      <c r="F652" s="699"/>
      <c r="G652" s="699"/>
    </row>
    <row r="654" spans="1:8">
      <c r="A654" s="183" t="s">
        <v>11616</v>
      </c>
    </row>
    <row r="655" spans="1:8">
      <c r="E655" s="183">
        <v>120</v>
      </c>
      <c r="H655" s="183" t="s">
        <v>11617</v>
      </c>
    </row>
    <row r="656" spans="1:8">
      <c r="E656" s="699" t="s">
        <v>11618</v>
      </c>
      <c r="F656" s="699"/>
      <c r="G656" s="699"/>
    </row>
    <row r="658" spans="1:8">
      <c r="A658" s="183" t="s">
        <v>11619</v>
      </c>
    </row>
    <row r="659" spans="1:8">
      <c r="E659" s="183">
        <v>42</v>
      </c>
      <c r="H659" s="183" t="s">
        <v>11620</v>
      </c>
    </row>
    <row r="660" spans="1:8">
      <c r="E660" s="183">
        <v>500</v>
      </c>
      <c r="H660" s="183" t="s">
        <v>11621</v>
      </c>
    </row>
    <row r="661" spans="1:8">
      <c r="E661" s="699" t="s">
        <v>11622</v>
      </c>
      <c r="F661" s="699"/>
      <c r="G661" s="699"/>
    </row>
    <row r="662" spans="1:8">
      <c r="E662" s="699"/>
      <c r="F662" s="699"/>
      <c r="G662" s="699"/>
    </row>
    <row r="663" spans="1:8">
      <c r="A663" s="183" t="s">
        <v>11623</v>
      </c>
    </row>
    <row r="664" spans="1:8">
      <c r="E664" s="183">
        <v>42</v>
      </c>
      <c r="H664" s="183" t="s">
        <v>11624</v>
      </c>
    </row>
    <row r="665" spans="1:8">
      <c r="E665" s="699" t="s">
        <v>11625</v>
      </c>
      <c r="F665" s="699"/>
      <c r="G665" s="699"/>
    </row>
    <row r="667" spans="1:8">
      <c r="A667" s="183" t="s">
        <v>11626</v>
      </c>
    </row>
    <row r="668" spans="1:8">
      <c r="C668" s="183">
        <v>15000</v>
      </c>
      <c r="H668" s="183" t="s">
        <v>11627</v>
      </c>
    </row>
    <row r="670" spans="1:8">
      <c r="A670" s="183" t="s">
        <v>11628</v>
      </c>
    </row>
    <row r="671" spans="1:8">
      <c r="C671" s="183">
        <v>2832</v>
      </c>
      <c r="H671" s="183" t="s">
        <v>5596</v>
      </c>
    </row>
    <row r="672" spans="1:8">
      <c r="E672" s="183">
        <v>30</v>
      </c>
      <c r="H672" s="183" t="s">
        <v>11629</v>
      </c>
    </row>
    <row r="673" spans="1:8">
      <c r="E673" s="699" t="s">
        <v>11630</v>
      </c>
      <c r="F673" s="699"/>
      <c r="G673" s="699"/>
    </row>
    <row r="675" spans="1:8">
      <c r="A675" s="183" t="s">
        <v>11631</v>
      </c>
    </row>
    <row r="676" spans="1:8">
      <c r="C676" s="183">
        <v>63740</v>
      </c>
      <c r="H676" s="183" t="s">
        <v>11632</v>
      </c>
    </row>
    <row r="677" spans="1:8">
      <c r="C677" s="183">
        <v>23038</v>
      </c>
      <c r="H677" s="183" t="s">
        <v>11633</v>
      </c>
    </row>
    <row r="678" spans="1:8">
      <c r="C678" s="183">
        <v>70000</v>
      </c>
      <c r="H678" s="183" t="s">
        <v>11634</v>
      </c>
    </row>
    <row r="680" spans="1:8">
      <c r="A680" s="183" t="s">
        <v>11631</v>
      </c>
    </row>
    <row r="681" spans="1:8">
      <c r="E681" s="183">
        <v>10000</v>
      </c>
      <c r="H681" s="183" t="s">
        <v>5597</v>
      </c>
    </row>
    <row r="682" spans="1:8">
      <c r="E682" s="183">
        <v>35</v>
      </c>
      <c r="H682" s="183" t="s">
        <v>5598</v>
      </c>
    </row>
    <row r="683" spans="1:8">
      <c r="E683" s="183">
        <v>175</v>
      </c>
      <c r="H683" s="183" t="s">
        <v>11635</v>
      </c>
    </row>
    <row r="684" spans="1:8">
      <c r="E684" s="699" t="s">
        <v>11636</v>
      </c>
      <c r="F684" s="699"/>
      <c r="G684" s="699"/>
    </row>
    <row r="685" spans="1:8">
      <c r="H685" s="703" t="s">
        <v>11637</v>
      </c>
    </row>
    <row r="686" spans="1:8">
      <c r="E686" s="254"/>
      <c r="F686" s="254"/>
      <c r="G686" s="254"/>
      <c r="H686" s="703"/>
    </row>
    <row r="687" spans="1:8">
      <c r="E687" s="199"/>
      <c r="F687" s="199"/>
      <c r="G687" s="199"/>
      <c r="H687" s="703"/>
    </row>
    <row r="688" spans="1:8">
      <c r="A688" s="183" t="s">
        <v>11631</v>
      </c>
    </row>
    <row r="689" spans="1:8">
      <c r="H689" s="183" t="s">
        <v>11638</v>
      </c>
    </row>
    <row r="691" spans="1:8">
      <c r="A691" s="183" t="s">
        <v>11639</v>
      </c>
    </row>
    <row r="692" spans="1:8">
      <c r="E692" s="183">
        <v>45</v>
      </c>
      <c r="H692" s="183" t="s">
        <v>11640</v>
      </c>
    </row>
    <row r="693" spans="1:8">
      <c r="E693" s="699" t="s">
        <v>11641</v>
      </c>
      <c r="F693" s="699"/>
      <c r="G693" s="699"/>
    </row>
    <row r="695" spans="1:8">
      <c r="A695" s="183" t="s">
        <v>11642</v>
      </c>
    </row>
    <row r="696" spans="1:8">
      <c r="E696" s="183">
        <v>1205</v>
      </c>
      <c r="H696" s="183" t="s">
        <v>11643</v>
      </c>
    </row>
    <row r="697" spans="1:8">
      <c r="E697" s="183">
        <v>399</v>
      </c>
      <c r="H697" s="183" t="s">
        <v>11186</v>
      </c>
    </row>
    <row r="698" spans="1:8">
      <c r="E698" s="183">
        <v>399</v>
      </c>
      <c r="H698" s="183" t="s">
        <v>11644</v>
      </c>
    </row>
    <row r="699" spans="1:8">
      <c r="E699" s="183">
        <v>132</v>
      </c>
      <c r="H699" s="183" t="s">
        <v>11263</v>
      </c>
    </row>
    <row r="700" spans="1:8">
      <c r="E700" s="183">
        <v>45</v>
      </c>
      <c r="H700" s="183" t="s">
        <v>11645</v>
      </c>
    </row>
    <row r="701" spans="1:8">
      <c r="E701" s="699" t="s">
        <v>11646</v>
      </c>
      <c r="F701" s="699"/>
      <c r="G701" s="699"/>
    </row>
    <row r="703" spans="1:8">
      <c r="A703" s="183" t="s">
        <v>11647</v>
      </c>
    </row>
    <row r="704" spans="1:8">
      <c r="C704" s="183">
        <v>17420</v>
      </c>
      <c r="H704" s="183" t="s">
        <v>11648</v>
      </c>
    </row>
    <row r="705" spans="1:8">
      <c r="C705" s="183">
        <v>10519</v>
      </c>
      <c r="H705" s="183" t="s">
        <v>11649</v>
      </c>
    </row>
    <row r="707" spans="1:8">
      <c r="A707" s="183" t="s">
        <v>11650</v>
      </c>
    </row>
    <row r="708" spans="1:8">
      <c r="E708" s="183">
        <v>500</v>
      </c>
      <c r="H708" s="183" t="s">
        <v>11651</v>
      </c>
    </row>
    <row r="709" spans="1:8">
      <c r="E709" s="699" t="s">
        <v>11652</v>
      </c>
      <c r="F709" s="699"/>
      <c r="G709" s="699"/>
    </row>
    <row r="711" spans="1:8">
      <c r="A711" s="183" t="s">
        <v>11653</v>
      </c>
    </row>
    <row r="712" spans="1:8">
      <c r="E712" s="183">
        <v>42</v>
      </c>
      <c r="H712" s="183" t="s">
        <v>11654</v>
      </c>
    </row>
    <row r="713" spans="1:8">
      <c r="E713" s="699" t="s">
        <v>11655</v>
      </c>
      <c r="F713" s="699"/>
      <c r="G713" s="699"/>
    </row>
    <row r="715" spans="1:8">
      <c r="A715" s="183" t="s">
        <v>11656</v>
      </c>
    </row>
    <row r="716" spans="1:8">
      <c r="C716" s="183">
        <v>15000</v>
      </c>
      <c r="H716" s="183" t="s">
        <v>5599</v>
      </c>
    </row>
    <row r="718" spans="1:8">
      <c r="A718" s="183" t="s">
        <v>11657</v>
      </c>
    </row>
    <row r="719" spans="1:8">
      <c r="E719" s="183">
        <v>300</v>
      </c>
      <c r="H719" s="183" t="s">
        <v>11658</v>
      </c>
    </row>
    <row r="720" spans="1:8">
      <c r="E720" s="183">
        <v>135</v>
      </c>
      <c r="H720" s="183" t="s">
        <v>11659</v>
      </c>
    </row>
    <row r="721" spans="1:8">
      <c r="E721" s="183">
        <v>260</v>
      </c>
      <c r="H721" s="183" t="s">
        <v>11660</v>
      </c>
    </row>
    <row r="722" spans="1:8">
      <c r="E722" s="699" t="s">
        <v>11661</v>
      </c>
      <c r="F722" s="699"/>
      <c r="G722" s="699"/>
    </row>
    <row r="724" spans="1:8">
      <c r="A724" s="183" t="s">
        <v>5600</v>
      </c>
    </row>
    <row r="725" spans="1:8">
      <c r="E725" s="183">
        <v>35</v>
      </c>
      <c r="H725" s="183" t="s">
        <v>11662</v>
      </c>
    </row>
    <row r="726" spans="1:8">
      <c r="E726" s="183">
        <v>70</v>
      </c>
      <c r="H726" s="183" t="s">
        <v>11343</v>
      </c>
    </row>
    <row r="727" spans="1:8">
      <c r="E727" s="699" t="s">
        <v>11663</v>
      </c>
      <c r="F727" s="699"/>
      <c r="G727" s="699"/>
    </row>
    <row r="729" spans="1:8">
      <c r="A729" s="183" t="s">
        <v>11664</v>
      </c>
    </row>
    <row r="730" spans="1:8">
      <c r="C730" s="183">
        <v>44000</v>
      </c>
      <c r="H730" s="183" t="s">
        <v>11665</v>
      </c>
    </row>
    <row r="731" spans="1:8">
      <c r="C731" s="183">
        <v>23038</v>
      </c>
      <c r="H731" s="183" t="s">
        <v>11666</v>
      </c>
    </row>
    <row r="733" spans="1:8">
      <c r="A733" s="183" t="s">
        <v>5601</v>
      </c>
    </row>
    <row r="734" spans="1:8">
      <c r="C734" s="183">
        <v>63740</v>
      </c>
      <c r="H734" s="183" t="s">
        <v>11667</v>
      </c>
    </row>
    <row r="736" spans="1:8">
      <c r="A736" s="183" t="s">
        <v>11668</v>
      </c>
    </row>
    <row r="737" spans="1:8">
      <c r="C737" s="183">
        <v>10642</v>
      </c>
      <c r="H737" s="183" t="s">
        <v>11669</v>
      </c>
    </row>
    <row r="739" spans="1:8">
      <c r="A739" s="183" t="s">
        <v>5602</v>
      </c>
    </row>
    <row r="740" spans="1:8">
      <c r="E740" s="183">
        <v>1205</v>
      </c>
      <c r="H740" s="183" t="s">
        <v>11241</v>
      </c>
    </row>
    <row r="741" spans="1:8">
      <c r="E741" s="699" t="s">
        <v>11670</v>
      </c>
      <c r="F741" s="699"/>
      <c r="G741" s="699"/>
    </row>
    <row r="743" spans="1:8">
      <c r="A743" s="183" t="s">
        <v>11671</v>
      </c>
    </row>
    <row r="744" spans="1:8">
      <c r="C744" s="183">
        <v>15000</v>
      </c>
      <c r="H744" s="183" t="s">
        <v>11672</v>
      </c>
    </row>
    <row r="746" spans="1:8">
      <c r="A746" s="183" t="s">
        <v>11673</v>
      </c>
    </row>
    <row r="747" spans="1:8">
      <c r="E747" s="183">
        <v>18</v>
      </c>
      <c r="H747" s="183" t="s">
        <v>11674</v>
      </c>
    </row>
    <row r="748" spans="1:8">
      <c r="E748" s="699" t="s">
        <v>11675</v>
      </c>
      <c r="F748" s="699"/>
      <c r="G748" s="699"/>
    </row>
    <row r="750" spans="1:8">
      <c r="A750" s="183" t="s">
        <v>11676</v>
      </c>
    </row>
    <row r="751" spans="1:8">
      <c r="C751" s="183">
        <v>19299</v>
      </c>
      <c r="H751" s="183" t="s">
        <v>11677</v>
      </c>
    </row>
    <row r="752" spans="1:8">
      <c r="C752" s="183" t="s">
        <v>11678</v>
      </c>
    </row>
    <row r="753" spans="1:8">
      <c r="A753" s="183" t="s">
        <v>11679</v>
      </c>
    </row>
    <row r="754" spans="1:8">
      <c r="E754" s="183">
        <v>157</v>
      </c>
      <c r="H754" s="183" t="s">
        <v>11680</v>
      </c>
    </row>
    <row r="755" spans="1:8">
      <c r="E755" s="699" t="s">
        <v>11681</v>
      </c>
      <c r="F755" s="699"/>
      <c r="G755" s="699"/>
    </row>
    <row r="757" spans="1:8">
      <c r="A757" s="183" t="s">
        <v>11682</v>
      </c>
    </row>
    <row r="758" spans="1:8">
      <c r="C758" s="183">
        <v>11750</v>
      </c>
      <c r="H758" s="183" t="s">
        <v>11683</v>
      </c>
    </row>
    <row r="759" spans="1:8">
      <c r="C759" s="183">
        <v>23038</v>
      </c>
      <c r="H759" s="183" t="s">
        <v>11684</v>
      </c>
    </row>
    <row r="760" spans="1:8">
      <c r="C760" s="183">
        <v>63740</v>
      </c>
      <c r="H760" s="183" t="s">
        <v>11685</v>
      </c>
    </row>
    <row r="762" spans="1:8">
      <c r="A762" s="183" t="s">
        <v>11686</v>
      </c>
    </row>
    <row r="763" spans="1:8">
      <c r="E763" s="183">
        <v>240</v>
      </c>
      <c r="H763" s="183" t="s">
        <v>11687</v>
      </c>
    </row>
    <row r="764" spans="1:8">
      <c r="E764" s="183">
        <v>245</v>
      </c>
      <c r="H764" s="183" t="s">
        <v>11687</v>
      </c>
    </row>
    <row r="765" spans="1:8">
      <c r="E765" s="699" t="s">
        <v>11688</v>
      </c>
      <c r="F765" s="699"/>
      <c r="G765" s="699"/>
    </row>
    <row r="767" spans="1:8">
      <c r="A767" s="183" t="s">
        <v>11689</v>
      </c>
    </row>
    <row r="768" spans="1:8">
      <c r="C768" s="183">
        <v>2587</v>
      </c>
      <c r="H768" s="183" t="s">
        <v>11690</v>
      </c>
    </row>
    <row r="770" spans="1:8">
      <c r="A770" s="183" t="s">
        <v>11691</v>
      </c>
    </row>
    <row r="771" spans="1:8">
      <c r="E771" s="183">
        <v>130</v>
      </c>
      <c r="H771" s="183" t="s">
        <v>11692</v>
      </c>
    </row>
    <row r="772" spans="1:8">
      <c r="E772" s="183">
        <v>115</v>
      </c>
      <c r="H772" s="183" t="s">
        <v>11693</v>
      </c>
    </row>
    <row r="773" spans="1:8">
      <c r="E773" s="699" t="s">
        <v>11694</v>
      </c>
      <c r="F773" s="699"/>
      <c r="G773" s="699"/>
    </row>
    <row r="775" spans="1:8">
      <c r="A775" s="183" t="s">
        <v>11695</v>
      </c>
    </row>
    <row r="776" spans="1:8">
      <c r="E776" s="183">
        <v>325</v>
      </c>
      <c r="H776" s="183" t="s">
        <v>11696</v>
      </c>
    </row>
    <row r="777" spans="1:8">
      <c r="E777" s="183">
        <v>335</v>
      </c>
      <c r="H777" s="183" t="s">
        <v>11697</v>
      </c>
    </row>
    <row r="778" spans="1:8">
      <c r="E778" s="699" t="s">
        <v>11698</v>
      </c>
      <c r="F778" s="699"/>
      <c r="G778" s="699"/>
    </row>
    <row r="780" spans="1:8">
      <c r="A780" s="183" t="s">
        <v>11699</v>
      </c>
    </row>
    <row r="781" spans="1:8">
      <c r="C781" s="183">
        <v>5000</v>
      </c>
      <c r="H781" s="183" t="s">
        <v>11700</v>
      </c>
    </row>
    <row r="782" spans="1:8">
      <c r="D782" s="183">
        <v>5000</v>
      </c>
      <c r="H782" s="183" t="s">
        <v>11466</v>
      </c>
    </row>
    <row r="783" spans="1:8">
      <c r="E783" s="183">
        <v>126</v>
      </c>
      <c r="H783" s="183" t="s">
        <v>11268</v>
      </c>
    </row>
    <row r="784" spans="1:8">
      <c r="E784" s="183">
        <v>363</v>
      </c>
      <c r="H784" s="183" t="s">
        <v>11701</v>
      </c>
    </row>
    <row r="785" spans="1:8">
      <c r="E785" s="183">
        <v>798</v>
      </c>
      <c r="H785" s="183" t="s">
        <v>11702</v>
      </c>
    </row>
    <row r="786" spans="1:8">
      <c r="E786" s="699" t="s">
        <v>11703</v>
      </c>
      <c r="F786" s="699"/>
      <c r="G786" s="699"/>
    </row>
    <row r="788" spans="1:8">
      <c r="A788" s="183" t="s">
        <v>11704</v>
      </c>
    </row>
    <row r="789" spans="1:8">
      <c r="E789" s="183">
        <v>1205</v>
      </c>
      <c r="H789" s="183" t="s">
        <v>11705</v>
      </c>
    </row>
    <row r="790" spans="1:8">
      <c r="E790" s="699" t="s">
        <v>11706</v>
      </c>
      <c r="F790" s="699"/>
      <c r="G790" s="699"/>
    </row>
    <row r="792" spans="1:8">
      <c r="A792" s="183" t="s">
        <v>11704</v>
      </c>
    </row>
    <row r="793" spans="1:8">
      <c r="C793" s="183">
        <v>6000</v>
      </c>
      <c r="H793" s="183" t="s">
        <v>11707</v>
      </c>
    </row>
    <row r="795" spans="1:8">
      <c r="A795" s="183" t="s">
        <v>11708</v>
      </c>
    </row>
    <row r="796" spans="1:8">
      <c r="C796" s="183">
        <v>15000</v>
      </c>
      <c r="H796" s="183" t="s">
        <v>11709</v>
      </c>
    </row>
    <row r="798" spans="1:8">
      <c r="A798" s="183" t="s">
        <v>11710</v>
      </c>
    </row>
    <row r="799" spans="1:8">
      <c r="E799" s="183">
        <v>215</v>
      </c>
      <c r="H799" s="183" t="s">
        <v>11711</v>
      </c>
    </row>
    <row r="800" spans="1:8">
      <c r="E800" s="183">
        <v>230</v>
      </c>
      <c r="H800" s="183" t="s">
        <v>11711</v>
      </c>
    </row>
    <row r="801" spans="1:8">
      <c r="E801" s="699" t="s">
        <v>11712</v>
      </c>
      <c r="F801" s="699"/>
      <c r="G801" s="699"/>
    </row>
    <row r="803" spans="1:8">
      <c r="A803" s="183" t="s">
        <v>11713</v>
      </c>
    </row>
    <row r="804" spans="1:8">
      <c r="E804" s="183">
        <v>45</v>
      </c>
      <c r="H804" s="183" t="s">
        <v>11714</v>
      </c>
    </row>
    <row r="805" spans="1:8">
      <c r="E805" s="699" t="s">
        <v>11715</v>
      </c>
      <c r="F805" s="699"/>
      <c r="G805" s="699"/>
    </row>
    <row r="807" spans="1:8">
      <c r="A807" s="183" t="s">
        <v>11716</v>
      </c>
    </row>
    <row r="808" spans="1:8" ht="33">
      <c r="C808" s="183">
        <v>45000</v>
      </c>
      <c r="H808" s="694" t="s">
        <v>11717</v>
      </c>
    </row>
    <row r="810" spans="1:8">
      <c r="A810" s="183" t="s">
        <v>11718</v>
      </c>
    </row>
    <row r="811" spans="1:8">
      <c r="C811" s="183">
        <v>52000</v>
      </c>
      <c r="H811" s="183" t="s">
        <v>11719</v>
      </c>
    </row>
    <row r="812" spans="1:8">
      <c r="C812" s="183">
        <v>23004</v>
      </c>
      <c r="H812" s="183" t="s">
        <v>11720</v>
      </c>
    </row>
    <row r="813" spans="1:8">
      <c r="C813" s="183">
        <v>63725</v>
      </c>
      <c r="H813" s="183" t="s">
        <v>11721</v>
      </c>
    </row>
    <row r="815" spans="1:8">
      <c r="A815" s="183" t="s">
        <v>11722</v>
      </c>
    </row>
    <row r="816" spans="1:8">
      <c r="E816" s="183">
        <v>315</v>
      </c>
      <c r="H816" s="183" t="s">
        <v>11723</v>
      </c>
    </row>
    <row r="817" spans="1:8">
      <c r="E817" s="183">
        <v>410</v>
      </c>
      <c r="H817" s="183" t="s">
        <v>11724</v>
      </c>
    </row>
    <row r="818" spans="1:8">
      <c r="E818" s="699" t="s">
        <v>11725</v>
      </c>
      <c r="F818" s="699"/>
      <c r="G818" s="699"/>
      <c r="H818" s="183" t="s">
        <v>11726</v>
      </c>
    </row>
    <row r="819" spans="1:8">
      <c r="E819" s="699"/>
      <c r="F819" s="699"/>
      <c r="G819" s="699"/>
    </row>
    <row r="820" spans="1:8">
      <c r="A820" s="183" t="s">
        <v>11727</v>
      </c>
    </row>
    <row r="821" spans="1:8">
      <c r="C821" s="183">
        <v>34281</v>
      </c>
      <c r="H821" s="183" t="s">
        <v>11728</v>
      </c>
    </row>
    <row r="823" spans="1:8">
      <c r="A823" s="183" t="s">
        <v>11729</v>
      </c>
    </row>
    <row r="824" spans="1:8">
      <c r="C824" s="183">
        <v>45000</v>
      </c>
      <c r="H824" s="183" t="s">
        <v>11730</v>
      </c>
    </row>
    <row r="825" spans="1:8">
      <c r="E825" s="183">
        <v>30</v>
      </c>
      <c r="H825" s="183" t="s">
        <v>11731</v>
      </c>
    </row>
    <row r="826" spans="1:8">
      <c r="E826" s="699" t="s">
        <v>11732</v>
      </c>
      <c r="F826" s="699"/>
      <c r="G826" s="699"/>
    </row>
    <row r="828" spans="1:8">
      <c r="A828" s="183" t="s">
        <v>11733</v>
      </c>
      <c r="E828" s="183">
        <v>124</v>
      </c>
      <c r="H828" s="183" t="s">
        <v>11734</v>
      </c>
    </row>
    <row r="829" spans="1:8">
      <c r="E829" s="699" t="s">
        <v>11735</v>
      </c>
      <c r="F829" s="699"/>
      <c r="G829" s="699"/>
    </row>
    <row r="832" spans="1:8">
      <c r="A832" s="183" t="s">
        <v>11736</v>
      </c>
      <c r="E832" s="183">
        <v>70</v>
      </c>
      <c r="H832" s="183" t="s">
        <v>11737</v>
      </c>
    </row>
    <row r="833" spans="1:8">
      <c r="E833" s="699" t="s">
        <v>11738</v>
      </c>
      <c r="F833" s="699"/>
      <c r="G833" s="699"/>
    </row>
    <row r="835" spans="1:8">
      <c r="A835" s="183" t="s">
        <v>11739</v>
      </c>
    </row>
    <row r="836" spans="1:8">
      <c r="E836" s="183">
        <v>70</v>
      </c>
      <c r="H836" s="183" t="s">
        <v>11740</v>
      </c>
    </row>
    <row r="837" spans="1:8">
      <c r="E837" s="699" t="s">
        <v>11741</v>
      </c>
      <c r="F837" s="699"/>
      <c r="G837" s="699"/>
    </row>
    <row r="839" spans="1:8">
      <c r="A839" s="183" t="s">
        <v>11742</v>
      </c>
    </row>
    <row r="840" spans="1:8">
      <c r="E840" s="183">
        <v>95</v>
      </c>
      <c r="H840" s="183" t="s">
        <v>11743</v>
      </c>
    </row>
    <row r="841" spans="1:8">
      <c r="E841" s="699" t="s">
        <v>11744</v>
      </c>
      <c r="F841" s="699"/>
      <c r="G841" s="699"/>
    </row>
    <row r="843" spans="1:8">
      <c r="A843" s="183" t="s">
        <v>11745</v>
      </c>
    </row>
    <row r="844" spans="1:8">
      <c r="E844" s="183">
        <v>32</v>
      </c>
      <c r="H844" s="183" t="s">
        <v>11746</v>
      </c>
    </row>
    <row r="845" spans="1:8">
      <c r="E845" s="699" t="s">
        <v>11747</v>
      </c>
      <c r="F845" s="699"/>
      <c r="G845" s="699"/>
    </row>
    <row r="846" spans="1:8">
      <c r="E846" s="699"/>
      <c r="F846" s="699"/>
      <c r="G846" s="699"/>
    </row>
    <row r="847" spans="1:8">
      <c r="A847" s="183" t="s">
        <v>11748</v>
      </c>
    </row>
    <row r="848" spans="1:8">
      <c r="E848" s="183">
        <v>1205</v>
      </c>
      <c r="H848" s="183" t="s">
        <v>11297</v>
      </c>
    </row>
    <row r="849" spans="1:8">
      <c r="E849" s="699" t="s">
        <v>11749</v>
      </c>
      <c r="F849" s="699"/>
      <c r="G849" s="699"/>
    </row>
    <row r="850" spans="1:8">
      <c r="E850" s="699"/>
      <c r="F850" s="699"/>
      <c r="G850" s="699"/>
    </row>
    <row r="851" spans="1:8">
      <c r="A851" s="183" t="s">
        <v>11750</v>
      </c>
    </row>
    <row r="852" spans="1:8">
      <c r="E852" s="183">
        <v>64</v>
      </c>
      <c r="H852" s="183" t="s">
        <v>11751</v>
      </c>
    </row>
    <row r="853" spans="1:8">
      <c r="E853" s="699" t="s">
        <v>11752</v>
      </c>
      <c r="F853" s="699"/>
      <c r="G853" s="699"/>
    </row>
    <row r="854" spans="1:8">
      <c r="E854" s="699"/>
      <c r="F854" s="699"/>
      <c r="G854" s="699"/>
    </row>
    <row r="855" spans="1:8">
      <c r="A855" s="183" t="s">
        <v>11753</v>
      </c>
    </row>
    <row r="856" spans="1:8">
      <c r="C856" s="183">
        <v>14825</v>
      </c>
      <c r="E856" s="699"/>
      <c r="F856" s="699"/>
      <c r="G856" s="699"/>
      <c r="H856" s="183" t="s">
        <v>11754</v>
      </c>
    </row>
    <row r="857" spans="1:8">
      <c r="E857" s="699"/>
      <c r="F857" s="699"/>
      <c r="G857" s="699"/>
    </row>
    <row r="858" spans="1:8" s="254" customFormat="1"/>
    <row r="860" spans="1:8">
      <c r="A860" s="183" t="s">
        <v>11755</v>
      </c>
      <c r="C860" s="183">
        <v>15015</v>
      </c>
      <c r="H860" s="183" t="s">
        <v>11756</v>
      </c>
    </row>
    <row r="862" spans="1:8">
      <c r="A862" s="183" t="s">
        <v>11755</v>
      </c>
      <c r="C862" s="183">
        <v>9900</v>
      </c>
      <c r="H862" s="183" t="s">
        <v>11757</v>
      </c>
    </row>
    <row r="864" spans="1:8">
      <c r="A864" s="183" t="s">
        <v>11755</v>
      </c>
      <c r="E864" s="183">
        <v>300</v>
      </c>
      <c r="H864" s="183" t="s">
        <v>11758</v>
      </c>
    </row>
    <row r="865" spans="1:8">
      <c r="E865" s="699" t="s">
        <v>11759</v>
      </c>
      <c r="F865" s="699"/>
      <c r="G865" s="699"/>
    </row>
    <row r="867" spans="1:8">
      <c r="A867" s="183" t="s">
        <v>11324</v>
      </c>
    </row>
    <row r="868" spans="1:8">
      <c r="C868" s="183">
        <v>44500</v>
      </c>
      <c r="H868" s="183" t="s">
        <v>11760</v>
      </c>
    </row>
    <row r="869" spans="1:8">
      <c r="C869" s="183">
        <v>23004</v>
      </c>
      <c r="H869" s="183" t="s">
        <v>11761</v>
      </c>
    </row>
    <row r="870" spans="1:8">
      <c r="C870" s="183">
        <v>63725</v>
      </c>
      <c r="H870" s="183" t="s">
        <v>11762</v>
      </c>
    </row>
    <row r="871" spans="1:8">
      <c r="C871" s="183">
        <v>15907</v>
      </c>
      <c r="H871" s="183" t="s">
        <v>11763</v>
      </c>
    </row>
    <row r="873" spans="1:8">
      <c r="A873" s="183" t="s">
        <v>11764</v>
      </c>
      <c r="E873" s="183">
        <v>52</v>
      </c>
      <c r="H873" s="183" t="s">
        <v>11765</v>
      </c>
    </row>
    <row r="874" spans="1:8">
      <c r="E874" s="699" t="s">
        <v>11766</v>
      </c>
      <c r="F874" s="699"/>
      <c r="G874" s="699"/>
    </row>
    <row r="876" spans="1:8">
      <c r="A876" s="183" t="s">
        <v>11767</v>
      </c>
    </row>
    <row r="877" spans="1:8">
      <c r="E877" s="183">
        <v>21</v>
      </c>
      <c r="H877" s="183" t="s">
        <v>11768</v>
      </c>
    </row>
    <row r="878" spans="1:8">
      <c r="E878" s="699" t="s">
        <v>11769</v>
      </c>
      <c r="F878" s="699"/>
      <c r="G878" s="699"/>
    </row>
    <row r="880" spans="1:8">
      <c r="A880" s="183" t="s">
        <v>11767</v>
      </c>
    </row>
    <row r="881" spans="1:8">
      <c r="E881" s="183">
        <v>225</v>
      </c>
      <c r="H881" s="183" t="s">
        <v>11770</v>
      </c>
    </row>
    <row r="882" spans="1:8">
      <c r="E882" s="183">
        <v>245</v>
      </c>
      <c r="H882" s="183" t="s">
        <v>11770</v>
      </c>
    </row>
    <row r="883" spans="1:8">
      <c r="E883" s="699" t="s">
        <v>11771</v>
      </c>
      <c r="F883" s="699"/>
      <c r="G883" s="699"/>
    </row>
    <row r="885" spans="1:8">
      <c r="A885" s="183" t="s">
        <v>11772</v>
      </c>
    </row>
    <row r="886" spans="1:8">
      <c r="C886" s="183">
        <v>5000</v>
      </c>
      <c r="H886" s="183" t="s">
        <v>11773</v>
      </c>
    </row>
    <row r="887" spans="1:8">
      <c r="D887" s="183">
        <v>5000</v>
      </c>
      <c r="H887" s="183" t="s">
        <v>11360</v>
      </c>
    </row>
    <row r="888" spans="1:8">
      <c r="E888" s="699" t="s">
        <v>11774</v>
      </c>
      <c r="F888" s="699"/>
      <c r="G888" s="699"/>
    </row>
    <row r="890" spans="1:8">
      <c r="A890" s="183" t="s">
        <v>11772</v>
      </c>
    </row>
    <row r="891" spans="1:8">
      <c r="E891" s="183">
        <v>385</v>
      </c>
      <c r="H891" s="183" t="s">
        <v>11775</v>
      </c>
    </row>
    <row r="892" spans="1:8">
      <c r="E892" s="183">
        <v>380</v>
      </c>
      <c r="H892" s="183" t="s">
        <v>11775</v>
      </c>
    </row>
    <row r="893" spans="1:8">
      <c r="E893" s="699" t="s">
        <v>11776</v>
      </c>
      <c r="F893" s="699"/>
      <c r="G893" s="699"/>
    </row>
    <row r="895" spans="1:8">
      <c r="A895" s="183" t="s">
        <v>11777</v>
      </c>
      <c r="E895" s="183">
        <v>1205</v>
      </c>
      <c r="H895" s="183" t="s">
        <v>11778</v>
      </c>
    </row>
    <row r="896" spans="1:8">
      <c r="E896" s="699" t="s">
        <v>11779</v>
      </c>
      <c r="F896" s="699"/>
      <c r="G896" s="699"/>
    </row>
    <row r="898" spans="1:8">
      <c r="A898" s="183" t="s">
        <v>11780</v>
      </c>
    </row>
    <row r="899" spans="1:8">
      <c r="C899" s="183">
        <v>15000</v>
      </c>
      <c r="H899" s="183" t="s">
        <v>11781</v>
      </c>
    </row>
    <row r="900" spans="1:8">
      <c r="B900" s="183">
        <v>15000</v>
      </c>
      <c r="H900" s="183" t="s">
        <v>11782</v>
      </c>
    </row>
    <row r="902" spans="1:8">
      <c r="A902" s="183" t="s">
        <v>11783</v>
      </c>
      <c r="C902" s="183">
        <v>15000</v>
      </c>
      <c r="H902" s="183" t="s">
        <v>11784</v>
      </c>
    </row>
    <row r="904" spans="1:8">
      <c r="A904" s="183" t="s">
        <v>11785</v>
      </c>
    </row>
    <row r="905" spans="1:8">
      <c r="C905" s="183">
        <v>33004</v>
      </c>
      <c r="H905" s="183" t="s">
        <v>11786</v>
      </c>
    </row>
    <row r="906" spans="1:8">
      <c r="C906" s="183">
        <v>36000</v>
      </c>
      <c r="H906" s="183" t="s">
        <v>11787</v>
      </c>
    </row>
    <row r="907" spans="1:8">
      <c r="C907" s="183">
        <v>63725</v>
      </c>
      <c r="H907" s="183" t="s">
        <v>11788</v>
      </c>
    </row>
    <row r="909" spans="1:8">
      <c r="A909" s="183" t="s">
        <v>11789</v>
      </c>
    </row>
    <row r="910" spans="1:8">
      <c r="C910" s="183">
        <v>4056</v>
      </c>
      <c r="E910" s="699"/>
      <c r="F910" s="699"/>
      <c r="G910" s="699"/>
      <c r="H910" s="183" t="s">
        <v>11790</v>
      </c>
    </row>
    <row r="911" spans="1:8">
      <c r="E911" s="699"/>
      <c r="F911" s="699"/>
      <c r="G911" s="699"/>
    </row>
    <row r="912" spans="1:8">
      <c r="A912" s="183" t="s">
        <v>11791</v>
      </c>
    </row>
    <row r="913" spans="1:8">
      <c r="E913" s="183">
        <v>100</v>
      </c>
      <c r="H913" s="183" t="s">
        <v>11792</v>
      </c>
    </row>
    <row r="914" spans="1:8">
      <c r="E914" s="183">
        <v>100</v>
      </c>
      <c r="H914" s="183" t="s">
        <v>11793</v>
      </c>
    </row>
    <row r="915" spans="1:8">
      <c r="E915" s="699" t="s">
        <v>11794</v>
      </c>
      <c r="F915" s="699"/>
      <c r="G915" s="699"/>
    </row>
    <row r="916" spans="1:8">
      <c r="E916" s="699"/>
      <c r="F916" s="699"/>
      <c r="G916" s="699"/>
    </row>
    <row r="917" spans="1:8">
      <c r="A917" s="183" t="s">
        <v>11795</v>
      </c>
    </row>
    <row r="918" spans="1:8">
      <c r="E918" s="183">
        <v>50</v>
      </c>
      <c r="H918" s="183" t="s">
        <v>11796</v>
      </c>
    </row>
    <row r="919" spans="1:8">
      <c r="E919" s="183">
        <v>500</v>
      </c>
      <c r="H919" s="183" t="s">
        <v>11797</v>
      </c>
    </row>
    <row r="920" spans="1:8">
      <c r="E920" s="183">
        <v>548</v>
      </c>
      <c r="H920" s="183" t="s">
        <v>11798</v>
      </c>
    </row>
    <row r="921" spans="1:8">
      <c r="E921" s="183">
        <v>75</v>
      </c>
      <c r="H921" s="183" t="s">
        <v>11799</v>
      </c>
    </row>
    <row r="922" spans="1:8">
      <c r="E922" s="699" t="s">
        <v>11800</v>
      </c>
      <c r="F922" s="699"/>
      <c r="G922" s="699"/>
    </row>
    <row r="924" spans="1:8">
      <c r="A924" s="183" t="s">
        <v>11801</v>
      </c>
    </row>
    <row r="925" spans="1:8">
      <c r="E925" s="183">
        <v>110</v>
      </c>
      <c r="H925" s="183" t="s">
        <v>11802</v>
      </c>
    </row>
    <row r="926" spans="1:8">
      <c r="E926" s="183">
        <v>130</v>
      </c>
      <c r="H926" s="183" t="s">
        <v>11803</v>
      </c>
    </row>
    <row r="927" spans="1:8">
      <c r="E927" s="699" t="s">
        <v>11804</v>
      </c>
      <c r="F927" s="699"/>
      <c r="G927" s="699"/>
    </row>
    <row r="929" spans="1:8">
      <c r="A929" s="183" t="s">
        <v>11805</v>
      </c>
      <c r="H929" s="183" t="s">
        <v>11806</v>
      </c>
    </row>
    <row r="930" spans="1:8">
      <c r="E930" s="183">
        <v>1205</v>
      </c>
    </row>
    <row r="931" spans="1:8">
      <c r="E931" s="699" t="s">
        <v>11807</v>
      </c>
      <c r="F931" s="699"/>
      <c r="G931" s="699"/>
    </row>
    <row r="933" spans="1:8">
      <c r="A933" s="183" t="s">
        <v>11808</v>
      </c>
    </row>
    <row r="934" spans="1:8">
      <c r="E934" s="183">
        <v>270</v>
      </c>
      <c r="H934" s="183" t="s">
        <v>11809</v>
      </c>
    </row>
    <row r="935" spans="1:8">
      <c r="E935" s="183">
        <v>250</v>
      </c>
      <c r="H935" s="183" t="s">
        <v>11810</v>
      </c>
    </row>
    <row r="936" spans="1:8">
      <c r="E936" s="699" t="s">
        <v>11811</v>
      </c>
      <c r="F936" s="699"/>
      <c r="G936" s="699"/>
      <c r="H936" s="699" t="s">
        <v>11812</v>
      </c>
    </row>
    <row r="938" spans="1:8">
      <c r="A938" s="183" t="s">
        <v>11813</v>
      </c>
      <c r="C938" s="183">
        <v>15000</v>
      </c>
      <c r="H938" s="183" t="s">
        <v>11814</v>
      </c>
    </row>
    <row r="940" spans="1:8">
      <c r="A940" s="183" t="s">
        <v>11815</v>
      </c>
    </row>
    <row r="941" spans="1:8">
      <c r="E941" s="183">
        <v>95</v>
      </c>
      <c r="H941" s="183" t="s">
        <v>11816</v>
      </c>
    </row>
    <row r="942" spans="1:8">
      <c r="E942" s="183">
        <v>470</v>
      </c>
      <c r="H942" s="183" t="s">
        <v>11817</v>
      </c>
    </row>
    <row r="943" spans="1:8">
      <c r="E943" s="699" t="s">
        <v>11818</v>
      </c>
      <c r="F943" s="699"/>
      <c r="G943" s="699"/>
    </row>
    <row r="945" spans="1:8">
      <c r="A945" s="183" t="s">
        <v>11819</v>
      </c>
      <c r="C945" s="183">
        <v>5000</v>
      </c>
      <c r="H945" s="183" t="s">
        <v>11773</v>
      </c>
    </row>
    <row r="946" spans="1:8">
      <c r="C946" s="183">
        <v>63707</v>
      </c>
      <c r="H946" s="183" t="s">
        <v>11788</v>
      </c>
    </row>
    <row r="947" spans="1:8">
      <c r="C947" s="183">
        <v>33000</v>
      </c>
      <c r="H947" s="183" t="s">
        <v>11786</v>
      </c>
    </row>
    <row r="948" spans="1:8">
      <c r="C948" s="183">
        <v>22978</v>
      </c>
      <c r="H948" s="183" t="s">
        <v>11820</v>
      </c>
    </row>
    <row r="949" spans="1:8">
      <c r="D949" s="183">
        <v>5000</v>
      </c>
      <c r="H949" s="183" t="s">
        <v>11466</v>
      </c>
    </row>
    <row r="950" spans="1:8">
      <c r="E950" s="699" t="s">
        <v>11821</v>
      </c>
      <c r="F950" s="699"/>
      <c r="G950" s="699"/>
    </row>
    <row r="952" spans="1:8">
      <c r="A952" s="183" t="s">
        <v>11822</v>
      </c>
    </row>
    <row r="953" spans="1:8">
      <c r="C953" s="183">
        <v>33772</v>
      </c>
      <c r="H953" s="183" t="s">
        <v>11823</v>
      </c>
    </row>
    <row r="955" spans="1:8">
      <c r="A955" s="183" t="s">
        <v>11824</v>
      </c>
    </row>
    <row r="956" spans="1:8">
      <c r="C956" s="183">
        <v>21920</v>
      </c>
      <c r="H956" s="183" t="s">
        <v>11825</v>
      </c>
    </row>
    <row r="958" spans="1:8">
      <c r="A958" s="183" t="s">
        <v>11826</v>
      </c>
    </row>
    <row r="959" spans="1:8">
      <c r="C959" s="183">
        <v>36000</v>
      </c>
      <c r="H959" s="183" t="s">
        <v>11827</v>
      </c>
    </row>
    <row r="961" spans="1:8">
      <c r="A961" s="183" t="s">
        <v>11828</v>
      </c>
    </row>
    <row r="962" spans="1:8">
      <c r="E962" s="183">
        <v>267</v>
      </c>
      <c r="H962" s="183" t="s">
        <v>11829</v>
      </c>
    </row>
    <row r="963" spans="1:8">
      <c r="E963" s="699" t="s">
        <v>11830</v>
      </c>
      <c r="F963" s="699"/>
      <c r="G963" s="699"/>
    </row>
    <row r="965" spans="1:8">
      <c r="A965" s="183" t="s">
        <v>11831</v>
      </c>
    </row>
    <row r="966" spans="1:8">
      <c r="E966" s="183">
        <v>105</v>
      </c>
      <c r="H966" s="183" t="s">
        <v>11832</v>
      </c>
    </row>
    <row r="967" spans="1:8">
      <c r="E967" s="699" t="s">
        <v>11833</v>
      </c>
      <c r="F967" s="699"/>
      <c r="G967" s="699"/>
    </row>
    <row r="969" spans="1:8">
      <c r="A969" s="183" t="s">
        <v>11834</v>
      </c>
    </row>
    <row r="970" spans="1:8">
      <c r="E970" s="183">
        <v>998</v>
      </c>
      <c r="H970" s="183" t="s">
        <v>11835</v>
      </c>
    </row>
    <row r="971" spans="1:8">
      <c r="E971" s="183">
        <v>178</v>
      </c>
      <c r="H971" s="183" t="s">
        <v>11836</v>
      </c>
    </row>
    <row r="972" spans="1:8">
      <c r="E972" s="699" t="s">
        <v>11837</v>
      </c>
      <c r="F972" s="699"/>
      <c r="G972" s="699"/>
    </row>
    <row r="974" spans="1:8">
      <c r="A974" s="183" t="s">
        <v>11838</v>
      </c>
      <c r="H974" s="183" t="s">
        <v>11839</v>
      </c>
    </row>
    <row r="975" spans="1:8">
      <c r="E975" s="183">
        <v>1205</v>
      </c>
    </row>
    <row r="976" spans="1:8">
      <c r="E976" s="699" t="s">
        <v>11840</v>
      </c>
      <c r="F976" s="699"/>
      <c r="G976" s="699"/>
    </row>
    <row r="978" spans="1:8">
      <c r="A978" s="183" t="s">
        <v>11841</v>
      </c>
      <c r="C978" s="183">
        <v>15000</v>
      </c>
      <c r="H978" s="183" t="s">
        <v>11842</v>
      </c>
    </row>
    <row r="980" spans="1:8">
      <c r="A980" s="183" t="s">
        <v>11843</v>
      </c>
    </row>
    <row r="981" spans="1:8">
      <c r="E981" s="183">
        <v>1000</v>
      </c>
      <c r="H981" s="183" t="s">
        <v>11844</v>
      </c>
    </row>
    <row r="982" spans="1:8">
      <c r="E982" s="699" t="s">
        <v>11845</v>
      </c>
      <c r="F982" s="699"/>
      <c r="G982" s="699"/>
    </row>
    <row r="983" spans="1:8">
      <c r="C983" s="183">
        <v>17500</v>
      </c>
      <c r="H983" s="183" t="s">
        <v>11846</v>
      </c>
    </row>
    <row r="984" spans="1:8">
      <c r="C984" s="183">
        <v>22978</v>
      </c>
      <c r="H984" s="183" t="s">
        <v>11847</v>
      </c>
    </row>
    <row r="986" spans="1:8">
      <c r="A986" s="183" t="s">
        <v>11848</v>
      </c>
    </row>
    <row r="987" spans="1:8">
      <c r="C987" s="183">
        <v>63707</v>
      </c>
      <c r="H987" s="183" t="s">
        <v>11849</v>
      </c>
    </row>
    <row r="989" spans="1:8">
      <c r="A989" s="183" t="s">
        <v>11850</v>
      </c>
      <c r="H989" s="183" t="s">
        <v>11851</v>
      </c>
    </row>
    <row r="990" spans="1:8">
      <c r="E990" s="183">
        <v>1205</v>
      </c>
    </row>
    <row r="991" spans="1:8">
      <c r="E991" s="699" t="s">
        <v>11852</v>
      </c>
      <c r="F991" s="699"/>
      <c r="G991" s="699"/>
    </row>
    <row r="992" spans="1:8">
      <c r="E992" s="699"/>
      <c r="F992" s="699"/>
      <c r="G992" s="699"/>
    </row>
    <row r="993" spans="1:8">
      <c r="A993" s="183" t="s">
        <v>11853</v>
      </c>
    </row>
    <row r="994" spans="1:8">
      <c r="C994" s="183">
        <v>5000</v>
      </c>
      <c r="H994" s="183" t="s">
        <v>11514</v>
      </c>
    </row>
    <row r="995" spans="1:8">
      <c r="D995" s="183">
        <v>5000</v>
      </c>
      <c r="H995" s="183" t="s">
        <v>11466</v>
      </c>
    </row>
    <row r="996" spans="1:8">
      <c r="E996" s="699" t="s">
        <v>11854</v>
      </c>
      <c r="F996" s="699"/>
      <c r="G996" s="699"/>
    </row>
    <row r="998" spans="1:8">
      <c r="A998" s="183" t="s">
        <v>11855</v>
      </c>
    </row>
    <row r="999" spans="1:8">
      <c r="E999" s="183">
        <v>235</v>
      </c>
      <c r="H999" s="183" t="s">
        <v>11856</v>
      </c>
    </row>
    <row r="1000" spans="1:8">
      <c r="E1000" s="183">
        <v>255</v>
      </c>
      <c r="H1000" s="183" t="s">
        <v>11857</v>
      </c>
    </row>
    <row r="1001" spans="1:8">
      <c r="E1001" s="699" t="s">
        <v>11858</v>
      </c>
      <c r="F1001" s="699"/>
      <c r="G1001" s="699"/>
    </row>
    <row r="1003" spans="1:8">
      <c r="A1003" s="183" t="s">
        <v>11859</v>
      </c>
    </row>
    <row r="1004" spans="1:8">
      <c r="E1004" s="183">
        <v>35</v>
      </c>
      <c r="H1004" s="183" t="s">
        <v>11860</v>
      </c>
    </row>
    <row r="1005" spans="1:8">
      <c r="E1005" s="183">
        <v>300</v>
      </c>
      <c r="H1005" s="183" t="s">
        <v>11861</v>
      </c>
    </row>
    <row r="1006" spans="1:8">
      <c r="E1006" s="183">
        <v>36</v>
      </c>
      <c r="H1006" s="183" t="s">
        <v>11862</v>
      </c>
    </row>
    <row r="1007" spans="1:8">
      <c r="E1007" s="183">
        <v>980</v>
      </c>
      <c r="H1007" s="183" t="s">
        <v>11863</v>
      </c>
    </row>
    <row r="1008" spans="1:8">
      <c r="E1008" s="699" t="s">
        <v>11864</v>
      </c>
      <c r="F1008" s="699"/>
      <c r="G1008" s="699"/>
    </row>
    <row r="1010" spans="1:8">
      <c r="A1010" s="183" t="s">
        <v>11865</v>
      </c>
    </row>
    <row r="1011" spans="1:8">
      <c r="E1011" s="183">
        <v>75</v>
      </c>
      <c r="H1011" s="183" t="s">
        <v>11866</v>
      </c>
    </row>
    <row r="1012" spans="1:8">
      <c r="E1012" s="699" t="s">
        <v>11867</v>
      </c>
      <c r="F1012" s="699"/>
      <c r="G1012" s="699"/>
    </row>
    <row r="1014" spans="1:8">
      <c r="A1014" s="183" t="s">
        <v>11868</v>
      </c>
    </row>
    <row r="1015" spans="1:8">
      <c r="E1015" s="183">
        <v>215</v>
      </c>
      <c r="H1015" s="183" t="s">
        <v>11869</v>
      </c>
    </row>
    <row r="1016" spans="1:8">
      <c r="E1016" s="183">
        <v>225</v>
      </c>
      <c r="H1016" s="183" t="s">
        <v>11869</v>
      </c>
    </row>
    <row r="1017" spans="1:8">
      <c r="E1017" s="699" t="s">
        <v>11870</v>
      </c>
      <c r="F1017" s="699"/>
      <c r="G1017" s="699"/>
    </row>
    <row r="1019" spans="1:8">
      <c r="A1019" s="183" t="s">
        <v>11871</v>
      </c>
    </row>
    <row r="1020" spans="1:8">
      <c r="C1020" s="183">
        <v>48000</v>
      </c>
      <c r="H1020" s="183" t="s">
        <v>11872</v>
      </c>
    </row>
    <row r="1021" spans="1:8">
      <c r="C1021" s="183">
        <v>22978</v>
      </c>
      <c r="H1021" s="183" t="s">
        <v>11873</v>
      </c>
    </row>
    <row r="1022" spans="1:8">
      <c r="C1022" s="183">
        <v>63707</v>
      </c>
      <c r="H1022" s="183" t="s">
        <v>11874</v>
      </c>
    </row>
    <row r="1023" spans="1:8">
      <c r="C1023" s="183">
        <v>39000</v>
      </c>
      <c r="H1023" s="183" t="s">
        <v>11875</v>
      </c>
    </row>
    <row r="1025" spans="1:8">
      <c r="A1025" s="183" t="s">
        <v>11876</v>
      </c>
    </row>
    <row r="1026" spans="1:8">
      <c r="E1026" s="183">
        <v>90</v>
      </c>
      <c r="H1026" s="183" t="s">
        <v>11877</v>
      </c>
    </row>
    <row r="1027" spans="1:8">
      <c r="E1027" s="699" t="s">
        <v>11878</v>
      </c>
      <c r="F1027" s="699"/>
      <c r="G1027" s="699"/>
    </row>
    <row r="1029" spans="1:8">
      <c r="A1029" s="183" t="s">
        <v>11879</v>
      </c>
    </row>
    <row r="1030" spans="1:8">
      <c r="C1030" s="183">
        <v>15501</v>
      </c>
      <c r="H1030" s="183" t="s">
        <v>11880</v>
      </c>
    </row>
    <row r="1032" spans="1:8">
      <c r="A1032" s="183" t="s">
        <v>11876</v>
      </c>
    </row>
    <row r="1033" spans="1:8">
      <c r="E1033" s="183">
        <v>167</v>
      </c>
      <c r="H1033" s="183" t="s">
        <v>11881</v>
      </c>
    </row>
    <row r="1034" spans="1:8">
      <c r="E1034" s="699" t="s">
        <v>11882</v>
      </c>
      <c r="F1034" s="699"/>
      <c r="G1034" s="699"/>
    </row>
    <row r="1036" spans="1:8">
      <c r="A1036" s="183" t="s">
        <v>11883</v>
      </c>
    </row>
    <row r="1037" spans="1:8">
      <c r="C1037" s="183">
        <v>13529</v>
      </c>
      <c r="H1037" s="183" t="s">
        <v>11884</v>
      </c>
    </row>
    <row r="1039" spans="1:8">
      <c r="A1039" s="183" t="s">
        <v>11885</v>
      </c>
    </row>
    <row r="1040" spans="1:8">
      <c r="E1040" s="183">
        <v>133</v>
      </c>
      <c r="H1040" s="183" t="s">
        <v>11886</v>
      </c>
    </row>
    <row r="1041" spans="1:8">
      <c r="E1041" s="699" t="s">
        <v>11887</v>
      </c>
      <c r="F1041" s="699"/>
      <c r="G1041" s="699"/>
    </row>
    <row r="1043" spans="1:8">
      <c r="A1043" s="183" t="s">
        <v>11888</v>
      </c>
    </row>
    <row r="1044" spans="1:8">
      <c r="E1044" s="183">
        <v>100</v>
      </c>
      <c r="H1044" s="183" t="s">
        <v>11889</v>
      </c>
    </row>
    <row r="1045" spans="1:8">
      <c r="E1045" s="699" t="s">
        <v>11890</v>
      </c>
      <c r="F1045" s="699"/>
      <c r="G1045" s="699"/>
    </row>
    <row r="1047" spans="1:8">
      <c r="A1047" s="183" t="s">
        <v>11891</v>
      </c>
      <c r="H1047" s="183" t="s">
        <v>11892</v>
      </c>
    </row>
    <row r="1048" spans="1:8">
      <c r="E1048" s="183">
        <v>1205</v>
      </c>
    </row>
    <row r="1049" spans="1:8">
      <c r="E1049" s="699" t="s">
        <v>11893</v>
      </c>
      <c r="F1049" s="699"/>
      <c r="G1049" s="699"/>
    </row>
    <row r="1051" spans="1:8">
      <c r="A1051" s="183" t="s">
        <v>11894</v>
      </c>
    </row>
    <row r="1052" spans="1:8">
      <c r="C1052" s="183">
        <v>15000</v>
      </c>
      <c r="H1052" s="183" t="s">
        <v>11895</v>
      </c>
    </row>
    <row r="1054" spans="1:8">
      <c r="A1054" s="183" t="s">
        <v>11896</v>
      </c>
    </row>
    <row r="1055" spans="1:8">
      <c r="E1055" s="183">
        <v>240</v>
      </c>
      <c r="H1055" s="183" t="s">
        <v>11897</v>
      </c>
    </row>
    <row r="1056" spans="1:8">
      <c r="E1056" s="183">
        <v>400</v>
      </c>
      <c r="H1056" s="183" t="s">
        <v>11898</v>
      </c>
    </row>
    <row r="1057" spans="1:8">
      <c r="E1057" s="699" t="s">
        <v>11899</v>
      </c>
      <c r="F1057" s="699"/>
      <c r="G1057" s="699"/>
    </row>
    <row r="1059" spans="1:8">
      <c r="A1059" s="183" t="s">
        <v>11900</v>
      </c>
    </row>
    <row r="1060" spans="1:8">
      <c r="E1060" s="183">
        <v>90</v>
      </c>
      <c r="H1060" s="183" t="s">
        <v>11401</v>
      </c>
    </row>
    <row r="1061" spans="1:8">
      <c r="E1061" s="699" t="s">
        <v>11901</v>
      </c>
      <c r="F1061" s="699"/>
      <c r="G1061" s="699"/>
    </row>
    <row r="1063" spans="1:8">
      <c r="A1063" s="183" t="s">
        <v>11902</v>
      </c>
    </row>
    <row r="1064" spans="1:8">
      <c r="C1064" s="183">
        <v>5000</v>
      </c>
      <c r="H1064" s="183" t="s">
        <v>11903</v>
      </c>
    </row>
    <row r="1065" spans="1:8">
      <c r="D1065" s="183">
        <v>5000</v>
      </c>
      <c r="H1065" s="183" t="s">
        <v>11466</v>
      </c>
    </row>
    <row r="1066" spans="1:8">
      <c r="E1066" s="183">
        <v>500</v>
      </c>
      <c r="H1066" s="183" t="s">
        <v>11904</v>
      </c>
    </row>
    <row r="1067" spans="1:8">
      <c r="E1067" s="699" t="s">
        <v>11905</v>
      </c>
      <c r="F1067" s="699"/>
      <c r="G1067" s="699"/>
    </row>
    <row r="1069" spans="1:8">
      <c r="A1069" s="183" t="s">
        <v>11906</v>
      </c>
    </row>
    <row r="1070" spans="1:8">
      <c r="E1070" s="183">
        <v>230</v>
      </c>
      <c r="H1070" s="183" t="s">
        <v>11907</v>
      </c>
    </row>
    <row r="1071" spans="1:8">
      <c r="E1071" s="183">
        <v>190</v>
      </c>
      <c r="H1071" s="183" t="s">
        <v>11908</v>
      </c>
    </row>
    <row r="1072" spans="1:8">
      <c r="E1072" s="699" t="s">
        <v>11909</v>
      </c>
      <c r="F1072" s="699"/>
      <c r="G1072" s="699"/>
    </row>
    <row r="1074" spans="1:8">
      <c r="A1074" s="183" t="s">
        <v>11910</v>
      </c>
    </row>
    <row r="1075" spans="1:8">
      <c r="C1075" s="183">
        <v>22978</v>
      </c>
      <c r="H1075" s="183" t="s">
        <v>11911</v>
      </c>
    </row>
    <row r="1076" spans="1:8">
      <c r="C1076" s="183">
        <v>63707</v>
      </c>
      <c r="H1076" s="183" t="s">
        <v>11912</v>
      </c>
    </row>
    <row r="1078" spans="1:8">
      <c r="A1078" s="183" t="s">
        <v>11913</v>
      </c>
    </row>
    <row r="1079" spans="1:8">
      <c r="C1079" s="183">
        <v>16356</v>
      </c>
      <c r="H1079" s="183" t="s">
        <v>11914</v>
      </c>
    </row>
    <row r="1081" spans="1:8">
      <c r="A1081" s="183" t="s">
        <v>11915</v>
      </c>
    </row>
    <row r="1082" spans="1:8">
      <c r="E1082" s="183">
        <v>125</v>
      </c>
      <c r="H1082" s="183" t="s">
        <v>11916</v>
      </c>
    </row>
    <row r="1083" spans="1:8">
      <c r="E1083" s="183">
        <v>120</v>
      </c>
      <c r="H1083" s="183" t="s">
        <v>11917</v>
      </c>
    </row>
    <row r="1084" spans="1:8">
      <c r="E1084" s="699" t="s">
        <v>11918</v>
      </c>
      <c r="F1084" s="699"/>
      <c r="G1084" s="699"/>
    </row>
    <row r="1086" spans="1:8">
      <c r="A1086" s="183" t="s">
        <v>11919</v>
      </c>
    </row>
    <row r="1087" spans="1:8">
      <c r="E1087" s="183">
        <v>155</v>
      </c>
      <c r="H1087" s="183" t="s">
        <v>11920</v>
      </c>
    </row>
    <row r="1088" spans="1:8">
      <c r="E1088" s="183">
        <v>175</v>
      </c>
      <c r="H1088" s="183" t="s">
        <v>11920</v>
      </c>
    </row>
    <row r="1089" spans="1:8">
      <c r="E1089" s="699" t="s">
        <v>11921</v>
      </c>
      <c r="F1089" s="699"/>
      <c r="G1089" s="699"/>
    </row>
    <row r="1091" spans="1:8">
      <c r="A1091" s="183" t="s">
        <v>11922</v>
      </c>
    </row>
    <row r="1092" spans="1:8">
      <c r="E1092" s="183">
        <v>32</v>
      </c>
      <c r="H1092" s="183" t="s">
        <v>11923</v>
      </c>
    </row>
    <row r="1093" spans="1:8">
      <c r="E1093" s="183">
        <v>40</v>
      </c>
      <c r="H1093" s="183" t="s">
        <v>11924</v>
      </c>
    </row>
    <row r="1094" spans="1:8">
      <c r="E1094" s="699" t="s">
        <v>11925</v>
      </c>
      <c r="F1094" s="699"/>
      <c r="G1094" s="699"/>
    </row>
    <row r="1096" spans="1:8">
      <c r="A1096" s="183" t="s">
        <v>11926</v>
      </c>
    </row>
    <row r="1097" spans="1:8">
      <c r="E1097" s="183">
        <v>1205</v>
      </c>
      <c r="H1097" s="183" t="s">
        <v>11927</v>
      </c>
    </row>
    <row r="1098" spans="1:8">
      <c r="E1098" s="699" t="s">
        <v>11928</v>
      </c>
      <c r="F1098" s="699"/>
      <c r="G1098" s="699"/>
      <c r="H1098" s="699" t="s">
        <v>11929</v>
      </c>
    </row>
    <row r="1100" spans="1:8">
      <c r="A1100" s="183" t="s">
        <v>11930</v>
      </c>
      <c r="C1100" s="183">
        <v>15000</v>
      </c>
      <c r="H1100" s="183" t="s">
        <v>11931</v>
      </c>
    </row>
    <row r="1102" spans="1:8">
      <c r="A1102" s="183" t="s">
        <v>11930</v>
      </c>
    </row>
    <row r="1103" spans="1:8">
      <c r="E1103" s="183">
        <v>380</v>
      </c>
      <c r="H1103" s="183" t="s">
        <v>11932</v>
      </c>
    </row>
    <row r="1104" spans="1:8">
      <c r="E1104" s="183">
        <v>285</v>
      </c>
      <c r="H1104" s="183" t="s">
        <v>11932</v>
      </c>
    </row>
    <row r="1105" spans="1:8">
      <c r="E1105" s="699" t="s">
        <v>11933</v>
      </c>
      <c r="F1105" s="699"/>
      <c r="G1105" s="699"/>
    </row>
    <row r="1107" spans="1:8">
      <c r="A1107" s="183" t="s">
        <v>11934</v>
      </c>
    </row>
    <row r="1108" spans="1:8">
      <c r="E1108" s="183">
        <v>105</v>
      </c>
      <c r="H1108" s="183" t="s">
        <v>11935</v>
      </c>
    </row>
    <row r="1109" spans="1:8">
      <c r="E1109" s="699" t="s">
        <v>11936</v>
      </c>
      <c r="F1109" s="699"/>
      <c r="G1109" s="699"/>
    </row>
    <row r="1111" spans="1:8">
      <c r="A1111" s="183" t="s">
        <v>11937</v>
      </c>
    </row>
    <row r="1112" spans="1:8">
      <c r="E1112" s="183">
        <v>45</v>
      </c>
      <c r="H1112" s="183" t="s">
        <v>11938</v>
      </c>
    </row>
    <row r="1113" spans="1:8">
      <c r="E1113" s="699" t="s">
        <v>11939</v>
      </c>
      <c r="F1113" s="699"/>
      <c r="G1113" s="699"/>
    </row>
    <row r="1114" spans="1:8">
      <c r="E1114" s="699"/>
      <c r="F1114" s="699"/>
      <c r="G1114" s="699"/>
    </row>
    <row r="1115" spans="1:8">
      <c r="A1115" s="183" t="s">
        <v>11937</v>
      </c>
    </row>
    <row r="1116" spans="1:8">
      <c r="C1116" s="183">
        <v>26000</v>
      </c>
      <c r="H1116" s="183" t="s">
        <v>11940</v>
      </c>
    </row>
    <row r="1117" spans="1:8">
      <c r="C1117" s="183">
        <v>22970</v>
      </c>
      <c r="H1117" s="183" t="s">
        <v>11941</v>
      </c>
    </row>
    <row r="1118" spans="1:8">
      <c r="C1118" s="183">
        <v>63516</v>
      </c>
      <c r="H1118" s="183" t="s">
        <v>11942</v>
      </c>
    </row>
    <row r="1120" spans="1:8">
      <c r="A1120" s="183" t="s">
        <v>11943</v>
      </c>
    </row>
    <row r="1121" spans="1:8">
      <c r="C1121" s="183">
        <v>7117</v>
      </c>
      <c r="H1121" s="183" t="s">
        <v>11944</v>
      </c>
    </row>
    <row r="1122" spans="1:8">
      <c r="C1122" s="183">
        <v>16446</v>
      </c>
      <c r="H1122" s="183" t="s">
        <v>11945</v>
      </c>
    </row>
    <row r="1124" spans="1:8">
      <c r="A1124" s="183" t="s">
        <v>11946</v>
      </c>
    </row>
    <row r="1125" spans="1:8">
      <c r="E1125" s="183">
        <v>188</v>
      </c>
      <c r="H1125" s="183" t="s">
        <v>11947</v>
      </c>
    </row>
    <row r="1126" spans="1:8">
      <c r="E1126" s="183">
        <v>1205</v>
      </c>
      <c r="H1126" s="183" t="s">
        <v>11948</v>
      </c>
    </row>
    <row r="1127" spans="1:8">
      <c r="E1127" s="699" t="s">
        <v>11949</v>
      </c>
      <c r="F1127" s="699"/>
      <c r="G1127" s="699"/>
    </row>
    <row r="1129" spans="1:8">
      <c r="A1129" s="183" t="s">
        <v>11950</v>
      </c>
    </row>
    <row r="1130" spans="1:8">
      <c r="E1130" s="183">
        <v>88</v>
      </c>
      <c r="H1130" s="183" t="s">
        <v>11951</v>
      </c>
    </row>
    <row r="1131" spans="1:8">
      <c r="E1131" s="699" t="s">
        <v>11952</v>
      </c>
      <c r="F1131" s="699"/>
      <c r="G1131" s="699"/>
    </row>
    <row r="1132" spans="1:8">
      <c r="E1132" s="699"/>
      <c r="F1132" s="699"/>
      <c r="G1132" s="699"/>
    </row>
    <row r="1133" spans="1:8">
      <c r="A1133" s="183" t="s">
        <v>11953</v>
      </c>
    </row>
    <row r="1134" spans="1:8">
      <c r="B1134" s="183">
        <v>28000</v>
      </c>
      <c r="H1134" s="183" t="s">
        <v>11954</v>
      </c>
    </row>
    <row r="1135" spans="1:8">
      <c r="C1135" s="183">
        <v>5000</v>
      </c>
      <c r="H1135" s="183" t="s">
        <v>11955</v>
      </c>
    </row>
    <row r="1136" spans="1:8">
      <c r="D1136" s="183">
        <v>5000</v>
      </c>
      <c r="H1136" s="183" t="s">
        <v>11466</v>
      </c>
    </row>
    <row r="1137" spans="1:8">
      <c r="E1137" s="699" t="s">
        <v>11956</v>
      </c>
      <c r="F1137" s="699"/>
      <c r="G1137" s="699"/>
    </row>
    <row r="1139" spans="1:8">
      <c r="A1139" s="183" t="s">
        <v>11957</v>
      </c>
    </row>
    <row r="1140" spans="1:8">
      <c r="C1140" s="183">
        <v>15000</v>
      </c>
      <c r="H1140" s="183" t="s">
        <v>11958</v>
      </c>
    </row>
    <row r="1142" spans="1:8">
      <c r="A1142" s="183" t="s">
        <v>11957</v>
      </c>
    </row>
    <row r="1143" spans="1:8">
      <c r="E1143" s="183">
        <v>250</v>
      </c>
      <c r="H1143" s="183" t="s">
        <v>11959</v>
      </c>
    </row>
    <row r="1144" spans="1:8">
      <c r="E1144" s="183">
        <v>450</v>
      </c>
      <c r="H1144" s="183" t="s">
        <v>11960</v>
      </c>
    </row>
    <row r="1145" spans="1:8">
      <c r="A1145" s="183" t="s">
        <v>11961</v>
      </c>
      <c r="E1145" s="183">
        <v>159</v>
      </c>
      <c r="H1145" s="183" t="s">
        <v>11962</v>
      </c>
    </row>
    <row r="1146" spans="1:8">
      <c r="E1146" s="183">
        <v>300</v>
      </c>
      <c r="H1146" s="183" t="s">
        <v>11758</v>
      </c>
    </row>
    <row r="1147" spans="1:8">
      <c r="E1147" s="699" t="s">
        <v>11963</v>
      </c>
      <c r="F1147" s="699"/>
      <c r="G1147" s="699"/>
      <c r="H1147" s="699" t="s">
        <v>11964</v>
      </c>
    </row>
    <row r="1148" spans="1:8">
      <c r="E1148" s="699"/>
      <c r="F1148" s="699"/>
      <c r="G1148" s="699"/>
      <c r="H1148" s="699"/>
    </row>
    <row r="1149" spans="1:8">
      <c r="A1149" s="183" t="s">
        <v>11965</v>
      </c>
    </row>
    <row r="1150" spans="1:8">
      <c r="C1150" s="183">
        <v>33000</v>
      </c>
      <c r="H1150" s="183" t="s">
        <v>11966</v>
      </c>
    </row>
    <row r="1151" spans="1:8">
      <c r="C1151" s="183">
        <v>22970</v>
      </c>
      <c r="H1151" s="183" t="s">
        <v>11967</v>
      </c>
    </row>
    <row r="1152" spans="1:8">
      <c r="C1152" s="183">
        <v>63516</v>
      </c>
      <c r="H1152" s="183" t="s">
        <v>11968</v>
      </c>
    </row>
    <row r="1153" spans="1:8">
      <c r="E1153" s="699"/>
      <c r="F1153" s="699"/>
      <c r="G1153" s="699"/>
      <c r="H1153" s="699"/>
    </row>
    <row r="1154" spans="1:8">
      <c r="A1154" s="183" t="s">
        <v>11969</v>
      </c>
    </row>
    <row r="1155" spans="1:8" ht="66">
      <c r="C1155" s="183">
        <v>3000</v>
      </c>
      <c r="H1155" s="694" t="s">
        <v>11970</v>
      </c>
    </row>
    <row r="1157" spans="1:8">
      <c r="A1157" s="183" t="s">
        <v>11971</v>
      </c>
    </row>
    <row r="1158" spans="1:8">
      <c r="E1158" s="183">
        <v>280</v>
      </c>
      <c r="H1158" s="183" t="s">
        <v>11972</v>
      </c>
    </row>
    <row r="1159" spans="1:8">
      <c r="E1159" s="183">
        <v>270</v>
      </c>
      <c r="H1159" s="183" t="s">
        <v>11972</v>
      </c>
    </row>
    <row r="1160" spans="1:8">
      <c r="E1160" s="699" t="s">
        <v>11973</v>
      </c>
      <c r="F1160" s="699"/>
      <c r="G1160" s="699"/>
    </row>
    <row r="1161" spans="1:8">
      <c r="E1161" s="699"/>
      <c r="F1161" s="699"/>
      <c r="G1161" s="699"/>
    </row>
    <row r="1162" spans="1:8">
      <c r="A1162" s="183" t="s">
        <v>11974</v>
      </c>
    </row>
    <row r="1163" spans="1:8">
      <c r="C1163" s="183">
        <v>9944</v>
      </c>
      <c r="H1163" s="183" t="s">
        <v>11975</v>
      </c>
    </row>
    <row r="1165" spans="1:8">
      <c r="A1165" s="183" t="s">
        <v>11976</v>
      </c>
    </row>
    <row r="1166" spans="1:8">
      <c r="E1166" s="183">
        <v>1205</v>
      </c>
      <c r="H1166" s="183" t="s">
        <v>11977</v>
      </c>
    </row>
    <row r="1167" spans="1:8">
      <c r="E1167" s="699" t="s">
        <v>11978</v>
      </c>
      <c r="F1167" s="699"/>
      <c r="G1167" s="699"/>
    </row>
    <row r="1168" spans="1:8">
      <c r="E1168" s="699"/>
      <c r="F1168" s="699"/>
      <c r="G1168" s="699"/>
    </row>
    <row r="1169" spans="1:8">
      <c r="A1169" s="183" t="s">
        <v>11979</v>
      </c>
      <c r="E1169" s="699"/>
      <c r="F1169" s="699"/>
      <c r="G1169" s="699"/>
    </row>
    <row r="1170" spans="1:8">
      <c r="C1170" s="183">
        <v>137100</v>
      </c>
      <c r="E1170" s="699"/>
      <c r="F1170" s="699"/>
      <c r="G1170" s="699"/>
      <c r="H1170" s="183" t="s">
        <v>11980</v>
      </c>
    </row>
    <row r="1171" spans="1:8">
      <c r="E1171" s="206">
        <v>30</v>
      </c>
      <c r="F1171" s="206"/>
      <c r="G1171" s="206"/>
      <c r="H1171" s="183" t="s">
        <v>11981</v>
      </c>
    </row>
    <row r="1172" spans="1:8">
      <c r="E1172" s="699" t="s">
        <v>11982</v>
      </c>
      <c r="F1172" s="699"/>
      <c r="G1172" s="699"/>
    </row>
    <row r="1173" spans="1:8">
      <c r="E1173" s="699"/>
      <c r="F1173" s="699"/>
      <c r="G1173" s="699"/>
    </row>
    <row r="1174" spans="1:8">
      <c r="A1174" s="183" t="s">
        <v>11983</v>
      </c>
    </row>
    <row r="1175" spans="1:8">
      <c r="C1175" s="183">
        <v>15000</v>
      </c>
      <c r="H1175" s="183" t="s">
        <v>11984</v>
      </c>
    </row>
    <row r="1177" spans="1:8">
      <c r="A1177" s="183" t="s">
        <v>11985</v>
      </c>
    </row>
    <row r="1178" spans="1:8">
      <c r="C1178" s="183">
        <v>7500</v>
      </c>
      <c r="H1178" s="183" t="s">
        <v>11986</v>
      </c>
    </row>
    <row r="1179" spans="1:8">
      <c r="C1179" s="183">
        <v>25670</v>
      </c>
      <c r="H1179" s="183" t="s">
        <v>11987</v>
      </c>
    </row>
    <row r="1180" spans="1:8">
      <c r="C1180" s="183">
        <v>63516</v>
      </c>
      <c r="H1180" s="183" t="s">
        <v>11988</v>
      </c>
    </row>
    <row r="1182" spans="1:8">
      <c r="A1182" s="183" t="s">
        <v>11989</v>
      </c>
    </row>
    <row r="1183" spans="1:8">
      <c r="C1183" s="183">
        <v>17644</v>
      </c>
      <c r="H1183" s="183" t="s">
        <v>11990</v>
      </c>
    </row>
    <row r="1185" spans="1:8">
      <c r="A1185" s="183" t="s">
        <v>11991</v>
      </c>
    </row>
    <row r="1186" spans="1:8">
      <c r="E1186" s="183">
        <v>500</v>
      </c>
      <c r="H1186" s="183" t="s">
        <v>11992</v>
      </c>
    </row>
    <row r="1187" spans="1:8">
      <c r="E1187" s="183">
        <v>500</v>
      </c>
      <c r="H1187" s="183" t="s">
        <v>11651</v>
      </c>
    </row>
    <row r="1188" spans="1:8">
      <c r="E1188" s="699" t="s">
        <v>11993</v>
      </c>
      <c r="F1188" s="699"/>
      <c r="G1188" s="699"/>
    </row>
    <row r="1190" spans="1:8">
      <c r="A1190" s="183" t="s">
        <v>11994</v>
      </c>
    </row>
    <row r="1191" spans="1:8">
      <c r="C1191" s="183">
        <v>12728</v>
      </c>
      <c r="H1191" s="183" t="s">
        <v>11995</v>
      </c>
    </row>
    <row r="1192" spans="1:8">
      <c r="C1192" s="183">
        <v>5000</v>
      </c>
      <c r="H1192" s="183" t="s">
        <v>11955</v>
      </c>
    </row>
    <row r="1193" spans="1:8">
      <c r="D1193" s="183">
        <v>5000</v>
      </c>
      <c r="H1193" s="183" t="s">
        <v>11466</v>
      </c>
    </row>
    <row r="1194" spans="1:8">
      <c r="E1194" s="699" t="s">
        <v>11996</v>
      </c>
      <c r="F1194" s="699"/>
      <c r="G1194" s="699"/>
    </row>
    <row r="1195" spans="1:8">
      <c r="E1195" s="699"/>
      <c r="F1195" s="699"/>
      <c r="G1195" s="699"/>
    </row>
    <row r="1196" spans="1:8">
      <c r="A1196" s="183" t="s">
        <v>11997</v>
      </c>
    </row>
    <row r="1197" spans="1:8">
      <c r="E1197" s="183">
        <v>1205</v>
      </c>
      <c r="H1197" s="183" t="s">
        <v>11998</v>
      </c>
    </row>
    <row r="1198" spans="1:8">
      <c r="E1198" s="183">
        <v>178</v>
      </c>
      <c r="H1198" s="183" t="s">
        <v>11999</v>
      </c>
    </row>
    <row r="1199" spans="1:8">
      <c r="E1199" s="699" t="s">
        <v>12000</v>
      </c>
      <c r="F1199" s="699"/>
      <c r="G1199" s="699"/>
    </row>
    <row r="1200" spans="1:8">
      <c r="E1200" s="699"/>
      <c r="F1200" s="699"/>
      <c r="G1200" s="699"/>
    </row>
    <row r="1201" spans="1:8">
      <c r="A1201" s="183" t="s">
        <v>12001</v>
      </c>
      <c r="E1201" s="699"/>
      <c r="F1201" s="699"/>
      <c r="G1201" s="699"/>
    </row>
    <row r="1202" spans="1:8">
      <c r="E1202" s="206">
        <v>200</v>
      </c>
      <c r="F1202" s="206"/>
      <c r="G1202" s="206"/>
      <c r="H1202" s="183" t="s">
        <v>12002</v>
      </c>
    </row>
    <row r="1203" spans="1:8">
      <c r="E1203" s="699" t="s">
        <v>12003</v>
      </c>
      <c r="F1203" s="699"/>
      <c r="G1203" s="699"/>
    </row>
    <row r="1204" spans="1:8">
      <c r="E1204" s="699"/>
      <c r="F1204" s="699"/>
      <c r="G1204" s="699"/>
    </row>
    <row r="1205" spans="1:8">
      <c r="A1205" s="183" t="s">
        <v>12004</v>
      </c>
    </row>
    <row r="1206" spans="1:8">
      <c r="C1206" s="183">
        <v>15000</v>
      </c>
      <c r="H1206" s="183" t="s">
        <v>12005</v>
      </c>
    </row>
    <row r="1208" spans="1:8">
      <c r="A1208" s="183" t="s">
        <v>12006</v>
      </c>
    </row>
    <row r="1209" spans="1:8">
      <c r="E1209" s="183">
        <v>225</v>
      </c>
      <c r="H1209" s="183" t="s">
        <v>12007</v>
      </c>
    </row>
    <row r="1210" spans="1:8">
      <c r="E1210" s="183">
        <v>245</v>
      </c>
      <c r="H1210" s="183" t="s">
        <v>12008</v>
      </c>
    </row>
    <row r="1211" spans="1:8">
      <c r="E1211" s="699" t="s">
        <v>12009</v>
      </c>
      <c r="F1211" s="699"/>
      <c r="G1211" s="699"/>
    </row>
    <row r="1212" spans="1:8">
      <c r="E1212" s="699"/>
      <c r="F1212" s="699"/>
      <c r="G1212" s="699"/>
    </row>
    <row r="1213" spans="1:8">
      <c r="A1213" s="183" t="s">
        <v>12010</v>
      </c>
    </row>
    <row r="1214" spans="1:8">
      <c r="C1214" s="183">
        <v>18000</v>
      </c>
      <c r="H1214" s="183" t="s">
        <v>12011</v>
      </c>
    </row>
    <row r="1215" spans="1:8">
      <c r="C1215" s="183">
        <v>25670</v>
      </c>
      <c r="H1215" s="183" t="s">
        <v>12012</v>
      </c>
    </row>
    <row r="1216" spans="1:8">
      <c r="C1216" s="183">
        <v>63516</v>
      </c>
      <c r="H1216" s="183" t="s">
        <v>12013</v>
      </c>
    </row>
    <row r="1218" spans="1:8">
      <c r="A1218" s="183" t="s">
        <v>12014</v>
      </c>
    </row>
    <row r="1219" spans="1:8">
      <c r="C1219" s="183">
        <v>1154</v>
      </c>
      <c r="H1219" s="183" t="s">
        <v>12015</v>
      </c>
    </row>
    <row r="1221" spans="1:8">
      <c r="A1221" s="183" t="s">
        <v>12016</v>
      </c>
    </row>
    <row r="1222" spans="1:8">
      <c r="E1222" s="183">
        <v>1205</v>
      </c>
      <c r="H1222" s="183" t="s">
        <v>12017</v>
      </c>
    </row>
    <row r="1223" spans="1:8">
      <c r="E1223" s="183">
        <v>140</v>
      </c>
      <c r="H1223" s="183" t="s">
        <v>12018</v>
      </c>
    </row>
    <row r="1224" spans="1:8">
      <c r="E1224" s="699" t="s">
        <v>12019</v>
      </c>
      <c r="F1224" s="699"/>
      <c r="G1224" s="699"/>
    </row>
    <row r="1225" spans="1:8">
      <c r="E1225" s="699"/>
      <c r="F1225" s="699"/>
      <c r="G1225" s="699"/>
    </row>
    <row r="1226" spans="1:8">
      <c r="A1226" s="183" t="s">
        <v>12020</v>
      </c>
    </row>
    <row r="1227" spans="1:8">
      <c r="E1227" s="183">
        <v>100</v>
      </c>
      <c r="H1227" s="183" t="s">
        <v>11314</v>
      </c>
    </row>
    <row r="1228" spans="1:8">
      <c r="E1228" s="183">
        <v>18</v>
      </c>
      <c r="H1228" s="183" t="s">
        <v>12021</v>
      </c>
    </row>
    <row r="1229" spans="1:8">
      <c r="E1229" s="699" t="s">
        <v>12022</v>
      </c>
      <c r="F1229" s="699"/>
      <c r="G1229" s="699"/>
    </row>
    <row r="1230" spans="1:8">
      <c r="E1230" s="699"/>
      <c r="F1230" s="699"/>
      <c r="G1230" s="699"/>
    </row>
    <row r="1231" spans="1:8">
      <c r="A1231" s="183" t="s">
        <v>12023</v>
      </c>
    </row>
    <row r="1232" spans="1:8">
      <c r="C1232" s="183">
        <v>15000</v>
      </c>
      <c r="H1232" s="183" t="s">
        <v>12024</v>
      </c>
    </row>
    <row r="1233" spans="1:8">
      <c r="E1233" s="699"/>
      <c r="F1233" s="699"/>
      <c r="G1233" s="699"/>
    </row>
    <row r="1234" spans="1:8">
      <c r="A1234" s="183" t="s">
        <v>12025</v>
      </c>
    </row>
    <row r="1235" spans="1:8">
      <c r="C1235" s="183">
        <v>25670</v>
      </c>
      <c r="H1235" s="183" t="s">
        <v>12026</v>
      </c>
    </row>
    <row r="1236" spans="1:8">
      <c r="C1236" s="183">
        <v>18614</v>
      </c>
      <c r="H1236" s="183" t="s">
        <v>12027</v>
      </c>
    </row>
    <row r="1237" spans="1:8">
      <c r="C1237" s="183">
        <v>4725</v>
      </c>
      <c r="H1237" s="183" t="s">
        <v>12028</v>
      </c>
    </row>
    <row r="1238" spans="1:8">
      <c r="C1238" s="183">
        <v>25670</v>
      </c>
      <c r="H1238" s="183" t="s">
        <v>12029</v>
      </c>
    </row>
    <row r="1239" spans="1:8">
      <c r="C1239" s="183">
        <v>37846</v>
      </c>
      <c r="H1239" s="183" t="s">
        <v>12030</v>
      </c>
    </row>
    <row r="1241" spans="1:8">
      <c r="A1241" s="183" t="s">
        <v>12031</v>
      </c>
    </row>
    <row r="1242" spans="1:8">
      <c r="E1242" s="183">
        <v>60</v>
      </c>
      <c r="H1242" s="183" t="s">
        <v>12032</v>
      </c>
    </row>
    <row r="1243" spans="1:8">
      <c r="E1243" s="183">
        <v>500</v>
      </c>
      <c r="H1243" s="183" t="s">
        <v>12033</v>
      </c>
    </row>
    <row r="1244" spans="1:8">
      <c r="E1244" s="183">
        <v>100</v>
      </c>
      <c r="H1244" s="183" t="s">
        <v>12034</v>
      </c>
    </row>
    <row r="1245" spans="1:8">
      <c r="E1245" s="699" t="s">
        <v>12035</v>
      </c>
      <c r="F1245" s="699"/>
      <c r="G1245" s="699"/>
    </row>
    <row r="1247" spans="1:8">
      <c r="A1247" s="183" t="s">
        <v>12036</v>
      </c>
    </row>
    <row r="1248" spans="1:8">
      <c r="E1248" s="183">
        <v>120</v>
      </c>
      <c r="H1248" s="183" t="s">
        <v>12037</v>
      </c>
    </row>
    <row r="1249" spans="1:8">
      <c r="E1249" s="699" t="s">
        <v>12038</v>
      </c>
      <c r="F1249" s="699"/>
      <c r="G1249" s="699"/>
    </row>
    <row r="1250" spans="1:8">
      <c r="E1250" s="699"/>
      <c r="F1250" s="699"/>
      <c r="G1250" s="699"/>
    </row>
    <row r="1251" spans="1:8">
      <c r="A1251" s="183" t="s">
        <v>12039</v>
      </c>
    </row>
    <row r="1252" spans="1:8">
      <c r="E1252" s="183">
        <v>1205</v>
      </c>
      <c r="H1252" s="183" t="s">
        <v>12040</v>
      </c>
    </row>
    <row r="1253" spans="1:8">
      <c r="E1253" s="183">
        <v>178</v>
      </c>
      <c r="H1253" s="183" t="s">
        <v>12041</v>
      </c>
    </row>
    <row r="1254" spans="1:8">
      <c r="E1254" s="699" t="s">
        <v>12042</v>
      </c>
      <c r="F1254" s="699"/>
      <c r="G1254" s="699"/>
    </row>
    <row r="1256" spans="1:8">
      <c r="A1256" s="183" t="s">
        <v>12043</v>
      </c>
    </row>
    <row r="1257" spans="1:8">
      <c r="C1257" s="183">
        <v>50000</v>
      </c>
      <c r="H1257" s="183" t="s">
        <v>12044</v>
      </c>
    </row>
    <row r="1259" spans="1:8">
      <c r="A1259" s="183" t="s">
        <v>12045</v>
      </c>
    </row>
    <row r="1260" spans="1:8">
      <c r="C1260" s="183">
        <v>15000</v>
      </c>
      <c r="H1260" s="183" t="s">
        <v>12046</v>
      </c>
    </row>
    <row r="1262" spans="1:8">
      <c r="A1262" s="183" t="s">
        <v>12047</v>
      </c>
    </row>
    <row r="1263" spans="1:8">
      <c r="C1263" s="183">
        <v>25670</v>
      </c>
      <c r="H1263" s="183" t="s">
        <v>12048</v>
      </c>
    </row>
    <row r="1264" spans="1:8">
      <c r="C1264" s="183">
        <v>63516</v>
      </c>
      <c r="H1264" s="183" t="s">
        <v>12049</v>
      </c>
    </row>
    <row r="1265" spans="1:8">
      <c r="C1265" s="183">
        <v>12000</v>
      </c>
      <c r="H1265" s="183" t="s">
        <v>12050</v>
      </c>
    </row>
    <row r="1266" spans="1:8">
      <c r="C1266" s="183">
        <v>5140</v>
      </c>
      <c r="H1266" s="183" t="s">
        <v>12051</v>
      </c>
    </row>
    <row r="1267" spans="1:8">
      <c r="C1267" s="183">
        <v>5000</v>
      </c>
      <c r="H1267" s="183" t="s">
        <v>11955</v>
      </c>
    </row>
    <row r="1268" spans="1:8">
      <c r="D1268" s="183">
        <v>5000</v>
      </c>
      <c r="H1268" s="183" t="s">
        <v>11466</v>
      </c>
    </row>
    <row r="1269" spans="1:8">
      <c r="E1269" s="699" t="s">
        <v>12052</v>
      </c>
      <c r="F1269" s="699"/>
      <c r="G1269" s="699"/>
    </row>
    <row r="1270" spans="1:8">
      <c r="E1270" s="699"/>
      <c r="F1270" s="699"/>
      <c r="G1270" s="699"/>
    </row>
    <row r="1271" spans="1:8">
      <c r="A1271" s="183" t="s">
        <v>12053</v>
      </c>
    </row>
    <row r="1272" spans="1:8">
      <c r="E1272" s="183">
        <v>1205</v>
      </c>
      <c r="H1272" s="183" t="s">
        <v>12054</v>
      </c>
    </row>
    <row r="1273" spans="1:8">
      <c r="E1273" s="183">
        <v>45</v>
      </c>
      <c r="H1273" s="183" t="s">
        <v>12055</v>
      </c>
    </row>
    <row r="1274" spans="1:8">
      <c r="E1274" s="699" t="s">
        <v>12056</v>
      </c>
      <c r="F1274" s="699"/>
      <c r="G1274" s="699"/>
      <c r="H1274" s="699" t="s">
        <v>12057</v>
      </c>
    </row>
    <row r="1276" spans="1:8">
      <c r="A1276" s="183" t="s">
        <v>12058</v>
      </c>
    </row>
    <row r="1277" spans="1:8">
      <c r="E1277" s="183">
        <v>92</v>
      </c>
      <c r="H1277" s="183" t="s">
        <v>12059</v>
      </c>
    </row>
    <row r="1278" spans="1:8">
      <c r="E1278" s="699" t="s">
        <v>12060</v>
      </c>
      <c r="F1278" s="699"/>
      <c r="G1278" s="699"/>
    </row>
    <row r="1279" spans="1:8">
      <c r="E1279" s="699"/>
      <c r="F1279" s="699"/>
      <c r="G1279" s="699"/>
    </row>
    <row r="1280" spans="1:8">
      <c r="A1280" s="183" t="s">
        <v>12061</v>
      </c>
    </row>
    <row r="1281" spans="1:8">
      <c r="E1281" s="183">
        <v>75</v>
      </c>
      <c r="H1281" s="183" t="s">
        <v>12062</v>
      </c>
    </row>
    <row r="1282" spans="1:8">
      <c r="E1282" s="699" t="s">
        <v>12063</v>
      </c>
      <c r="F1282" s="699"/>
      <c r="G1282" s="699"/>
    </row>
    <row r="1283" spans="1:8">
      <c r="E1283" s="699"/>
      <c r="F1283" s="699"/>
      <c r="G1283" s="699"/>
    </row>
    <row r="1284" spans="1:8">
      <c r="A1284" s="183" t="s">
        <v>12064</v>
      </c>
    </row>
    <row r="1285" spans="1:8">
      <c r="E1285" s="183">
        <v>2000</v>
      </c>
      <c r="F1285" s="183">
        <v>2199</v>
      </c>
      <c r="H1285" s="183" t="s">
        <v>12065</v>
      </c>
    </row>
    <row r="1286" spans="1:8">
      <c r="E1286" s="699" t="s">
        <v>12066</v>
      </c>
      <c r="F1286" s="699"/>
      <c r="G1286" s="699"/>
    </row>
    <row r="1287" spans="1:8">
      <c r="E1287" s="699"/>
      <c r="F1287" s="699"/>
      <c r="G1287" s="699"/>
    </row>
    <row r="1288" spans="1:8">
      <c r="A1288" s="183" t="s">
        <v>12067</v>
      </c>
    </row>
    <row r="1289" spans="1:8">
      <c r="C1289" s="183">
        <v>30000</v>
      </c>
      <c r="H1289" s="183" t="s">
        <v>12068</v>
      </c>
    </row>
    <row r="1290" spans="1:8" s="704" customFormat="1"/>
    <row r="1291" spans="1:8">
      <c r="A1291" s="183" t="s">
        <v>12069</v>
      </c>
    </row>
    <row r="1292" spans="1:8">
      <c r="C1292" s="183">
        <v>15000</v>
      </c>
      <c r="H1292" s="183" t="s">
        <v>12070</v>
      </c>
    </row>
    <row r="1294" spans="1:8">
      <c r="A1294" s="183" t="s">
        <v>12071</v>
      </c>
    </row>
    <row r="1295" spans="1:8">
      <c r="E1295" s="183">
        <v>18</v>
      </c>
      <c r="F1295" s="183">
        <v>2181</v>
      </c>
      <c r="G1295" s="183" t="s">
        <v>12072</v>
      </c>
      <c r="H1295" s="183" t="s">
        <v>12073</v>
      </c>
    </row>
    <row r="1296" spans="1:8">
      <c r="E1296" s="699" t="s">
        <v>12074</v>
      </c>
      <c r="F1296" s="699"/>
      <c r="G1296" s="699"/>
    </row>
    <row r="1297" spans="1:8">
      <c r="E1297" s="699"/>
      <c r="F1297" s="699"/>
      <c r="G1297" s="699"/>
    </row>
    <row r="1298" spans="1:8">
      <c r="A1298" s="183" t="s">
        <v>12075</v>
      </c>
    </row>
    <row r="1299" spans="1:8">
      <c r="C1299" s="183">
        <v>25670</v>
      </c>
      <c r="H1299" s="183" t="s">
        <v>12076</v>
      </c>
    </row>
    <row r="1300" spans="1:8">
      <c r="C1300" s="183">
        <v>63516</v>
      </c>
      <c r="H1300" s="183" t="s">
        <v>12077</v>
      </c>
    </row>
    <row r="1301" spans="1:8">
      <c r="C1301" s="183">
        <v>45000</v>
      </c>
      <c r="H1301" s="183" t="s">
        <v>12078</v>
      </c>
    </row>
    <row r="1303" spans="1:8">
      <c r="A1303" s="183" t="s">
        <v>12079</v>
      </c>
    </row>
    <row r="1304" spans="1:8">
      <c r="C1304" s="183">
        <v>462</v>
      </c>
      <c r="H1304" s="183" t="s">
        <v>12080</v>
      </c>
    </row>
    <row r="1307" spans="1:8">
      <c r="H1307" s="705" t="s">
        <v>12081</v>
      </c>
    </row>
    <row r="1309" spans="1:8">
      <c r="A1309" s="183" t="s">
        <v>12082</v>
      </c>
    </row>
    <row r="1310" spans="1:8">
      <c r="E1310" s="183">
        <v>100</v>
      </c>
      <c r="G1310" s="183" t="s">
        <v>12083</v>
      </c>
      <c r="H1310" s="183" t="s">
        <v>12084</v>
      </c>
    </row>
    <row r="1311" spans="1:8">
      <c r="E1311" s="699" t="s">
        <v>12085</v>
      </c>
      <c r="F1311" s="699"/>
      <c r="G1311" s="699"/>
    </row>
    <row r="1313" spans="1:8">
      <c r="A1313" s="183" t="s">
        <v>12082</v>
      </c>
    </row>
    <row r="1314" spans="1:8">
      <c r="C1314" s="183">
        <v>11930</v>
      </c>
      <c r="H1314" s="183" t="s">
        <v>12086</v>
      </c>
    </row>
    <row r="1315" spans="1:8">
      <c r="E1315" s="699" t="s">
        <v>12085</v>
      </c>
      <c r="F1315" s="699"/>
      <c r="G1315" s="699"/>
    </row>
    <row r="1317" spans="1:8">
      <c r="A1317" s="183" t="s">
        <v>12087</v>
      </c>
    </row>
    <row r="1318" spans="1:8">
      <c r="D1318" s="183">
        <v>100</v>
      </c>
      <c r="H1318" s="183" t="s">
        <v>12088</v>
      </c>
    </row>
    <row r="1319" spans="1:8">
      <c r="E1319" s="699" t="s">
        <v>12074</v>
      </c>
      <c r="F1319" s="699"/>
      <c r="G1319" s="699"/>
    </row>
    <row r="1320" spans="1:8">
      <c r="E1320" s="699"/>
      <c r="F1320" s="699"/>
      <c r="G1320" s="699"/>
    </row>
    <row r="1321" spans="1:8">
      <c r="A1321" s="183" t="s">
        <v>12089</v>
      </c>
    </row>
    <row r="1322" spans="1:8">
      <c r="E1322" s="183">
        <v>1205</v>
      </c>
      <c r="G1322" s="183" t="s">
        <v>12090</v>
      </c>
      <c r="H1322" s="183" t="s">
        <v>12091</v>
      </c>
    </row>
    <row r="1323" spans="1:8">
      <c r="E1323" s="699" t="s">
        <v>12092</v>
      </c>
      <c r="F1323" s="699"/>
      <c r="G1323" s="699"/>
    </row>
    <row r="1324" spans="1:8">
      <c r="E1324" s="699"/>
      <c r="F1324" s="699"/>
      <c r="G1324" s="699"/>
    </row>
    <row r="1325" spans="1:8">
      <c r="A1325" s="702" t="s">
        <v>12093</v>
      </c>
    </row>
    <row r="1326" spans="1:8">
      <c r="C1326" s="702">
        <v>20000</v>
      </c>
      <c r="H1326" s="702" t="s">
        <v>12094</v>
      </c>
    </row>
    <row r="1327" spans="1:8">
      <c r="E1327" s="699"/>
      <c r="F1327" s="699"/>
      <c r="G1327" s="699"/>
    </row>
    <row r="1329" spans="1:8">
      <c r="A1329" s="183" t="s">
        <v>12095</v>
      </c>
    </row>
    <row r="1330" spans="1:8">
      <c r="E1330" s="183">
        <v>188</v>
      </c>
      <c r="G1330" s="183" t="s">
        <v>12096</v>
      </c>
      <c r="H1330" s="183" t="s">
        <v>12097</v>
      </c>
    </row>
    <row r="1331" spans="1:8">
      <c r="E1331" s="699" t="s">
        <v>12098</v>
      </c>
      <c r="F1331" s="699"/>
      <c r="G1331" s="699"/>
      <c r="H1331" s="699" t="s">
        <v>12099</v>
      </c>
    </row>
    <row r="1333" spans="1:8">
      <c r="A1333" s="183" t="s">
        <v>12100</v>
      </c>
    </row>
    <row r="1334" spans="1:8">
      <c r="C1334" s="183">
        <v>15000</v>
      </c>
      <c r="H1334" s="183" t="s">
        <v>12101</v>
      </c>
    </row>
    <row r="1335" spans="1:8">
      <c r="C1335" s="183">
        <v>5000</v>
      </c>
      <c r="H1335" s="183" t="s">
        <v>12102</v>
      </c>
    </row>
    <row r="1336" spans="1:8">
      <c r="E1336" s="183">
        <v>10</v>
      </c>
      <c r="G1336" s="183" t="s">
        <v>12103</v>
      </c>
      <c r="H1336" s="183" t="s">
        <v>12104</v>
      </c>
    </row>
    <row r="1337" spans="1:8">
      <c r="E1337" s="699" t="s">
        <v>12105</v>
      </c>
      <c r="F1337" s="699"/>
      <c r="G1337" s="699"/>
    </row>
    <row r="1339" spans="1:8">
      <c r="A1339" s="183" t="s">
        <v>12106</v>
      </c>
    </row>
    <row r="1340" spans="1:8">
      <c r="D1340" s="183">
        <v>5000</v>
      </c>
      <c r="H1340" s="183" t="s">
        <v>11466</v>
      </c>
    </row>
    <row r="1341" spans="1:8">
      <c r="E1341" s="699" t="s">
        <v>12107</v>
      </c>
      <c r="F1341" s="699"/>
      <c r="G1341" s="699"/>
    </row>
    <row r="1343" spans="1:8">
      <c r="A1343" s="183" t="s">
        <v>12108</v>
      </c>
    </row>
    <row r="1344" spans="1:8">
      <c r="C1344" s="183">
        <v>25670</v>
      </c>
      <c r="H1344" s="183" t="s">
        <v>12109</v>
      </c>
    </row>
    <row r="1345" spans="1:8">
      <c r="C1345" s="183">
        <v>63516</v>
      </c>
      <c r="H1345" s="183" t="s">
        <v>12110</v>
      </c>
    </row>
    <row r="1347" spans="1:8">
      <c r="A1347" s="183" t="s">
        <v>12111</v>
      </c>
    </row>
    <row r="1348" spans="1:8">
      <c r="C1348" s="183">
        <v>12924</v>
      </c>
      <c r="H1348" s="183" t="s">
        <v>12112</v>
      </c>
    </row>
    <row r="1350" spans="1:8">
      <c r="A1350" s="183" t="s">
        <v>12113</v>
      </c>
    </row>
    <row r="1351" spans="1:8">
      <c r="E1351" s="183">
        <v>70</v>
      </c>
      <c r="G1351" s="183" t="s">
        <v>12114</v>
      </c>
      <c r="H1351" s="183" t="s">
        <v>12115</v>
      </c>
    </row>
    <row r="1352" spans="1:8">
      <c r="E1352" s="699" t="s">
        <v>12116</v>
      </c>
      <c r="F1352" s="699"/>
      <c r="G1352" s="699"/>
    </row>
    <row r="1354" spans="1:8">
      <c r="A1354" s="183" t="s">
        <v>12117</v>
      </c>
    </row>
    <row r="1355" spans="1:8">
      <c r="E1355" s="183">
        <v>1205</v>
      </c>
      <c r="G1355" s="183" t="s">
        <v>12090</v>
      </c>
      <c r="H1355" s="183" t="s">
        <v>12118</v>
      </c>
    </row>
    <row r="1356" spans="1:8">
      <c r="E1356" s="699" t="s">
        <v>12119</v>
      </c>
      <c r="F1356" s="699"/>
      <c r="G1356" s="699"/>
    </row>
    <row r="1357" spans="1:8">
      <c r="A1357" s="183" t="s">
        <v>12120</v>
      </c>
    </row>
    <row r="1358" spans="1:8">
      <c r="E1358" s="183">
        <v>420</v>
      </c>
      <c r="G1358" s="183" t="s">
        <v>12121</v>
      </c>
      <c r="H1358" s="183" t="s">
        <v>12122</v>
      </c>
    </row>
    <row r="1359" spans="1:8">
      <c r="E1359" s="699" t="s">
        <v>12123</v>
      </c>
      <c r="F1359" s="699"/>
      <c r="G1359" s="699"/>
      <c r="H1359" s="699" t="s">
        <v>12124</v>
      </c>
    </row>
    <row r="1360" spans="1:8">
      <c r="E1360" s="699"/>
      <c r="F1360" s="699"/>
      <c r="G1360" s="699"/>
      <c r="H1360" s="699"/>
    </row>
    <row r="1361" spans="1:8">
      <c r="A1361" s="183" t="s">
        <v>12125</v>
      </c>
      <c r="E1361" s="699"/>
      <c r="F1361" s="699"/>
      <c r="G1361" s="699"/>
      <c r="H1361" s="699"/>
    </row>
    <row r="1362" spans="1:8">
      <c r="E1362" s="206">
        <v>180</v>
      </c>
      <c r="F1362" s="206"/>
      <c r="G1362" s="183" t="s">
        <v>12072</v>
      </c>
      <c r="H1362" s="183" t="s">
        <v>12126</v>
      </c>
    </row>
    <row r="1363" spans="1:8">
      <c r="E1363" s="699" t="s">
        <v>12127</v>
      </c>
      <c r="F1363" s="699"/>
      <c r="G1363" s="699"/>
    </row>
    <row r="1364" spans="1:8">
      <c r="A1364" s="183" t="s">
        <v>12128</v>
      </c>
    </row>
    <row r="1365" spans="1:8">
      <c r="C1365" s="183">
        <v>15000</v>
      </c>
      <c r="H1365" s="183" t="s">
        <v>12129</v>
      </c>
    </row>
    <row r="1367" spans="1:8">
      <c r="A1367" s="183" t="s">
        <v>12130</v>
      </c>
    </row>
    <row r="1368" spans="1:8">
      <c r="C1368" s="183">
        <v>25670</v>
      </c>
      <c r="H1368" s="183" t="s">
        <v>12131</v>
      </c>
    </row>
    <row r="1369" spans="1:8">
      <c r="C1369" s="183">
        <v>63516</v>
      </c>
      <c r="H1369" s="183" t="s">
        <v>12132</v>
      </c>
    </row>
    <row r="1370" spans="1:8">
      <c r="E1370" s="183">
        <v>120</v>
      </c>
      <c r="G1370" s="183" t="s">
        <v>12133</v>
      </c>
      <c r="H1370" s="183" t="s">
        <v>12134</v>
      </c>
    </row>
    <row r="1371" spans="1:8">
      <c r="E1371" s="699" t="s">
        <v>12135</v>
      </c>
      <c r="F1371" s="699"/>
      <c r="G1371" s="699"/>
    </row>
    <row r="1372" spans="1:8">
      <c r="E1372" s="699"/>
      <c r="F1372" s="699"/>
      <c r="G1372" s="699"/>
    </row>
    <row r="1373" spans="1:8">
      <c r="A1373" s="183" t="s">
        <v>12136</v>
      </c>
    </row>
    <row r="1374" spans="1:8">
      <c r="E1374" s="183">
        <v>1050</v>
      </c>
      <c r="G1374" s="183" t="s">
        <v>12137</v>
      </c>
      <c r="H1374" s="183" t="s">
        <v>12138</v>
      </c>
    </row>
    <row r="1375" spans="1:8">
      <c r="E1375" s="699" t="s">
        <v>12139</v>
      </c>
      <c r="F1375" s="699"/>
      <c r="G1375" s="699"/>
      <c r="H1375" s="699"/>
    </row>
    <row r="1377" spans="1:8">
      <c r="A1377" s="183" t="s">
        <v>12140</v>
      </c>
    </row>
    <row r="1378" spans="1:8">
      <c r="E1378" s="183">
        <v>18</v>
      </c>
      <c r="G1378" s="183" t="s">
        <v>12072</v>
      </c>
      <c r="H1378" s="183" t="s">
        <v>12141</v>
      </c>
    </row>
    <row r="1379" spans="1:8">
      <c r="E1379" s="699" t="s">
        <v>12142</v>
      </c>
      <c r="F1379" s="699"/>
      <c r="G1379" s="699"/>
    </row>
    <row r="1380" spans="1:8">
      <c r="E1380" s="699"/>
      <c r="F1380" s="699"/>
      <c r="G1380" s="699"/>
    </row>
    <row r="1381" spans="1:8">
      <c r="A1381" s="183" t="s">
        <v>12143</v>
      </c>
    </row>
    <row r="1382" spans="1:8">
      <c r="E1382" s="183">
        <v>125</v>
      </c>
      <c r="G1382" s="183" t="s">
        <v>12144</v>
      </c>
      <c r="H1382" s="183" t="s">
        <v>12145</v>
      </c>
    </row>
    <row r="1383" spans="1:8">
      <c r="E1383" s="183">
        <v>110</v>
      </c>
      <c r="G1383" s="183" t="s">
        <v>12083</v>
      </c>
      <c r="H1383" s="183" t="s">
        <v>12145</v>
      </c>
    </row>
    <row r="1384" spans="1:8">
      <c r="E1384" s="699" t="s">
        <v>12146</v>
      </c>
      <c r="F1384" s="699"/>
      <c r="G1384" s="699"/>
    </row>
    <row r="1385" spans="1:8">
      <c r="E1385" s="699"/>
      <c r="F1385" s="699"/>
      <c r="G1385" s="699"/>
    </row>
    <row r="1386" spans="1:8">
      <c r="A1386" s="183" t="s">
        <v>12147</v>
      </c>
      <c r="E1386" s="699"/>
      <c r="F1386" s="699"/>
      <c r="G1386" s="699"/>
    </row>
    <row r="1387" spans="1:8">
      <c r="E1387" s="206">
        <v>141</v>
      </c>
      <c r="F1387" s="206"/>
      <c r="G1387" s="183" t="s">
        <v>12103</v>
      </c>
      <c r="H1387" s="183" t="s">
        <v>12148</v>
      </c>
    </row>
    <row r="1388" spans="1:8">
      <c r="E1388" s="699" t="s">
        <v>12149</v>
      </c>
      <c r="F1388" s="699"/>
      <c r="G1388" s="699"/>
    </row>
    <row r="1389" spans="1:8">
      <c r="E1389" s="699"/>
      <c r="F1389" s="699"/>
      <c r="G1389" s="699"/>
    </row>
    <row r="1390" spans="1:8">
      <c r="A1390" s="183" t="s">
        <v>12150</v>
      </c>
      <c r="E1390" s="699"/>
      <c r="F1390" s="699"/>
      <c r="G1390" s="699"/>
    </row>
    <row r="1391" spans="1:8">
      <c r="E1391" s="206">
        <v>141</v>
      </c>
      <c r="F1391" s="206"/>
      <c r="G1391" s="183" t="s">
        <v>12103</v>
      </c>
      <c r="H1391" s="183" t="s">
        <v>12151</v>
      </c>
    </row>
    <row r="1392" spans="1:8">
      <c r="E1392" s="699" t="s">
        <v>12152</v>
      </c>
      <c r="F1392" s="699"/>
      <c r="G1392" s="699"/>
    </row>
    <row r="1393" spans="1:8">
      <c r="E1393" s="699"/>
      <c r="F1393" s="699"/>
      <c r="G1393" s="699"/>
    </row>
    <row r="1394" spans="1:8">
      <c r="A1394" s="183" t="s">
        <v>12150</v>
      </c>
      <c r="E1394" s="699"/>
      <c r="F1394" s="699"/>
      <c r="G1394" s="699"/>
    </row>
    <row r="1395" spans="1:8">
      <c r="C1395" s="183">
        <v>5000</v>
      </c>
      <c r="E1395" s="699"/>
      <c r="F1395" s="699"/>
      <c r="G1395" s="699"/>
      <c r="H1395" s="183" t="s">
        <v>12153</v>
      </c>
    </row>
    <row r="1396" spans="1:8">
      <c r="E1396" s="699"/>
      <c r="F1396" s="699"/>
      <c r="G1396" s="699"/>
    </row>
    <row r="1397" spans="1:8">
      <c r="A1397" s="183" t="s">
        <v>12150</v>
      </c>
    </row>
    <row r="1398" spans="1:8">
      <c r="C1398" s="183">
        <v>1680</v>
      </c>
      <c r="H1398" s="183" t="s">
        <v>12154</v>
      </c>
    </row>
    <row r="1399" spans="1:8">
      <c r="E1399" s="183">
        <v>188</v>
      </c>
      <c r="G1399" s="183" t="s">
        <v>12096</v>
      </c>
      <c r="H1399" s="183" t="s">
        <v>12155</v>
      </c>
    </row>
    <row r="1400" spans="1:8">
      <c r="E1400" s="183">
        <v>78</v>
      </c>
      <c r="G1400" s="183" t="s">
        <v>12156</v>
      </c>
      <c r="H1400" s="183" t="s">
        <v>12157</v>
      </c>
    </row>
    <row r="1401" spans="1:8">
      <c r="E1401" s="183">
        <v>45</v>
      </c>
      <c r="G1401" s="183" t="s">
        <v>11099</v>
      </c>
      <c r="H1401" s="183" t="s">
        <v>12158</v>
      </c>
    </row>
    <row r="1402" spans="1:8">
      <c r="C1402" s="183">
        <v>5000</v>
      </c>
      <c r="H1402" s="183" t="s">
        <v>12159</v>
      </c>
    </row>
    <row r="1403" spans="1:8">
      <c r="D1403" s="183">
        <v>5000</v>
      </c>
      <c r="H1403" s="183" t="s">
        <v>11466</v>
      </c>
    </row>
    <row r="1404" spans="1:8">
      <c r="E1404" s="699" t="s">
        <v>12160</v>
      </c>
      <c r="F1404" s="699"/>
      <c r="G1404" s="699"/>
      <c r="H1404" s="699" t="s">
        <v>12161</v>
      </c>
    </row>
    <row r="1405" spans="1:8">
      <c r="E1405" s="699"/>
      <c r="F1405" s="699"/>
      <c r="G1405" s="699"/>
      <c r="H1405" s="699"/>
    </row>
    <row r="1406" spans="1:8">
      <c r="A1406" s="183" t="s">
        <v>12162</v>
      </c>
    </row>
    <row r="1407" spans="1:8">
      <c r="E1407" s="183">
        <v>75</v>
      </c>
      <c r="G1407" s="183" t="s">
        <v>12163</v>
      </c>
      <c r="H1407" s="183" t="s">
        <v>12164</v>
      </c>
    </row>
    <row r="1408" spans="1:8">
      <c r="E1408" s="183">
        <v>70</v>
      </c>
      <c r="G1408" s="183" t="s">
        <v>12083</v>
      </c>
      <c r="H1408" s="183" t="s">
        <v>12164</v>
      </c>
    </row>
    <row r="1409" spans="1:8">
      <c r="E1409" s="699" t="s">
        <v>12165</v>
      </c>
      <c r="F1409" s="699"/>
      <c r="G1409" s="699"/>
    </row>
    <row r="1410" spans="1:8">
      <c r="E1410" s="699"/>
      <c r="F1410" s="699"/>
      <c r="G1410" s="699"/>
    </row>
    <row r="1411" spans="1:8">
      <c r="A1411" s="183" t="s">
        <v>12166</v>
      </c>
      <c r="E1411" s="699"/>
      <c r="F1411" s="699"/>
      <c r="G1411" s="699"/>
      <c r="H1411" s="699"/>
    </row>
    <row r="1412" spans="1:8">
      <c r="E1412" s="206">
        <v>110</v>
      </c>
      <c r="F1412" s="206"/>
      <c r="G1412" s="183" t="s">
        <v>12103</v>
      </c>
      <c r="H1412" s="206" t="s">
        <v>12167</v>
      </c>
    </row>
    <row r="1413" spans="1:8">
      <c r="E1413" s="699" t="s">
        <v>12168</v>
      </c>
      <c r="F1413" s="699"/>
      <c r="G1413" s="699"/>
      <c r="H1413" s="699"/>
    </row>
    <row r="1414" spans="1:8">
      <c r="E1414" s="699"/>
      <c r="F1414" s="699"/>
      <c r="G1414" s="699"/>
      <c r="H1414" s="699"/>
    </row>
    <row r="1415" spans="1:8">
      <c r="A1415" s="183" t="s">
        <v>12166</v>
      </c>
    </row>
    <row r="1416" spans="1:8">
      <c r="E1416" s="183">
        <v>1750</v>
      </c>
      <c r="G1416" s="183" t="s">
        <v>12137</v>
      </c>
      <c r="H1416" s="183" t="s">
        <v>12169</v>
      </c>
    </row>
    <row r="1417" spans="1:8">
      <c r="E1417" s="183">
        <v>1205</v>
      </c>
      <c r="G1417" s="183" t="s">
        <v>12090</v>
      </c>
      <c r="H1417" s="183" t="s">
        <v>12170</v>
      </c>
    </row>
    <row r="1418" spans="1:8">
      <c r="E1418" s="699" t="s">
        <v>12171</v>
      </c>
      <c r="F1418" s="699"/>
      <c r="G1418" s="699"/>
      <c r="H1418" s="699"/>
    </row>
    <row r="1419" spans="1:8">
      <c r="E1419" s="699"/>
      <c r="F1419" s="699"/>
      <c r="G1419" s="699"/>
      <c r="H1419" s="699"/>
    </row>
    <row r="1420" spans="1:8">
      <c r="A1420" s="183" t="s">
        <v>12172</v>
      </c>
    </row>
    <row r="1421" spans="1:8">
      <c r="E1421" s="183">
        <v>370</v>
      </c>
      <c r="G1421" s="183" t="s">
        <v>12083</v>
      </c>
      <c r="H1421" s="183" t="s">
        <v>12173</v>
      </c>
    </row>
    <row r="1422" spans="1:8">
      <c r="E1422" s="183">
        <v>350</v>
      </c>
      <c r="G1422" s="183" t="s">
        <v>12083</v>
      </c>
      <c r="H1422" s="183" t="s">
        <v>12174</v>
      </c>
    </row>
    <row r="1423" spans="1:8">
      <c r="D1423" s="183" t="s">
        <v>11678</v>
      </c>
      <c r="E1423" s="699" t="s">
        <v>12175</v>
      </c>
      <c r="F1423" s="699"/>
      <c r="G1423" s="699"/>
    </row>
    <row r="1424" spans="1:8">
      <c r="E1424" s="699"/>
      <c r="F1424" s="699"/>
      <c r="G1424" s="699"/>
    </row>
    <row r="1425" spans="1:8">
      <c r="A1425" s="183" t="s">
        <v>12176</v>
      </c>
      <c r="E1425" s="699"/>
      <c r="F1425" s="699"/>
      <c r="G1425" s="699"/>
    </row>
    <row r="1426" spans="1:8">
      <c r="E1426" s="206">
        <v>96</v>
      </c>
      <c r="F1426" s="206"/>
      <c r="G1426" s="183" t="s">
        <v>11131</v>
      </c>
      <c r="H1426" s="183" t="s">
        <v>12177</v>
      </c>
    </row>
    <row r="1427" spans="1:8">
      <c r="E1427" s="206">
        <v>59</v>
      </c>
      <c r="F1427" s="206"/>
      <c r="G1427" s="183" t="s">
        <v>12072</v>
      </c>
      <c r="H1427" s="183" t="s">
        <v>12178</v>
      </c>
    </row>
    <row r="1428" spans="1:8">
      <c r="D1428" s="183" t="s">
        <v>11678</v>
      </c>
      <c r="E1428" s="699" t="s">
        <v>12179</v>
      </c>
      <c r="F1428" s="699"/>
      <c r="G1428" s="699"/>
    </row>
    <row r="1429" spans="1:8">
      <c r="E1429" s="699"/>
      <c r="F1429" s="699"/>
      <c r="G1429" s="699"/>
    </row>
    <row r="1430" spans="1:8">
      <c r="A1430" s="183" t="s">
        <v>12180</v>
      </c>
      <c r="E1430" s="699"/>
      <c r="F1430" s="699"/>
      <c r="G1430" s="699"/>
    </row>
    <row r="1431" spans="1:8">
      <c r="E1431" s="206">
        <v>45</v>
      </c>
      <c r="F1431" s="206"/>
      <c r="G1431" s="183" t="s">
        <v>12072</v>
      </c>
      <c r="H1431" s="183" t="s">
        <v>12181</v>
      </c>
    </row>
    <row r="1432" spans="1:8">
      <c r="D1432" s="183" t="s">
        <v>11678</v>
      </c>
      <c r="E1432" s="699" t="s">
        <v>12182</v>
      </c>
      <c r="F1432" s="699"/>
      <c r="G1432" s="699"/>
    </row>
    <row r="1433" spans="1:8">
      <c r="E1433" s="699"/>
      <c r="F1433" s="699"/>
      <c r="G1433" s="699"/>
    </row>
    <row r="1434" spans="1:8">
      <c r="A1434" s="183" t="s">
        <v>12183</v>
      </c>
    </row>
    <row r="1435" spans="1:8">
      <c r="E1435" s="183">
        <v>180</v>
      </c>
      <c r="G1435" s="183" t="s">
        <v>12083</v>
      </c>
      <c r="H1435" s="183" t="s">
        <v>12184</v>
      </c>
    </row>
    <row r="1436" spans="1:8">
      <c r="E1436" s="183">
        <v>170</v>
      </c>
      <c r="G1436" s="183" t="s">
        <v>12185</v>
      </c>
      <c r="H1436" s="183" t="s">
        <v>12184</v>
      </c>
    </row>
    <row r="1437" spans="1:8">
      <c r="D1437" s="183" t="s">
        <v>12186</v>
      </c>
      <c r="E1437" s="699" t="s">
        <v>12187</v>
      </c>
      <c r="F1437" s="699"/>
      <c r="G1437" s="699"/>
    </row>
    <row r="1438" spans="1:8">
      <c r="E1438" s="699"/>
      <c r="F1438" s="699"/>
      <c r="G1438" s="699"/>
    </row>
    <row r="1439" spans="1:8">
      <c r="A1439" s="183" t="s">
        <v>12188</v>
      </c>
      <c r="E1439" s="699"/>
      <c r="F1439" s="699"/>
      <c r="G1439" s="699"/>
    </row>
    <row r="1440" spans="1:8" ht="49.5">
      <c r="E1440" s="206">
        <v>800</v>
      </c>
      <c r="F1440" s="206"/>
      <c r="G1440" s="183" t="s">
        <v>12189</v>
      </c>
      <c r="H1440" s="694" t="s">
        <v>12190</v>
      </c>
    </row>
    <row r="1441" spans="1:8">
      <c r="E1441" s="206">
        <v>30</v>
      </c>
      <c r="F1441" s="206"/>
      <c r="G1441" s="183" t="s">
        <v>12191</v>
      </c>
      <c r="H1441" s="183" t="s">
        <v>12192</v>
      </c>
    </row>
    <row r="1442" spans="1:8">
      <c r="D1442" s="183" t="s">
        <v>11678</v>
      </c>
      <c r="E1442" s="699" t="s">
        <v>12193</v>
      </c>
      <c r="F1442" s="699"/>
      <c r="G1442" s="699"/>
      <c r="H1442" s="699" t="s">
        <v>12194</v>
      </c>
    </row>
    <row r="1443" spans="1:8">
      <c r="E1443" s="699"/>
      <c r="F1443" s="699"/>
      <c r="G1443" s="699"/>
    </row>
    <row r="1444" spans="1:8">
      <c r="A1444" s="183" t="s">
        <v>12195</v>
      </c>
    </row>
    <row r="1445" spans="1:8">
      <c r="E1445" s="183">
        <v>120</v>
      </c>
      <c r="G1445" s="183" t="s">
        <v>12185</v>
      </c>
      <c r="H1445" s="183" t="s">
        <v>12196</v>
      </c>
    </row>
    <row r="1446" spans="1:8">
      <c r="E1446" s="183">
        <v>135</v>
      </c>
      <c r="G1446" s="183" t="s">
        <v>12083</v>
      </c>
      <c r="H1446" s="183" t="s">
        <v>12197</v>
      </c>
    </row>
    <row r="1447" spans="1:8">
      <c r="D1447" s="183" t="s">
        <v>12198</v>
      </c>
      <c r="E1447" s="699" t="s">
        <v>12199</v>
      </c>
      <c r="F1447" s="699"/>
      <c r="G1447" s="699"/>
    </row>
    <row r="1448" spans="1:8">
      <c r="E1448" s="699"/>
      <c r="F1448" s="699"/>
      <c r="G1448" s="699"/>
    </row>
    <row r="1449" spans="1:8">
      <c r="A1449" s="183" t="s">
        <v>12200</v>
      </c>
    </row>
    <row r="1450" spans="1:8">
      <c r="E1450" s="183">
        <v>75</v>
      </c>
      <c r="G1450" s="183" t="s">
        <v>12185</v>
      </c>
      <c r="H1450" s="183" t="s">
        <v>12201</v>
      </c>
    </row>
    <row r="1451" spans="1:8">
      <c r="E1451" s="183">
        <v>85</v>
      </c>
      <c r="G1451" s="183" t="s">
        <v>12185</v>
      </c>
      <c r="H1451" s="183" t="s">
        <v>12202</v>
      </c>
    </row>
    <row r="1452" spans="1:8">
      <c r="D1452" s="183" t="s">
        <v>12198</v>
      </c>
      <c r="E1452" s="699" t="s">
        <v>12203</v>
      </c>
      <c r="F1452" s="699"/>
      <c r="G1452" s="699"/>
    </row>
    <row r="1453" spans="1:8">
      <c r="E1453" s="699"/>
      <c r="F1453" s="699"/>
      <c r="G1453" s="699"/>
    </row>
    <row r="1454" spans="1:8">
      <c r="A1454" s="183" t="s">
        <v>12204</v>
      </c>
    </row>
    <row r="1455" spans="1:8">
      <c r="C1455" s="183">
        <v>15000</v>
      </c>
      <c r="H1455" s="183" t="s">
        <v>12205</v>
      </c>
    </row>
    <row r="1457" spans="1:8">
      <c r="A1457" s="183" t="s">
        <v>12204</v>
      </c>
    </row>
    <row r="1458" spans="1:8">
      <c r="E1458" s="183">
        <v>35</v>
      </c>
      <c r="G1458" s="183" t="s">
        <v>12114</v>
      </c>
      <c r="H1458" s="183" t="s">
        <v>12206</v>
      </c>
    </row>
    <row r="1459" spans="1:8">
      <c r="D1459" s="183" t="s">
        <v>12207</v>
      </c>
      <c r="E1459" s="699" t="s">
        <v>12208</v>
      </c>
      <c r="F1459" s="699"/>
      <c r="G1459" s="699"/>
    </row>
    <row r="1460" spans="1:8">
      <c r="E1460" s="699"/>
      <c r="F1460" s="699"/>
      <c r="G1460" s="699"/>
    </row>
    <row r="1461" spans="1:8">
      <c r="A1461" s="183" t="s">
        <v>12209</v>
      </c>
    </row>
    <row r="1462" spans="1:8">
      <c r="E1462" s="183">
        <v>260</v>
      </c>
      <c r="G1462" s="183" t="s">
        <v>12163</v>
      </c>
      <c r="H1462" s="183" t="s">
        <v>12210</v>
      </c>
    </row>
    <row r="1463" spans="1:8">
      <c r="E1463" s="183">
        <v>315</v>
      </c>
      <c r="G1463" s="183" t="s">
        <v>12185</v>
      </c>
      <c r="H1463" s="183" t="s">
        <v>12211</v>
      </c>
    </row>
    <row r="1464" spans="1:8">
      <c r="D1464" s="183" t="s">
        <v>11678</v>
      </c>
      <c r="E1464" s="699" t="s">
        <v>12212</v>
      </c>
      <c r="F1464" s="699"/>
      <c r="G1464" s="699"/>
    </row>
    <row r="1465" spans="1:8">
      <c r="E1465" s="699"/>
      <c r="F1465" s="699"/>
      <c r="G1465" s="699"/>
    </row>
    <row r="1466" spans="1:8">
      <c r="A1466" s="183" t="s">
        <v>12213</v>
      </c>
      <c r="E1466" s="699"/>
      <c r="F1466" s="699"/>
      <c r="G1466" s="699"/>
    </row>
    <row r="1467" spans="1:8">
      <c r="E1467" s="206">
        <v>141</v>
      </c>
      <c r="F1467" s="206"/>
      <c r="G1467" s="183" t="s">
        <v>12114</v>
      </c>
      <c r="H1467" s="183" t="s">
        <v>12214</v>
      </c>
    </row>
    <row r="1468" spans="1:8">
      <c r="E1468" s="699" t="s">
        <v>12215</v>
      </c>
      <c r="F1468" s="699"/>
      <c r="G1468" s="699"/>
    </row>
    <row r="1469" spans="1:8">
      <c r="E1469" s="699"/>
      <c r="F1469" s="699"/>
      <c r="G1469" s="699"/>
    </row>
    <row r="1470" spans="1:8">
      <c r="A1470" s="183" t="s">
        <v>12216</v>
      </c>
      <c r="E1470" s="699"/>
      <c r="F1470" s="699"/>
      <c r="G1470" s="699"/>
    </row>
    <row r="1471" spans="1:8">
      <c r="D1471" s="183">
        <v>5000</v>
      </c>
      <c r="H1471" s="183" t="s">
        <v>11466</v>
      </c>
    </row>
    <row r="1472" spans="1:8">
      <c r="C1472" s="183">
        <v>64306</v>
      </c>
      <c r="H1472" s="183" t="s">
        <v>12217</v>
      </c>
    </row>
    <row r="1473" spans="1:8">
      <c r="C1473" s="183">
        <v>70300</v>
      </c>
      <c r="H1473" s="183" t="s">
        <v>12218</v>
      </c>
    </row>
    <row r="1474" spans="1:8">
      <c r="C1474" s="183">
        <v>8536</v>
      </c>
      <c r="H1474" s="183" t="s">
        <v>12219</v>
      </c>
    </row>
    <row r="1475" spans="1:8">
      <c r="C1475" s="183">
        <v>31295</v>
      </c>
      <c r="H1475" s="183" t="s">
        <v>12220</v>
      </c>
    </row>
    <row r="1476" spans="1:8">
      <c r="C1476" s="183">
        <v>63516</v>
      </c>
      <c r="H1476" s="183" t="s">
        <v>12221</v>
      </c>
    </row>
    <row r="1477" spans="1:8">
      <c r="E1477" s="699" t="s">
        <v>12222</v>
      </c>
      <c r="F1477" s="699"/>
      <c r="G1477" s="699"/>
    </row>
    <row r="1478" spans="1:8">
      <c r="E1478" s="699"/>
      <c r="F1478" s="699"/>
      <c r="G1478" s="699"/>
    </row>
    <row r="1479" spans="1:8">
      <c r="A1479" s="183" t="s">
        <v>12223</v>
      </c>
      <c r="E1479" s="699"/>
      <c r="F1479" s="699"/>
      <c r="G1479" s="699"/>
    </row>
    <row r="1480" spans="1:8">
      <c r="E1480" s="206">
        <v>141</v>
      </c>
      <c r="F1480" s="206"/>
      <c r="G1480" s="183" t="s">
        <v>12103</v>
      </c>
      <c r="H1480" s="183" t="s">
        <v>12224</v>
      </c>
    </row>
    <row r="1481" spans="1:8">
      <c r="E1481" s="699" t="s">
        <v>12225</v>
      </c>
      <c r="F1481" s="699"/>
      <c r="G1481" s="699"/>
    </row>
    <row r="1483" spans="1:8">
      <c r="A1483" s="183" t="s">
        <v>12226</v>
      </c>
      <c r="E1483" s="699"/>
      <c r="F1483" s="699"/>
      <c r="G1483" s="699"/>
    </row>
    <row r="1484" spans="1:8">
      <c r="E1484" s="206">
        <v>100</v>
      </c>
      <c r="F1484" s="206"/>
      <c r="G1484" s="183" t="s">
        <v>12185</v>
      </c>
      <c r="H1484" s="183" t="s">
        <v>12227</v>
      </c>
    </row>
    <row r="1485" spans="1:8">
      <c r="E1485" s="699" t="s">
        <v>12228</v>
      </c>
      <c r="F1485" s="699"/>
      <c r="G1485" s="699"/>
    </row>
    <row r="1486" spans="1:8">
      <c r="E1486" s="699"/>
      <c r="F1486" s="699"/>
      <c r="G1486" s="699"/>
    </row>
    <row r="1487" spans="1:8">
      <c r="A1487" s="183" t="s">
        <v>12229</v>
      </c>
    </row>
    <row r="1488" spans="1:8">
      <c r="E1488" s="183">
        <v>1205</v>
      </c>
      <c r="G1488" s="183" t="s">
        <v>12230</v>
      </c>
      <c r="H1488" s="183" t="s">
        <v>12231</v>
      </c>
    </row>
    <row r="1489" spans="1:8">
      <c r="E1489" s="699" t="s">
        <v>12232</v>
      </c>
      <c r="F1489" s="699"/>
      <c r="G1489" s="699"/>
      <c r="H1489" s="699"/>
    </row>
    <row r="1490" spans="1:8">
      <c r="E1490" s="699"/>
      <c r="F1490" s="699"/>
      <c r="G1490" s="699"/>
      <c r="H1490" s="699"/>
    </row>
    <row r="1491" spans="1:8">
      <c r="A1491" s="183" t="s">
        <v>12233</v>
      </c>
      <c r="E1491" s="699"/>
      <c r="F1491" s="699"/>
      <c r="G1491" s="699"/>
    </row>
    <row r="1492" spans="1:8">
      <c r="C1492" s="183">
        <v>6000</v>
      </c>
      <c r="E1492" s="699"/>
      <c r="F1492" s="699"/>
      <c r="G1492" s="699"/>
      <c r="H1492" s="183" t="s">
        <v>12234</v>
      </c>
    </row>
    <row r="1493" spans="1:8">
      <c r="E1493" s="699"/>
      <c r="F1493" s="699"/>
      <c r="G1493" s="699"/>
    </row>
    <row r="1494" spans="1:8">
      <c r="A1494" s="183" t="s">
        <v>12235</v>
      </c>
    </row>
    <row r="1495" spans="1:8">
      <c r="C1495" s="183">
        <v>15000</v>
      </c>
      <c r="H1495" s="183" t="s">
        <v>12236</v>
      </c>
    </row>
    <row r="1497" spans="1:8">
      <c r="A1497" s="183" t="s">
        <v>12237</v>
      </c>
    </row>
    <row r="1498" spans="1:8">
      <c r="E1498" s="183">
        <v>18</v>
      </c>
      <c r="G1498" s="183" t="s">
        <v>1221</v>
      </c>
      <c r="H1498" s="183" t="s">
        <v>12238</v>
      </c>
    </row>
    <row r="1499" spans="1:8">
      <c r="E1499" s="183">
        <v>30</v>
      </c>
      <c r="G1499" s="183" t="s">
        <v>12083</v>
      </c>
      <c r="H1499" s="183" t="s">
        <v>12239</v>
      </c>
    </row>
    <row r="1500" spans="1:8">
      <c r="E1500" s="699" t="s">
        <v>12240</v>
      </c>
      <c r="F1500" s="699"/>
      <c r="G1500" s="699"/>
    </row>
    <row r="1501" spans="1:8">
      <c r="E1501" s="699"/>
      <c r="F1501" s="699"/>
      <c r="G1501" s="699"/>
    </row>
    <row r="1502" spans="1:8">
      <c r="A1502" s="183" t="s">
        <v>12241</v>
      </c>
      <c r="E1502" s="699"/>
      <c r="F1502" s="699"/>
      <c r="G1502" s="699"/>
    </row>
    <row r="1503" spans="1:8">
      <c r="C1503" s="183">
        <v>12000</v>
      </c>
      <c r="H1503" s="183" t="s">
        <v>12242</v>
      </c>
    </row>
    <row r="1504" spans="1:8">
      <c r="C1504" s="183">
        <v>19714</v>
      </c>
      <c r="H1504" s="183" t="s">
        <v>12243</v>
      </c>
    </row>
    <row r="1505" spans="1:8">
      <c r="C1505" s="183">
        <v>143</v>
      </c>
      <c r="H1505" s="183" t="s">
        <v>12244</v>
      </c>
    </row>
    <row r="1506" spans="1:8">
      <c r="C1506" s="183">
        <v>63516</v>
      </c>
      <c r="H1506" s="183" t="s">
        <v>12245</v>
      </c>
    </row>
    <row r="1507" spans="1:8">
      <c r="E1507" s="699"/>
      <c r="F1507" s="699"/>
      <c r="G1507" s="699"/>
    </row>
    <row r="1508" spans="1:8">
      <c r="E1508" s="699"/>
      <c r="F1508" s="699"/>
      <c r="G1508" s="699"/>
    </row>
    <row r="1509" spans="1:8">
      <c r="A1509" s="183" t="s">
        <v>12246</v>
      </c>
    </row>
    <row r="1510" spans="1:8">
      <c r="C1510" s="183">
        <v>10950</v>
      </c>
      <c r="H1510" s="183" t="s">
        <v>12247</v>
      </c>
    </row>
    <row r="1511" spans="1:8">
      <c r="E1511" s="183">
        <v>510</v>
      </c>
      <c r="G1511" s="183" t="s">
        <v>12185</v>
      </c>
      <c r="H1511" s="183" t="s">
        <v>12248</v>
      </c>
    </row>
    <row r="1512" spans="1:8">
      <c r="E1512" s="183">
        <v>540</v>
      </c>
      <c r="G1512" s="183" t="s">
        <v>12083</v>
      </c>
      <c r="H1512" s="183" t="s">
        <v>12249</v>
      </c>
    </row>
    <row r="1513" spans="1:8">
      <c r="D1513" s="183" t="s">
        <v>12207</v>
      </c>
      <c r="E1513" s="699" t="s">
        <v>12250</v>
      </c>
      <c r="F1513" s="699"/>
      <c r="G1513" s="699"/>
    </row>
    <row r="1514" spans="1:8">
      <c r="E1514" s="699"/>
      <c r="F1514" s="699"/>
      <c r="G1514" s="699"/>
    </row>
    <row r="1515" spans="1:8">
      <c r="A1515" s="183" t="s">
        <v>12251</v>
      </c>
    </row>
    <row r="1516" spans="1:8">
      <c r="C1516" s="183">
        <v>26477</v>
      </c>
      <c r="H1516" s="183" t="s">
        <v>12252</v>
      </c>
    </row>
    <row r="1517" spans="1:8">
      <c r="E1517" s="183">
        <v>520</v>
      </c>
      <c r="G1517" s="183" t="s">
        <v>12114</v>
      </c>
      <c r="H1517" s="183" t="s">
        <v>12253</v>
      </c>
    </row>
    <row r="1518" spans="1:8">
      <c r="D1518" s="183" t="s">
        <v>12198</v>
      </c>
      <c r="E1518" s="699" t="s">
        <v>12254</v>
      </c>
      <c r="F1518" s="699"/>
      <c r="G1518" s="699"/>
    </row>
    <row r="1520" spans="1:8">
      <c r="A1520" s="183" t="s">
        <v>12255</v>
      </c>
    </row>
    <row r="1521" spans="1:8">
      <c r="E1521" s="183">
        <v>175</v>
      </c>
      <c r="G1521" s="183" t="s">
        <v>12185</v>
      </c>
      <c r="H1521" s="183" t="s">
        <v>12256</v>
      </c>
    </row>
    <row r="1522" spans="1:8">
      <c r="E1522" s="183">
        <v>170</v>
      </c>
      <c r="G1522" s="183" t="s">
        <v>12083</v>
      </c>
      <c r="H1522" s="183" t="s">
        <v>12257</v>
      </c>
    </row>
    <row r="1523" spans="1:8">
      <c r="D1523" s="183" t="s">
        <v>12198</v>
      </c>
      <c r="E1523" s="699" t="s">
        <v>12258</v>
      </c>
      <c r="F1523" s="699"/>
      <c r="G1523" s="699"/>
    </row>
    <row r="1524" spans="1:8">
      <c r="E1524" s="699"/>
      <c r="F1524" s="699"/>
      <c r="G1524" s="699"/>
    </row>
    <row r="1525" spans="1:8">
      <c r="A1525" s="183" t="s">
        <v>12259</v>
      </c>
    </row>
    <row r="1526" spans="1:8">
      <c r="E1526" s="183">
        <v>165</v>
      </c>
      <c r="G1526" s="183" t="s">
        <v>12083</v>
      </c>
      <c r="H1526" s="183" t="s">
        <v>12260</v>
      </c>
    </row>
    <row r="1527" spans="1:8">
      <c r="E1527" s="183">
        <v>180</v>
      </c>
      <c r="G1527" s="183" t="s">
        <v>12185</v>
      </c>
      <c r="H1527" s="183" t="s">
        <v>12261</v>
      </c>
    </row>
    <row r="1528" spans="1:8">
      <c r="D1528" s="183" t="s">
        <v>11678</v>
      </c>
      <c r="E1528" s="699" t="s">
        <v>12262</v>
      </c>
      <c r="F1528" s="699"/>
      <c r="G1528" s="699"/>
    </row>
    <row r="1529" spans="1:8">
      <c r="E1529" s="699"/>
      <c r="F1529" s="699"/>
      <c r="G1529" s="699"/>
    </row>
    <row r="1530" spans="1:8">
      <c r="A1530" s="183" t="s">
        <v>12263</v>
      </c>
      <c r="E1530" s="699"/>
      <c r="F1530" s="699"/>
      <c r="G1530" s="699"/>
    </row>
    <row r="1531" spans="1:8">
      <c r="E1531" s="183">
        <v>1205</v>
      </c>
      <c r="G1531" s="183" t="s">
        <v>12230</v>
      </c>
      <c r="H1531" s="183" t="s">
        <v>12264</v>
      </c>
    </row>
    <row r="1532" spans="1:8">
      <c r="D1532" s="183" t="s">
        <v>11678</v>
      </c>
      <c r="E1532" s="699" t="s">
        <v>12265</v>
      </c>
      <c r="F1532" s="699"/>
      <c r="G1532" s="699"/>
    </row>
    <row r="1533" spans="1:8">
      <c r="E1533" s="699"/>
      <c r="F1533" s="699"/>
      <c r="G1533" s="699"/>
    </row>
    <row r="1534" spans="1:8">
      <c r="A1534" s="183" t="s">
        <v>12266</v>
      </c>
      <c r="E1534" s="699"/>
      <c r="F1534" s="699"/>
      <c r="G1534" s="699"/>
    </row>
    <row r="1535" spans="1:8">
      <c r="C1535" s="183">
        <v>5000</v>
      </c>
      <c r="E1535" s="699"/>
      <c r="F1535" s="699"/>
      <c r="G1535" s="699"/>
      <c r="H1535" s="183" t="s">
        <v>11466</v>
      </c>
    </row>
    <row r="1536" spans="1:8">
      <c r="D1536" s="183">
        <v>5000</v>
      </c>
      <c r="E1536" s="699"/>
      <c r="F1536" s="699"/>
      <c r="G1536" s="699"/>
    </row>
    <row r="1537" spans="1:8">
      <c r="E1537" s="206">
        <v>80</v>
      </c>
      <c r="F1537" s="206"/>
      <c r="G1537" s="183" t="s">
        <v>12114</v>
      </c>
      <c r="H1537" s="183" t="s">
        <v>12267</v>
      </c>
    </row>
    <row r="1538" spans="1:8">
      <c r="E1538" s="206">
        <v>70</v>
      </c>
      <c r="F1538" s="206"/>
      <c r="G1538" s="183" t="s">
        <v>12114</v>
      </c>
      <c r="H1538" s="183" t="s">
        <v>12268</v>
      </c>
    </row>
    <row r="1539" spans="1:8">
      <c r="E1539" s="206">
        <v>199</v>
      </c>
      <c r="F1539" s="206"/>
      <c r="G1539" s="183" t="s">
        <v>12096</v>
      </c>
      <c r="H1539" s="183" t="s">
        <v>12269</v>
      </c>
    </row>
    <row r="1540" spans="1:8">
      <c r="E1540" s="699" t="s">
        <v>12270</v>
      </c>
      <c r="F1540" s="699"/>
      <c r="G1540" s="699"/>
      <c r="H1540" s="699" t="s">
        <v>12271</v>
      </c>
    </row>
    <row r="1541" spans="1:8">
      <c r="E1541" s="699"/>
      <c r="F1541" s="699"/>
      <c r="G1541" s="699"/>
    </row>
    <row r="1542" spans="1:8">
      <c r="A1542" s="183" t="s">
        <v>12272</v>
      </c>
      <c r="E1542" s="699"/>
      <c r="F1542" s="699"/>
      <c r="G1542" s="699"/>
    </row>
    <row r="1543" spans="1:8">
      <c r="E1543" s="183">
        <v>156</v>
      </c>
      <c r="G1543" s="183" t="s">
        <v>12273</v>
      </c>
      <c r="H1543" s="183" t="s">
        <v>12274</v>
      </c>
    </row>
    <row r="1544" spans="1:8">
      <c r="E1544" s="183">
        <v>54</v>
      </c>
      <c r="G1544" s="183" t="s">
        <v>12275</v>
      </c>
      <c r="H1544" s="183" t="s">
        <v>12276</v>
      </c>
    </row>
    <row r="1545" spans="1:8">
      <c r="E1545" s="183">
        <v>220</v>
      </c>
      <c r="G1545" s="183" t="s">
        <v>12185</v>
      </c>
      <c r="H1545" s="183" t="s">
        <v>12277</v>
      </c>
    </row>
    <row r="1546" spans="1:8">
      <c r="E1546" s="183">
        <v>195</v>
      </c>
      <c r="G1546" s="183" t="s">
        <v>12185</v>
      </c>
      <c r="H1546" s="183" t="s">
        <v>12278</v>
      </c>
    </row>
    <row r="1547" spans="1:8">
      <c r="D1547" s="183" t="s">
        <v>12198</v>
      </c>
      <c r="E1547" s="699" t="s">
        <v>12279</v>
      </c>
      <c r="F1547" s="699"/>
      <c r="G1547" s="699"/>
    </row>
    <row r="1548" spans="1:8">
      <c r="E1548" s="699"/>
      <c r="F1548" s="699"/>
      <c r="G1548" s="699"/>
    </row>
    <row r="1549" spans="1:8">
      <c r="A1549" s="183" t="s">
        <v>12280</v>
      </c>
    </row>
    <row r="1550" spans="1:8" ht="49.5">
      <c r="C1550" s="183">
        <v>39000</v>
      </c>
      <c r="H1550" s="694" t="s">
        <v>12281</v>
      </c>
    </row>
    <row r="1552" spans="1:8">
      <c r="A1552" s="183" t="s">
        <v>12282</v>
      </c>
      <c r="E1552" s="699"/>
      <c r="F1552" s="699"/>
      <c r="G1552" s="699"/>
    </row>
    <row r="1553" spans="1:8">
      <c r="E1553" s="183">
        <v>93</v>
      </c>
      <c r="G1553" s="183" t="s">
        <v>12133</v>
      </c>
      <c r="H1553" s="183" t="s">
        <v>12283</v>
      </c>
    </row>
    <row r="1554" spans="1:8">
      <c r="E1554" s="183">
        <v>35</v>
      </c>
      <c r="G1554" s="183" t="s">
        <v>12114</v>
      </c>
      <c r="H1554" s="183" t="s">
        <v>12284</v>
      </c>
    </row>
    <row r="1555" spans="1:8">
      <c r="D1555" s="183" t="s">
        <v>12198</v>
      </c>
      <c r="E1555" s="699" t="s">
        <v>12285</v>
      </c>
      <c r="F1555" s="699"/>
      <c r="G1555" s="699"/>
    </row>
    <row r="1556" spans="1:8">
      <c r="E1556" s="699"/>
      <c r="F1556" s="699"/>
      <c r="G1556" s="699"/>
    </row>
    <row r="1557" spans="1:8">
      <c r="A1557" s="183" t="s">
        <v>12286</v>
      </c>
    </row>
    <row r="1558" spans="1:8">
      <c r="E1558" s="183">
        <v>80</v>
      </c>
      <c r="G1558" s="183" t="s">
        <v>12185</v>
      </c>
      <c r="H1558" s="183" t="s">
        <v>12287</v>
      </c>
    </row>
    <row r="1559" spans="1:8">
      <c r="E1559" s="183">
        <v>90</v>
      </c>
      <c r="G1559" s="183" t="s">
        <v>12185</v>
      </c>
      <c r="H1559" s="183" t="s">
        <v>12287</v>
      </c>
    </row>
    <row r="1560" spans="1:8">
      <c r="D1560" s="183" t="s">
        <v>11678</v>
      </c>
      <c r="E1560" s="699" t="s">
        <v>12288</v>
      </c>
      <c r="F1560" s="699"/>
      <c r="G1560" s="699"/>
    </row>
    <row r="1561" spans="1:8">
      <c r="E1561" s="699"/>
      <c r="F1561" s="699"/>
      <c r="G1561" s="699"/>
    </row>
    <row r="1562" spans="1:8">
      <c r="A1562" s="183" t="s">
        <v>12289</v>
      </c>
    </row>
    <row r="1563" spans="1:8">
      <c r="C1563" s="183">
        <v>17000</v>
      </c>
      <c r="H1563" s="183" t="s">
        <v>12290</v>
      </c>
    </row>
    <row r="1565" spans="1:8">
      <c r="A1565" s="183" t="s">
        <v>12291</v>
      </c>
      <c r="E1565" s="699"/>
      <c r="F1565" s="699"/>
      <c r="G1565" s="699"/>
    </row>
    <row r="1566" spans="1:8">
      <c r="C1566" s="183">
        <v>23000</v>
      </c>
      <c r="H1566" s="183" t="s">
        <v>12292</v>
      </c>
    </row>
    <row r="1567" spans="1:8">
      <c r="C1567" s="183">
        <v>22857</v>
      </c>
      <c r="H1567" s="183" t="s">
        <v>12293</v>
      </c>
    </row>
    <row r="1568" spans="1:8">
      <c r="C1568" s="183">
        <v>63516</v>
      </c>
      <c r="H1568" s="183" t="s">
        <v>12294</v>
      </c>
    </row>
    <row r="1569" spans="1:8">
      <c r="C1569" s="183">
        <v>14193</v>
      </c>
      <c r="H1569" s="183" t="s">
        <v>12295</v>
      </c>
    </row>
    <row r="1570" spans="1:8">
      <c r="E1570" s="183">
        <v>5</v>
      </c>
      <c r="G1570" s="183" t="s">
        <v>12114</v>
      </c>
      <c r="H1570" s="183" t="s">
        <v>12296</v>
      </c>
    </row>
    <row r="1571" spans="1:8">
      <c r="D1571" s="183" t="s">
        <v>12198</v>
      </c>
      <c r="E1571" s="699" t="s">
        <v>12297</v>
      </c>
      <c r="F1571" s="699"/>
      <c r="G1571" s="699"/>
      <c r="H1571" s="699" t="s">
        <v>12298</v>
      </c>
    </row>
    <row r="1573" spans="1:8">
      <c r="A1573" s="183" t="s">
        <v>12299</v>
      </c>
      <c r="E1573" s="699"/>
      <c r="F1573" s="699"/>
      <c r="G1573" s="699"/>
    </row>
    <row r="1574" spans="1:8">
      <c r="E1574" s="183">
        <v>1205</v>
      </c>
      <c r="G1574" s="183" t="s">
        <v>12230</v>
      </c>
      <c r="H1574" s="183" t="s">
        <v>12300</v>
      </c>
    </row>
    <row r="1575" spans="1:8">
      <c r="E1575" s="183">
        <v>35</v>
      </c>
      <c r="G1575" s="183" t="s">
        <v>12103</v>
      </c>
      <c r="H1575" s="183" t="s">
        <v>12301</v>
      </c>
    </row>
    <row r="1576" spans="1:8">
      <c r="E1576" s="183">
        <v>500</v>
      </c>
      <c r="G1576" s="183" t="s">
        <v>12114</v>
      </c>
      <c r="H1576" s="183" t="s">
        <v>12302</v>
      </c>
    </row>
    <row r="1577" spans="1:8">
      <c r="D1577" s="183" t="s">
        <v>11678</v>
      </c>
      <c r="E1577" s="699" t="s">
        <v>12303</v>
      </c>
      <c r="F1577" s="699"/>
      <c r="G1577" s="699"/>
    </row>
    <row r="1578" spans="1:8">
      <c r="E1578" s="699"/>
      <c r="F1578" s="699"/>
      <c r="G1578" s="699"/>
    </row>
    <row r="1579" spans="1:8">
      <c r="A1579" s="183" t="s">
        <v>12304</v>
      </c>
    </row>
    <row r="1580" spans="1:8">
      <c r="E1580" s="183">
        <v>18</v>
      </c>
      <c r="G1580" s="183" t="s">
        <v>12305</v>
      </c>
      <c r="H1580" s="183" t="s">
        <v>12306</v>
      </c>
    </row>
    <row r="1581" spans="1:8">
      <c r="E1581" s="183">
        <v>30</v>
      </c>
      <c r="G1581" s="183" t="s">
        <v>12185</v>
      </c>
      <c r="H1581" s="183" t="s">
        <v>12239</v>
      </c>
    </row>
    <row r="1582" spans="1:8">
      <c r="E1582" s="183">
        <v>129</v>
      </c>
      <c r="G1582" s="183" t="s">
        <v>12072</v>
      </c>
      <c r="H1582" s="183" t="s">
        <v>12307</v>
      </c>
    </row>
    <row r="1583" spans="1:8">
      <c r="E1583" s="699" t="s">
        <v>12308</v>
      </c>
      <c r="F1583" s="699"/>
      <c r="G1583" s="699"/>
    </row>
    <row r="1584" spans="1:8">
      <c r="E1584" s="699"/>
      <c r="F1584" s="699"/>
      <c r="G1584" s="699"/>
    </row>
    <row r="1585" spans="1:8">
      <c r="H1585" s="699" t="s">
        <v>12309</v>
      </c>
    </row>
    <row r="1587" spans="1:8">
      <c r="A1587" s="183" t="s">
        <v>12310</v>
      </c>
    </row>
    <row r="1588" spans="1:8">
      <c r="C1588" s="183">
        <v>17000</v>
      </c>
      <c r="H1588" s="183" t="s">
        <v>12311</v>
      </c>
    </row>
    <row r="1590" spans="1:8">
      <c r="A1590" s="183" t="s">
        <v>12312</v>
      </c>
      <c r="E1590" s="699"/>
      <c r="F1590" s="699"/>
      <c r="G1590" s="699"/>
    </row>
    <row r="1591" spans="1:8">
      <c r="C1591" s="183">
        <v>85500</v>
      </c>
      <c r="H1591" s="183" t="s">
        <v>12313</v>
      </c>
    </row>
    <row r="1592" spans="1:8">
      <c r="C1592" s="183">
        <v>22857</v>
      </c>
      <c r="H1592" s="183" t="s">
        <v>12314</v>
      </c>
    </row>
    <row r="1593" spans="1:8">
      <c r="C1593" s="183">
        <v>63304</v>
      </c>
      <c r="H1593" s="183" t="s">
        <v>12315</v>
      </c>
    </row>
    <row r="1595" spans="1:8">
      <c r="A1595" s="183" t="s">
        <v>12316</v>
      </c>
    </row>
    <row r="1596" spans="1:8">
      <c r="C1596" s="183">
        <v>37152</v>
      </c>
      <c r="H1596" s="183" t="s">
        <v>12317</v>
      </c>
    </row>
    <row r="1597" spans="1:8">
      <c r="C1597" s="183">
        <v>1426</v>
      </c>
      <c r="H1597" s="183" t="s">
        <v>12318</v>
      </c>
    </row>
    <row r="1599" spans="1:8">
      <c r="A1599" s="183" t="s">
        <v>12316</v>
      </c>
    </row>
    <row r="1600" spans="1:8">
      <c r="E1600" s="183">
        <v>65</v>
      </c>
      <c r="G1600" s="183" t="s">
        <v>12185</v>
      </c>
      <c r="H1600" s="183" t="s">
        <v>12319</v>
      </c>
    </row>
    <row r="1601" spans="1:8">
      <c r="E1601" s="183">
        <v>100</v>
      </c>
      <c r="G1601" s="183" t="s">
        <v>12083</v>
      </c>
      <c r="H1601" s="183" t="s">
        <v>12320</v>
      </c>
    </row>
    <row r="1602" spans="1:8">
      <c r="E1602" s="183">
        <v>71</v>
      </c>
      <c r="G1602" s="183" t="s">
        <v>12185</v>
      </c>
      <c r="H1602" s="183" t="s">
        <v>12321</v>
      </c>
    </row>
    <row r="1603" spans="1:8">
      <c r="E1603" s="699" t="s">
        <v>12322</v>
      </c>
      <c r="F1603" s="699"/>
      <c r="G1603" s="699"/>
    </row>
    <row r="1604" spans="1:8">
      <c r="E1604" s="699"/>
      <c r="F1604" s="699"/>
      <c r="G1604" s="699"/>
    </row>
    <row r="1605" spans="1:8">
      <c r="A1605" s="183" t="s">
        <v>12323</v>
      </c>
    </row>
    <row r="1606" spans="1:8">
      <c r="E1606" s="206">
        <v>209</v>
      </c>
      <c r="F1606" s="206"/>
      <c r="G1606" s="183" t="s">
        <v>12324</v>
      </c>
      <c r="H1606" s="183" t="s">
        <v>12325</v>
      </c>
    </row>
    <row r="1607" spans="1:8">
      <c r="E1607" s="699" t="s">
        <v>12326</v>
      </c>
      <c r="F1607" s="699"/>
      <c r="G1607" s="699"/>
    </row>
    <row r="1608" spans="1:8">
      <c r="E1608" s="699"/>
      <c r="F1608" s="699"/>
      <c r="G1608" s="699"/>
    </row>
    <row r="1609" spans="1:8">
      <c r="A1609" s="183" t="s">
        <v>12327</v>
      </c>
    </row>
    <row r="1610" spans="1:8">
      <c r="E1610" s="206">
        <v>100</v>
      </c>
      <c r="F1610" s="206"/>
      <c r="G1610" s="183" t="s">
        <v>12185</v>
      </c>
      <c r="H1610" s="183" t="s">
        <v>12328</v>
      </c>
    </row>
    <row r="1611" spans="1:8">
      <c r="E1611" s="699" t="s">
        <v>12329</v>
      </c>
      <c r="F1611" s="699"/>
      <c r="G1611" s="699"/>
    </row>
    <row r="1613" spans="1:8">
      <c r="A1613" s="183" t="s">
        <v>12330</v>
      </c>
    </row>
    <row r="1614" spans="1:8">
      <c r="E1614" s="183">
        <v>30</v>
      </c>
      <c r="G1614" s="183" t="s">
        <v>12114</v>
      </c>
      <c r="H1614" s="183" t="s">
        <v>12331</v>
      </c>
    </row>
    <row r="1615" spans="1:8">
      <c r="E1615" s="699" t="s">
        <v>12332</v>
      </c>
      <c r="F1615" s="699"/>
      <c r="G1615" s="699"/>
    </row>
    <row r="1617" spans="1:8">
      <c r="A1617" s="183" t="s">
        <v>12333</v>
      </c>
      <c r="E1617" s="699"/>
      <c r="F1617" s="699"/>
      <c r="G1617" s="699"/>
    </row>
    <row r="1618" spans="1:8">
      <c r="E1618" s="183">
        <v>1205</v>
      </c>
      <c r="G1618" s="183" t="s">
        <v>12230</v>
      </c>
      <c r="H1618" s="183" t="s">
        <v>12334</v>
      </c>
    </row>
    <row r="1619" spans="1:8">
      <c r="D1619" s="183" t="s">
        <v>12198</v>
      </c>
      <c r="E1619" s="699" t="s">
        <v>12335</v>
      </c>
      <c r="F1619" s="699"/>
      <c r="G1619" s="699"/>
    </row>
    <row r="1620" spans="1:8">
      <c r="E1620" s="699"/>
      <c r="F1620" s="699"/>
      <c r="G1620" s="699"/>
    </row>
    <row r="1621" spans="1:8">
      <c r="A1621" s="183" t="s">
        <v>12336</v>
      </c>
    </row>
    <row r="1622" spans="1:8">
      <c r="C1622" s="183">
        <v>17000</v>
      </c>
      <c r="H1622" s="183" t="s">
        <v>12337</v>
      </c>
    </row>
    <row r="1624" spans="1:8">
      <c r="A1624" s="183" t="s">
        <v>12338</v>
      </c>
      <c r="E1624" s="699"/>
      <c r="F1624" s="699"/>
      <c r="G1624" s="699"/>
    </row>
    <row r="1625" spans="1:8">
      <c r="C1625" s="183">
        <v>22857</v>
      </c>
      <c r="H1625" s="183" t="s">
        <v>12339</v>
      </c>
    </row>
    <row r="1626" spans="1:8">
      <c r="C1626" s="183">
        <v>63304</v>
      </c>
      <c r="H1626" s="183" t="s">
        <v>12315</v>
      </c>
    </row>
    <row r="1628" spans="1:8">
      <c r="A1628" s="183" t="s">
        <v>12340</v>
      </c>
      <c r="E1628" s="699"/>
      <c r="F1628" s="699"/>
      <c r="G1628" s="699"/>
    </row>
    <row r="1629" spans="1:8">
      <c r="E1629" s="183">
        <v>35</v>
      </c>
      <c r="G1629" s="183" t="s">
        <v>12114</v>
      </c>
      <c r="H1629" s="183" t="s">
        <v>12341</v>
      </c>
    </row>
    <row r="1630" spans="1:8">
      <c r="E1630" s="183">
        <v>50</v>
      </c>
      <c r="G1630" s="183" t="s">
        <v>12114</v>
      </c>
      <c r="H1630" s="183" t="s">
        <v>12342</v>
      </c>
    </row>
    <row r="1631" spans="1:8">
      <c r="D1631" s="183" t="s">
        <v>12198</v>
      </c>
      <c r="E1631" s="699" t="s">
        <v>12343</v>
      </c>
      <c r="F1631" s="699"/>
      <c r="G1631" s="699"/>
    </row>
    <row r="1632" spans="1:8">
      <c r="E1632" s="699"/>
      <c r="F1632" s="699"/>
      <c r="G1632" s="699"/>
    </row>
    <row r="1633" spans="1:8">
      <c r="A1633" s="183" t="s">
        <v>12344</v>
      </c>
      <c r="E1633" s="699"/>
      <c r="F1633" s="699"/>
      <c r="G1633" s="699"/>
    </row>
    <row r="1634" spans="1:8">
      <c r="C1634" s="183">
        <v>5000</v>
      </c>
      <c r="E1634" s="699"/>
      <c r="F1634" s="699"/>
      <c r="G1634" s="699"/>
      <c r="H1634" s="183" t="s">
        <v>11466</v>
      </c>
    </row>
    <row r="1635" spans="1:8">
      <c r="D1635" s="183">
        <v>5000</v>
      </c>
      <c r="E1635" s="699"/>
      <c r="F1635" s="699"/>
      <c r="G1635" s="699"/>
    </row>
    <row r="1636" spans="1:8">
      <c r="E1636" s="183">
        <v>300</v>
      </c>
      <c r="G1636" s="183" t="s">
        <v>12345</v>
      </c>
      <c r="H1636" s="183" t="s">
        <v>12346</v>
      </c>
    </row>
    <row r="1637" spans="1:8">
      <c r="D1637" s="183" t="s">
        <v>11678</v>
      </c>
      <c r="E1637" s="699" t="s">
        <v>12347</v>
      </c>
      <c r="F1637" s="699"/>
      <c r="G1637" s="699"/>
    </row>
    <row r="1638" spans="1:8">
      <c r="E1638" s="699"/>
      <c r="F1638" s="699"/>
      <c r="G1638" s="699"/>
    </row>
    <row r="1639" spans="1:8">
      <c r="A1639" s="183" t="s">
        <v>12348</v>
      </c>
      <c r="E1639" s="699"/>
      <c r="F1639" s="699"/>
      <c r="G1639" s="699"/>
    </row>
    <row r="1640" spans="1:8">
      <c r="E1640" s="183">
        <v>24</v>
      </c>
      <c r="G1640" s="183" t="s">
        <v>12349</v>
      </c>
      <c r="H1640" s="183" t="s">
        <v>12350</v>
      </c>
    </row>
    <row r="1641" spans="1:8">
      <c r="D1641" s="183" t="s">
        <v>12198</v>
      </c>
      <c r="E1641" s="699" t="s">
        <v>12351</v>
      </c>
      <c r="F1641" s="699"/>
      <c r="G1641" s="699"/>
    </row>
    <row r="1642" spans="1:8">
      <c r="E1642" s="699"/>
      <c r="F1642" s="699"/>
      <c r="G1642" s="699"/>
    </row>
    <row r="1643" spans="1:8">
      <c r="A1643" s="183" t="s">
        <v>12352</v>
      </c>
      <c r="E1643" s="699"/>
      <c r="F1643" s="699"/>
      <c r="G1643" s="699"/>
    </row>
    <row r="1644" spans="1:8">
      <c r="E1644" s="183">
        <v>35</v>
      </c>
      <c r="G1644" s="183" t="s">
        <v>12114</v>
      </c>
      <c r="H1644" s="183" t="s">
        <v>12353</v>
      </c>
    </row>
    <row r="1645" spans="1:8">
      <c r="D1645" s="183" t="s">
        <v>12198</v>
      </c>
      <c r="E1645" s="699" t="s">
        <v>12354</v>
      </c>
      <c r="F1645" s="699"/>
      <c r="G1645" s="699"/>
    </row>
    <row r="1646" spans="1:8">
      <c r="E1646" s="699"/>
      <c r="F1646" s="699"/>
      <c r="G1646" s="699"/>
    </row>
    <row r="1647" spans="1:8">
      <c r="A1647" s="183" t="s">
        <v>12355</v>
      </c>
      <c r="E1647" s="699"/>
      <c r="F1647" s="699"/>
      <c r="G1647" s="699"/>
    </row>
    <row r="1648" spans="1:8">
      <c r="E1648" s="183">
        <v>1205</v>
      </c>
      <c r="G1648" s="183" t="s">
        <v>12090</v>
      </c>
      <c r="H1648" s="183" t="s">
        <v>12356</v>
      </c>
    </row>
    <row r="1649" spans="1:8">
      <c r="D1649" s="183" t="s">
        <v>12198</v>
      </c>
      <c r="E1649" s="699" t="s">
        <v>12357</v>
      </c>
      <c r="F1649" s="699"/>
      <c r="G1649" s="699"/>
    </row>
    <row r="1650" spans="1:8">
      <c r="E1650" s="699"/>
      <c r="F1650" s="699"/>
      <c r="G1650" s="699"/>
    </row>
    <row r="1651" spans="1:8">
      <c r="A1651" s="183" t="s">
        <v>12358</v>
      </c>
      <c r="E1651" s="699"/>
      <c r="F1651" s="699"/>
      <c r="G1651" s="699"/>
    </row>
    <row r="1652" spans="1:8">
      <c r="E1652" s="183">
        <v>18</v>
      </c>
      <c r="G1652" s="183" t="s">
        <v>12305</v>
      </c>
      <c r="H1652" s="183" t="s">
        <v>12359</v>
      </c>
    </row>
    <row r="1653" spans="1:8">
      <c r="E1653" s="183">
        <v>35</v>
      </c>
      <c r="G1653" s="183" t="s">
        <v>12114</v>
      </c>
      <c r="H1653" s="183" t="s">
        <v>12360</v>
      </c>
    </row>
    <row r="1654" spans="1:8">
      <c r="D1654" s="183" t="s">
        <v>12198</v>
      </c>
      <c r="E1654" s="699" t="s">
        <v>12361</v>
      </c>
      <c r="F1654" s="699"/>
      <c r="G1654" s="699"/>
    </row>
    <row r="1655" spans="1:8" ht="18" customHeight="1">
      <c r="E1655" s="699"/>
      <c r="F1655" s="699"/>
      <c r="G1655" s="699"/>
    </row>
    <row r="1656" spans="1:8">
      <c r="A1656" s="183" t="s">
        <v>12362</v>
      </c>
    </row>
    <row r="1657" spans="1:8">
      <c r="C1657" s="183">
        <v>17000</v>
      </c>
      <c r="H1657" s="183" t="s">
        <v>12363</v>
      </c>
    </row>
    <row r="1659" spans="1:8">
      <c r="A1659" s="183" t="s">
        <v>12364</v>
      </c>
    </row>
    <row r="1660" spans="1:8">
      <c r="C1660" s="183">
        <v>15496</v>
      </c>
      <c r="H1660" s="183" t="s">
        <v>12365</v>
      </c>
    </row>
    <row r="1661" spans="1:8">
      <c r="E1661" s="183">
        <v>45</v>
      </c>
      <c r="G1661" s="183" t="s">
        <v>12114</v>
      </c>
      <c r="H1661" s="183" t="s">
        <v>12366</v>
      </c>
    </row>
    <row r="1662" spans="1:8">
      <c r="D1662" s="183" t="s">
        <v>12198</v>
      </c>
      <c r="E1662" s="699" t="s">
        <v>12367</v>
      </c>
      <c r="F1662" s="699"/>
      <c r="G1662" s="699"/>
    </row>
    <row r="1664" spans="1:8">
      <c r="A1664" s="183" t="s">
        <v>12368</v>
      </c>
      <c r="E1664" s="699"/>
      <c r="F1664" s="699"/>
      <c r="G1664" s="699"/>
    </row>
    <row r="1665" spans="1:8">
      <c r="C1665" s="183">
        <v>22857</v>
      </c>
      <c r="H1665" s="183" t="s">
        <v>12369</v>
      </c>
    </row>
    <row r="1667" spans="1:8">
      <c r="A1667" s="183" t="s">
        <v>12370</v>
      </c>
      <c r="E1667" s="699"/>
      <c r="F1667" s="699"/>
      <c r="G1667" s="699"/>
    </row>
    <row r="1668" spans="1:8">
      <c r="C1668" s="183">
        <v>36000</v>
      </c>
      <c r="H1668" s="183" t="s">
        <v>12371</v>
      </c>
    </row>
    <row r="1669" spans="1:8">
      <c r="C1669" s="183">
        <v>63352</v>
      </c>
      <c r="H1669" s="183" t="s">
        <v>12372</v>
      </c>
    </row>
    <row r="1670" spans="1:8">
      <c r="E1670" s="699"/>
      <c r="F1670" s="699"/>
      <c r="G1670" s="699"/>
    </row>
    <row r="1671" spans="1:8">
      <c r="A1671" s="183" t="s">
        <v>12373</v>
      </c>
      <c r="E1671" s="699"/>
      <c r="F1671" s="699"/>
      <c r="G1671" s="699"/>
    </row>
    <row r="1672" spans="1:8">
      <c r="E1672" s="206">
        <v>945</v>
      </c>
      <c r="F1672" s="206"/>
      <c r="G1672" s="183" t="s">
        <v>12137</v>
      </c>
      <c r="H1672" s="183" t="s">
        <v>12374</v>
      </c>
    </row>
    <row r="1673" spans="1:8">
      <c r="D1673" s="183" t="s">
        <v>12198</v>
      </c>
      <c r="E1673" s="699" t="s">
        <v>12375</v>
      </c>
      <c r="F1673" s="699"/>
      <c r="G1673" s="699"/>
    </row>
    <row r="1674" spans="1:8">
      <c r="E1674" s="699"/>
      <c r="F1674" s="699"/>
      <c r="G1674" s="699"/>
    </row>
    <row r="1675" spans="1:8">
      <c r="A1675" s="183" t="s">
        <v>12376</v>
      </c>
      <c r="E1675" s="699"/>
      <c r="F1675" s="699"/>
      <c r="G1675" s="699"/>
    </row>
    <row r="1676" spans="1:8">
      <c r="E1676" s="206">
        <v>169</v>
      </c>
      <c r="F1676" s="206"/>
      <c r="G1676" s="183" t="s">
        <v>12072</v>
      </c>
      <c r="H1676" s="183" t="s">
        <v>12307</v>
      </c>
    </row>
    <row r="1677" spans="1:8">
      <c r="D1677" s="183" t="s">
        <v>12198</v>
      </c>
      <c r="E1677" s="699" t="s">
        <v>12377</v>
      </c>
      <c r="F1677" s="699"/>
      <c r="G1677" s="699"/>
    </row>
    <row r="1678" spans="1:8">
      <c r="E1678" s="699"/>
      <c r="F1678" s="699"/>
      <c r="G1678" s="699"/>
      <c r="H1678" s="699" t="s">
        <v>12378</v>
      </c>
    </row>
    <row r="1679" spans="1:8">
      <c r="E1679" s="699"/>
      <c r="F1679" s="699"/>
      <c r="G1679" s="699"/>
      <c r="H1679" s="699"/>
    </row>
    <row r="1680" spans="1:8">
      <c r="A1680" s="183" t="s">
        <v>12379</v>
      </c>
      <c r="E1680" s="699"/>
      <c r="F1680" s="699"/>
      <c r="G1680" s="699"/>
    </row>
    <row r="1681" spans="1:8">
      <c r="E1681" s="183">
        <v>1205</v>
      </c>
      <c r="G1681" s="183" t="s">
        <v>12230</v>
      </c>
      <c r="H1681" s="183" t="s">
        <v>12380</v>
      </c>
    </row>
    <row r="1682" spans="1:8">
      <c r="D1682" s="183" t="s">
        <v>12198</v>
      </c>
      <c r="E1682" s="699" t="s">
        <v>12381</v>
      </c>
      <c r="F1682" s="699"/>
      <c r="G1682" s="699"/>
    </row>
    <row r="1683" spans="1:8">
      <c r="E1683" s="699"/>
      <c r="F1683" s="699"/>
      <c r="G1683" s="699"/>
    </row>
    <row r="1684" spans="1:8">
      <c r="A1684" s="183" t="s">
        <v>12382</v>
      </c>
      <c r="E1684" s="699"/>
      <c r="F1684" s="699"/>
      <c r="G1684" s="699"/>
    </row>
    <row r="1685" spans="1:8">
      <c r="E1685" s="206">
        <v>188</v>
      </c>
      <c r="F1685" s="206"/>
      <c r="G1685" s="183" t="s">
        <v>12096</v>
      </c>
      <c r="H1685" s="183" t="s">
        <v>12383</v>
      </c>
    </row>
    <row r="1686" spans="1:8">
      <c r="C1686" s="183">
        <v>5000</v>
      </c>
      <c r="E1686" s="699"/>
      <c r="F1686" s="699"/>
      <c r="G1686" s="699"/>
      <c r="H1686" s="183" t="s">
        <v>12384</v>
      </c>
    </row>
    <row r="1687" spans="1:8">
      <c r="D1687" s="183">
        <v>5000</v>
      </c>
      <c r="E1687" s="699"/>
      <c r="F1687" s="699"/>
      <c r="G1687" s="699"/>
    </row>
    <row r="1688" spans="1:8">
      <c r="D1688" s="183" t="s">
        <v>12198</v>
      </c>
      <c r="E1688" s="699" t="s">
        <v>12385</v>
      </c>
      <c r="F1688" s="699"/>
      <c r="G1688" s="699"/>
    </row>
    <row r="1689" spans="1:8">
      <c r="E1689" s="699"/>
      <c r="F1689" s="699"/>
      <c r="G1689" s="699"/>
      <c r="H1689" s="699"/>
    </row>
    <row r="1690" spans="1:8">
      <c r="A1690" s="183" t="s">
        <v>12386</v>
      </c>
    </row>
    <row r="1691" spans="1:8">
      <c r="C1691" s="183">
        <v>17000</v>
      </c>
      <c r="H1691" s="183" t="s">
        <v>12387</v>
      </c>
    </row>
    <row r="1692" spans="1:8">
      <c r="C1692" s="183">
        <v>6000</v>
      </c>
      <c r="H1692" s="183" t="s">
        <v>12388</v>
      </c>
    </row>
    <row r="1694" spans="1:8">
      <c r="A1694" s="183" t="s">
        <v>12389</v>
      </c>
    </row>
    <row r="1695" spans="1:8">
      <c r="E1695" s="206">
        <v>100</v>
      </c>
      <c r="F1695" s="206"/>
      <c r="G1695" s="183" t="s">
        <v>12185</v>
      </c>
      <c r="H1695" s="183" t="s">
        <v>12390</v>
      </c>
    </row>
    <row r="1696" spans="1:8">
      <c r="E1696" s="206">
        <v>100</v>
      </c>
      <c r="F1696" s="206"/>
      <c r="G1696" s="183" t="s">
        <v>12185</v>
      </c>
      <c r="H1696" s="183" t="s">
        <v>12391</v>
      </c>
    </row>
    <row r="1697" spans="1:8">
      <c r="D1697" s="183" t="s">
        <v>11678</v>
      </c>
      <c r="E1697" s="699" t="s">
        <v>12392</v>
      </c>
      <c r="F1697" s="699"/>
      <c r="G1697" s="699"/>
    </row>
    <row r="1698" spans="1:8">
      <c r="E1698" s="699"/>
      <c r="F1698" s="699"/>
      <c r="G1698" s="699"/>
    </row>
    <row r="1699" spans="1:8">
      <c r="A1699" s="183" t="s">
        <v>12393</v>
      </c>
    </row>
    <row r="1700" spans="1:8">
      <c r="C1700" s="183">
        <v>301</v>
      </c>
      <c r="H1700" s="183" t="s">
        <v>12394</v>
      </c>
    </row>
    <row r="1702" spans="1:8">
      <c r="A1702" s="183" t="s">
        <v>12395</v>
      </c>
      <c r="E1702" s="699"/>
      <c r="F1702" s="699"/>
      <c r="G1702" s="699"/>
    </row>
    <row r="1703" spans="1:8">
      <c r="C1703" s="183">
        <v>22857</v>
      </c>
      <c r="H1703" s="183" t="s">
        <v>12396</v>
      </c>
    </row>
    <row r="1704" spans="1:8">
      <c r="C1704" s="183">
        <v>10000</v>
      </c>
      <c r="H1704" s="183" t="s">
        <v>12397</v>
      </c>
    </row>
    <row r="1705" spans="1:8">
      <c r="C1705" s="183">
        <v>63352</v>
      </c>
      <c r="H1705" s="183" t="s">
        <v>12398</v>
      </c>
    </row>
    <row r="1707" spans="1:8">
      <c r="A1707" s="183" t="s">
        <v>12399</v>
      </c>
    </row>
    <row r="1708" spans="1:8">
      <c r="E1708" s="206">
        <v>90</v>
      </c>
      <c r="F1708" s="206"/>
      <c r="G1708" s="183" t="s">
        <v>12185</v>
      </c>
      <c r="H1708" s="183" t="s">
        <v>12400</v>
      </c>
    </row>
    <row r="1709" spans="1:8">
      <c r="E1709" s="206">
        <v>265</v>
      </c>
      <c r="F1709" s="206"/>
      <c r="G1709" s="183" t="s">
        <v>12185</v>
      </c>
      <c r="H1709" s="183" t="s">
        <v>12401</v>
      </c>
    </row>
    <row r="1710" spans="1:8">
      <c r="D1710" s="183">
        <v>378</v>
      </c>
      <c r="E1710" s="206"/>
      <c r="F1710" s="206"/>
      <c r="G1710" s="206"/>
      <c r="H1710" s="183" t="s">
        <v>12402</v>
      </c>
    </row>
    <row r="1711" spans="1:8">
      <c r="D1711" s="183" t="s">
        <v>12198</v>
      </c>
      <c r="E1711" s="699" t="s">
        <v>12403</v>
      </c>
      <c r="F1711" s="699"/>
      <c r="G1711" s="699"/>
      <c r="H1711" s="699" t="s">
        <v>12404</v>
      </c>
    </row>
    <row r="1712" spans="1:8">
      <c r="E1712" s="699"/>
      <c r="F1712" s="699"/>
      <c r="G1712" s="699"/>
    </row>
    <row r="1713" spans="1:8">
      <c r="A1713" s="183" t="s">
        <v>12405</v>
      </c>
      <c r="E1713" s="206"/>
      <c r="F1713" s="206"/>
      <c r="G1713" s="206"/>
    </row>
    <row r="1714" spans="1:8">
      <c r="E1714" s="206">
        <v>235</v>
      </c>
      <c r="F1714" s="206"/>
      <c r="G1714" s="183" t="s">
        <v>12185</v>
      </c>
      <c r="H1714" s="183" t="s">
        <v>12406</v>
      </c>
    </row>
    <row r="1715" spans="1:8">
      <c r="E1715" s="206">
        <v>225</v>
      </c>
      <c r="F1715" s="206"/>
      <c r="G1715" s="183" t="s">
        <v>12185</v>
      </c>
      <c r="H1715" s="183" t="s">
        <v>12406</v>
      </c>
    </row>
    <row r="1716" spans="1:8">
      <c r="E1716" s="183">
        <v>1205</v>
      </c>
      <c r="G1716" s="183" t="s">
        <v>12230</v>
      </c>
      <c r="H1716" s="183" t="s">
        <v>12407</v>
      </c>
    </row>
    <row r="1717" spans="1:8">
      <c r="D1717" s="183" t="s">
        <v>12198</v>
      </c>
      <c r="E1717" s="699" t="s">
        <v>12408</v>
      </c>
      <c r="F1717" s="699"/>
      <c r="G1717" s="699"/>
      <c r="H1717" s="699"/>
    </row>
    <row r="1718" spans="1:8">
      <c r="E1718" s="699"/>
      <c r="F1718" s="699"/>
      <c r="G1718" s="699"/>
    </row>
    <row r="1719" spans="1:8">
      <c r="A1719" s="183" t="s">
        <v>12409</v>
      </c>
      <c r="E1719" s="206"/>
      <c r="F1719" s="206"/>
      <c r="G1719" s="206"/>
    </row>
    <row r="1720" spans="1:8">
      <c r="E1720" s="206">
        <v>32</v>
      </c>
      <c r="F1720" s="206"/>
      <c r="G1720" s="183" t="s">
        <v>12185</v>
      </c>
      <c r="H1720" s="183" t="s">
        <v>12410</v>
      </c>
    </row>
    <row r="1721" spans="1:8">
      <c r="E1721" s="206">
        <v>32</v>
      </c>
      <c r="F1721" s="206"/>
      <c r="G1721" s="183" t="s">
        <v>12185</v>
      </c>
      <c r="H1721" s="183" t="s">
        <v>12411</v>
      </c>
    </row>
    <row r="1722" spans="1:8">
      <c r="D1722" s="183" t="s">
        <v>12198</v>
      </c>
      <c r="E1722" s="699" t="s">
        <v>12412</v>
      </c>
      <c r="F1722" s="699"/>
      <c r="G1722" s="699"/>
      <c r="H1722" s="699"/>
    </row>
    <row r="1723" spans="1:8">
      <c r="E1723" s="206"/>
      <c r="F1723" s="206"/>
      <c r="G1723" s="206"/>
    </row>
    <row r="1724" spans="1:8">
      <c r="A1724" s="183" t="s">
        <v>12413</v>
      </c>
      <c r="E1724" s="206"/>
      <c r="F1724" s="206"/>
      <c r="G1724" s="206"/>
    </row>
    <row r="1725" spans="1:8">
      <c r="E1725" s="206">
        <v>16</v>
      </c>
      <c r="F1725" s="206"/>
      <c r="G1725" s="183" t="s">
        <v>12185</v>
      </c>
      <c r="H1725" s="183" t="s">
        <v>12414</v>
      </c>
    </row>
    <row r="1726" spans="1:8">
      <c r="E1726" s="206">
        <v>18</v>
      </c>
      <c r="F1726" s="206"/>
      <c r="G1726" s="183" t="s">
        <v>12072</v>
      </c>
      <c r="H1726" s="183" t="s">
        <v>12415</v>
      </c>
    </row>
    <row r="1727" spans="1:8">
      <c r="E1727" s="206">
        <v>100</v>
      </c>
      <c r="F1727" s="206"/>
      <c r="G1727" s="183" t="s">
        <v>12185</v>
      </c>
      <c r="H1727" s="183" t="s">
        <v>12416</v>
      </c>
    </row>
    <row r="1728" spans="1:8">
      <c r="D1728" s="183" t="s">
        <v>12198</v>
      </c>
      <c r="E1728" s="699" t="s">
        <v>12417</v>
      </c>
      <c r="F1728" s="699"/>
      <c r="G1728" s="699"/>
      <c r="H1728" s="699"/>
    </row>
    <row r="1729" spans="1:8" ht="18" customHeight="1">
      <c r="E1729" s="699"/>
      <c r="F1729" s="699"/>
      <c r="G1729" s="699"/>
    </row>
    <row r="1730" spans="1:8">
      <c r="A1730" s="183" t="s">
        <v>12418</v>
      </c>
    </row>
    <row r="1731" spans="1:8">
      <c r="C1731" s="183">
        <v>17000</v>
      </c>
      <c r="H1731" s="183" t="s">
        <v>12419</v>
      </c>
    </row>
    <row r="1732" spans="1:8">
      <c r="E1732" s="206">
        <v>28</v>
      </c>
      <c r="F1732" s="206"/>
      <c r="G1732" s="183" t="s">
        <v>12185</v>
      </c>
      <c r="H1732" s="183" t="s">
        <v>12410</v>
      </c>
    </row>
    <row r="1733" spans="1:8">
      <c r="E1733" s="206">
        <v>115</v>
      </c>
      <c r="F1733" s="206"/>
      <c r="G1733" s="183" t="s">
        <v>12185</v>
      </c>
      <c r="H1733" s="183" t="s">
        <v>12420</v>
      </c>
    </row>
    <row r="1734" spans="1:8">
      <c r="E1734" s="206">
        <v>28</v>
      </c>
      <c r="F1734" s="206"/>
      <c r="G1734" s="183" t="s">
        <v>12083</v>
      </c>
      <c r="H1734" s="183" t="s">
        <v>12411</v>
      </c>
    </row>
    <row r="1735" spans="1:8">
      <c r="D1735" s="183" t="s">
        <v>12198</v>
      </c>
      <c r="E1735" s="699" t="s">
        <v>12421</v>
      </c>
      <c r="F1735" s="699"/>
      <c r="G1735" s="699"/>
      <c r="H1735" s="699"/>
    </row>
    <row r="1736" spans="1:8">
      <c r="E1736" s="699"/>
      <c r="F1736" s="699"/>
      <c r="G1736" s="699"/>
      <c r="H1736" s="699"/>
    </row>
    <row r="1737" spans="1:8">
      <c r="A1737" s="183" t="s">
        <v>12422</v>
      </c>
      <c r="E1737" s="699"/>
      <c r="F1737" s="699"/>
      <c r="G1737" s="699"/>
    </row>
    <row r="1738" spans="1:8">
      <c r="C1738" s="183">
        <v>22857</v>
      </c>
      <c r="H1738" s="183" t="s">
        <v>12423</v>
      </c>
    </row>
    <row r="1739" spans="1:8">
      <c r="C1739" s="183">
        <v>63352</v>
      </c>
      <c r="H1739" s="183" t="s">
        <v>12424</v>
      </c>
    </row>
    <row r="1740" spans="1:8">
      <c r="E1740" s="699"/>
      <c r="F1740" s="699"/>
      <c r="G1740" s="699"/>
      <c r="H1740" s="699"/>
    </row>
    <row r="1741" spans="1:8">
      <c r="A1741" s="183" t="s">
        <v>12425</v>
      </c>
      <c r="E1741" s="699"/>
      <c r="F1741" s="699"/>
      <c r="G1741" s="699"/>
      <c r="H1741" s="699"/>
    </row>
    <row r="1742" spans="1:8" ht="231">
      <c r="C1742" s="183">
        <v>60000</v>
      </c>
      <c r="E1742" s="699"/>
      <c r="F1742" s="699"/>
      <c r="G1742" s="206" t="s">
        <v>12426</v>
      </c>
      <c r="H1742" s="694" t="s">
        <v>12427</v>
      </c>
    </row>
    <row r="1743" spans="1:8">
      <c r="E1743" s="206">
        <v>30</v>
      </c>
      <c r="F1743" s="206"/>
      <c r="G1743" s="183" t="s">
        <v>12189</v>
      </c>
      <c r="H1743" s="694" t="s">
        <v>12428</v>
      </c>
    </row>
    <row r="1744" spans="1:8">
      <c r="D1744" s="183" t="s">
        <v>12198</v>
      </c>
      <c r="E1744" s="699" t="s">
        <v>12429</v>
      </c>
      <c r="F1744" s="699"/>
      <c r="G1744" s="699"/>
      <c r="H1744" s="699"/>
    </row>
    <row r="1745" spans="1:8">
      <c r="E1745" s="699"/>
      <c r="F1745" s="699"/>
      <c r="G1745" s="699"/>
      <c r="H1745" s="699"/>
    </row>
    <row r="1746" spans="1:8">
      <c r="A1746" s="183" t="s">
        <v>12430</v>
      </c>
      <c r="E1746" s="699"/>
      <c r="F1746" s="699"/>
      <c r="G1746" s="699"/>
    </row>
    <row r="1747" spans="1:8">
      <c r="E1747" s="206">
        <v>105</v>
      </c>
      <c r="F1747" s="206"/>
      <c r="G1747" s="183" t="s">
        <v>12185</v>
      </c>
      <c r="H1747" s="183" t="s">
        <v>12431</v>
      </c>
    </row>
    <row r="1748" spans="1:8">
      <c r="E1748" s="206">
        <v>15</v>
      </c>
      <c r="F1748" s="206"/>
      <c r="G1748" s="183" t="s">
        <v>12185</v>
      </c>
      <c r="H1748" s="183" t="s">
        <v>12432</v>
      </c>
    </row>
    <row r="1749" spans="1:8">
      <c r="D1749" s="183" t="s">
        <v>12198</v>
      </c>
      <c r="E1749" s="699" t="s">
        <v>12433</v>
      </c>
      <c r="F1749" s="699"/>
      <c r="G1749" s="699"/>
      <c r="H1749" s="699"/>
    </row>
    <row r="1750" spans="1:8">
      <c r="E1750" s="699"/>
      <c r="F1750" s="699"/>
      <c r="G1750" s="699"/>
      <c r="H1750" s="699"/>
    </row>
    <row r="1751" spans="1:8">
      <c r="A1751" s="183" t="s">
        <v>12434</v>
      </c>
    </row>
    <row r="1752" spans="1:8">
      <c r="C1752" s="183">
        <v>46080</v>
      </c>
      <c r="H1752" s="183" t="s">
        <v>12435</v>
      </c>
    </row>
    <row r="1754" spans="1:8">
      <c r="A1754" s="183" t="s">
        <v>12436</v>
      </c>
      <c r="E1754" s="699"/>
      <c r="F1754" s="699"/>
      <c r="G1754" s="699"/>
    </row>
    <row r="1755" spans="1:8">
      <c r="E1755" s="206">
        <v>70</v>
      </c>
      <c r="F1755" s="206"/>
      <c r="G1755" s="183" t="s">
        <v>12273</v>
      </c>
      <c r="H1755" s="183" t="s">
        <v>12437</v>
      </c>
    </row>
    <row r="1756" spans="1:8">
      <c r="E1756" s="206">
        <v>126</v>
      </c>
      <c r="F1756" s="206"/>
      <c r="G1756" s="183" t="s">
        <v>12273</v>
      </c>
      <c r="H1756" s="183" t="s">
        <v>12438</v>
      </c>
    </row>
    <row r="1757" spans="1:8">
      <c r="E1757" s="206">
        <v>40</v>
      </c>
      <c r="F1757" s="206"/>
      <c r="G1757" s="183" t="s">
        <v>12133</v>
      </c>
      <c r="H1757" s="183" t="s">
        <v>12439</v>
      </c>
    </row>
    <row r="1758" spans="1:8">
      <c r="D1758" s="183" t="s">
        <v>12198</v>
      </c>
      <c r="E1758" s="699" t="s">
        <v>12440</v>
      </c>
      <c r="F1758" s="699"/>
      <c r="G1758" s="699"/>
      <c r="H1758" s="699" t="s">
        <v>12441</v>
      </c>
    </row>
    <row r="1759" spans="1:8">
      <c r="E1759" s="699"/>
      <c r="F1759" s="699"/>
      <c r="G1759" s="699"/>
      <c r="H1759" s="699"/>
    </row>
    <row r="1760" spans="1:8">
      <c r="A1760" s="183" t="s">
        <v>12442</v>
      </c>
      <c r="E1760" s="699"/>
      <c r="F1760" s="699"/>
      <c r="G1760" s="699"/>
    </row>
    <row r="1761" spans="1:8">
      <c r="E1761" s="183">
        <v>45</v>
      </c>
      <c r="G1761" s="183" t="s">
        <v>12114</v>
      </c>
      <c r="H1761" s="183" t="s">
        <v>12443</v>
      </c>
    </row>
    <row r="1762" spans="1:8">
      <c r="E1762" s="183">
        <v>45</v>
      </c>
      <c r="G1762" s="183" t="s">
        <v>12114</v>
      </c>
      <c r="H1762" s="183" t="s">
        <v>12444</v>
      </c>
    </row>
    <row r="1763" spans="1:8">
      <c r="E1763" s="183">
        <v>700</v>
      </c>
      <c r="G1763" s="183" t="s">
        <v>12114</v>
      </c>
      <c r="H1763" s="183" t="s">
        <v>12445</v>
      </c>
    </row>
    <row r="1764" spans="1:8">
      <c r="D1764" s="183" t="s">
        <v>12198</v>
      </c>
      <c r="E1764" s="699" t="s">
        <v>12446</v>
      </c>
      <c r="F1764" s="699"/>
      <c r="G1764" s="699"/>
      <c r="H1764" s="699"/>
    </row>
    <row r="1765" spans="1:8">
      <c r="E1765" s="699"/>
      <c r="F1765" s="699"/>
      <c r="G1765" s="699"/>
    </row>
    <row r="1766" spans="1:8">
      <c r="A1766" s="183" t="s">
        <v>12447</v>
      </c>
    </row>
    <row r="1767" spans="1:8" ht="82.5">
      <c r="C1767" s="183">
        <v>36000</v>
      </c>
      <c r="H1767" s="694" t="s">
        <v>12448</v>
      </c>
    </row>
    <row r="1768" spans="1:8">
      <c r="E1768" s="699"/>
      <c r="F1768" s="699"/>
      <c r="G1768" s="699"/>
      <c r="H1768" s="699"/>
    </row>
    <row r="1769" spans="1:8">
      <c r="A1769" s="183" t="s">
        <v>12449</v>
      </c>
      <c r="E1769" s="699"/>
      <c r="F1769" s="699"/>
      <c r="G1769" s="699"/>
    </row>
    <row r="1770" spans="1:8">
      <c r="E1770" s="183">
        <v>45</v>
      </c>
      <c r="G1770" s="183" t="s">
        <v>12114</v>
      </c>
      <c r="H1770" s="183" t="s">
        <v>12450</v>
      </c>
    </row>
    <row r="1771" spans="1:8">
      <c r="D1771" s="183" t="s">
        <v>12198</v>
      </c>
      <c r="E1771" s="699" t="s">
        <v>12451</v>
      </c>
      <c r="F1771" s="699"/>
      <c r="G1771" s="699"/>
      <c r="H1771" s="699"/>
    </row>
    <row r="1773" spans="1:8">
      <c r="A1773" s="183" t="s">
        <v>12452</v>
      </c>
      <c r="E1773" s="699"/>
      <c r="F1773" s="699"/>
      <c r="G1773" s="699"/>
    </row>
    <row r="1774" spans="1:8">
      <c r="E1774" s="206">
        <v>125</v>
      </c>
      <c r="F1774" s="206"/>
      <c r="G1774" s="183" t="s">
        <v>12185</v>
      </c>
      <c r="H1774" s="183" t="s">
        <v>12453</v>
      </c>
    </row>
    <row r="1775" spans="1:8">
      <c r="E1775" s="206">
        <v>120</v>
      </c>
      <c r="F1775" s="206"/>
      <c r="G1775" s="183" t="s">
        <v>12185</v>
      </c>
      <c r="H1775" s="183" t="s">
        <v>12454</v>
      </c>
    </row>
    <row r="1776" spans="1:8">
      <c r="D1776" s="183" t="s">
        <v>12198</v>
      </c>
      <c r="E1776" s="699" t="s">
        <v>12455</v>
      </c>
      <c r="F1776" s="699"/>
      <c r="G1776" s="699"/>
      <c r="H1776" s="699"/>
    </row>
    <row r="1777" spans="1:8">
      <c r="E1777" s="699"/>
      <c r="F1777" s="699"/>
      <c r="G1777" s="699"/>
      <c r="H1777" s="699"/>
    </row>
    <row r="1778" spans="1:8">
      <c r="A1778" s="183" t="s">
        <v>12456</v>
      </c>
      <c r="E1778" s="699"/>
      <c r="F1778" s="699"/>
      <c r="G1778" s="699"/>
      <c r="H1778" s="699"/>
    </row>
    <row r="1779" spans="1:8">
      <c r="E1779" s="206">
        <v>199</v>
      </c>
      <c r="F1779" s="206">
        <v>2348</v>
      </c>
      <c r="G1779" s="206" t="s">
        <v>12324</v>
      </c>
      <c r="H1779" s="206" t="s">
        <v>12457</v>
      </c>
    </row>
    <row r="1780" spans="1:8">
      <c r="E1780" s="206">
        <v>1205</v>
      </c>
      <c r="F1780" s="206">
        <v>1143</v>
      </c>
      <c r="G1780" s="183" t="s">
        <v>12230</v>
      </c>
      <c r="H1780" s="183" t="s">
        <v>12458</v>
      </c>
    </row>
    <row r="1781" spans="1:8">
      <c r="A1781" s="183" t="s">
        <v>12442</v>
      </c>
      <c r="E1781" s="699"/>
      <c r="F1781" s="699"/>
      <c r="G1781" s="699"/>
    </row>
    <row r="1782" spans="1:8">
      <c r="E1782" s="183">
        <v>45</v>
      </c>
      <c r="F1782" s="183">
        <v>1098</v>
      </c>
      <c r="G1782" s="183" t="s">
        <v>12114</v>
      </c>
      <c r="H1782" s="183" t="s">
        <v>12459</v>
      </c>
    </row>
    <row r="1783" spans="1:8">
      <c r="E1783" s="183">
        <v>30</v>
      </c>
      <c r="F1783" s="206">
        <v>1068</v>
      </c>
      <c r="G1783" s="183" t="s">
        <v>12114</v>
      </c>
      <c r="H1783" s="183" t="s">
        <v>12460</v>
      </c>
    </row>
    <row r="1784" spans="1:8">
      <c r="E1784" s="183">
        <v>45</v>
      </c>
      <c r="F1784" s="206">
        <v>1023</v>
      </c>
      <c r="G1784" s="183" t="s">
        <v>12273</v>
      </c>
      <c r="H1784" s="183" t="s">
        <v>12461</v>
      </c>
    </row>
    <row r="1785" spans="1:8">
      <c r="F1785" s="206"/>
    </row>
    <row r="1786" spans="1:8">
      <c r="A1786" s="183" t="s">
        <v>12462</v>
      </c>
    </row>
    <row r="1787" spans="1:8">
      <c r="C1787" s="183">
        <v>250</v>
      </c>
      <c r="H1787" s="183" t="s">
        <v>12463</v>
      </c>
    </row>
    <row r="1789" spans="1:8">
      <c r="A1789" s="183" t="s">
        <v>12452</v>
      </c>
      <c r="E1789" s="699"/>
      <c r="F1789" s="699"/>
      <c r="G1789" s="699"/>
    </row>
    <row r="1790" spans="1:8">
      <c r="E1790" s="206">
        <v>265</v>
      </c>
      <c r="F1790" s="206">
        <v>758</v>
      </c>
      <c r="G1790" s="183" t="s">
        <v>12185</v>
      </c>
      <c r="H1790" s="183" t="s">
        <v>12464</v>
      </c>
    </row>
    <row r="1791" spans="1:8">
      <c r="E1791" s="206">
        <v>240</v>
      </c>
      <c r="F1791" s="206">
        <v>518</v>
      </c>
      <c r="G1791" s="183" t="s">
        <v>12185</v>
      </c>
      <c r="H1791" s="183" t="s">
        <v>12464</v>
      </c>
    </row>
    <row r="1792" spans="1:8">
      <c r="E1792" s="206"/>
      <c r="F1792" s="206"/>
    </row>
    <row r="1793" spans="1:8">
      <c r="A1793" s="183" t="s">
        <v>12465</v>
      </c>
      <c r="E1793" s="699"/>
      <c r="F1793" s="699"/>
      <c r="G1793" s="699"/>
    </row>
    <row r="1794" spans="1:8">
      <c r="C1794" s="183">
        <v>5000</v>
      </c>
      <c r="E1794" s="699"/>
      <c r="F1794" s="699"/>
      <c r="G1794" s="699"/>
      <c r="H1794" s="183" t="s">
        <v>12384</v>
      </c>
    </row>
    <row r="1795" spans="1:8">
      <c r="D1795" s="183">
        <v>5000</v>
      </c>
      <c r="E1795" s="699"/>
      <c r="F1795" s="206">
        <v>5518</v>
      </c>
      <c r="G1795" s="699"/>
      <c r="H1795" s="183" t="s">
        <v>12384</v>
      </c>
    </row>
    <row r="1796" spans="1:8" ht="18" customHeight="1">
      <c r="E1796" s="699"/>
      <c r="F1796" s="699"/>
      <c r="G1796" s="699"/>
    </row>
    <row r="1797" spans="1:8">
      <c r="A1797" s="183" t="s">
        <v>12466</v>
      </c>
    </row>
    <row r="1798" spans="1:8">
      <c r="C1798" s="183">
        <v>17000</v>
      </c>
      <c r="H1798" s="183" t="s">
        <v>12467</v>
      </c>
    </row>
    <row r="1799" spans="1:8">
      <c r="E1799" s="183">
        <v>12</v>
      </c>
      <c r="F1799" s="183">
        <v>5506</v>
      </c>
      <c r="G1799" s="183" t="s">
        <v>12114</v>
      </c>
      <c r="H1799" s="183" t="s">
        <v>12468</v>
      </c>
    </row>
    <row r="1801" spans="1:8">
      <c r="A1801" s="183" t="s">
        <v>12469</v>
      </c>
      <c r="E1801" s="699"/>
      <c r="F1801" s="699"/>
      <c r="G1801" s="699"/>
    </row>
    <row r="1802" spans="1:8">
      <c r="C1802" s="183">
        <v>22857</v>
      </c>
      <c r="H1802" s="183" t="s">
        <v>12470</v>
      </c>
    </row>
    <row r="1803" spans="1:8">
      <c r="C1803" s="183">
        <v>93000</v>
      </c>
      <c r="H1803" s="183" t="s">
        <v>12471</v>
      </c>
    </row>
    <row r="1804" spans="1:8">
      <c r="C1804" s="183">
        <v>63352</v>
      </c>
      <c r="H1804" s="183" t="s">
        <v>12472</v>
      </c>
    </row>
    <row r="1806" spans="1:8">
      <c r="A1806" s="183" t="s">
        <v>12473</v>
      </c>
      <c r="E1806" s="699"/>
      <c r="F1806" s="699"/>
      <c r="G1806" s="699"/>
    </row>
    <row r="1807" spans="1:8">
      <c r="E1807" s="206">
        <v>80</v>
      </c>
      <c r="F1807" s="206">
        <v>5426</v>
      </c>
      <c r="G1807" s="183" t="s">
        <v>12185</v>
      </c>
      <c r="H1807" s="183" t="s">
        <v>12474</v>
      </c>
    </row>
    <row r="1808" spans="1:8">
      <c r="E1808" s="206">
        <v>65</v>
      </c>
      <c r="F1808" s="206">
        <v>5361</v>
      </c>
      <c r="G1808" s="183" t="s">
        <v>12185</v>
      </c>
      <c r="H1808" s="183" t="s">
        <v>12475</v>
      </c>
    </row>
    <row r="1809" spans="1:8">
      <c r="E1809" s="206">
        <v>100</v>
      </c>
      <c r="F1809" s="206">
        <v>5261</v>
      </c>
      <c r="G1809" s="183" t="s">
        <v>12185</v>
      </c>
      <c r="H1809" s="183" t="s">
        <v>12476</v>
      </c>
    </row>
    <row r="1810" spans="1:8">
      <c r="E1810" s="206">
        <v>65</v>
      </c>
      <c r="F1810" s="206">
        <v>5196</v>
      </c>
      <c r="G1810" s="183" t="s">
        <v>12185</v>
      </c>
      <c r="H1810" s="183" t="s">
        <v>12477</v>
      </c>
    </row>
    <row r="1811" spans="1:8">
      <c r="E1811" s="206">
        <v>80</v>
      </c>
      <c r="F1811" s="206">
        <v>5116</v>
      </c>
      <c r="G1811" s="183" t="s">
        <v>12185</v>
      </c>
      <c r="H1811" s="183" t="s">
        <v>12474</v>
      </c>
    </row>
    <row r="1812" spans="1:8">
      <c r="E1812" s="206"/>
      <c r="F1812" s="206"/>
    </row>
    <row r="1813" spans="1:8">
      <c r="F1813" s="206"/>
    </row>
    <row r="1814" spans="1:8">
      <c r="A1814" s="183" t="s">
        <v>12478</v>
      </c>
    </row>
    <row r="1815" spans="1:8">
      <c r="C1815" s="183">
        <v>33661</v>
      </c>
      <c r="H1815" s="183" t="s">
        <v>12479</v>
      </c>
    </row>
    <row r="1817" spans="1:8">
      <c r="A1817" s="183" t="s">
        <v>12480</v>
      </c>
      <c r="E1817" s="699"/>
      <c r="F1817" s="699"/>
      <c r="G1817" s="699"/>
    </row>
    <row r="1818" spans="1:8">
      <c r="E1818" s="206">
        <v>70</v>
      </c>
      <c r="F1818" s="206">
        <v>5046</v>
      </c>
      <c r="G1818" s="183" t="s">
        <v>12185</v>
      </c>
      <c r="H1818" s="183" t="s">
        <v>12481</v>
      </c>
    </row>
    <row r="1819" spans="1:8">
      <c r="E1819" s="206">
        <v>65</v>
      </c>
      <c r="F1819" s="206">
        <v>4981</v>
      </c>
      <c r="G1819" s="183" t="s">
        <v>12185</v>
      </c>
      <c r="H1819" s="183" t="s">
        <v>12475</v>
      </c>
    </row>
    <row r="1820" spans="1:8">
      <c r="E1820" s="206">
        <v>100</v>
      </c>
      <c r="F1820" s="206">
        <v>4881</v>
      </c>
      <c r="G1820" s="183" t="s">
        <v>12185</v>
      </c>
      <c r="H1820" s="183" t="s">
        <v>12476</v>
      </c>
    </row>
    <row r="1821" spans="1:8">
      <c r="E1821" s="206">
        <v>65</v>
      </c>
      <c r="F1821" s="206">
        <v>4816</v>
      </c>
      <c r="G1821" s="183" t="s">
        <v>12185</v>
      </c>
      <c r="H1821" s="183" t="s">
        <v>12475</v>
      </c>
    </row>
    <row r="1822" spans="1:8">
      <c r="E1822" s="206">
        <v>75</v>
      </c>
      <c r="F1822" s="206">
        <v>4741</v>
      </c>
      <c r="G1822" s="183" t="s">
        <v>12185</v>
      </c>
      <c r="H1822" s="183" t="s">
        <v>12474</v>
      </c>
    </row>
    <row r="1824" spans="1:8">
      <c r="A1824" s="183" t="s">
        <v>12482</v>
      </c>
      <c r="E1824" s="699"/>
      <c r="F1824" s="699"/>
      <c r="G1824" s="699"/>
    </row>
    <row r="1825" spans="1:8">
      <c r="E1825" s="206">
        <v>35</v>
      </c>
      <c r="F1825" s="206">
        <v>4706</v>
      </c>
      <c r="G1825" s="183" t="s">
        <v>12185</v>
      </c>
      <c r="H1825" s="183" t="s">
        <v>12483</v>
      </c>
    </row>
    <row r="1826" spans="1:8">
      <c r="E1826" s="206">
        <v>35</v>
      </c>
      <c r="F1826" s="206">
        <v>4671</v>
      </c>
      <c r="G1826" s="183" t="s">
        <v>12185</v>
      </c>
      <c r="H1826" s="183" t="s">
        <v>12484</v>
      </c>
    </row>
    <row r="1827" spans="1:8">
      <c r="H1827" s="699" t="s">
        <v>12485</v>
      </c>
    </row>
    <row r="1828" spans="1:8">
      <c r="E1828" s="699"/>
      <c r="F1828" s="699"/>
      <c r="G1828" s="699"/>
      <c r="H1828" s="699"/>
    </row>
    <row r="1829" spans="1:8">
      <c r="A1829" s="183" t="s">
        <v>12486</v>
      </c>
      <c r="E1829" s="699"/>
      <c r="F1829" s="699"/>
      <c r="G1829" s="699"/>
      <c r="H1829" s="699"/>
    </row>
    <row r="1830" spans="1:8">
      <c r="E1830" s="206">
        <v>80</v>
      </c>
      <c r="F1830" s="206">
        <v>4591</v>
      </c>
      <c r="G1830" s="183" t="s">
        <v>12305</v>
      </c>
      <c r="H1830" s="183" t="s">
        <v>12487</v>
      </c>
    </row>
    <row r="1831" spans="1:8">
      <c r="E1831" s="699"/>
      <c r="F1831" s="699"/>
      <c r="G1831" s="699"/>
      <c r="H1831" s="699"/>
    </row>
    <row r="1832" spans="1:8">
      <c r="A1832" s="183" t="s">
        <v>12488</v>
      </c>
      <c r="E1832" s="699"/>
      <c r="F1832" s="699"/>
      <c r="G1832" s="699"/>
      <c r="H1832" s="699"/>
    </row>
    <row r="1833" spans="1:8">
      <c r="E1833" s="206">
        <v>6</v>
      </c>
      <c r="F1833" s="206">
        <v>4585</v>
      </c>
      <c r="G1833" s="183" t="s">
        <v>12273</v>
      </c>
      <c r="H1833" s="183" t="s">
        <v>12489</v>
      </c>
    </row>
    <row r="1834" spans="1:8">
      <c r="E1834" s="183">
        <v>52</v>
      </c>
      <c r="F1834" s="183">
        <v>4533</v>
      </c>
      <c r="G1834" s="183" t="s">
        <v>12114</v>
      </c>
      <c r="H1834" s="183" t="s">
        <v>12490</v>
      </c>
    </row>
    <row r="1835" spans="1:8">
      <c r="E1835" s="206">
        <v>78</v>
      </c>
      <c r="F1835" s="206">
        <v>4455</v>
      </c>
      <c r="G1835" s="183" t="s">
        <v>12273</v>
      </c>
      <c r="H1835" s="183" t="s">
        <v>12491</v>
      </c>
    </row>
    <row r="1836" spans="1:8">
      <c r="E1836" s="699"/>
      <c r="F1836" s="699"/>
      <c r="G1836" s="699"/>
      <c r="H1836" s="699"/>
    </row>
    <row r="1837" spans="1:8">
      <c r="A1837" s="183" t="s">
        <v>12492</v>
      </c>
      <c r="E1837" s="699"/>
      <c r="F1837" s="699"/>
      <c r="G1837" s="699"/>
      <c r="H1837" s="699"/>
    </row>
    <row r="1838" spans="1:8">
      <c r="E1838" s="206">
        <v>1205</v>
      </c>
      <c r="F1838" s="206">
        <v>3250</v>
      </c>
      <c r="G1838" s="183" t="s">
        <v>12230</v>
      </c>
      <c r="H1838" s="183" t="s">
        <v>12493</v>
      </c>
    </row>
    <row r="1839" spans="1:8">
      <c r="E1839" s="699"/>
      <c r="F1839" s="699"/>
      <c r="G1839" s="699"/>
      <c r="H1839" s="699"/>
    </row>
    <row r="1840" spans="1:8">
      <c r="A1840" s="183" t="s">
        <v>12494</v>
      </c>
      <c r="E1840" s="699"/>
      <c r="F1840" s="699"/>
      <c r="G1840" s="699"/>
      <c r="H1840" s="699"/>
    </row>
    <row r="1841" spans="1:8" ht="330">
      <c r="C1841" s="183">
        <v>16000</v>
      </c>
      <c r="E1841" s="206"/>
      <c r="F1841" s="206"/>
      <c r="H1841" s="694" t="s">
        <v>12495</v>
      </c>
    </row>
    <row r="1842" spans="1:8">
      <c r="E1842" s="206"/>
      <c r="F1842" s="206"/>
      <c r="H1842" s="694"/>
    </row>
    <row r="1843" spans="1:8">
      <c r="A1843" s="183" t="s">
        <v>12496</v>
      </c>
    </row>
    <row r="1844" spans="1:8">
      <c r="E1844" s="206">
        <v>100</v>
      </c>
      <c r="F1844" s="206">
        <v>3150</v>
      </c>
      <c r="G1844" s="183" t="s">
        <v>12185</v>
      </c>
      <c r="H1844" s="183" t="s">
        <v>12497</v>
      </c>
    </row>
    <row r="1845" spans="1:8">
      <c r="E1845" s="206">
        <v>100</v>
      </c>
      <c r="F1845" s="206">
        <v>3050</v>
      </c>
      <c r="G1845" s="183" t="s">
        <v>12185</v>
      </c>
      <c r="H1845" s="183" t="s">
        <v>12498</v>
      </c>
    </row>
    <row r="1846" spans="1:8">
      <c r="E1846" s="699"/>
      <c r="F1846" s="699"/>
      <c r="G1846" s="699"/>
      <c r="H1846" s="699"/>
    </row>
    <row r="1847" spans="1:8">
      <c r="E1847" s="206"/>
      <c r="F1847" s="206"/>
      <c r="H1847" s="694"/>
    </row>
    <row r="1848" spans="1:8">
      <c r="A1848" s="183" t="s">
        <v>12496</v>
      </c>
    </row>
    <row r="1849" spans="1:8">
      <c r="E1849" s="206">
        <v>144</v>
      </c>
      <c r="F1849" s="206">
        <v>2906</v>
      </c>
      <c r="G1849" s="183" t="s">
        <v>12185</v>
      </c>
      <c r="H1849" s="183" t="s">
        <v>12499</v>
      </c>
    </row>
    <row r="1850" spans="1:8">
      <c r="E1850" s="206">
        <v>30</v>
      </c>
      <c r="F1850" s="206">
        <v>2876</v>
      </c>
      <c r="G1850" s="183" t="s">
        <v>12185</v>
      </c>
      <c r="H1850" s="183" t="s">
        <v>12499</v>
      </c>
    </row>
    <row r="1851" spans="1:8">
      <c r="E1851" s="206"/>
      <c r="F1851" s="206"/>
      <c r="G1851" s="206"/>
    </row>
    <row r="1852" spans="1:8">
      <c r="A1852" s="183" t="s">
        <v>12500</v>
      </c>
      <c r="E1852" s="206"/>
      <c r="F1852" s="206"/>
      <c r="G1852" s="206"/>
    </row>
    <row r="1853" spans="1:8">
      <c r="E1853" s="206">
        <v>18</v>
      </c>
      <c r="F1853" s="206">
        <v>2858</v>
      </c>
      <c r="G1853" s="183" t="s">
        <v>12305</v>
      </c>
      <c r="H1853" s="183" t="s">
        <v>12501</v>
      </c>
    </row>
    <row r="1854" spans="1:8">
      <c r="E1854" s="699"/>
      <c r="F1854" s="699"/>
      <c r="G1854" s="699"/>
      <c r="H1854" s="699"/>
    </row>
    <row r="1855" spans="1:8">
      <c r="A1855" s="183" t="s">
        <v>12502</v>
      </c>
    </row>
    <row r="1856" spans="1:8">
      <c r="C1856" s="183">
        <v>17000</v>
      </c>
      <c r="H1856" s="183" t="s">
        <v>12503</v>
      </c>
    </row>
    <row r="1858" spans="1:8">
      <c r="A1858" s="183" t="s">
        <v>12504</v>
      </c>
      <c r="E1858" s="699"/>
      <c r="F1858" s="699"/>
      <c r="G1858" s="699"/>
    </row>
    <row r="1859" spans="1:8">
      <c r="C1859" s="183">
        <v>22857</v>
      </c>
      <c r="H1859" s="183" t="s">
        <v>12505</v>
      </c>
    </row>
    <row r="1860" spans="1:8">
      <c r="C1860" s="183">
        <v>12000</v>
      </c>
      <c r="H1860" s="183" t="s">
        <v>12506</v>
      </c>
    </row>
    <row r="1861" spans="1:8">
      <c r="C1861" s="183">
        <v>63352</v>
      </c>
      <c r="H1861" s="183" t="s">
        <v>12507</v>
      </c>
    </row>
    <row r="1862" spans="1:8">
      <c r="E1862" s="699"/>
      <c r="F1862" s="699"/>
      <c r="G1862" s="699"/>
      <c r="H1862" s="699"/>
    </row>
    <row r="1863" spans="1:8">
      <c r="A1863" s="183" t="s">
        <v>12508</v>
      </c>
    </row>
    <row r="1864" spans="1:8">
      <c r="C1864" s="183">
        <v>2176</v>
      </c>
      <c r="H1864" s="183" t="s">
        <v>12509</v>
      </c>
    </row>
    <row r="1866" spans="1:8">
      <c r="A1866" s="183" t="s">
        <v>12510</v>
      </c>
      <c r="E1866" s="699"/>
      <c r="F1866" s="699"/>
      <c r="G1866" s="699"/>
    </row>
    <row r="1867" spans="1:8">
      <c r="E1867" s="206">
        <v>200</v>
      </c>
      <c r="F1867" s="206">
        <v>2658</v>
      </c>
      <c r="G1867" s="183" t="s">
        <v>12185</v>
      </c>
      <c r="H1867" s="183" t="s">
        <v>12511</v>
      </c>
    </row>
    <row r="1868" spans="1:8">
      <c r="E1868" s="206">
        <v>200</v>
      </c>
      <c r="F1868" s="206">
        <v>2458</v>
      </c>
      <c r="G1868" s="183" t="s">
        <v>12185</v>
      </c>
      <c r="H1868" s="183" t="s">
        <v>12511</v>
      </c>
    </row>
    <row r="1869" spans="1:8">
      <c r="E1869" s="206"/>
      <c r="F1869" s="206"/>
    </row>
    <row r="1870" spans="1:8">
      <c r="A1870" s="183" t="s">
        <v>12512</v>
      </c>
      <c r="E1870" s="699"/>
      <c r="F1870" s="699"/>
      <c r="G1870" s="699"/>
    </row>
    <row r="1871" spans="1:8">
      <c r="E1871" s="206">
        <v>300</v>
      </c>
      <c r="F1871" s="206">
        <v>2158</v>
      </c>
      <c r="G1871" s="183" t="s">
        <v>12185</v>
      </c>
      <c r="H1871" s="183" t="s">
        <v>12513</v>
      </c>
    </row>
    <row r="1872" spans="1:8">
      <c r="E1872" s="206">
        <v>300</v>
      </c>
      <c r="F1872" s="206">
        <v>1858</v>
      </c>
      <c r="G1872" s="183" t="s">
        <v>12185</v>
      </c>
      <c r="H1872" s="183" t="s">
        <v>12513</v>
      </c>
    </row>
    <row r="1873" spans="1:8">
      <c r="E1873" s="206"/>
      <c r="F1873" s="206"/>
    </row>
    <row r="1874" spans="1:8">
      <c r="A1874" s="183" t="s">
        <v>12514</v>
      </c>
      <c r="E1874" s="699"/>
      <c r="F1874" s="699"/>
      <c r="G1874" s="699"/>
    </row>
    <row r="1875" spans="1:8">
      <c r="E1875" s="206">
        <v>130</v>
      </c>
      <c r="F1875" s="206">
        <v>1728</v>
      </c>
      <c r="G1875" s="183" t="s">
        <v>12185</v>
      </c>
      <c r="H1875" s="183" t="s">
        <v>12515</v>
      </c>
    </row>
    <row r="1876" spans="1:8">
      <c r="E1876" s="206">
        <v>120</v>
      </c>
      <c r="F1876" s="206">
        <v>1608</v>
      </c>
      <c r="G1876" s="183" t="s">
        <v>12185</v>
      </c>
      <c r="H1876" s="183" t="s">
        <v>12515</v>
      </c>
    </row>
    <row r="1877" spans="1:8">
      <c r="E1877" s="699"/>
      <c r="F1877" s="699"/>
      <c r="G1877" s="699"/>
    </row>
    <row r="1878" spans="1:8">
      <c r="A1878" s="183" t="s">
        <v>12516</v>
      </c>
      <c r="E1878" s="699"/>
      <c r="F1878" s="699"/>
      <c r="G1878" s="699"/>
    </row>
    <row r="1879" spans="1:8">
      <c r="E1879" s="183">
        <v>40</v>
      </c>
      <c r="F1879" s="206">
        <v>1568</v>
      </c>
      <c r="G1879" s="183" t="s">
        <v>12121</v>
      </c>
      <c r="H1879" s="183" t="s">
        <v>12517</v>
      </c>
    </row>
    <row r="1880" spans="1:8">
      <c r="E1880" s="206">
        <v>45</v>
      </c>
      <c r="F1880" s="206">
        <v>1523</v>
      </c>
      <c r="G1880" s="183" t="s">
        <v>12185</v>
      </c>
      <c r="H1880" s="183" t="s">
        <v>12518</v>
      </c>
    </row>
    <row r="1881" spans="1:8">
      <c r="E1881" s="206"/>
      <c r="F1881" s="206"/>
    </row>
    <row r="1882" spans="1:8">
      <c r="A1882" s="183" t="s">
        <v>12519</v>
      </c>
      <c r="E1882" s="699"/>
      <c r="F1882" s="699"/>
      <c r="G1882" s="699"/>
    </row>
    <row r="1883" spans="1:8">
      <c r="E1883" s="206">
        <v>230</v>
      </c>
      <c r="F1883" s="206">
        <v>1293</v>
      </c>
      <c r="G1883" s="183" t="s">
        <v>12185</v>
      </c>
      <c r="H1883" s="183" t="s">
        <v>12520</v>
      </c>
    </row>
    <row r="1884" spans="1:8">
      <c r="E1884" s="206">
        <v>240</v>
      </c>
      <c r="F1884" s="206">
        <v>1053</v>
      </c>
      <c r="G1884" s="183" t="s">
        <v>12185</v>
      </c>
      <c r="H1884" s="183" t="s">
        <v>12521</v>
      </c>
    </row>
    <row r="1885" spans="1:8">
      <c r="E1885" s="699"/>
      <c r="F1885" s="699"/>
      <c r="G1885" s="699"/>
      <c r="H1885" s="699"/>
    </row>
    <row r="1886" spans="1:8">
      <c r="A1886" s="183" t="s">
        <v>12522</v>
      </c>
      <c r="E1886" s="699"/>
      <c r="F1886" s="699"/>
      <c r="G1886" s="699"/>
      <c r="H1886" s="699"/>
    </row>
    <row r="1887" spans="1:8">
      <c r="D1887" s="183">
        <v>5000</v>
      </c>
      <c r="E1887" s="699"/>
      <c r="F1887" s="206">
        <v>6053</v>
      </c>
      <c r="G1887" s="699"/>
      <c r="H1887" s="183" t="s">
        <v>12384</v>
      </c>
    </row>
    <row r="1888" spans="1:8">
      <c r="E1888" s="206">
        <v>216</v>
      </c>
      <c r="F1888" s="206">
        <v>5837</v>
      </c>
      <c r="G1888" s="183" t="s">
        <v>12273</v>
      </c>
      <c r="H1888" s="183" t="s">
        <v>12523</v>
      </c>
    </row>
    <row r="1889" spans="1:8">
      <c r="E1889" s="699"/>
      <c r="F1889" s="699"/>
      <c r="G1889" s="699"/>
      <c r="H1889" s="699"/>
    </row>
    <row r="1890" spans="1:8" ht="132">
      <c r="E1890" s="699"/>
      <c r="F1890" s="699"/>
      <c r="G1890" s="699"/>
      <c r="H1890" s="694" t="s">
        <v>12524</v>
      </c>
    </row>
    <row r="1891" spans="1:8">
      <c r="E1891" s="699"/>
      <c r="F1891" s="699"/>
      <c r="G1891" s="699"/>
      <c r="H1891" s="699"/>
    </row>
    <row r="1892" spans="1:8">
      <c r="A1892" s="183" t="s">
        <v>12525</v>
      </c>
      <c r="E1892" s="699"/>
      <c r="F1892" s="699"/>
      <c r="G1892" s="699"/>
      <c r="H1892" s="699"/>
    </row>
    <row r="1893" spans="1:8">
      <c r="E1893" s="206">
        <v>1205</v>
      </c>
      <c r="F1893" s="206">
        <v>4632</v>
      </c>
      <c r="G1893" s="183" t="s">
        <v>12526</v>
      </c>
      <c r="H1893" s="183" t="s">
        <v>12527</v>
      </c>
    </row>
    <row r="1894" spans="1:8">
      <c r="E1894" s="699"/>
      <c r="F1894" s="699"/>
      <c r="G1894" s="699"/>
      <c r="H1894" s="699"/>
    </row>
    <row r="1895" spans="1:8">
      <c r="A1895" s="183" t="s">
        <v>12528</v>
      </c>
      <c r="E1895" s="699"/>
      <c r="F1895" s="699"/>
      <c r="G1895" s="699"/>
      <c r="H1895" s="699"/>
    </row>
    <row r="1896" spans="1:8">
      <c r="E1896" s="206">
        <v>188</v>
      </c>
      <c r="F1896" s="206">
        <v>4444</v>
      </c>
      <c r="G1896" s="206" t="s">
        <v>12529</v>
      </c>
      <c r="H1896" s="183" t="s">
        <v>12530</v>
      </c>
    </row>
    <row r="1897" spans="1:8">
      <c r="E1897" s="699"/>
      <c r="F1897" s="699"/>
      <c r="G1897" s="699"/>
      <c r="H1897" s="699"/>
    </row>
    <row r="1898" spans="1:8" ht="297">
      <c r="A1898" s="183" t="s">
        <v>12531</v>
      </c>
      <c r="C1898" s="183">
        <v>200000</v>
      </c>
      <c r="H1898" s="694" t="s">
        <v>12532</v>
      </c>
    </row>
    <row r="1899" spans="1:8">
      <c r="C1899" s="183">
        <v>17000</v>
      </c>
      <c r="H1899" s="183" t="s">
        <v>12533</v>
      </c>
    </row>
    <row r="1900" spans="1:8">
      <c r="H1900" s="694"/>
    </row>
    <row r="1901" spans="1:8">
      <c r="A1901" s="183" t="s">
        <v>12534</v>
      </c>
      <c r="E1901" s="699"/>
      <c r="F1901" s="699"/>
      <c r="G1901" s="699"/>
    </row>
    <row r="1902" spans="1:8">
      <c r="C1902" s="183">
        <v>22857</v>
      </c>
      <c r="H1902" s="183" t="s">
        <v>12535</v>
      </c>
    </row>
    <row r="1903" spans="1:8">
      <c r="C1903" s="183">
        <v>15000</v>
      </c>
      <c r="H1903" s="183" t="s">
        <v>12536</v>
      </c>
    </row>
    <row r="1904" spans="1:8">
      <c r="C1904" s="183">
        <v>51000</v>
      </c>
      <c r="H1904" s="183" t="s">
        <v>12537</v>
      </c>
    </row>
    <row r="1905" spans="1:8">
      <c r="C1905" s="183">
        <v>63248</v>
      </c>
      <c r="H1905" s="183" t="s">
        <v>12538</v>
      </c>
    </row>
    <row r="1906" spans="1:8">
      <c r="C1906" s="183">
        <v>30000</v>
      </c>
      <c r="H1906" s="183" t="s">
        <v>12539</v>
      </c>
    </row>
    <row r="1907" spans="1:8">
      <c r="E1907" s="699"/>
      <c r="F1907" s="699"/>
      <c r="G1907" s="699"/>
      <c r="H1907" s="699"/>
    </row>
    <row r="1908" spans="1:8">
      <c r="A1908" s="183" t="s">
        <v>12540</v>
      </c>
      <c r="E1908" s="699"/>
      <c r="F1908" s="699"/>
      <c r="G1908" s="699"/>
      <c r="H1908" s="699"/>
    </row>
    <row r="1909" spans="1:8">
      <c r="C1909" s="183">
        <v>40519</v>
      </c>
      <c r="H1909" s="183" t="s">
        <v>12541</v>
      </c>
    </row>
    <row r="1910" spans="1:8">
      <c r="E1910" s="206">
        <v>40</v>
      </c>
      <c r="F1910" s="206">
        <v>4404</v>
      </c>
      <c r="G1910" s="183" t="s">
        <v>12133</v>
      </c>
      <c r="H1910" s="183" t="s">
        <v>12542</v>
      </c>
    </row>
    <row r="1911" spans="1:8">
      <c r="E1911" s="206">
        <v>40</v>
      </c>
      <c r="F1911" s="206">
        <v>4364</v>
      </c>
      <c r="G1911" s="183" t="s">
        <v>12133</v>
      </c>
      <c r="H1911" s="183" t="s">
        <v>12543</v>
      </c>
    </row>
    <row r="1912" spans="1:8">
      <c r="E1912" s="206">
        <v>30</v>
      </c>
      <c r="F1912" s="206">
        <v>4334</v>
      </c>
      <c r="G1912" s="206" t="s">
        <v>12072</v>
      </c>
      <c r="H1912" s="183" t="s">
        <v>12544</v>
      </c>
    </row>
    <row r="1913" spans="1:8">
      <c r="E1913" s="206">
        <v>31</v>
      </c>
      <c r="F1913" s="206">
        <v>4303</v>
      </c>
      <c r="G1913" s="183" t="s">
        <v>12083</v>
      </c>
      <c r="H1913" s="183" t="s">
        <v>12545</v>
      </c>
    </row>
    <row r="1914" spans="1:8">
      <c r="E1914" s="206">
        <v>31</v>
      </c>
      <c r="F1914" s="206">
        <v>4272</v>
      </c>
      <c r="G1914" s="183" t="s">
        <v>12083</v>
      </c>
      <c r="H1914" s="183" t="s">
        <v>12546</v>
      </c>
    </row>
    <row r="1915" spans="1:8">
      <c r="E1915" s="183">
        <v>300</v>
      </c>
      <c r="F1915" s="206">
        <v>3972</v>
      </c>
      <c r="G1915" s="183" t="s">
        <v>12547</v>
      </c>
      <c r="H1915" s="183" t="s">
        <v>11758</v>
      </c>
    </row>
    <row r="1916" spans="1:8" s="206" customFormat="1">
      <c r="H1916" s="706" t="s">
        <v>12548</v>
      </c>
    </row>
    <row r="1917" spans="1:8">
      <c r="E1917" s="699"/>
      <c r="F1917" s="699"/>
      <c r="G1917" s="699"/>
      <c r="H1917" s="699"/>
    </row>
    <row r="1918" spans="1:8">
      <c r="A1918" s="183" t="s">
        <v>12549</v>
      </c>
      <c r="E1918" s="699"/>
      <c r="F1918" s="699"/>
      <c r="G1918" s="699"/>
      <c r="H1918" s="699"/>
    </row>
    <row r="1919" spans="1:8">
      <c r="E1919" s="206">
        <v>1205</v>
      </c>
      <c r="F1919" s="206">
        <v>2767</v>
      </c>
      <c r="G1919" s="183" t="s">
        <v>12550</v>
      </c>
      <c r="H1919" s="183" t="s">
        <v>12551</v>
      </c>
    </row>
    <row r="1920" spans="1:8">
      <c r="E1920" s="699"/>
      <c r="F1920" s="699"/>
      <c r="G1920" s="699"/>
      <c r="H1920" s="699"/>
    </row>
    <row r="1921" spans="1:8">
      <c r="A1921" s="183" t="s">
        <v>12552</v>
      </c>
      <c r="E1921" s="699"/>
      <c r="F1921" s="699"/>
      <c r="G1921" s="699"/>
      <c r="H1921" s="699"/>
    </row>
    <row r="1922" spans="1:8" s="206" customFormat="1" ht="49.5">
      <c r="C1922" s="206">
        <v>190400</v>
      </c>
      <c r="H1922" s="694" t="s">
        <v>12553</v>
      </c>
    </row>
    <row r="1923" spans="1:8">
      <c r="E1923" s="699"/>
      <c r="F1923" s="699"/>
      <c r="G1923" s="699"/>
      <c r="H1923" s="699"/>
    </row>
    <row r="1924" spans="1:8">
      <c r="A1924" s="183" t="s">
        <v>12554</v>
      </c>
      <c r="E1924" s="699"/>
      <c r="F1924" s="699"/>
      <c r="G1924" s="699"/>
      <c r="H1924" s="699"/>
    </row>
    <row r="1925" spans="1:8">
      <c r="D1925" s="183">
        <v>46</v>
      </c>
      <c r="E1925" s="206"/>
      <c r="F1925" s="206">
        <v>2813</v>
      </c>
      <c r="H1925" s="183" t="s">
        <v>12555</v>
      </c>
    </row>
    <row r="1926" spans="1:8" s="206" customFormat="1">
      <c r="E1926" s="206">
        <v>48</v>
      </c>
      <c r="F1926" s="206">
        <v>2765</v>
      </c>
      <c r="G1926" s="183" t="s">
        <v>12083</v>
      </c>
      <c r="H1926" s="183" t="s">
        <v>12556</v>
      </c>
    </row>
    <row r="1927" spans="1:8">
      <c r="E1927" s="206">
        <v>18</v>
      </c>
      <c r="F1927" s="206">
        <v>2747</v>
      </c>
      <c r="G1927" s="183" t="s">
        <v>12072</v>
      </c>
      <c r="H1927" s="183" t="s">
        <v>12557</v>
      </c>
    </row>
    <row r="1928" spans="1:8">
      <c r="E1928" s="699"/>
      <c r="F1928" s="699"/>
      <c r="G1928" s="699"/>
      <c r="H1928" s="699"/>
    </row>
    <row r="1929" spans="1:8">
      <c r="A1929" s="183" t="s">
        <v>12558</v>
      </c>
    </row>
    <row r="1930" spans="1:8">
      <c r="C1930" s="183">
        <v>17000</v>
      </c>
      <c r="H1930" s="183" t="s">
        <v>12559</v>
      </c>
    </row>
    <row r="1931" spans="1:8">
      <c r="E1931" s="183">
        <v>50</v>
      </c>
      <c r="F1931" s="206">
        <v>2697</v>
      </c>
      <c r="G1931" s="183" t="s">
        <v>12103</v>
      </c>
      <c r="H1931" s="183" t="s">
        <v>12560</v>
      </c>
    </row>
    <row r="1932" spans="1:8">
      <c r="H1932" s="694"/>
    </row>
    <row r="1933" spans="1:8">
      <c r="A1933" s="183" t="s">
        <v>12561</v>
      </c>
      <c r="E1933" s="699"/>
      <c r="F1933" s="699"/>
      <c r="G1933" s="699"/>
    </row>
    <row r="1934" spans="1:8">
      <c r="C1934" s="183">
        <v>22857</v>
      </c>
      <c r="H1934" s="183" t="s">
        <v>12535</v>
      </c>
    </row>
    <row r="1935" spans="1:8">
      <c r="C1935" s="183">
        <v>33248</v>
      </c>
      <c r="H1935" s="183" t="s">
        <v>12562</v>
      </c>
    </row>
    <row r="1936" spans="1:8">
      <c r="E1936" s="699"/>
      <c r="F1936" s="699"/>
      <c r="G1936" s="699"/>
      <c r="H1936" s="699" t="s">
        <v>12563</v>
      </c>
    </row>
    <row r="1937" spans="1:8">
      <c r="C1937" s="183">
        <v>2558</v>
      </c>
      <c r="H1937" s="183" t="s">
        <v>12564</v>
      </c>
    </row>
    <row r="1938" spans="1:8">
      <c r="E1938" s="699"/>
      <c r="F1938" s="699"/>
      <c r="G1938" s="699"/>
    </row>
    <row r="1939" spans="1:8">
      <c r="A1939" s="183" t="s">
        <v>12565</v>
      </c>
    </row>
    <row r="1940" spans="1:8">
      <c r="E1940" s="183">
        <v>200</v>
      </c>
      <c r="F1940" s="206">
        <v>2497</v>
      </c>
      <c r="G1940" s="183" t="s">
        <v>12121</v>
      </c>
      <c r="H1940" s="183" t="s">
        <v>12566</v>
      </c>
    </row>
    <row r="1941" spans="1:8">
      <c r="C1941" s="183">
        <v>15000</v>
      </c>
      <c r="H1941" s="183" t="s">
        <v>12562</v>
      </c>
    </row>
    <row r="1942" spans="1:8">
      <c r="E1942" s="699"/>
      <c r="F1942" s="699"/>
      <c r="G1942" s="699"/>
      <c r="H1942" s="699" t="s">
        <v>12567</v>
      </c>
    </row>
    <row r="1943" spans="1:8">
      <c r="E1943" s="699"/>
      <c r="F1943" s="699"/>
      <c r="G1943" s="699"/>
    </row>
    <row r="1944" spans="1:8">
      <c r="A1944" s="183" t="s">
        <v>12568</v>
      </c>
    </row>
    <row r="1945" spans="1:8">
      <c r="E1945" s="183">
        <v>45</v>
      </c>
      <c r="F1945" s="183">
        <v>2452</v>
      </c>
      <c r="G1945" s="183" t="s">
        <v>12103</v>
      </c>
      <c r="H1945" s="183" t="s">
        <v>12569</v>
      </c>
    </row>
    <row r="1947" spans="1:8">
      <c r="A1947" s="183" t="s">
        <v>12570</v>
      </c>
    </row>
    <row r="1948" spans="1:8">
      <c r="C1948" s="183">
        <v>28733</v>
      </c>
      <c r="H1948" s="183" t="s">
        <v>12571</v>
      </c>
    </row>
    <row r="1949" spans="1:8">
      <c r="C1949" s="183">
        <v>15000</v>
      </c>
      <c r="H1949" s="183" t="s">
        <v>12562</v>
      </c>
    </row>
    <row r="1950" spans="1:8">
      <c r="E1950" s="699"/>
      <c r="F1950" s="699"/>
      <c r="G1950" s="699"/>
      <c r="H1950" s="699" t="s">
        <v>12572</v>
      </c>
    </row>
    <row r="1951" spans="1:8">
      <c r="E1951" s="699"/>
      <c r="F1951" s="699"/>
      <c r="G1951" s="699"/>
      <c r="H1951" s="699"/>
    </row>
    <row r="1952" spans="1:8">
      <c r="A1952" s="183" t="s">
        <v>12573</v>
      </c>
    </row>
    <row r="1953" spans="1:8">
      <c r="E1953" s="206">
        <v>209</v>
      </c>
      <c r="F1953" s="206">
        <v>2243</v>
      </c>
      <c r="G1953" s="206" t="s">
        <v>12096</v>
      </c>
      <c r="H1953" s="183" t="s">
        <v>12574</v>
      </c>
    </row>
    <row r="1954" spans="1:8" s="206" customFormat="1">
      <c r="E1954" s="206">
        <v>1205</v>
      </c>
      <c r="F1954" s="206">
        <v>1038</v>
      </c>
      <c r="G1954" s="183" t="s">
        <v>12090</v>
      </c>
      <c r="H1954" s="183" t="s">
        <v>12575</v>
      </c>
    </row>
    <row r="1955" spans="1:8">
      <c r="E1955" s="699"/>
      <c r="F1955" s="699"/>
      <c r="G1955" s="699"/>
    </row>
    <row r="1956" spans="1:8">
      <c r="A1956" s="183" t="s">
        <v>12576</v>
      </c>
    </row>
    <row r="1957" spans="1:8">
      <c r="E1957" s="183">
        <v>35</v>
      </c>
      <c r="F1957" s="183">
        <v>1003</v>
      </c>
      <c r="G1957" s="183" t="s">
        <v>11093</v>
      </c>
      <c r="H1957" s="183" t="s">
        <v>12577</v>
      </c>
    </row>
    <row r="1958" spans="1:8">
      <c r="D1958" s="183">
        <v>5000</v>
      </c>
      <c r="E1958" s="699"/>
      <c r="F1958" s="206">
        <v>6003</v>
      </c>
      <c r="G1958" s="699"/>
      <c r="H1958" s="183" t="s">
        <v>11466</v>
      </c>
    </row>
    <row r="1959" spans="1:8">
      <c r="E1959" s="699"/>
      <c r="F1959" s="699"/>
      <c r="G1959" s="699"/>
      <c r="H1959" s="699"/>
    </row>
    <row r="1960" spans="1:8">
      <c r="A1960" s="183" t="s">
        <v>12578</v>
      </c>
    </row>
    <row r="1961" spans="1:8">
      <c r="C1961" s="183">
        <v>17000</v>
      </c>
      <c r="H1961" s="183" t="s">
        <v>12579</v>
      </c>
    </row>
    <row r="1962" spans="1:8">
      <c r="E1962" s="206">
        <v>100</v>
      </c>
      <c r="F1962" s="206">
        <v>5903</v>
      </c>
      <c r="G1962" s="183" t="s">
        <v>12083</v>
      </c>
      <c r="H1962" s="183" t="s">
        <v>12580</v>
      </c>
    </row>
    <row r="1963" spans="1:8">
      <c r="H1963" s="694"/>
    </row>
    <row r="1964" spans="1:8">
      <c r="A1964" s="183" t="s">
        <v>12581</v>
      </c>
      <c r="E1964" s="699"/>
      <c r="F1964" s="699"/>
      <c r="G1964" s="699"/>
    </row>
    <row r="1965" spans="1:8">
      <c r="C1965" s="183">
        <v>22857</v>
      </c>
      <c r="H1965" s="183" t="s">
        <v>12582</v>
      </c>
    </row>
    <row r="1966" spans="1:8">
      <c r="C1966" s="183">
        <v>36500</v>
      </c>
      <c r="H1966" s="183" t="s">
        <v>12583</v>
      </c>
    </row>
    <row r="1967" spans="1:8">
      <c r="C1967" s="183">
        <v>63248</v>
      </c>
      <c r="H1967" s="183" t="s">
        <v>12584</v>
      </c>
    </row>
    <row r="1968" spans="1:8">
      <c r="E1968" s="699"/>
      <c r="F1968" s="699"/>
      <c r="G1968" s="699"/>
      <c r="H1968" s="699"/>
    </row>
    <row r="1969" spans="1:8">
      <c r="E1969" s="206"/>
      <c r="F1969" s="206"/>
    </row>
    <row r="1970" spans="1:8">
      <c r="A1970" s="183" t="s">
        <v>12585</v>
      </c>
      <c r="E1970" s="699"/>
      <c r="F1970" s="699"/>
      <c r="G1970" s="699"/>
    </row>
    <row r="1971" spans="1:8">
      <c r="E1971" s="206">
        <v>100</v>
      </c>
      <c r="F1971" s="206">
        <v>5803</v>
      </c>
      <c r="G1971" s="183" t="s">
        <v>12586</v>
      </c>
      <c r="H1971" s="183" t="s">
        <v>12587</v>
      </c>
    </row>
    <row r="1972" spans="1:8">
      <c r="E1972" s="206">
        <v>90</v>
      </c>
      <c r="F1972" s="206">
        <v>5713</v>
      </c>
      <c r="G1972" s="183" t="s">
        <v>12083</v>
      </c>
      <c r="H1972" s="183" t="s">
        <v>12587</v>
      </c>
    </row>
    <row r="1974" spans="1:8">
      <c r="A1974" s="183" t="s">
        <v>12588</v>
      </c>
      <c r="E1974" s="699"/>
      <c r="F1974" s="699"/>
      <c r="G1974" s="699"/>
    </row>
    <row r="1975" spans="1:8">
      <c r="E1975" s="183">
        <v>500</v>
      </c>
      <c r="F1975" s="206">
        <v>5213</v>
      </c>
      <c r="G1975" s="183" t="s">
        <v>11093</v>
      </c>
      <c r="H1975" s="183" t="s">
        <v>12589</v>
      </c>
    </row>
    <row r="1976" spans="1:8">
      <c r="E1976" s="183">
        <v>45</v>
      </c>
      <c r="F1976" s="183">
        <v>5168</v>
      </c>
      <c r="G1976" s="183" t="s">
        <v>12103</v>
      </c>
      <c r="H1976" s="183" t="s">
        <v>12590</v>
      </c>
    </row>
    <row r="1977" spans="1:8" s="206" customFormat="1">
      <c r="E1977" s="206">
        <v>32</v>
      </c>
      <c r="F1977" s="206">
        <v>5136</v>
      </c>
      <c r="G1977" s="183" t="s">
        <v>12586</v>
      </c>
      <c r="H1977" s="183" t="s">
        <v>12556</v>
      </c>
    </row>
    <row r="1978" spans="1:8">
      <c r="A1978" s="183" t="s">
        <v>12591</v>
      </c>
      <c r="E1978" s="699"/>
      <c r="F1978" s="699"/>
      <c r="G1978" s="699"/>
    </row>
    <row r="1979" spans="1:8">
      <c r="E1979" s="206">
        <v>35</v>
      </c>
      <c r="F1979" s="206">
        <v>5101</v>
      </c>
      <c r="G1979" s="183" t="s">
        <v>12083</v>
      </c>
      <c r="H1979" s="183" t="s">
        <v>12592</v>
      </c>
    </row>
    <row r="1980" spans="1:8">
      <c r="E1980" s="206">
        <v>70</v>
      </c>
      <c r="F1980" s="206">
        <v>5031</v>
      </c>
      <c r="G1980" s="183" t="s">
        <v>12083</v>
      </c>
      <c r="H1980" s="183" t="s">
        <v>12593</v>
      </c>
    </row>
    <row r="1981" spans="1:8">
      <c r="E1981" s="206">
        <v>300</v>
      </c>
      <c r="F1981" s="206">
        <v>4731</v>
      </c>
      <c r="G1981" s="183" t="s">
        <v>12083</v>
      </c>
      <c r="H1981" s="183" t="s">
        <v>12594</v>
      </c>
    </row>
    <row r="1982" spans="1:8">
      <c r="E1982" s="699"/>
      <c r="F1982" s="699"/>
      <c r="G1982" s="699"/>
      <c r="H1982" s="699"/>
    </row>
    <row r="1983" spans="1:8">
      <c r="A1983" s="183" t="s">
        <v>12595</v>
      </c>
      <c r="E1983" s="699"/>
      <c r="F1983" s="699"/>
      <c r="G1983" s="699"/>
      <c r="H1983" s="699"/>
    </row>
    <row r="1984" spans="1:8">
      <c r="E1984" s="206">
        <v>1205</v>
      </c>
      <c r="F1984" s="206">
        <v>3526</v>
      </c>
      <c r="G1984" s="183" t="s">
        <v>12090</v>
      </c>
      <c r="H1984" s="183" t="s">
        <v>12596</v>
      </c>
    </row>
    <row r="1986" spans="1:8">
      <c r="A1986" s="183" t="s">
        <v>12597</v>
      </c>
    </row>
    <row r="1987" spans="1:8">
      <c r="E1987" s="183">
        <v>100</v>
      </c>
      <c r="F1987" s="183">
        <v>3426</v>
      </c>
      <c r="G1987" s="183" t="s">
        <v>12083</v>
      </c>
      <c r="H1987" s="183" t="s">
        <v>12598</v>
      </c>
    </row>
    <row r="1989" spans="1:8">
      <c r="A1989" s="183" t="s">
        <v>12599</v>
      </c>
    </row>
    <row r="1990" spans="1:8">
      <c r="E1990" s="183">
        <v>95</v>
      </c>
      <c r="F1990" s="183">
        <v>3331</v>
      </c>
      <c r="G1990" s="183" t="s">
        <v>12103</v>
      </c>
      <c r="H1990" s="183" t="s">
        <v>12600</v>
      </c>
    </row>
    <row r="1992" spans="1:8">
      <c r="A1992" s="183" t="s">
        <v>12601</v>
      </c>
    </row>
    <row r="1993" spans="1:8">
      <c r="E1993" s="183">
        <v>100</v>
      </c>
      <c r="F1993" s="183">
        <v>3231</v>
      </c>
      <c r="G1993" s="183" t="s">
        <v>12083</v>
      </c>
      <c r="H1993" s="183" t="s">
        <v>12602</v>
      </c>
    </row>
    <row r="1994" spans="1:8">
      <c r="E1994" s="699"/>
      <c r="F1994" s="699"/>
      <c r="G1994" s="699"/>
      <c r="H1994" s="699"/>
    </row>
    <row r="1995" spans="1:8">
      <c r="A1995" s="183" t="s">
        <v>12603</v>
      </c>
    </row>
    <row r="1996" spans="1:8">
      <c r="C1996" s="183">
        <v>17000</v>
      </c>
      <c r="H1996" s="183" t="s">
        <v>12604</v>
      </c>
    </row>
    <row r="1997" spans="1:8">
      <c r="C1997" s="183">
        <v>24968</v>
      </c>
      <c r="H1997" s="183" t="s">
        <v>12605</v>
      </c>
    </row>
    <row r="1998" spans="1:8">
      <c r="E1998" s="699"/>
      <c r="F1998" s="699"/>
      <c r="G1998" s="699"/>
    </row>
    <row r="1999" spans="1:8">
      <c r="A1999" s="183" t="s">
        <v>12606</v>
      </c>
    </row>
    <row r="2000" spans="1:8" ht="49.5">
      <c r="C2000" s="183">
        <v>39000</v>
      </c>
      <c r="H2000" s="694" t="s">
        <v>12607</v>
      </c>
    </row>
    <row r="2001" spans="1:8">
      <c r="H2001" s="694"/>
    </row>
    <row r="2002" spans="1:8">
      <c r="A2002" s="183" t="s">
        <v>12608</v>
      </c>
      <c r="E2002" s="699"/>
      <c r="F2002" s="699"/>
      <c r="G2002" s="699"/>
    </row>
    <row r="2003" spans="1:8">
      <c r="C2003" s="183">
        <v>22827</v>
      </c>
      <c r="H2003" s="183" t="s">
        <v>12609</v>
      </c>
    </row>
    <row r="2004" spans="1:8">
      <c r="C2004" s="183">
        <v>22000</v>
      </c>
      <c r="H2004" s="183" t="s">
        <v>12610</v>
      </c>
    </row>
    <row r="2005" spans="1:8">
      <c r="C2005" s="183">
        <v>33248</v>
      </c>
      <c r="H2005" s="183" t="s">
        <v>12611</v>
      </c>
    </row>
    <row r="2006" spans="1:8">
      <c r="E2006" s="183">
        <v>100</v>
      </c>
      <c r="F2006" s="183">
        <v>3131</v>
      </c>
      <c r="G2006" s="183" t="s">
        <v>12083</v>
      </c>
      <c r="H2006" s="183" t="s">
        <v>12612</v>
      </c>
    </row>
    <row r="2007" spans="1:8">
      <c r="H2007" s="694"/>
    </row>
    <row r="2008" spans="1:8">
      <c r="A2008" s="183" t="s">
        <v>12613</v>
      </c>
      <c r="E2008" s="699"/>
      <c r="F2008" s="699"/>
      <c r="G2008" s="699"/>
    </row>
    <row r="2009" spans="1:8">
      <c r="C2009" s="183">
        <v>30000</v>
      </c>
      <c r="H2009" s="183" t="s">
        <v>12614</v>
      </c>
    </row>
    <row r="2010" spans="1:8">
      <c r="C2010" s="183">
        <v>11877</v>
      </c>
      <c r="H2010" s="183" t="s">
        <v>12615</v>
      </c>
    </row>
    <row r="2011" spans="1:8">
      <c r="E2011" s="699"/>
      <c r="F2011" s="699"/>
      <c r="G2011" s="699"/>
      <c r="H2011" s="699"/>
    </row>
    <row r="2012" spans="1:8">
      <c r="A2012" s="183" t="s">
        <v>12616</v>
      </c>
      <c r="E2012" s="699"/>
      <c r="F2012" s="699"/>
      <c r="G2012" s="699"/>
    </row>
    <row r="2013" spans="1:8" ht="99">
      <c r="C2013" s="183">
        <v>240030</v>
      </c>
      <c r="E2013" s="699"/>
      <c r="F2013" s="699"/>
      <c r="G2013" s="699"/>
      <c r="H2013" s="694" t="s">
        <v>12617</v>
      </c>
    </row>
    <row r="2014" spans="1:8">
      <c r="E2014" s="699"/>
      <c r="F2014" s="699"/>
      <c r="G2014" s="699"/>
      <c r="H2014" s="699"/>
    </row>
    <row r="2015" spans="1:8">
      <c r="A2015" s="183" t="s">
        <v>12618</v>
      </c>
      <c r="E2015" s="699"/>
      <c r="F2015" s="699"/>
      <c r="G2015" s="699"/>
      <c r="H2015" s="699"/>
    </row>
    <row r="2016" spans="1:8">
      <c r="E2016" s="206">
        <v>124</v>
      </c>
      <c r="F2016" s="206">
        <v>3007</v>
      </c>
      <c r="G2016" s="183" t="s">
        <v>12133</v>
      </c>
      <c r="H2016" s="183" t="s">
        <v>12619</v>
      </c>
    </row>
    <row r="2017" spans="1:8">
      <c r="E2017" s="699"/>
      <c r="F2017" s="699"/>
      <c r="G2017" s="699"/>
      <c r="H2017" s="699"/>
    </row>
    <row r="2018" spans="1:8">
      <c r="A2018" s="183" t="s">
        <v>12620</v>
      </c>
      <c r="E2018" s="699"/>
      <c r="F2018" s="699"/>
      <c r="G2018" s="699"/>
      <c r="H2018" s="699"/>
    </row>
    <row r="2019" spans="1:8">
      <c r="E2019" s="183">
        <v>96</v>
      </c>
      <c r="F2019" s="183">
        <v>2911</v>
      </c>
      <c r="G2019" s="183" t="s">
        <v>12621</v>
      </c>
      <c r="H2019" s="183" t="s">
        <v>12622</v>
      </c>
    </row>
    <row r="2020" spans="1:8">
      <c r="E2020" s="699"/>
      <c r="F2020" s="699"/>
      <c r="G2020" s="699"/>
      <c r="H2020" s="699"/>
    </row>
    <row r="2021" spans="1:8">
      <c r="E2021" s="699"/>
      <c r="F2021" s="699"/>
      <c r="G2021" s="699"/>
      <c r="H2021" s="699"/>
    </row>
    <row r="2022" spans="1:8">
      <c r="A2022" s="183" t="s">
        <v>12623</v>
      </c>
      <c r="E2022" s="699"/>
      <c r="F2022" s="699"/>
      <c r="G2022" s="699"/>
      <c r="H2022" s="699"/>
    </row>
    <row r="2023" spans="1:8">
      <c r="E2023" s="183">
        <v>1205</v>
      </c>
      <c r="F2023" s="183">
        <v>1706</v>
      </c>
      <c r="G2023" s="183" t="s">
        <v>12090</v>
      </c>
      <c r="H2023" s="183" t="s">
        <v>12624</v>
      </c>
    </row>
    <row r="2024" spans="1:8">
      <c r="E2024" s="699"/>
      <c r="F2024" s="699"/>
      <c r="G2024" s="699"/>
      <c r="H2024" s="699"/>
    </row>
    <row r="2025" spans="1:8">
      <c r="A2025" s="183" t="s">
        <v>12625</v>
      </c>
    </row>
    <row r="2026" spans="1:8">
      <c r="E2026" s="206">
        <v>209</v>
      </c>
      <c r="F2026" s="206">
        <v>1497</v>
      </c>
      <c r="G2026" s="206" t="s">
        <v>12096</v>
      </c>
      <c r="H2026" s="183" t="s">
        <v>12626</v>
      </c>
    </row>
    <row r="2027" spans="1:8">
      <c r="E2027" s="699"/>
      <c r="F2027" s="699"/>
      <c r="G2027" s="699"/>
      <c r="H2027" s="699"/>
    </row>
    <row r="2028" spans="1:8">
      <c r="A2028" s="183" t="s">
        <v>12627</v>
      </c>
    </row>
    <row r="2029" spans="1:8">
      <c r="C2029" s="183">
        <v>17000</v>
      </c>
      <c r="H2029" s="183" t="s">
        <v>12628</v>
      </c>
    </row>
    <row r="2030" spans="1:8">
      <c r="E2030" s="699"/>
      <c r="F2030" s="699"/>
      <c r="G2030" s="699"/>
      <c r="H2030" s="699"/>
    </row>
    <row r="2031" spans="1:8">
      <c r="A2031" s="183" t="s">
        <v>12629</v>
      </c>
      <c r="E2031" s="699"/>
      <c r="F2031" s="699"/>
      <c r="G2031" s="699"/>
      <c r="H2031" s="699"/>
    </row>
    <row r="2032" spans="1:8">
      <c r="C2032" s="183">
        <v>22827</v>
      </c>
      <c r="H2032" s="183" t="s">
        <v>12630</v>
      </c>
    </row>
    <row r="2033" spans="1:8">
      <c r="C2033" s="183">
        <v>63248</v>
      </c>
      <c r="H2033" s="183" t="s">
        <v>12631</v>
      </c>
    </row>
    <row r="2034" spans="1:8">
      <c r="E2034" s="183">
        <v>250</v>
      </c>
      <c r="F2034" s="183">
        <v>1247</v>
      </c>
      <c r="G2034" s="183" t="s">
        <v>12072</v>
      </c>
      <c r="H2034" s="183" t="s">
        <v>12632</v>
      </c>
    </row>
    <row r="2035" spans="1:8">
      <c r="E2035" s="699"/>
      <c r="F2035" s="699"/>
      <c r="G2035" s="699"/>
      <c r="H2035" s="699"/>
    </row>
    <row r="2036" spans="1:8">
      <c r="A2036" s="183" t="s">
        <v>12633</v>
      </c>
      <c r="E2036" s="699"/>
      <c r="F2036" s="699"/>
      <c r="G2036" s="699"/>
      <c r="H2036" s="699"/>
    </row>
    <row r="2037" spans="1:8" s="206" customFormat="1">
      <c r="E2037" s="206">
        <v>32</v>
      </c>
      <c r="F2037" s="206">
        <v>1215</v>
      </c>
      <c r="G2037" s="183" t="s">
        <v>12083</v>
      </c>
      <c r="H2037" s="183" t="s">
        <v>12634</v>
      </c>
    </row>
    <row r="2039" spans="1:8">
      <c r="A2039" s="183" t="s">
        <v>12635</v>
      </c>
      <c r="E2039" s="699"/>
      <c r="F2039" s="699"/>
      <c r="G2039" s="699"/>
    </row>
    <row r="2040" spans="1:8">
      <c r="E2040" s="183">
        <v>60</v>
      </c>
      <c r="F2040" s="183">
        <v>1155</v>
      </c>
      <c r="G2040" s="183" t="s">
        <v>12103</v>
      </c>
      <c r="H2040" s="183" t="s">
        <v>12636</v>
      </c>
    </row>
    <row r="2041" spans="1:8">
      <c r="E2041" s="699"/>
      <c r="F2041" s="699"/>
      <c r="G2041" s="699"/>
      <c r="H2041" s="706" t="s">
        <v>12637</v>
      </c>
    </row>
    <row r="2043" spans="1:8">
      <c r="A2043" s="183" t="s">
        <v>12638</v>
      </c>
      <c r="E2043" s="699"/>
      <c r="F2043" s="699"/>
      <c r="G2043" s="699"/>
    </row>
    <row r="2044" spans="1:8">
      <c r="D2044" s="183">
        <v>5000</v>
      </c>
      <c r="E2044" s="699"/>
      <c r="F2044" s="206">
        <v>6155</v>
      </c>
      <c r="G2044" s="699"/>
      <c r="H2044" s="183" t="s">
        <v>11466</v>
      </c>
    </row>
    <row r="2046" spans="1:8">
      <c r="A2046" s="183" t="s">
        <v>12639</v>
      </c>
      <c r="E2046" s="699"/>
      <c r="F2046" s="699"/>
      <c r="G2046" s="699"/>
    </row>
    <row r="2047" spans="1:8">
      <c r="E2047" s="206">
        <v>255</v>
      </c>
      <c r="F2047" s="206">
        <v>5900</v>
      </c>
      <c r="G2047" s="183" t="s">
        <v>12083</v>
      </c>
      <c r="H2047" s="183" t="s">
        <v>12640</v>
      </c>
    </row>
    <row r="2048" spans="1:8">
      <c r="E2048" s="206">
        <v>235</v>
      </c>
      <c r="F2048" s="206">
        <v>5665</v>
      </c>
      <c r="G2048" s="183" t="s">
        <v>12083</v>
      </c>
      <c r="H2048" s="183" t="s">
        <v>12641</v>
      </c>
    </row>
    <row r="2050" spans="1:8">
      <c r="A2050" s="183" t="s">
        <v>12642</v>
      </c>
      <c r="E2050" s="699"/>
      <c r="F2050" s="699"/>
      <c r="G2050" s="699"/>
    </row>
    <row r="2051" spans="1:8">
      <c r="E2051" s="183">
        <v>32</v>
      </c>
      <c r="F2051" s="183">
        <v>5633</v>
      </c>
      <c r="G2051" s="183" t="s">
        <v>12103</v>
      </c>
      <c r="H2051" s="183" t="s">
        <v>12643</v>
      </c>
    </row>
    <row r="2053" spans="1:8">
      <c r="A2053" s="183" t="s">
        <v>12644</v>
      </c>
      <c r="E2053" s="699"/>
      <c r="F2053" s="699"/>
      <c r="G2053" s="699"/>
    </row>
    <row r="2054" spans="1:8">
      <c r="E2054" s="183">
        <v>35</v>
      </c>
      <c r="F2054" s="183">
        <v>5598</v>
      </c>
      <c r="G2054" s="183" t="s">
        <v>12103</v>
      </c>
      <c r="H2054" s="183" t="s">
        <v>12645</v>
      </c>
    </row>
    <row r="2056" spans="1:8">
      <c r="A2056" s="183" t="s">
        <v>12646</v>
      </c>
      <c r="E2056" s="699"/>
      <c r="F2056" s="699"/>
      <c r="G2056" s="699"/>
    </row>
    <row r="2057" spans="1:8">
      <c r="C2057" s="183">
        <v>27091</v>
      </c>
      <c r="H2057" s="183" t="s">
        <v>12647</v>
      </c>
    </row>
    <row r="2058" spans="1:8">
      <c r="E2058" s="183">
        <v>18</v>
      </c>
      <c r="F2058" s="183">
        <v>5580</v>
      </c>
      <c r="G2058" s="183" t="s">
        <v>12072</v>
      </c>
      <c r="H2058" s="183" t="s">
        <v>12648</v>
      </c>
    </row>
    <row r="2060" spans="1:8">
      <c r="A2060" s="183" t="s">
        <v>12649</v>
      </c>
      <c r="E2060" s="699"/>
      <c r="F2060" s="699"/>
      <c r="G2060" s="699"/>
    </row>
    <row r="2061" spans="1:8">
      <c r="E2061" s="206">
        <v>380</v>
      </c>
      <c r="F2061" s="206">
        <v>5200</v>
      </c>
      <c r="G2061" s="183" t="s">
        <v>12083</v>
      </c>
      <c r="H2061" s="183" t="s">
        <v>12650</v>
      </c>
    </row>
    <row r="2062" spans="1:8">
      <c r="E2062" s="206">
        <v>355</v>
      </c>
      <c r="F2062" s="206">
        <v>4845</v>
      </c>
      <c r="G2062" s="183" t="s">
        <v>12083</v>
      </c>
      <c r="H2062" s="183" t="s">
        <v>12650</v>
      </c>
    </row>
    <row r="2063" spans="1:8">
      <c r="E2063" s="699"/>
      <c r="F2063" s="699"/>
      <c r="G2063" s="699"/>
      <c r="H2063" s="699"/>
    </row>
    <row r="2064" spans="1:8">
      <c r="A2064" s="183" t="s">
        <v>12651</v>
      </c>
    </row>
    <row r="2065" spans="1:8">
      <c r="C2065" s="183">
        <v>17000</v>
      </c>
      <c r="H2065" s="183" t="s">
        <v>12652</v>
      </c>
    </row>
    <row r="2066" spans="1:8">
      <c r="E2066" s="699"/>
      <c r="F2066" s="699"/>
      <c r="G2066" s="699"/>
      <c r="H2066" s="699"/>
    </row>
    <row r="2067" spans="1:8">
      <c r="A2067" s="183" t="s">
        <v>12653</v>
      </c>
      <c r="E2067" s="699"/>
      <c r="F2067" s="699"/>
      <c r="G2067" s="699"/>
    </row>
    <row r="2068" spans="1:8" ht="66">
      <c r="C2068" s="183">
        <v>120030</v>
      </c>
      <c r="E2068" s="699"/>
      <c r="F2068" s="699"/>
      <c r="G2068" s="699"/>
      <c r="H2068" s="694" t="s">
        <v>12654</v>
      </c>
    </row>
    <row r="2069" spans="1:8">
      <c r="E2069" s="699"/>
      <c r="F2069" s="699"/>
      <c r="G2069" s="699"/>
      <c r="H2069" s="699"/>
    </row>
    <row r="2070" spans="1:8" s="707" customFormat="1">
      <c r="A2070" s="707" t="s">
        <v>12655</v>
      </c>
    </row>
    <row r="2071" spans="1:8" s="707" customFormat="1">
      <c r="E2071" s="707">
        <v>47</v>
      </c>
      <c r="F2071" s="707">
        <v>4798</v>
      </c>
      <c r="G2071" s="707" t="s">
        <v>12083</v>
      </c>
      <c r="H2071" s="707" t="s">
        <v>12656</v>
      </c>
    </row>
    <row r="2073" spans="1:8">
      <c r="A2073" s="183" t="s">
        <v>12657</v>
      </c>
      <c r="E2073" s="699"/>
      <c r="F2073" s="699"/>
      <c r="G2073" s="699"/>
    </row>
    <row r="2074" spans="1:8">
      <c r="C2074" s="183">
        <v>22827</v>
      </c>
      <c r="H2074" s="183" t="s">
        <v>12658</v>
      </c>
    </row>
    <row r="2075" spans="1:8">
      <c r="C2075" s="183">
        <v>48800</v>
      </c>
      <c r="H2075" s="183" t="s">
        <v>12659</v>
      </c>
    </row>
    <row r="2076" spans="1:8">
      <c r="C2076" s="183">
        <v>63248</v>
      </c>
      <c r="H2076" s="183" t="s">
        <v>12660</v>
      </c>
    </row>
    <row r="2077" spans="1:8">
      <c r="E2077" s="699"/>
      <c r="F2077" s="699"/>
      <c r="G2077" s="699"/>
      <c r="H2077" s="699"/>
    </row>
    <row r="2078" spans="1:8" s="707" customFormat="1">
      <c r="A2078" s="707" t="s">
        <v>12661</v>
      </c>
    </row>
    <row r="2079" spans="1:8" s="707" customFormat="1">
      <c r="E2079" s="707">
        <v>200</v>
      </c>
      <c r="F2079" s="707">
        <v>4598</v>
      </c>
      <c r="G2079" s="707" t="s">
        <v>12547</v>
      </c>
      <c r="H2079" s="707" t="s">
        <v>12662</v>
      </c>
    </row>
    <row r="2080" spans="1:8">
      <c r="E2080" s="183">
        <v>45</v>
      </c>
      <c r="F2080" s="183">
        <v>4553</v>
      </c>
      <c r="G2080" s="183" t="s">
        <v>12103</v>
      </c>
      <c r="H2080" s="183" t="s">
        <v>12663</v>
      </c>
    </row>
    <row r="2081" spans="1:8">
      <c r="E2081" s="183">
        <v>1205</v>
      </c>
      <c r="F2081" s="183">
        <v>3348</v>
      </c>
      <c r="G2081" s="183" t="s">
        <v>12550</v>
      </c>
      <c r="H2081" s="183" t="s">
        <v>12664</v>
      </c>
    </row>
    <row r="2083" spans="1:8">
      <c r="A2083" s="183" t="s">
        <v>12665</v>
      </c>
    </row>
    <row r="2084" spans="1:8">
      <c r="C2084" s="183">
        <v>22819</v>
      </c>
      <c r="H2084" s="183" t="s">
        <v>12666</v>
      </c>
    </row>
    <row r="2085" spans="1:8">
      <c r="E2085" s="699"/>
      <c r="F2085" s="699"/>
      <c r="G2085" s="699"/>
      <c r="H2085" s="699"/>
    </row>
    <row r="2086" spans="1:8">
      <c r="A2086" s="183" t="s">
        <v>12667</v>
      </c>
      <c r="E2086" s="699"/>
      <c r="F2086" s="699"/>
      <c r="G2086" s="699"/>
      <c r="H2086" s="699"/>
    </row>
    <row r="2087" spans="1:8">
      <c r="E2087" s="206">
        <v>50</v>
      </c>
      <c r="F2087" s="206">
        <v>3298</v>
      </c>
      <c r="G2087" s="183" t="s">
        <v>12072</v>
      </c>
      <c r="H2087" s="183" t="s">
        <v>12668</v>
      </c>
    </row>
    <row r="2088" spans="1:8">
      <c r="E2088" s="183">
        <v>200</v>
      </c>
      <c r="F2088" s="183">
        <v>3098</v>
      </c>
      <c r="G2088" s="183" t="s">
        <v>12083</v>
      </c>
      <c r="H2088" s="183" t="s">
        <v>12669</v>
      </c>
    </row>
    <row r="2090" spans="1:8">
      <c r="A2090" s="183" t="s">
        <v>12670</v>
      </c>
      <c r="E2090" s="699"/>
      <c r="F2090" s="699"/>
      <c r="G2090" s="699"/>
    </row>
    <row r="2091" spans="1:8">
      <c r="E2091" s="206">
        <v>175</v>
      </c>
      <c r="F2091" s="206">
        <v>2923</v>
      </c>
      <c r="G2091" s="183" t="s">
        <v>12083</v>
      </c>
      <c r="H2091" s="183" t="s">
        <v>12671</v>
      </c>
    </row>
    <row r="2092" spans="1:8">
      <c r="E2092" s="206">
        <v>160</v>
      </c>
      <c r="F2092" s="206">
        <v>2763</v>
      </c>
      <c r="G2092" s="183" t="s">
        <v>12586</v>
      </c>
      <c r="H2092" s="183" t="s">
        <v>12671</v>
      </c>
    </row>
    <row r="2094" spans="1:8">
      <c r="A2094" s="183" t="s">
        <v>12672</v>
      </c>
      <c r="E2094" s="699"/>
      <c r="F2094" s="699"/>
      <c r="G2094" s="699"/>
    </row>
    <row r="2095" spans="1:8">
      <c r="E2095" s="206">
        <v>375</v>
      </c>
      <c r="F2095" s="206">
        <v>2388</v>
      </c>
      <c r="G2095" s="183" t="s">
        <v>12083</v>
      </c>
      <c r="H2095" s="183" t="s">
        <v>11724</v>
      </c>
    </row>
    <row r="2096" spans="1:8">
      <c r="E2096" s="206">
        <v>325</v>
      </c>
      <c r="F2096" s="206">
        <v>2063</v>
      </c>
      <c r="G2096" s="183" t="s">
        <v>12083</v>
      </c>
      <c r="H2096" s="183" t="s">
        <v>11724</v>
      </c>
    </row>
    <row r="2098" spans="1:8">
      <c r="A2098" s="183" t="s">
        <v>12673</v>
      </c>
      <c r="E2098" s="699"/>
      <c r="F2098" s="699"/>
      <c r="G2098" s="699"/>
    </row>
    <row r="2099" spans="1:8">
      <c r="E2099" s="206">
        <v>117</v>
      </c>
      <c r="F2099" s="206">
        <v>1946</v>
      </c>
      <c r="G2099" s="183" t="s">
        <v>12133</v>
      </c>
      <c r="H2099" s="183" t="s">
        <v>11268</v>
      </c>
    </row>
    <row r="2100" spans="1:8">
      <c r="E2100" s="206">
        <v>40</v>
      </c>
      <c r="F2100" s="206">
        <v>1906</v>
      </c>
      <c r="G2100" s="183" t="s">
        <v>12133</v>
      </c>
      <c r="H2100" s="183" t="s">
        <v>12543</v>
      </c>
    </row>
    <row r="2102" spans="1:8">
      <c r="A2102" s="183" t="s">
        <v>12674</v>
      </c>
      <c r="E2102" s="699"/>
      <c r="F2102" s="699"/>
      <c r="G2102" s="699"/>
    </row>
    <row r="2103" spans="1:8">
      <c r="E2103" s="206">
        <v>125</v>
      </c>
      <c r="F2103" s="206">
        <v>1781</v>
      </c>
      <c r="G2103" s="183" t="s">
        <v>12133</v>
      </c>
      <c r="H2103" s="183" t="s">
        <v>12675</v>
      </c>
    </row>
    <row r="2104" spans="1:8">
      <c r="E2104" s="206">
        <v>110</v>
      </c>
      <c r="F2104" s="206">
        <v>1671</v>
      </c>
      <c r="G2104" s="183" t="s">
        <v>12133</v>
      </c>
      <c r="H2104" s="183" t="s">
        <v>12543</v>
      </c>
    </row>
    <row r="2105" spans="1:8">
      <c r="E2105" s="183">
        <v>1205</v>
      </c>
      <c r="F2105" s="183">
        <v>466</v>
      </c>
      <c r="G2105" s="183" t="s">
        <v>12090</v>
      </c>
      <c r="H2105" s="183" t="s">
        <v>12676</v>
      </c>
    </row>
    <row r="2106" spans="1:8">
      <c r="D2106" s="183">
        <v>5000</v>
      </c>
      <c r="E2106" s="206"/>
      <c r="F2106" s="206">
        <v>5466</v>
      </c>
      <c r="H2106" s="183" t="s">
        <v>11466</v>
      </c>
    </row>
    <row r="2108" spans="1:8">
      <c r="A2108" s="183" t="s">
        <v>12677</v>
      </c>
      <c r="E2108" s="699"/>
      <c r="F2108" s="699"/>
      <c r="G2108" s="699"/>
    </row>
    <row r="2109" spans="1:8">
      <c r="E2109" s="206">
        <v>71</v>
      </c>
      <c r="F2109" s="206">
        <v>5395</v>
      </c>
      <c r="G2109" s="183" t="s">
        <v>12586</v>
      </c>
      <c r="H2109" s="183" t="s">
        <v>12678</v>
      </c>
    </row>
    <row r="2110" spans="1:8">
      <c r="E2110" s="206">
        <v>160</v>
      </c>
      <c r="F2110" s="206">
        <v>5235</v>
      </c>
      <c r="G2110" s="183" t="s">
        <v>12083</v>
      </c>
      <c r="H2110" s="183" t="s">
        <v>12679</v>
      </c>
    </row>
    <row r="2111" spans="1:8">
      <c r="E2111" s="206">
        <v>160</v>
      </c>
      <c r="F2111" s="206">
        <v>5075</v>
      </c>
      <c r="G2111" s="183" t="s">
        <v>12083</v>
      </c>
      <c r="H2111" s="183" t="s">
        <v>12679</v>
      </c>
    </row>
    <row r="2112" spans="1:8">
      <c r="E2112" s="206">
        <v>71</v>
      </c>
      <c r="F2112" s="206">
        <v>5004</v>
      </c>
      <c r="G2112" s="183" t="s">
        <v>12083</v>
      </c>
      <c r="H2112" s="183" t="s">
        <v>12678</v>
      </c>
    </row>
    <row r="2113" spans="1:8">
      <c r="E2113" s="206">
        <v>188</v>
      </c>
      <c r="F2113" s="206">
        <v>4816</v>
      </c>
      <c r="G2113" s="206" t="s">
        <v>12096</v>
      </c>
      <c r="H2113" s="183" t="s">
        <v>12680</v>
      </c>
    </row>
    <row r="2115" spans="1:8">
      <c r="A2115" s="183" t="s">
        <v>12681</v>
      </c>
      <c r="E2115" s="699"/>
      <c r="F2115" s="699"/>
      <c r="G2115" s="699"/>
    </row>
    <row r="2116" spans="1:8">
      <c r="E2116" s="206">
        <v>230</v>
      </c>
      <c r="F2116" s="206">
        <v>4586</v>
      </c>
      <c r="G2116" s="183" t="s">
        <v>12083</v>
      </c>
      <c r="H2116" s="183" t="s">
        <v>12682</v>
      </c>
    </row>
    <row r="2117" spans="1:8">
      <c r="E2117" s="206">
        <v>70</v>
      </c>
      <c r="F2117" s="206">
        <v>4516</v>
      </c>
      <c r="G2117" s="183" t="s">
        <v>12083</v>
      </c>
      <c r="H2117" s="183" t="s">
        <v>12682</v>
      </c>
    </row>
    <row r="2118" spans="1:8">
      <c r="E2118" s="206">
        <v>20</v>
      </c>
      <c r="F2118" s="206">
        <v>4496</v>
      </c>
      <c r="G2118" s="183" t="s">
        <v>12083</v>
      </c>
      <c r="H2118" s="183" t="s">
        <v>12682</v>
      </c>
    </row>
    <row r="2119" spans="1:8">
      <c r="E2119" s="206">
        <v>32</v>
      </c>
      <c r="F2119" s="206">
        <v>4464</v>
      </c>
      <c r="G2119" s="183" t="s">
        <v>12083</v>
      </c>
      <c r="H2119" s="183" t="s">
        <v>12683</v>
      </c>
    </row>
    <row r="2120" spans="1:8">
      <c r="E2120" s="206">
        <v>43</v>
      </c>
      <c r="F2120" s="206">
        <v>4421</v>
      </c>
      <c r="G2120" s="183" t="s">
        <v>12121</v>
      </c>
      <c r="H2120" s="183" t="s">
        <v>12684</v>
      </c>
    </row>
    <row r="2121" spans="1:8">
      <c r="E2121" s="699"/>
      <c r="F2121" s="699"/>
      <c r="G2121" s="699"/>
      <c r="H2121" s="699"/>
    </row>
    <row r="2122" spans="1:8">
      <c r="A2122" s="183" t="s">
        <v>12685</v>
      </c>
    </row>
    <row r="2123" spans="1:8">
      <c r="C2123" s="183">
        <v>17000</v>
      </c>
      <c r="H2123" s="183" t="s">
        <v>12686</v>
      </c>
    </row>
    <row r="2125" spans="1:8">
      <c r="A2125" s="183" t="s">
        <v>12687</v>
      </c>
      <c r="E2125" s="699"/>
      <c r="F2125" s="699"/>
      <c r="G2125" s="699"/>
    </row>
    <row r="2126" spans="1:8">
      <c r="E2126" s="206">
        <v>70</v>
      </c>
      <c r="F2126" s="206">
        <v>4351</v>
      </c>
      <c r="G2126" s="183" t="s">
        <v>12083</v>
      </c>
      <c r="H2126" s="183" t="s">
        <v>12688</v>
      </c>
    </row>
    <row r="2127" spans="1:8">
      <c r="E2127" s="206">
        <v>90</v>
      </c>
      <c r="F2127" s="206">
        <v>4261</v>
      </c>
      <c r="G2127" s="183" t="s">
        <v>12083</v>
      </c>
      <c r="H2127" s="183" t="s">
        <v>12689</v>
      </c>
    </row>
    <row r="2128" spans="1:8">
      <c r="E2128" s="206">
        <v>20</v>
      </c>
      <c r="F2128" s="206">
        <v>4241</v>
      </c>
      <c r="G2128" s="183" t="s">
        <v>12083</v>
      </c>
      <c r="H2128" s="183" t="s">
        <v>12690</v>
      </c>
    </row>
    <row r="2130" spans="1:8">
      <c r="A2130" s="183" t="s">
        <v>12691</v>
      </c>
      <c r="E2130" s="699"/>
      <c r="F2130" s="699"/>
      <c r="G2130" s="699"/>
    </row>
    <row r="2131" spans="1:8">
      <c r="C2131" s="183">
        <v>22827</v>
      </c>
      <c r="H2131" s="183" t="s">
        <v>12692</v>
      </c>
    </row>
    <row r="2132" spans="1:8">
      <c r="C2132" s="183">
        <v>25500</v>
      </c>
      <c r="H2132" s="183" t="s">
        <v>12693</v>
      </c>
    </row>
    <row r="2133" spans="1:8">
      <c r="C2133" s="183">
        <v>63248</v>
      </c>
      <c r="H2133" s="183" t="s">
        <v>12694</v>
      </c>
    </row>
    <row r="2134" spans="1:8">
      <c r="E2134" s="206">
        <v>20</v>
      </c>
      <c r="F2134" s="206">
        <v>4221</v>
      </c>
      <c r="G2134" s="183" t="s">
        <v>12083</v>
      </c>
      <c r="H2134" s="183" t="s">
        <v>12695</v>
      </c>
    </row>
    <row r="2135" spans="1:8">
      <c r="E2135" s="206">
        <v>95</v>
      </c>
      <c r="F2135" s="206">
        <v>4126</v>
      </c>
      <c r="G2135" s="183" t="s">
        <v>12586</v>
      </c>
      <c r="H2135" s="183" t="s">
        <v>12696</v>
      </c>
    </row>
    <row r="2136" spans="1:8">
      <c r="E2136" s="206">
        <v>70</v>
      </c>
      <c r="F2136" s="206">
        <v>4056</v>
      </c>
      <c r="G2136" s="183" t="s">
        <v>12083</v>
      </c>
      <c r="H2136" s="183" t="s">
        <v>12697</v>
      </c>
    </row>
    <row r="2137" spans="1:8">
      <c r="E2137" s="206">
        <v>20</v>
      </c>
      <c r="F2137" s="206">
        <v>4036</v>
      </c>
      <c r="G2137" s="183" t="s">
        <v>12083</v>
      </c>
      <c r="H2137" s="183" t="s">
        <v>12698</v>
      </c>
    </row>
    <row r="2139" spans="1:8">
      <c r="A2139" s="183" t="s">
        <v>12699</v>
      </c>
      <c r="E2139" s="699"/>
      <c r="F2139" s="699"/>
      <c r="G2139" s="699"/>
    </row>
    <row r="2140" spans="1:8">
      <c r="C2140" s="183">
        <v>28287</v>
      </c>
      <c r="H2140" s="183" t="s">
        <v>12700</v>
      </c>
    </row>
    <row r="2141" spans="1:8">
      <c r="E2141" s="699"/>
      <c r="F2141" s="699"/>
      <c r="G2141" s="699"/>
      <c r="H2141" s="699"/>
    </row>
    <row r="2142" spans="1:8" s="707" customFormat="1">
      <c r="A2142" s="707" t="s">
        <v>12701</v>
      </c>
    </row>
    <row r="2143" spans="1:8">
      <c r="E2143" s="183">
        <v>35</v>
      </c>
      <c r="F2143" s="183">
        <v>4001</v>
      </c>
      <c r="G2143" s="183" t="s">
        <v>12103</v>
      </c>
      <c r="H2143" s="183" t="s">
        <v>12702</v>
      </c>
    </row>
    <row r="2144" spans="1:8">
      <c r="E2144" s="699"/>
      <c r="F2144" s="699"/>
      <c r="G2144" s="699"/>
      <c r="H2144" s="699"/>
    </row>
    <row r="2145" spans="1:8" s="707" customFormat="1">
      <c r="A2145" s="707" t="s">
        <v>12703</v>
      </c>
    </row>
    <row r="2146" spans="1:8">
      <c r="E2146" s="183">
        <v>100</v>
      </c>
      <c r="F2146" s="183">
        <v>3901</v>
      </c>
      <c r="G2146" s="183" t="s">
        <v>11093</v>
      </c>
      <c r="H2146" s="183" t="s">
        <v>12704</v>
      </c>
    </row>
    <row r="2148" spans="1:8">
      <c r="A2148" s="183" t="s">
        <v>12705</v>
      </c>
      <c r="E2148" s="699"/>
      <c r="F2148" s="699"/>
      <c r="G2148" s="699"/>
    </row>
    <row r="2149" spans="1:8">
      <c r="E2149" s="206">
        <v>110</v>
      </c>
      <c r="F2149" s="206">
        <v>3791</v>
      </c>
      <c r="G2149" s="183" t="s">
        <v>12706</v>
      </c>
      <c r="H2149" s="183" t="s">
        <v>12707</v>
      </c>
    </row>
    <row r="2150" spans="1:8">
      <c r="E2150" s="699"/>
      <c r="F2150" s="699"/>
      <c r="G2150" s="699"/>
      <c r="H2150" s="699"/>
    </row>
    <row r="2151" spans="1:8" s="707" customFormat="1">
      <c r="A2151" s="707" t="s">
        <v>12708</v>
      </c>
    </row>
    <row r="2152" spans="1:8">
      <c r="E2152" s="183">
        <v>60</v>
      </c>
      <c r="F2152" s="183">
        <v>3731</v>
      </c>
      <c r="G2152" s="183" t="s">
        <v>11093</v>
      </c>
      <c r="H2152" s="183" t="s">
        <v>12709</v>
      </c>
    </row>
    <row r="2154" spans="1:8">
      <c r="A2154" s="183" t="s">
        <v>12710</v>
      </c>
      <c r="E2154" s="699"/>
      <c r="F2154" s="699"/>
      <c r="G2154" s="699"/>
    </row>
    <row r="2155" spans="1:8">
      <c r="E2155" s="206">
        <v>130</v>
      </c>
      <c r="F2155" s="206">
        <v>3601</v>
      </c>
      <c r="G2155" s="183" t="s">
        <v>12083</v>
      </c>
      <c r="H2155" s="183" t="s">
        <v>12711</v>
      </c>
    </row>
    <row r="2156" spans="1:8">
      <c r="E2156" s="206">
        <v>140</v>
      </c>
      <c r="F2156" s="206">
        <v>3461</v>
      </c>
      <c r="G2156" s="183" t="s">
        <v>12083</v>
      </c>
      <c r="H2156" s="183" t="s">
        <v>12712</v>
      </c>
    </row>
    <row r="2158" spans="1:8">
      <c r="A2158" s="183" t="s">
        <v>12713</v>
      </c>
      <c r="E2158" s="699"/>
      <c r="F2158" s="699"/>
      <c r="G2158" s="699"/>
    </row>
    <row r="2159" spans="1:8">
      <c r="E2159" s="206">
        <v>263</v>
      </c>
      <c r="F2159" s="206">
        <v>3198</v>
      </c>
      <c r="G2159" s="183" t="s">
        <v>12133</v>
      </c>
      <c r="H2159" s="183" t="s">
        <v>12714</v>
      </c>
    </row>
    <row r="2160" spans="1:8">
      <c r="C2160" s="183">
        <v>20030</v>
      </c>
      <c r="E2160" s="699"/>
      <c r="F2160" s="699"/>
      <c r="G2160" s="699"/>
      <c r="H2160" s="206" t="s">
        <v>12715</v>
      </c>
    </row>
    <row r="2161" spans="1:8">
      <c r="E2161" s="699"/>
      <c r="F2161" s="699"/>
      <c r="G2161" s="699"/>
      <c r="H2161" s="206"/>
    </row>
    <row r="2162" spans="1:8">
      <c r="A2162" s="183" t="s">
        <v>12716</v>
      </c>
      <c r="E2162" s="699"/>
      <c r="F2162" s="699"/>
      <c r="G2162" s="699"/>
      <c r="H2162" s="206"/>
    </row>
    <row r="2163" spans="1:8">
      <c r="C2163" s="183">
        <v>5000</v>
      </c>
      <c r="E2163" s="699"/>
      <c r="F2163" s="206">
        <v>8198</v>
      </c>
      <c r="G2163" s="699"/>
      <c r="H2163" s="206" t="s">
        <v>11466</v>
      </c>
    </row>
    <row r="2164" spans="1:8">
      <c r="E2164" s="699"/>
      <c r="F2164" s="699"/>
      <c r="G2164" s="699"/>
      <c r="H2164" s="206"/>
    </row>
    <row r="2165" spans="1:8">
      <c r="A2165" s="183" t="s">
        <v>12717</v>
      </c>
      <c r="E2165" s="699"/>
      <c r="F2165" s="699"/>
      <c r="G2165" s="699"/>
      <c r="H2165" s="206"/>
    </row>
    <row r="2166" spans="1:8">
      <c r="E2166" s="183">
        <v>1205</v>
      </c>
      <c r="F2166" s="183">
        <v>6993</v>
      </c>
      <c r="G2166" s="183" t="s">
        <v>12090</v>
      </c>
      <c r="H2166" s="183" t="s">
        <v>12718</v>
      </c>
    </row>
    <row r="2167" spans="1:8">
      <c r="E2167" s="699"/>
      <c r="F2167" s="699"/>
      <c r="G2167" s="699"/>
      <c r="H2167" s="206"/>
    </row>
    <row r="2168" spans="1:8">
      <c r="A2168" s="183" t="s">
        <v>12719</v>
      </c>
      <c r="E2168" s="699"/>
      <c r="F2168" s="699"/>
      <c r="G2168" s="699"/>
      <c r="H2168" s="206"/>
    </row>
    <row r="2169" spans="1:8" s="206" customFormat="1">
      <c r="E2169" s="206">
        <v>32</v>
      </c>
      <c r="F2169" s="206">
        <v>6961</v>
      </c>
      <c r="G2169" s="183" t="s">
        <v>12083</v>
      </c>
      <c r="H2169" s="183" t="s">
        <v>12720</v>
      </c>
    </row>
    <row r="2170" spans="1:8">
      <c r="E2170" s="206">
        <v>18</v>
      </c>
      <c r="F2170" s="206">
        <v>6943</v>
      </c>
      <c r="G2170" s="183" t="s">
        <v>12072</v>
      </c>
      <c r="H2170" s="183" t="s">
        <v>12721</v>
      </c>
    </row>
    <row r="2171" spans="1:8">
      <c r="E2171" s="699"/>
      <c r="F2171" s="699"/>
      <c r="G2171" s="699"/>
      <c r="H2171" s="699"/>
    </row>
    <row r="2172" spans="1:8">
      <c r="A2172" s="183" t="s">
        <v>12722</v>
      </c>
    </row>
    <row r="2173" spans="1:8">
      <c r="C2173" s="183">
        <v>17000</v>
      </c>
      <c r="H2173" s="183" t="s">
        <v>12723</v>
      </c>
    </row>
    <row r="2175" spans="1:8">
      <c r="A2175" s="183" t="s">
        <v>12724</v>
      </c>
      <c r="E2175" s="699"/>
      <c r="F2175" s="699"/>
      <c r="G2175" s="699"/>
    </row>
    <row r="2176" spans="1:8">
      <c r="C2176" s="183">
        <v>42011</v>
      </c>
      <c r="H2176" s="183" t="s">
        <v>12725</v>
      </c>
    </row>
    <row r="2177" spans="1:8">
      <c r="H2177" s="694"/>
    </row>
    <row r="2178" spans="1:8">
      <c r="A2178" s="183" t="s">
        <v>12726</v>
      </c>
      <c r="E2178" s="699"/>
      <c r="F2178" s="699"/>
      <c r="G2178" s="699"/>
    </row>
    <row r="2179" spans="1:8">
      <c r="C2179" s="183">
        <v>22827</v>
      </c>
      <c r="H2179" s="183" t="s">
        <v>12727</v>
      </c>
    </row>
    <row r="2180" spans="1:8">
      <c r="C2180" s="183">
        <v>63248</v>
      </c>
      <c r="H2180" s="183" t="s">
        <v>12728</v>
      </c>
    </row>
    <row r="2181" spans="1:8">
      <c r="C2181" s="183">
        <v>20500</v>
      </c>
      <c r="H2181" s="183" t="s">
        <v>12729</v>
      </c>
    </row>
    <row r="2182" spans="1:8">
      <c r="C2182" s="183">
        <v>14363</v>
      </c>
      <c r="H2182" s="183" t="s">
        <v>12730</v>
      </c>
    </row>
    <row r="2184" spans="1:8">
      <c r="A2184" s="183" t="s">
        <v>12731</v>
      </c>
    </row>
    <row r="2185" spans="1:8">
      <c r="C2185" s="183">
        <v>11035</v>
      </c>
      <c r="H2185" s="183" t="s">
        <v>12732</v>
      </c>
    </row>
    <row r="2187" spans="1:8">
      <c r="A2187" s="183" t="s">
        <v>12733</v>
      </c>
    </row>
    <row r="2188" spans="1:8">
      <c r="E2188" s="206">
        <v>50</v>
      </c>
      <c r="F2188" s="206">
        <v>6853</v>
      </c>
      <c r="G2188" s="183" t="s">
        <v>12083</v>
      </c>
      <c r="H2188" s="206" t="s">
        <v>12734</v>
      </c>
    </row>
    <row r="2189" spans="1:8">
      <c r="E2189" s="206">
        <v>45</v>
      </c>
      <c r="F2189" s="206">
        <v>6848</v>
      </c>
      <c r="G2189" s="183" t="s">
        <v>12706</v>
      </c>
      <c r="H2189" s="206" t="s">
        <v>12735</v>
      </c>
    </row>
    <row r="2191" spans="1:8">
      <c r="A2191" s="183" t="s">
        <v>12736</v>
      </c>
    </row>
    <row r="2192" spans="1:8">
      <c r="E2192" s="206">
        <v>30</v>
      </c>
      <c r="F2192" s="206">
        <v>6818</v>
      </c>
      <c r="G2192" s="183" t="s">
        <v>12083</v>
      </c>
      <c r="H2192" s="206" t="s">
        <v>12737</v>
      </c>
    </row>
    <row r="2193" spans="1:8">
      <c r="E2193" s="699"/>
      <c r="F2193" s="699"/>
      <c r="G2193" s="699"/>
      <c r="H2193" s="699"/>
    </row>
    <row r="2194" spans="1:8">
      <c r="A2194" s="183" t="s">
        <v>12738</v>
      </c>
    </row>
    <row r="2195" spans="1:8">
      <c r="E2195" s="206">
        <v>220</v>
      </c>
      <c r="F2195" s="206">
        <v>6598</v>
      </c>
      <c r="G2195" s="206" t="s">
        <v>12096</v>
      </c>
      <c r="H2195" s="183" t="s">
        <v>12680</v>
      </c>
    </row>
    <row r="2196" spans="1:8">
      <c r="E2196" s="183">
        <v>1205</v>
      </c>
      <c r="F2196" s="183">
        <v>5393</v>
      </c>
      <c r="G2196" s="183" t="s">
        <v>12090</v>
      </c>
      <c r="H2196" s="183" t="s">
        <v>12739</v>
      </c>
    </row>
    <row r="2197" spans="1:8">
      <c r="E2197" s="206">
        <v>84</v>
      </c>
      <c r="F2197" s="206">
        <v>5309</v>
      </c>
      <c r="G2197" s="183" t="s">
        <v>12121</v>
      </c>
      <c r="H2197" s="206" t="s">
        <v>12740</v>
      </c>
    </row>
    <row r="2198" spans="1:8">
      <c r="E2198" s="206">
        <v>90</v>
      </c>
      <c r="F2198" s="206">
        <v>5219</v>
      </c>
      <c r="G2198" s="183" t="s">
        <v>12121</v>
      </c>
      <c r="H2198" s="206" t="s">
        <v>12741</v>
      </c>
    </row>
    <row r="2199" spans="1:8">
      <c r="E2199" s="699"/>
      <c r="F2199" s="699"/>
      <c r="G2199" s="699"/>
      <c r="H2199" s="699"/>
    </row>
    <row r="2200" spans="1:8">
      <c r="A2200" s="183" t="s">
        <v>12742</v>
      </c>
      <c r="E2200" s="699"/>
      <c r="F2200" s="699"/>
      <c r="G2200" s="699"/>
      <c r="H2200" s="699"/>
    </row>
    <row r="2201" spans="1:8">
      <c r="E2201" s="206">
        <v>144</v>
      </c>
      <c r="F2201" s="206">
        <v>5075</v>
      </c>
      <c r="G2201" s="183" t="s">
        <v>12072</v>
      </c>
      <c r="H2201" s="183" t="s">
        <v>12743</v>
      </c>
    </row>
    <row r="2202" spans="1:8">
      <c r="E2202" s="183">
        <v>119</v>
      </c>
      <c r="F2202" s="206">
        <v>4956</v>
      </c>
      <c r="G2202" s="183" t="s">
        <v>12072</v>
      </c>
      <c r="H2202" s="183" t="s">
        <v>11263</v>
      </c>
    </row>
    <row r="2203" spans="1:8">
      <c r="E2203" s="699"/>
      <c r="F2203" s="699"/>
      <c r="G2203" s="699"/>
      <c r="H2203" s="699"/>
    </row>
    <row r="2204" spans="1:8">
      <c r="A2204" s="183" t="s">
        <v>12744</v>
      </c>
    </row>
    <row r="2205" spans="1:8">
      <c r="C2205" s="183">
        <v>17000</v>
      </c>
      <c r="H2205" s="183" t="s">
        <v>12745</v>
      </c>
    </row>
    <row r="2206" spans="1:8">
      <c r="C2206" s="183">
        <v>14430</v>
      </c>
      <c r="H2206" s="183" t="s">
        <v>12746</v>
      </c>
    </row>
    <row r="2207" spans="1:8">
      <c r="E2207" s="206">
        <v>25</v>
      </c>
      <c r="F2207" s="206">
        <v>4931</v>
      </c>
      <c r="G2207" s="183" t="s">
        <v>12747</v>
      </c>
      <c r="H2207" s="183" t="s">
        <v>12748</v>
      </c>
    </row>
    <row r="2209" spans="1:8">
      <c r="A2209" s="183" t="s">
        <v>12749</v>
      </c>
      <c r="E2209" s="699"/>
      <c r="F2209" s="699"/>
      <c r="G2209" s="699"/>
    </row>
    <row r="2210" spans="1:8">
      <c r="E2210" s="206">
        <v>365</v>
      </c>
      <c r="F2210" s="206">
        <v>4566</v>
      </c>
      <c r="G2210" s="183" t="s">
        <v>12083</v>
      </c>
      <c r="H2210" s="183" t="s">
        <v>12750</v>
      </c>
    </row>
    <row r="2211" spans="1:8">
      <c r="E2211" s="206">
        <v>350</v>
      </c>
      <c r="F2211" s="206">
        <v>4216</v>
      </c>
      <c r="G2211" s="183" t="s">
        <v>12083</v>
      </c>
      <c r="H2211" s="183" t="s">
        <v>12750</v>
      </c>
    </row>
    <row r="2212" spans="1:8">
      <c r="H2212" s="694"/>
    </row>
    <row r="2213" spans="1:8">
      <c r="A2213" s="183" t="s">
        <v>12751</v>
      </c>
      <c r="E2213" s="699"/>
      <c r="F2213" s="699"/>
      <c r="G2213" s="699"/>
    </row>
    <row r="2214" spans="1:8">
      <c r="C2214" s="183">
        <v>22827</v>
      </c>
      <c r="H2214" s="183" t="s">
        <v>12752</v>
      </c>
    </row>
    <row r="2215" spans="1:8">
      <c r="C2215" s="183">
        <v>63248</v>
      </c>
      <c r="H2215" s="183" t="s">
        <v>12753</v>
      </c>
    </row>
    <row r="2216" spans="1:8">
      <c r="E2216" s="699"/>
      <c r="F2216" s="699"/>
      <c r="G2216" s="699"/>
      <c r="H2216" s="699"/>
    </row>
    <row r="2217" spans="1:8">
      <c r="A2217" s="183" t="s">
        <v>12754</v>
      </c>
      <c r="E2217" s="699"/>
      <c r="F2217" s="699"/>
      <c r="G2217" s="699"/>
      <c r="H2217" s="699"/>
    </row>
    <row r="2218" spans="1:8">
      <c r="E2218" s="206">
        <v>99</v>
      </c>
      <c r="F2218" s="206">
        <v>4117</v>
      </c>
      <c r="G2218" s="183" t="s">
        <v>12621</v>
      </c>
      <c r="H2218" s="183" t="s">
        <v>12755</v>
      </c>
    </row>
    <row r="2219" spans="1:8">
      <c r="E2219" s="183">
        <v>25</v>
      </c>
      <c r="F2219" s="183">
        <v>4092</v>
      </c>
      <c r="G2219" s="183" t="s">
        <v>12103</v>
      </c>
      <c r="H2219" s="183" t="s">
        <v>12756</v>
      </c>
    </row>
    <row r="2220" spans="1:8">
      <c r="E2220" s="699"/>
      <c r="F2220" s="699"/>
      <c r="G2220" s="699"/>
      <c r="H2220" s="699"/>
    </row>
    <row r="2221" spans="1:8">
      <c r="A2221" s="183" t="s">
        <v>12757</v>
      </c>
      <c r="E2221" s="699"/>
      <c r="F2221" s="699"/>
      <c r="G2221" s="699"/>
      <c r="H2221" s="699"/>
    </row>
    <row r="2222" spans="1:8">
      <c r="E2222" s="206">
        <v>156</v>
      </c>
      <c r="F2222" s="206">
        <v>3936</v>
      </c>
      <c r="G2222" s="183" t="s">
        <v>12133</v>
      </c>
      <c r="H2222" s="183" t="s">
        <v>12758</v>
      </c>
    </row>
    <row r="2223" spans="1:8">
      <c r="E2223" s="206">
        <v>24</v>
      </c>
      <c r="F2223" s="206">
        <v>3912</v>
      </c>
      <c r="G2223" s="183" t="s">
        <v>12747</v>
      </c>
      <c r="H2223" s="183" t="s">
        <v>12543</v>
      </c>
    </row>
    <row r="2224" spans="1:8">
      <c r="E2224" s="699"/>
      <c r="F2224" s="699"/>
      <c r="G2224" s="699"/>
      <c r="H2224" s="699"/>
    </row>
    <row r="2225" spans="1:8" s="707" customFormat="1">
      <c r="A2225" s="707" t="s">
        <v>12759</v>
      </c>
    </row>
    <row r="2226" spans="1:8">
      <c r="E2226" s="183">
        <v>75</v>
      </c>
      <c r="F2226" s="183">
        <v>3837</v>
      </c>
      <c r="G2226" s="183" t="s">
        <v>12103</v>
      </c>
      <c r="H2226" s="183" t="s">
        <v>12760</v>
      </c>
    </row>
    <row r="2227" spans="1:8">
      <c r="E2227" s="699"/>
      <c r="F2227" s="699"/>
      <c r="G2227" s="699"/>
      <c r="H2227" s="699"/>
    </row>
    <row r="2228" spans="1:8" s="707" customFormat="1">
      <c r="A2228" s="707" t="s">
        <v>12761</v>
      </c>
    </row>
    <row r="2229" spans="1:8">
      <c r="E2229" s="183">
        <v>65</v>
      </c>
      <c r="F2229" s="183">
        <v>3772</v>
      </c>
      <c r="G2229" s="183" t="s">
        <v>12103</v>
      </c>
      <c r="H2229" s="183" t="s">
        <v>12762</v>
      </c>
    </row>
    <row r="2230" spans="1:8">
      <c r="E2230" s="206">
        <v>78</v>
      </c>
      <c r="F2230" s="206">
        <v>3694</v>
      </c>
      <c r="G2230" s="183" t="s">
        <v>12133</v>
      </c>
      <c r="H2230" s="183" t="s">
        <v>12758</v>
      </c>
    </row>
    <row r="2231" spans="1:8">
      <c r="E2231" s="699"/>
      <c r="F2231" s="699"/>
      <c r="G2231" s="699"/>
      <c r="H2231" s="699"/>
    </row>
    <row r="2232" spans="1:8" s="707" customFormat="1">
      <c r="A2232" s="707" t="s">
        <v>12763</v>
      </c>
    </row>
    <row r="2233" spans="1:8">
      <c r="C2233" s="183">
        <v>50000</v>
      </c>
      <c r="E2233" s="206"/>
      <c r="F2233" s="206"/>
      <c r="H2233" s="183" t="s">
        <v>12764</v>
      </c>
    </row>
    <row r="2234" spans="1:8">
      <c r="E2234" s="699"/>
      <c r="F2234" s="699"/>
      <c r="G2234" s="699"/>
      <c r="H2234" s="699"/>
    </row>
    <row r="2235" spans="1:8">
      <c r="A2235" s="183" t="s">
        <v>12765</v>
      </c>
    </row>
    <row r="2236" spans="1:8">
      <c r="E2236" s="183">
        <v>1205</v>
      </c>
      <c r="F2236" s="183">
        <v>2489</v>
      </c>
      <c r="G2236" s="183" t="s">
        <v>12550</v>
      </c>
      <c r="H2236" s="183" t="s">
        <v>12766</v>
      </c>
    </row>
    <row r="2237" spans="1:8">
      <c r="E2237" s="699"/>
      <c r="F2237" s="699"/>
      <c r="G2237" s="699"/>
      <c r="H2237" s="206"/>
    </row>
    <row r="2238" spans="1:8">
      <c r="A2238" s="183" t="s">
        <v>12767</v>
      </c>
      <c r="E2238" s="699"/>
      <c r="F2238" s="699"/>
      <c r="G2238" s="699"/>
      <c r="H2238" s="206"/>
    </row>
    <row r="2239" spans="1:8" s="206" customFormat="1">
      <c r="E2239" s="206">
        <v>32</v>
      </c>
      <c r="F2239" s="206">
        <v>2457</v>
      </c>
      <c r="G2239" s="183" t="s">
        <v>12083</v>
      </c>
      <c r="H2239" s="183" t="s">
        <v>12720</v>
      </c>
    </row>
    <row r="2240" spans="1:8">
      <c r="E2240" s="206">
        <v>18</v>
      </c>
      <c r="F2240" s="206">
        <v>2439</v>
      </c>
      <c r="G2240" s="183" t="s">
        <v>12072</v>
      </c>
      <c r="H2240" s="183" t="s">
        <v>12768</v>
      </c>
    </row>
    <row r="2241" spans="1:8">
      <c r="E2241" s="699"/>
      <c r="F2241" s="699"/>
      <c r="G2241" s="699"/>
      <c r="H2241" s="699"/>
    </row>
    <row r="2242" spans="1:8">
      <c r="A2242" s="183" t="s">
        <v>12769</v>
      </c>
    </row>
    <row r="2243" spans="1:8">
      <c r="C2243" s="183">
        <v>17000</v>
      </c>
      <c r="H2243" s="183" t="s">
        <v>12770</v>
      </c>
    </row>
    <row r="2244" spans="1:8">
      <c r="H2244" s="694"/>
    </row>
    <row r="2245" spans="1:8">
      <c r="A2245" s="183" t="s">
        <v>12771</v>
      </c>
      <c r="E2245" s="699"/>
      <c r="F2245" s="699"/>
      <c r="G2245" s="699"/>
    </row>
    <row r="2246" spans="1:8">
      <c r="C2246" s="183">
        <v>22827</v>
      </c>
      <c r="H2246" s="183" t="s">
        <v>12772</v>
      </c>
    </row>
    <row r="2247" spans="1:8">
      <c r="C2247" s="183">
        <v>63248</v>
      </c>
      <c r="H2247" s="183" t="s">
        <v>12773</v>
      </c>
    </row>
    <row r="2248" spans="1:8">
      <c r="E2248" s="183">
        <v>280</v>
      </c>
      <c r="F2248" s="206">
        <v>2159</v>
      </c>
      <c r="G2248" s="183" t="s">
        <v>12072</v>
      </c>
      <c r="H2248" s="183" t="s">
        <v>12774</v>
      </c>
    </row>
    <row r="2250" spans="1:8">
      <c r="A2250" s="183" t="s">
        <v>12775</v>
      </c>
    </row>
    <row r="2251" spans="1:8">
      <c r="C2251" s="183">
        <v>19921</v>
      </c>
      <c r="H2251" s="183" t="s">
        <v>12776</v>
      </c>
    </row>
    <row r="2252" spans="1:8">
      <c r="C2252" s="183">
        <v>5000</v>
      </c>
      <c r="H2252" s="183" t="s">
        <v>11466</v>
      </c>
    </row>
    <row r="2253" spans="1:8">
      <c r="D2253" s="183">
        <v>5000</v>
      </c>
      <c r="F2253" s="206">
        <v>7159</v>
      </c>
      <c r="H2253" s="183" t="s">
        <v>11466</v>
      </c>
    </row>
    <row r="2254" spans="1:8">
      <c r="E2254" s="183">
        <v>500</v>
      </c>
      <c r="F2254" s="206">
        <v>6659</v>
      </c>
      <c r="G2254" s="183" t="s">
        <v>12103</v>
      </c>
      <c r="H2254" s="183" t="s">
        <v>12589</v>
      </c>
    </row>
    <row r="2255" spans="1:8">
      <c r="E2255" s="183">
        <v>125</v>
      </c>
      <c r="F2255" s="183">
        <v>6534</v>
      </c>
      <c r="G2255" s="183" t="s">
        <v>12103</v>
      </c>
      <c r="H2255" s="183" t="s">
        <v>12777</v>
      </c>
    </row>
    <row r="2256" spans="1:8">
      <c r="E2256" s="206"/>
      <c r="F2256" s="206"/>
      <c r="H2256" s="696"/>
    </row>
    <row r="2257" spans="1:8">
      <c r="A2257" s="183" t="s">
        <v>12778</v>
      </c>
      <c r="E2257" s="699"/>
      <c r="F2257" s="699"/>
      <c r="G2257" s="699"/>
      <c r="H2257" s="699"/>
    </row>
    <row r="2258" spans="1:8">
      <c r="C2258" s="183">
        <v>180000</v>
      </c>
      <c r="E2258" s="699"/>
      <c r="F2258" s="699"/>
      <c r="G2258" s="699"/>
      <c r="H2258" s="206" t="s">
        <v>12779</v>
      </c>
    </row>
    <row r="2259" spans="1:8">
      <c r="C2259" s="183">
        <v>14546</v>
      </c>
      <c r="E2259" s="699"/>
      <c r="F2259" s="699"/>
      <c r="G2259" s="699"/>
      <c r="H2259" s="206" t="s">
        <v>12780</v>
      </c>
    </row>
    <row r="2260" spans="1:8">
      <c r="E2260" s="699"/>
      <c r="F2260" s="699"/>
      <c r="G2260" s="699"/>
      <c r="H2260" s="699"/>
    </row>
    <row r="2261" spans="1:8">
      <c r="A2261" s="183" t="s">
        <v>12781</v>
      </c>
    </row>
    <row r="2262" spans="1:8">
      <c r="E2262" s="206">
        <v>230</v>
      </c>
      <c r="F2262" s="206">
        <v>6304</v>
      </c>
      <c r="G2262" s="206" t="s">
        <v>12096</v>
      </c>
      <c r="H2262" s="183" t="s">
        <v>12782</v>
      </c>
    </row>
    <row r="2263" spans="1:8">
      <c r="E2263" s="183">
        <v>1205</v>
      </c>
      <c r="F2263" s="183">
        <v>5099</v>
      </c>
      <c r="G2263" s="183" t="s">
        <v>12090</v>
      </c>
      <c r="H2263" s="183" t="s">
        <v>12783</v>
      </c>
    </row>
    <row r="2264" spans="1:8">
      <c r="E2264" s="183">
        <v>200</v>
      </c>
      <c r="F2264" s="183">
        <v>4899</v>
      </c>
      <c r="G2264" s="183" t="s">
        <v>12586</v>
      </c>
      <c r="H2264" s="183" t="s">
        <v>12598</v>
      </c>
    </row>
    <row r="2265" spans="1:8">
      <c r="E2265" s="699"/>
      <c r="F2265" s="699"/>
      <c r="G2265" s="699"/>
      <c r="H2265" s="699"/>
    </row>
    <row r="2266" spans="1:8">
      <c r="A2266" s="183" t="s">
        <v>12784</v>
      </c>
    </row>
    <row r="2267" spans="1:8">
      <c r="E2267" s="206">
        <v>57</v>
      </c>
      <c r="F2267" s="206">
        <v>4842</v>
      </c>
      <c r="G2267" s="183" t="s">
        <v>12121</v>
      </c>
      <c r="H2267" s="206" t="s">
        <v>12785</v>
      </c>
    </row>
    <row r="2268" spans="1:8">
      <c r="E2268" s="206">
        <v>220</v>
      </c>
      <c r="F2268" s="206">
        <v>4622</v>
      </c>
      <c r="G2268" s="183" t="s">
        <v>12121</v>
      </c>
      <c r="H2268" s="206" t="s">
        <v>12786</v>
      </c>
    </row>
    <row r="2269" spans="1:8">
      <c r="E2269" s="699"/>
      <c r="F2269" s="699"/>
      <c r="G2269" s="699"/>
      <c r="H2269" s="699"/>
    </row>
    <row r="2270" spans="1:8">
      <c r="A2270" s="183" t="s">
        <v>12787</v>
      </c>
    </row>
    <row r="2271" spans="1:8">
      <c r="C2271" s="183">
        <v>17000</v>
      </c>
      <c r="H2271" s="183" t="s">
        <v>12788</v>
      </c>
    </row>
    <row r="2272" spans="1:8">
      <c r="C2272" s="183">
        <v>21820</v>
      </c>
      <c r="H2272" s="183" t="s">
        <v>12789</v>
      </c>
    </row>
    <row r="2273" spans="1:8">
      <c r="E2273" s="699"/>
      <c r="F2273" s="699"/>
      <c r="G2273" s="699"/>
      <c r="H2273" s="699"/>
    </row>
    <row r="2274" spans="1:8">
      <c r="A2274" s="183" t="s">
        <v>12790</v>
      </c>
    </row>
    <row r="2275" spans="1:8">
      <c r="E2275" s="206">
        <v>190</v>
      </c>
      <c r="F2275" s="206">
        <v>4432</v>
      </c>
      <c r="G2275" s="183" t="s">
        <v>12133</v>
      </c>
      <c r="H2275" s="183" t="s">
        <v>12758</v>
      </c>
    </row>
    <row r="2276" spans="1:8">
      <c r="E2276" s="699"/>
      <c r="F2276" s="699"/>
      <c r="G2276" s="699"/>
      <c r="H2276" s="699"/>
    </row>
    <row r="2277" spans="1:8">
      <c r="A2277" s="183" t="s">
        <v>12791</v>
      </c>
    </row>
    <row r="2278" spans="1:8">
      <c r="E2278" s="206">
        <v>378</v>
      </c>
      <c r="F2278" s="206">
        <v>4054</v>
      </c>
      <c r="G2278" s="696" t="s">
        <v>12191</v>
      </c>
      <c r="H2278" s="183" t="s">
        <v>12792</v>
      </c>
    </row>
    <row r="2279" spans="1:8">
      <c r="E2279" s="699"/>
      <c r="F2279" s="699"/>
      <c r="G2279" s="699"/>
      <c r="H2279" s="699"/>
    </row>
    <row r="2280" spans="1:8">
      <c r="A2280" s="183" t="s">
        <v>12793</v>
      </c>
    </row>
    <row r="2281" spans="1:8">
      <c r="E2281" s="183">
        <v>5</v>
      </c>
      <c r="F2281" s="183">
        <v>4049</v>
      </c>
      <c r="G2281" s="183" t="s">
        <v>12103</v>
      </c>
      <c r="H2281" s="183" t="s">
        <v>12794</v>
      </c>
    </row>
    <row r="2283" spans="1:8">
      <c r="A2283" s="183" t="s">
        <v>12795</v>
      </c>
      <c r="E2283" s="699"/>
      <c r="F2283" s="699"/>
      <c r="G2283" s="699"/>
    </row>
    <row r="2284" spans="1:8">
      <c r="E2284" s="206">
        <v>550</v>
      </c>
      <c r="F2284" s="206">
        <v>3499</v>
      </c>
      <c r="G2284" s="183" t="s">
        <v>12083</v>
      </c>
      <c r="H2284" s="183" t="s">
        <v>12594</v>
      </c>
    </row>
    <row r="2285" spans="1:8">
      <c r="E2285" s="206">
        <v>300</v>
      </c>
      <c r="F2285" s="206">
        <v>3199</v>
      </c>
      <c r="G2285" s="183" t="s">
        <v>12083</v>
      </c>
      <c r="H2285" s="183" t="s">
        <v>12594</v>
      </c>
    </row>
    <row r="2286" spans="1:8">
      <c r="E2286" s="699"/>
      <c r="F2286" s="699"/>
      <c r="G2286" s="699"/>
      <c r="H2286" s="699"/>
    </row>
    <row r="2287" spans="1:8">
      <c r="A2287" s="183" t="s">
        <v>12796</v>
      </c>
    </row>
    <row r="2288" spans="1:8">
      <c r="E2288" s="183">
        <v>74</v>
      </c>
      <c r="F2288" s="183">
        <v>3125</v>
      </c>
      <c r="G2288" s="183" t="s">
        <v>12103</v>
      </c>
      <c r="H2288" s="183" t="s">
        <v>12797</v>
      </c>
    </row>
    <row r="2289" spans="1:8">
      <c r="E2289" s="699"/>
      <c r="F2289" s="699"/>
      <c r="G2289" s="699"/>
      <c r="H2289" s="699"/>
    </row>
    <row r="2290" spans="1:8">
      <c r="A2290" s="183" t="s">
        <v>12798</v>
      </c>
    </row>
    <row r="2291" spans="1:8">
      <c r="E2291" s="183">
        <v>1205</v>
      </c>
      <c r="F2291" s="183">
        <v>1920</v>
      </c>
      <c r="G2291" s="183" t="s">
        <v>12550</v>
      </c>
      <c r="H2291" s="183" t="s">
        <v>12799</v>
      </c>
    </row>
    <row r="2292" spans="1:8">
      <c r="E2292" s="206">
        <v>330</v>
      </c>
      <c r="F2292" s="206">
        <v>1590</v>
      </c>
      <c r="G2292" s="183" t="s">
        <v>12121</v>
      </c>
      <c r="H2292" s="206" t="s">
        <v>12800</v>
      </c>
    </row>
    <row r="2293" spans="1:8">
      <c r="E2293" s="699"/>
      <c r="F2293" s="699"/>
      <c r="G2293" s="699"/>
      <c r="H2293" s="699"/>
    </row>
    <row r="2294" spans="1:8">
      <c r="A2294" s="183" t="s">
        <v>12801</v>
      </c>
    </row>
    <row r="2295" spans="1:8">
      <c r="E2295" s="206">
        <v>18</v>
      </c>
      <c r="F2295" s="206">
        <v>1572</v>
      </c>
      <c r="G2295" s="183" t="s">
        <v>12621</v>
      </c>
      <c r="H2295" s="183" t="s">
        <v>12802</v>
      </c>
    </row>
    <row r="2296" spans="1:8">
      <c r="E2296" s="699"/>
      <c r="F2296" s="699"/>
      <c r="G2296" s="699"/>
      <c r="H2296" s="699"/>
    </row>
    <row r="2297" spans="1:8">
      <c r="A2297" s="183" t="s">
        <v>12803</v>
      </c>
    </row>
    <row r="2298" spans="1:8">
      <c r="C2298" s="183">
        <v>17000</v>
      </c>
      <c r="H2298" s="183" t="s">
        <v>12804</v>
      </c>
    </row>
    <row r="2299" spans="1:8">
      <c r="C2299" s="183">
        <v>6600</v>
      </c>
      <c r="H2299" s="183" t="s">
        <v>11466</v>
      </c>
    </row>
    <row r="2300" spans="1:8">
      <c r="D2300" s="183">
        <v>6600</v>
      </c>
      <c r="F2300" s="206">
        <v>8172</v>
      </c>
      <c r="H2300" s="183" t="s">
        <v>11466</v>
      </c>
    </row>
    <row r="2301" spans="1:8">
      <c r="E2301" s="206">
        <v>1600</v>
      </c>
      <c r="F2301" s="206">
        <v>6572</v>
      </c>
      <c r="G2301" s="696" t="s">
        <v>12805</v>
      </c>
      <c r="H2301" s="183" t="s">
        <v>12806</v>
      </c>
    </row>
    <row r="2302" spans="1:8">
      <c r="E2302" s="699"/>
      <c r="F2302" s="699"/>
      <c r="G2302" s="699"/>
      <c r="H2302" s="699"/>
    </row>
    <row r="2303" spans="1:8">
      <c r="A2303" s="183" t="s">
        <v>12807</v>
      </c>
      <c r="E2303" s="699"/>
      <c r="F2303" s="699"/>
      <c r="G2303" s="699"/>
      <c r="H2303" s="699"/>
    </row>
    <row r="2304" spans="1:8">
      <c r="E2304" s="206">
        <v>115</v>
      </c>
      <c r="F2304" s="206">
        <v>6457</v>
      </c>
      <c r="G2304" s="183" t="s">
        <v>12072</v>
      </c>
      <c r="H2304" s="183" t="s">
        <v>12808</v>
      </c>
    </row>
    <row r="2305" spans="1:8">
      <c r="C2305" s="183">
        <v>22827</v>
      </c>
      <c r="H2305" s="183" t="s">
        <v>12809</v>
      </c>
    </row>
    <row r="2306" spans="1:8">
      <c r="C2306" s="183">
        <v>63248</v>
      </c>
      <c r="H2306" s="183" t="s">
        <v>12810</v>
      </c>
    </row>
    <row r="2307" spans="1:8">
      <c r="C2307" s="183">
        <v>15938</v>
      </c>
      <c r="H2307" s="183" t="s">
        <v>12811</v>
      </c>
    </row>
    <row r="2309" spans="1:8">
      <c r="A2309" s="183" t="s">
        <v>12812</v>
      </c>
      <c r="E2309" s="699"/>
      <c r="F2309" s="699"/>
      <c r="G2309" s="699"/>
    </row>
    <row r="2310" spans="1:8">
      <c r="E2310" s="206">
        <v>280</v>
      </c>
      <c r="F2310" s="206">
        <v>6177</v>
      </c>
      <c r="G2310" s="183" t="s">
        <v>12083</v>
      </c>
      <c r="H2310" s="183" t="s">
        <v>12813</v>
      </c>
    </row>
    <row r="2311" spans="1:8">
      <c r="E2311" s="206">
        <v>250</v>
      </c>
      <c r="F2311" s="206">
        <v>5927</v>
      </c>
      <c r="G2311" s="183" t="s">
        <v>12083</v>
      </c>
      <c r="H2311" s="183" t="s">
        <v>12813</v>
      </c>
    </row>
    <row r="2312" spans="1:8">
      <c r="E2312" s="699"/>
      <c r="F2312" s="699"/>
      <c r="G2312" s="699"/>
      <c r="H2312" s="699"/>
    </row>
    <row r="2314" spans="1:8">
      <c r="A2314" s="183" t="s">
        <v>12814</v>
      </c>
      <c r="E2314" s="699"/>
      <c r="F2314" s="699"/>
      <c r="G2314" s="699"/>
    </row>
    <row r="2315" spans="1:8">
      <c r="E2315" s="206">
        <v>220</v>
      </c>
      <c r="F2315" s="206">
        <v>5707</v>
      </c>
      <c r="G2315" s="183" t="s">
        <v>12083</v>
      </c>
      <c r="H2315" s="183" t="s">
        <v>12815</v>
      </c>
    </row>
    <row r="2316" spans="1:8">
      <c r="E2316" s="206">
        <v>245</v>
      </c>
      <c r="F2316" s="206">
        <v>5462</v>
      </c>
      <c r="G2316" s="183" t="s">
        <v>12083</v>
      </c>
      <c r="H2316" s="183" t="s">
        <v>12815</v>
      </c>
    </row>
    <row r="2317" spans="1:8">
      <c r="E2317" s="699"/>
      <c r="F2317" s="699"/>
      <c r="G2317" s="699"/>
      <c r="H2317" s="699"/>
    </row>
    <row r="2318" spans="1:8">
      <c r="A2318" s="183" t="s">
        <v>12816</v>
      </c>
    </row>
    <row r="2319" spans="1:8">
      <c r="E2319" s="183">
        <v>5</v>
      </c>
      <c r="F2319" s="183">
        <v>5457</v>
      </c>
      <c r="G2319" s="183" t="s">
        <v>12103</v>
      </c>
      <c r="H2319" s="183" t="s">
        <v>12817</v>
      </c>
    </row>
    <row r="2320" spans="1:8">
      <c r="E2320" s="206">
        <v>220</v>
      </c>
      <c r="F2320" s="206">
        <v>5237</v>
      </c>
      <c r="G2320" s="183" t="s">
        <v>12083</v>
      </c>
      <c r="H2320" s="183" t="s">
        <v>12815</v>
      </c>
    </row>
    <row r="2321" spans="1:8">
      <c r="E2321" s="206">
        <v>255</v>
      </c>
      <c r="F2321" s="206">
        <v>4982</v>
      </c>
      <c r="G2321" s="183" t="s">
        <v>12083</v>
      </c>
      <c r="H2321" s="183" t="s">
        <v>12815</v>
      </c>
    </row>
    <row r="2322" spans="1:8">
      <c r="E2322" s="699"/>
      <c r="F2322" s="699"/>
      <c r="G2322" s="699"/>
      <c r="H2322" s="699"/>
    </row>
    <row r="2323" spans="1:8">
      <c r="A2323" s="183" t="s">
        <v>12818</v>
      </c>
    </row>
    <row r="2324" spans="1:8">
      <c r="E2324" s="183">
        <v>25</v>
      </c>
      <c r="F2324" s="183">
        <v>4957</v>
      </c>
      <c r="G2324" s="183" t="s">
        <v>12103</v>
      </c>
      <c r="H2324" s="183" t="s">
        <v>12819</v>
      </c>
    </row>
    <row r="2325" spans="1:8">
      <c r="E2325" s="699"/>
      <c r="F2325" s="699"/>
      <c r="G2325" s="699"/>
      <c r="H2325" s="699"/>
    </row>
    <row r="2326" spans="1:8">
      <c r="A2326" s="183" t="s">
        <v>12820</v>
      </c>
    </row>
    <row r="2327" spans="1:8">
      <c r="E2327" s="183">
        <v>1205</v>
      </c>
      <c r="F2327" s="183">
        <v>3752</v>
      </c>
      <c r="G2327" s="183" t="s">
        <v>12090</v>
      </c>
      <c r="H2327" s="183" t="s">
        <v>12821</v>
      </c>
    </row>
    <row r="2328" spans="1:8">
      <c r="E2328" s="699"/>
      <c r="F2328" s="699"/>
      <c r="G2328" s="699"/>
      <c r="H2328" s="699"/>
    </row>
    <row r="2329" spans="1:8">
      <c r="A2329" s="183" t="s">
        <v>12822</v>
      </c>
    </row>
    <row r="2330" spans="1:8">
      <c r="E2330" s="206">
        <v>230</v>
      </c>
      <c r="F2330" s="206">
        <v>3522</v>
      </c>
      <c r="G2330" s="206" t="s">
        <v>12096</v>
      </c>
      <c r="H2330" s="183" t="s">
        <v>12823</v>
      </c>
    </row>
    <row r="2331" spans="1:8">
      <c r="E2331" s="699"/>
      <c r="F2331" s="699"/>
      <c r="G2331" s="699"/>
      <c r="H2331" s="699"/>
    </row>
    <row r="2332" spans="1:8">
      <c r="A2332" s="183" t="s">
        <v>12824</v>
      </c>
    </row>
    <row r="2333" spans="1:8">
      <c r="C2333" s="183">
        <v>17000</v>
      </c>
      <c r="H2333" s="183" t="s">
        <v>12825</v>
      </c>
    </row>
    <row r="2334" spans="1:8">
      <c r="C2334" s="183">
        <v>22818</v>
      </c>
      <c r="H2334" s="183" t="s">
        <v>12826</v>
      </c>
    </row>
    <row r="2335" spans="1:8">
      <c r="C2335" s="183">
        <v>63185</v>
      </c>
      <c r="H2335" s="183" t="s">
        <v>12827</v>
      </c>
    </row>
    <row r="2336" spans="1:8">
      <c r="C2336" s="183">
        <v>35000</v>
      </c>
      <c r="H2336" s="183" t="s">
        <v>12828</v>
      </c>
    </row>
    <row r="2337" spans="1:8">
      <c r="E2337" s="699"/>
      <c r="F2337" s="699"/>
      <c r="G2337" s="699"/>
    </row>
    <row r="2338" spans="1:8">
      <c r="A2338" s="183" t="s">
        <v>12829</v>
      </c>
      <c r="E2338" s="699"/>
      <c r="F2338" s="699"/>
      <c r="G2338" s="699"/>
    </row>
    <row r="2339" spans="1:8">
      <c r="E2339" s="183">
        <v>30</v>
      </c>
      <c r="F2339" s="206">
        <v>3492</v>
      </c>
      <c r="G2339" s="183" t="s">
        <v>12121</v>
      </c>
      <c r="H2339" s="183" t="s">
        <v>12830</v>
      </c>
    </row>
    <row r="2340" spans="1:8">
      <c r="E2340" s="206"/>
      <c r="F2340" s="206"/>
      <c r="H2340" s="696"/>
    </row>
    <row r="2341" spans="1:8">
      <c r="A2341" s="183" t="s">
        <v>12831</v>
      </c>
      <c r="E2341" s="699"/>
      <c r="F2341" s="699"/>
      <c r="G2341" s="699"/>
      <c r="H2341" s="699"/>
    </row>
    <row r="2342" spans="1:8">
      <c r="C2342" s="183">
        <v>10000</v>
      </c>
      <c r="E2342" s="699"/>
      <c r="F2342" s="699"/>
      <c r="G2342" s="699"/>
      <c r="H2342" s="206" t="s">
        <v>12780</v>
      </c>
    </row>
    <row r="2343" spans="1:8">
      <c r="E2343" s="206">
        <v>689</v>
      </c>
      <c r="F2343" s="206">
        <v>2803</v>
      </c>
      <c r="G2343" s="183" t="s">
        <v>12121</v>
      </c>
      <c r="H2343" s="206" t="s">
        <v>12832</v>
      </c>
    </row>
    <row r="2344" spans="1:8">
      <c r="E2344" s="183">
        <v>100</v>
      </c>
      <c r="F2344" s="183">
        <v>2703</v>
      </c>
      <c r="G2344" s="183" t="s">
        <v>12103</v>
      </c>
      <c r="H2344" s="183" t="s">
        <v>12833</v>
      </c>
    </row>
    <row r="2345" spans="1:8" ht="214.5">
      <c r="C2345" s="696" t="s">
        <v>12834</v>
      </c>
      <c r="H2345" s="694" t="s">
        <v>12835</v>
      </c>
    </row>
    <row r="2346" spans="1:8">
      <c r="C2346" s="696">
        <v>5598</v>
      </c>
      <c r="H2346" s="694"/>
    </row>
    <row r="2347" spans="1:8">
      <c r="E2347" s="696">
        <v>5598</v>
      </c>
      <c r="H2347" s="694" t="s">
        <v>12836</v>
      </c>
    </row>
    <row r="2348" spans="1:8">
      <c r="D2348" s="696">
        <v>5598</v>
      </c>
      <c r="H2348" s="694" t="s">
        <v>12837</v>
      </c>
    </row>
    <row r="2349" spans="1:8">
      <c r="E2349" s="206"/>
      <c r="F2349" s="206"/>
      <c r="H2349" s="696"/>
    </row>
    <row r="2350" spans="1:8">
      <c r="A2350" s="183" t="s">
        <v>12838</v>
      </c>
      <c r="E2350" s="699"/>
      <c r="F2350" s="699"/>
      <c r="G2350" s="699"/>
      <c r="H2350" s="699"/>
    </row>
    <row r="2351" spans="1:8">
      <c r="E2351" s="183">
        <v>300</v>
      </c>
      <c r="F2351" s="206">
        <v>2403</v>
      </c>
      <c r="G2351" s="183" t="s">
        <v>12547</v>
      </c>
      <c r="H2351" s="183" t="s">
        <v>11758</v>
      </c>
    </row>
    <row r="2352" spans="1:8">
      <c r="E2352" s="206"/>
      <c r="F2352" s="206"/>
      <c r="H2352" s="696"/>
    </row>
    <row r="2353" spans="1:8">
      <c r="A2353" s="183" t="s">
        <v>12839</v>
      </c>
      <c r="E2353" s="699"/>
      <c r="F2353" s="699"/>
      <c r="G2353" s="699"/>
      <c r="H2353" s="699"/>
    </row>
    <row r="2354" spans="1:8">
      <c r="E2354" s="206">
        <v>10</v>
      </c>
      <c r="F2354" s="206">
        <v>2393</v>
      </c>
      <c r="G2354" s="183" t="s">
        <v>12133</v>
      </c>
      <c r="H2354" s="183" t="s">
        <v>12840</v>
      </c>
    </row>
    <row r="2355" spans="1:8">
      <c r="E2355" s="206"/>
      <c r="F2355" s="206"/>
      <c r="H2355" s="696"/>
    </row>
    <row r="2356" spans="1:8">
      <c r="A2356" s="183" t="s">
        <v>12841</v>
      </c>
      <c r="E2356" s="699"/>
      <c r="F2356" s="699"/>
      <c r="G2356" s="699"/>
      <c r="H2356" s="699"/>
    </row>
    <row r="2357" spans="1:8" ht="66">
      <c r="C2357" s="183">
        <v>3100</v>
      </c>
      <c r="E2357" s="699"/>
      <c r="F2357" s="699"/>
      <c r="G2357" s="699"/>
      <c r="H2357" s="697" t="s">
        <v>12842</v>
      </c>
    </row>
    <row r="2358" spans="1:8">
      <c r="E2358" s="699"/>
      <c r="F2358" s="699"/>
      <c r="G2358" s="699"/>
      <c r="H2358" s="699"/>
    </row>
    <row r="2359" spans="1:8">
      <c r="A2359" s="183" t="s">
        <v>12843</v>
      </c>
    </row>
    <row r="2360" spans="1:8">
      <c r="E2360" s="183">
        <v>1205</v>
      </c>
      <c r="F2360" s="183">
        <v>1188</v>
      </c>
      <c r="G2360" s="183" t="s">
        <v>12090</v>
      </c>
      <c r="H2360" s="183" t="s">
        <v>12844</v>
      </c>
    </row>
    <row r="2361" spans="1:8">
      <c r="E2361" s="699"/>
      <c r="F2361" s="699"/>
      <c r="G2361" s="699"/>
      <c r="H2361" s="699"/>
    </row>
    <row r="2362" spans="1:8">
      <c r="A2362" s="183" t="s">
        <v>12845</v>
      </c>
    </row>
    <row r="2363" spans="1:8">
      <c r="C2363" s="183">
        <v>5000</v>
      </c>
      <c r="H2363" s="183" t="s">
        <v>12846</v>
      </c>
    </row>
    <row r="2364" spans="1:8">
      <c r="D2364" s="183">
        <v>5000</v>
      </c>
      <c r="F2364" s="206">
        <v>6188</v>
      </c>
      <c r="H2364" s="183" t="s">
        <v>11466</v>
      </c>
    </row>
    <row r="2365" spans="1:8">
      <c r="E2365" s="699"/>
      <c r="F2365" s="699"/>
      <c r="G2365" s="699"/>
      <c r="H2365" s="699"/>
    </row>
    <row r="2366" spans="1:8">
      <c r="A2366" s="183" t="s">
        <v>12847</v>
      </c>
    </row>
    <row r="2367" spans="1:8">
      <c r="C2367" s="183">
        <v>17000</v>
      </c>
      <c r="H2367" s="183" t="s">
        <v>12848</v>
      </c>
    </row>
    <row r="2368" spans="1:8">
      <c r="E2368" s="206"/>
      <c r="F2368" s="206"/>
      <c r="G2368" s="206"/>
    </row>
    <row r="2369" spans="1:8">
      <c r="A2369" s="183" t="s">
        <v>12849</v>
      </c>
      <c r="E2369" s="206"/>
      <c r="F2369" s="206"/>
      <c r="G2369" s="206"/>
    </row>
    <row r="2370" spans="1:8">
      <c r="E2370" s="206">
        <v>18</v>
      </c>
      <c r="F2370" s="206">
        <v>6170</v>
      </c>
      <c r="G2370" s="183" t="s">
        <v>12072</v>
      </c>
      <c r="H2370" s="183" t="s">
        <v>12850</v>
      </c>
    </row>
    <row r="2371" spans="1:8">
      <c r="E2371" s="206">
        <v>32</v>
      </c>
      <c r="F2371" s="206">
        <v>6138</v>
      </c>
      <c r="G2371" s="183" t="s">
        <v>12083</v>
      </c>
      <c r="H2371" s="183" t="s">
        <v>12851</v>
      </c>
    </row>
    <row r="2372" spans="1:8">
      <c r="C2372" s="183">
        <v>98564</v>
      </c>
      <c r="E2372" s="699"/>
      <c r="F2372" s="699"/>
      <c r="G2372" s="699"/>
      <c r="H2372" s="206" t="s">
        <v>12779</v>
      </c>
    </row>
    <row r="2373" spans="1:8">
      <c r="E2373" s="206"/>
      <c r="F2373" s="206"/>
      <c r="G2373" s="206"/>
    </row>
    <row r="2374" spans="1:8">
      <c r="A2374" s="183" t="s">
        <v>12852</v>
      </c>
      <c r="E2374" s="206"/>
      <c r="F2374" s="206"/>
      <c r="G2374" s="206"/>
    </row>
    <row r="2375" spans="1:8">
      <c r="C2375" s="183">
        <v>13715</v>
      </c>
      <c r="H2375" s="183" t="s">
        <v>12853</v>
      </c>
    </row>
    <row r="2376" spans="1:8">
      <c r="C2376" s="183">
        <v>25318</v>
      </c>
      <c r="H2376" s="183" t="s">
        <v>12854</v>
      </c>
    </row>
    <row r="2377" spans="1:8">
      <c r="C2377" s="183">
        <v>63185</v>
      </c>
      <c r="H2377" s="183" t="s">
        <v>12855</v>
      </c>
    </row>
    <row r="2378" spans="1:8">
      <c r="C2378" s="183">
        <v>12800</v>
      </c>
      <c r="H2378" s="183" t="s">
        <v>12856</v>
      </c>
    </row>
    <row r="2379" spans="1:8">
      <c r="E2379" s="699"/>
      <c r="F2379" s="699"/>
      <c r="G2379" s="699"/>
      <c r="H2379" s="699"/>
    </row>
    <row r="2380" spans="1:8">
      <c r="A2380" s="183" t="s">
        <v>12857</v>
      </c>
    </row>
    <row r="2381" spans="1:8">
      <c r="C2381" s="183">
        <v>30000</v>
      </c>
      <c r="E2381" s="206"/>
      <c r="F2381" s="206"/>
      <c r="G2381" s="696"/>
      <c r="H2381" s="183" t="s">
        <v>12858</v>
      </c>
    </row>
    <row r="2382" spans="1:8">
      <c r="E2382" s="206">
        <v>15</v>
      </c>
      <c r="F2382" s="206">
        <v>6123</v>
      </c>
      <c r="G2382" s="183" t="s">
        <v>12072</v>
      </c>
      <c r="H2382" s="183" t="s">
        <v>12859</v>
      </c>
    </row>
    <row r="2383" spans="1:8">
      <c r="E2383" s="206">
        <v>32</v>
      </c>
      <c r="F2383" s="206">
        <v>6091</v>
      </c>
      <c r="G2383" s="183" t="s">
        <v>12621</v>
      </c>
      <c r="H2383" s="183" t="s">
        <v>12860</v>
      </c>
    </row>
    <row r="2385" spans="1:8">
      <c r="A2385" s="183" t="s">
        <v>12861</v>
      </c>
      <c r="E2385" s="699"/>
      <c r="F2385" s="699"/>
      <c r="G2385" s="699"/>
    </row>
    <row r="2386" spans="1:8">
      <c r="E2386" s="206">
        <v>225</v>
      </c>
      <c r="F2386" s="206">
        <v>5866</v>
      </c>
      <c r="G2386" s="183" t="s">
        <v>12083</v>
      </c>
      <c r="H2386" s="183" t="s">
        <v>12862</v>
      </c>
    </row>
    <row r="2387" spans="1:8">
      <c r="E2387" s="206">
        <v>105</v>
      </c>
      <c r="F2387" s="206">
        <v>5761</v>
      </c>
      <c r="G2387" s="183" t="s">
        <v>12083</v>
      </c>
      <c r="H2387" s="183" t="s">
        <v>12863</v>
      </c>
    </row>
    <row r="2388" spans="1:8">
      <c r="E2388" s="206">
        <v>25</v>
      </c>
      <c r="F2388" s="206">
        <v>5736</v>
      </c>
      <c r="G2388" s="183" t="s">
        <v>12083</v>
      </c>
      <c r="H2388" s="183" t="s">
        <v>12864</v>
      </c>
    </row>
    <row r="2389" spans="1:8">
      <c r="E2389" s="699"/>
      <c r="F2389" s="699"/>
      <c r="G2389" s="699"/>
      <c r="H2389" s="699"/>
    </row>
    <row r="2390" spans="1:8">
      <c r="A2390" s="183" t="s">
        <v>12865</v>
      </c>
    </row>
    <row r="2391" spans="1:8">
      <c r="E2391" s="183">
        <v>1205</v>
      </c>
      <c r="F2391" s="183">
        <v>4531</v>
      </c>
      <c r="G2391" s="183" t="s">
        <v>12090</v>
      </c>
      <c r="H2391" s="183" t="s">
        <v>12866</v>
      </c>
    </row>
    <row r="2392" spans="1:8">
      <c r="E2392" s="699"/>
      <c r="F2392" s="699"/>
      <c r="G2392" s="699"/>
      <c r="H2392" s="699"/>
    </row>
    <row r="2393" spans="1:8">
      <c r="A2393" s="183" t="s">
        <v>12867</v>
      </c>
    </row>
    <row r="2394" spans="1:8">
      <c r="E2394" s="206">
        <v>90</v>
      </c>
      <c r="F2394" s="206">
        <v>4441</v>
      </c>
      <c r="G2394" s="183" t="s">
        <v>12747</v>
      </c>
      <c r="H2394" s="183" t="s">
        <v>12868</v>
      </c>
    </row>
    <row r="2395" spans="1:8">
      <c r="E2395" s="183">
        <v>52</v>
      </c>
      <c r="F2395" s="183">
        <v>4389</v>
      </c>
      <c r="G2395" s="183" t="s">
        <v>12103</v>
      </c>
      <c r="H2395" s="183" t="s">
        <v>12869</v>
      </c>
    </row>
    <row r="2396" spans="1:8">
      <c r="E2396" s="699"/>
      <c r="F2396" s="699"/>
      <c r="G2396" s="699"/>
      <c r="H2396" s="699"/>
    </row>
    <row r="2397" spans="1:8">
      <c r="A2397" s="183" t="s">
        <v>12870</v>
      </c>
    </row>
    <row r="2398" spans="1:8">
      <c r="E2398" s="183">
        <v>25</v>
      </c>
      <c r="F2398" s="183">
        <v>4364</v>
      </c>
      <c r="G2398" s="183" t="s">
        <v>12103</v>
      </c>
      <c r="H2398" s="183" t="s">
        <v>12871</v>
      </c>
    </row>
    <row r="2399" spans="1:8">
      <c r="E2399" s="183">
        <v>35</v>
      </c>
      <c r="F2399" s="183">
        <v>4329</v>
      </c>
      <c r="G2399" s="183" t="s">
        <v>12103</v>
      </c>
      <c r="H2399" s="183" t="s">
        <v>12872</v>
      </c>
    </row>
    <row r="2400" spans="1:8">
      <c r="E2400" s="206">
        <v>304</v>
      </c>
      <c r="F2400" s="206">
        <v>4025</v>
      </c>
      <c r="G2400" s="206" t="s">
        <v>12096</v>
      </c>
      <c r="H2400" s="183" t="s">
        <v>12873</v>
      </c>
    </row>
    <row r="2401" spans="1:8">
      <c r="C2401" s="183">
        <v>17000</v>
      </c>
      <c r="H2401" s="183" t="s">
        <v>12874</v>
      </c>
    </row>
    <row r="2402" spans="1:8">
      <c r="E2402" s="206"/>
      <c r="F2402" s="206"/>
      <c r="G2402" s="206"/>
    </row>
    <row r="2403" spans="1:8">
      <c r="A2403" s="183" t="s">
        <v>12875</v>
      </c>
      <c r="E2403" s="206"/>
      <c r="F2403" s="206"/>
      <c r="G2403" s="206"/>
    </row>
    <row r="2404" spans="1:8">
      <c r="C2404" s="183">
        <v>18617</v>
      </c>
      <c r="H2404" s="183" t="s">
        <v>12876</v>
      </c>
    </row>
    <row r="2405" spans="1:8">
      <c r="C2405" s="183">
        <v>1808</v>
      </c>
      <c r="H2405" s="183" t="s">
        <v>12877</v>
      </c>
    </row>
    <row r="2406" spans="1:8">
      <c r="E2406" s="206"/>
      <c r="F2406" s="206"/>
      <c r="G2406" s="206"/>
    </row>
    <row r="2407" spans="1:8">
      <c r="A2407" s="183" t="s">
        <v>12878</v>
      </c>
      <c r="E2407" s="206"/>
      <c r="F2407" s="206"/>
      <c r="G2407" s="206"/>
    </row>
    <row r="2408" spans="1:8">
      <c r="C2408" s="183">
        <v>25318</v>
      </c>
      <c r="H2408" s="183" t="s">
        <v>12879</v>
      </c>
    </row>
    <row r="2409" spans="1:8">
      <c r="C2409" s="183">
        <v>63185</v>
      </c>
      <c r="H2409" s="183" t="s">
        <v>12855</v>
      </c>
    </row>
    <row r="2410" spans="1:8">
      <c r="C2410" s="183">
        <v>28000</v>
      </c>
      <c r="H2410" s="183" t="s">
        <v>12856</v>
      </c>
    </row>
    <row r="2411" spans="1:8">
      <c r="E2411" s="206"/>
      <c r="F2411" s="206"/>
      <c r="G2411" s="206"/>
    </row>
    <row r="2412" spans="1:8">
      <c r="A2412" s="183" t="s">
        <v>12880</v>
      </c>
      <c r="E2412" s="206"/>
      <c r="F2412" s="206"/>
      <c r="G2412" s="206"/>
    </row>
    <row r="2413" spans="1:8">
      <c r="E2413" s="183">
        <v>99</v>
      </c>
      <c r="F2413" s="206">
        <v>3926</v>
      </c>
      <c r="G2413" s="183" t="s">
        <v>12072</v>
      </c>
      <c r="H2413" s="183" t="s">
        <v>11263</v>
      </c>
    </row>
    <row r="2414" spans="1:8">
      <c r="E2414" s="206"/>
      <c r="F2414" s="206"/>
      <c r="G2414" s="206"/>
    </row>
    <row r="2415" spans="1:8">
      <c r="A2415" s="183" t="s">
        <v>12881</v>
      </c>
      <c r="E2415" s="206"/>
      <c r="F2415" s="206"/>
      <c r="G2415" s="206"/>
    </row>
    <row r="2416" spans="1:8">
      <c r="E2416" s="183">
        <v>279</v>
      </c>
      <c r="F2416" s="206">
        <v>3647</v>
      </c>
      <c r="G2416" s="183" t="s">
        <v>12133</v>
      </c>
      <c r="H2416" s="183" t="s">
        <v>12882</v>
      </c>
    </row>
    <row r="2417" spans="1:8">
      <c r="E2417" s="699"/>
      <c r="F2417" s="699"/>
      <c r="G2417" s="699"/>
      <c r="H2417" s="699"/>
    </row>
    <row r="2418" spans="1:8">
      <c r="A2418" s="183" t="s">
        <v>12883</v>
      </c>
    </row>
    <row r="2419" spans="1:8">
      <c r="E2419" s="183">
        <v>35</v>
      </c>
      <c r="F2419" s="183">
        <v>3612</v>
      </c>
      <c r="G2419" s="183" t="s">
        <v>12103</v>
      </c>
      <c r="H2419" s="183" t="s">
        <v>12884</v>
      </c>
    </row>
    <row r="2421" spans="1:8">
      <c r="A2421" s="183" t="s">
        <v>12885</v>
      </c>
    </row>
    <row r="2422" spans="1:8">
      <c r="C2422" s="183">
        <v>42000</v>
      </c>
      <c r="H2422" s="183" t="s">
        <v>12886</v>
      </c>
    </row>
    <row r="2423" spans="1:8">
      <c r="E2423" s="699"/>
      <c r="F2423" s="699"/>
      <c r="G2423" s="699"/>
      <c r="H2423" s="699"/>
    </row>
    <row r="2424" spans="1:8">
      <c r="A2424" s="183" t="s">
        <v>12887</v>
      </c>
    </row>
    <row r="2425" spans="1:8">
      <c r="E2425" s="183">
        <v>75</v>
      </c>
      <c r="F2425" s="183">
        <v>3537</v>
      </c>
      <c r="G2425" s="183" t="s">
        <v>12103</v>
      </c>
      <c r="H2425" s="183" t="s">
        <v>12888</v>
      </c>
    </row>
    <row r="2426" spans="1:8">
      <c r="E2426" s="183">
        <v>1205</v>
      </c>
      <c r="F2426" s="183">
        <v>2332</v>
      </c>
      <c r="G2426" s="183" t="s">
        <v>12090</v>
      </c>
      <c r="H2426" s="183" t="s">
        <v>12889</v>
      </c>
    </row>
    <row r="2427" spans="1:8">
      <c r="E2427" s="206">
        <v>48</v>
      </c>
      <c r="F2427" s="206">
        <v>2284</v>
      </c>
      <c r="G2427" s="183" t="s">
        <v>12083</v>
      </c>
      <c r="H2427" s="183" t="s">
        <v>12890</v>
      </c>
    </row>
    <row r="2428" spans="1:8">
      <c r="E2428" s="699"/>
      <c r="F2428" s="699"/>
      <c r="G2428" s="699"/>
      <c r="H2428" s="699"/>
    </row>
    <row r="2429" spans="1:8">
      <c r="A2429" s="183" t="s">
        <v>12891</v>
      </c>
    </row>
    <row r="2430" spans="1:8">
      <c r="E2430" s="206">
        <v>18</v>
      </c>
      <c r="F2430" s="206">
        <v>2266</v>
      </c>
      <c r="G2430" s="183" t="s">
        <v>12072</v>
      </c>
      <c r="H2430" s="183" t="s">
        <v>12892</v>
      </c>
    </row>
    <row r="2431" spans="1:8">
      <c r="C2431" s="183">
        <v>200000</v>
      </c>
      <c r="E2431" s="699"/>
      <c r="F2431" s="699"/>
      <c r="G2431" s="699"/>
      <c r="H2431" s="206" t="s">
        <v>12893</v>
      </c>
    </row>
    <row r="2432" spans="1:8">
      <c r="E2432" s="206">
        <v>840</v>
      </c>
      <c r="F2432" s="206">
        <v>1426</v>
      </c>
      <c r="G2432" s="183" t="s">
        <v>12103</v>
      </c>
      <c r="H2432" s="183" t="s">
        <v>12894</v>
      </c>
    </row>
    <row r="2433" spans="1:8">
      <c r="E2433" s="699"/>
      <c r="F2433" s="699"/>
      <c r="G2433" s="699"/>
      <c r="H2433" s="699"/>
    </row>
    <row r="2434" spans="1:8">
      <c r="A2434" s="183" t="s">
        <v>12895</v>
      </c>
    </row>
    <row r="2435" spans="1:8">
      <c r="C2435" s="183">
        <v>17000</v>
      </c>
      <c r="H2435" s="183" t="s">
        <v>12896</v>
      </c>
    </row>
    <row r="2436" spans="1:8">
      <c r="C2436" s="183">
        <v>5000</v>
      </c>
      <c r="H2436" s="183" t="s">
        <v>11466</v>
      </c>
    </row>
    <row r="2437" spans="1:8">
      <c r="D2437" s="183">
        <v>5000</v>
      </c>
      <c r="F2437" s="183">
        <v>6426</v>
      </c>
      <c r="H2437" s="183" t="s">
        <v>12846</v>
      </c>
    </row>
    <row r="2439" spans="1:8">
      <c r="A2439" s="183" t="s">
        <v>12897</v>
      </c>
      <c r="E2439" s="699"/>
      <c r="F2439" s="699"/>
      <c r="G2439" s="699"/>
    </row>
    <row r="2440" spans="1:8">
      <c r="E2440" s="206">
        <v>370</v>
      </c>
      <c r="F2440" s="206">
        <v>6056</v>
      </c>
      <c r="G2440" s="183" t="s">
        <v>12586</v>
      </c>
      <c r="H2440" s="183" t="s">
        <v>12898</v>
      </c>
    </row>
    <row r="2441" spans="1:8">
      <c r="E2441" s="206">
        <v>365</v>
      </c>
      <c r="F2441" s="206">
        <v>5691</v>
      </c>
      <c r="G2441" s="183" t="s">
        <v>12083</v>
      </c>
      <c r="H2441" s="183" t="s">
        <v>12898</v>
      </c>
    </row>
    <row r="2442" spans="1:8">
      <c r="E2442" s="206"/>
      <c r="F2442" s="206"/>
      <c r="H2442" s="696" t="s">
        <v>12899</v>
      </c>
    </row>
    <row r="2443" spans="1:8">
      <c r="A2443" s="183" t="s">
        <v>12900</v>
      </c>
      <c r="E2443" s="183">
        <v>500</v>
      </c>
      <c r="F2443" s="206">
        <v>5191</v>
      </c>
      <c r="G2443" s="183" t="s">
        <v>12103</v>
      </c>
      <c r="H2443" s="183" t="s">
        <v>12589</v>
      </c>
    </row>
    <row r="2444" spans="1:8">
      <c r="A2444" s="183" t="s">
        <v>12901</v>
      </c>
      <c r="C2444" s="183">
        <v>11568</v>
      </c>
      <c r="H2444" s="183" t="s">
        <v>12902</v>
      </c>
    </row>
    <row r="2445" spans="1:8">
      <c r="A2445" s="183" t="s">
        <v>12903</v>
      </c>
      <c r="E2445" s="183">
        <v>200</v>
      </c>
      <c r="F2445" s="206">
        <v>4991</v>
      </c>
      <c r="G2445" s="183" t="s">
        <v>12083</v>
      </c>
      <c r="H2445" s="183" t="s">
        <v>12669</v>
      </c>
    </row>
    <row r="2446" spans="1:8">
      <c r="A2446" s="183" t="s">
        <v>12904</v>
      </c>
      <c r="E2446" s="183">
        <v>80</v>
      </c>
      <c r="F2446" s="206">
        <v>4911</v>
      </c>
      <c r="G2446" s="183" t="s">
        <v>12133</v>
      </c>
      <c r="H2446" s="183" t="s">
        <v>12905</v>
      </c>
    </row>
    <row r="2447" spans="1:8">
      <c r="A2447" s="183" t="s">
        <v>12904</v>
      </c>
      <c r="E2447" s="183">
        <v>300</v>
      </c>
      <c r="F2447" s="206">
        <v>4611</v>
      </c>
      <c r="G2447" s="183" t="s">
        <v>12547</v>
      </c>
      <c r="H2447" s="183" t="s">
        <v>12906</v>
      </c>
    </row>
    <row r="2448" spans="1:8">
      <c r="A2448" s="183" t="s">
        <v>12907</v>
      </c>
      <c r="C2448" s="183">
        <v>8139</v>
      </c>
      <c r="H2448" s="183" t="s">
        <v>12908</v>
      </c>
    </row>
    <row r="2449" spans="1:8">
      <c r="A2449" s="183" t="s">
        <v>12909</v>
      </c>
      <c r="E2449" s="206">
        <v>150</v>
      </c>
      <c r="F2449" s="206">
        <v>4461</v>
      </c>
      <c r="G2449" s="183" t="s">
        <v>12083</v>
      </c>
      <c r="H2449" s="183" t="s">
        <v>12910</v>
      </c>
    </row>
    <row r="2450" spans="1:8">
      <c r="A2450" s="183" t="s">
        <v>12909</v>
      </c>
      <c r="E2450" s="206">
        <v>160</v>
      </c>
      <c r="F2450" s="206">
        <v>4301</v>
      </c>
      <c r="G2450" s="183" t="s">
        <v>12083</v>
      </c>
      <c r="H2450" s="183" t="s">
        <v>12911</v>
      </c>
    </row>
    <row r="2451" spans="1:8">
      <c r="E2451" s="206"/>
      <c r="F2451" s="206"/>
      <c r="H2451" s="696" t="s">
        <v>12912</v>
      </c>
    </row>
    <row r="2452" spans="1:8">
      <c r="A2452" s="183" t="s">
        <v>12913</v>
      </c>
      <c r="E2452" s="206">
        <v>216</v>
      </c>
      <c r="F2452" s="206">
        <v>4085</v>
      </c>
      <c r="G2452" s="183" t="s">
        <v>11093</v>
      </c>
      <c r="H2452" s="183" t="s">
        <v>12914</v>
      </c>
    </row>
    <row r="2453" spans="1:8">
      <c r="A2453" s="183" t="s">
        <v>12915</v>
      </c>
      <c r="E2453" s="183">
        <v>1205</v>
      </c>
      <c r="F2453" s="183">
        <v>2880</v>
      </c>
      <c r="G2453" s="183" t="s">
        <v>12090</v>
      </c>
      <c r="H2453" s="183" t="s">
        <v>12916</v>
      </c>
    </row>
    <row r="2454" spans="1:8">
      <c r="A2454" s="183" t="s">
        <v>12915</v>
      </c>
      <c r="E2454" s="206">
        <v>251</v>
      </c>
      <c r="F2454" s="206">
        <v>2629</v>
      </c>
      <c r="G2454" s="206" t="s">
        <v>12096</v>
      </c>
      <c r="H2454" s="183" t="s">
        <v>12917</v>
      </c>
    </row>
    <row r="2455" spans="1:8">
      <c r="A2455" s="183" t="s">
        <v>12918</v>
      </c>
      <c r="E2455" s="183">
        <v>65</v>
      </c>
      <c r="F2455" s="206">
        <v>2564</v>
      </c>
      <c r="G2455" s="183" t="s">
        <v>12706</v>
      </c>
      <c r="H2455" s="183" t="s">
        <v>12919</v>
      </c>
    </row>
    <row r="2456" spans="1:8">
      <c r="A2456" s="183" t="s">
        <v>12920</v>
      </c>
      <c r="E2456" s="206">
        <v>120</v>
      </c>
      <c r="F2456" s="206">
        <v>2444</v>
      </c>
      <c r="G2456" s="183" t="s">
        <v>12083</v>
      </c>
      <c r="H2456" s="183" t="s">
        <v>12921</v>
      </c>
    </row>
    <row r="2457" spans="1:8">
      <c r="A2457" s="183" t="s">
        <v>12920</v>
      </c>
      <c r="E2457" s="206">
        <v>130</v>
      </c>
      <c r="F2457" s="206">
        <v>2314</v>
      </c>
      <c r="G2457" s="183" t="s">
        <v>12083</v>
      </c>
      <c r="H2457" s="183" t="s">
        <v>12922</v>
      </c>
    </row>
    <row r="2458" spans="1:8">
      <c r="A2458" s="183" t="s">
        <v>12923</v>
      </c>
      <c r="E2458" s="206">
        <v>275</v>
      </c>
      <c r="F2458" s="206">
        <v>2039</v>
      </c>
      <c r="G2458" s="183" t="s">
        <v>12083</v>
      </c>
      <c r="H2458" s="183" t="s">
        <v>12924</v>
      </c>
    </row>
    <row r="2459" spans="1:8">
      <c r="A2459" s="183" t="s">
        <v>12923</v>
      </c>
      <c r="E2459" s="206">
        <v>280</v>
      </c>
      <c r="F2459" s="206">
        <v>1759</v>
      </c>
      <c r="G2459" s="183" t="s">
        <v>12083</v>
      </c>
      <c r="H2459" s="183" t="s">
        <v>12925</v>
      </c>
    </row>
    <row r="2460" spans="1:8">
      <c r="A2460" s="183" t="s">
        <v>12926</v>
      </c>
      <c r="E2460" s="183">
        <v>16</v>
      </c>
      <c r="F2460" s="206">
        <v>1743</v>
      </c>
      <c r="G2460" s="183" t="s">
        <v>12121</v>
      </c>
      <c r="H2460" s="183" t="s">
        <v>12927</v>
      </c>
    </row>
    <row r="2461" spans="1:8">
      <c r="A2461" s="183" t="s">
        <v>12926</v>
      </c>
      <c r="E2461" s="183">
        <v>60</v>
      </c>
      <c r="F2461" s="206">
        <v>1683</v>
      </c>
      <c r="G2461" s="183" t="s">
        <v>12121</v>
      </c>
      <c r="H2461" s="183" t="s">
        <v>12928</v>
      </c>
    </row>
    <row r="2462" spans="1:8">
      <c r="A2462" s="183" t="s">
        <v>12929</v>
      </c>
      <c r="E2462" s="206">
        <v>210</v>
      </c>
      <c r="F2462" s="206">
        <v>1473</v>
      </c>
      <c r="G2462" s="183" t="s">
        <v>12083</v>
      </c>
      <c r="H2462" s="183" t="s">
        <v>12930</v>
      </c>
    </row>
    <row r="2463" spans="1:8">
      <c r="A2463" s="183" t="s">
        <v>12929</v>
      </c>
      <c r="E2463" s="206">
        <v>200</v>
      </c>
      <c r="F2463" s="206">
        <v>1273</v>
      </c>
      <c r="G2463" s="183" t="s">
        <v>12083</v>
      </c>
      <c r="H2463" s="183" t="s">
        <v>12930</v>
      </c>
    </row>
    <row r="2464" spans="1:8">
      <c r="A2464" s="183" t="s">
        <v>12931</v>
      </c>
      <c r="C2464" s="183">
        <v>17000</v>
      </c>
      <c r="H2464" s="183" t="s">
        <v>12932</v>
      </c>
    </row>
    <row r="2465" spans="1:8">
      <c r="A2465" s="183" t="s">
        <v>12931</v>
      </c>
      <c r="E2465" s="183">
        <v>32</v>
      </c>
      <c r="F2465" s="206">
        <v>1241</v>
      </c>
      <c r="G2465" s="183" t="s">
        <v>12121</v>
      </c>
      <c r="H2465" s="183" t="s">
        <v>12927</v>
      </c>
    </row>
    <row r="2466" spans="1:8">
      <c r="A2466" s="183" t="s">
        <v>12933</v>
      </c>
      <c r="E2466" s="206">
        <v>120</v>
      </c>
      <c r="F2466" s="206">
        <v>1121</v>
      </c>
      <c r="G2466" s="183" t="s">
        <v>12103</v>
      </c>
      <c r="H2466" s="183" t="s">
        <v>12934</v>
      </c>
    </row>
    <row r="2467" spans="1:8">
      <c r="A2467" s="183" t="s">
        <v>12935</v>
      </c>
      <c r="C2467" s="183">
        <v>85053</v>
      </c>
      <c r="H2467" s="183" t="s">
        <v>12936</v>
      </c>
    </row>
    <row r="2468" spans="1:8">
      <c r="A2468" s="183" t="s">
        <v>12935</v>
      </c>
      <c r="C2468" s="183">
        <v>25318</v>
      </c>
      <c r="H2468" s="183" t="s">
        <v>12937</v>
      </c>
    </row>
    <row r="2469" spans="1:8">
      <c r="A2469" s="183" t="s">
        <v>12938</v>
      </c>
      <c r="C2469" s="183">
        <v>62750</v>
      </c>
      <c r="H2469" s="183" t="s">
        <v>12855</v>
      </c>
    </row>
    <row r="2470" spans="1:8">
      <c r="A2470" s="183" t="s">
        <v>12935</v>
      </c>
      <c r="C2470" s="183">
        <v>18500</v>
      </c>
      <c r="H2470" s="183" t="s">
        <v>12856</v>
      </c>
    </row>
    <row r="2471" spans="1:8">
      <c r="A2471" s="183" t="s">
        <v>12939</v>
      </c>
      <c r="C2471" s="183">
        <v>3000</v>
      </c>
      <c r="H2471" s="183" t="s">
        <v>12940</v>
      </c>
    </row>
    <row r="2472" spans="1:8">
      <c r="A2472" s="183" t="s">
        <v>12941</v>
      </c>
      <c r="E2472" s="183">
        <v>35</v>
      </c>
      <c r="F2472" s="183">
        <v>1086</v>
      </c>
      <c r="G2472" s="183" t="s">
        <v>11093</v>
      </c>
      <c r="H2472" s="183" t="s">
        <v>12942</v>
      </c>
    </row>
    <row r="2473" spans="1:8">
      <c r="A2473" s="183" t="s">
        <v>12943</v>
      </c>
      <c r="C2473" s="183">
        <v>16500</v>
      </c>
      <c r="H2473" s="183" t="s">
        <v>12944</v>
      </c>
    </row>
    <row r="2474" spans="1:8">
      <c r="A2474" s="183" t="s">
        <v>12945</v>
      </c>
      <c r="C2474" s="183">
        <v>825</v>
      </c>
      <c r="H2474" s="183" t="s">
        <v>12946</v>
      </c>
    </row>
    <row r="2475" spans="1:8">
      <c r="A2475" s="183" t="s">
        <v>12947</v>
      </c>
      <c r="C2475" s="183">
        <v>5000</v>
      </c>
      <c r="H2475" s="183" t="s">
        <v>12846</v>
      </c>
    </row>
    <row r="2476" spans="1:8">
      <c r="A2476" s="183" t="s">
        <v>12947</v>
      </c>
      <c r="D2476" s="183">
        <v>5000</v>
      </c>
      <c r="F2476" s="183">
        <v>6086</v>
      </c>
      <c r="H2476" s="183" t="s">
        <v>12846</v>
      </c>
    </row>
    <row r="2477" spans="1:8">
      <c r="A2477" s="183" t="s">
        <v>12948</v>
      </c>
      <c r="E2477" s="183">
        <v>1205</v>
      </c>
      <c r="F2477" s="183">
        <v>4881</v>
      </c>
      <c r="G2477" s="183" t="s">
        <v>12090</v>
      </c>
      <c r="H2477" s="183" t="s">
        <v>12949</v>
      </c>
    </row>
    <row r="2478" spans="1:8">
      <c r="A2478" s="183" t="s">
        <v>12950</v>
      </c>
      <c r="E2478" s="206">
        <v>18</v>
      </c>
      <c r="F2478" s="206">
        <v>4863</v>
      </c>
      <c r="G2478" s="183" t="s">
        <v>12072</v>
      </c>
      <c r="H2478" s="183" t="s">
        <v>12951</v>
      </c>
    </row>
    <row r="2479" spans="1:8" ht="66">
      <c r="A2479" s="183" t="s">
        <v>12952</v>
      </c>
      <c r="C2479" s="183">
        <v>25000</v>
      </c>
      <c r="E2479" s="206"/>
      <c r="F2479" s="206"/>
      <c r="H2479" s="694" t="s">
        <v>12953</v>
      </c>
    </row>
    <row r="2480" spans="1:8">
      <c r="A2480" s="183" t="s">
        <v>12954</v>
      </c>
      <c r="C2480" s="183">
        <v>17000</v>
      </c>
      <c r="H2480" s="183" t="s">
        <v>12955</v>
      </c>
    </row>
    <row r="2481" spans="1:8">
      <c r="A2481" s="183" t="s">
        <v>12956</v>
      </c>
      <c r="C2481" s="183">
        <v>14193</v>
      </c>
      <c r="H2481" s="183" t="s">
        <v>12957</v>
      </c>
    </row>
    <row r="2482" spans="1:8">
      <c r="A2482" s="183" t="s">
        <v>12956</v>
      </c>
      <c r="E2482" s="206">
        <v>435</v>
      </c>
      <c r="F2482" s="206">
        <v>4428</v>
      </c>
      <c r="G2482" s="183" t="s">
        <v>12083</v>
      </c>
      <c r="H2482" s="183" t="s">
        <v>12958</v>
      </c>
    </row>
    <row r="2483" spans="1:8">
      <c r="A2483" s="183" t="s">
        <v>12959</v>
      </c>
      <c r="E2483" s="206">
        <v>500</v>
      </c>
      <c r="F2483" s="206">
        <v>3928</v>
      </c>
      <c r="G2483" s="183" t="s">
        <v>12083</v>
      </c>
      <c r="H2483" s="183" t="s">
        <v>12960</v>
      </c>
    </row>
    <row r="2484" spans="1:8">
      <c r="A2484" s="183" t="s">
        <v>12961</v>
      </c>
      <c r="C2484" s="183">
        <v>25318</v>
      </c>
      <c r="H2484" s="183" t="s">
        <v>12962</v>
      </c>
    </row>
    <row r="2485" spans="1:8">
      <c r="A2485" s="183" t="s">
        <v>12961</v>
      </c>
      <c r="C2485" s="183">
        <v>62750</v>
      </c>
      <c r="H2485" s="183" t="s">
        <v>12963</v>
      </c>
    </row>
    <row r="2486" spans="1:8">
      <c r="A2486" s="183" t="s">
        <v>12961</v>
      </c>
      <c r="C2486" s="183">
        <v>89500</v>
      </c>
      <c r="H2486" s="183" t="s">
        <v>12964</v>
      </c>
    </row>
    <row r="2487" spans="1:8">
      <c r="A2487" s="183" t="s">
        <v>12965</v>
      </c>
      <c r="C2487" s="183">
        <v>39562</v>
      </c>
      <c r="H2487" s="183" t="s">
        <v>12966</v>
      </c>
    </row>
    <row r="2488" spans="1:8">
      <c r="A2488" s="183" t="s">
        <v>12967</v>
      </c>
      <c r="E2488" s="206">
        <v>209</v>
      </c>
      <c r="F2488" s="206">
        <v>3719</v>
      </c>
      <c r="G2488" s="206" t="s">
        <v>12096</v>
      </c>
      <c r="H2488" s="183" t="s">
        <v>12968</v>
      </c>
    </row>
    <row r="2489" spans="1:8">
      <c r="A2489" s="183" t="s">
        <v>12967</v>
      </c>
      <c r="E2489" s="183">
        <v>1205</v>
      </c>
      <c r="F2489" s="183">
        <v>2514</v>
      </c>
      <c r="G2489" s="183" t="s">
        <v>12550</v>
      </c>
      <c r="H2489" s="183" t="s">
        <v>12969</v>
      </c>
    </row>
    <row r="2490" spans="1:8">
      <c r="A2490" s="183" t="s">
        <v>12970</v>
      </c>
      <c r="C2490" s="183">
        <v>17000</v>
      </c>
      <c r="H2490" s="183" t="s">
        <v>12971</v>
      </c>
    </row>
    <row r="2491" spans="1:8">
      <c r="A2491" s="183" t="s">
        <v>12972</v>
      </c>
      <c r="C2491" s="183">
        <v>5077</v>
      </c>
      <c r="H2491" s="183" t="s">
        <v>12973</v>
      </c>
    </row>
    <row r="2492" spans="1:8">
      <c r="A2492" s="183" t="s">
        <v>12974</v>
      </c>
      <c r="E2492" s="183">
        <v>200</v>
      </c>
      <c r="F2492" s="206">
        <v>2314</v>
      </c>
      <c r="G2492" s="183" t="s">
        <v>12121</v>
      </c>
      <c r="H2492" s="183" t="s">
        <v>11314</v>
      </c>
    </row>
    <row r="2493" spans="1:8">
      <c r="A2493" s="183" t="s">
        <v>12975</v>
      </c>
      <c r="C2493" s="183">
        <v>25318</v>
      </c>
      <c r="H2493" s="183" t="s">
        <v>12976</v>
      </c>
    </row>
    <row r="2494" spans="1:8">
      <c r="A2494" s="183" t="s">
        <v>12975</v>
      </c>
      <c r="C2494" s="183">
        <v>62750</v>
      </c>
      <c r="H2494" s="183" t="s">
        <v>12977</v>
      </c>
    </row>
    <row r="2495" spans="1:8">
      <c r="A2495" s="183" t="s">
        <v>12975</v>
      </c>
      <c r="C2495" s="183">
        <v>18000</v>
      </c>
      <c r="H2495" s="183" t="s">
        <v>12978</v>
      </c>
    </row>
    <row r="2496" spans="1:8">
      <c r="A2496" s="183" t="s">
        <v>12979</v>
      </c>
      <c r="E2496" s="183">
        <v>200</v>
      </c>
      <c r="F2496" s="183">
        <v>2114</v>
      </c>
      <c r="G2496" s="183" t="s">
        <v>12103</v>
      </c>
      <c r="H2496" s="183" t="s">
        <v>12980</v>
      </c>
    </row>
    <row r="2497" spans="1:8">
      <c r="A2497" s="183" t="s">
        <v>12981</v>
      </c>
      <c r="E2497" s="183">
        <v>35</v>
      </c>
      <c r="F2497" s="183">
        <v>2079</v>
      </c>
      <c r="G2497" s="183" t="s">
        <v>12103</v>
      </c>
      <c r="H2497" s="183" t="s">
        <v>12982</v>
      </c>
    </row>
    <row r="2498" spans="1:8">
      <c r="A2498" s="183" t="s">
        <v>12981</v>
      </c>
      <c r="E2498" s="206">
        <v>20</v>
      </c>
      <c r="F2498" s="206">
        <v>2059</v>
      </c>
      <c r="G2498" s="183" t="s">
        <v>12133</v>
      </c>
      <c r="H2498" s="183" t="s">
        <v>12543</v>
      </c>
    </row>
    <row r="2499" spans="1:8">
      <c r="A2499" s="183" t="s">
        <v>12981</v>
      </c>
      <c r="E2499" s="183">
        <v>39</v>
      </c>
      <c r="F2499" s="206">
        <v>2020</v>
      </c>
      <c r="G2499" s="183" t="s">
        <v>12133</v>
      </c>
      <c r="H2499" s="183" t="s">
        <v>12983</v>
      </c>
    </row>
    <row r="2500" spans="1:8">
      <c r="A2500" s="183" t="s">
        <v>12984</v>
      </c>
      <c r="E2500" s="183">
        <v>1205</v>
      </c>
      <c r="F2500" s="183">
        <v>815</v>
      </c>
      <c r="G2500" s="183" t="s">
        <v>12090</v>
      </c>
      <c r="H2500" s="183" t="s">
        <v>12985</v>
      </c>
    </row>
    <row r="2501" spans="1:8">
      <c r="A2501" s="183" t="s">
        <v>12986</v>
      </c>
      <c r="C2501" s="183">
        <v>5000</v>
      </c>
      <c r="H2501" s="183" t="s">
        <v>12846</v>
      </c>
    </row>
    <row r="2502" spans="1:8">
      <c r="A2502" s="183" t="s">
        <v>12986</v>
      </c>
      <c r="D2502" s="183">
        <v>5000</v>
      </c>
      <c r="F2502" s="183">
        <v>5815</v>
      </c>
      <c r="H2502" s="183" t="s">
        <v>11466</v>
      </c>
    </row>
    <row r="2503" spans="1:8">
      <c r="A2503" s="183" t="s">
        <v>12986</v>
      </c>
      <c r="E2503" s="206">
        <v>18</v>
      </c>
      <c r="F2503" s="206">
        <v>5797</v>
      </c>
      <c r="G2503" s="183" t="s">
        <v>12621</v>
      </c>
      <c r="H2503" s="183" t="s">
        <v>12987</v>
      </c>
    </row>
    <row r="2504" spans="1:8">
      <c r="A2504" s="183" t="s">
        <v>12988</v>
      </c>
      <c r="C2504" s="183">
        <v>17000</v>
      </c>
      <c r="H2504" s="183" t="s">
        <v>12989</v>
      </c>
    </row>
    <row r="2505" spans="1:8">
      <c r="A2505" s="183" t="s">
        <v>12990</v>
      </c>
      <c r="C2505" s="183">
        <v>8998</v>
      </c>
      <c r="H2505" s="183" t="s">
        <v>12991</v>
      </c>
    </row>
    <row r="2506" spans="1:8">
      <c r="A2506" s="183" t="s">
        <v>12992</v>
      </c>
      <c r="E2506" s="183">
        <v>39</v>
      </c>
      <c r="F2506" s="206">
        <v>5758</v>
      </c>
      <c r="G2506" s="183" t="s">
        <v>12121</v>
      </c>
      <c r="H2506" s="183" t="s">
        <v>12993</v>
      </c>
    </row>
    <row r="2507" spans="1:8">
      <c r="A2507" s="183" t="s">
        <v>12994</v>
      </c>
      <c r="E2507" s="206">
        <v>32</v>
      </c>
      <c r="F2507" s="206">
        <v>5726</v>
      </c>
      <c r="G2507" s="183" t="s">
        <v>12083</v>
      </c>
      <c r="H2507" s="183" t="s">
        <v>12995</v>
      </c>
    </row>
    <row r="2508" spans="1:8">
      <c r="A2508" s="183" t="s">
        <v>12996</v>
      </c>
      <c r="E2508" s="206">
        <v>199</v>
      </c>
      <c r="F2508" s="206">
        <v>5527</v>
      </c>
      <c r="G2508" s="206" t="s">
        <v>12096</v>
      </c>
      <c r="H2508" s="183" t="s">
        <v>12997</v>
      </c>
    </row>
    <row r="2509" spans="1:8">
      <c r="A2509" s="183" t="s">
        <v>12996</v>
      </c>
      <c r="E2509" s="183">
        <v>1205</v>
      </c>
      <c r="F2509" s="183">
        <v>4322</v>
      </c>
      <c r="G2509" s="183" t="s">
        <v>12090</v>
      </c>
      <c r="H2509" s="183" t="s">
        <v>12998</v>
      </c>
    </row>
    <row r="2510" spans="1:8">
      <c r="A2510" s="183" t="s">
        <v>12999</v>
      </c>
      <c r="E2510" s="206">
        <v>80</v>
      </c>
      <c r="F2510" s="206">
        <v>4242</v>
      </c>
      <c r="G2510" s="183" t="s">
        <v>12586</v>
      </c>
      <c r="H2510" s="183" t="s">
        <v>13000</v>
      </c>
    </row>
    <row r="2511" spans="1:8">
      <c r="A2511" s="183" t="s">
        <v>13001</v>
      </c>
      <c r="E2511" s="206">
        <v>80</v>
      </c>
      <c r="F2511" s="206">
        <v>4162</v>
      </c>
      <c r="G2511" s="183" t="s">
        <v>12083</v>
      </c>
      <c r="H2511" s="183" t="s">
        <v>13000</v>
      </c>
    </row>
    <row r="2512" spans="1:8">
      <c r="A2512" s="183" t="s">
        <v>13002</v>
      </c>
      <c r="E2512" s="206">
        <v>70</v>
      </c>
      <c r="F2512" s="206">
        <v>4092</v>
      </c>
      <c r="G2512" s="183" t="s">
        <v>12083</v>
      </c>
      <c r="H2512" s="183" t="s">
        <v>13003</v>
      </c>
    </row>
    <row r="2513" spans="1:8">
      <c r="A2513" s="183" t="s">
        <v>13004</v>
      </c>
      <c r="E2513" s="206">
        <v>75</v>
      </c>
      <c r="F2513" s="206">
        <v>4017</v>
      </c>
      <c r="G2513" s="183" t="s">
        <v>12083</v>
      </c>
      <c r="H2513" s="183" t="s">
        <v>13003</v>
      </c>
    </row>
    <row r="2514" spans="1:8">
      <c r="A2514" s="183" t="s">
        <v>13002</v>
      </c>
      <c r="E2514" s="206">
        <v>100</v>
      </c>
      <c r="F2514" s="206">
        <v>3917</v>
      </c>
      <c r="G2514" s="183" t="s">
        <v>12586</v>
      </c>
      <c r="H2514" s="183" t="s">
        <v>13005</v>
      </c>
    </row>
    <row r="2515" spans="1:8">
      <c r="A2515" s="183" t="s">
        <v>13006</v>
      </c>
      <c r="C2515" s="183">
        <v>17000</v>
      </c>
      <c r="H2515" s="183" t="s">
        <v>13007</v>
      </c>
    </row>
    <row r="2516" spans="1:8">
      <c r="A2516" s="183" t="s">
        <v>13008</v>
      </c>
      <c r="C2516" s="183">
        <v>1354</v>
      </c>
      <c r="H2516" s="183" t="s">
        <v>13009</v>
      </c>
    </row>
    <row r="2517" spans="1:8">
      <c r="A2517" s="183" t="s">
        <v>13010</v>
      </c>
      <c r="E2517" s="183">
        <v>30</v>
      </c>
      <c r="F2517" s="206">
        <v>3887</v>
      </c>
      <c r="G2517" s="183" t="s">
        <v>12706</v>
      </c>
      <c r="H2517" s="183" t="s">
        <v>13011</v>
      </c>
    </row>
    <row r="2518" spans="1:8">
      <c r="A2518" s="183" t="s">
        <v>13012</v>
      </c>
      <c r="E2518" s="183">
        <v>35</v>
      </c>
      <c r="F2518" s="183">
        <v>3852</v>
      </c>
      <c r="G2518" s="183" t="s">
        <v>12103</v>
      </c>
      <c r="H2518" s="183" t="s">
        <v>13013</v>
      </c>
    </row>
    <row r="2519" spans="1:8">
      <c r="A2519" s="183" t="s">
        <v>13014</v>
      </c>
      <c r="E2519" s="183">
        <v>1205</v>
      </c>
      <c r="F2519" s="183">
        <v>2647</v>
      </c>
      <c r="G2519" s="183" t="s">
        <v>12550</v>
      </c>
      <c r="H2519" s="183" t="s">
        <v>13015</v>
      </c>
    </row>
    <row r="2520" spans="1:8">
      <c r="A2520" s="183" t="s">
        <v>13016</v>
      </c>
      <c r="E2520" s="206">
        <v>86</v>
      </c>
      <c r="F2520" s="206">
        <v>2561</v>
      </c>
      <c r="G2520" s="183" t="s">
        <v>12121</v>
      </c>
      <c r="H2520" s="206" t="s">
        <v>13017</v>
      </c>
    </row>
    <row r="2521" spans="1:8">
      <c r="A2521" s="183" t="s">
        <v>13016</v>
      </c>
      <c r="E2521" s="206">
        <v>169</v>
      </c>
      <c r="F2521" s="206">
        <v>2392</v>
      </c>
      <c r="G2521" s="183" t="s">
        <v>12121</v>
      </c>
      <c r="H2521" s="206" t="s">
        <v>13018</v>
      </c>
    </row>
    <row r="2522" spans="1:8">
      <c r="A2522" s="183" t="s">
        <v>13016</v>
      </c>
      <c r="E2522" s="206">
        <v>18</v>
      </c>
      <c r="F2522" s="206">
        <v>2374</v>
      </c>
      <c r="G2522" s="183" t="s">
        <v>12072</v>
      </c>
      <c r="H2522" s="183" t="s">
        <v>13019</v>
      </c>
    </row>
    <row r="2523" spans="1:8">
      <c r="A2523" s="183" t="s">
        <v>13020</v>
      </c>
      <c r="E2523" s="206">
        <v>140</v>
      </c>
      <c r="F2523" s="206">
        <v>2234</v>
      </c>
      <c r="G2523" s="183" t="s">
        <v>12083</v>
      </c>
      <c r="H2523" s="183" t="s">
        <v>13021</v>
      </c>
    </row>
    <row r="2524" spans="1:8">
      <c r="A2524" s="183" t="s">
        <v>13020</v>
      </c>
      <c r="E2524" s="206">
        <v>145</v>
      </c>
      <c r="F2524" s="206">
        <v>2089</v>
      </c>
      <c r="G2524" s="183" t="s">
        <v>12083</v>
      </c>
      <c r="H2524" s="183" t="s">
        <v>13021</v>
      </c>
    </row>
    <row r="2525" spans="1:8">
      <c r="A2525" s="183" t="s">
        <v>13020</v>
      </c>
      <c r="E2525" s="206">
        <v>155</v>
      </c>
      <c r="F2525" s="206">
        <v>1934</v>
      </c>
      <c r="G2525" s="183" t="s">
        <v>12083</v>
      </c>
      <c r="H2525" s="183" t="s">
        <v>13022</v>
      </c>
    </row>
    <row r="2526" spans="1:8">
      <c r="A2526" s="183" t="s">
        <v>13020</v>
      </c>
      <c r="E2526" s="206">
        <v>145</v>
      </c>
      <c r="F2526" s="206">
        <v>1789</v>
      </c>
      <c r="G2526" s="183" t="s">
        <v>12083</v>
      </c>
      <c r="H2526" s="183" t="s">
        <v>13023</v>
      </c>
    </row>
    <row r="2527" spans="1:8">
      <c r="A2527" s="183" t="s">
        <v>13024</v>
      </c>
      <c r="E2527" s="183">
        <v>145</v>
      </c>
      <c r="F2527" s="206">
        <v>1644</v>
      </c>
      <c r="G2527" s="183" t="s">
        <v>12072</v>
      </c>
      <c r="H2527" s="183" t="s">
        <v>11263</v>
      </c>
    </row>
    <row r="2528" spans="1:8">
      <c r="A2528" s="183" t="s">
        <v>13025</v>
      </c>
      <c r="C2528" s="183">
        <v>17000</v>
      </c>
      <c r="H2528" s="183" t="s">
        <v>13026</v>
      </c>
    </row>
    <row r="2529" spans="1:8">
      <c r="A2529" s="183" t="s">
        <v>13025</v>
      </c>
      <c r="C2529" s="183">
        <v>5000</v>
      </c>
      <c r="H2529" s="183" t="s">
        <v>11466</v>
      </c>
    </row>
    <row r="2530" spans="1:8">
      <c r="A2530" s="183" t="s">
        <v>13025</v>
      </c>
      <c r="C2530" s="183">
        <v>28652</v>
      </c>
      <c r="H2530" s="183" t="s">
        <v>13027</v>
      </c>
    </row>
    <row r="2531" spans="1:8">
      <c r="A2531" s="183" t="s">
        <v>13025</v>
      </c>
      <c r="E2531" s="183">
        <v>30</v>
      </c>
      <c r="F2531" s="183">
        <v>1614</v>
      </c>
      <c r="G2531" s="183" t="s">
        <v>12103</v>
      </c>
      <c r="H2531" s="183" t="s">
        <v>13028</v>
      </c>
    </row>
    <row r="2532" spans="1:8">
      <c r="A2532" s="183" t="s">
        <v>13029</v>
      </c>
      <c r="D2532" s="183">
        <v>5000</v>
      </c>
      <c r="F2532" s="183">
        <v>6614</v>
      </c>
      <c r="H2532" s="183" t="s">
        <v>11466</v>
      </c>
    </row>
    <row r="2533" spans="1:8">
      <c r="A2533" s="183" t="s">
        <v>13030</v>
      </c>
      <c r="E2533" s="183">
        <v>695</v>
      </c>
      <c r="F2533" s="183">
        <v>5919</v>
      </c>
      <c r="G2533" s="183" t="s">
        <v>12103</v>
      </c>
      <c r="H2533" s="183" t="s">
        <v>13031</v>
      </c>
    </row>
    <row r="2534" spans="1:8">
      <c r="A2534" s="183" t="s">
        <v>13032</v>
      </c>
      <c r="E2534" s="183">
        <v>284</v>
      </c>
      <c r="F2534" s="206">
        <v>5635</v>
      </c>
      <c r="G2534" s="183" t="s">
        <v>12747</v>
      </c>
      <c r="H2534" s="183" t="s">
        <v>13033</v>
      </c>
    </row>
    <row r="2535" spans="1:8">
      <c r="A2535" s="183" t="s">
        <v>13034</v>
      </c>
      <c r="C2535" s="183">
        <v>25318</v>
      </c>
      <c r="H2535" s="183" t="s">
        <v>13035</v>
      </c>
    </row>
    <row r="2536" spans="1:8">
      <c r="A2536" s="183" t="s">
        <v>13034</v>
      </c>
      <c r="C2536" s="183">
        <v>62750</v>
      </c>
      <c r="H2536" s="183" t="s">
        <v>13036</v>
      </c>
    </row>
    <row r="2537" spans="1:8">
      <c r="A2537" s="183" t="s">
        <v>13034</v>
      </c>
      <c r="C2537" s="183">
        <v>12000</v>
      </c>
      <c r="H2537" s="183" t="s">
        <v>13037</v>
      </c>
    </row>
    <row r="2538" spans="1:8">
      <c r="A2538" s="183" t="s">
        <v>13034</v>
      </c>
      <c r="E2538" s="183">
        <v>60</v>
      </c>
      <c r="F2538" s="183">
        <v>5575</v>
      </c>
      <c r="G2538" s="183" t="s">
        <v>12103</v>
      </c>
      <c r="H2538" s="183" t="s">
        <v>13038</v>
      </c>
    </row>
    <row r="2539" spans="1:8">
      <c r="A2539" s="183" t="s">
        <v>13034</v>
      </c>
      <c r="E2539" s="206">
        <v>32</v>
      </c>
      <c r="F2539" s="206">
        <v>5543</v>
      </c>
      <c r="G2539" s="183" t="s">
        <v>12083</v>
      </c>
      <c r="H2539" s="183" t="s">
        <v>13039</v>
      </c>
    </row>
    <row r="2540" spans="1:8">
      <c r="A2540" s="183" t="s">
        <v>13034</v>
      </c>
      <c r="E2540" s="206">
        <v>10</v>
      </c>
      <c r="F2540" s="206">
        <v>5533</v>
      </c>
      <c r="G2540" s="183" t="s">
        <v>12747</v>
      </c>
      <c r="H2540" s="183" t="s">
        <v>13040</v>
      </c>
    </row>
    <row r="2541" spans="1:8">
      <c r="A2541" s="183" t="s">
        <v>13041</v>
      </c>
      <c r="C2541" s="183">
        <v>10725</v>
      </c>
      <c r="H2541" s="183" t="s">
        <v>13042</v>
      </c>
    </row>
    <row r="2542" spans="1:8">
      <c r="A2542" s="183" t="s">
        <v>13041</v>
      </c>
      <c r="E2542" s="206">
        <v>130</v>
      </c>
      <c r="F2542" s="206">
        <v>5403</v>
      </c>
      <c r="G2542" s="183" t="s">
        <v>12083</v>
      </c>
      <c r="H2542" s="183" t="s">
        <v>13043</v>
      </c>
    </row>
    <row r="2543" spans="1:8">
      <c r="A2543" s="183" t="s">
        <v>13041</v>
      </c>
      <c r="E2543" s="206">
        <v>130</v>
      </c>
      <c r="F2543" s="206">
        <v>5273</v>
      </c>
      <c r="G2543" s="183" t="s">
        <v>12083</v>
      </c>
      <c r="H2543" s="183" t="s">
        <v>13043</v>
      </c>
    </row>
    <row r="2544" spans="1:8">
      <c r="A2544" s="183" t="s">
        <v>13044</v>
      </c>
      <c r="E2544" s="183">
        <v>30</v>
      </c>
      <c r="F2544" s="183">
        <v>5243</v>
      </c>
      <c r="G2544" s="183" t="s">
        <v>12103</v>
      </c>
      <c r="H2544" s="183" t="s">
        <v>13045</v>
      </c>
    </row>
    <row r="2545" spans="1:8">
      <c r="A2545" s="183" t="s">
        <v>13044</v>
      </c>
      <c r="E2545" s="206">
        <v>220</v>
      </c>
      <c r="F2545" s="206">
        <v>5023</v>
      </c>
      <c r="G2545" s="183" t="s">
        <v>12083</v>
      </c>
      <c r="H2545" s="183" t="s">
        <v>13046</v>
      </c>
    </row>
    <row r="2546" spans="1:8">
      <c r="A2546" s="183" t="s">
        <v>13044</v>
      </c>
      <c r="E2546" s="206">
        <v>215</v>
      </c>
      <c r="F2546" s="206">
        <v>4808</v>
      </c>
      <c r="G2546" s="183" t="s">
        <v>12083</v>
      </c>
      <c r="H2546" s="183" t="s">
        <v>13047</v>
      </c>
    </row>
    <row r="2547" spans="1:8">
      <c r="A2547" s="183" t="s">
        <v>13048</v>
      </c>
      <c r="E2547" s="183">
        <v>1205</v>
      </c>
      <c r="F2547" s="183">
        <v>3603</v>
      </c>
      <c r="G2547" s="183" t="s">
        <v>12550</v>
      </c>
      <c r="H2547" s="183" t="s">
        <v>13049</v>
      </c>
    </row>
    <row r="2548" spans="1:8">
      <c r="A2548" s="183" t="s">
        <v>13050</v>
      </c>
      <c r="E2548" s="183">
        <v>35</v>
      </c>
      <c r="F2548" s="183">
        <v>3568</v>
      </c>
      <c r="G2548" s="183" t="s">
        <v>12103</v>
      </c>
      <c r="H2548" s="183" t="s">
        <v>13051</v>
      </c>
    </row>
    <row r="2549" spans="1:8">
      <c r="A2549" s="183" t="s">
        <v>13050</v>
      </c>
      <c r="E2549" s="183">
        <v>700</v>
      </c>
      <c r="F2549" s="183">
        <v>2868</v>
      </c>
      <c r="G2549" s="183" t="s">
        <v>12103</v>
      </c>
      <c r="H2549" s="183" t="s">
        <v>13052</v>
      </c>
    </row>
    <row r="2550" spans="1:8">
      <c r="A2550" s="183" t="s">
        <v>13050</v>
      </c>
      <c r="E2550" s="206">
        <v>199</v>
      </c>
      <c r="F2550" s="206">
        <v>2669</v>
      </c>
      <c r="G2550" s="206" t="s">
        <v>13053</v>
      </c>
      <c r="H2550" s="183" t="s">
        <v>13054</v>
      </c>
    </row>
    <row r="2551" spans="1:8">
      <c r="A2551" s="183" t="s">
        <v>13055</v>
      </c>
      <c r="E2551" s="183">
        <v>35</v>
      </c>
      <c r="F2551" s="183">
        <v>2634</v>
      </c>
      <c r="G2551" s="183" t="s">
        <v>12103</v>
      </c>
      <c r="H2551" s="183" t="s">
        <v>13056</v>
      </c>
    </row>
    <row r="2552" spans="1:8">
      <c r="A2552" s="183" t="s">
        <v>13057</v>
      </c>
      <c r="C2552" s="183">
        <v>840</v>
      </c>
      <c r="H2552" s="183" t="s">
        <v>13058</v>
      </c>
    </row>
    <row r="2553" spans="1:8">
      <c r="A2553" s="183" t="s">
        <v>13059</v>
      </c>
      <c r="C2553" s="183">
        <v>17000</v>
      </c>
      <c r="H2553" s="183" t="s">
        <v>13060</v>
      </c>
    </row>
    <row r="2554" spans="1:8">
      <c r="A2554" s="183" t="s">
        <v>13061</v>
      </c>
      <c r="E2554" s="183">
        <v>45</v>
      </c>
      <c r="F2554" s="183">
        <v>2589</v>
      </c>
      <c r="G2554" s="183" t="s">
        <v>12103</v>
      </c>
      <c r="H2554" s="183" t="s">
        <v>13062</v>
      </c>
    </row>
    <row r="2555" spans="1:8">
      <c r="A2555" s="183" t="s">
        <v>13063</v>
      </c>
      <c r="E2555" s="183">
        <v>35</v>
      </c>
      <c r="F2555" s="183">
        <v>2554</v>
      </c>
      <c r="G2555" s="183" t="s">
        <v>12103</v>
      </c>
      <c r="H2555" s="183" t="s">
        <v>13064</v>
      </c>
    </row>
    <row r="2556" spans="1:8">
      <c r="A2556" s="183" t="s">
        <v>13065</v>
      </c>
      <c r="E2556" s="206">
        <v>94</v>
      </c>
      <c r="F2556" s="206">
        <v>2460</v>
      </c>
      <c r="G2556" s="183" t="s">
        <v>12083</v>
      </c>
      <c r="H2556" s="183" t="s">
        <v>13005</v>
      </c>
    </row>
    <row r="2557" spans="1:8">
      <c r="A2557" s="183" t="s">
        <v>13066</v>
      </c>
      <c r="E2557" s="183">
        <v>65</v>
      </c>
      <c r="F2557" s="183">
        <v>2395</v>
      </c>
      <c r="G2557" s="183" t="s">
        <v>12103</v>
      </c>
      <c r="H2557" s="183" t="s">
        <v>13067</v>
      </c>
    </row>
    <row r="2558" spans="1:8">
      <c r="A2558" s="183" t="s">
        <v>13068</v>
      </c>
      <c r="E2558" s="206">
        <v>400</v>
      </c>
      <c r="F2558" s="206">
        <v>1995</v>
      </c>
      <c r="G2558" s="183" t="s">
        <v>12586</v>
      </c>
      <c r="H2558" s="183" t="s">
        <v>13069</v>
      </c>
    </row>
    <row r="2559" spans="1:8">
      <c r="A2559" s="183" t="s">
        <v>13070</v>
      </c>
      <c r="E2559" s="183">
        <v>1205</v>
      </c>
      <c r="F2559" s="183">
        <v>790</v>
      </c>
      <c r="G2559" s="183" t="s">
        <v>12090</v>
      </c>
      <c r="H2559" s="183" t="s">
        <v>13071</v>
      </c>
    </row>
    <row r="2560" spans="1:8" ht="33">
      <c r="C2560" s="183">
        <v>50000</v>
      </c>
      <c r="H2560" s="694" t="s">
        <v>13072</v>
      </c>
    </row>
    <row r="2561" spans="1:8">
      <c r="A2561" s="183" t="s">
        <v>13073</v>
      </c>
      <c r="E2561" s="206">
        <v>18</v>
      </c>
      <c r="F2561" s="206">
        <v>772</v>
      </c>
      <c r="G2561" s="183" t="s">
        <v>12621</v>
      </c>
      <c r="H2561" s="183" t="s">
        <v>13074</v>
      </c>
    </row>
    <row r="2562" spans="1:8">
      <c r="A2562" s="183" t="s">
        <v>13075</v>
      </c>
      <c r="E2562" s="183">
        <v>30</v>
      </c>
      <c r="F2562" s="183">
        <v>742</v>
      </c>
      <c r="G2562" s="183" t="s">
        <v>12103</v>
      </c>
      <c r="H2562" s="183" t="s">
        <v>13076</v>
      </c>
    </row>
    <row r="2563" spans="1:8" s="704" customFormat="1" ht="3" customHeight="1">
      <c r="E2563" s="708"/>
      <c r="F2563" s="708"/>
    </row>
    <row r="2564" spans="1:8">
      <c r="A2564" s="183" t="s">
        <v>13077</v>
      </c>
      <c r="C2564" s="183">
        <v>17000</v>
      </c>
      <c r="H2564" s="183" t="s">
        <v>13078</v>
      </c>
    </row>
    <row r="2565" spans="1:8">
      <c r="A2565" s="183" t="s">
        <v>13077</v>
      </c>
      <c r="C2565" s="183">
        <v>25318</v>
      </c>
      <c r="H2565" s="183" t="s">
        <v>13079</v>
      </c>
    </row>
    <row r="2566" spans="1:8">
      <c r="A2566" s="183" t="s">
        <v>13077</v>
      </c>
      <c r="C2566" s="183">
        <v>62750</v>
      </c>
      <c r="H2566" s="183" t="s">
        <v>13080</v>
      </c>
    </row>
    <row r="2567" spans="1:8">
      <c r="A2567" s="183" t="s">
        <v>13077</v>
      </c>
      <c r="C2567" s="183">
        <v>23000</v>
      </c>
      <c r="H2567" s="183" t="s">
        <v>13081</v>
      </c>
    </row>
    <row r="2568" spans="1:8">
      <c r="A2568" s="183" t="s">
        <v>13077</v>
      </c>
      <c r="C2568" s="183">
        <v>5000</v>
      </c>
      <c r="H2568" s="183" t="s">
        <v>11466</v>
      </c>
    </row>
    <row r="2569" spans="1:8">
      <c r="A2569" s="183" t="s">
        <v>13077</v>
      </c>
      <c r="C2569" s="183">
        <v>15359</v>
      </c>
      <c r="H2569" s="183" t="s">
        <v>13082</v>
      </c>
    </row>
    <row r="2570" spans="1:8">
      <c r="A2570" s="183" t="s">
        <v>13077</v>
      </c>
      <c r="C2570" s="183">
        <v>1090</v>
      </c>
      <c r="H2570" s="183" t="s">
        <v>13083</v>
      </c>
    </row>
    <row r="2571" spans="1:8">
      <c r="A2571" s="183" t="s">
        <v>13077</v>
      </c>
      <c r="E2571" s="183">
        <v>300</v>
      </c>
      <c r="F2571" s="183">
        <v>442</v>
      </c>
      <c r="G2571" s="183" t="s">
        <v>12547</v>
      </c>
      <c r="H2571" s="183" t="s">
        <v>13084</v>
      </c>
    </row>
    <row r="2572" spans="1:8">
      <c r="A2572" s="183" t="s">
        <v>13077</v>
      </c>
      <c r="D2572" s="183">
        <v>5000</v>
      </c>
      <c r="F2572" s="183">
        <v>5442</v>
      </c>
      <c r="H2572" s="183" t="s">
        <v>11466</v>
      </c>
    </row>
    <row r="2573" spans="1:8">
      <c r="A2573" s="183" t="s">
        <v>13085</v>
      </c>
      <c r="E2573" s="206">
        <v>110</v>
      </c>
      <c r="F2573" s="206">
        <v>5332</v>
      </c>
      <c r="G2573" s="183" t="s">
        <v>12083</v>
      </c>
      <c r="H2573" s="183" t="s">
        <v>13043</v>
      </c>
    </row>
    <row r="2574" spans="1:8">
      <c r="A2574" s="183" t="s">
        <v>13086</v>
      </c>
      <c r="E2574" s="206">
        <v>140</v>
      </c>
      <c r="F2574" s="206">
        <v>5192</v>
      </c>
      <c r="G2574" s="183" t="s">
        <v>12586</v>
      </c>
      <c r="H2574" s="183" t="s">
        <v>13043</v>
      </c>
    </row>
    <row r="2575" spans="1:8" ht="181.5">
      <c r="A2575" s="183" t="s">
        <v>13087</v>
      </c>
      <c r="C2575" s="183">
        <v>494498</v>
      </c>
      <c r="H2575" s="694" t="s">
        <v>13088</v>
      </c>
    </row>
    <row r="2576" spans="1:8">
      <c r="A2576" s="183" t="s">
        <v>13089</v>
      </c>
      <c r="C2576" s="183">
        <v>51801</v>
      </c>
      <c r="H2576" s="183" t="s">
        <v>13090</v>
      </c>
    </row>
    <row r="2577" spans="1:8">
      <c r="A2577" s="183" t="s">
        <v>13091</v>
      </c>
      <c r="E2577" s="183">
        <v>1205</v>
      </c>
      <c r="F2577" s="183">
        <v>3987</v>
      </c>
      <c r="G2577" s="183" t="s">
        <v>12550</v>
      </c>
      <c r="H2577" s="183" t="s">
        <v>13092</v>
      </c>
    </row>
    <row r="2578" spans="1:8" ht="115.5">
      <c r="A2578" s="183" t="s">
        <v>13093</v>
      </c>
      <c r="C2578" s="183">
        <v>59000</v>
      </c>
      <c r="H2578" s="694" t="s">
        <v>13094</v>
      </c>
    </row>
    <row r="2579" spans="1:8">
      <c r="A2579" s="183" t="s">
        <v>13095</v>
      </c>
      <c r="E2579" s="206">
        <v>209</v>
      </c>
      <c r="F2579" s="206">
        <v>3778</v>
      </c>
      <c r="G2579" s="206" t="s">
        <v>12096</v>
      </c>
      <c r="H2579" s="183" t="s">
        <v>13096</v>
      </c>
    </row>
    <row r="2580" spans="1:8">
      <c r="A2580" s="183" t="s">
        <v>13097</v>
      </c>
      <c r="C2580" s="183">
        <v>17000</v>
      </c>
      <c r="H2580" s="183" t="s">
        <v>13098</v>
      </c>
    </row>
    <row r="2581" spans="1:8">
      <c r="A2581" s="183" t="s">
        <v>13099</v>
      </c>
      <c r="E2581" s="183">
        <v>200</v>
      </c>
      <c r="F2581" s="206">
        <v>3578</v>
      </c>
      <c r="G2581" s="183" t="s">
        <v>12121</v>
      </c>
      <c r="H2581" s="183" t="s">
        <v>13100</v>
      </c>
    </row>
    <row r="2582" spans="1:8">
      <c r="A2582" s="183" t="s">
        <v>13101</v>
      </c>
      <c r="H2582" s="183" t="s">
        <v>13102</v>
      </c>
    </row>
    <row r="2583" spans="1:8">
      <c r="A2583" s="183" t="s">
        <v>13101</v>
      </c>
      <c r="C2583" s="183">
        <v>50000</v>
      </c>
      <c r="H2583" s="183" t="s">
        <v>13103</v>
      </c>
    </row>
    <row r="2584" spans="1:8">
      <c r="A2584" s="183" t="s">
        <v>13104</v>
      </c>
      <c r="H2584" s="183" t="s">
        <v>13105</v>
      </c>
    </row>
    <row r="2585" spans="1:8">
      <c r="A2585" s="183" t="s">
        <v>13106</v>
      </c>
      <c r="C2585" s="183">
        <v>26036</v>
      </c>
      <c r="H2585" s="183" t="s">
        <v>13107</v>
      </c>
    </row>
    <row r="2586" spans="1:8">
      <c r="A2586" s="183" t="s">
        <v>13108</v>
      </c>
      <c r="E2586" s="206">
        <v>145</v>
      </c>
      <c r="F2586" s="206">
        <v>3433</v>
      </c>
      <c r="G2586" s="183" t="s">
        <v>12083</v>
      </c>
      <c r="H2586" s="183" t="s">
        <v>13109</v>
      </c>
    </row>
    <row r="2587" spans="1:8">
      <c r="A2587" s="183" t="s">
        <v>13108</v>
      </c>
      <c r="E2587" s="206">
        <v>155</v>
      </c>
      <c r="F2587" s="206">
        <v>3278</v>
      </c>
      <c r="G2587" s="183" t="s">
        <v>12083</v>
      </c>
      <c r="H2587" s="183" t="s">
        <v>13109</v>
      </c>
    </row>
    <row r="2588" spans="1:8">
      <c r="A2588" s="183" t="s">
        <v>13110</v>
      </c>
      <c r="E2588" s="206">
        <v>190</v>
      </c>
      <c r="F2588" s="206">
        <v>3088</v>
      </c>
      <c r="G2588" s="183" t="s">
        <v>12083</v>
      </c>
      <c r="H2588" s="183" t="s">
        <v>13111</v>
      </c>
    </row>
    <row r="2589" spans="1:8">
      <c r="A2589" s="183" t="s">
        <v>13110</v>
      </c>
      <c r="E2589" s="206">
        <v>20</v>
      </c>
      <c r="F2589" s="206">
        <v>3068</v>
      </c>
      <c r="G2589" s="183" t="s">
        <v>12083</v>
      </c>
      <c r="H2589" s="183" t="s">
        <v>13112</v>
      </c>
    </row>
    <row r="2590" spans="1:8">
      <c r="A2590" s="183" t="s">
        <v>13113</v>
      </c>
      <c r="E2590" s="183">
        <v>1205</v>
      </c>
      <c r="F2590" s="183">
        <v>1863</v>
      </c>
      <c r="G2590" s="183" t="s">
        <v>12550</v>
      </c>
      <c r="H2590" s="183" t="s">
        <v>13114</v>
      </c>
    </row>
    <row r="2591" spans="1:8">
      <c r="A2591" s="183" t="s">
        <v>13115</v>
      </c>
      <c r="C2591" s="183">
        <v>17000</v>
      </c>
      <c r="H2591" s="183" t="s">
        <v>13116</v>
      </c>
    </row>
    <row r="2592" spans="1:8">
      <c r="A2592" s="183" t="s">
        <v>13117</v>
      </c>
      <c r="E2592" s="206">
        <v>18</v>
      </c>
      <c r="F2592" s="206">
        <v>1845</v>
      </c>
      <c r="G2592" s="183" t="s">
        <v>12621</v>
      </c>
      <c r="H2592" s="183" t="s">
        <v>13118</v>
      </c>
    </row>
    <row r="2593" spans="1:8">
      <c r="A2593" s="183" t="s">
        <v>13117</v>
      </c>
      <c r="E2593" s="183">
        <v>204</v>
      </c>
      <c r="F2593" s="206">
        <v>1641</v>
      </c>
      <c r="G2593" s="183" t="s">
        <v>12133</v>
      </c>
      <c r="H2593" s="183" t="s">
        <v>13119</v>
      </c>
    </row>
    <row r="2594" spans="1:8">
      <c r="A2594" s="183" t="s">
        <v>13117</v>
      </c>
      <c r="E2594" s="206">
        <v>80</v>
      </c>
      <c r="F2594" s="206">
        <v>1561</v>
      </c>
      <c r="G2594" s="183" t="s">
        <v>12133</v>
      </c>
      <c r="H2594" s="183" t="s">
        <v>12543</v>
      </c>
    </row>
    <row r="2595" spans="1:8">
      <c r="A2595" s="183" t="s">
        <v>13120</v>
      </c>
      <c r="C2595" s="183">
        <v>25318</v>
      </c>
      <c r="H2595" s="183" t="s">
        <v>13121</v>
      </c>
    </row>
    <row r="2596" spans="1:8">
      <c r="A2596" s="183" t="s">
        <v>13120</v>
      </c>
      <c r="C2596" s="183">
        <v>62750</v>
      </c>
      <c r="H2596" s="183" t="s">
        <v>13122</v>
      </c>
    </row>
    <row r="2597" spans="1:8">
      <c r="A2597" s="183" t="s">
        <v>13120</v>
      </c>
      <c r="C2597" s="183">
        <v>18000</v>
      </c>
      <c r="H2597" s="183" t="s">
        <v>13123</v>
      </c>
    </row>
    <row r="2598" spans="1:8">
      <c r="A2598" s="183" t="s">
        <v>13120</v>
      </c>
      <c r="C2598" s="183">
        <v>2036</v>
      </c>
      <c r="H2598" s="183" t="s">
        <v>13124</v>
      </c>
    </row>
    <row r="2599" spans="1:8">
      <c r="A2599" s="183" t="s">
        <v>13120</v>
      </c>
      <c r="C2599" s="183">
        <v>28321</v>
      </c>
      <c r="H2599" s="183" t="s">
        <v>13125</v>
      </c>
    </row>
    <row r="2600" spans="1:8">
      <c r="A2600" s="183" t="s">
        <v>13126</v>
      </c>
      <c r="E2600" s="183">
        <v>45</v>
      </c>
      <c r="F2600" s="183">
        <v>1516</v>
      </c>
      <c r="G2600" s="183" t="s">
        <v>12103</v>
      </c>
      <c r="H2600" s="183" t="s">
        <v>13127</v>
      </c>
    </row>
    <row r="2601" spans="1:8">
      <c r="A2601" s="183" t="s">
        <v>13128</v>
      </c>
      <c r="C2601" s="183">
        <v>5000</v>
      </c>
      <c r="H2601" s="183" t="s">
        <v>12846</v>
      </c>
    </row>
    <row r="2602" spans="1:8">
      <c r="A2602" s="183" t="s">
        <v>13129</v>
      </c>
      <c r="C2602" s="183">
        <v>8712</v>
      </c>
      <c r="H2602" s="183" t="s">
        <v>13130</v>
      </c>
    </row>
    <row r="2603" spans="1:8">
      <c r="A2603" s="183" t="s">
        <v>13131</v>
      </c>
      <c r="D2603" s="183">
        <v>5000</v>
      </c>
      <c r="F2603" s="183">
        <v>6516</v>
      </c>
      <c r="H2603" s="183" t="s">
        <v>11466</v>
      </c>
    </row>
    <row r="2604" spans="1:8">
      <c r="A2604" s="183" t="s">
        <v>13132</v>
      </c>
      <c r="E2604" s="206">
        <v>150</v>
      </c>
      <c r="F2604" s="206">
        <v>6366</v>
      </c>
      <c r="G2604" s="183" t="s">
        <v>12083</v>
      </c>
      <c r="H2604" s="183" t="s">
        <v>11693</v>
      </c>
    </row>
    <row r="2605" spans="1:8">
      <c r="A2605" s="183" t="s">
        <v>13133</v>
      </c>
      <c r="E2605" s="206">
        <v>150</v>
      </c>
      <c r="F2605" s="206">
        <v>6216</v>
      </c>
      <c r="G2605" s="183" t="s">
        <v>12083</v>
      </c>
      <c r="H2605" s="183" t="s">
        <v>13134</v>
      </c>
    </row>
    <row r="2606" spans="1:8">
      <c r="A2606" s="183" t="s">
        <v>13135</v>
      </c>
      <c r="E2606" s="206">
        <v>245</v>
      </c>
      <c r="F2606" s="206">
        <v>5971</v>
      </c>
      <c r="G2606" s="183" t="s">
        <v>12586</v>
      </c>
      <c r="H2606" s="183" t="s">
        <v>11660</v>
      </c>
    </row>
    <row r="2607" spans="1:8">
      <c r="A2607" s="183" t="s">
        <v>13135</v>
      </c>
      <c r="E2607" s="206">
        <v>275</v>
      </c>
      <c r="F2607" s="206">
        <v>5696</v>
      </c>
      <c r="G2607" s="183" t="s">
        <v>12083</v>
      </c>
      <c r="H2607" s="183" t="s">
        <v>11660</v>
      </c>
    </row>
    <row r="2608" spans="1:8">
      <c r="A2608" s="183" t="s">
        <v>13135</v>
      </c>
      <c r="E2608" s="183">
        <v>1205</v>
      </c>
      <c r="F2608" s="183">
        <v>4491</v>
      </c>
      <c r="G2608" s="183" t="s">
        <v>12090</v>
      </c>
      <c r="H2608" s="183" t="s">
        <v>13136</v>
      </c>
    </row>
    <row r="2609" spans="1:8">
      <c r="A2609" s="183" t="s">
        <v>13137</v>
      </c>
      <c r="E2609" s="206">
        <v>190</v>
      </c>
      <c r="F2609" s="206">
        <v>4301</v>
      </c>
      <c r="G2609" s="183" t="s">
        <v>12121</v>
      </c>
      <c r="H2609" s="206" t="s">
        <v>13017</v>
      </c>
    </row>
    <row r="2610" spans="1:8">
      <c r="A2610" s="183" t="s">
        <v>13138</v>
      </c>
      <c r="E2610" s="206">
        <v>188</v>
      </c>
      <c r="F2610" s="206">
        <v>4113</v>
      </c>
      <c r="G2610" s="206" t="s">
        <v>12096</v>
      </c>
      <c r="H2610" s="183" t="s">
        <v>13139</v>
      </c>
    </row>
    <row r="2611" spans="1:8">
      <c r="A2611" s="183" t="s">
        <v>13140</v>
      </c>
      <c r="E2611" s="183">
        <v>35</v>
      </c>
      <c r="F2611" s="183">
        <v>4078</v>
      </c>
      <c r="G2611" s="183" t="s">
        <v>12103</v>
      </c>
      <c r="H2611" s="183" t="s">
        <v>13141</v>
      </c>
    </row>
    <row r="2612" spans="1:8">
      <c r="A2612" s="183" t="s">
        <v>13142</v>
      </c>
      <c r="C2612" s="183">
        <v>17000</v>
      </c>
      <c r="H2612" s="183" t="s">
        <v>13143</v>
      </c>
    </row>
    <row r="2613" spans="1:8">
      <c r="A2613" s="183" t="s">
        <v>13144</v>
      </c>
      <c r="C2613" s="183">
        <v>25318</v>
      </c>
      <c r="H2613" s="183" t="s">
        <v>13145</v>
      </c>
    </row>
    <row r="2614" spans="1:8">
      <c r="A2614" s="183" t="s">
        <v>13146</v>
      </c>
      <c r="C2614" s="183">
        <v>62750</v>
      </c>
      <c r="H2614" s="183" t="s">
        <v>13147</v>
      </c>
    </row>
    <row r="2615" spans="1:8">
      <c r="A2615" s="183" t="s">
        <v>13144</v>
      </c>
      <c r="C2615" s="183">
        <v>36000</v>
      </c>
      <c r="H2615" s="183" t="s">
        <v>13148</v>
      </c>
    </row>
    <row r="2616" spans="1:8">
      <c r="A2616" s="183" t="s">
        <v>13146</v>
      </c>
      <c r="C2616" s="183">
        <v>5998</v>
      </c>
      <c r="H2616" s="183" t="s">
        <v>13149</v>
      </c>
    </row>
    <row r="2617" spans="1:8">
      <c r="A2617" s="183" t="s">
        <v>13146</v>
      </c>
      <c r="C2617" s="183">
        <v>27660</v>
      </c>
      <c r="H2617" s="183" t="s">
        <v>13150</v>
      </c>
    </row>
    <row r="2618" spans="1:8" ht="132">
      <c r="A2618" s="183" t="s">
        <v>13146</v>
      </c>
      <c r="C2618" s="183">
        <v>35000</v>
      </c>
      <c r="H2618" s="694" t="s">
        <v>13151</v>
      </c>
    </row>
    <row r="2619" spans="1:8">
      <c r="A2619" s="183" t="s">
        <v>13152</v>
      </c>
      <c r="E2619" s="206">
        <v>205</v>
      </c>
      <c r="F2619" s="206">
        <v>3873</v>
      </c>
      <c r="G2619" s="183" t="s">
        <v>12083</v>
      </c>
      <c r="H2619" s="183" t="s">
        <v>13153</v>
      </c>
    </row>
    <row r="2620" spans="1:8">
      <c r="A2620" s="183" t="s">
        <v>13152</v>
      </c>
      <c r="E2620" s="206">
        <v>215</v>
      </c>
      <c r="F2620" s="206">
        <v>3658</v>
      </c>
      <c r="G2620" s="183" t="s">
        <v>12083</v>
      </c>
      <c r="H2620" s="183" t="s">
        <v>13153</v>
      </c>
    </row>
    <row r="2621" spans="1:8">
      <c r="A2621" s="183" t="s">
        <v>13154</v>
      </c>
      <c r="E2621" s="206">
        <v>105</v>
      </c>
      <c r="F2621" s="206">
        <v>3553</v>
      </c>
      <c r="G2621" s="183" t="s">
        <v>12072</v>
      </c>
      <c r="H2621" s="183" t="s">
        <v>12126</v>
      </c>
    </row>
    <row r="2622" spans="1:8">
      <c r="A2622" s="183" t="s">
        <v>13155</v>
      </c>
      <c r="E2622" s="183">
        <v>1205</v>
      </c>
      <c r="F2622" s="183">
        <v>2348</v>
      </c>
      <c r="G2622" s="183" t="s">
        <v>12090</v>
      </c>
      <c r="H2622" s="183" t="s">
        <v>13156</v>
      </c>
    </row>
    <row r="2623" spans="1:8">
      <c r="A2623" s="183" t="s">
        <v>13157</v>
      </c>
      <c r="E2623" s="183">
        <v>35</v>
      </c>
      <c r="F2623" s="183">
        <v>2313</v>
      </c>
      <c r="G2623" s="183" t="s">
        <v>12103</v>
      </c>
      <c r="H2623" s="183" t="s">
        <v>13158</v>
      </c>
    </row>
    <row r="2624" spans="1:8">
      <c r="A2624" s="183" t="s">
        <v>13159</v>
      </c>
      <c r="E2624" s="206">
        <v>18</v>
      </c>
      <c r="F2624" s="206">
        <v>2295</v>
      </c>
      <c r="G2624" s="183" t="s">
        <v>12072</v>
      </c>
      <c r="H2624" s="183" t="s">
        <v>13160</v>
      </c>
    </row>
    <row r="2625" spans="1:8">
      <c r="A2625" s="183" t="s">
        <v>13161</v>
      </c>
      <c r="C2625" s="183">
        <v>17000</v>
      </c>
      <c r="H2625" s="183" t="s">
        <v>13162</v>
      </c>
    </row>
    <row r="2626" spans="1:8">
      <c r="A2626" s="183" t="s">
        <v>13163</v>
      </c>
      <c r="E2626" s="183">
        <v>35</v>
      </c>
      <c r="F2626" s="183">
        <v>2260</v>
      </c>
      <c r="G2626" s="183" t="s">
        <v>12103</v>
      </c>
      <c r="H2626" s="183" t="s">
        <v>13164</v>
      </c>
    </row>
    <row r="2627" spans="1:8">
      <c r="A2627" s="183" t="s">
        <v>13165</v>
      </c>
      <c r="C2627" s="183">
        <v>25318</v>
      </c>
      <c r="H2627" s="183" t="s">
        <v>13166</v>
      </c>
    </row>
    <row r="2628" spans="1:8">
      <c r="A2628" s="183" t="s">
        <v>13165</v>
      </c>
      <c r="C2628" s="183">
        <v>61326</v>
      </c>
      <c r="H2628" s="183" t="s">
        <v>13167</v>
      </c>
    </row>
    <row r="2629" spans="1:8">
      <c r="A2629" s="183" t="s">
        <v>13165</v>
      </c>
      <c r="C2629" s="183">
        <v>11956</v>
      </c>
      <c r="H2629" s="183" t="s">
        <v>13168</v>
      </c>
    </row>
    <row r="2630" spans="1:8">
      <c r="A2630" s="183" t="s">
        <v>13165</v>
      </c>
      <c r="E2630" s="206">
        <v>110</v>
      </c>
      <c r="F2630" s="206">
        <v>2150</v>
      </c>
      <c r="G2630" s="183" t="s">
        <v>12083</v>
      </c>
      <c r="H2630" s="183" t="s">
        <v>12587</v>
      </c>
    </row>
    <row r="2631" spans="1:8">
      <c r="A2631" s="183" t="s">
        <v>13165</v>
      </c>
      <c r="E2631" s="206">
        <v>100</v>
      </c>
      <c r="F2631" s="206">
        <v>2050</v>
      </c>
      <c r="G2631" s="183" t="s">
        <v>12083</v>
      </c>
      <c r="H2631" s="183" t="s">
        <v>12587</v>
      </c>
    </row>
    <row r="2632" spans="1:8">
      <c r="A2632" s="183" t="s">
        <v>13169</v>
      </c>
      <c r="C2632" s="183">
        <v>8608</v>
      </c>
      <c r="H2632" s="183" t="s">
        <v>13170</v>
      </c>
    </row>
    <row r="2633" spans="1:8">
      <c r="A2633" s="183" t="s">
        <v>13171</v>
      </c>
      <c r="C2633" s="183">
        <v>5000</v>
      </c>
      <c r="H2633" s="183" t="s">
        <v>11466</v>
      </c>
    </row>
    <row r="2634" spans="1:8">
      <c r="A2634" s="183" t="s">
        <v>13171</v>
      </c>
      <c r="D2634" s="183">
        <v>5000</v>
      </c>
      <c r="F2634" s="183">
        <v>7050</v>
      </c>
      <c r="H2634" s="183" t="s">
        <v>12846</v>
      </c>
    </row>
    <row r="2635" spans="1:8">
      <c r="A2635" s="183" t="s">
        <v>13172</v>
      </c>
      <c r="E2635" s="206">
        <v>121</v>
      </c>
      <c r="F2635" s="206">
        <v>6929</v>
      </c>
      <c r="G2635" s="183" t="s">
        <v>11093</v>
      </c>
      <c r="H2635" s="183" t="s">
        <v>13173</v>
      </c>
    </row>
    <row r="2636" spans="1:8">
      <c r="A2636" s="183" t="s">
        <v>13172</v>
      </c>
      <c r="E2636" s="183">
        <v>1020</v>
      </c>
      <c r="F2636" s="183">
        <v>5909</v>
      </c>
      <c r="G2636" s="183" t="s">
        <v>12103</v>
      </c>
      <c r="H2636" s="183" t="s">
        <v>13174</v>
      </c>
    </row>
    <row r="2637" spans="1:8">
      <c r="A2637" s="183" t="s">
        <v>13175</v>
      </c>
      <c r="E2637" s="206">
        <v>375</v>
      </c>
      <c r="F2637" s="206">
        <v>5534</v>
      </c>
      <c r="G2637" s="183" t="s">
        <v>12083</v>
      </c>
      <c r="H2637" s="183" t="s">
        <v>11612</v>
      </c>
    </row>
    <row r="2638" spans="1:8">
      <c r="A2638" s="183" t="s">
        <v>13175</v>
      </c>
      <c r="E2638" s="206">
        <v>405</v>
      </c>
      <c r="F2638" s="206">
        <v>5129</v>
      </c>
      <c r="G2638" s="183" t="s">
        <v>12083</v>
      </c>
      <c r="H2638" s="183" t="s">
        <v>13176</v>
      </c>
    </row>
    <row r="2639" spans="1:8">
      <c r="A2639" s="183" t="s">
        <v>13177</v>
      </c>
      <c r="E2639" s="206">
        <v>120</v>
      </c>
      <c r="F2639" s="206">
        <v>5009</v>
      </c>
      <c r="G2639" s="183" t="s">
        <v>12083</v>
      </c>
      <c r="H2639" s="183" t="s">
        <v>12454</v>
      </c>
    </row>
    <row r="2640" spans="1:8">
      <c r="A2640" s="183" t="s">
        <v>13178</v>
      </c>
      <c r="E2640" s="206">
        <v>235</v>
      </c>
      <c r="F2640" s="206">
        <v>4774</v>
      </c>
      <c r="G2640" s="183" t="s">
        <v>12083</v>
      </c>
      <c r="H2640" s="183" t="s">
        <v>13179</v>
      </c>
    </row>
    <row r="2641" spans="1:8">
      <c r="A2641" s="183" t="s">
        <v>13178</v>
      </c>
      <c r="E2641" s="206">
        <v>165</v>
      </c>
      <c r="F2641" s="206">
        <v>4609</v>
      </c>
      <c r="G2641" s="183" t="s">
        <v>12083</v>
      </c>
      <c r="H2641" s="183" t="s">
        <v>12454</v>
      </c>
    </row>
    <row r="2642" spans="1:8">
      <c r="E2642" s="206"/>
      <c r="F2642" s="206"/>
      <c r="H2642" s="696" t="s">
        <v>13180</v>
      </c>
    </row>
    <row r="2643" spans="1:8">
      <c r="A2643" s="183" t="s">
        <v>13181</v>
      </c>
      <c r="E2643" s="206">
        <v>1205</v>
      </c>
      <c r="F2643" s="206">
        <v>3404</v>
      </c>
      <c r="G2643" s="183" t="s">
        <v>12090</v>
      </c>
      <c r="H2643" s="183" t="s">
        <v>13182</v>
      </c>
    </row>
    <row r="2644" spans="1:8">
      <c r="A2644" s="183" t="s">
        <v>13181</v>
      </c>
      <c r="E2644" s="206">
        <v>187</v>
      </c>
      <c r="F2644" s="206">
        <v>3217</v>
      </c>
      <c r="G2644" s="206" t="s">
        <v>12096</v>
      </c>
      <c r="H2644" s="183" t="s">
        <v>13183</v>
      </c>
    </row>
    <row r="2645" spans="1:8">
      <c r="A2645" s="183" t="s">
        <v>13184</v>
      </c>
      <c r="E2645" s="206">
        <v>280</v>
      </c>
      <c r="F2645" s="206">
        <v>2937</v>
      </c>
      <c r="G2645" s="183" t="s">
        <v>12083</v>
      </c>
      <c r="H2645" s="183" t="s">
        <v>11612</v>
      </c>
    </row>
    <row r="2646" spans="1:8">
      <c r="A2646" s="183" t="s">
        <v>13184</v>
      </c>
      <c r="E2646" s="206">
        <v>275</v>
      </c>
      <c r="F2646" s="206">
        <v>2662</v>
      </c>
      <c r="G2646" s="183" t="s">
        <v>12083</v>
      </c>
      <c r="H2646" s="183" t="s">
        <v>13185</v>
      </c>
    </row>
    <row r="2647" spans="1:8">
      <c r="A2647" s="183" t="s">
        <v>13186</v>
      </c>
      <c r="E2647" s="206">
        <v>30</v>
      </c>
      <c r="F2647" s="206">
        <v>2632</v>
      </c>
      <c r="G2647" s="183" t="s">
        <v>12103</v>
      </c>
      <c r="H2647" s="183" t="s">
        <v>13187</v>
      </c>
    </row>
    <row r="2648" spans="1:8">
      <c r="A2648" s="183" t="s">
        <v>13188</v>
      </c>
      <c r="E2648" s="206">
        <v>30</v>
      </c>
      <c r="F2648" s="206">
        <v>2602</v>
      </c>
      <c r="G2648" s="183" t="s">
        <v>12103</v>
      </c>
      <c r="H2648" s="183" t="s">
        <v>13189</v>
      </c>
    </row>
    <row r="2649" spans="1:8" ht="33">
      <c r="A2649" s="183" t="s">
        <v>13190</v>
      </c>
      <c r="C2649" s="183">
        <v>50000</v>
      </c>
      <c r="H2649" s="694" t="s">
        <v>13191</v>
      </c>
    </row>
    <row r="2650" spans="1:8">
      <c r="A2650" s="183" t="s">
        <v>13192</v>
      </c>
      <c r="C2650" s="183">
        <v>17000</v>
      </c>
      <c r="H2650" s="183" t="s">
        <v>13193</v>
      </c>
    </row>
    <row r="2651" spans="1:8">
      <c r="A2651" s="183" t="s">
        <v>13194</v>
      </c>
      <c r="E2651" s="183">
        <v>149</v>
      </c>
      <c r="F2651" s="206">
        <v>2453</v>
      </c>
      <c r="G2651" s="183" t="s">
        <v>12621</v>
      </c>
      <c r="H2651" s="183" t="s">
        <v>12622</v>
      </c>
    </row>
    <row r="2652" spans="1:8">
      <c r="A2652" s="183" t="s">
        <v>13195</v>
      </c>
      <c r="E2652" s="206">
        <v>5</v>
      </c>
      <c r="F2652" s="206">
        <v>2448</v>
      </c>
      <c r="G2652" s="183" t="s">
        <v>12072</v>
      </c>
      <c r="H2652" s="183" t="s">
        <v>13196</v>
      </c>
    </row>
    <row r="2653" spans="1:8">
      <c r="A2653" s="183" t="s">
        <v>13197</v>
      </c>
      <c r="D2653" s="183">
        <v>5000</v>
      </c>
      <c r="E2653" s="206"/>
      <c r="F2653" s="206">
        <v>7448</v>
      </c>
      <c r="H2653" s="183" t="s">
        <v>11466</v>
      </c>
    </row>
    <row r="2654" spans="1:8">
      <c r="A2654" s="183" t="s">
        <v>13197</v>
      </c>
      <c r="E2654" s="183">
        <v>1300</v>
      </c>
      <c r="F2654" s="206">
        <v>6148</v>
      </c>
      <c r="H2654" s="183" t="s">
        <v>13198</v>
      </c>
    </row>
    <row r="2655" spans="1:8">
      <c r="A2655" s="183" t="s">
        <v>13197</v>
      </c>
      <c r="E2655" s="183">
        <v>900</v>
      </c>
      <c r="F2655" s="206">
        <v>5248</v>
      </c>
      <c r="H2655" s="183" t="s">
        <v>13199</v>
      </c>
    </row>
    <row r="2656" spans="1:8">
      <c r="A2656" s="183" t="s">
        <v>13197</v>
      </c>
      <c r="E2656" s="183">
        <v>500</v>
      </c>
      <c r="F2656" s="206">
        <v>4748</v>
      </c>
      <c r="H2656" s="183" t="s">
        <v>13200</v>
      </c>
    </row>
    <row r="2657" spans="1:8">
      <c r="A2657" s="183" t="s">
        <v>13195</v>
      </c>
      <c r="E2657" s="206">
        <v>110</v>
      </c>
      <c r="F2657" s="206">
        <v>4638</v>
      </c>
      <c r="G2657" s="183" t="s">
        <v>12083</v>
      </c>
      <c r="H2657" s="183" t="s">
        <v>13201</v>
      </c>
    </row>
    <row r="2658" spans="1:8">
      <c r="A2658" s="183" t="s">
        <v>13197</v>
      </c>
      <c r="E2658" s="206">
        <v>95</v>
      </c>
      <c r="F2658" s="206">
        <v>4543</v>
      </c>
      <c r="G2658" s="183" t="s">
        <v>12083</v>
      </c>
      <c r="H2658" s="183" t="s">
        <v>13202</v>
      </c>
    </row>
    <row r="2659" spans="1:8">
      <c r="A2659" s="183" t="s">
        <v>13203</v>
      </c>
      <c r="E2659" s="206">
        <v>110</v>
      </c>
      <c r="F2659" s="206">
        <v>4433</v>
      </c>
      <c r="G2659" s="183" t="s">
        <v>12083</v>
      </c>
      <c r="H2659" s="183" t="s">
        <v>13204</v>
      </c>
    </row>
    <row r="2660" spans="1:8">
      <c r="A2660" s="183" t="s">
        <v>13205</v>
      </c>
      <c r="E2660" s="206">
        <v>121</v>
      </c>
      <c r="F2660" s="206">
        <v>4312</v>
      </c>
      <c r="G2660" s="183" t="s">
        <v>12103</v>
      </c>
      <c r="H2660" s="183" t="s">
        <v>13206</v>
      </c>
    </row>
    <row r="2661" spans="1:8">
      <c r="A2661" s="183" t="s">
        <v>13207</v>
      </c>
      <c r="C2661" s="183">
        <v>41609</v>
      </c>
      <c r="H2661" s="183" t="s">
        <v>13208</v>
      </c>
    </row>
    <row r="2662" spans="1:8">
      <c r="A2662" s="183" t="s">
        <v>13209</v>
      </c>
      <c r="E2662" s="183">
        <v>220</v>
      </c>
      <c r="F2662" s="206">
        <v>4092</v>
      </c>
      <c r="G2662" s="183" t="s">
        <v>12747</v>
      </c>
      <c r="H2662" s="183" t="s">
        <v>13210</v>
      </c>
    </row>
    <row r="2663" spans="1:8">
      <c r="A2663" s="183" t="s">
        <v>13211</v>
      </c>
      <c r="E2663" s="183">
        <v>300</v>
      </c>
      <c r="F2663" s="183">
        <v>3792</v>
      </c>
      <c r="G2663" s="183" t="s">
        <v>13212</v>
      </c>
      <c r="H2663" s="183" t="s">
        <v>13213</v>
      </c>
    </row>
    <row r="2664" spans="1:8">
      <c r="A2664" s="183" t="s">
        <v>13214</v>
      </c>
      <c r="E2664" s="206">
        <v>200</v>
      </c>
      <c r="F2664" s="206">
        <v>3592</v>
      </c>
      <c r="G2664" s="183" t="s">
        <v>12083</v>
      </c>
      <c r="H2664" s="183" t="s">
        <v>13215</v>
      </c>
    </row>
    <row r="2665" spans="1:8">
      <c r="A2665" s="183" t="s">
        <v>13214</v>
      </c>
      <c r="E2665" s="206">
        <v>280</v>
      </c>
      <c r="F2665" s="206">
        <v>3312</v>
      </c>
      <c r="G2665" s="183" t="s">
        <v>12083</v>
      </c>
      <c r="H2665" s="183" t="s">
        <v>13216</v>
      </c>
    </row>
    <row r="2666" spans="1:8">
      <c r="A2666" s="183" t="s">
        <v>13214</v>
      </c>
      <c r="E2666" s="206">
        <v>1205</v>
      </c>
      <c r="F2666" s="206">
        <v>2107</v>
      </c>
      <c r="G2666" s="183" t="s">
        <v>12090</v>
      </c>
      <c r="H2666" s="183" t="s">
        <v>13217</v>
      </c>
    </row>
    <row r="2667" spans="1:8">
      <c r="A2667" s="183" t="s">
        <v>13218</v>
      </c>
      <c r="E2667" s="206">
        <v>18</v>
      </c>
      <c r="F2667" s="206">
        <v>2089</v>
      </c>
      <c r="G2667" s="183" t="s">
        <v>12072</v>
      </c>
      <c r="H2667" s="183" t="s">
        <v>13219</v>
      </c>
    </row>
    <row r="2668" spans="1:8">
      <c r="A2668" s="183" t="s">
        <v>13218</v>
      </c>
      <c r="E2668" s="206">
        <v>248</v>
      </c>
      <c r="F2668" s="206">
        <v>1841</v>
      </c>
      <c r="G2668" s="183" t="s">
        <v>12121</v>
      </c>
      <c r="H2668" s="206" t="s">
        <v>13018</v>
      </c>
    </row>
    <row r="2669" spans="1:8">
      <c r="A2669" s="183" t="s">
        <v>13218</v>
      </c>
      <c r="E2669" s="206">
        <v>32</v>
      </c>
      <c r="F2669" s="206">
        <v>1809</v>
      </c>
      <c r="G2669" s="183" t="s">
        <v>12083</v>
      </c>
      <c r="H2669" s="183" t="s">
        <v>13220</v>
      </c>
    </row>
    <row r="2670" spans="1:8">
      <c r="A2670" s="183" t="s">
        <v>13221</v>
      </c>
      <c r="C2670" s="183">
        <v>17000</v>
      </c>
      <c r="H2670" s="183" t="s">
        <v>13222</v>
      </c>
    </row>
    <row r="2671" spans="1:8">
      <c r="A2671" s="183" t="s">
        <v>13223</v>
      </c>
      <c r="C2671" s="183">
        <v>18613</v>
      </c>
      <c r="H2671" s="183" t="s">
        <v>13224</v>
      </c>
    </row>
    <row r="2672" spans="1:8">
      <c r="A2672" s="183" t="s">
        <v>13225</v>
      </c>
      <c r="C2672" s="183">
        <v>30723</v>
      </c>
      <c r="H2672" s="183" t="s">
        <v>13226</v>
      </c>
    </row>
    <row r="2673" spans="1:8">
      <c r="A2673" s="183" t="s">
        <v>13227</v>
      </c>
      <c r="C2673" s="183">
        <v>25318</v>
      </c>
      <c r="H2673" s="183" t="s">
        <v>13228</v>
      </c>
    </row>
    <row r="2674" spans="1:8">
      <c r="A2674" s="183" t="s">
        <v>13227</v>
      </c>
      <c r="C2674" s="183">
        <v>61326</v>
      </c>
      <c r="H2674" s="183" t="s">
        <v>13229</v>
      </c>
    </row>
    <row r="2675" spans="1:8">
      <c r="A2675" s="183" t="s">
        <v>13227</v>
      </c>
      <c r="C2675" s="183">
        <v>15000</v>
      </c>
      <c r="H2675" s="183" t="s">
        <v>13230</v>
      </c>
    </row>
    <row r="2676" spans="1:8">
      <c r="A2676" s="183" t="s">
        <v>13231</v>
      </c>
      <c r="E2676" s="183">
        <v>57</v>
      </c>
      <c r="F2676" s="206">
        <v>1752</v>
      </c>
      <c r="G2676" s="183" t="s">
        <v>12133</v>
      </c>
      <c r="H2676" s="183" t="s">
        <v>13232</v>
      </c>
    </row>
    <row r="2677" spans="1:8">
      <c r="A2677" s="183" t="s">
        <v>13233</v>
      </c>
      <c r="E2677" s="206">
        <v>45</v>
      </c>
      <c r="F2677" s="206">
        <v>1707</v>
      </c>
      <c r="G2677" s="183" t="s">
        <v>12103</v>
      </c>
      <c r="H2677" s="183" t="s">
        <v>13234</v>
      </c>
    </row>
    <row r="2678" spans="1:8">
      <c r="A2678" s="183" t="s">
        <v>13235</v>
      </c>
      <c r="E2678" s="206">
        <v>7</v>
      </c>
      <c r="F2678" s="206">
        <v>1700</v>
      </c>
      <c r="G2678" s="183" t="s">
        <v>12103</v>
      </c>
      <c r="H2678" s="183" t="s">
        <v>13236</v>
      </c>
    </row>
    <row r="2679" spans="1:8">
      <c r="A2679" s="183" t="s">
        <v>13237</v>
      </c>
      <c r="D2679" s="183">
        <v>5000</v>
      </c>
      <c r="E2679" s="206"/>
      <c r="F2679" s="206">
        <v>6700</v>
      </c>
      <c r="H2679" s="183" t="s">
        <v>11466</v>
      </c>
    </row>
    <row r="2680" spans="1:8">
      <c r="A2680" s="183" t="s">
        <v>13237</v>
      </c>
      <c r="E2680" s="206">
        <v>1205</v>
      </c>
      <c r="F2680" s="206">
        <v>5495</v>
      </c>
      <c r="G2680" s="183" t="s">
        <v>12090</v>
      </c>
      <c r="H2680" s="183" t="s">
        <v>13238</v>
      </c>
    </row>
    <row r="2681" spans="1:8">
      <c r="A2681" s="183" t="s">
        <v>13239</v>
      </c>
      <c r="E2681" s="206">
        <v>300</v>
      </c>
      <c r="F2681" s="206">
        <v>5195</v>
      </c>
      <c r="H2681" s="183" t="s">
        <v>13240</v>
      </c>
    </row>
    <row r="2682" spans="1:8">
      <c r="A2682" s="183" t="s">
        <v>13241</v>
      </c>
      <c r="E2682" s="206">
        <v>35</v>
      </c>
      <c r="F2682" s="206">
        <v>5160</v>
      </c>
      <c r="G2682" s="183" t="s">
        <v>12103</v>
      </c>
      <c r="H2682" s="183" t="s">
        <v>13242</v>
      </c>
    </row>
    <row r="2683" spans="1:8">
      <c r="A2683" s="183" t="s">
        <v>13243</v>
      </c>
      <c r="E2683" s="206">
        <v>35</v>
      </c>
      <c r="F2683" s="206">
        <v>5125</v>
      </c>
      <c r="G2683" s="183" t="s">
        <v>12103</v>
      </c>
      <c r="H2683" s="183" t="s">
        <v>13244</v>
      </c>
    </row>
    <row r="2684" spans="1:8">
      <c r="A2684" s="183" t="s">
        <v>13243</v>
      </c>
      <c r="E2684" s="206">
        <v>199</v>
      </c>
      <c r="F2684" s="206">
        <v>4926</v>
      </c>
      <c r="G2684" s="206" t="s">
        <v>13053</v>
      </c>
      <c r="H2684" s="183" t="s">
        <v>13245</v>
      </c>
    </row>
    <row r="2685" spans="1:8">
      <c r="A2685" s="183" t="s">
        <v>13243</v>
      </c>
      <c r="E2685" s="183">
        <v>264</v>
      </c>
      <c r="F2685" s="206">
        <v>4662</v>
      </c>
      <c r="G2685" s="183" t="s">
        <v>12133</v>
      </c>
      <c r="H2685" s="183" t="s">
        <v>13246</v>
      </c>
    </row>
    <row r="2686" spans="1:8">
      <c r="A2686" s="183" t="s">
        <v>13247</v>
      </c>
      <c r="E2686" s="206">
        <v>35</v>
      </c>
      <c r="F2686" s="206">
        <v>4627</v>
      </c>
      <c r="G2686" s="183" t="s">
        <v>12103</v>
      </c>
      <c r="H2686" s="183" t="s">
        <v>13248</v>
      </c>
    </row>
    <row r="2687" spans="1:8">
      <c r="A2687" s="183" t="s">
        <v>13249</v>
      </c>
      <c r="C2687" s="183">
        <v>17000</v>
      </c>
      <c r="H2687" s="183" t="s">
        <v>13250</v>
      </c>
    </row>
    <row r="2688" spans="1:8">
      <c r="A2688" s="183" t="s">
        <v>13251</v>
      </c>
      <c r="E2688" s="206">
        <v>250</v>
      </c>
      <c r="F2688" s="206">
        <v>4377</v>
      </c>
      <c r="G2688" s="183" t="s">
        <v>12083</v>
      </c>
      <c r="H2688" s="183" t="s">
        <v>11614</v>
      </c>
    </row>
    <row r="2689" spans="1:8">
      <c r="A2689" s="183" t="s">
        <v>13252</v>
      </c>
      <c r="E2689" s="206">
        <v>25</v>
      </c>
      <c r="F2689" s="206">
        <v>4352</v>
      </c>
      <c r="G2689" s="183" t="s">
        <v>12083</v>
      </c>
      <c r="H2689" s="183" t="s">
        <v>13253</v>
      </c>
    </row>
    <row r="2690" spans="1:8">
      <c r="A2690" s="183" t="s">
        <v>13254</v>
      </c>
      <c r="C2690" s="183">
        <v>25318</v>
      </c>
      <c r="H2690" s="183" t="s">
        <v>13255</v>
      </c>
    </row>
    <row r="2691" spans="1:8">
      <c r="A2691" s="183" t="s">
        <v>13254</v>
      </c>
      <c r="C2691" s="183">
        <v>61326</v>
      </c>
      <c r="H2691" s="183" t="s">
        <v>13256</v>
      </c>
    </row>
    <row r="2692" spans="1:8">
      <c r="A2692" s="183" t="s">
        <v>13254</v>
      </c>
      <c r="C2692" s="183">
        <v>34800</v>
      </c>
      <c r="H2692" s="183" t="s">
        <v>13257</v>
      </c>
    </row>
    <row r="2693" spans="1:8">
      <c r="A2693" s="183" t="s">
        <v>13254</v>
      </c>
      <c r="C2693" s="183">
        <v>2412</v>
      </c>
      <c r="H2693" s="183" t="s">
        <v>13258</v>
      </c>
    </row>
    <row r="2694" spans="1:8">
      <c r="A2694" s="183" t="s">
        <v>13254</v>
      </c>
      <c r="C2694" s="183">
        <v>10047</v>
      </c>
      <c r="H2694" s="183" t="s">
        <v>13259</v>
      </c>
    </row>
    <row r="2695" spans="1:8">
      <c r="A2695" s="183" t="s">
        <v>13260</v>
      </c>
      <c r="E2695" s="206">
        <v>32</v>
      </c>
      <c r="F2695" s="206">
        <v>4320</v>
      </c>
      <c r="G2695" s="183" t="s">
        <v>12083</v>
      </c>
      <c r="H2695" s="183" t="s">
        <v>13261</v>
      </c>
    </row>
    <row r="2696" spans="1:8">
      <c r="A2696" s="183" t="s">
        <v>13260</v>
      </c>
      <c r="E2696" s="206">
        <v>187</v>
      </c>
      <c r="F2696" s="206">
        <v>4133</v>
      </c>
      <c r="G2696" s="183" t="s">
        <v>12121</v>
      </c>
      <c r="H2696" s="183" t="s">
        <v>13262</v>
      </c>
    </row>
    <row r="2697" spans="1:8">
      <c r="A2697" s="183" t="s">
        <v>13260</v>
      </c>
      <c r="E2697" s="206">
        <v>155</v>
      </c>
      <c r="F2697" s="206">
        <v>3978</v>
      </c>
      <c r="G2697" s="183" t="s">
        <v>12706</v>
      </c>
      <c r="H2697" s="183" t="s">
        <v>13263</v>
      </c>
    </row>
    <row r="2698" spans="1:8">
      <c r="A2698" s="183" t="s">
        <v>13264</v>
      </c>
      <c r="E2698" s="206">
        <v>65</v>
      </c>
      <c r="F2698" s="206">
        <v>3913</v>
      </c>
      <c r="G2698" s="183" t="s">
        <v>12121</v>
      </c>
      <c r="H2698" s="183" t="s">
        <v>13263</v>
      </c>
    </row>
    <row r="2699" spans="1:8">
      <c r="A2699" s="183" t="s">
        <v>13265</v>
      </c>
      <c r="E2699" s="206">
        <v>100</v>
      </c>
      <c r="F2699" s="206">
        <v>3813</v>
      </c>
      <c r="G2699" s="183" t="s">
        <v>12083</v>
      </c>
      <c r="H2699" s="183" t="s">
        <v>13266</v>
      </c>
    </row>
    <row r="2700" spans="1:8">
      <c r="A2700" s="183" t="s">
        <v>13267</v>
      </c>
      <c r="C2700" s="183">
        <v>9250</v>
      </c>
      <c r="H2700" s="183" t="s">
        <v>13268</v>
      </c>
    </row>
    <row r="2701" spans="1:8">
      <c r="A2701" s="183" t="s">
        <v>13269</v>
      </c>
      <c r="E2701" s="206">
        <v>200</v>
      </c>
      <c r="F2701" s="206">
        <v>3613</v>
      </c>
      <c r="G2701" s="183" t="s">
        <v>12586</v>
      </c>
      <c r="H2701" s="183" t="s">
        <v>13270</v>
      </c>
    </row>
    <row r="2702" spans="1:8">
      <c r="A2702" s="183" t="s">
        <v>13271</v>
      </c>
      <c r="E2702" s="206">
        <v>195</v>
      </c>
      <c r="F2702" s="206">
        <v>3418</v>
      </c>
      <c r="G2702" s="183" t="s">
        <v>12083</v>
      </c>
      <c r="H2702" s="183" t="s">
        <v>13270</v>
      </c>
    </row>
    <row r="2703" spans="1:8">
      <c r="A2703" s="183" t="s">
        <v>13272</v>
      </c>
      <c r="E2703" s="206">
        <v>1205</v>
      </c>
      <c r="F2703" s="206">
        <v>2213</v>
      </c>
      <c r="G2703" s="183" t="s">
        <v>12090</v>
      </c>
      <c r="H2703" s="183" t="s">
        <v>13273</v>
      </c>
    </row>
    <row r="2704" spans="1:8">
      <c r="A2704" s="183" t="s">
        <v>13274</v>
      </c>
      <c r="C2704" s="183">
        <v>200030</v>
      </c>
      <c r="E2704" s="699"/>
      <c r="F2704" s="699"/>
      <c r="G2704" s="699"/>
      <c r="H2704" s="206" t="s">
        <v>12779</v>
      </c>
    </row>
    <row r="2705" spans="1:8">
      <c r="A2705" s="183" t="s">
        <v>13275</v>
      </c>
      <c r="E2705" s="206">
        <v>18</v>
      </c>
      <c r="F2705" s="206">
        <v>2195</v>
      </c>
      <c r="G2705" s="183" t="s">
        <v>12072</v>
      </c>
      <c r="H2705" s="183" t="s">
        <v>13276</v>
      </c>
    </row>
    <row r="2706" spans="1:8">
      <c r="A2706" s="183" t="s">
        <v>13274</v>
      </c>
      <c r="E2706" s="206">
        <v>200</v>
      </c>
      <c r="F2706" s="206">
        <v>1995</v>
      </c>
      <c r="G2706" s="183" t="s">
        <v>12586</v>
      </c>
      <c r="H2706" s="183" t="s">
        <v>13277</v>
      </c>
    </row>
    <row r="2707" spans="1:8">
      <c r="A2707" s="183" t="s">
        <v>13278</v>
      </c>
      <c r="C2707" s="183">
        <v>17000</v>
      </c>
      <c r="H2707" s="183" t="s">
        <v>13279</v>
      </c>
    </row>
    <row r="2708" spans="1:8">
      <c r="A2708" s="183" t="s">
        <v>13278</v>
      </c>
      <c r="E2708" s="206">
        <v>10</v>
      </c>
      <c r="F2708" s="206">
        <v>1985</v>
      </c>
      <c r="G2708" s="183" t="s">
        <v>11093</v>
      </c>
      <c r="H2708" s="183" t="s">
        <v>13280</v>
      </c>
    </row>
    <row r="2709" spans="1:8">
      <c r="A2709" s="183" t="s">
        <v>13281</v>
      </c>
      <c r="E2709" s="206">
        <v>305</v>
      </c>
      <c r="F2709" s="206">
        <v>1680</v>
      </c>
      <c r="G2709" s="183" t="s">
        <v>12083</v>
      </c>
      <c r="H2709" s="183" t="s">
        <v>13282</v>
      </c>
    </row>
    <row r="2710" spans="1:8">
      <c r="A2710" s="183" t="s">
        <v>13281</v>
      </c>
      <c r="E2710" s="206">
        <v>295</v>
      </c>
      <c r="F2710" s="206">
        <v>1385</v>
      </c>
      <c r="G2710" s="183" t="s">
        <v>12083</v>
      </c>
      <c r="H2710" s="183" t="s">
        <v>11697</v>
      </c>
    </row>
    <row r="2711" spans="1:8">
      <c r="A2711" s="183" t="s">
        <v>13283</v>
      </c>
      <c r="C2711" s="183">
        <v>25318</v>
      </c>
      <c r="H2711" s="183" t="s">
        <v>13284</v>
      </c>
    </row>
    <row r="2712" spans="1:8">
      <c r="A2712" s="183" t="s">
        <v>13283</v>
      </c>
      <c r="C2712" s="183">
        <v>61326</v>
      </c>
      <c r="H2712" s="183" t="s">
        <v>13285</v>
      </c>
    </row>
    <row r="2713" spans="1:8">
      <c r="A2713" s="183" t="s">
        <v>13286</v>
      </c>
      <c r="C2713" s="183">
        <v>8556</v>
      </c>
      <c r="H2713" s="183" t="s">
        <v>13287</v>
      </c>
    </row>
    <row r="2714" spans="1:8">
      <c r="A2714" s="183" t="s">
        <v>13288</v>
      </c>
      <c r="C2714" s="183">
        <v>33182</v>
      </c>
      <c r="H2714" s="183" t="s">
        <v>13289</v>
      </c>
    </row>
    <row r="2715" spans="1:8">
      <c r="A2715" s="183" t="s">
        <v>13288</v>
      </c>
      <c r="E2715" s="206">
        <v>50</v>
      </c>
      <c r="F2715" s="206">
        <v>1335</v>
      </c>
      <c r="G2715" s="183" t="s">
        <v>12103</v>
      </c>
      <c r="H2715" s="183" t="s">
        <v>13290</v>
      </c>
    </row>
    <row r="2716" spans="1:8" ht="82.5">
      <c r="A2716" s="183" t="s">
        <v>13291</v>
      </c>
      <c r="C2716" s="183">
        <v>20000</v>
      </c>
      <c r="E2716" s="206"/>
      <c r="F2716" s="206"/>
      <c r="H2716" s="697" t="s">
        <v>13292</v>
      </c>
    </row>
    <row r="2717" spans="1:8">
      <c r="A2717" s="183" t="s">
        <v>13293</v>
      </c>
      <c r="D2717" s="183">
        <v>5000</v>
      </c>
      <c r="E2717" s="206"/>
      <c r="F2717" s="206">
        <v>6335</v>
      </c>
      <c r="H2717" s="183" t="s">
        <v>12846</v>
      </c>
    </row>
    <row r="2718" spans="1:8">
      <c r="A2718" s="183" t="s">
        <v>13294</v>
      </c>
      <c r="E2718" s="206">
        <v>192</v>
      </c>
      <c r="F2718" s="206">
        <v>6143</v>
      </c>
      <c r="G2718" s="206" t="s">
        <v>12096</v>
      </c>
      <c r="H2718" s="183" t="s">
        <v>13295</v>
      </c>
    </row>
    <row r="2719" spans="1:8">
      <c r="A2719" s="183" t="s">
        <v>13296</v>
      </c>
      <c r="E2719" s="206">
        <v>1205</v>
      </c>
      <c r="F2719" s="206">
        <v>4938</v>
      </c>
      <c r="G2719" s="183" t="s">
        <v>12090</v>
      </c>
      <c r="H2719" s="183" t="s">
        <v>13297</v>
      </c>
    </row>
    <row r="2720" spans="1:8">
      <c r="A2720" s="183" t="s">
        <v>13298</v>
      </c>
      <c r="E2720" s="206">
        <v>330</v>
      </c>
      <c r="F2720" s="206">
        <v>4608</v>
      </c>
      <c r="G2720" s="183" t="s">
        <v>12083</v>
      </c>
      <c r="H2720" s="183" t="s">
        <v>13299</v>
      </c>
    </row>
    <row r="2721" spans="1:8">
      <c r="A2721" s="183" t="s">
        <v>13300</v>
      </c>
      <c r="E2721" s="206">
        <v>345</v>
      </c>
      <c r="F2721" s="206">
        <v>4263</v>
      </c>
      <c r="G2721" s="183" t="s">
        <v>12083</v>
      </c>
      <c r="H2721" s="183" t="s">
        <v>13299</v>
      </c>
    </row>
    <row r="2722" spans="1:8">
      <c r="A2722" s="183" t="s">
        <v>13301</v>
      </c>
      <c r="C2722" s="183">
        <v>1560</v>
      </c>
      <c r="H2722" s="183" t="s">
        <v>13302</v>
      </c>
    </row>
    <row r="2723" spans="1:8">
      <c r="A2723" s="183" t="s">
        <v>13301</v>
      </c>
      <c r="C2723" s="183">
        <v>12390</v>
      </c>
      <c r="H2723" s="183" t="s">
        <v>13303</v>
      </c>
    </row>
    <row r="2724" spans="1:8">
      <c r="A2724" s="183" t="s">
        <v>13304</v>
      </c>
      <c r="E2724" s="206">
        <v>36</v>
      </c>
      <c r="F2724" s="206">
        <v>4227</v>
      </c>
      <c r="G2724" s="183" t="s">
        <v>12133</v>
      </c>
      <c r="H2724" s="183" t="s">
        <v>13305</v>
      </c>
    </row>
    <row r="2725" spans="1:8">
      <c r="A2725" s="183" t="s">
        <v>13306</v>
      </c>
      <c r="E2725" s="183">
        <v>72</v>
      </c>
      <c r="F2725" s="183">
        <v>4155</v>
      </c>
      <c r="G2725" s="183" t="s">
        <v>12103</v>
      </c>
      <c r="H2725" s="183" t="s">
        <v>13307</v>
      </c>
    </row>
    <row r="2726" spans="1:8">
      <c r="A2726" s="183" t="s">
        <v>13260</v>
      </c>
      <c r="E2726" s="206">
        <v>840</v>
      </c>
      <c r="F2726" s="206">
        <v>3315</v>
      </c>
      <c r="G2726" s="183" t="s">
        <v>12121</v>
      </c>
      <c r="H2726" s="183" t="s">
        <v>13308</v>
      </c>
    </row>
    <row r="2727" spans="1:8">
      <c r="A2727" s="183" t="s">
        <v>13309</v>
      </c>
      <c r="E2727" s="183">
        <v>30</v>
      </c>
      <c r="F2727" s="206">
        <v>3285</v>
      </c>
      <c r="G2727" s="183" t="s">
        <v>12103</v>
      </c>
      <c r="H2727" s="183" t="s">
        <v>13310</v>
      </c>
    </row>
    <row r="2728" spans="1:8">
      <c r="A2728" s="183" t="s">
        <v>13311</v>
      </c>
      <c r="E2728" s="206">
        <v>1205</v>
      </c>
      <c r="F2728" s="206">
        <v>2080</v>
      </c>
      <c r="G2728" s="183" t="s">
        <v>12550</v>
      </c>
      <c r="H2728" s="183" t="s">
        <v>13312</v>
      </c>
    </row>
    <row r="2729" spans="1:8">
      <c r="A2729" s="183" t="s">
        <v>13313</v>
      </c>
      <c r="E2729" s="206">
        <v>57</v>
      </c>
      <c r="F2729" s="206">
        <v>2023</v>
      </c>
      <c r="G2729" s="183" t="s">
        <v>12133</v>
      </c>
      <c r="H2729" s="183" t="s">
        <v>13314</v>
      </c>
    </row>
    <row r="2730" spans="1:8">
      <c r="A2730" s="183" t="s">
        <v>13315</v>
      </c>
      <c r="E2730" s="183">
        <v>52</v>
      </c>
      <c r="F2730" s="206">
        <v>1971</v>
      </c>
      <c r="G2730" s="183" t="s">
        <v>12103</v>
      </c>
      <c r="H2730" s="183" t="s">
        <v>13316</v>
      </c>
    </row>
    <row r="2731" spans="1:8">
      <c r="A2731" s="183" t="s">
        <v>13315</v>
      </c>
      <c r="E2731" s="183">
        <v>250</v>
      </c>
      <c r="F2731" s="206">
        <v>1721</v>
      </c>
      <c r="G2731" s="183" t="s">
        <v>12103</v>
      </c>
      <c r="H2731" s="183" t="s">
        <v>13317</v>
      </c>
    </row>
    <row r="2732" spans="1:8">
      <c r="A2732" s="183" t="s">
        <v>13318</v>
      </c>
      <c r="E2732" s="183">
        <v>30</v>
      </c>
      <c r="F2732" s="206">
        <v>1691</v>
      </c>
      <c r="G2732" s="183" t="s">
        <v>12103</v>
      </c>
      <c r="H2732" s="183" t="s">
        <v>13319</v>
      </c>
    </row>
    <row r="2733" spans="1:8">
      <c r="A2733" s="183" t="s">
        <v>13318</v>
      </c>
      <c r="E2733" s="206">
        <v>18</v>
      </c>
      <c r="F2733" s="206">
        <v>1673</v>
      </c>
      <c r="G2733" s="183" t="s">
        <v>12621</v>
      </c>
      <c r="H2733" s="183" t="s">
        <v>13320</v>
      </c>
    </row>
    <row r="2734" spans="1:8">
      <c r="A2734" s="183" t="s">
        <v>13321</v>
      </c>
      <c r="C2734" s="183">
        <v>17000</v>
      </c>
      <c r="H2734" s="183" t="s">
        <v>13322</v>
      </c>
    </row>
    <row r="2735" spans="1:8">
      <c r="A2735" s="183" t="s">
        <v>13323</v>
      </c>
      <c r="C2735" s="183">
        <v>24508</v>
      </c>
      <c r="H2735" s="183" t="s">
        <v>13324</v>
      </c>
    </row>
    <row r="2736" spans="1:8">
      <c r="A2736" s="183" t="s">
        <v>13321</v>
      </c>
      <c r="E2736" s="183">
        <v>35</v>
      </c>
      <c r="F2736" s="206">
        <v>1638</v>
      </c>
      <c r="G2736" s="183" t="s">
        <v>11093</v>
      </c>
      <c r="H2736" s="183" t="s">
        <v>13325</v>
      </c>
    </row>
    <row r="2737" spans="1:8">
      <c r="A2737" s="183" t="s">
        <v>13326</v>
      </c>
      <c r="C2737" s="183">
        <v>11734</v>
      </c>
      <c r="H2737" s="183" t="s">
        <v>13327</v>
      </c>
    </row>
    <row r="2738" spans="1:8">
      <c r="A2738" s="183" t="s">
        <v>13328</v>
      </c>
      <c r="E2738" s="206">
        <v>270</v>
      </c>
      <c r="F2738" s="206">
        <v>1368</v>
      </c>
      <c r="G2738" s="183" t="s">
        <v>12083</v>
      </c>
      <c r="H2738" s="183" t="s">
        <v>13329</v>
      </c>
    </row>
    <row r="2739" spans="1:8">
      <c r="A2739" s="183" t="s">
        <v>13328</v>
      </c>
      <c r="E2739" s="206">
        <v>255</v>
      </c>
      <c r="F2739" s="206">
        <v>1113</v>
      </c>
      <c r="G2739" s="183" t="s">
        <v>12083</v>
      </c>
      <c r="H2739" s="183" t="s">
        <v>13329</v>
      </c>
    </row>
    <row r="2740" spans="1:8">
      <c r="A2740" s="183" t="s">
        <v>13330</v>
      </c>
      <c r="C2740" s="183">
        <v>30000</v>
      </c>
      <c r="E2740" s="206"/>
      <c r="F2740" s="206"/>
      <c r="H2740" s="183" t="s">
        <v>13331</v>
      </c>
    </row>
    <row r="2741" spans="1:8">
      <c r="A2741" s="183" t="s">
        <v>13330</v>
      </c>
      <c r="E2741" s="206">
        <v>410</v>
      </c>
      <c r="F2741" s="206">
        <v>703</v>
      </c>
      <c r="G2741" s="183" t="s">
        <v>12103</v>
      </c>
      <c r="H2741" s="183" t="s">
        <v>13332</v>
      </c>
    </row>
    <row r="2742" spans="1:8">
      <c r="A2742" s="183" t="s">
        <v>13333</v>
      </c>
      <c r="D2742" s="183">
        <v>5000</v>
      </c>
      <c r="E2742" s="206"/>
      <c r="F2742" s="206">
        <v>5703</v>
      </c>
      <c r="H2742" s="183" t="s">
        <v>11466</v>
      </c>
    </row>
    <row r="2743" spans="1:8">
      <c r="A2743" s="183" t="s">
        <v>13334</v>
      </c>
      <c r="E2743" s="206">
        <v>1205</v>
      </c>
      <c r="F2743" s="206">
        <v>4498</v>
      </c>
      <c r="G2743" s="183" t="s">
        <v>12550</v>
      </c>
      <c r="H2743" s="183" t="s">
        <v>13335</v>
      </c>
    </row>
    <row r="2744" spans="1:8">
      <c r="A2744" s="183" t="s">
        <v>13336</v>
      </c>
      <c r="E2744" s="206">
        <v>199</v>
      </c>
      <c r="F2744" s="206">
        <v>4299</v>
      </c>
      <c r="G2744" s="206" t="s">
        <v>12096</v>
      </c>
      <c r="H2744" s="183" t="s">
        <v>13337</v>
      </c>
    </row>
    <row r="2745" spans="1:8">
      <c r="A2745" s="183" t="s">
        <v>13338</v>
      </c>
      <c r="E2745" s="206">
        <v>255</v>
      </c>
      <c r="F2745" s="206">
        <v>4044</v>
      </c>
      <c r="G2745" s="183" t="s">
        <v>12083</v>
      </c>
      <c r="H2745" s="183" t="s">
        <v>13329</v>
      </c>
    </row>
    <row r="2746" spans="1:8">
      <c r="A2746" s="183" t="s">
        <v>13339</v>
      </c>
      <c r="E2746" s="206">
        <v>250</v>
      </c>
      <c r="F2746" s="206">
        <v>3794</v>
      </c>
      <c r="G2746" s="183" t="s">
        <v>12083</v>
      </c>
      <c r="H2746" s="183" t="s">
        <v>13329</v>
      </c>
    </row>
    <row r="2747" spans="1:8">
      <c r="A2747" s="183" t="s">
        <v>13340</v>
      </c>
      <c r="C2747" s="183">
        <v>17000</v>
      </c>
      <c r="H2747" s="183" t="s">
        <v>13341</v>
      </c>
    </row>
    <row r="2748" spans="1:8">
      <c r="A2748" s="183" t="s">
        <v>13342</v>
      </c>
      <c r="C2748" s="183">
        <v>230030</v>
      </c>
      <c r="E2748" s="699"/>
      <c r="F2748" s="699"/>
      <c r="G2748" s="699"/>
      <c r="H2748" s="206" t="s">
        <v>12779</v>
      </c>
    </row>
    <row r="2749" spans="1:8">
      <c r="A2749" s="183" t="s">
        <v>13342</v>
      </c>
      <c r="E2749" s="183">
        <v>300</v>
      </c>
      <c r="F2749" s="183">
        <v>3494</v>
      </c>
      <c r="G2749" s="183" t="s">
        <v>12547</v>
      </c>
      <c r="H2749" s="183" t="s">
        <v>13084</v>
      </c>
    </row>
    <row r="2750" spans="1:8">
      <c r="A2750" s="183" t="s">
        <v>13343</v>
      </c>
      <c r="C2750" s="183">
        <v>2221</v>
      </c>
      <c r="H2750" s="183" t="s">
        <v>13344</v>
      </c>
    </row>
    <row r="2751" spans="1:8">
      <c r="A2751" s="183" t="s">
        <v>13345</v>
      </c>
      <c r="C2751" s="183">
        <v>8886</v>
      </c>
      <c r="H2751" s="183" t="s">
        <v>13346</v>
      </c>
    </row>
    <row r="2752" spans="1:8">
      <c r="A2752" s="183" t="s">
        <v>13343</v>
      </c>
      <c r="C2752" s="183">
        <v>25318</v>
      </c>
      <c r="H2752" s="183" t="s">
        <v>13347</v>
      </c>
    </row>
    <row r="2753" spans="1:8">
      <c r="A2753" s="183" t="s">
        <v>13343</v>
      </c>
      <c r="C2753" s="183">
        <v>61326</v>
      </c>
      <c r="H2753" s="183" t="s">
        <v>13348</v>
      </c>
    </row>
    <row r="2754" spans="1:8">
      <c r="A2754" s="183" t="s">
        <v>13345</v>
      </c>
      <c r="C2754" s="183">
        <v>19000</v>
      </c>
      <c r="H2754" s="183" t="s">
        <v>13349</v>
      </c>
    </row>
    <row r="2755" spans="1:8">
      <c r="A2755" s="183" t="s">
        <v>13350</v>
      </c>
      <c r="E2755" s="206">
        <v>210</v>
      </c>
      <c r="F2755" s="206">
        <v>3284</v>
      </c>
      <c r="G2755" s="183" t="s">
        <v>12586</v>
      </c>
      <c r="H2755" s="183" t="s">
        <v>13351</v>
      </c>
    </row>
    <row r="2756" spans="1:8">
      <c r="A2756" s="183" t="s">
        <v>13350</v>
      </c>
      <c r="E2756" s="206">
        <v>190</v>
      </c>
      <c r="F2756" s="206">
        <v>3094</v>
      </c>
      <c r="G2756" s="183" t="s">
        <v>12083</v>
      </c>
      <c r="H2756" s="183" t="s">
        <v>13352</v>
      </c>
    </row>
    <row r="2757" spans="1:8">
      <c r="A2757" s="183" t="s">
        <v>13353</v>
      </c>
      <c r="E2757" s="183">
        <v>45</v>
      </c>
      <c r="F2757" s="206">
        <v>3049</v>
      </c>
      <c r="G2757" s="183" t="s">
        <v>12103</v>
      </c>
      <c r="H2757" s="183" t="s">
        <v>13354</v>
      </c>
    </row>
    <row r="2758" spans="1:8">
      <c r="A2758" s="183" t="s">
        <v>13355</v>
      </c>
      <c r="E2758" s="206">
        <v>145</v>
      </c>
      <c r="F2758" s="206">
        <v>2904</v>
      </c>
      <c r="G2758" s="183" t="s">
        <v>12083</v>
      </c>
      <c r="H2758" s="183" t="s">
        <v>13356</v>
      </c>
    </row>
    <row r="2759" spans="1:8">
      <c r="A2759" s="183" t="s">
        <v>13355</v>
      </c>
      <c r="E2759" s="206">
        <v>155</v>
      </c>
      <c r="F2759" s="206">
        <v>2749</v>
      </c>
      <c r="G2759" s="183" t="s">
        <v>12083</v>
      </c>
      <c r="H2759" s="183" t="s">
        <v>13356</v>
      </c>
    </row>
    <row r="2760" spans="1:8">
      <c r="A2760" s="183" t="s">
        <v>13357</v>
      </c>
      <c r="E2760" s="183">
        <v>25</v>
      </c>
      <c r="F2760" s="206">
        <v>2724</v>
      </c>
      <c r="G2760" s="183" t="s">
        <v>12103</v>
      </c>
      <c r="H2760" s="183" t="s">
        <v>13358</v>
      </c>
    </row>
    <row r="2761" spans="1:8">
      <c r="A2761" s="183" t="s">
        <v>13359</v>
      </c>
      <c r="E2761" s="183">
        <v>32</v>
      </c>
      <c r="F2761" s="206">
        <v>2692</v>
      </c>
      <c r="G2761" s="183" t="s">
        <v>12103</v>
      </c>
      <c r="H2761" s="183" t="s">
        <v>13360</v>
      </c>
    </row>
    <row r="2762" spans="1:8">
      <c r="A2762" s="183" t="s">
        <v>13361</v>
      </c>
      <c r="B2762" s="183">
        <v>50000</v>
      </c>
      <c r="F2762" s="206"/>
      <c r="H2762" s="183" t="s">
        <v>13362</v>
      </c>
    </row>
    <row r="2763" spans="1:8">
      <c r="A2763" s="183" t="s">
        <v>13363</v>
      </c>
      <c r="C2763" s="183">
        <v>130030</v>
      </c>
      <c r="E2763" s="699"/>
      <c r="F2763" s="699"/>
      <c r="G2763" s="699"/>
      <c r="H2763" s="206" t="s">
        <v>13364</v>
      </c>
    </row>
    <row r="2764" spans="1:8">
      <c r="A2764" s="183" t="s">
        <v>13365</v>
      </c>
      <c r="B2764" s="183">
        <v>130000</v>
      </c>
      <c r="E2764" s="699"/>
      <c r="F2764" s="699"/>
      <c r="G2764" s="699"/>
      <c r="H2764" s="206" t="s">
        <v>13366</v>
      </c>
    </row>
    <row r="2765" spans="1:8">
      <c r="A2765" s="183" t="s">
        <v>13367</v>
      </c>
      <c r="E2765" s="206">
        <v>1205</v>
      </c>
      <c r="F2765" s="206">
        <v>1487</v>
      </c>
      <c r="G2765" s="183" t="s">
        <v>12090</v>
      </c>
      <c r="H2765" s="183" t="s">
        <v>13368</v>
      </c>
    </row>
    <row r="2766" spans="1:8" s="704" customFormat="1" ht="6.75" customHeight="1">
      <c r="E2766" s="709"/>
      <c r="F2766" s="709"/>
      <c r="G2766" s="709"/>
      <c r="H2766" s="708"/>
    </row>
    <row r="2767" spans="1:8">
      <c r="A2767" s="183" t="s">
        <v>13369</v>
      </c>
      <c r="C2767" s="183">
        <v>17000</v>
      </c>
      <c r="H2767" s="183" t="s">
        <v>13370</v>
      </c>
    </row>
    <row r="2768" spans="1:8">
      <c r="A2768" s="183" t="s">
        <v>3235</v>
      </c>
      <c r="C2768" s="183">
        <v>25318</v>
      </c>
      <c r="H2768" s="183" t="s">
        <v>13371</v>
      </c>
    </row>
    <row r="2769" spans="1:8">
      <c r="A2769" s="183" t="s">
        <v>3235</v>
      </c>
      <c r="C2769" s="183">
        <v>61326</v>
      </c>
      <c r="H2769" s="183" t="s">
        <v>13372</v>
      </c>
    </row>
    <row r="2770" spans="1:8">
      <c r="A2770" s="183" t="s">
        <v>3235</v>
      </c>
      <c r="C2770" s="183">
        <v>54000</v>
      </c>
      <c r="H2770" s="183" t="s">
        <v>13373</v>
      </c>
    </row>
    <row r="2771" spans="1:8">
      <c r="A2771" s="183" t="s">
        <v>3235</v>
      </c>
      <c r="C2771" s="183">
        <v>50000</v>
      </c>
      <c r="F2771" s="206"/>
      <c r="H2771" s="183" t="s">
        <v>13374</v>
      </c>
    </row>
    <row r="2772" spans="1:8">
      <c r="A2772" s="183" t="s">
        <v>3235</v>
      </c>
      <c r="C2772" s="183">
        <v>3400</v>
      </c>
      <c r="H2772" s="183" t="s">
        <v>13375</v>
      </c>
    </row>
    <row r="2773" spans="1:8">
      <c r="A2773" s="183" t="s">
        <v>3235</v>
      </c>
      <c r="C2773" s="183">
        <v>5976</v>
      </c>
      <c r="H2773" s="183" t="s">
        <v>13376</v>
      </c>
    </row>
    <row r="2774" spans="1:8">
      <c r="A2774" s="183" t="s">
        <v>4432</v>
      </c>
      <c r="E2774" s="206">
        <v>18</v>
      </c>
      <c r="F2774" s="206">
        <v>1469</v>
      </c>
      <c r="G2774" s="183" t="s">
        <v>12072</v>
      </c>
      <c r="H2774" s="183" t="s">
        <v>13377</v>
      </c>
    </row>
    <row r="2775" spans="1:8">
      <c r="A2775" s="183" t="s">
        <v>13378</v>
      </c>
      <c r="C2775" s="183">
        <v>32615</v>
      </c>
      <c r="H2775" s="183" t="s">
        <v>13379</v>
      </c>
    </row>
    <row r="2776" spans="1:8">
      <c r="A2776" s="183" t="s">
        <v>13378</v>
      </c>
      <c r="C2776" s="183">
        <v>38571</v>
      </c>
      <c r="H2776" s="183" t="s">
        <v>13380</v>
      </c>
    </row>
    <row r="2777" spans="1:8">
      <c r="A2777" s="183" t="s">
        <v>13381</v>
      </c>
      <c r="E2777" s="183">
        <v>92</v>
      </c>
      <c r="F2777" s="183">
        <v>1377</v>
      </c>
      <c r="G2777" s="183" t="s">
        <v>12083</v>
      </c>
      <c r="H2777" s="183" t="s">
        <v>13005</v>
      </c>
    </row>
    <row r="2778" spans="1:8">
      <c r="A2778" s="183" t="s">
        <v>13382</v>
      </c>
      <c r="E2778" s="183">
        <v>70</v>
      </c>
      <c r="F2778" s="206">
        <v>1307</v>
      </c>
      <c r="G2778" s="183" t="s">
        <v>12103</v>
      </c>
      <c r="H2778" s="183" t="s">
        <v>13383</v>
      </c>
    </row>
    <row r="2779" spans="1:8">
      <c r="A2779" s="183" t="s">
        <v>13382</v>
      </c>
      <c r="E2779" s="183">
        <v>115</v>
      </c>
      <c r="F2779" s="206">
        <v>1192</v>
      </c>
      <c r="G2779" s="183" t="s">
        <v>12121</v>
      </c>
      <c r="H2779" s="183" t="s">
        <v>13384</v>
      </c>
    </row>
    <row r="2780" spans="1:8">
      <c r="A2780" s="183" t="s">
        <v>13385</v>
      </c>
      <c r="D2780" s="183">
        <v>5000</v>
      </c>
      <c r="E2780" s="206"/>
      <c r="F2780" s="206">
        <v>6192</v>
      </c>
      <c r="H2780" s="183" t="s">
        <v>11466</v>
      </c>
    </row>
    <row r="2781" spans="1:8">
      <c r="A2781" s="183" t="s">
        <v>13386</v>
      </c>
      <c r="E2781" s="206">
        <v>1205</v>
      </c>
      <c r="F2781" s="206">
        <v>4987</v>
      </c>
      <c r="G2781" s="183" t="s">
        <v>12090</v>
      </c>
      <c r="H2781" s="183" t="s">
        <v>13387</v>
      </c>
    </row>
    <row r="2782" spans="1:8">
      <c r="A2782" s="183" t="s">
        <v>13386</v>
      </c>
      <c r="E2782" s="183">
        <v>74</v>
      </c>
      <c r="F2782" s="206">
        <v>4913</v>
      </c>
      <c r="G2782" s="183" t="s">
        <v>12103</v>
      </c>
      <c r="H2782" s="183" t="s">
        <v>13388</v>
      </c>
    </row>
    <row r="2783" spans="1:8">
      <c r="A2783" s="183" t="s">
        <v>13389</v>
      </c>
      <c r="E2783" s="206">
        <v>199</v>
      </c>
      <c r="F2783" s="206">
        <v>4714</v>
      </c>
      <c r="G2783" s="206" t="s">
        <v>13053</v>
      </c>
      <c r="H2783" s="183" t="s">
        <v>13337</v>
      </c>
    </row>
    <row r="2784" spans="1:8">
      <c r="E2784" s="206"/>
      <c r="F2784" s="206"/>
      <c r="H2784" s="696" t="s">
        <v>12912</v>
      </c>
    </row>
    <row r="2785" spans="1:8">
      <c r="A2785" s="183" t="s">
        <v>13390</v>
      </c>
      <c r="E2785" s="183">
        <v>1960</v>
      </c>
      <c r="F2785" s="206">
        <v>2754</v>
      </c>
      <c r="G2785" s="183" t="s">
        <v>12706</v>
      </c>
      <c r="H2785" s="183" t="s">
        <v>13391</v>
      </c>
    </row>
    <row r="2786" spans="1:8">
      <c r="A2786" s="183" t="s">
        <v>13390</v>
      </c>
      <c r="E2786" s="206">
        <v>15</v>
      </c>
      <c r="F2786" s="206">
        <v>2739</v>
      </c>
      <c r="G2786" s="183" t="s">
        <v>12072</v>
      </c>
      <c r="H2786" s="183" t="s">
        <v>13392</v>
      </c>
    </row>
    <row r="2787" spans="1:8">
      <c r="A2787" s="183" t="s">
        <v>13393</v>
      </c>
      <c r="C2787" s="183">
        <v>25318</v>
      </c>
      <c r="H2787" s="183" t="s">
        <v>13394</v>
      </c>
    </row>
    <row r="2788" spans="1:8">
      <c r="A2788" s="183" t="s">
        <v>13395</v>
      </c>
      <c r="C2788" s="183">
        <v>61326</v>
      </c>
      <c r="H2788" s="183" t="s">
        <v>13396</v>
      </c>
    </row>
    <row r="2789" spans="1:8">
      <c r="A2789" s="183" t="s">
        <v>13393</v>
      </c>
      <c r="C2789" s="183">
        <v>40000</v>
      </c>
      <c r="H2789" s="183" t="s">
        <v>13397</v>
      </c>
    </row>
    <row r="2790" spans="1:8">
      <c r="A2790" s="183" t="s">
        <v>13393</v>
      </c>
      <c r="C2790" s="183">
        <v>423</v>
      </c>
      <c r="H2790" s="183" t="s">
        <v>13398</v>
      </c>
    </row>
    <row r="2791" spans="1:8" ht="49.5">
      <c r="A2791" s="183" t="s">
        <v>13399</v>
      </c>
      <c r="C2791" s="183">
        <v>18000</v>
      </c>
      <c r="E2791" s="206"/>
      <c r="F2791" s="206"/>
      <c r="H2791" s="694" t="s">
        <v>13400</v>
      </c>
    </row>
    <row r="2792" spans="1:8">
      <c r="A2792" s="183" t="s">
        <v>13401</v>
      </c>
      <c r="E2792" s="206">
        <v>18</v>
      </c>
      <c r="F2792" s="206">
        <v>2721</v>
      </c>
      <c r="G2792" s="183" t="s">
        <v>12072</v>
      </c>
      <c r="H2792" s="183" t="s">
        <v>13402</v>
      </c>
    </row>
    <row r="2793" spans="1:8">
      <c r="A2793" s="183" t="s">
        <v>13401</v>
      </c>
      <c r="E2793" s="206">
        <v>1205</v>
      </c>
      <c r="F2793" s="206">
        <v>1516</v>
      </c>
      <c r="G2793" s="183" t="s">
        <v>12090</v>
      </c>
      <c r="H2793" s="183" t="s">
        <v>13403</v>
      </c>
    </row>
    <row r="2794" spans="1:8">
      <c r="A2794" s="183" t="s">
        <v>13401</v>
      </c>
      <c r="E2794" s="206">
        <v>200</v>
      </c>
      <c r="F2794" s="206">
        <v>1316</v>
      </c>
      <c r="G2794" s="183" t="s">
        <v>12586</v>
      </c>
      <c r="H2794" s="183" t="s">
        <v>13277</v>
      </c>
    </row>
    <row r="2795" spans="1:8">
      <c r="A2795" s="183" t="s">
        <v>13404</v>
      </c>
      <c r="D2795" s="183">
        <v>5000</v>
      </c>
      <c r="E2795" s="206"/>
      <c r="F2795" s="206">
        <v>6316</v>
      </c>
      <c r="H2795" s="183" t="s">
        <v>11466</v>
      </c>
    </row>
    <row r="2796" spans="1:8">
      <c r="A2796" s="183" t="s">
        <v>13404</v>
      </c>
      <c r="E2796" s="183">
        <v>128</v>
      </c>
      <c r="F2796" s="206">
        <v>6188</v>
      </c>
      <c r="G2796" s="183" t="s">
        <v>12103</v>
      </c>
      <c r="H2796" s="183" t="s">
        <v>13405</v>
      </c>
    </row>
    <row r="2797" spans="1:8">
      <c r="A2797" s="183" t="s">
        <v>13406</v>
      </c>
      <c r="E2797" s="183">
        <v>520</v>
      </c>
      <c r="F2797" s="206">
        <v>5668</v>
      </c>
      <c r="G2797" s="183" t="s">
        <v>12103</v>
      </c>
      <c r="H2797" s="183" t="s">
        <v>13407</v>
      </c>
    </row>
    <row r="2798" spans="1:8">
      <c r="A2798" s="183" t="s">
        <v>13408</v>
      </c>
      <c r="C2798" s="183">
        <v>17000</v>
      </c>
      <c r="H2798" s="183" t="s">
        <v>13409</v>
      </c>
    </row>
    <row r="2799" spans="1:8">
      <c r="A2799" s="183" t="s">
        <v>13410</v>
      </c>
      <c r="C2799" s="183">
        <v>25318</v>
      </c>
      <c r="H2799" s="183" t="s">
        <v>13411</v>
      </c>
    </row>
    <row r="2800" spans="1:8">
      <c r="A2800" s="183" t="s">
        <v>13410</v>
      </c>
      <c r="C2800" s="183">
        <v>61326</v>
      </c>
      <c r="H2800" s="183" t="s">
        <v>13412</v>
      </c>
    </row>
    <row r="2801" spans="1:8">
      <c r="A2801" s="183" t="s">
        <v>13413</v>
      </c>
      <c r="C2801" s="183">
        <v>11328</v>
      </c>
      <c r="H2801" s="183" t="s">
        <v>13414</v>
      </c>
    </row>
    <row r="2802" spans="1:8">
      <c r="A2802" s="183" t="s">
        <v>13415</v>
      </c>
      <c r="C2802" s="183">
        <v>4080</v>
      </c>
      <c r="H2802" s="183" t="s">
        <v>13416</v>
      </c>
    </row>
    <row r="2803" spans="1:8">
      <c r="A2803" s="183" t="s">
        <v>13417</v>
      </c>
      <c r="C2803" s="183">
        <v>5059</v>
      </c>
      <c r="H2803" s="183" t="s">
        <v>13418</v>
      </c>
    </row>
    <row r="2804" spans="1:8">
      <c r="A2804" s="183" t="s">
        <v>13413</v>
      </c>
      <c r="E2804" s="206">
        <v>400</v>
      </c>
      <c r="F2804" s="206">
        <v>5268</v>
      </c>
      <c r="G2804" s="183" t="s">
        <v>12083</v>
      </c>
      <c r="H2804" s="183" t="s">
        <v>13419</v>
      </c>
    </row>
    <row r="2805" spans="1:8">
      <c r="A2805" s="183" t="s">
        <v>13413</v>
      </c>
      <c r="E2805" s="206">
        <v>430</v>
      </c>
      <c r="F2805" s="206">
        <v>4838</v>
      </c>
      <c r="G2805" s="183" t="s">
        <v>12083</v>
      </c>
      <c r="H2805" s="183" t="s">
        <v>13419</v>
      </c>
    </row>
    <row r="2806" spans="1:8">
      <c r="A2806" s="183" t="s">
        <v>13420</v>
      </c>
      <c r="E2806" s="206">
        <v>193</v>
      </c>
      <c r="F2806" s="206">
        <v>4645</v>
      </c>
      <c r="G2806" s="183" t="s">
        <v>12072</v>
      </c>
      <c r="H2806" s="183" t="s">
        <v>13421</v>
      </c>
    </row>
    <row r="2807" spans="1:8">
      <c r="A2807" s="183" t="s">
        <v>13422</v>
      </c>
      <c r="E2807" s="206">
        <v>265</v>
      </c>
      <c r="F2807" s="206">
        <v>4380</v>
      </c>
      <c r="G2807" s="183" t="s">
        <v>12083</v>
      </c>
      <c r="H2807" s="183" t="s">
        <v>13423</v>
      </c>
    </row>
    <row r="2808" spans="1:8">
      <c r="A2808" s="183" t="s">
        <v>13422</v>
      </c>
      <c r="E2808" s="206">
        <v>335</v>
      </c>
      <c r="F2808" s="206">
        <v>4045</v>
      </c>
      <c r="G2808" s="183" t="s">
        <v>12083</v>
      </c>
      <c r="H2808" s="183" t="s">
        <v>13423</v>
      </c>
    </row>
    <row r="2809" spans="1:8">
      <c r="A2809" s="183" t="s">
        <v>13424</v>
      </c>
      <c r="E2809" s="206">
        <v>1205</v>
      </c>
      <c r="F2809" s="206">
        <v>2840</v>
      </c>
      <c r="G2809" s="183" t="s">
        <v>12090</v>
      </c>
      <c r="H2809" s="183" t="s">
        <v>13425</v>
      </c>
    </row>
    <row r="2810" spans="1:8">
      <c r="A2810" s="183" t="s">
        <v>13424</v>
      </c>
      <c r="B2810" s="183">
        <v>70000</v>
      </c>
      <c r="E2810" s="699"/>
      <c r="F2810" s="699"/>
      <c r="G2810" s="699"/>
      <c r="H2810" s="206" t="s">
        <v>13366</v>
      </c>
    </row>
    <row r="2811" spans="1:8">
      <c r="A2811" s="183" t="s">
        <v>13426</v>
      </c>
      <c r="C2811" s="183">
        <v>17000</v>
      </c>
      <c r="H2811" s="183" t="s">
        <v>13427</v>
      </c>
    </row>
    <row r="2812" spans="1:8">
      <c r="A2812" s="183" t="s">
        <v>13428</v>
      </c>
      <c r="C2812" s="183">
        <v>25318</v>
      </c>
      <c r="H2812" s="183" t="s">
        <v>13429</v>
      </c>
    </row>
    <row r="2813" spans="1:8">
      <c r="A2813" s="183" t="s">
        <v>13426</v>
      </c>
      <c r="C2813" s="183">
        <v>61326</v>
      </c>
      <c r="H2813" s="183" t="s">
        <v>13430</v>
      </c>
    </row>
    <row r="2814" spans="1:8">
      <c r="A2814" s="183" t="s">
        <v>13426</v>
      </c>
      <c r="C2814" s="183">
        <v>15000</v>
      </c>
      <c r="H2814" s="183" t="s">
        <v>13431</v>
      </c>
    </row>
    <row r="2815" spans="1:8">
      <c r="A2815" s="183" t="s">
        <v>13432</v>
      </c>
      <c r="C2815" s="183">
        <v>19161</v>
      </c>
      <c r="H2815" s="183" t="s">
        <v>13433</v>
      </c>
    </row>
    <row r="2816" spans="1:8">
      <c r="A2816" s="183" t="s">
        <v>13434</v>
      </c>
      <c r="E2816" s="206">
        <v>209</v>
      </c>
      <c r="F2816" s="206">
        <v>2631</v>
      </c>
      <c r="G2816" s="206" t="s">
        <v>12096</v>
      </c>
      <c r="H2816" s="183" t="s">
        <v>13435</v>
      </c>
    </row>
    <row r="2817" spans="1:8">
      <c r="A2817" s="183" t="s">
        <v>13436</v>
      </c>
      <c r="C2817" s="183">
        <v>1000</v>
      </c>
      <c r="H2817" s="183" t="s">
        <v>13437</v>
      </c>
    </row>
    <row r="2818" spans="1:8" ht="66">
      <c r="A2818" s="183" t="s">
        <v>13438</v>
      </c>
      <c r="C2818" s="183">
        <v>18000</v>
      </c>
      <c r="E2818" s="206"/>
      <c r="F2818" s="206"/>
      <c r="H2818" s="694" t="s">
        <v>13439</v>
      </c>
    </row>
    <row r="2819" spans="1:8">
      <c r="A2819" s="183" t="s">
        <v>13440</v>
      </c>
      <c r="E2819" s="206">
        <v>340</v>
      </c>
      <c r="F2819" s="206">
        <v>2291</v>
      </c>
      <c r="G2819" s="183" t="s">
        <v>12083</v>
      </c>
      <c r="H2819" s="183" t="s">
        <v>13441</v>
      </c>
    </row>
    <row r="2820" spans="1:8">
      <c r="A2820" s="183" t="s">
        <v>13440</v>
      </c>
      <c r="E2820" s="206">
        <v>350</v>
      </c>
      <c r="F2820" s="206">
        <v>1941</v>
      </c>
      <c r="G2820" s="183" t="s">
        <v>12083</v>
      </c>
      <c r="H2820" s="183" t="s">
        <v>13441</v>
      </c>
    </row>
    <row r="2821" spans="1:8">
      <c r="A2821" s="183" t="s">
        <v>13442</v>
      </c>
      <c r="E2821" s="206">
        <v>415</v>
      </c>
      <c r="F2821" s="206">
        <v>1526</v>
      </c>
      <c r="G2821" s="183" t="s">
        <v>12083</v>
      </c>
      <c r="H2821" s="183" t="s">
        <v>13443</v>
      </c>
    </row>
    <row r="2822" spans="1:8">
      <c r="A2822" s="183" t="s">
        <v>13442</v>
      </c>
      <c r="E2822" s="206">
        <v>380</v>
      </c>
      <c r="F2822" s="206">
        <v>1146</v>
      </c>
      <c r="G2822" s="183" t="s">
        <v>12083</v>
      </c>
      <c r="H2822" s="183" t="s">
        <v>13443</v>
      </c>
    </row>
    <row r="2823" spans="1:8">
      <c r="A2823" s="183" t="s">
        <v>13444</v>
      </c>
      <c r="E2823" s="206">
        <v>18</v>
      </c>
      <c r="F2823" s="206">
        <v>1128</v>
      </c>
      <c r="G2823" s="183" t="s">
        <v>12072</v>
      </c>
      <c r="H2823" s="183" t="s">
        <v>13445</v>
      </c>
    </row>
    <row r="2824" spans="1:8">
      <c r="A2824" s="183" t="s">
        <v>13446</v>
      </c>
      <c r="D2824" s="183">
        <v>5000</v>
      </c>
      <c r="E2824" s="206"/>
      <c r="F2824" s="206">
        <v>6128</v>
      </c>
      <c r="H2824" s="183" t="s">
        <v>11466</v>
      </c>
    </row>
    <row r="2825" spans="1:8">
      <c r="A2825" s="183" t="s">
        <v>13446</v>
      </c>
      <c r="E2825" s="206">
        <v>121</v>
      </c>
      <c r="F2825" s="206">
        <v>6007</v>
      </c>
      <c r="G2825" s="183" t="s">
        <v>12103</v>
      </c>
      <c r="H2825" s="183" t="s">
        <v>13173</v>
      </c>
    </row>
    <row r="2826" spans="1:8">
      <c r="A2826" s="183" t="s">
        <v>13447</v>
      </c>
      <c r="E2826" s="206">
        <v>1205</v>
      </c>
      <c r="F2826" s="206">
        <v>4802</v>
      </c>
      <c r="G2826" s="183" t="s">
        <v>12550</v>
      </c>
      <c r="H2826" s="183" t="s">
        <v>13448</v>
      </c>
    </row>
    <row r="2827" spans="1:8">
      <c r="A2827" s="183" t="s">
        <v>13449</v>
      </c>
      <c r="C2827" s="183">
        <v>17000</v>
      </c>
      <c r="H2827" s="183" t="s">
        <v>13450</v>
      </c>
    </row>
    <row r="2828" spans="1:8">
      <c r="A2828" s="183" t="s">
        <v>13449</v>
      </c>
      <c r="C2828" s="183">
        <v>9913</v>
      </c>
      <c r="H2828" s="183" t="s">
        <v>13451</v>
      </c>
    </row>
    <row r="2829" spans="1:8">
      <c r="A2829" s="183" t="s">
        <v>13452</v>
      </c>
      <c r="E2829" s="206">
        <v>120</v>
      </c>
      <c r="F2829" s="206">
        <v>4682</v>
      </c>
      <c r="G2829" s="183" t="s">
        <v>12133</v>
      </c>
      <c r="H2829" s="183" t="s">
        <v>13453</v>
      </c>
    </row>
    <row r="2830" spans="1:8">
      <c r="A2830" s="183" t="s">
        <v>13454</v>
      </c>
      <c r="E2830" s="206">
        <v>192</v>
      </c>
      <c r="F2830" s="206">
        <v>4490</v>
      </c>
      <c r="G2830" s="183" t="s">
        <v>12133</v>
      </c>
      <c r="H2830" s="183" t="s">
        <v>13455</v>
      </c>
    </row>
    <row r="2831" spans="1:8">
      <c r="H2831" s="696" t="s">
        <v>13456</v>
      </c>
    </row>
    <row r="2832" spans="1:8">
      <c r="A2832" s="183" t="s">
        <v>13457</v>
      </c>
      <c r="C2832" s="183">
        <v>16288</v>
      </c>
      <c r="H2832" s="183" t="s">
        <v>13458</v>
      </c>
    </row>
    <row r="2833" spans="1:8">
      <c r="A2833" s="183" t="s">
        <v>13457</v>
      </c>
      <c r="C2833" s="183">
        <v>25318</v>
      </c>
      <c r="H2833" s="183" t="s">
        <v>13459</v>
      </c>
    </row>
    <row r="2834" spans="1:8">
      <c r="A2834" s="183" t="s">
        <v>13457</v>
      </c>
      <c r="C2834" s="183">
        <v>61326</v>
      </c>
      <c r="H2834" s="183" t="s">
        <v>13460</v>
      </c>
    </row>
    <row r="2835" spans="1:8">
      <c r="A2835" s="183" t="s">
        <v>13457</v>
      </c>
      <c r="C2835" s="183">
        <v>20300</v>
      </c>
      <c r="H2835" s="183" t="s">
        <v>13461</v>
      </c>
    </row>
    <row r="2836" spans="1:8">
      <c r="A2836" s="183" t="s">
        <v>13462</v>
      </c>
      <c r="E2836" s="206">
        <v>35</v>
      </c>
      <c r="F2836" s="206">
        <v>4455</v>
      </c>
      <c r="G2836" s="183" t="s">
        <v>12103</v>
      </c>
      <c r="H2836" s="183" t="s">
        <v>13463</v>
      </c>
    </row>
    <row r="2837" spans="1:8">
      <c r="A2837" s="183" t="s">
        <v>13464</v>
      </c>
      <c r="E2837" s="206">
        <v>200</v>
      </c>
      <c r="F2837" s="206">
        <v>4255</v>
      </c>
      <c r="G2837" s="183" t="s">
        <v>12083</v>
      </c>
      <c r="H2837" s="183" t="s">
        <v>13465</v>
      </c>
    </row>
    <row r="2838" spans="1:8">
      <c r="A2838" s="183" t="s">
        <v>13466</v>
      </c>
      <c r="C2838" s="183">
        <v>250030</v>
      </c>
      <c r="H2838" s="183" t="s">
        <v>13467</v>
      </c>
    </row>
    <row r="2839" spans="1:8">
      <c r="A2839" s="183" t="s">
        <v>13468</v>
      </c>
      <c r="E2839" s="206">
        <v>145</v>
      </c>
      <c r="F2839" s="206">
        <v>4110</v>
      </c>
      <c r="G2839" s="183" t="s">
        <v>12083</v>
      </c>
      <c r="H2839" s="183" t="s">
        <v>13469</v>
      </c>
    </row>
    <row r="2840" spans="1:8">
      <c r="A2840" s="183" t="s">
        <v>13470</v>
      </c>
      <c r="E2840" s="206">
        <v>25</v>
      </c>
      <c r="F2840" s="206">
        <v>4085</v>
      </c>
      <c r="G2840" s="183" t="s">
        <v>12586</v>
      </c>
      <c r="H2840" s="183" t="s">
        <v>13469</v>
      </c>
    </row>
    <row r="2841" spans="1:8">
      <c r="A2841" s="183" t="s">
        <v>13471</v>
      </c>
      <c r="E2841" s="206">
        <v>140</v>
      </c>
      <c r="F2841" s="206">
        <v>3945</v>
      </c>
      <c r="G2841" s="183" t="s">
        <v>12083</v>
      </c>
      <c r="H2841" s="183" t="s">
        <v>13472</v>
      </c>
    </row>
    <row r="2842" spans="1:8">
      <c r="A2842" s="183" t="s">
        <v>13466</v>
      </c>
      <c r="E2842" s="206">
        <v>1205</v>
      </c>
      <c r="F2842" s="206">
        <v>2740</v>
      </c>
      <c r="G2842" s="183" t="s">
        <v>12550</v>
      </c>
      <c r="H2842" s="183" t="s">
        <v>13473</v>
      </c>
    </row>
    <row r="2843" spans="1:8">
      <c r="A2843" s="183" t="s">
        <v>13474</v>
      </c>
      <c r="E2843" s="183">
        <v>173</v>
      </c>
      <c r="F2843" s="206">
        <v>2567</v>
      </c>
      <c r="G2843" s="183" t="s">
        <v>12133</v>
      </c>
      <c r="H2843" s="183" t="s">
        <v>13475</v>
      </c>
    </row>
    <row r="2844" spans="1:8">
      <c r="A2844" s="183" t="s">
        <v>13476</v>
      </c>
      <c r="E2844" s="206">
        <v>231</v>
      </c>
      <c r="F2844" s="206">
        <v>2336</v>
      </c>
      <c r="G2844" s="206" t="s">
        <v>12096</v>
      </c>
      <c r="H2844" s="183" t="s">
        <v>13477</v>
      </c>
    </row>
    <row r="2845" spans="1:8">
      <c r="A2845" s="183" t="s">
        <v>13478</v>
      </c>
      <c r="C2845" s="183">
        <v>17000</v>
      </c>
      <c r="H2845" s="183" t="s">
        <v>13479</v>
      </c>
    </row>
    <row r="2846" spans="1:8">
      <c r="A2846" s="183" t="s">
        <v>13480</v>
      </c>
      <c r="E2846" s="206">
        <v>245</v>
      </c>
      <c r="F2846" s="206">
        <v>2091</v>
      </c>
      <c r="G2846" s="183" t="s">
        <v>12083</v>
      </c>
      <c r="H2846" s="183" t="s">
        <v>13481</v>
      </c>
    </row>
    <row r="2847" spans="1:8">
      <c r="A2847" s="183" t="s">
        <v>13482</v>
      </c>
      <c r="C2847" s="183">
        <v>25318</v>
      </c>
      <c r="H2847" s="183" t="s">
        <v>13483</v>
      </c>
    </row>
    <row r="2848" spans="1:8">
      <c r="A2848" s="183" t="s">
        <v>13482</v>
      </c>
      <c r="C2848" s="183">
        <v>61326</v>
      </c>
      <c r="H2848" s="183" t="s">
        <v>13484</v>
      </c>
    </row>
    <row r="2849" spans="1:8">
      <c r="A2849" s="183" t="s">
        <v>13482</v>
      </c>
      <c r="C2849" s="183">
        <v>13500</v>
      </c>
      <c r="H2849" s="183" t="s">
        <v>13485</v>
      </c>
    </row>
    <row r="2850" spans="1:8">
      <c r="A2850" s="183" t="s">
        <v>13482</v>
      </c>
      <c r="C2850" s="183">
        <v>30365</v>
      </c>
      <c r="H2850" s="183" t="s">
        <v>13486</v>
      </c>
    </row>
    <row r="2851" spans="1:8">
      <c r="A2851" s="183" t="s">
        <v>13482</v>
      </c>
      <c r="C2851" s="183">
        <v>6120</v>
      </c>
      <c r="H2851" s="183" t="s">
        <v>13487</v>
      </c>
    </row>
    <row r="2852" spans="1:8" ht="66">
      <c r="A2852" s="183" t="s">
        <v>13488</v>
      </c>
      <c r="C2852" s="183">
        <v>15000</v>
      </c>
      <c r="H2852" s="694" t="s">
        <v>13489</v>
      </c>
    </row>
    <row r="2853" spans="1:8">
      <c r="A2853" s="183" t="s">
        <v>13490</v>
      </c>
      <c r="E2853" s="206">
        <v>100</v>
      </c>
      <c r="F2853" s="206">
        <v>1991</v>
      </c>
      <c r="G2853" s="183" t="s">
        <v>12083</v>
      </c>
      <c r="H2853" s="183" t="s">
        <v>13491</v>
      </c>
    </row>
    <row r="2854" spans="1:8">
      <c r="A2854" s="183" t="s">
        <v>13492</v>
      </c>
      <c r="E2854" s="206">
        <v>1205</v>
      </c>
      <c r="F2854" s="206">
        <v>786</v>
      </c>
      <c r="G2854" s="183" t="s">
        <v>12090</v>
      </c>
      <c r="H2854" s="183" t="s">
        <v>13493</v>
      </c>
    </row>
    <row r="2855" spans="1:8">
      <c r="A2855" s="183" t="s">
        <v>13494</v>
      </c>
      <c r="E2855" s="206">
        <v>600</v>
      </c>
      <c r="F2855" s="206">
        <v>186</v>
      </c>
      <c r="G2855" s="183" t="s">
        <v>12586</v>
      </c>
      <c r="H2855" s="183" t="s">
        <v>13495</v>
      </c>
    </row>
    <row r="2856" spans="1:8">
      <c r="A2856" s="183" t="s">
        <v>13496</v>
      </c>
      <c r="D2856" s="183">
        <v>5000</v>
      </c>
      <c r="E2856" s="206"/>
      <c r="F2856" s="206">
        <v>5186</v>
      </c>
      <c r="H2856" s="183" t="s">
        <v>11466</v>
      </c>
    </row>
    <row r="2857" spans="1:8">
      <c r="A2857" s="183" t="s">
        <v>13497</v>
      </c>
      <c r="E2857" s="206">
        <v>115</v>
      </c>
      <c r="F2857" s="206">
        <v>5071</v>
      </c>
      <c r="G2857" s="183" t="s">
        <v>12083</v>
      </c>
      <c r="H2857" s="183" t="s">
        <v>13498</v>
      </c>
    </row>
    <row r="2858" spans="1:8">
      <c r="A2858" s="183" t="s">
        <v>13499</v>
      </c>
      <c r="E2858" s="206">
        <v>185</v>
      </c>
      <c r="F2858" s="206">
        <v>4886</v>
      </c>
      <c r="G2858" s="183" t="s">
        <v>12083</v>
      </c>
      <c r="H2858" s="183" t="s">
        <v>13500</v>
      </c>
    </row>
    <row r="2859" spans="1:8">
      <c r="A2859" s="183" t="s">
        <v>13501</v>
      </c>
      <c r="C2859" s="183">
        <v>17000</v>
      </c>
      <c r="H2859" s="183" t="s">
        <v>13502</v>
      </c>
    </row>
    <row r="2860" spans="1:8">
      <c r="A2860" s="183" t="s">
        <v>13503</v>
      </c>
      <c r="C2860" s="183">
        <v>25318</v>
      </c>
      <c r="H2860" s="183" t="s">
        <v>13504</v>
      </c>
    </row>
    <row r="2861" spans="1:8">
      <c r="A2861" s="183" t="s">
        <v>13503</v>
      </c>
      <c r="C2861" s="183">
        <v>61326</v>
      </c>
      <c r="H2861" s="183" t="s">
        <v>13505</v>
      </c>
    </row>
    <row r="2862" spans="1:8">
      <c r="A2862" s="183" t="s">
        <v>13503</v>
      </c>
      <c r="C2862" s="183">
        <v>46500</v>
      </c>
      <c r="H2862" s="183" t="s">
        <v>13506</v>
      </c>
    </row>
    <row r="2863" spans="1:8">
      <c r="A2863" s="183" t="s">
        <v>13507</v>
      </c>
      <c r="E2863" s="206">
        <v>230</v>
      </c>
      <c r="F2863" s="206">
        <v>4656</v>
      </c>
      <c r="G2863" s="183" t="s">
        <v>12083</v>
      </c>
      <c r="H2863" s="183" t="s">
        <v>13508</v>
      </c>
    </row>
    <row r="2864" spans="1:8">
      <c r="A2864" s="183" t="s">
        <v>13509</v>
      </c>
      <c r="E2864" s="183">
        <v>200</v>
      </c>
      <c r="F2864" s="206">
        <v>4456</v>
      </c>
      <c r="G2864" s="183" t="s">
        <v>12083</v>
      </c>
      <c r="H2864" s="183" t="s">
        <v>13510</v>
      </c>
    </row>
    <row r="2865" spans="1:8">
      <c r="A2865" s="183" t="s">
        <v>13511</v>
      </c>
      <c r="E2865" s="206">
        <v>255</v>
      </c>
      <c r="F2865" s="206">
        <v>4201</v>
      </c>
      <c r="G2865" s="183" t="s">
        <v>12121</v>
      </c>
      <c r="H2865" s="183" t="s">
        <v>13512</v>
      </c>
    </row>
    <row r="2866" spans="1:8">
      <c r="A2866" s="183" t="s">
        <v>13509</v>
      </c>
      <c r="E2866" s="206">
        <v>140</v>
      </c>
      <c r="F2866" s="206">
        <v>4061</v>
      </c>
      <c r="G2866" s="183" t="s">
        <v>12121</v>
      </c>
      <c r="H2866" s="183" t="s">
        <v>13513</v>
      </c>
    </row>
    <row r="2867" spans="1:8">
      <c r="A2867" s="183" t="s">
        <v>13511</v>
      </c>
      <c r="C2867" s="183">
        <v>42883</v>
      </c>
      <c r="H2867" s="183" t="s">
        <v>13514</v>
      </c>
    </row>
    <row r="2868" spans="1:8">
      <c r="A2868" s="183" t="s">
        <v>13509</v>
      </c>
      <c r="C2868" s="183">
        <v>33926</v>
      </c>
      <c r="H2868" s="183" t="s">
        <v>13515</v>
      </c>
    </row>
    <row r="2869" spans="1:8">
      <c r="A2869" s="183" t="s">
        <v>13516</v>
      </c>
      <c r="E2869" s="206">
        <v>199</v>
      </c>
      <c r="F2869" s="206">
        <v>3862</v>
      </c>
      <c r="G2869" s="206" t="s">
        <v>12096</v>
      </c>
      <c r="H2869" s="183" t="s">
        <v>13517</v>
      </c>
    </row>
    <row r="2870" spans="1:8">
      <c r="A2870" s="183" t="s">
        <v>13516</v>
      </c>
      <c r="E2870" s="206">
        <v>1205</v>
      </c>
      <c r="F2870" s="206">
        <v>2657</v>
      </c>
      <c r="G2870" s="183" t="s">
        <v>12090</v>
      </c>
      <c r="H2870" s="183" t="s">
        <v>13518</v>
      </c>
    </row>
    <row r="2871" spans="1:8">
      <c r="A2871" s="183" t="s">
        <v>13519</v>
      </c>
      <c r="C2871" s="183">
        <v>17000</v>
      </c>
      <c r="H2871" s="183" t="s">
        <v>13520</v>
      </c>
    </row>
    <row r="2872" spans="1:8">
      <c r="A2872" s="183" t="s">
        <v>13519</v>
      </c>
      <c r="C2872" s="183">
        <v>4896</v>
      </c>
      <c r="H2872" s="183" t="s">
        <v>13521</v>
      </c>
    </row>
    <row r="2873" spans="1:8">
      <c r="A2873" s="183" t="s">
        <v>13522</v>
      </c>
      <c r="E2873" s="206">
        <v>835</v>
      </c>
      <c r="F2873" s="206">
        <v>1822</v>
      </c>
      <c r="G2873" s="183" t="s">
        <v>12103</v>
      </c>
      <c r="H2873" s="183" t="s">
        <v>13523</v>
      </c>
    </row>
    <row r="2874" spans="1:8">
      <c r="A2874" s="183" t="s">
        <v>13524</v>
      </c>
      <c r="C2874" s="183">
        <v>25318</v>
      </c>
      <c r="H2874" s="183" t="s">
        <v>13525</v>
      </c>
    </row>
    <row r="2875" spans="1:8">
      <c r="A2875" s="183" t="s">
        <v>13524</v>
      </c>
      <c r="C2875" s="183">
        <v>31326</v>
      </c>
      <c r="H2875" s="183" t="s">
        <v>13526</v>
      </c>
    </row>
    <row r="2876" spans="1:8">
      <c r="A2876" s="183" t="s">
        <v>13524</v>
      </c>
      <c r="C2876" s="183">
        <v>30000</v>
      </c>
      <c r="H2876" s="183" t="s">
        <v>13527</v>
      </c>
    </row>
    <row r="2877" spans="1:8">
      <c r="A2877" s="183" t="s">
        <v>13524</v>
      </c>
      <c r="C2877" s="183">
        <v>33500</v>
      </c>
      <c r="H2877" s="183" t="s">
        <v>13528</v>
      </c>
    </row>
    <row r="2878" spans="1:8">
      <c r="A2878" s="183" t="s">
        <v>13524</v>
      </c>
      <c r="C2878" s="183">
        <v>2516</v>
      </c>
      <c r="H2878" s="183" t="s">
        <v>13529</v>
      </c>
    </row>
    <row r="2879" spans="1:8">
      <c r="A2879" s="183" t="s">
        <v>13524</v>
      </c>
      <c r="E2879" s="206">
        <v>45</v>
      </c>
      <c r="F2879" s="206">
        <v>1777</v>
      </c>
      <c r="G2879" s="183" t="s">
        <v>12103</v>
      </c>
      <c r="H2879" s="183" t="s">
        <v>13530</v>
      </c>
    </row>
    <row r="2880" spans="1:8">
      <c r="A2880" s="183" t="s">
        <v>13531</v>
      </c>
      <c r="C2880" s="183">
        <v>12854</v>
      </c>
      <c r="H2880" s="183" t="s">
        <v>13532</v>
      </c>
    </row>
    <row r="2881" spans="1:8">
      <c r="A2881" s="183" t="s">
        <v>13533</v>
      </c>
      <c r="E2881" s="206">
        <v>35</v>
      </c>
      <c r="F2881" s="206">
        <v>1742</v>
      </c>
      <c r="G2881" s="183" t="s">
        <v>12103</v>
      </c>
      <c r="H2881" s="183" t="s">
        <v>13534</v>
      </c>
    </row>
    <row r="2882" spans="1:8">
      <c r="A2882" s="183" t="s">
        <v>13535</v>
      </c>
      <c r="E2882" s="183">
        <v>173</v>
      </c>
      <c r="F2882" s="206">
        <v>1569</v>
      </c>
      <c r="G2882" s="183" t="s">
        <v>12072</v>
      </c>
      <c r="H2882" s="183" t="s">
        <v>12622</v>
      </c>
    </row>
    <row r="2883" spans="1:8">
      <c r="A2883" s="183" t="s">
        <v>13536</v>
      </c>
      <c r="E2883" s="206">
        <v>50</v>
      </c>
      <c r="F2883" s="206">
        <v>1519</v>
      </c>
      <c r="G2883" s="183" t="s">
        <v>12072</v>
      </c>
      <c r="H2883" s="183" t="s">
        <v>13537</v>
      </c>
    </row>
    <row r="2884" spans="1:8">
      <c r="A2884" s="183" t="s">
        <v>13538</v>
      </c>
      <c r="E2884" s="206">
        <v>1205</v>
      </c>
      <c r="F2884" s="206">
        <v>314</v>
      </c>
      <c r="G2884" s="183" t="s">
        <v>12090</v>
      </c>
      <c r="H2884" s="183" t="s">
        <v>13539</v>
      </c>
    </row>
    <row r="2885" spans="1:8">
      <c r="A2885" s="183" t="s">
        <v>13540</v>
      </c>
      <c r="D2885" s="183">
        <v>5000</v>
      </c>
      <c r="E2885" s="206"/>
      <c r="F2885" s="206"/>
      <c r="H2885" s="183" t="s">
        <v>11466</v>
      </c>
    </row>
    <row r="2886" spans="1:8">
      <c r="A2886" s="183" t="s">
        <v>13541</v>
      </c>
      <c r="E2886" s="206">
        <v>320</v>
      </c>
      <c r="F2886" s="206">
        <v>4994</v>
      </c>
      <c r="G2886" s="183" t="s">
        <v>12083</v>
      </c>
      <c r="H2886" s="183" t="s">
        <v>13542</v>
      </c>
    </row>
    <row r="2887" spans="1:8">
      <c r="A2887" s="183" t="s">
        <v>13541</v>
      </c>
      <c r="E2887" s="206">
        <v>300</v>
      </c>
      <c r="F2887" s="206">
        <v>4694</v>
      </c>
      <c r="G2887" s="183" t="s">
        <v>12083</v>
      </c>
      <c r="H2887" s="183" t="s">
        <v>13542</v>
      </c>
    </row>
    <row r="2888" spans="1:8">
      <c r="A2888" s="183" t="s">
        <v>13543</v>
      </c>
      <c r="C2888" s="183">
        <v>17000</v>
      </c>
      <c r="H2888" s="183" t="s">
        <v>13544</v>
      </c>
    </row>
    <row r="2889" spans="1:8">
      <c r="A2889" s="183" t="s">
        <v>13543</v>
      </c>
      <c r="C2889" s="183">
        <v>12000</v>
      </c>
      <c r="E2889" s="206"/>
      <c r="F2889" s="206"/>
      <c r="H2889" s="206" t="s">
        <v>13545</v>
      </c>
    </row>
    <row r="2890" spans="1:8">
      <c r="A2890" s="183" t="s">
        <v>13546</v>
      </c>
      <c r="C2890" s="183">
        <v>25318</v>
      </c>
      <c r="H2890" s="183" t="s">
        <v>13547</v>
      </c>
    </row>
    <row r="2891" spans="1:8">
      <c r="A2891" s="183" t="s">
        <v>13546</v>
      </c>
      <c r="C2891" s="183">
        <v>61326</v>
      </c>
      <c r="H2891" s="183" t="s">
        <v>13548</v>
      </c>
    </row>
    <row r="2892" spans="1:8">
      <c r="A2892" s="183" t="s">
        <v>13549</v>
      </c>
      <c r="C2892" s="183">
        <v>24500</v>
      </c>
      <c r="H2892" s="183" t="s">
        <v>13550</v>
      </c>
    </row>
    <row r="2893" spans="1:8">
      <c r="A2893" s="183" t="s">
        <v>13551</v>
      </c>
      <c r="C2893" s="183">
        <v>11158</v>
      </c>
      <c r="H2893" s="183" t="s">
        <v>13552</v>
      </c>
    </row>
    <row r="2894" spans="1:8" s="206" customFormat="1" ht="82.5">
      <c r="A2894" s="183" t="s">
        <v>13553</v>
      </c>
      <c r="C2894" s="206">
        <v>34000</v>
      </c>
      <c r="H2894" s="697" t="s">
        <v>13554</v>
      </c>
    </row>
    <row r="2895" spans="1:8">
      <c r="A2895" s="183" t="s">
        <v>13555</v>
      </c>
      <c r="E2895" s="206">
        <v>1205</v>
      </c>
      <c r="F2895" s="206">
        <v>3489</v>
      </c>
      <c r="G2895" s="183" t="s">
        <v>12550</v>
      </c>
      <c r="H2895" s="183" t="s">
        <v>13556</v>
      </c>
    </row>
    <row r="2896" spans="1:8">
      <c r="A2896" s="183" t="s">
        <v>13557</v>
      </c>
      <c r="E2896" s="206">
        <v>199</v>
      </c>
      <c r="F2896" s="206">
        <v>3290</v>
      </c>
      <c r="G2896" s="206" t="s">
        <v>12096</v>
      </c>
      <c r="H2896" s="183" t="s">
        <v>13558</v>
      </c>
    </row>
    <row r="2897" spans="1:8">
      <c r="A2897" s="183" t="s">
        <v>13559</v>
      </c>
      <c r="C2897" s="183">
        <v>25318</v>
      </c>
      <c r="H2897" s="183" t="s">
        <v>13560</v>
      </c>
    </row>
    <row r="2898" spans="1:8">
      <c r="A2898" s="183" t="s">
        <v>13561</v>
      </c>
      <c r="C2898" s="183">
        <v>61326</v>
      </c>
      <c r="H2898" s="183" t="s">
        <v>13562</v>
      </c>
    </row>
    <row r="2899" spans="1:8">
      <c r="A2899" s="183" t="s">
        <v>13559</v>
      </c>
      <c r="C2899" s="183">
        <v>12000</v>
      </c>
      <c r="H2899" s="183" t="s">
        <v>13563</v>
      </c>
    </row>
    <row r="2900" spans="1:8">
      <c r="A2900" s="183" t="s">
        <v>13559</v>
      </c>
      <c r="C2900" s="183">
        <v>1219</v>
      </c>
      <c r="H2900" s="183" t="s">
        <v>13564</v>
      </c>
    </row>
    <row r="2901" spans="1:8">
      <c r="A2901" s="183" t="s">
        <v>13565</v>
      </c>
      <c r="E2901" s="206">
        <v>109</v>
      </c>
      <c r="F2901" s="206">
        <v>3181</v>
      </c>
      <c r="G2901" s="183" t="s">
        <v>12621</v>
      </c>
      <c r="H2901" s="183" t="s">
        <v>11543</v>
      </c>
    </row>
    <row r="2902" spans="1:8">
      <c r="A2902" s="183" t="s">
        <v>13566</v>
      </c>
      <c r="E2902" s="206">
        <v>64</v>
      </c>
      <c r="F2902" s="206">
        <v>3117</v>
      </c>
      <c r="G2902" s="183" t="s">
        <v>12083</v>
      </c>
      <c r="H2902" s="183" t="s">
        <v>13567</v>
      </c>
    </row>
    <row r="2903" spans="1:8">
      <c r="A2903" s="183" t="s">
        <v>13568</v>
      </c>
      <c r="E2903" s="206">
        <v>50</v>
      </c>
      <c r="F2903" s="206">
        <v>3067</v>
      </c>
      <c r="G2903" s="183" t="s">
        <v>12072</v>
      </c>
      <c r="H2903" s="183" t="s">
        <v>13569</v>
      </c>
    </row>
    <row r="2904" spans="1:8">
      <c r="A2904" s="183" t="s">
        <v>13568</v>
      </c>
      <c r="E2904" s="206">
        <v>1205</v>
      </c>
      <c r="F2904" s="206">
        <v>1862</v>
      </c>
      <c r="G2904" s="183" t="s">
        <v>12090</v>
      </c>
      <c r="H2904" s="183" t="s">
        <v>13570</v>
      </c>
    </row>
    <row r="2905" spans="1:8">
      <c r="A2905" s="183" t="s">
        <v>13571</v>
      </c>
      <c r="E2905" s="206">
        <v>124</v>
      </c>
      <c r="F2905" s="206">
        <v>1738</v>
      </c>
      <c r="G2905" s="183" t="s">
        <v>12103</v>
      </c>
      <c r="H2905" s="183" t="s">
        <v>13572</v>
      </c>
    </row>
    <row r="2906" spans="1:8">
      <c r="E2906" s="206"/>
      <c r="F2906" s="206"/>
      <c r="H2906" s="696" t="s">
        <v>12912</v>
      </c>
    </row>
    <row r="2907" spans="1:8">
      <c r="A2907" s="183" t="s">
        <v>13573</v>
      </c>
      <c r="C2907" s="183">
        <v>17000</v>
      </c>
      <c r="H2907" s="183" t="s">
        <v>13574</v>
      </c>
    </row>
    <row r="2908" spans="1:8">
      <c r="A2908" s="183" t="s">
        <v>13575</v>
      </c>
      <c r="C2908" s="183">
        <v>25318</v>
      </c>
      <c r="H2908" s="183" t="s">
        <v>13576</v>
      </c>
    </row>
    <row r="2909" spans="1:8">
      <c r="A2909" s="183" t="s">
        <v>13577</v>
      </c>
      <c r="C2909" s="183">
        <v>61326</v>
      </c>
      <c r="H2909" s="183" t="s">
        <v>13578</v>
      </c>
    </row>
    <row r="2910" spans="1:8">
      <c r="A2910" s="183" t="s">
        <v>13579</v>
      </c>
      <c r="C2910" s="183">
        <v>6299</v>
      </c>
      <c r="H2910" s="183" t="s">
        <v>13580</v>
      </c>
    </row>
    <row r="2911" spans="1:8">
      <c r="A2911" s="183" t="s">
        <v>13581</v>
      </c>
      <c r="E2911" s="206">
        <v>94</v>
      </c>
      <c r="F2911" s="206">
        <v>1644</v>
      </c>
      <c r="G2911" s="183" t="s">
        <v>11093</v>
      </c>
      <c r="H2911" s="183" t="s">
        <v>13582</v>
      </c>
    </row>
    <row r="2912" spans="1:8">
      <c r="A2912" s="183" t="s">
        <v>13583</v>
      </c>
      <c r="E2912" s="183">
        <v>100</v>
      </c>
      <c r="F2912" s="206">
        <v>1544</v>
      </c>
      <c r="G2912" s="183" t="s">
        <v>12083</v>
      </c>
      <c r="H2912" s="183" t="s">
        <v>13584</v>
      </c>
    </row>
    <row r="2913" spans="1:8">
      <c r="A2913" s="183" t="s">
        <v>13585</v>
      </c>
      <c r="E2913" s="206">
        <v>40</v>
      </c>
      <c r="F2913" s="206">
        <v>1504</v>
      </c>
      <c r="G2913" s="183" t="s">
        <v>12747</v>
      </c>
      <c r="H2913" s="183" t="s">
        <v>13586</v>
      </c>
    </row>
    <row r="2914" spans="1:8">
      <c r="A2914" s="183" t="s">
        <v>13585</v>
      </c>
      <c r="E2914" s="206">
        <v>2</v>
      </c>
      <c r="F2914" s="206">
        <v>1502</v>
      </c>
      <c r="G2914" s="183" t="s">
        <v>12103</v>
      </c>
      <c r="H2914" s="183" t="s">
        <v>13587</v>
      </c>
    </row>
    <row r="2915" spans="1:8">
      <c r="A2915" s="183" t="s">
        <v>13588</v>
      </c>
      <c r="E2915" s="206">
        <v>800</v>
      </c>
      <c r="F2915" s="206">
        <v>702</v>
      </c>
      <c r="G2915" s="183" t="s">
        <v>12586</v>
      </c>
      <c r="H2915" s="183" t="s">
        <v>13589</v>
      </c>
    </row>
    <row r="2916" spans="1:8">
      <c r="A2916" s="183" t="s">
        <v>13590</v>
      </c>
      <c r="E2916" s="206">
        <v>15</v>
      </c>
      <c r="F2916" s="206">
        <v>687</v>
      </c>
      <c r="G2916" s="183" t="s">
        <v>12072</v>
      </c>
      <c r="H2916" s="183" t="s">
        <v>13591</v>
      </c>
    </row>
    <row r="2917" spans="1:8">
      <c r="A2917" s="183" t="s">
        <v>13592</v>
      </c>
      <c r="D2917" s="183">
        <v>5000</v>
      </c>
      <c r="E2917" s="206"/>
      <c r="F2917" s="206"/>
      <c r="H2917" s="183" t="s">
        <v>11466</v>
      </c>
    </row>
    <row r="2918" spans="1:8">
      <c r="A2918" s="183" t="s">
        <v>13592</v>
      </c>
      <c r="E2918" s="206">
        <v>1205</v>
      </c>
      <c r="F2918" s="206">
        <v>4482</v>
      </c>
      <c r="G2918" s="183" t="s">
        <v>12090</v>
      </c>
      <c r="H2918" s="183" t="s">
        <v>13593</v>
      </c>
    </row>
    <row r="2919" spans="1:8">
      <c r="A2919" s="183" t="s">
        <v>13594</v>
      </c>
      <c r="E2919" s="206">
        <v>64</v>
      </c>
      <c r="F2919" s="206">
        <v>4418</v>
      </c>
      <c r="G2919" s="183" t="s">
        <v>12103</v>
      </c>
      <c r="H2919" s="183" t="s">
        <v>13595</v>
      </c>
    </row>
    <row r="2920" spans="1:8">
      <c r="A2920" s="183" t="s">
        <v>13596</v>
      </c>
      <c r="E2920" s="206">
        <v>210</v>
      </c>
      <c r="F2920" s="206">
        <v>4208</v>
      </c>
      <c r="G2920" s="206" t="s">
        <v>13053</v>
      </c>
      <c r="H2920" s="183" t="s">
        <v>13597</v>
      </c>
    </row>
    <row r="2921" spans="1:8" s="206" customFormat="1">
      <c r="A2921" s="206" t="s">
        <v>13596</v>
      </c>
      <c r="C2921" s="206">
        <v>20000</v>
      </c>
      <c r="H2921" s="697" t="s">
        <v>13598</v>
      </c>
    </row>
    <row r="2922" spans="1:8" s="206" customFormat="1">
      <c r="A2922" s="206" t="s">
        <v>13599</v>
      </c>
      <c r="C2922" s="206">
        <v>230030</v>
      </c>
      <c r="H2922" s="697" t="s">
        <v>12779</v>
      </c>
    </row>
    <row r="2923" spans="1:8">
      <c r="A2923" s="183" t="s">
        <v>13600</v>
      </c>
      <c r="C2923" s="183">
        <v>17000</v>
      </c>
      <c r="H2923" s="183" t="s">
        <v>13601</v>
      </c>
    </row>
    <row r="2924" spans="1:8">
      <c r="A2924" s="183" t="s">
        <v>13600</v>
      </c>
      <c r="C2924" s="183">
        <v>25318</v>
      </c>
      <c r="H2924" s="183" t="s">
        <v>13602</v>
      </c>
    </row>
    <row r="2925" spans="1:8">
      <c r="A2925" s="183" t="s">
        <v>13600</v>
      </c>
      <c r="C2925" s="183">
        <v>61326</v>
      </c>
      <c r="H2925" s="183" t="s">
        <v>13603</v>
      </c>
    </row>
    <row r="2926" spans="1:8">
      <c r="A2926" s="183" t="s">
        <v>13600</v>
      </c>
      <c r="C2926" s="183">
        <v>9500</v>
      </c>
      <c r="H2926" s="183" t="s">
        <v>13604</v>
      </c>
    </row>
    <row r="2927" spans="1:8">
      <c r="A2927" s="183" t="s">
        <v>13605</v>
      </c>
      <c r="C2927" s="183">
        <v>31260</v>
      </c>
      <c r="H2927" s="183" t="s">
        <v>13606</v>
      </c>
    </row>
    <row r="2928" spans="1:8">
      <c r="A2928" s="183" t="s">
        <v>13605</v>
      </c>
      <c r="E2928" s="206">
        <v>75</v>
      </c>
      <c r="F2928" s="206">
        <v>4133</v>
      </c>
      <c r="G2928" s="183" t="s">
        <v>12103</v>
      </c>
      <c r="H2928" s="183" t="s">
        <v>13607</v>
      </c>
    </row>
    <row r="2929" spans="1:8">
      <c r="A2929" s="183" t="s">
        <v>13608</v>
      </c>
      <c r="E2929" s="183">
        <v>405</v>
      </c>
      <c r="F2929" s="206">
        <v>3728</v>
      </c>
      <c r="G2929" s="183" t="s">
        <v>12133</v>
      </c>
      <c r="H2929" s="183" t="s">
        <v>13609</v>
      </c>
    </row>
    <row r="2930" spans="1:8">
      <c r="A2930" s="183" t="s">
        <v>13610</v>
      </c>
      <c r="E2930" s="183">
        <v>15</v>
      </c>
      <c r="F2930" s="206">
        <v>3713</v>
      </c>
      <c r="G2930" s="183" t="s">
        <v>12747</v>
      </c>
      <c r="H2930" s="183" t="s">
        <v>11383</v>
      </c>
    </row>
    <row r="2931" spans="1:8">
      <c r="A2931" s="183" t="s">
        <v>13611</v>
      </c>
      <c r="B2931" s="183">
        <v>80000</v>
      </c>
      <c r="F2931" s="206"/>
      <c r="H2931" s="183" t="s">
        <v>13366</v>
      </c>
    </row>
    <row r="2932" spans="1:8">
      <c r="A2932" s="183" t="s">
        <v>13612</v>
      </c>
      <c r="E2932" s="183">
        <v>5</v>
      </c>
      <c r="F2932" s="206">
        <v>3708</v>
      </c>
      <c r="G2932" s="183" t="s">
        <v>12103</v>
      </c>
      <c r="H2932" s="183" t="s">
        <v>13076</v>
      </c>
    </row>
    <row r="2933" spans="1:8" s="206" customFormat="1" ht="231">
      <c r="A2933" s="183" t="s">
        <v>13613</v>
      </c>
      <c r="C2933" s="206">
        <v>40030</v>
      </c>
      <c r="H2933" s="697" t="s">
        <v>13614</v>
      </c>
    </row>
    <row r="2934" spans="1:8">
      <c r="A2934" s="183" t="s">
        <v>13615</v>
      </c>
      <c r="E2934" s="206">
        <v>1205</v>
      </c>
      <c r="F2934" s="206">
        <v>2503</v>
      </c>
      <c r="G2934" s="183" t="s">
        <v>12090</v>
      </c>
      <c r="H2934" s="183" t="s">
        <v>13616</v>
      </c>
    </row>
    <row r="2935" spans="1:8">
      <c r="A2935" s="183" t="s">
        <v>13615</v>
      </c>
      <c r="E2935" s="206">
        <v>18</v>
      </c>
      <c r="F2935" s="206">
        <v>2485</v>
      </c>
      <c r="G2935" s="183" t="s">
        <v>12072</v>
      </c>
      <c r="H2935" s="183" t="s">
        <v>13617</v>
      </c>
    </row>
    <row r="2936" spans="1:8">
      <c r="A2936" s="183" t="s">
        <v>13618</v>
      </c>
      <c r="C2936" s="183">
        <v>17000</v>
      </c>
      <c r="H2936" s="183" t="s">
        <v>13619</v>
      </c>
    </row>
    <row r="2937" spans="1:8">
      <c r="A2937" s="183" t="s">
        <v>13620</v>
      </c>
      <c r="E2937" s="206">
        <v>75</v>
      </c>
      <c r="F2937" s="206">
        <v>2410</v>
      </c>
      <c r="G2937" s="183" t="s">
        <v>12083</v>
      </c>
      <c r="H2937" s="183" t="s">
        <v>13621</v>
      </c>
    </row>
    <row r="2938" spans="1:8">
      <c r="A2938" s="183" t="s">
        <v>13620</v>
      </c>
      <c r="E2938" s="206">
        <v>70</v>
      </c>
      <c r="F2938" s="206">
        <v>2340</v>
      </c>
      <c r="G2938" s="183" t="s">
        <v>12586</v>
      </c>
      <c r="H2938" s="183" t="s">
        <v>13621</v>
      </c>
    </row>
    <row r="2939" spans="1:8">
      <c r="A2939" s="183" t="s">
        <v>13622</v>
      </c>
      <c r="E2939" s="206">
        <v>35</v>
      </c>
      <c r="F2939" s="206">
        <v>2305</v>
      </c>
      <c r="G2939" s="183" t="s">
        <v>12103</v>
      </c>
      <c r="H2939" s="183" t="s">
        <v>13623</v>
      </c>
    </row>
    <row r="2940" spans="1:8">
      <c r="A2940" s="183" t="s">
        <v>13622</v>
      </c>
      <c r="C2940" s="183">
        <v>25318</v>
      </c>
      <c r="H2940" s="183" t="s">
        <v>13624</v>
      </c>
    </row>
    <row r="2941" spans="1:8">
      <c r="A2941" s="183" t="s">
        <v>13622</v>
      </c>
      <c r="C2941" s="183">
        <v>9000</v>
      </c>
      <c r="H2941" s="183" t="s">
        <v>13625</v>
      </c>
    </row>
    <row r="2942" spans="1:8">
      <c r="A2942" s="183" t="s">
        <v>13626</v>
      </c>
      <c r="C2942" s="206">
        <v>32326</v>
      </c>
      <c r="H2942" s="183" t="s">
        <v>13627</v>
      </c>
    </row>
    <row r="2943" spans="1:8">
      <c r="A2943" s="183" t="s">
        <v>13628</v>
      </c>
      <c r="C2943" s="206">
        <v>20000</v>
      </c>
      <c r="H2943" s="183" t="s">
        <v>13629</v>
      </c>
    </row>
    <row r="2944" spans="1:8">
      <c r="A2944" s="183" t="s">
        <v>13630</v>
      </c>
      <c r="C2944" s="183">
        <v>36000</v>
      </c>
      <c r="H2944" s="183" t="s">
        <v>13631</v>
      </c>
    </row>
    <row r="2945" spans="1:8">
      <c r="A2945" s="183" t="s">
        <v>13622</v>
      </c>
      <c r="C2945" s="183">
        <v>9821</v>
      </c>
      <c r="H2945" s="183" t="s">
        <v>13632</v>
      </c>
    </row>
    <row r="2946" spans="1:8">
      <c r="A2946" s="183" t="s">
        <v>13622</v>
      </c>
      <c r="C2946" s="183">
        <v>20696</v>
      </c>
      <c r="H2946" s="183" t="s">
        <v>13633</v>
      </c>
    </row>
    <row r="2947" spans="1:8">
      <c r="A2947" s="183" t="s">
        <v>13634</v>
      </c>
      <c r="C2947" s="183">
        <v>20000</v>
      </c>
      <c r="E2947" s="206"/>
      <c r="F2947" s="206"/>
      <c r="H2947" s="696" t="s">
        <v>13635</v>
      </c>
    </row>
    <row r="2948" spans="1:8">
      <c r="A2948" s="183" t="s">
        <v>13636</v>
      </c>
      <c r="C2948" s="183">
        <v>25318</v>
      </c>
      <c r="E2948" s="206"/>
      <c r="F2948" s="206"/>
      <c r="H2948" s="183" t="s">
        <v>13637</v>
      </c>
    </row>
    <row r="2949" spans="1:8">
      <c r="A2949" s="183" t="s">
        <v>13638</v>
      </c>
      <c r="C2949" s="183">
        <v>1900</v>
      </c>
      <c r="E2949" s="206"/>
      <c r="F2949" s="206"/>
      <c r="H2949" s="183" t="s">
        <v>13637</v>
      </c>
    </row>
    <row r="2950" spans="1:8">
      <c r="A2950" s="183" t="s">
        <v>13639</v>
      </c>
      <c r="E2950" s="206">
        <v>210</v>
      </c>
      <c r="F2950" s="206">
        <v>2095</v>
      </c>
      <c r="G2950" s="206" t="s">
        <v>12096</v>
      </c>
      <c r="H2950" s="183" t="s">
        <v>13640</v>
      </c>
    </row>
    <row r="2951" spans="1:8">
      <c r="A2951" s="183" t="s">
        <v>13639</v>
      </c>
      <c r="E2951" s="206">
        <v>1205</v>
      </c>
      <c r="F2951" s="206">
        <v>890</v>
      </c>
      <c r="G2951" s="183" t="s">
        <v>12090</v>
      </c>
      <c r="H2951" s="183" t="s">
        <v>13641</v>
      </c>
    </row>
    <row r="2952" spans="1:8">
      <c r="A2952" s="183" t="s">
        <v>13628</v>
      </c>
      <c r="D2952" s="183">
        <v>5000</v>
      </c>
      <c r="E2952" s="206"/>
      <c r="F2952" s="206"/>
      <c r="H2952" s="183" t="s">
        <v>12846</v>
      </c>
    </row>
    <row r="2953" spans="1:8">
      <c r="A2953" s="183" t="s">
        <v>13628</v>
      </c>
      <c r="E2953" s="183">
        <v>500</v>
      </c>
      <c r="F2953" s="206">
        <v>5390</v>
      </c>
      <c r="G2953" s="183" t="s">
        <v>12103</v>
      </c>
      <c r="H2953" s="183" t="s">
        <v>13642</v>
      </c>
    </row>
    <row r="2954" spans="1:8">
      <c r="A2954" s="183" t="s">
        <v>13628</v>
      </c>
      <c r="C2954" s="183">
        <v>400</v>
      </c>
      <c r="H2954" s="183" t="s">
        <v>13643</v>
      </c>
    </row>
    <row r="2955" spans="1:8">
      <c r="A2955" s="183" t="s">
        <v>13644</v>
      </c>
      <c r="C2955" s="183">
        <v>600</v>
      </c>
      <c r="H2955" s="183" t="s">
        <v>13645</v>
      </c>
    </row>
    <row r="2956" spans="1:8">
      <c r="A2956" s="183" t="s">
        <v>13646</v>
      </c>
      <c r="C2956" s="206">
        <v>61326</v>
      </c>
      <c r="H2956" s="183" t="s">
        <v>13647</v>
      </c>
    </row>
    <row r="2957" spans="1:8">
      <c r="A2957" s="183" t="s">
        <v>13646</v>
      </c>
      <c r="E2957" s="183">
        <v>150</v>
      </c>
      <c r="F2957" s="206">
        <v>5240</v>
      </c>
      <c r="G2957" s="183" t="s">
        <v>12133</v>
      </c>
      <c r="H2957" s="183" t="s">
        <v>13648</v>
      </c>
    </row>
    <row r="2958" spans="1:8">
      <c r="A2958" s="183" t="s">
        <v>13649</v>
      </c>
      <c r="E2958" s="206">
        <v>1480</v>
      </c>
      <c r="F2958" s="206">
        <v>3760</v>
      </c>
      <c r="H2958" s="183" t="s">
        <v>13650</v>
      </c>
    </row>
    <row r="2959" spans="1:8">
      <c r="A2959" s="183" t="s">
        <v>13649</v>
      </c>
      <c r="E2959" s="183">
        <v>35</v>
      </c>
      <c r="F2959" s="206">
        <v>3725</v>
      </c>
      <c r="G2959" s="183" t="s">
        <v>12103</v>
      </c>
      <c r="H2959" s="183" t="s">
        <v>13651</v>
      </c>
    </row>
    <row r="2960" spans="1:8">
      <c r="A2960" s="183" t="s">
        <v>13649</v>
      </c>
      <c r="E2960" s="206">
        <v>214</v>
      </c>
      <c r="F2960" s="206">
        <v>3511</v>
      </c>
      <c r="G2960" s="183" t="s">
        <v>12103</v>
      </c>
      <c r="H2960" s="183" t="s">
        <v>13652</v>
      </c>
    </row>
    <row r="2961" spans="1:8">
      <c r="A2961" s="183" t="s">
        <v>13653</v>
      </c>
      <c r="E2961" s="183">
        <v>82</v>
      </c>
      <c r="F2961" s="206">
        <v>3429</v>
      </c>
      <c r="G2961" s="183" t="s">
        <v>11093</v>
      </c>
      <c r="H2961" s="183" t="s">
        <v>13654</v>
      </c>
    </row>
    <row r="2962" spans="1:8">
      <c r="A2962" s="183" t="s">
        <v>13653</v>
      </c>
      <c r="E2962" s="183">
        <v>164</v>
      </c>
      <c r="F2962" s="206">
        <v>3265</v>
      </c>
      <c r="G2962" s="183" t="s">
        <v>12072</v>
      </c>
      <c r="H2962" s="183" t="s">
        <v>12622</v>
      </c>
    </row>
    <row r="2963" spans="1:8">
      <c r="A2963" s="183" t="s">
        <v>13655</v>
      </c>
      <c r="E2963" s="206">
        <v>18</v>
      </c>
      <c r="F2963" s="206">
        <v>3247</v>
      </c>
      <c r="G2963" s="183" t="s">
        <v>12072</v>
      </c>
      <c r="H2963" s="183" t="s">
        <v>13656</v>
      </c>
    </row>
    <row r="2964" spans="1:8">
      <c r="A2964" s="183" t="s">
        <v>13655</v>
      </c>
      <c r="E2964" s="183">
        <v>100</v>
      </c>
      <c r="F2964" s="206">
        <v>3147</v>
      </c>
      <c r="G2964" s="183" t="s">
        <v>12083</v>
      </c>
      <c r="H2964" s="183" t="s">
        <v>13100</v>
      </c>
    </row>
    <row r="2965" spans="1:8">
      <c r="A2965" s="183" t="s">
        <v>4792</v>
      </c>
      <c r="E2965" s="206">
        <v>185</v>
      </c>
      <c r="F2965" s="206">
        <v>2962</v>
      </c>
      <c r="G2965" s="183" t="s">
        <v>12083</v>
      </c>
      <c r="H2965" s="183" t="s">
        <v>13657</v>
      </c>
    </row>
    <row r="2966" spans="1:8">
      <c r="A2966" s="183" t="s">
        <v>4792</v>
      </c>
      <c r="E2966" s="206">
        <v>185</v>
      </c>
      <c r="F2966" s="206">
        <v>2777</v>
      </c>
      <c r="G2966" s="183" t="s">
        <v>12083</v>
      </c>
      <c r="H2966" s="183" t="s">
        <v>13658</v>
      </c>
    </row>
    <row r="2967" spans="1:8">
      <c r="A2967" s="183" t="s">
        <v>13659</v>
      </c>
      <c r="E2967" s="206">
        <v>1205</v>
      </c>
      <c r="F2967" s="206">
        <v>1572</v>
      </c>
      <c r="G2967" s="183" t="s">
        <v>12090</v>
      </c>
      <c r="H2967" s="183" t="s">
        <v>13660</v>
      </c>
    </row>
    <row r="2968" spans="1:8">
      <c r="A2968" s="183" t="s">
        <v>13661</v>
      </c>
      <c r="E2968" s="183">
        <v>70</v>
      </c>
      <c r="F2968" s="206">
        <v>1502</v>
      </c>
      <c r="G2968" s="183" t="s">
        <v>12103</v>
      </c>
      <c r="H2968" s="183" t="s">
        <v>13662</v>
      </c>
    </row>
    <row r="2969" spans="1:8">
      <c r="A2969" s="183" t="s">
        <v>13663</v>
      </c>
      <c r="E2969" s="206">
        <v>225</v>
      </c>
      <c r="F2969" s="206">
        <v>1277</v>
      </c>
      <c r="G2969" s="183" t="s">
        <v>12083</v>
      </c>
      <c r="H2969" s="183" t="s">
        <v>13664</v>
      </c>
    </row>
    <row r="2970" spans="1:8">
      <c r="A2970" s="183" t="s">
        <v>13663</v>
      </c>
      <c r="E2970" s="206">
        <v>235</v>
      </c>
      <c r="F2970" s="206">
        <v>1042</v>
      </c>
      <c r="G2970" s="183" t="s">
        <v>12083</v>
      </c>
      <c r="H2970" s="183" t="s">
        <v>13665</v>
      </c>
    </row>
    <row r="2971" spans="1:8">
      <c r="A2971" s="183" t="s">
        <v>13666</v>
      </c>
      <c r="E2971" s="206">
        <v>235</v>
      </c>
      <c r="F2971" s="206">
        <v>807</v>
      </c>
      <c r="G2971" s="183" t="s">
        <v>12586</v>
      </c>
      <c r="H2971" s="183" t="s">
        <v>13667</v>
      </c>
    </row>
    <row r="2972" spans="1:8">
      <c r="A2972" s="183" t="s">
        <v>13666</v>
      </c>
      <c r="E2972" s="206">
        <v>320</v>
      </c>
      <c r="F2972" s="206">
        <v>487</v>
      </c>
      <c r="G2972" s="183" t="s">
        <v>12083</v>
      </c>
      <c r="H2972" s="183" t="s">
        <v>13668</v>
      </c>
    </row>
    <row r="2973" spans="1:8">
      <c r="A2973" s="183" t="s">
        <v>13666</v>
      </c>
      <c r="E2973" s="183">
        <v>2</v>
      </c>
      <c r="F2973" s="206">
        <v>485</v>
      </c>
      <c r="G2973" s="183" t="s">
        <v>12103</v>
      </c>
      <c r="H2973" s="183" t="s">
        <v>13669</v>
      </c>
    </row>
    <row r="2974" spans="1:8">
      <c r="A2974" s="183" t="s">
        <v>13666</v>
      </c>
      <c r="C2974" s="183">
        <v>10158</v>
      </c>
      <c r="H2974" s="183" t="s">
        <v>13670</v>
      </c>
    </row>
    <row r="2975" spans="1:8">
      <c r="A2975" s="183" t="s">
        <v>13671</v>
      </c>
      <c r="C2975" s="183">
        <v>14567</v>
      </c>
      <c r="H2975" s="183" t="s">
        <v>13672</v>
      </c>
    </row>
    <row r="2976" spans="1:8">
      <c r="A2976" s="183" t="s">
        <v>13671</v>
      </c>
      <c r="D2976" s="183">
        <v>5000</v>
      </c>
      <c r="E2976" s="206"/>
      <c r="F2976" s="206">
        <v>5485</v>
      </c>
      <c r="H2976" s="183" t="s">
        <v>11466</v>
      </c>
    </row>
    <row r="2977" spans="1:8">
      <c r="A2977" s="183" t="s">
        <v>13673</v>
      </c>
      <c r="E2977" s="206">
        <v>225</v>
      </c>
      <c r="F2977" s="206">
        <v>5260</v>
      </c>
      <c r="G2977" s="183" t="s">
        <v>12083</v>
      </c>
      <c r="H2977" s="183" t="s">
        <v>13665</v>
      </c>
    </row>
    <row r="2978" spans="1:8">
      <c r="A2978" s="183" t="s">
        <v>13673</v>
      </c>
      <c r="E2978" s="206">
        <v>235</v>
      </c>
      <c r="F2978" s="206">
        <v>5025</v>
      </c>
      <c r="G2978" s="183" t="s">
        <v>12083</v>
      </c>
      <c r="H2978" s="183" t="s">
        <v>13665</v>
      </c>
    </row>
    <row r="2979" spans="1:8" ht="33">
      <c r="A2979" s="183" t="s">
        <v>13674</v>
      </c>
      <c r="C2979" s="183">
        <v>30000</v>
      </c>
      <c r="E2979" s="206"/>
      <c r="F2979" s="206"/>
      <c r="H2979" s="694" t="s">
        <v>13675</v>
      </c>
    </row>
    <row r="2980" spans="1:8">
      <c r="A2980" s="183" t="s">
        <v>4794</v>
      </c>
      <c r="E2980" s="206">
        <v>100</v>
      </c>
      <c r="F2980" s="206">
        <v>4925</v>
      </c>
      <c r="G2980" s="183" t="s">
        <v>12706</v>
      </c>
      <c r="H2980" s="183" t="s">
        <v>13676</v>
      </c>
    </row>
    <row r="2981" spans="1:8">
      <c r="A2981" s="183" t="s">
        <v>4794</v>
      </c>
      <c r="E2981" s="206">
        <v>1205</v>
      </c>
      <c r="F2981" s="206">
        <v>3720</v>
      </c>
      <c r="G2981" s="183" t="s">
        <v>12090</v>
      </c>
      <c r="H2981" s="183" t="s">
        <v>13677</v>
      </c>
    </row>
    <row r="2982" spans="1:8">
      <c r="A2982" s="183" t="s">
        <v>13678</v>
      </c>
      <c r="E2982" s="183">
        <v>52</v>
      </c>
      <c r="F2982" s="206">
        <v>3668</v>
      </c>
      <c r="G2982" s="183" t="s">
        <v>12103</v>
      </c>
      <c r="H2982" s="183" t="s">
        <v>13679</v>
      </c>
    </row>
    <row r="2983" spans="1:8">
      <c r="A2983" s="183" t="s">
        <v>13680</v>
      </c>
      <c r="E2983" s="206">
        <v>85</v>
      </c>
      <c r="F2983" s="206">
        <v>3583</v>
      </c>
      <c r="G2983" s="183" t="s">
        <v>12586</v>
      </c>
      <c r="H2983" s="183" t="s">
        <v>13681</v>
      </c>
    </row>
    <row r="2984" spans="1:8">
      <c r="A2984" s="183" t="s">
        <v>13680</v>
      </c>
      <c r="E2984" s="206">
        <v>85</v>
      </c>
      <c r="F2984" s="206">
        <v>3498</v>
      </c>
      <c r="G2984" s="183" t="s">
        <v>12083</v>
      </c>
      <c r="H2984" s="183" t="s">
        <v>13681</v>
      </c>
    </row>
    <row r="2985" spans="1:8">
      <c r="A2985" s="183" t="s">
        <v>13682</v>
      </c>
      <c r="E2985" s="206">
        <v>80</v>
      </c>
      <c r="F2985" s="206">
        <v>3418</v>
      </c>
      <c r="G2985" s="183" t="s">
        <v>12133</v>
      </c>
      <c r="H2985" s="183" t="s">
        <v>12543</v>
      </c>
    </row>
    <row r="2986" spans="1:8">
      <c r="A2986" s="183" t="s">
        <v>13683</v>
      </c>
      <c r="C2986" s="183">
        <v>17000</v>
      </c>
      <c r="H2986" s="183" t="s">
        <v>13684</v>
      </c>
    </row>
    <row r="2987" spans="1:8">
      <c r="A2987" s="183" t="s">
        <v>13685</v>
      </c>
      <c r="C2987" s="696">
        <v>20000</v>
      </c>
      <c r="H2987" s="183" t="s">
        <v>13686</v>
      </c>
    </row>
    <row r="2988" spans="1:8">
      <c r="A2988" s="183" t="s">
        <v>13685</v>
      </c>
      <c r="C2988" s="183">
        <v>27218</v>
      </c>
      <c r="H2988" s="183" t="s">
        <v>13687</v>
      </c>
    </row>
    <row r="2989" spans="1:8">
      <c r="A2989" s="183" t="s">
        <v>13685</v>
      </c>
      <c r="C2989" s="183">
        <v>30800</v>
      </c>
      <c r="H2989" s="183" t="s">
        <v>13688</v>
      </c>
    </row>
    <row r="2990" spans="1:8">
      <c r="A2990" s="183" t="s">
        <v>13685</v>
      </c>
      <c r="E2990" s="206">
        <v>178</v>
      </c>
      <c r="F2990" s="206">
        <v>3240</v>
      </c>
      <c r="G2990" s="206" t="s">
        <v>12096</v>
      </c>
      <c r="H2990" s="183" t="s">
        <v>13689</v>
      </c>
    </row>
    <row r="2991" spans="1:8">
      <c r="A2991" s="183" t="s">
        <v>13690</v>
      </c>
      <c r="E2991" s="206">
        <v>80</v>
      </c>
      <c r="F2991" s="206">
        <v>3160</v>
      </c>
      <c r="G2991" s="183" t="s">
        <v>12083</v>
      </c>
      <c r="H2991" s="183" t="s">
        <v>13691</v>
      </c>
    </row>
    <row r="2992" spans="1:8">
      <c r="A2992" s="183" t="s">
        <v>13690</v>
      </c>
      <c r="E2992" s="206">
        <v>80</v>
      </c>
      <c r="F2992" s="206">
        <v>3080</v>
      </c>
      <c r="G2992" s="183" t="s">
        <v>12083</v>
      </c>
      <c r="H2992" s="183" t="s">
        <v>13691</v>
      </c>
    </row>
    <row r="2993" spans="1:8">
      <c r="A2993" s="183" t="s">
        <v>13692</v>
      </c>
      <c r="E2993" s="206">
        <v>1000</v>
      </c>
      <c r="F2993" s="206">
        <v>2080</v>
      </c>
      <c r="G2993" s="183" t="s">
        <v>12083</v>
      </c>
      <c r="H2993" s="183" t="s">
        <v>13693</v>
      </c>
    </row>
    <row r="2994" spans="1:8">
      <c r="A2994" s="183" t="s">
        <v>13694</v>
      </c>
      <c r="C2994" s="696">
        <v>11326</v>
      </c>
      <c r="H2994" s="183" t="s">
        <v>13695</v>
      </c>
    </row>
    <row r="2995" spans="1:8">
      <c r="A2995" s="183" t="s">
        <v>13680</v>
      </c>
      <c r="E2995" s="206">
        <v>115</v>
      </c>
      <c r="F2995" s="206">
        <v>1965</v>
      </c>
      <c r="G2995" s="183" t="s">
        <v>12083</v>
      </c>
      <c r="H2995" s="183" t="s">
        <v>13696</v>
      </c>
    </row>
    <row r="2996" spans="1:8">
      <c r="A2996" s="183" t="s">
        <v>13680</v>
      </c>
      <c r="E2996" s="206">
        <v>150</v>
      </c>
      <c r="F2996" s="206">
        <v>1815</v>
      </c>
      <c r="G2996" s="183" t="s">
        <v>12083</v>
      </c>
      <c r="H2996" s="183" t="s">
        <v>13696</v>
      </c>
    </row>
    <row r="2997" spans="1:8">
      <c r="A2997" s="183" t="s">
        <v>13692</v>
      </c>
      <c r="D2997" s="183">
        <v>4320</v>
      </c>
      <c r="E2997" s="206"/>
      <c r="F2997" s="206"/>
      <c r="H2997" s="183" t="s">
        <v>13697</v>
      </c>
    </row>
    <row r="2998" spans="1:8">
      <c r="A2998" s="183" t="s">
        <v>13698</v>
      </c>
      <c r="C2998" s="696">
        <v>20000</v>
      </c>
      <c r="D2998" s="183" t="s">
        <v>13699</v>
      </c>
      <c r="H2998" s="183" t="s">
        <v>13700</v>
      </c>
    </row>
    <row r="2999" spans="1:8">
      <c r="A2999" s="183" t="s">
        <v>13698</v>
      </c>
      <c r="C2999" s="183">
        <v>40580</v>
      </c>
      <c r="H2999" s="183" t="s">
        <v>13701</v>
      </c>
    </row>
    <row r="3000" spans="1:8">
      <c r="A3000" s="183" t="s">
        <v>4799</v>
      </c>
      <c r="E3000" s="206">
        <v>299</v>
      </c>
      <c r="F3000" s="206">
        <v>5836</v>
      </c>
      <c r="G3000" s="183" t="s">
        <v>12121</v>
      </c>
      <c r="H3000" s="183" t="s">
        <v>13702</v>
      </c>
    </row>
    <row r="3001" spans="1:8">
      <c r="A3001" s="183" t="s">
        <v>4800</v>
      </c>
      <c r="E3001" s="206">
        <v>290</v>
      </c>
      <c r="F3001" s="206">
        <v>5546</v>
      </c>
      <c r="G3001" s="183" t="s">
        <v>12083</v>
      </c>
      <c r="H3001" s="183" t="s">
        <v>13703</v>
      </c>
    </row>
    <row r="3002" spans="1:8">
      <c r="A3002" s="183" t="s">
        <v>4800</v>
      </c>
      <c r="E3002" s="206">
        <v>335</v>
      </c>
      <c r="F3002" s="206">
        <v>5211</v>
      </c>
      <c r="G3002" s="183" t="s">
        <v>12083</v>
      </c>
      <c r="H3002" s="183" t="s">
        <v>13703</v>
      </c>
    </row>
    <row r="3003" spans="1:8">
      <c r="A3003" s="183" t="s">
        <v>13704</v>
      </c>
      <c r="E3003" s="206">
        <v>125</v>
      </c>
      <c r="F3003" s="206">
        <v>5086</v>
      </c>
      <c r="G3003" s="183" t="s">
        <v>12083</v>
      </c>
      <c r="H3003" s="183" t="s">
        <v>13705</v>
      </c>
    </row>
    <row r="3004" spans="1:8">
      <c r="A3004" s="183" t="s">
        <v>13704</v>
      </c>
      <c r="E3004" s="206">
        <v>120</v>
      </c>
      <c r="F3004" s="206">
        <v>4966</v>
      </c>
      <c r="G3004" s="183" t="s">
        <v>12083</v>
      </c>
      <c r="H3004" s="183" t="s">
        <v>13705</v>
      </c>
    </row>
    <row r="3005" spans="1:8">
      <c r="A3005" s="183" t="s">
        <v>13706</v>
      </c>
      <c r="E3005" s="206">
        <v>18</v>
      </c>
      <c r="F3005" s="206">
        <v>4948</v>
      </c>
      <c r="G3005" s="183" t="s">
        <v>12621</v>
      </c>
      <c r="H3005" s="183" t="s">
        <v>13707</v>
      </c>
    </row>
    <row r="3006" spans="1:8">
      <c r="A3006" s="183" t="s">
        <v>13706</v>
      </c>
      <c r="E3006" s="183">
        <v>90</v>
      </c>
      <c r="F3006" s="206">
        <v>4858</v>
      </c>
      <c r="G3006" s="183" t="s">
        <v>12083</v>
      </c>
      <c r="H3006" s="183" t="s">
        <v>11314</v>
      </c>
    </row>
    <row r="3007" spans="1:8">
      <c r="A3007" s="183" t="s">
        <v>13708</v>
      </c>
      <c r="E3007" s="206">
        <v>1205</v>
      </c>
      <c r="F3007" s="206">
        <v>3653</v>
      </c>
      <c r="G3007" s="183" t="s">
        <v>12090</v>
      </c>
      <c r="H3007" s="183" t="s">
        <v>13709</v>
      </c>
    </row>
    <row r="3008" spans="1:8">
      <c r="A3008" s="183" t="s">
        <v>13708</v>
      </c>
      <c r="C3008" s="696">
        <v>10000</v>
      </c>
      <c r="H3008" s="183" t="s">
        <v>13710</v>
      </c>
    </row>
    <row r="3009" spans="1:8">
      <c r="A3009" s="183" t="s">
        <v>13711</v>
      </c>
      <c r="D3009" s="183">
        <v>29400</v>
      </c>
      <c r="E3009" s="206"/>
      <c r="F3009" s="206"/>
      <c r="H3009" s="183" t="s">
        <v>13712</v>
      </c>
    </row>
    <row r="3010" spans="1:8">
      <c r="A3010" s="183" t="s">
        <v>13711</v>
      </c>
      <c r="E3010" s="206">
        <v>600</v>
      </c>
      <c r="F3010" s="206">
        <v>3053</v>
      </c>
      <c r="G3010" s="183" t="s">
        <v>12083</v>
      </c>
      <c r="H3010" s="183" t="s">
        <v>13713</v>
      </c>
    </row>
    <row r="3011" spans="1:8">
      <c r="A3011" s="183" t="s">
        <v>13714</v>
      </c>
      <c r="E3011" s="206">
        <v>100</v>
      </c>
      <c r="F3011" s="206">
        <v>2953</v>
      </c>
      <c r="G3011" s="183" t="s">
        <v>12083</v>
      </c>
      <c r="H3011" s="183" t="s">
        <v>13713</v>
      </c>
    </row>
    <row r="3012" spans="1:8">
      <c r="A3012" s="183" t="s">
        <v>13715</v>
      </c>
      <c r="E3012" s="183">
        <v>100</v>
      </c>
      <c r="F3012" s="206">
        <v>2853</v>
      </c>
      <c r="G3012" s="183" t="s">
        <v>12083</v>
      </c>
      <c r="H3012" s="183" t="s">
        <v>11314</v>
      </c>
    </row>
    <row r="3013" spans="1:8">
      <c r="A3013" s="183" t="s">
        <v>13716</v>
      </c>
      <c r="E3013" s="206">
        <v>800</v>
      </c>
      <c r="F3013" s="206">
        <v>2053</v>
      </c>
      <c r="G3013" s="183" t="s">
        <v>12083</v>
      </c>
      <c r="H3013" s="183" t="s">
        <v>13717</v>
      </c>
    </row>
    <row r="3014" spans="1:8">
      <c r="A3014" s="183" t="s">
        <v>13718</v>
      </c>
      <c r="C3014" s="183">
        <v>27218</v>
      </c>
      <c r="H3014" s="183" t="s">
        <v>13719</v>
      </c>
    </row>
    <row r="3015" spans="1:8">
      <c r="A3015" s="183" t="s">
        <v>13718</v>
      </c>
      <c r="C3015" s="183">
        <v>30250</v>
      </c>
      <c r="D3015" s="696" t="s">
        <v>13720</v>
      </c>
      <c r="H3015" s="183" t="s">
        <v>13721</v>
      </c>
    </row>
    <row r="3016" spans="1:8">
      <c r="A3016" s="183" t="s">
        <v>13718</v>
      </c>
      <c r="D3016" s="696" t="s">
        <v>13722</v>
      </c>
      <c r="H3016" s="183" t="s">
        <v>13723</v>
      </c>
    </row>
    <row r="3017" spans="1:8">
      <c r="A3017" s="183" t="s">
        <v>13718</v>
      </c>
      <c r="C3017" s="183">
        <v>7303</v>
      </c>
      <c r="E3017" s="183">
        <v>29400</v>
      </c>
      <c r="H3017" s="183" t="s">
        <v>13724</v>
      </c>
    </row>
    <row r="3018" spans="1:8">
      <c r="A3018" s="183" t="s">
        <v>13725</v>
      </c>
      <c r="E3018" s="183">
        <v>100</v>
      </c>
      <c r="F3018" s="206">
        <v>1953</v>
      </c>
      <c r="G3018" s="183" t="s">
        <v>12103</v>
      </c>
      <c r="H3018" s="183" t="s">
        <v>13726</v>
      </c>
    </row>
    <row r="3019" spans="1:8">
      <c r="A3019" s="183" t="s">
        <v>13725</v>
      </c>
      <c r="E3019" s="206">
        <v>84</v>
      </c>
      <c r="F3019" s="206">
        <v>1869</v>
      </c>
      <c r="G3019" s="183" t="s">
        <v>12072</v>
      </c>
      <c r="H3019" s="183" t="s">
        <v>13727</v>
      </c>
    </row>
    <row r="3020" spans="1:8">
      <c r="A3020" s="183" t="s">
        <v>13728</v>
      </c>
      <c r="C3020" s="183">
        <v>1196</v>
      </c>
      <c r="H3020" s="183" t="s">
        <v>13729</v>
      </c>
    </row>
    <row r="3021" spans="1:8">
      <c r="A3021" s="183" t="s">
        <v>13730</v>
      </c>
      <c r="D3021" s="183">
        <v>3150</v>
      </c>
      <c r="F3021" s="183">
        <v>5019</v>
      </c>
      <c r="H3021" s="183" t="s">
        <v>13731</v>
      </c>
    </row>
    <row r="3022" spans="1:8">
      <c r="A3022" s="183" t="s">
        <v>13732</v>
      </c>
      <c r="C3022" s="183">
        <v>69000</v>
      </c>
      <c r="H3022" s="183" t="s">
        <v>13733</v>
      </c>
    </row>
    <row r="3023" spans="1:8">
      <c r="A3023" s="183" t="s">
        <v>13734</v>
      </c>
      <c r="C3023" s="183">
        <v>3658</v>
      </c>
      <c r="H3023" s="183" t="s">
        <v>13733</v>
      </c>
    </row>
    <row r="3024" spans="1:8">
      <c r="A3024" s="183" t="s">
        <v>13735</v>
      </c>
      <c r="E3024" s="183">
        <v>35</v>
      </c>
      <c r="F3024" s="206">
        <v>4984</v>
      </c>
      <c r="G3024" s="183" t="s">
        <v>12103</v>
      </c>
      <c r="H3024" s="183" t="s">
        <v>13736</v>
      </c>
    </row>
    <row r="3025" spans="1:8">
      <c r="A3025" s="183" t="s">
        <v>13737</v>
      </c>
      <c r="E3025" s="206">
        <v>1205</v>
      </c>
      <c r="F3025" s="206">
        <v>3779</v>
      </c>
      <c r="G3025" s="183" t="s">
        <v>12090</v>
      </c>
      <c r="H3025" s="183" t="s">
        <v>13738</v>
      </c>
    </row>
    <row r="3026" spans="1:8">
      <c r="A3026" s="183" t="s">
        <v>13739</v>
      </c>
      <c r="E3026" s="206">
        <v>70</v>
      </c>
      <c r="F3026" s="206">
        <v>3709</v>
      </c>
      <c r="G3026" s="183" t="s">
        <v>12083</v>
      </c>
      <c r="H3026" s="183" t="s">
        <v>13740</v>
      </c>
    </row>
    <row r="3027" spans="1:8">
      <c r="A3027" s="183" t="s">
        <v>5451</v>
      </c>
      <c r="E3027" s="183">
        <v>70</v>
      </c>
      <c r="F3027" s="206">
        <v>3639</v>
      </c>
      <c r="G3027" s="183" t="s">
        <v>12121</v>
      </c>
      <c r="H3027" s="183" t="s">
        <v>12830</v>
      </c>
    </row>
    <row r="3028" spans="1:8">
      <c r="A3028" s="183" t="s">
        <v>13741</v>
      </c>
      <c r="C3028" s="183">
        <v>17000</v>
      </c>
      <c r="H3028" s="183" t="s">
        <v>13742</v>
      </c>
    </row>
    <row r="3029" spans="1:8">
      <c r="A3029" s="183" t="s">
        <v>13743</v>
      </c>
      <c r="C3029" s="183">
        <v>27218</v>
      </c>
      <c r="H3029" s="183" t="s">
        <v>13744</v>
      </c>
    </row>
    <row r="3030" spans="1:8">
      <c r="A3030" s="183" t="s">
        <v>13743</v>
      </c>
      <c r="C3030" s="183">
        <v>50000</v>
      </c>
      <c r="D3030" s="696"/>
      <c r="H3030" s="183" t="s">
        <v>13745</v>
      </c>
    </row>
    <row r="3031" spans="1:8">
      <c r="A3031" s="183" t="s">
        <v>13743</v>
      </c>
      <c r="D3031" s="696" t="s">
        <v>13746</v>
      </c>
      <c r="H3031" s="183" t="s">
        <v>13747</v>
      </c>
    </row>
    <row r="3032" spans="1:8">
      <c r="A3032" s="183" t="s">
        <v>13743</v>
      </c>
      <c r="C3032" s="183">
        <v>41454</v>
      </c>
      <c r="D3032" s="696" t="s">
        <v>13748</v>
      </c>
      <c r="E3032" s="696"/>
      <c r="H3032" s="183" t="s">
        <v>13749</v>
      </c>
    </row>
    <row r="3033" spans="1:8">
      <c r="A3033" s="183" t="s">
        <v>13743</v>
      </c>
      <c r="D3033" s="696" t="s">
        <v>13750</v>
      </c>
      <c r="E3033" s="696" t="s">
        <v>13751</v>
      </c>
      <c r="H3033" s="183" t="s">
        <v>13752</v>
      </c>
    </row>
    <row r="3034" spans="1:8">
      <c r="A3034" s="183" t="s">
        <v>13743</v>
      </c>
      <c r="C3034" s="183">
        <v>32275</v>
      </c>
      <c r="H3034" s="183" t="s">
        <v>13753</v>
      </c>
    </row>
    <row r="3035" spans="1:8">
      <c r="A3035" s="183" t="s">
        <v>13743</v>
      </c>
      <c r="C3035" s="183">
        <v>2167</v>
      </c>
      <c r="H3035" s="183" t="s">
        <v>13754</v>
      </c>
    </row>
    <row r="3036" spans="1:8">
      <c r="A3036" s="183" t="s">
        <v>13743</v>
      </c>
      <c r="E3036" s="206">
        <v>32</v>
      </c>
      <c r="F3036" s="206">
        <v>3607</v>
      </c>
      <c r="G3036" s="183" t="s">
        <v>12072</v>
      </c>
      <c r="H3036" s="183" t="s">
        <v>13755</v>
      </c>
    </row>
    <row r="3037" spans="1:8">
      <c r="A3037" s="183" t="s">
        <v>13743</v>
      </c>
      <c r="E3037" s="206">
        <v>199</v>
      </c>
      <c r="F3037" s="206">
        <v>3408</v>
      </c>
      <c r="G3037" s="206" t="s">
        <v>12096</v>
      </c>
      <c r="H3037" s="183" t="s">
        <v>13756</v>
      </c>
    </row>
    <row r="3038" spans="1:8">
      <c r="A3038" s="183" t="s">
        <v>13757</v>
      </c>
      <c r="E3038" s="206">
        <v>200</v>
      </c>
      <c r="F3038" s="206">
        <v>3208</v>
      </c>
      <c r="G3038" s="183" t="s">
        <v>12083</v>
      </c>
      <c r="H3038" s="183" t="s">
        <v>13758</v>
      </c>
    </row>
    <row r="3039" spans="1:8" ht="49.5">
      <c r="A3039" s="183" t="s">
        <v>13759</v>
      </c>
      <c r="C3039" s="183">
        <v>20000</v>
      </c>
      <c r="E3039" s="206"/>
      <c r="F3039" s="206"/>
      <c r="H3039" s="706" t="s">
        <v>13760</v>
      </c>
    </row>
    <row r="3040" spans="1:8">
      <c r="A3040" s="183" t="s">
        <v>13759</v>
      </c>
      <c r="C3040" s="183">
        <v>20000</v>
      </c>
      <c r="D3040" s="696"/>
      <c r="E3040" s="696"/>
      <c r="H3040" s="183" t="s">
        <v>13761</v>
      </c>
    </row>
    <row r="3041" spans="1:8">
      <c r="A3041" s="183" t="s">
        <v>13759</v>
      </c>
      <c r="C3041" s="183">
        <v>61454</v>
      </c>
      <c r="D3041" s="696"/>
      <c r="E3041" s="696"/>
      <c r="H3041" s="183" t="s">
        <v>13762</v>
      </c>
    </row>
    <row r="3042" spans="1:8">
      <c r="A3042" s="183" t="s">
        <v>13759</v>
      </c>
      <c r="C3042" s="183">
        <v>33000</v>
      </c>
      <c r="D3042" s="696"/>
      <c r="H3042" s="183" t="s">
        <v>13763</v>
      </c>
    </row>
    <row r="3043" spans="1:8" ht="132">
      <c r="A3043" s="183" t="s">
        <v>13764</v>
      </c>
      <c r="C3043" s="183">
        <v>175830</v>
      </c>
      <c r="H3043" s="694" t="s">
        <v>13765</v>
      </c>
    </row>
    <row r="3044" spans="1:8" ht="231">
      <c r="A3044" s="183" t="s">
        <v>13766</v>
      </c>
      <c r="H3044" s="694" t="s">
        <v>13767</v>
      </c>
    </row>
    <row r="3045" spans="1:8">
      <c r="A3045" s="183" t="s">
        <v>13768</v>
      </c>
      <c r="E3045" s="206">
        <v>1205</v>
      </c>
      <c r="F3045" s="206">
        <v>2003</v>
      </c>
      <c r="G3045" s="183" t="s">
        <v>12090</v>
      </c>
      <c r="H3045" s="183" t="s">
        <v>13738</v>
      </c>
    </row>
    <row r="3046" spans="1:8">
      <c r="A3046" s="183" t="s">
        <v>13769</v>
      </c>
      <c r="E3046" s="206">
        <v>18</v>
      </c>
      <c r="F3046" s="206">
        <v>1985</v>
      </c>
      <c r="G3046" s="183" t="s">
        <v>12072</v>
      </c>
      <c r="H3046" s="183" t="s">
        <v>13770</v>
      </c>
    </row>
    <row r="3047" spans="1:8">
      <c r="A3047" s="183" t="s">
        <v>13769</v>
      </c>
      <c r="C3047" s="183">
        <v>17000</v>
      </c>
      <c r="H3047" s="183" t="s">
        <v>13771</v>
      </c>
    </row>
    <row r="3048" spans="1:8">
      <c r="A3048" s="183" t="s">
        <v>13772</v>
      </c>
      <c r="E3048" s="183">
        <v>25</v>
      </c>
      <c r="F3048" s="206">
        <v>1960</v>
      </c>
      <c r="G3048" s="183" t="s">
        <v>12103</v>
      </c>
      <c r="H3048" s="183" t="s">
        <v>13773</v>
      </c>
    </row>
    <row r="3049" spans="1:8">
      <c r="A3049" s="183" t="s">
        <v>13774</v>
      </c>
      <c r="C3049" s="183">
        <v>27218</v>
      </c>
      <c r="H3049" s="183" t="s">
        <v>13775</v>
      </c>
    </row>
    <row r="3050" spans="1:8">
      <c r="A3050" s="183" t="s">
        <v>13774</v>
      </c>
      <c r="C3050" s="183">
        <v>18000</v>
      </c>
      <c r="D3050" s="696"/>
      <c r="H3050" s="183" t="s">
        <v>13776</v>
      </c>
    </row>
    <row r="3051" spans="1:8">
      <c r="A3051" s="183" t="s">
        <v>13777</v>
      </c>
      <c r="C3051" s="183">
        <v>15000</v>
      </c>
      <c r="D3051" s="696" t="s">
        <v>13778</v>
      </c>
      <c r="E3051" s="696"/>
      <c r="H3051" s="183" t="s">
        <v>13779</v>
      </c>
    </row>
    <row r="3052" spans="1:8">
      <c r="A3052" s="183" t="s">
        <v>13777</v>
      </c>
      <c r="C3052" s="183">
        <v>2650</v>
      </c>
      <c r="H3052" s="183" t="s">
        <v>13780</v>
      </c>
    </row>
    <row r="3053" spans="1:8">
      <c r="A3053" s="183" t="s">
        <v>13781</v>
      </c>
      <c r="C3053" s="183">
        <v>31264</v>
      </c>
      <c r="H3053" s="183" t="s">
        <v>13782</v>
      </c>
    </row>
    <row r="3054" spans="1:8">
      <c r="A3054" s="183" t="s">
        <v>13783</v>
      </c>
      <c r="E3054" s="206">
        <v>28</v>
      </c>
      <c r="F3054" s="206">
        <v>1932</v>
      </c>
      <c r="G3054" s="183" t="s">
        <v>12747</v>
      </c>
      <c r="H3054" s="183" t="s">
        <v>13784</v>
      </c>
    </row>
    <row r="3055" spans="1:8">
      <c r="A3055" s="183" t="s">
        <v>13785</v>
      </c>
      <c r="E3055" s="206">
        <v>1205</v>
      </c>
      <c r="F3055" s="206">
        <v>727</v>
      </c>
      <c r="G3055" s="183" t="s">
        <v>12090</v>
      </c>
      <c r="H3055" s="183" t="s">
        <v>13786</v>
      </c>
    </row>
    <row r="3056" spans="1:8">
      <c r="A3056" s="183" t="s">
        <v>13787</v>
      </c>
      <c r="E3056" s="183">
        <v>169</v>
      </c>
      <c r="F3056" s="206">
        <v>558</v>
      </c>
      <c r="G3056" s="183" t="s">
        <v>12072</v>
      </c>
      <c r="H3056" s="183" t="s">
        <v>11263</v>
      </c>
    </row>
    <row r="3057" spans="1:8">
      <c r="A3057" s="183" t="s">
        <v>13788</v>
      </c>
      <c r="E3057" s="206">
        <v>189</v>
      </c>
      <c r="F3057" s="206">
        <v>369</v>
      </c>
      <c r="G3057" s="206" t="s">
        <v>12096</v>
      </c>
      <c r="H3057" s="183" t="s">
        <v>13789</v>
      </c>
    </row>
    <row r="3058" spans="1:8">
      <c r="A3058" s="183" t="s">
        <v>13788</v>
      </c>
      <c r="D3058" s="183">
        <v>5000</v>
      </c>
      <c r="E3058" s="206"/>
      <c r="F3058" s="206">
        <v>5369</v>
      </c>
      <c r="H3058" s="183" t="s">
        <v>11466</v>
      </c>
    </row>
    <row r="3059" spans="1:8">
      <c r="A3059" s="183" t="s">
        <v>13788</v>
      </c>
      <c r="E3059" s="183">
        <v>535</v>
      </c>
      <c r="F3059" s="206">
        <v>4834</v>
      </c>
      <c r="G3059" s="183" t="s">
        <v>12103</v>
      </c>
      <c r="H3059" s="183" t="s">
        <v>13790</v>
      </c>
    </row>
    <row r="3060" spans="1:8">
      <c r="A3060" s="183" t="s">
        <v>13788</v>
      </c>
      <c r="E3060" s="206">
        <v>352</v>
      </c>
      <c r="F3060" s="206">
        <v>4482</v>
      </c>
      <c r="G3060" s="183" t="s">
        <v>12133</v>
      </c>
      <c r="H3060" s="183" t="s">
        <v>13791</v>
      </c>
    </row>
    <row r="3061" spans="1:8">
      <c r="A3061" s="183" t="s">
        <v>13792</v>
      </c>
      <c r="C3061" s="183">
        <v>17000</v>
      </c>
      <c r="H3061" s="183" t="s">
        <v>13793</v>
      </c>
    </row>
    <row r="3062" spans="1:8">
      <c r="A3062" s="183" t="s">
        <v>13794</v>
      </c>
      <c r="E3062" s="183">
        <v>196</v>
      </c>
      <c r="F3062" s="206">
        <v>4286</v>
      </c>
      <c r="G3062" s="183" t="s">
        <v>12103</v>
      </c>
      <c r="H3062" s="183" t="s">
        <v>13795</v>
      </c>
    </row>
    <row r="3063" spans="1:8">
      <c r="A3063" s="183" t="s">
        <v>13794</v>
      </c>
      <c r="C3063" s="183">
        <v>26897</v>
      </c>
      <c r="H3063" s="183" t="s">
        <v>13796</v>
      </c>
    </row>
    <row r="3064" spans="1:8">
      <c r="A3064" s="183" t="s">
        <v>13794</v>
      </c>
      <c r="C3064" s="183">
        <v>26000</v>
      </c>
      <c r="D3064" s="696"/>
      <c r="H3064" s="183" t="s">
        <v>13797</v>
      </c>
    </row>
    <row r="3065" spans="1:8">
      <c r="A3065" s="183" t="s">
        <v>13798</v>
      </c>
      <c r="C3065" s="183">
        <v>46454</v>
      </c>
      <c r="D3065" s="696"/>
      <c r="E3065" s="696"/>
      <c r="H3065" s="183" t="s">
        <v>13799</v>
      </c>
    </row>
    <row r="3066" spans="1:8">
      <c r="A3066" s="183" t="s">
        <v>13800</v>
      </c>
      <c r="C3066" s="183">
        <v>2516</v>
      </c>
      <c r="H3066" s="183" t="s">
        <v>13801</v>
      </c>
    </row>
    <row r="3067" spans="1:8">
      <c r="A3067" s="183" t="s">
        <v>13800</v>
      </c>
      <c r="C3067" s="183">
        <v>25003</v>
      </c>
      <c r="H3067" s="183" t="s">
        <v>13802</v>
      </c>
    </row>
    <row r="3068" spans="1:8">
      <c r="A3068" s="183" t="s">
        <v>13800</v>
      </c>
      <c r="E3068" s="183">
        <v>28</v>
      </c>
      <c r="F3068" s="206">
        <v>4258</v>
      </c>
      <c r="G3068" s="183" t="s">
        <v>12103</v>
      </c>
      <c r="H3068" s="183" t="s">
        <v>13803</v>
      </c>
    </row>
    <row r="3069" spans="1:8">
      <c r="A3069" s="183" t="s">
        <v>13804</v>
      </c>
      <c r="E3069" s="206">
        <v>430</v>
      </c>
      <c r="F3069" s="206">
        <v>3828</v>
      </c>
      <c r="G3069" s="183" t="s">
        <v>12586</v>
      </c>
      <c r="H3069" s="183" t="s">
        <v>13805</v>
      </c>
    </row>
    <row r="3070" spans="1:8">
      <c r="A3070" s="183" t="s">
        <v>13804</v>
      </c>
      <c r="E3070" s="206">
        <v>355</v>
      </c>
      <c r="F3070" s="206">
        <v>3473</v>
      </c>
      <c r="G3070" s="183" t="s">
        <v>12083</v>
      </c>
      <c r="H3070" s="183" t="s">
        <v>13806</v>
      </c>
    </row>
    <row r="3071" spans="1:8">
      <c r="A3071" s="183" t="s">
        <v>13807</v>
      </c>
      <c r="E3071" s="183">
        <v>28</v>
      </c>
      <c r="F3071" s="206">
        <v>3445</v>
      </c>
      <c r="G3071" s="183" t="s">
        <v>12103</v>
      </c>
      <c r="H3071" s="183" t="s">
        <v>13808</v>
      </c>
    </row>
    <row r="3072" spans="1:8">
      <c r="A3072" s="183" t="s">
        <v>13809</v>
      </c>
      <c r="E3072" s="206">
        <v>121</v>
      </c>
      <c r="F3072" s="206">
        <v>3324</v>
      </c>
      <c r="G3072" s="183" t="s">
        <v>11093</v>
      </c>
      <c r="H3072" s="183" t="s">
        <v>13810</v>
      </c>
    </row>
    <row r="3073" spans="1:8">
      <c r="A3073" s="183" t="s">
        <v>13811</v>
      </c>
      <c r="E3073" s="206">
        <v>50</v>
      </c>
      <c r="F3073" s="206">
        <v>3274</v>
      </c>
      <c r="G3073" s="183" t="s">
        <v>12621</v>
      </c>
      <c r="H3073" s="183" t="s">
        <v>13812</v>
      </c>
    </row>
    <row r="3074" spans="1:8">
      <c r="A3074" s="183" t="s">
        <v>13813</v>
      </c>
      <c r="E3074" s="206">
        <v>1458</v>
      </c>
      <c r="F3074" s="206">
        <v>1816</v>
      </c>
      <c r="G3074" s="183" t="s">
        <v>12090</v>
      </c>
      <c r="H3074" s="183" t="s">
        <v>13814</v>
      </c>
    </row>
    <row r="3075" spans="1:8">
      <c r="A3075" s="183" t="s">
        <v>13815</v>
      </c>
      <c r="E3075" s="206">
        <v>28</v>
      </c>
      <c r="F3075" s="206">
        <v>1788</v>
      </c>
      <c r="G3075" s="183" t="s">
        <v>12103</v>
      </c>
      <c r="H3075" s="183" t="s">
        <v>13816</v>
      </c>
    </row>
    <row r="3076" spans="1:8">
      <c r="A3076" s="183" t="s">
        <v>13817</v>
      </c>
      <c r="C3076" s="183">
        <v>61454</v>
      </c>
      <c r="D3076" s="696"/>
      <c r="E3076" s="696"/>
      <c r="H3076" s="183" t="s">
        <v>13818</v>
      </c>
    </row>
    <row r="3077" spans="1:8">
      <c r="A3077" s="183" t="s">
        <v>13819</v>
      </c>
      <c r="E3077" s="206">
        <v>140</v>
      </c>
      <c r="F3077" s="206">
        <v>1648</v>
      </c>
      <c r="G3077" s="183" t="s">
        <v>12083</v>
      </c>
      <c r="H3077" s="183" t="s">
        <v>13820</v>
      </c>
    </row>
    <row r="3078" spans="1:8">
      <c r="A3078" s="183" t="s">
        <v>13821</v>
      </c>
      <c r="C3078" s="183">
        <v>17000</v>
      </c>
      <c r="H3078" s="183" t="s">
        <v>13822</v>
      </c>
    </row>
    <row r="3079" spans="1:8" ht="66">
      <c r="A3079" s="183" t="s">
        <v>13823</v>
      </c>
      <c r="E3079" s="206"/>
      <c r="F3079" s="206"/>
      <c r="H3079" s="694" t="s">
        <v>13824</v>
      </c>
    </row>
    <row r="3080" spans="1:8">
      <c r="A3080" s="183" t="s">
        <v>13823</v>
      </c>
      <c r="C3080" s="183">
        <v>26897</v>
      </c>
      <c r="H3080" s="183" t="s">
        <v>13825</v>
      </c>
    </row>
    <row r="3081" spans="1:8">
      <c r="A3081" s="183" t="s">
        <v>13826</v>
      </c>
      <c r="C3081" s="183">
        <v>37500</v>
      </c>
      <c r="D3081" s="696"/>
      <c r="H3081" s="183" t="s">
        <v>13827</v>
      </c>
    </row>
    <row r="3082" spans="1:8">
      <c r="A3082" s="183" t="s">
        <v>13828</v>
      </c>
      <c r="C3082" s="183">
        <v>10057</v>
      </c>
      <c r="H3082" s="183" t="s">
        <v>13829</v>
      </c>
    </row>
    <row r="3083" spans="1:8">
      <c r="A3083" s="183" t="s">
        <v>13830</v>
      </c>
      <c r="E3083" s="183">
        <v>60</v>
      </c>
      <c r="F3083" s="206">
        <v>1588</v>
      </c>
      <c r="G3083" s="183" t="s">
        <v>12103</v>
      </c>
      <c r="H3083" s="183" t="s">
        <v>13831</v>
      </c>
    </row>
    <row r="3084" spans="1:8" ht="297">
      <c r="A3084" s="183" t="s">
        <v>13832</v>
      </c>
      <c r="C3084" s="183">
        <v>62750</v>
      </c>
      <c r="D3084" s="183" t="s">
        <v>13833</v>
      </c>
      <c r="H3084" s="694" t="s">
        <v>13834</v>
      </c>
    </row>
    <row r="3085" spans="1:8">
      <c r="A3085" s="183" t="s">
        <v>13835</v>
      </c>
      <c r="C3085" s="183">
        <v>16458</v>
      </c>
      <c r="H3085" s="183" t="s">
        <v>13836</v>
      </c>
    </row>
    <row r="3086" spans="1:8">
      <c r="A3086" s="183" t="s">
        <v>13835</v>
      </c>
      <c r="E3086" s="206">
        <v>100</v>
      </c>
      <c r="F3086" s="206">
        <v>1488</v>
      </c>
      <c r="G3086" s="183" t="s">
        <v>12083</v>
      </c>
      <c r="H3086" s="183" t="s">
        <v>13820</v>
      </c>
    </row>
    <row r="3087" spans="1:8">
      <c r="A3087" s="183" t="s">
        <v>13837</v>
      </c>
      <c r="E3087" s="183">
        <v>44</v>
      </c>
      <c r="F3087" s="206">
        <v>1444</v>
      </c>
      <c r="G3087" s="183" t="s">
        <v>12103</v>
      </c>
      <c r="H3087" s="183" t="s">
        <v>13838</v>
      </c>
    </row>
    <row r="3088" spans="1:8">
      <c r="A3088" s="183" t="s">
        <v>13839</v>
      </c>
      <c r="E3088" s="183">
        <v>28</v>
      </c>
      <c r="F3088" s="206">
        <v>1416</v>
      </c>
      <c r="G3088" s="183" t="s">
        <v>12103</v>
      </c>
      <c r="H3088" s="183" t="s">
        <v>13840</v>
      </c>
    </row>
    <row r="3089" spans="1:8">
      <c r="A3089" s="183" t="s">
        <v>13841</v>
      </c>
      <c r="E3089" s="183">
        <v>100</v>
      </c>
      <c r="F3089" s="206">
        <v>1316</v>
      </c>
      <c r="G3089" s="183" t="s">
        <v>12083</v>
      </c>
      <c r="H3089" s="183" t="s">
        <v>13842</v>
      </c>
    </row>
    <row r="3090" spans="1:8">
      <c r="A3090" s="183" t="s">
        <v>13843</v>
      </c>
      <c r="C3090" s="183">
        <v>61454</v>
      </c>
      <c r="D3090" s="696"/>
      <c r="E3090" s="696"/>
      <c r="H3090" s="183" t="s">
        <v>13844</v>
      </c>
    </row>
    <row r="3091" spans="1:8">
      <c r="A3091" s="183" t="s">
        <v>13845</v>
      </c>
      <c r="E3091" s="206">
        <v>199</v>
      </c>
      <c r="F3091" s="206">
        <v>1117</v>
      </c>
      <c r="G3091" s="206" t="s">
        <v>12096</v>
      </c>
      <c r="H3091" s="183" t="s">
        <v>13846</v>
      </c>
    </row>
    <row r="3092" spans="1:8" ht="49.5">
      <c r="A3092" s="183" t="s">
        <v>13847</v>
      </c>
      <c r="C3092" s="183">
        <v>12000</v>
      </c>
      <c r="E3092" s="206"/>
      <c r="F3092" s="206"/>
      <c r="H3092" s="694" t="s">
        <v>13848</v>
      </c>
    </row>
    <row r="3093" spans="1:8">
      <c r="A3093" s="183" t="s">
        <v>13847</v>
      </c>
      <c r="C3093" s="183">
        <v>25330</v>
      </c>
      <c r="H3093" s="183" t="s">
        <v>13849</v>
      </c>
    </row>
    <row r="3094" spans="1:8">
      <c r="A3094" s="183" t="s">
        <v>13847</v>
      </c>
      <c r="D3094" s="183">
        <v>5000</v>
      </c>
      <c r="E3094" s="206"/>
      <c r="F3094" s="206">
        <v>6117</v>
      </c>
      <c r="H3094" s="183" t="s">
        <v>12846</v>
      </c>
    </row>
    <row r="3095" spans="1:8">
      <c r="A3095" s="183" t="s">
        <v>13847</v>
      </c>
      <c r="E3095" s="206">
        <v>1458</v>
      </c>
      <c r="F3095" s="206">
        <v>4659</v>
      </c>
      <c r="G3095" s="183" t="s">
        <v>12090</v>
      </c>
      <c r="H3095" s="183" t="s">
        <v>13850</v>
      </c>
    </row>
    <row r="3096" spans="1:8">
      <c r="A3096" s="183" t="s">
        <v>13847</v>
      </c>
      <c r="E3096" s="183">
        <v>28</v>
      </c>
      <c r="F3096" s="206">
        <v>4631</v>
      </c>
      <c r="G3096" s="183" t="s">
        <v>12103</v>
      </c>
      <c r="H3096" s="183" t="s">
        <v>13851</v>
      </c>
    </row>
    <row r="3097" spans="1:8">
      <c r="A3097" s="183" t="s">
        <v>13852</v>
      </c>
      <c r="E3097" s="183">
        <v>100</v>
      </c>
      <c r="F3097" s="206">
        <v>4531</v>
      </c>
      <c r="G3097" s="183" t="s">
        <v>12083</v>
      </c>
      <c r="H3097" s="183" t="s">
        <v>13853</v>
      </c>
    </row>
    <row r="3098" spans="1:8">
      <c r="A3098" s="183" t="s">
        <v>13852</v>
      </c>
      <c r="C3098" s="183">
        <v>26897</v>
      </c>
      <c r="H3098" s="183" t="s">
        <v>13854</v>
      </c>
    </row>
    <row r="3099" spans="1:8">
      <c r="A3099" s="183" t="s">
        <v>13852</v>
      </c>
      <c r="C3099" s="183">
        <v>12800</v>
      </c>
      <c r="D3099" s="696"/>
      <c r="H3099" s="183" t="s">
        <v>13855</v>
      </c>
    </row>
    <row r="3100" spans="1:8">
      <c r="A3100" s="183" t="s">
        <v>13856</v>
      </c>
      <c r="E3100" s="206">
        <v>280</v>
      </c>
      <c r="F3100" s="206">
        <v>4251</v>
      </c>
      <c r="G3100" s="183" t="s">
        <v>12121</v>
      </c>
      <c r="H3100" s="183" t="s">
        <v>13857</v>
      </c>
    </row>
    <row r="3101" spans="1:8">
      <c r="A3101" s="183" t="s">
        <v>13858</v>
      </c>
      <c r="E3101" s="206">
        <v>18</v>
      </c>
      <c r="F3101" s="206">
        <v>4233</v>
      </c>
      <c r="G3101" s="183" t="s">
        <v>12072</v>
      </c>
      <c r="H3101" s="183" t="s">
        <v>13859</v>
      </c>
    </row>
    <row r="3102" spans="1:8">
      <c r="A3102" s="183" t="s">
        <v>13858</v>
      </c>
      <c r="E3102" s="206">
        <v>285</v>
      </c>
      <c r="F3102" s="206">
        <v>3948</v>
      </c>
      <c r="G3102" s="183" t="s">
        <v>12083</v>
      </c>
      <c r="H3102" s="183" t="s">
        <v>13860</v>
      </c>
    </row>
    <row r="3103" spans="1:8">
      <c r="A3103" s="183" t="s">
        <v>13861</v>
      </c>
      <c r="E3103" s="206">
        <v>300</v>
      </c>
      <c r="F3103" s="206">
        <v>3648</v>
      </c>
      <c r="G3103" s="183" t="s">
        <v>12083</v>
      </c>
      <c r="H3103" s="183" t="s">
        <v>13860</v>
      </c>
    </row>
    <row r="3104" spans="1:8">
      <c r="A3104" s="183" t="s">
        <v>13858</v>
      </c>
      <c r="E3104" s="206">
        <v>95</v>
      </c>
      <c r="F3104" s="206">
        <v>3553</v>
      </c>
      <c r="G3104" s="183" t="s">
        <v>12083</v>
      </c>
      <c r="H3104" s="183" t="s">
        <v>13862</v>
      </c>
    </row>
    <row r="3105" spans="1:8">
      <c r="A3105" s="183" t="s">
        <v>13861</v>
      </c>
      <c r="E3105" s="206">
        <v>245</v>
      </c>
      <c r="F3105" s="206">
        <v>3308</v>
      </c>
      <c r="G3105" s="183" t="s">
        <v>12083</v>
      </c>
      <c r="H3105" s="183" t="s">
        <v>13863</v>
      </c>
    </row>
    <row r="3106" spans="1:8">
      <c r="A3106" s="183" t="s">
        <v>13864</v>
      </c>
      <c r="E3106" s="206">
        <v>1458</v>
      </c>
      <c r="F3106" s="206">
        <v>1850</v>
      </c>
      <c r="G3106" s="183" t="s">
        <v>12090</v>
      </c>
      <c r="H3106" s="183" t="s">
        <v>13865</v>
      </c>
    </row>
    <row r="3107" spans="1:8">
      <c r="A3107" s="183" t="s">
        <v>13866</v>
      </c>
      <c r="E3107" s="206">
        <v>92</v>
      </c>
      <c r="F3107" s="206">
        <v>1758</v>
      </c>
      <c r="G3107" s="183" t="s">
        <v>12103</v>
      </c>
      <c r="H3107" s="183" t="s">
        <v>13867</v>
      </c>
    </row>
    <row r="3108" spans="1:8">
      <c r="A3108" s="183" t="s">
        <v>13866</v>
      </c>
      <c r="E3108" s="183">
        <v>84</v>
      </c>
      <c r="F3108" s="206">
        <v>1674</v>
      </c>
      <c r="G3108" s="183" t="s">
        <v>12103</v>
      </c>
      <c r="H3108" s="183" t="s">
        <v>13868</v>
      </c>
    </row>
    <row r="3109" spans="1:8">
      <c r="A3109" s="183" t="s">
        <v>13869</v>
      </c>
      <c r="C3109" s="183">
        <v>17000</v>
      </c>
      <c r="H3109" s="183" t="s">
        <v>13870</v>
      </c>
    </row>
    <row r="3110" spans="1:8">
      <c r="A3110" s="183" t="s">
        <v>5603</v>
      </c>
      <c r="C3110" s="183">
        <v>61454</v>
      </c>
      <c r="D3110" s="696"/>
      <c r="E3110" s="696"/>
      <c r="H3110" s="183" t="s">
        <v>13871</v>
      </c>
    </row>
    <row r="3111" spans="1:8">
      <c r="A3111" s="183" t="s">
        <v>13872</v>
      </c>
      <c r="C3111" s="183">
        <v>15000</v>
      </c>
      <c r="D3111" s="696"/>
      <c r="H3111" s="183" t="s">
        <v>13873</v>
      </c>
    </row>
    <row r="3112" spans="1:8">
      <c r="A3112" s="183" t="s">
        <v>13872</v>
      </c>
      <c r="C3112" s="183">
        <v>26897</v>
      </c>
      <c r="H3112" s="183" t="s">
        <v>13874</v>
      </c>
    </row>
    <row r="3113" spans="1:8">
      <c r="A3113" s="183" t="s">
        <v>13875</v>
      </c>
      <c r="E3113" s="206">
        <v>48</v>
      </c>
      <c r="F3113" s="206">
        <v>1626</v>
      </c>
      <c r="G3113" s="183" t="s">
        <v>12083</v>
      </c>
      <c r="H3113" s="183" t="s">
        <v>13876</v>
      </c>
    </row>
    <row r="3114" spans="1:8">
      <c r="A3114" s="183" t="s">
        <v>13877</v>
      </c>
      <c r="C3114" s="183">
        <v>12314</v>
      </c>
      <c r="H3114" s="183" t="s">
        <v>13878</v>
      </c>
    </row>
    <row r="3115" spans="1:8">
      <c r="A3115" s="183" t="s">
        <v>13877</v>
      </c>
      <c r="C3115" s="183">
        <v>61454</v>
      </c>
      <c r="D3115" s="696"/>
      <c r="E3115" s="696"/>
      <c r="H3115" s="183" t="s">
        <v>13879</v>
      </c>
    </row>
    <row r="3116" spans="1:8">
      <c r="A3116" s="183" t="s">
        <v>5604</v>
      </c>
      <c r="E3116" s="183">
        <v>476</v>
      </c>
      <c r="F3116" s="206">
        <v>1150</v>
      </c>
      <c r="G3116" s="183" t="s">
        <v>12103</v>
      </c>
      <c r="H3116" s="183" t="s">
        <v>13880</v>
      </c>
    </row>
    <row r="3117" spans="1:8">
      <c r="A3117" s="183" t="s">
        <v>13881</v>
      </c>
      <c r="E3117" s="206">
        <v>199</v>
      </c>
      <c r="F3117" s="206">
        <v>951</v>
      </c>
      <c r="G3117" s="206" t="s">
        <v>12096</v>
      </c>
      <c r="H3117" s="183" t="s">
        <v>13882</v>
      </c>
    </row>
    <row r="3118" spans="1:8">
      <c r="A3118" s="183" t="s">
        <v>13883</v>
      </c>
      <c r="D3118" s="183">
        <v>5000</v>
      </c>
      <c r="E3118" s="206"/>
      <c r="F3118" s="206">
        <v>5951</v>
      </c>
      <c r="H3118" s="183" t="s">
        <v>11466</v>
      </c>
    </row>
    <row r="3119" spans="1:8">
      <c r="A3119" s="183" t="s">
        <v>13883</v>
      </c>
      <c r="E3119" s="206">
        <v>1458</v>
      </c>
      <c r="F3119" s="206">
        <v>4493</v>
      </c>
      <c r="G3119" s="183" t="s">
        <v>12550</v>
      </c>
      <c r="H3119" s="183" t="s">
        <v>13865</v>
      </c>
    </row>
    <row r="3120" spans="1:8">
      <c r="A3120" s="183" t="s">
        <v>13884</v>
      </c>
      <c r="E3120" s="206">
        <v>115</v>
      </c>
      <c r="F3120" s="206">
        <v>4378</v>
      </c>
      <c r="G3120" s="183" t="s">
        <v>12083</v>
      </c>
      <c r="H3120" s="183" t="s">
        <v>13885</v>
      </c>
    </row>
    <row r="3121" spans="1:8">
      <c r="A3121" s="183" t="s">
        <v>13884</v>
      </c>
      <c r="E3121" s="206">
        <v>135</v>
      </c>
      <c r="F3121" s="206">
        <v>4243</v>
      </c>
      <c r="G3121" s="183" t="s">
        <v>12083</v>
      </c>
      <c r="H3121" s="183" t="s">
        <v>13885</v>
      </c>
    </row>
    <row r="3122" spans="1:8">
      <c r="A3122" s="183" t="s">
        <v>13886</v>
      </c>
      <c r="C3122" s="183">
        <v>17000</v>
      </c>
      <c r="H3122" s="183" t="s">
        <v>13887</v>
      </c>
    </row>
    <row r="3123" spans="1:8">
      <c r="A3123" s="183" t="s">
        <v>13888</v>
      </c>
      <c r="C3123" s="183">
        <v>61454</v>
      </c>
      <c r="D3123" s="696"/>
      <c r="E3123" s="696"/>
      <c r="H3123" s="183" t="s">
        <v>13889</v>
      </c>
    </row>
    <row r="3124" spans="1:8">
      <c r="A3124" s="183" t="s">
        <v>13888</v>
      </c>
      <c r="C3124" s="183">
        <v>14000</v>
      </c>
      <c r="D3124" s="696"/>
      <c r="H3124" s="183" t="s">
        <v>13890</v>
      </c>
    </row>
    <row r="3125" spans="1:8">
      <c r="A3125" s="183" t="s">
        <v>13888</v>
      </c>
      <c r="C3125" s="183">
        <v>26897</v>
      </c>
      <c r="H3125" s="183" t="s">
        <v>13891</v>
      </c>
    </row>
    <row r="3126" spans="1:8">
      <c r="A3126" s="183" t="s">
        <v>13892</v>
      </c>
      <c r="C3126" s="183">
        <v>8534</v>
      </c>
      <c r="H3126" s="183" t="s">
        <v>13893</v>
      </c>
    </row>
    <row r="3127" spans="1:8" ht="330">
      <c r="A3127" s="183" t="s">
        <v>13894</v>
      </c>
      <c r="C3127" s="183">
        <v>196030</v>
      </c>
      <c r="H3127" s="694" t="s">
        <v>13895</v>
      </c>
    </row>
    <row r="3128" spans="1:8">
      <c r="A3128" s="183" t="s">
        <v>13896</v>
      </c>
      <c r="E3128" s="206">
        <v>250</v>
      </c>
      <c r="F3128" s="206">
        <v>3993</v>
      </c>
      <c r="G3128" s="183" t="s">
        <v>12083</v>
      </c>
      <c r="H3128" s="183" t="s">
        <v>13897</v>
      </c>
    </row>
    <row r="3129" spans="1:8">
      <c r="A3129" s="183" t="s">
        <v>13898</v>
      </c>
      <c r="E3129" s="206">
        <v>255</v>
      </c>
      <c r="F3129" s="206">
        <v>3738</v>
      </c>
      <c r="G3129" s="183" t="s">
        <v>12083</v>
      </c>
      <c r="H3129" s="183" t="s">
        <v>13899</v>
      </c>
    </row>
    <row r="3130" spans="1:8">
      <c r="A3130" s="183" t="s">
        <v>13900</v>
      </c>
      <c r="E3130" s="183">
        <v>35</v>
      </c>
      <c r="F3130" s="206">
        <v>3703</v>
      </c>
      <c r="G3130" s="183" t="s">
        <v>12103</v>
      </c>
      <c r="H3130" s="183" t="s">
        <v>13901</v>
      </c>
    </row>
    <row r="3131" spans="1:8">
      <c r="A3131" s="183" t="s">
        <v>13902</v>
      </c>
      <c r="E3131" s="206">
        <v>1458</v>
      </c>
      <c r="F3131" s="206">
        <v>2245</v>
      </c>
      <c r="G3131" s="183" t="s">
        <v>12090</v>
      </c>
      <c r="H3131" s="183" t="s">
        <v>13903</v>
      </c>
    </row>
    <row r="3132" spans="1:8">
      <c r="A3132" s="183" t="s">
        <v>13904</v>
      </c>
      <c r="C3132" s="183">
        <v>18000</v>
      </c>
      <c r="D3132" s="696"/>
      <c r="H3132" s="183" t="s">
        <v>13905</v>
      </c>
    </row>
    <row r="3133" spans="1:8">
      <c r="A3133" s="183" t="s">
        <v>13906</v>
      </c>
      <c r="C3133" s="183">
        <v>26897</v>
      </c>
      <c r="H3133" s="183" t="s">
        <v>13907</v>
      </c>
    </row>
    <row r="3134" spans="1:8">
      <c r="A3134" s="183" t="s">
        <v>13906</v>
      </c>
      <c r="C3134" s="183">
        <v>22362</v>
      </c>
      <c r="H3134" s="183" t="s">
        <v>13908</v>
      </c>
    </row>
    <row r="3135" spans="1:8" ht="49.5">
      <c r="A3135" s="183" t="s">
        <v>13906</v>
      </c>
      <c r="C3135" s="183">
        <v>30000</v>
      </c>
      <c r="E3135" s="206"/>
      <c r="F3135" s="206"/>
      <c r="H3135" s="694" t="s">
        <v>13909</v>
      </c>
    </row>
    <row r="3136" spans="1:8">
      <c r="A3136" s="183" t="s">
        <v>13910</v>
      </c>
      <c r="E3136" s="206">
        <v>18</v>
      </c>
      <c r="F3136" s="206">
        <v>2227</v>
      </c>
      <c r="G3136" s="183" t="s">
        <v>12072</v>
      </c>
      <c r="H3136" s="183" t="s">
        <v>13911</v>
      </c>
    </row>
    <row r="3137" spans="1:8">
      <c r="A3137" s="183" t="s">
        <v>13910</v>
      </c>
      <c r="E3137" s="183">
        <v>32</v>
      </c>
      <c r="F3137" s="206">
        <v>2195</v>
      </c>
      <c r="G3137" s="183" t="s">
        <v>12083</v>
      </c>
      <c r="H3137" s="183" t="s">
        <v>13912</v>
      </c>
    </row>
    <row r="3138" spans="1:8">
      <c r="A3138" s="183" t="s">
        <v>13913</v>
      </c>
      <c r="E3138" s="183">
        <v>84</v>
      </c>
      <c r="F3138" s="206">
        <v>2111</v>
      </c>
      <c r="G3138" s="183" t="s">
        <v>12103</v>
      </c>
      <c r="H3138" s="183" t="s">
        <v>13914</v>
      </c>
    </row>
    <row r="3139" spans="1:8">
      <c r="A3139" s="183" t="s">
        <v>13915</v>
      </c>
      <c r="C3139" s="183">
        <v>61454</v>
      </c>
      <c r="D3139" s="696"/>
      <c r="E3139" s="696"/>
      <c r="H3139" s="183" t="s">
        <v>13916</v>
      </c>
    </row>
    <row r="3140" spans="1:8">
      <c r="A3140" s="183" t="s">
        <v>13917</v>
      </c>
      <c r="E3140" s="183">
        <v>60</v>
      </c>
      <c r="F3140" s="206">
        <v>2051</v>
      </c>
      <c r="G3140" s="183" t="s">
        <v>12103</v>
      </c>
      <c r="H3140" s="183" t="s">
        <v>13918</v>
      </c>
    </row>
    <row r="3141" spans="1:8">
      <c r="A3141" s="183" t="s">
        <v>13919</v>
      </c>
      <c r="E3141" s="183">
        <v>60</v>
      </c>
      <c r="F3141" s="206">
        <v>1991</v>
      </c>
      <c r="G3141" s="183" t="s">
        <v>12103</v>
      </c>
      <c r="H3141" s="183" t="s">
        <v>13920</v>
      </c>
    </row>
    <row r="3142" spans="1:8">
      <c r="A3142" s="183" t="s">
        <v>13919</v>
      </c>
      <c r="E3142" s="206">
        <v>366</v>
      </c>
      <c r="F3142" s="206">
        <v>1625</v>
      </c>
      <c r="G3142" s="183" t="s">
        <v>12133</v>
      </c>
      <c r="H3142" s="183" t="s">
        <v>13921</v>
      </c>
    </row>
    <row r="3143" spans="1:8">
      <c r="A3143" s="183" t="s">
        <v>13922</v>
      </c>
      <c r="C3143" s="183">
        <v>10000</v>
      </c>
      <c r="D3143" s="696"/>
      <c r="E3143" s="696"/>
      <c r="H3143" s="183" t="s">
        <v>13923</v>
      </c>
    </row>
    <row r="3144" spans="1:8">
      <c r="A3144" s="183" t="s">
        <v>5606</v>
      </c>
      <c r="E3144" s="206">
        <v>1458</v>
      </c>
      <c r="F3144" s="206">
        <v>167</v>
      </c>
      <c r="G3144" s="183" t="s">
        <v>12090</v>
      </c>
      <c r="H3144" s="183" t="s">
        <v>13924</v>
      </c>
    </row>
    <row r="3145" spans="1:8">
      <c r="A3145" s="183" t="s">
        <v>5606</v>
      </c>
      <c r="D3145" s="183">
        <v>5000</v>
      </c>
      <c r="E3145" s="206"/>
      <c r="F3145" s="206">
        <v>5167</v>
      </c>
      <c r="H3145" s="183" t="s">
        <v>11466</v>
      </c>
    </row>
    <row r="3146" spans="1:8">
      <c r="A3146" s="183" t="s">
        <v>5606</v>
      </c>
      <c r="E3146" s="183">
        <v>74</v>
      </c>
      <c r="F3146" s="206">
        <v>5093</v>
      </c>
      <c r="G3146" s="183" t="s">
        <v>12103</v>
      </c>
      <c r="H3146" s="183" t="s">
        <v>13388</v>
      </c>
    </row>
    <row r="3147" spans="1:8">
      <c r="A3147" s="183" t="s">
        <v>13925</v>
      </c>
      <c r="E3147" s="206">
        <v>135</v>
      </c>
      <c r="F3147" s="206">
        <v>4958</v>
      </c>
      <c r="G3147" s="183" t="s">
        <v>12083</v>
      </c>
      <c r="H3147" s="183" t="s">
        <v>13926</v>
      </c>
    </row>
    <row r="3148" spans="1:8">
      <c r="A3148" s="183" t="s">
        <v>13925</v>
      </c>
      <c r="E3148" s="206">
        <v>210</v>
      </c>
      <c r="F3148" s="206">
        <v>4748</v>
      </c>
      <c r="G3148" s="183" t="s">
        <v>12083</v>
      </c>
      <c r="H3148" s="183" t="s">
        <v>13926</v>
      </c>
    </row>
    <row r="3149" spans="1:8">
      <c r="A3149" s="183" t="s">
        <v>13927</v>
      </c>
      <c r="E3149" s="206">
        <v>189</v>
      </c>
      <c r="F3149" s="206">
        <v>4559</v>
      </c>
      <c r="G3149" s="206" t="s">
        <v>12096</v>
      </c>
      <c r="H3149" s="183" t="s">
        <v>13928</v>
      </c>
    </row>
    <row r="3150" spans="1:8">
      <c r="A3150" s="183" t="s">
        <v>13929</v>
      </c>
      <c r="C3150" s="183">
        <v>17000</v>
      </c>
      <c r="H3150" s="183" t="s">
        <v>13930</v>
      </c>
    </row>
    <row r="3151" spans="1:8">
      <c r="A3151" s="183" t="s">
        <v>13931</v>
      </c>
      <c r="E3151" s="183">
        <v>28</v>
      </c>
      <c r="F3151" s="206">
        <v>4531</v>
      </c>
      <c r="G3151" s="183" t="s">
        <v>12103</v>
      </c>
      <c r="H3151" s="183" t="s">
        <v>13932</v>
      </c>
    </row>
    <row r="3152" spans="1:8">
      <c r="A3152" s="183" t="s">
        <v>13933</v>
      </c>
      <c r="C3152" s="183">
        <v>18000</v>
      </c>
      <c r="D3152" s="696"/>
      <c r="H3152" s="183" t="s">
        <v>13934</v>
      </c>
    </row>
    <row r="3153" spans="1:8">
      <c r="A3153" s="183" t="s">
        <v>13933</v>
      </c>
      <c r="C3153" s="183">
        <v>29647</v>
      </c>
      <c r="H3153" s="183" t="s">
        <v>13935</v>
      </c>
    </row>
    <row r="3154" spans="1:8">
      <c r="A3154" s="183" t="s">
        <v>13936</v>
      </c>
      <c r="C3154" s="183">
        <v>31556</v>
      </c>
      <c r="H3154" s="183" t="s">
        <v>13937</v>
      </c>
    </row>
    <row r="3155" spans="1:8" ht="198">
      <c r="A3155" s="183" t="s">
        <v>13938</v>
      </c>
      <c r="C3155" s="183">
        <v>20030</v>
      </c>
      <c r="H3155" s="694" t="s">
        <v>13939</v>
      </c>
    </row>
    <row r="3156" spans="1:8">
      <c r="A3156" s="183" t="s">
        <v>13940</v>
      </c>
      <c r="E3156" s="183">
        <v>196</v>
      </c>
      <c r="F3156" s="206">
        <v>4335</v>
      </c>
      <c r="G3156" s="183" t="s">
        <v>12103</v>
      </c>
      <c r="H3156" s="183" t="s">
        <v>13941</v>
      </c>
    </row>
    <row r="3157" spans="1:8">
      <c r="A3157" s="183" t="s">
        <v>5610</v>
      </c>
      <c r="E3157" s="183">
        <v>89</v>
      </c>
      <c r="F3157" s="206">
        <v>4246</v>
      </c>
      <c r="G3157" s="183" t="s">
        <v>12072</v>
      </c>
      <c r="H3157" s="183" t="s">
        <v>11263</v>
      </c>
    </row>
    <row r="3158" spans="1:8">
      <c r="A3158" s="183" t="s">
        <v>13942</v>
      </c>
      <c r="C3158" s="183">
        <v>10000</v>
      </c>
      <c r="D3158" s="696">
        <v>10000</v>
      </c>
      <c r="E3158" s="696"/>
      <c r="H3158" s="183" t="s">
        <v>13943</v>
      </c>
    </row>
    <row r="3159" spans="1:8">
      <c r="A3159" s="183" t="s">
        <v>13944</v>
      </c>
      <c r="E3159" s="206">
        <v>364</v>
      </c>
      <c r="F3159" s="206">
        <v>3882</v>
      </c>
      <c r="G3159" s="183" t="s">
        <v>12121</v>
      </c>
      <c r="H3159" s="183" t="s">
        <v>13945</v>
      </c>
    </row>
    <row r="3160" spans="1:8">
      <c r="A3160" s="183" t="s">
        <v>13946</v>
      </c>
      <c r="C3160" s="183">
        <v>8000</v>
      </c>
      <c r="D3160" s="696">
        <v>2000</v>
      </c>
      <c r="E3160" s="696"/>
      <c r="H3160" s="183" t="s">
        <v>13947</v>
      </c>
    </row>
    <row r="3161" spans="1:8" ht="49.5">
      <c r="A3161" s="183" t="s">
        <v>13948</v>
      </c>
      <c r="C3161" s="183">
        <v>16000</v>
      </c>
      <c r="E3161" s="206"/>
      <c r="F3161" s="206"/>
      <c r="H3161" s="694" t="s">
        <v>13949</v>
      </c>
    </row>
    <row r="3162" spans="1:8">
      <c r="A3162" s="183" t="s">
        <v>13950</v>
      </c>
      <c r="E3162" s="206">
        <v>1458</v>
      </c>
      <c r="F3162" s="206">
        <v>2424</v>
      </c>
      <c r="G3162" s="183" t="s">
        <v>12090</v>
      </c>
      <c r="H3162" s="183" t="s">
        <v>13951</v>
      </c>
    </row>
    <row r="3163" spans="1:8" ht="264">
      <c r="A3163" s="183" t="s">
        <v>13952</v>
      </c>
      <c r="C3163" s="183">
        <v>277060</v>
      </c>
      <c r="H3163" s="694" t="s">
        <v>13953</v>
      </c>
    </row>
    <row r="3164" spans="1:8">
      <c r="A3164" s="183" t="s">
        <v>5613</v>
      </c>
      <c r="E3164" s="206">
        <v>18</v>
      </c>
      <c r="F3164" s="206">
        <v>2406</v>
      </c>
      <c r="G3164" s="183" t="s">
        <v>12621</v>
      </c>
      <c r="H3164" s="183" t="s">
        <v>13954</v>
      </c>
    </row>
    <row r="3165" spans="1:8">
      <c r="A3165" s="183" t="s">
        <v>5613</v>
      </c>
      <c r="E3165" s="183">
        <v>32</v>
      </c>
      <c r="F3165" s="206">
        <v>2374</v>
      </c>
      <c r="G3165" s="183" t="s">
        <v>12083</v>
      </c>
      <c r="H3165" s="183" t="s">
        <v>13912</v>
      </c>
    </row>
    <row r="3166" spans="1:8">
      <c r="A3166" s="183" t="s">
        <v>5613</v>
      </c>
      <c r="E3166" s="206">
        <v>115</v>
      </c>
      <c r="F3166" s="206">
        <v>2259</v>
      </c>
      <c r="G3166" s="183" t="s">
        <v>12072</v>
      </c>
      <c r="H3166" s="183" t="s">
        <v>13955</v>
      </c>
    </row>
    <row r="3167" spans="1:8">
      <c r="A3167" s="183" t="s">
        <v>5613</v>
      </c>
      <c r="C3167" s="183">
        <v>2000</v>
      </c>
      <c r="D3167" s="696"/>
      <c r="E3167" s="696"/>
      <c r="H3167" s="183" t="s">
        <v>13956</v>
      </c>
    </row>
    <row r="3168" spans="1:8">
      <c r="A3168" s="183" t="s">
        <v>5613</v>
      </c>
      <c r="C3168" s="183">
        <v>61454</v>
      </c>
      <c r="D3168" s="696"/>
      <c r="E3168" s="696"/>
      <c r="H3168" s="183" t="s">
        <v>13957</v>
      </c>
    </row>
    <row r="3169" spans="1:8">
      <c r="A3169" s="183" t="s">
        <v>13958</v>
      </c>
      <c r="E3169" s="183">
        <v>200</v>
      </c>
      <c r="F3169" s="206">
        <v>2059</v>
      </c>
      <c r="G3169" s="183" t="s">
        <v>12083</v>
      </c>
      <c r="H3169" s="183" t="s">
        <v>13959</v>
      </c>
    </row>
    <row r="3170" spans="1:8">
      <c r="A3170" s="183" t="s">
        <v>13958</v>
      </c>
      <c r="C3170" s="183">
        <v>17000</v>
      </c>
      <c r="H3170" s="183" t="s">
        <v>13960</v>
      </c>
    </row>
    <row r="3171" spans="1:8">
      <c r="A3171" s="183" t="s">
        <v>13961</v>
      </c>
      <c r="C3171" s="183">
        <v>19000</v>
      </c>
      <c r="D3171" s="696"/>
      <c r="H3171" s="183" t="s">
        <v>13962</v>
      </c>
    </row>
    <row r="3172" spans="1:8">
      <c r="A3172" s="183" t="s">
        <v>13961</v>
      </c>
      <c r="C3172" s="183">
        <v>29647</v>
      </c>
      <c r="H3172" s="183" t="s">
        <v>13963</v>
      </c>
    </row>
    <row r="3173" spans="1:8">
      <c r="A3173" s="183" t="s">
        <v>13961</v>
      </c>
      <c r="E3173" s="206">
        <v>1507</v>
      </c>
      <c r="F3173" s="206">
        <v>552</v>
      </c>
      <c r="G3173" s="206" t="s">
        <v>13964</v>
      </c>
      <c r="H3173" s="183" t="s">
        <v>13965</v>
      </c>
    </row>
    <row r="3174" spans="1:8">
      <c r="A3174" s="183" t="s">
        <v>13966</v>
      </c>
      <c r="C3174" s="183">
        <v>28440</v>
      </c>
      <c r="H3174" s="183" t="s">
        <v>13967</v>
      </c>
    </row>
    <row r="3175" spans="1:8">
      <c r="A3175" s="183" t="s">
        <v>13968</v>
      </c>
      <c r="C3175" s="183">
        <v>61454</v>
      </c>
      <c r="D3175" s="696"/>
      <c r="E3175" s="696"/>
      <c r="H3175" s="183" t="s">
        <v>13969</v>
      </c>
    </row>
    <row r="3176" spans="1:8">
      <c r="A3176" s="183" t="s">
        <v>13970</v>
      </c>
      <c r="D3176" s="183">
        <v>5000</v>
      </c>
      <c r="E3176" s="206"/>
      <c r="F3176" s="206">
        <v>5552</v>
      </c>
      <c r="H3176" s="183" t="s">
        <v>11466</v>
      </c>
    </row>
    <row r="3177" spans="1:8">
      <c r="A3177" s="183" t="s">
        <v>13970</v>
      </c>
      <c r="E3177" s="206">
        <v>220</v>
      </c>
      <c r="F3177" s="206">
        <v>5332</v>
      </c>
      <c r="G3177" s="183" t="s">
        <v>12083</v>
      </c>
      <c r="H3177" s="183" t="s">
        <v>13971</v>
      </c>
    </row>
    <row r="3178" spans="1:8">
      <c r="A3178" s="183" t="s">
        <v>13970</v>
      </c>
      <c r="E3178" s="206">
        <v>190</v>
      </c>
      <c r="F3178" s="206">
        <v>5142</v>
      </c>
      <c r="G3178" s="183" t="s">
        <v>12586</v>
      </c>
      <c r="H3178" s="183" t="s">
        <v>13971</v>
      </c>
    </row>
    <row r="3179" spans="1:8">
      <c r="A3179" s="183" t="s">
        <v>13972</v>
      </c>
      <c r="E3179" s="206">
        <v>1458</v>
      </c>
      <c r="F3179" s="206">
        <v>3684</v>
      </c>
      <c r="G3179" s="183" t="s">
        <v>12090</v>
      </c>
      <c r="H3179" s="183" t="s">
        <v>13973</v>
      </c>
    </row>
    <row r="3180" spans="1:8" ht="33">
      <c r="A3180" s="183" t="s">
        <v>13974</v>
      </c>
      <c r="C3180" s="183">
        <v>6000</v>
      </c>
      <c r="F3180" s="206"/>
      <c r="H3180" s="694" t="s">
        <v>13975</v>
      </c>
    </row>
    <row r="3181" spans="1:8">
      <c r="A3181" s="183" t="s">
        <v>13976</v>
      </c>
      <c r="E3181" s="206">
        <v>79</v>
      </c>
      <c r="F3181" s="206">
        <v>3605</v>
      </c>
      <c r="G3181" s="183" t="s">
        <v>12072</v>
      </c>
      <c r="H3181" s="183" t="s">
        <v>11231</v>
      </c>
    </row>
    <row r="3182" spans="1:8">
      <c r="A3182" s="183" t="s">
        <v>13977</v>
      </c>
      <c r="C3182" s="183">
        <v>17000</v>
      </c>
      <c r="H3182" s="183" t="s">
        <v>13978</v>
      </c>
    </row>
    <row r="3183" spans="1:8">
      <c r="A3183" s="183" t="s">
        <v>13979</v>
      </c>
      <c r="C3183" s="183">
        <v>53000</v>
      </c>
      <c r="D3183" s="696"/>
      <c r="H3183" s="183" t="s">
        <v>13980</v>
      </c>
    </row>
    <row r="3184" spans="1:8">
      <c r="A3184" s="183" t="s">
        <v>13979</v>
      </c>
      <c r="C3184" s="183">
        <v>29647</v>
      </c>
      <c r="H3184" s="183" t="s">
        <v>13981</v>
      </c>
    </row>
    <row r="3185" spans="1:8">
      <c r="A3185" s="183" t="s">
        <v>13982</v>
      </c>
      <c r="C3185" s="183">
        <v>61454</v>
      </c>
      <c r="D3185" s="696"/>
      <c r="E3185" s="696"/>
      <c r="H3185" s="183" t="s">
        <v>13983</v>
      </c>
    </row>
    <row r="3186" spans="1:8">
      <c r="A3186" s="183" t="s">
        <v>13982</v>
      </c>
      <c r="E3186" s="206">
        <v>189</v>
      </c>
      <c r="F3186" s="206">
        <v>3416</v>
      </c>
      <c r="G3186" s="206" t="s">
        <v>12096</v>
      </c>
      <c r="H3186" s="183" t="s">
        <v>13984</v>
      </c>
    </row>
    <row r="3187" spans="1:8">
      <c r="A3187" s="183" t="s">
        <v>13985</v>
      </c>
      <c r="E3187" s="206">
        <v>265</v>
      </c>
      <c r="F3187" s="206">
        <v>3151</v>
      </c>
      <c r="G3187" s="183" t="s">
        <v>12083</v>
      </c>
      <c r="H3187" s="183" t="s">
        <v>13986</v>
      </c>
    </row>
    <row r="3188" spans="1:8">
      <c r="A3188" s="183" t="s">
        <v>13987</v>
      </c>
      <c r="E3188" s="206">
        <v>320</v>
      </c>
      <c r="F3188" s="206">
        <v>2831</v>
      </c>
      <c r="G3188" s="183" t="s">
        <v>12586</v>
      </c>
      <c r="H3188" s="183" t="s">
        <v>13986</v>
      </c>
    </row>
    <row r="3189" spans="1:8">
      <c r="A3189" s="183" t="s">
        <v>13988</v>
      </c>
      <c r="E3189" s="206">
        <v>1458</v>
      </c>
      <c r="F3189" s="206">
        <v>1373</v>
      </c>
      <c r="G3189" s="183" t="s">
        <v>12090</v>
      </c>
      <c r="H3189" s="183" t="s">
        <v>13989</v>
      </c>
    </row>
    <row r="3190" spans="1:8">
      <c r="A3190" s="183" t="s">
        <v>13990</v>
      </c>
      <c r="C3190" s="183">
        <v>17000</v>
      </c>
      <c r="H3190" s="183" t="s">
        <v>13991</v>
      </c>
    </row>
    <row r="3191" spans="1:8">
      <c r="A3191" s="183" t="s">
        <v>13992</v>
      </c>
      <c r="E3191" s="206">
        <v>18</v>
      </c>
      <c r="F3191" s="206">
        <v>1355</v>
      </c>
      <c r="G3191" s="183" t="s">
        <v>12072</v>
      </c>
      <c r="H3191" s="183" t="s">
        <v>13993</v>
      </c>
    </row>
    <row r="3192" spans="1:8">
      <c r="A3192" s="183" t="s">
        <v>13994</v>
      </c>
      <c r="C3192" s="183">
        <v>29647</v>
      </c>
      <c r="H3192" s="183" t="s">
        <v>13995</v>
      </c>
    </row>
    <row r="3193" spans="1:8">
      <c r="A3193" s="183" t="s">
        <v>13996</v>
      </c>
      <c r="C3193" s="183">
        <v>17624</v>
      </c>
      <c r="H3193" s="183" t="s">
        <v>13997</v>
      </c>
    </row>
    <row r="3194" spans="1:8">
      <c r="A3194" s="183" t="s">
        <v>13996</v>
      </c>
      <c r="E3194" s="183">
        <v>196</v>
      </c>
      <c r="F3194" s="206">
        <v>1159</v>
      </c>
      <c r="G3194" s="183" t="s">
        <v>12103</v>
      </c>
      <c r="H3194" s="183" t="s">
        <v>13941</v>
      </c>
    </row>
    <row r="3195" spans="1:8">
      <c r="A3195" s="183" t="s">
        <v>13998</v>
      </c>
      <c r="C3195" s="183">
        <v>61454</v>
      </c>
      <c r="D3195" s="696"/>
      <c r="E3195" s="696"/>
      <c r="H3195" s="183" t="s">
        <v>13999</v>
      </c>
    </row>
    <row r="3196" spans="1:8">
      <c r="A3196" s="183" t="s">
        <v>13998</v>
      </c>
      <c r="C3196" s="183">
        <v>4515</v>
      </c>
      <c r="H3196" s="183" t="s">
        <v>14000</v>
      </c>
    </row>
    <row r="3197" spans="1:8">
      <c r="A3197" s="183" t="s">
        <v>14001</v>
      </c>
      <c r="E3197" s="206">
        <v>195</v>
      </c>
      <c r="F3197" s="206">
        <v>964</v>
      </c>
      <c r="G3197" s="183" t="s">
        <v>12083</v>
      </c>
      <c r="H3197" s="183" t="s">
        <v>14002</v>
      </c>
    </row>
    <row r="3198" spans="1:8">
      <c r="A3198" s="183" t="s">
        <v>14003</v>
      </c>
      <c r="E3198" s="206">
        <v>20</v>
      </c>
      <c r="F3198" s="206">
        <v>944</v>
      </c>
      <c r="G3198" s="183" t="s">
        <v>12083</v>
      </c>
      <c r="H3198" s="183" t="s">
        <v>13469</v>
      </c>
    </row>
    <row r="3199" spans="1:8">
      <c r="A3199" s="183" t="s">
        <v>14004</v>
      </c>
      <c r="D3199" s="183">
        <v>5000</v>
      </c>
      <c r="E3199" s="206"/>
      <c r="F3199" s="206">
        <v>5944</v>
      </c>
      <c r="H3199" s="183" t="s">
        <v>11466</v>
      </c>
    </row>
    <row r="3200" spans="1:8">
      <c r="A3200" s="183" t="s">
        <v>14004</v>
      </c>
      <c r="E3200" s="206">
        <v>1458</v>
      </c>
      <c r="F3200" s="206">
        <v>4486</v>
      </c>
      <c r="G3200" s="183" t="s">
        <v>12090</v>
      </c>
      <c r="H3200" s="183" t="s">
        <v>14005</v>
      </c>
    </row>
    <row r="3201" spans="1:8">
      <c r="A3201" s="183" t="s">
        <v>14006</v>
      </c>
      <c r="E3201" s="183">
        <v>179</v>
      </c>
      <c r="F3201" s="206">
        <v>4307</v>
      </c>
      <c r="G3201" s="183" t="s">
        <v>12072</v>
      </c>
      <c r="H3201" s="183" t="s">
        <v>11263</v>
      </c>
    </row>
    <row r="3202" spans="1:8">
      <c r="A3202" s="183" t="s">
        <v>14007</v>
      </c>
      <c r="E3202" s="183">
        <v>44</v>
      </c>
      <c r="F3202" s="206">
        <v>4263</v>
      </c>
      <c r="G3202" s="183" t="s">
        <v>12103</v>
      </c>
      <c r="H3202" s="183" t="s">
        <v>14008</v>
      </c>
    </row>
    <row r="3203" spans="1:8">
      <c r="A3203" s="183" t="s">
        <v>14009</v>
      </c>
      <c r="C3203" s="183">
        <v>17000</v>
      </c>
      <c r="H3203" s="183" t="s">
        <v>14010</v>
      </c>
    </row>
    <row r="3204" spans="1:8">
      <c r="A3204" s="183" t="s">
        <v>14011</v>
      </c>
      <c r="C3204" s="183">
        <v>29647</v>
      </c>
      <c r="H3204" s="183" t="s">
        <v>14012</v>
      </c>
    </row>
    <row r="3205" spans="1:8">
      <c r="A3205" s="183" t="s">
        <v>14013</v>
      </c>
      <c r="C3205" s="183">
        <v>61454</v>
      </c>
      <c r="D3205" s="696"/>
      <c r="E3205" s="696"/>
      <c r="H3205" s="183" t="s">
        <v>14014</v>
      </c>
    </row>
    <row r="3206" spans="1:8">
      <c r="A3206" s="183" t="s">
        <v>14013</v>
      </c>
      <c r="C3206" s="183">
        <v>21491</v>
      </c>
      <c r="H3206" s="183" t="s">
        <v>14015</v>
      </c>
    </row>
    <row r="3207" spans="1:8">
      <c r="A3207" s="183" t="s">
        <v>14016</v>
      </c>
      <c r="E3207" s="206">
        <v>189</v>
      </c>
      <c r="F3207" s="206">
        <v>4074</v>
      </c>
      <c r="G3207" s="206" t="s">
        <v>12096</v>
      </c>
      <c r="H3207" s="183" t="s">
        <v>14017</v>
      </c>
    </row>
    <row r="3208" spans="1:8">
      <c r="A3208" s="183" t="s">
        <v>14018</v>
      </c>
      <c r="E3208" s="183">
        <v>56</v>
      </c>
      <c r="F3208" s="206">
        <v>4018</v>
      </c>
      <c r="G3208" s="183" t="s">
        <v>12103</v>
      </c>
      <c r="H3208" s="183" t="s">
        <v>14019</v>
      </c>
    </row>
    <row r="3209" spans="1:8">
      <c r="A3209" s="183" t="s">
        <v>14018</v>
      </c>
      <c r="E3209" s="206">
        <v>1458</v>
      </c>
      <c r="F3209" s="206">
        <v>2560</v>
      </c>
      <c r="G3209" s="183" t="s">
        <v>12090</v>
      </c>
      <c r="H3209" s="183" t="s">
        <v>14020</v>
      </c>
    </row>
    <row r="3210" spans="1:8">
      <c r="A3210" s="183" t="s">
        <v>14021</v>
      </c>
      <c r="E3210" s="206">
        <v>18</v>
      </c>
      <c r="F3210" s="206">
        <v>2542</v>
      </c>
      <c r="G3210" s="183" t="s">
        <v>12072</v>
      </c>
      <c r="H3210" s="183" t="s">
        <v>14022</v>
      </c>
    </row>
    <row r="3211" spans="1:8">
      <c r="A3211" s="183" t="s">
        <v>14023</v>
      </c>
      <c r="E3211" s="183">
        <v>60</v>
      </c>
      <c r="F3211" s="206">
        <v>2482</v>
      </c>
      <c r="G3211" s="183" t="s">
        <v>12103</v>
      </c>
      <c r="H3211" s="183" t="s">
        <v>14024</v>
      </c>
    </row>
    <row r="3212" spans="1:8">
      <c r="A3212" s="183" t="s">
        <v>14025</v>
      </c>
      <c r="E3212" s="206">
        <v>200</v>
      </c>
      <c r="F3212" s="206">
        <v>2282</v>
      </c>
      <c r="G3212" s="183" t="s">
        <v>12083</v>
      </c>
      <c r="H3212" s="183" t="s">
        <v>13500</v>
      </c>
    </row>
    <row r="3213" spans="1:8">
      <c r="A3213" s="183" t="s">
        <v>14025</v>
      </c>
      <c r="C3213" s="183">
        <v>18000</v>
      </c>
      <c r="D3213" s="696"/>
      <c r="H3213" s="183" t="s">
        <v>14026</v>
      </c>
    </row>
    <row r="3214" spans="1:8">
      <c r="A3214" s="183" t="s">
        <v>14025</v>
      </c>
      <c r="C3214" s="183">
        <v>29647</v>
      </c>
      <c r="H3214" s="183" t="s">
        <v>14027</v>
      </c>
    </row>
    <row r="3215" spans="1:8">
      <c r="A3215" s="183" t="s">
        <v>14028</v>
      </c>
      <c r="E3215" s="183">
        <v>28</v>
      </c>
      <c r="F3215" s="206">
        <v>2254</v>
      </c>
      <c r="G3215" s="183" t="s">
        <v>12103</v>
      </c>
      <c r="H3215" s="183" t="s">
        <v>14029</v>
      </c>
    </row>
    <row r="3216" spans="1:8" ht="49.5">
      <c r="A3216" s="183" t="s">
        <v>14030</v>
      </c>
      <c r="C3216" s="183">
        <v>30000</v>
      </c>
      <c r="H3216" s="694" t="s">
        <v>14031</v>
      </c>
    </row>
    <row r="3217" spans="1:8">
      <c r="A3217" s="183" t="s">
        <v>14032</v>
      </c>
      <c r="E3217" s="183">
        <v>44</v>
      </c>
      <c r="F3217" s="206">
        <v>2210</v>
      </c>
      <c r="G3217" s="183" t="s">
        <v>12103</v>
      </c>
      <c r="H3217" s="183" t="s">
        <v>14033</v>
      </c>
    </row>
    <row r="3218" spans="1:8">
      <c r="A3218" s="183" t="s">
        <v>14034</v>
      </c>
      <c r="E3218" s="206">
        <v>250</v>
      </c>
      <c r="F3218" s="206">
        <v>1960</v>
      </c>
      <c r="G3218" s="183" t="s">
        <v>12083</v>
      </c>
      <c r="H3218" s="183" t="s">
        <v>14035</v>
      </c>
    </row>
    <row r="3219" spans="1:8">
      <c r="A3219" s="183" t="s">
        <v>14034</v>
      </c>
      <c r="E3219" s="206">
        <v>55</v>
      </c>
      <c r="F3219" s="206">
        <v>1905</v>
      </c>
      <c r="G3219" s="183" t="s">
        <v>12083</v>
      </c>
      <c r="H3219" s="183" t="s">
        <v>14036</v>
      </c>
    </row>
    <row r="3220" spans="1:8">
      <c r="A3220" s="183" t="s">
        <v>14034</v>
      </c>
      <c r="E3220" s="206">
        <v>70</v>
      </c>
      <c r="F3220" s="206">
        <v>1835</v>
      </c>
      <c r="G3220" s="183" t="s">
        <v>12083</v>
      </c>
      <c r="H3220" s="183" t="s">
        <v>14037</v>
      </c>
    </row>
    <row r="3221" spans="1:8">
      <c r="A3221" s="183" t="s">
        <v>14034</v>
      </c>
      <c r="E3221" s="206">
        <v>235</v>
      </c>
      <c r="F3221" s="206">
        <v>1600</v>
      </c>
      <c r="G3221" s="183" t="s">
        <v>12586</v>
      </c>
      <c r="H3221" s="183" t="s">
        <v>14038</v>
      </c>
    </row>
    <row r="3222" spans="1:8">
      <c r="A3222" s="183" t="s">
        <v>14039</v>
      </c>
      <c r="E3222" s="206">
        <v>225</v>
      </c>
      <c r="F3222" s="206">
        <v>1375</v>
      </c>
      <c r="G3222" s="183" t="s">
        <v>12083</v>
      </c>
      <c r="H3222" s="183" t="s">
        <v>14040</v>
      </c>
    </row>
    <row r="3223" spans="1:8">
      <c r="A3223" s="183" t="s">
        <v>14039</v>
      </c>
      <c r="E3223" s="206">
        <v>245</v>
      </c>
      <c r="F3223" s="206">
        <v>1130</v>
      </c>
      <c r="G3223" s="183" t="s">
        <v>12586</v>
      </c>
      <c r="H3223" s="183" t="s">
        <v>14040</v>
      </c>
    </row>
    <row r="3224" spans="1:8">
      <c r="A3224" s="183" t="s">
        <v>14041</v>
      </c>
      <c r="D3224" s="183">
        <v>5000</v>
      </c>
      <c r="E3224" s="206"/>
      <c r="F3224" s="206">
        <v>6130</v>
      </c>
      <c r="H3224" s="183" t="s">
        <v>11466</v>
      </c>
    </row>
    <row r="3225" spans="1:8">
      <c r="A3225" s="183" t="s">
        <v>14042</v>
      </c>
      <c r="E3225" s="206">
        <v>1458</v>
      </c>
      <c r="F3225" s="206">
        <v>4672</v>
      </c>
      <c r="G3225" s="183" t="s">
        <v>12090</v>
      </c>
      <c r="H3225" s="183" t="s">
        <v>14043</v>
      </c>
    </row>
    <row r="3226" spans="1:8">
      <c r="A3226" s="183" t="s">
        <v>14041</v>
      </c>
      <c r="E3226" s="206">
        <v>178</v>
      </c>
      <c r="F3226" s="206">
        <v>4494</v>
      </c>
      <c r="G3226" s="206" t="s">
        <v>12096</v>
      </c>
      <c r="H3226" s="183" t="s">
        <v>14044</v>
      </c>
    </row>
    <row r="3227" spans="1:8">
      <c r="A3227" s="183" t="s">
        <v>14045</v>
      </c>
      <c r="E3227" s="206">
        <v>300</v>
      </c>
      <c r="F3227" s="206">
        <v>4184</v>
      </c>
      <c r="G3227" s="183" t="s">
        <v>12083</v>
      </c>
      <c r="H3227" s="183" t="s">
        <v>14035</v>
      </c>
    </row>
    <row r="3228" spans="1:8">
      <c r="A3228" s="183" t="s">
        <v>14045</v>
      </c>
      <c r="E3228" s="206">
        <v>290</v>
      </c>
      <c r="F3228" s="206">
        <v>3894</v>
      </c>
      <c r="G3228" s="183" t="s">
        <v>12083</v>
      </c>
      <c r="H3228" s="183" t="s">
        <v>14036</v>
      </c>
    </row>
    <row r="3229" spans="1:8">
      <c r="E3229" s="206"/>
      <c r="F3229" s="206"/>
      <c r="H3229" s="696" t="s">
        <v>14046</v>
      </c>
    </row>
    <row r="3230" spans="1:8">
      <c r="A3230" s="183" t="s">
        <v>14047</v>
      </c>
      <c r="C3230" s="183">
        <v>17000</v>
      </c>
      <c r="H3230" s="183" t="s">
        <v>14048</v>
      </c>
    </row>
    <row r="3231" spans="1:8">
      <c r="A3231" s="183" t="s">
        <v>14049</v>
      </c>
      <c r="E3231" s="183">
        <v>756</v>
      </c>
      <c r="F3231" s="206">
        <v>3138</v>
      </c>
      <c r="G3231" s="183" t="s">
        <v>12103</v>
      </c>
      <c r="H3231" s="183" t="s">
        <v>14050</v>
      </c>
    </row>
    <row r="3232" spans="1:8">
      <c r="A3232" s="183" t="s">
        <v>14051</v>
      </c>
      <c r="E3232" s="183">
        <v>44</v>
      </c>
      <c r="F3232" s="206">
        <v>3094</v>
      </c>
      <c r="G3232" s="183" t="s">
        <v>12103</v>
      </c>
      <c r="H3232" s="183" t="s">
        <v>14052</v>
      </c>
    </row>
    <row r="3233" spans="1:8">
      <c r="A3233" s="183" t="s">
        <v>14053</v>
      </c>
      <c r="E3233" s="206">
        <v>1458</v>
      </c>
      <c r="F3233" s="206">
        <v>1636</v>
      </c>
      <c r="G3233" s="183" t="s">
        <v>12090</v>
      </c>
      <c r="H3233" s="183" t="s">
        <v>14054</v>
      </c>
    </row>
    <row r="3234" spans="1:8">
      <c r="A3234" s="183" t="s">
        <v>14055</v>
      </c>
      <c r="E3234" s="206">
        <v>18</v>
      </c>
      <c r="F3234" s="206">
        <v>1618</v>
      </c>
      <c r="G3234" s="183" t="s">
        <v>12072</v>
      </c>
      <c r="H3234" s="183" t="s">
        <v>14056</v>
      </c>
    </row>
    <row r="3235" spans="1:8">
      <c r="A3235" s="183" t="s">
        <v>14055</v>
      </c>
      <c r="E3235" s="183">
        <v>32</v>
      </c>
      <c r="F3235" s="206">
        <v>1586</v>
      </c>
      <c r="G3235" s="183" t="s">
        <v>12083</v>
      </c>
      <c r="H3235" s="183" t="s">
        <v>13959</v>
      </c>
    </row>
    <row r="3236" spans="1:8">
      <c r="E3236" s="206"/>
      <c r="F3236" s="206"/>
      <c r="H3236" s="696" t="s">
        <v>12912</v>
      </c>
    </row>
    <row r="3237" spans="1:8">
      <c r="A3237" s="183" t="s">
        <v>14057</v>
      </c>
      <c r="C3237" s="183">
        <v>17000</v>
      </c>
      <c r="H3237" s="183" t="s">
        <v>14058</v>
      </c>
    </row>
    <row r="3238" spans="1:8">
      <c r="A3238" s="183" t="s">
        <v>14059</v>
      </c>
      <c r="E3238" s="206">
        <v>390</v>
      </c>
      <c r="F3238" s="206">
        <v>1196</v>
      </c>
      <c r="G3238" s="183" t="s">
        <v>12083</v>
      </c>
      <c r="H3238" s="183" t="s">
        <v>14060</v>
      </c>
    </row>
    <row r="3239" spans="1:8">
      <c r="A3239" s="183" t="s">
        <v>14061</v>
      </c>
      <c r="E3239" s="206">
        <v>395</v>
      </c>
      <c r="F3239" s="206">
        <v>801</v>
      </c>
      <c r="G3239" s="183" t="s">
        <v>12586</v>
      </c>
      <c r="H3239" s="183" t="s">
        <v>14060</v>
      </c>
    </row>
    <row r="3240" spans="1:8">
      <c r="A3240" s="183" t="s">
        <v>14061</v>
      </c>
      <c r="D3240" s="183">
        <v>5000</v>
      </c>
      <c r="E3240" s="206"/>
      <c r="F3240" s="206">
        <v>5801</v>
      </c>
      <c r="H3240" s="183" t="s">
        <v>11466</v>
      </c>
    </row>
    <row r="3241" spans="1:8">
      <c r="A3241" s="183" t="s">
        <v>14061</v>
      </c>
      <c r="E3241" s="206">
        <v>410</v>
      </c>
      <c r="F3241" s="206">
        <v>5391</v>
      </c>
      <c r="G3241" s="183" t="s">
        <v>12083</v>
      </c>
      <c r="H3241" s="183" t="s">
        <v>14062</v>
      </c>
    </row>
    <row r="3242" spans="1:8">
      <c r="A3242" s="183" t="s">
        <v>14061</v>
      </c>
      <c r="E3242" s="206">
        <v>405</v>
      </c>
      <c r="F3242" s="206">
        <v>4986</v>
      </c>
      <c r="G3242" s="183" t="s">
        <v>12083</v>
      </c>
      <c r="H3242" s="183" t="s">
        <v>14062</v>
      </c>
    </row>
    <row r="3243" spans="1:8">
      <c r="A3243" s="183" t="s">
        <v>14063</v>
      </c>
      <c r="C3243" s="183">
        <v>516</v>
      </c>
      <c r="F3243" s="206"/>
      <c r="H3243" s="183" t="s">
        <v>14064</v>
      </c>
    </row>
    <row r="3244" spans="1:8">
      <c r="A3244" s="183" t="s">
        <v>14063</v>
      </c>
      <c r="C3244" s="183">
        <v>41154</v>
      </c>
      <c r="H3244" s="183" t="s">
        <v>14065</v>
      </c>
    </row>
    <row r="3245" spans="1:8">
      <c r="A3245" s="183" t="s">
        <v>14063</v>
      </c>
      <c r="C3245" s="183">
        <v>43500</v>
      </c>
      <c r="D3245" s="696"/>
      <c r="H3245" s="183" t="s">
        <v>14066</v>
      </c>
    </row>
    <row r="3246" spans="1:8">
      <c r="A3246" s="183" t="s">
        <v>14063</v>
      </c>
      <c r="C3246" s="183">
        <v>29647</v>
      </c>
      <c r="H3246" s="183" t="s">
        <v>14067</v>
      </c>
    </row>
    <row r="3247" spans="1:8">
      <c r="A3247" s="183" t="s">
        <v>14068</v>
      </c>
      <c r="E3247" s="206">
        <v>390</v>
      </c>
      <c r="F3247" s="206">
        <v>4596</v>
      </c>
      <c r="G3247" s="183" t="s">
        <v>12083</v>
      </c>
      <c r="H3247" s="183" t="s">
        <v>14069</v>
      </c>
    </row>
    <row r="3248" spans="1:8">
      <c r="A3248" s="183" t="s">
        <v>14070</v>
      </c>
      <c r="E3248" s="206">
        <v>420</v>
      </c>
      <c r="F3248" s="206">
        <v>4176</v>
      </c>
      <c r="G3248" s="183" t="s">
        <v>12083</v>
      </c>
      <c r="H3248" s="183" t="s">
        <v>14069</v>
      </c>
    </row>
    <row r="3249" spans="1:9">
      <c r="A3249" s="183" t="s">
        <v>14068</v>
      </c>
      <c r="C3249" s="183">
        <v>41454</v>
      </c>
      <c r="D3249" s="696"/>
      <c r="H3249" s="183" t="s">
        <v>14071</v>
      </c>
    </row>
    <row r="3250" spans="1:9">
      <c r="A3250" s="183" t="s">
        <v>14072</v>
      </c>
      <c r="E3250" s="183">
        <v>244</v>
      </c>
      <c r="F3250" s="206">
        <v>3932</v>
      </c>
      <c r="G3250" s="183" t="s">
        <v>12103</v>
      </c>
      <c r="H3250" s="183" t="s">
        <v>14073</v>
      </c>
    </row>
    <row r="3251" spans="1:9">
      <c r="A3251" s="183" t="s">
        <v>14074</v>
      </c>
      <c r="C3251" s="183">
        <v>22824</v>
      </c>
      <c r="H3251" s="183" t="s">
        <v>14075</v>
      </c>
    </row>
    <row r="3252" spans="1:9">
      <c r="E3252" s="206"/>
      <c r="F3252" s="206"/>
      <c r="H3252" s="696" t="s">
        <v>12912</v>
      </c>
    </row>
    <row r="3253" spans="1:9">
      <c r="A3253" s="183" t="s">
        <v>14076</v>
      </c>
      <c r="E3253" s="183">
        <v>28</v>
      </c>
      <c r="F3253" s="206">
        <v>3904</v>
      </c>
      <c r="G3253" s="183" t="s">
        <v>12103</v>
      </c>
      <c r="H3253" s="183" t="s">
        <v>14077</v>
      </c>
    </row>
    <row r="3254" spans="1:9">
      <c r="A3254" s="183" t="s">
        <v>14078</v>
      </c>
      <c r="E3254" s="183">
        <v>144</v>
      </c>
      <c r="F3254" s="206">
        <v>3760</v>
      </c>
      <c r="G3254" s="183" t="s">
        <v>12103</v>
      </c>
      <c r="H3254" s="183" t="s">
        <v>14079</v>
      </c>
    </row>
    <row r="3255" spans="1:9">
      <c r="A3255" s="183" t="s">
        <v>14080</v>
      </c>
      <c r="E3255" s="206">
        <v>15</v>
      </c>
      <c r="F3255" s="206">
        <v>3745</v>
      </c>
      <c r="G3255" s="183" t="s">
        <v>12747</v>
      </c>
      <c r="H3255" s="183" t="s">
        <v>11383</v>
      </c>
    </row>
    <row r="3256" spans="1:9">
      <c r="A3256" s="183" t="s">
        <v>14078</v>
      </c>
      <c r="E3256" s="206">
        <v>459</v>
      </c>
      <c r="F3256" s="206">
        <v>3286</v>
      </c>
      <c r="G3256" s="183" t="s">
        <v>12133</v>
      </c>
      <c r="H3256" s="183" t="s">
        <v>14081</v>
      </c>
    </row>
    <row r="3257" spans="1:9">
      <c r="A3257" s="183" t="s">
        <v>14082</v>
      </c>
      <c r="E3257" s="183">
        <v>44</v>
      </c>
      <c r="F3257" s="206">
        <v>3242</v>
      </c>
      <c r="G3257" s="183" t="s">
        <v>12103</v>
      </c>
      <c r="H3257" s="183" t="s">
        <v>14083</v>
      </c>
    </row>
    <row r="3258" spans="1:9">
      <c r="A3258" s="183" t="s">
        <v>14084</v>
      </c>
      <c r="C3258" s="183">
        <v>20000</v>
      </c>
      <c r="D3258" s="696"/>
      <c r="H3258" s="183" t="s">
        <v>14071</v>
      </c>
    </row>
    <row r="3259" spans="1:9">
      <c r="E3259" s="206"/>
      <c r="F3259" s="206"/>
      <c r="H3259" s="696" t="s">
        <v>12912</v>
      </c>
    </row>
    <row r="3260" spans="1:9">
      <c r="A3260" s="183" t="s">
        <v>14085</v>
      </c>
      <c r="E3260" s="206">
        <v>1458</v>
      </c>
      <c r="F3260" s="206">
        <v>1784</v>
      </c>
      <c r="G3260" s="183" t="s">
        <v>12090</v>
      </c>
      <c r="H3260" s="183" t="s">
        <v>14086</v>
      </c>
    </row>
    <row r="3261" spans="1:9">
      <c r="A3261" s="183" t="s">
        <v>14087</v>
      </c>
      <c r="E3261" s="206">
        <v>168</v>
      </c>
      <c r="F3261" s="206">
        <v>1616</v>
      </c>
      <c r="G3261" s="206" t="s">
        <v>12096</v>
      </c>
      <c r="H3261" s="183" t="s">
        <v>14088</v>
      </c>
    </row>
    <row r="3262" spans="1:9">
      <c r="A3262" s="183" t="s">
        <v>14089</v>
      </c>
      <c r="C3262" s="183">
        <v>19994</v>
      </c>
      <c r="H3262" s="183" t="s">
        <v>14090</v>
      </c>
    </row>
    <row r="3263" spans="1:9">
      <c r="E3263" s="206"/>
      <c r="F3263" s="206"/>
      <c r="H3263" s="696" t="s">
        <v>12912</v>
      </c>
    </row>
    <row r="3264" spans="1:9">
      <c r="A3264" s="183" t="s">
        <v>14091</v>
      </c>
      <c r="C3264" s="183">
        <v>17000</v>
      </c>
      <c r="H3264" s="183" t="s">
        <v>14092</v>
      </c>
      <c r="I3264" s="183" t="s">
        <v>14093</v>
      </c>
    </row>
    <row r="3265" spans="1:8">
      <c r="A3265" s="183" t="s">
        <v>14094</v>
      </c>
      <c r="C3265" s="183">
        <v>39800</v>
      </c>
      <c r="D3265" s="696"/>
      <c r="H3265" s="183" t="s">
        <v>14066</v>
      </c>
    </row>
    <row r="3266" spans="1:8">
      <c r="A3266" s="183" t="s">
        <v>14094</v>
      </c>
      <c r="C3266" s="183">
        <v>29647</v>
      </c>
      <c r="H3266" s="183" t="s">
        <v>14095</v>
      </c>
    </row>
    <row r="3267" spans="1:8">
      <c r="A3267" s="183" t="s">
        <v>14096</v>
      </c>
      <c r="C3267" s="183">
        <v>18907</v>
      </c>
      <c r="H3267" s="183" t="s">
        <v>14097</v>
      </c>
    </row>
    <row r="3268" spans="1:8">
      <c r="A3268" s="183" t="s">
        <v>14096</v>
      </c>
      <c r="C3268" s="183">
        <v>50000</v>
      </c>
      <c r="D3268" s="696"/>
      <c r="H3268" s="183" t="s">
        <v>14098</v>
      </c>
    </row>
    <row r="3269" spans="1:8">
      <c r="A3269" s="183" t="s">
        <v>14099</v>
      </c>
      <c r="C3269" s="183">
        <v>61454</v>
      </c>
      <c r="D3269" s="696"/>
      <c r="H3269" s="183" t="s">
        <v>14100</v>
      </c>
    </row>
    <row r="3270" spans="1:8">
      <c r="A3270" s="183" t="s">
        <v>14101</v>
      </c>
      <c r="E3270" s="206">
        <v>110</v>
      </c>
      <c r="F3270" s="206">
        <v>1506</v>
      </c>
      <c r="G3270" s="183" t="s">
        <v>12121</v>
      </c>
      <c r="H3270" s="183" t="s">
        <v>13945</v>
      </c>
    </row>
    <row r="3271" spans="1:8">
      <c r="A3271" s="183" t="s">
        <v>14102</v>
      </c>
      <c r="E3271" s="206">
        <v>1458</v>
      </c>
      <c r="F3271" s="206">
        <v>48</v>
      </c>
      <c r="G3271" s="183" t="s">
        <v>12090</v>
      </c>
      <c r="H3271" s="183" t="s">
        <v>14103</v>
      </c>
    </row>
    <row r="3272" spans="1:8">
      <c r="A3272" s="183" t="s">
        <v>14104</v>
      </c>
      <c r="E3272" s="206">
        <v>18</v>
      </c>
      <c r="F3272" s="206">
        <v>30</v>
      </c>
      <c r="G3272" s="183" t="s">
        <v>12621</v>
      </c>
      <c r="H3272" s="183" t="s">
        <v>14105</v>
      </c>
    </row>
    <row r="3273" spans="1:8">
      <c r="A3273" s="183" t="s">
        <v>14106</v>
      </c>
      <c r="D3273" s="183">
        <v>5000</v>
      </c>
      <c r="E3273" s="206"/>
      <c r="F3273" s="206">
        <v>5030</v>
      </c>
      <c r="H3273" s="183" t="s">
        <v>12846</v>
      </c>
    </row>
    <row r="3274" spans="1:8">
      <c r="A3274" s="183" t="s">
        <v>14106</v>
      </c>
      <c r="E3274" s="183">
        <v>324</v>
      </c>
      <c r="F3274" s="206">
        <v>4706</v>
      </c>
      <c r="G3274" s="183" t="s">
        <v>12103</v>
      </c>
      <c r="H3274" s="183" t="s">
        <v>14107</v>
      </c>
    </row>
    <row r="3275" spans="1:8">
      <c r="E3275" s="206"/>
      <c r="F3275" s="206"/>
      <c r="H3275" s="696" t="s">
        <v>12912</v>
      </c>
    </row>
    <row r="3276" spans="1:8">
      <c r="A3276" s="183" t="s">
        <v>14108</v>
      </c>
      <c r="C3276" s="183">
        <v>20000</v>
      </c>
      <c r="H3276" s="183" t="s">
        <v>14109</v>
      </c>
    </row>
    <row r="3277" spans="1:8">
      <c r="A3277" s="183" t="s">
        <v>14110</v>
      </c>
      <c r="C3277" s="183">
        <v>7500</v>
      </c>
      <c r="D3277" s="696"/>
      <c r="H3277" s="183" t="s">
        <v>14111</v>
      </c>
    </row>
    <row r="3278" spans="1:8">
      <c r="A3278" s="183" t="s">
        <v>14110</v>
      </c>
      <c r="C3278" s="183">
        <v>29647</v>
      </c>
      <c r="H3278" s="183" t="s">
        <v>14112</v>
      </c>
    </row>
    <row r="3279" spans="1:8">
      <c r="A3279" s="183" t="s">
        <v>14113</v>
      </c>
      <c r="C3279" s="183">
        <v>8137</v>
      </c>
      <c r="H3279" s="183" t="s">
        <v>14114</v>
      </c>
    </row>
    <row r="3280" spans="1:8">
      <c r="A3280" s="183" t="s">
        <v>14115</v>
      </c>
      <c r="C3280" s="183">
        <v>10670</v>
      </c>
      <c r="H3280" s="183" t="s">
        <v>14116</v>
      </c>
    </row>
    <row r="3281" spans="1:8">
      <c r="A3281" s="183" t="s">
        <v>14117</v>
      </c>
      <c r="C3281" s="183">
        <v>60000</v>
      </c>
      <c r="D3281" s="696"/>
      <c r="H3281" s="183" t="s">
        <v>14098</v>
      </c>
    </row>
    <row r="3282" spans="1:8">
      <c r="A3282" s="183" t="s">
        <v>14118</v>
      </c>
      <c r="E3282" s="183">
        <v>28</v>
      </c>
      <c r="F3282" s="206">
        <v>4678</v>
      </c>
      <c r="G3282" s="183" t="s">
        <v>12103</v>
      </c>
      <c r="H3282" s="183" t="s">
        <v>14119</v>
      </c>
    </row>
    <row r="3283" spans="1:8">
      <c r="A3283" s="183" t="s">
        <v>14120</v>
      </c>
      <c r="E3283" s="206">
        <v>105</v>
      </c>
      <c r="F3283" s="206">
        <v>4573</v>
      </c>
      <c r="G3283" s="183" t="s">
        <v>12621</v>
      </c>
      <c r="H3283" s="183" t="s">
        <v>14121</v>
      </c>
    </row>
    <row r="3284" spans="1:8" ht="231">
      <c r="A3284" s="183" t="s">
        <v>14122</v>
      </c>
      <c r="C3284" s="183">
        <v>104030</v>
      </c>
      <c r="H3284" s="694" t="s">
        <v>14123</v>
      </c>
    </row>
    <row r="3285" spans="1:8">
      <c r="A3285" s="183" t="s">
        <v>14122</v>
      </c>
      <c r="C3285" s="183">
        <v>31454</v>
      </c>
      <c r="D3285" s="696" t="s">
        <v>14124</v>
      </c>
      <c r="H3285" s="183" t="s">
        <v>14125</v>
      </c>
    </row>
    <row r="3286" spans="1:8">
      <c r="A3286" s="183" t="s">
        <v>14122</v>
      </c>
      <c r="E3286" s="206">
        <v>178</v>
      </c>
      <c r="F3286" s="206">
        <v>4395</v>
      </c>
      <c r="G3286" s="206" t="s">
        <v>12096</v>
      </c>
      <c r="H3286" s="183" t="s">
        <v>14126</v>
      </c>
    </row>
    <row r="3287" spans="1:8">
      <c r="A3287" s="183" t="s">
        <v>14127</v>
      </c>
      <c r="E3287" s="206">
        <v>1458</v>
      </c>
      <c r="F3287" s="206">
        <v>2937</v>
      </c>
      <c r="G3287" s="183" t="s">
        <v>12550</v>
      </c>
      <c r="H3287" s="183" t="s">
        <v>14128</v>
      </c>
    </row>
    <row r="3288" spans="1:8">
      <c r="E3288" s="206"/>
      <c r="F3288" s="206"/>
      <c r="H3288" s="696" t="s">
        <v>12912</v>
      </c>
    </row>
    <row r="3289" spans="1:8">
      <c r="A3289" s="183" t="s">
        <v>14129</v>
      </c>
      <c r="C3289" s="696">
        <v>20030</v>
      </c>
      <c r="H3289" s="183" t="s">
        <v>14130</v>
      </c>
    </row>
    <row r="3290" spans="1:8">
      <c r="A3290" s="183" t="s">
        <v>14131</v>
      </c>
      <c r="E3290" s="206">
        <v>50</v>
      </c>
      <c r="F3290" s="206">
        <v>2887</v>
      </c>
      <c r="G3290" s="704"/>
      <c r="H3290" s="183" t="s">
        <v>14132</v>
      </c>
    </row>
    <row r="3291" spans="1:8">
      <c r="A3291" s="183" t="s">
        <v>14131</v>
      </c>
      <c r="C3291" s="183">
        <v>29647</v>
      </c>
      <c r="H3291" s="183" t="s">
        <v>14133</v>
      </c>
    </row>
    <row r="3292" spans="1:8">
      <c r="A3292" s="183" t="s">
        <v>14134</v>
      </c>
      <c r="C3292" s="183">
        <v>30000</v>
      </c>
      <c r="D3292" s="696"/>
      <c r="H3292" s="183" t="s">
        <v>14135</v>
      </c>
    </row>
    <row r="3293" spans="1:8" ht="148.5">
      <c r="A3293" s="183" t="s">
        <v>14134</v>
      </c>
      <c r="C3293" s="183">
        <v>114521</v>
      </c>
      <c r="H3293" s="694" t="s">
        <v>14136</v>
      </c>
    </row>
    <row r="3294" spans="1:8">
      <c r="A3294" s="183" t="s">
        <v>14134</v>
      </c>
      <c r="E3294" s="183">
        <v>36</v>
      </c>
      <c r="F3294" s="206">
        <v>2851</v>
      </c>
      <c r="G3294" s="183" t="s">
        <v>11093</v>
      </c>
      <c r="H3294" s="183" t="s">
        <v>14137</v>
      </c>
    </row>
    <row r="3295" spans="1:8">
      <c r="A3295" s="183" t="s">
        <v>14134</v>
      </c>
      <c r="C3295" s="183">
        <v>29647</v>
      </c>
      <c r="H3295" s="183" t="s">
        <v>14133</v>
      </c>
    </row>
    <row r="3296" spans="1:8">
      <c r="A3296" s="183" t="s">
        <v>14134</v>
      </c>
      <c r="C3296" s="183">
        <v>61454</v>
      </c>
      <c r="D3296" s="696"/>
      <c r="H3296" s="183" t="s">
        <v>14138</v>
      </c>
    </row>
    <row r="3297" spans="1:11">
      <c r="A3297" s="183" t="s">
        <v>14134</v>
      </c>
      <c r="C3297" s="183">
        <v>3832</v>
      </c>
      <c r="D3297" s="696"/>
      <c r="H3297" s="183" t="s">
        <v>14139</v>
      </c>
    </row>
    <row r="3298" spans="1:11">
      <c r="A3298" s="183" t="s">
        <v>14140</v>
      </c>
      <c r="C3298" s="183">
        <v>44648</v>
      </c>
      <c r="H3298" s="183" t="s">
        <v>14141</v>
      </c>
    </row>
    <row r="3299" spans="1:11">
      <c r="A3299" s="183" t="s">
        <v>14142</v>
      </c>
      <c r="E3299" s="206">
        <v>250</v>
      </c>
      <c r="F3299" s="206">
        <v>2601</v>
      </c>
      <c r="G3299" s="183" t="s">
        <v>12586</v>
      </c>
      <c r="H3299" s="183" t="s">
        <v>13667</v>
      </c>
    </row>
    <row r="3300" spans="1:11">
      <c r="A3300" s="183" t="s">
        <v>14142</v>
      </c>
      <c r="E3300" s="206">
        <v>280</v>
      </c>
      <c r="F3300" s="206">
        <v>2321</v>
      </c>
      <c r="G3300" s="183" t="s">
        <v>12083</v>
      </c>
      <c r="H3300" s="183" t="s">
        <v>13668</v>
      </c>
    </row>
    <row r="3301" spans="1:11">
      <c r="A3301" s="183" t="s">
        <v>14143</v>
      </c>
      <c r="E3301" s="183">
        <v>84</v>
      </c>
      <c r="F3301" s="206">
        <v>2237</v>
      </c>
      <c r="G3301" s="183" t="s">
        <v>12103</v>
      </c>
      <c r="H3301" s="183" t="s">
        <v>14144</v>
      </c>
    </row>
    <row r="3302" spans="1:11">
      <c r="E3302" s="206"/>
      <c r="F3302" s="206"/>
      <c r="H3302" s="696" t="s">
        <v>12912</v>
      </c>
    </row>
    <row r="3303" spans="1:11">
      <c r="A3303" s="183" t="s">
        <v>14145</v>
      </c>
      <c r="E3303" s="206">
        <v>200</v>
      </c>
      <c r="F3303" s="206">
        <v>2037</v>
      </c>
      <c r="G3303" s="183" t="s">
        <v>12083</v>
      </c>
      <c r="H3303" s="183" t="s">
        <v>14146</v>
      </c>
    </row>
    <row r="3304" spans="1:11">
      <c r="A3304" s="183" t="s">
        <v>14147</v>
      </c>
      <c r="E3304" s="206">
        <v>200</v>
      </c>
      <c r="F3304" s="206">
        <v>1837</v>
      </c>
      <c r="G3304" s="183" t="s">
        <v>12586</v>
      </c>
      <c r="H3304" s="183" t="s">
        <v>14148</v>
      </c>
    </row>
    <row r="3305" spans="1:11">
      <c r="A3305" s="183" t="s">
        <v>14149</v>
      </c>
      <c r="E3305" s="206">
        <v>235</v>
      </c>
      <c r="F3305" s="206">
        <v>1602</v>
      </c>
      <c r="G3305" s="183" t="s">
        <v>12083</v>
      </c>
      <c r="H3305" s="183" t="s">
        <v>14150</v>
      </c>
    </row>
    <row r="3306" spans="1:11">
      <c r="A3306" s="183" t="s">
        <v>14149</v>
      </c>
      <c r="E3306" s="206">
        <v>240</v>
      </c>
      <c r="F3306" s="206">
        <v>1362</v>
      </c>
      <c r="G3306" s="183" t="s">
        <v>12083</v>
      </c>
      <c r="H3306" s="183" t="s">
        <v>14150</v>
      </c>
    </row>
    <row r="3307" spans="1:11">
      <c r="A3307" s="183" t="s">
        <v>14149</v>
      </c>
      <c r="D3307" s="183">
        <v>2900</v>
      </c>
      <c r="E3307" s="206"/>
      <c r="F3307" s="206">
        <v>4262</v>
      </c>
      <c r="H3307" s="183" t="s">
        <v>14151</v>
      </c>
    </row>
    <row r="3308" spans="1:11">
      <c r="A3308" s="183" t="s">
        <v>14149</v>
      </c>
      <c r="E3308" s="206">
        <v>255</v>
      </c>
      <c r="F3308" s="206">
        <v>4007</v>
      </c>
      <c r="G3308" s="183" t="s">
        <v>12072</v>
      </c>
      <c r="H3308" s="183" t="s">
        <v>14152</v>
      </c>
    </row>
    <row r="3309" spans="1:11">
      <c r="A3309" s="183" t="s">
        <v>14153</v>
      </c>
      <c r="E3309" s="206">
        <v>18</v>
      </c>
      <c r="F3309" s="206">
        <v>3989</v>
      </c>
      <c r="G3309" s="183" t="s">
        <v>12072</v>
      </c>
      <c r="H3309" s="183" t="s">
        <v>14154</v>
      </c>
    </row>
    <row r="3310" spans="1:11">
      <c r="A3310" s="183" t="s">
        <v>14155</v>
      </c>
      <c r="D3310" s="183">
        <v>5000</v>
      </c>
      <c r="E3310" s="206"/>
      <c r="F3310" s="206">
        <v>8989</v>
      </c>
      <c r="H3310" s="183" t="s">
        <v>11466</v>
      </c>
    </row>
    <row r="3311" spans="1:11">
      <c r="A3311" s="183" t="s">
        <v>14156</v>
      </c>
      <c r="E3311" s="206">
        <v>1458</v>
      </c>
      <c r="F3311" s="206">
        <v>7531</v>
      </c>
      <c r="G3311" s="183" t="s">
        <v>12090</v>
      </c>
      <c r="H3311" s="183" t="s">
        <v>14157</v>
      </c>
    </row>
    <row r="3312" spans="1:11">
      <c r="A3312" s="183" t="s">
        <v>14158</v>
      </c>
      <c r="C3312" s="183">
        <v>20000</v>
      </c>
      <c r="H3312" s="183" t="s">
        <v>14159</v>
      </c>
      <c r="K3312" s="183" t="s">
        <v>14160</v>
      </c>
    </row>
    <row r="3313" spans="1:8">
      <c r="A3313" s="183" t="s">
        <v>8874</v>
      </c>
      <c r="E3313" s="206">
        <v>70</v>
      </c>
      <c r="F3313" s="206">
        <v>7461</v>
      </c>
      <c r="G3313" s="183" t="s">
        <v>12083</v>
      </c>
      <c r="H3313" s="183" t="s">
        <v>13621</v>
      </c>
    </row>
    <row r="3314" spans="1:8">
      <c r="A3314" s="183" t="s">
        <v>8874</v>
      </c>
      <c r="E3314" s="206">
        <v>70</v>
      </c>
      <c r="F3314" s="206">
        <v>7391</v>
      </c>
      <c r="G3314" s="183" t="s">
        <v>12083</v>
      </c>
      <c r="H3314" s="183" t="s">
        <v>13621</v>
      </c>
    </row>
    <row r="3315" spans="1:8">
      <c r="A3315" s="183" t="s">
        <v>8874</v>
      </c>
      <c r="E3315" s="206">
        <v>195</v>
      </c>
      <c r="F3315" s="206">
        <v>7196</v>
      </c>
      <c r="G3315" s="183" t="s">
        <v>12083</v>
      </c>
      <c r="H3315" s="183" t="s">
        <v>14161</v>
      </c>
    </row>
    <row r="3316" spans="1:8">
      <c r="A3316" s="183" t="s">
        <v>8874</v>
      </c>
      <c r="E3316" s="206">
        <v>190</v>
      </c>
      <c r="F3316" s="206">
        <v>7006</v>
      </c>
      <c r="G3316" s="183" t="s">
        <v>12083</v>
      </c>
      <c r="H3316" s="183" t="s">
        <v>14162</v>
      </c>
    </row>
    <row r="3317" spans="1:8">
      <c r="A3317" s="183" t="s">
        <v>14163</v>
      </c>
      <c r="C3317" s="183">
        <v>16800</v>
      </c>
      <c r="H3317" s="710" t="s">
        <v>14164</v>
      </c>
    </row>
    <row r="3318" spans="1:8">
      <c r="A3318" s="183" t="s">
        <v>14165</v>
      </c>
      <c r="C3318" s="183">
        <v>29647</v>
      </c>
      <c r="H3318" s="183" t="s">
        <v>14166</v>
      </c>
    </row>
    <row r="3319" spans="1:8">
      <c r="A3319" s="183" t="s">
        <v>14167</v>
      </c>
      <c r="C3319" s="183">
        <v>61454</v>
      </c>
      <c r="D3319" s="696"/>
      <c r="H3319" s="183" t="s">
        <v>14168</v>
      </c>
    </row>
    <row r="3320" spans="1:8">
      <c r="A3320" s="183" t="s">
        <v>14167</v>
      </c>
      <c r="C3320" s="183">
        <v>18000</v>
      </c>
      <c r="D3320" s="696"/>
      <c r="H3320" s="183" t="s">
        <v>14169</v>
      </c>
    </row>
    <row r="3321" spans="1:8">
      <c r="A3321" s="183" t="s">
        <v>14170</v>
      </c>
      <c r="C3321" s="183">
        <v>34335</v>
      </c>
      <c r="H3321" s="183" t="s">
        <v>14171</v>
      </c>
    </row>
    <row r="3322" spans="1:8">
      <c r="E3322" s="206"/>
      <c r="F3322" s="206"/>
      <c r="H3322" s="696" t="s">
        <v>12912</v>
      </c>
    </row>
    <row r="3323" spans="1:8">
      <c r="A3323" s="183" t="s">
        <v>14172</v>
      </c>
      <c r="C3323" s="206">
        <v>15000</v>
      </c>
      <c r="D3323" s="696"/>
      <c r="E3323" s="696"/>
      <c r="H3323" s="206" t="s">
        <v>14173</v>
      </c>
    </row>
    <row r="3324" spans="1:8">
      <c r="A3324" s="183" t="s">
        <v>14174</v>
      </c>
      <c r="E3324" s="206">
        <v>100</v>
      </c>
      <c r="F3324" s="206">
        <v>6906</v>
      </c>
      <c r="G3324" s="183" t="s">
        <v>12072</v>
      </c>
      <c r="H3324" s="183" t="s">
        <v>14175</v>
      </c>
    </row>
    <row r="3325" spans="1:8">
      <c r="A3325" s="183" t="s">
        <v>8888</v>
      </c>
      <c r="E3325" s="206">
        <v>365</v>
      </c>
      <c r="F3325" s="206">
        <v>6541</v>
      </c>
      <c r="G3325" s="183" t="s">
        <v>12083</v>
      </c>
      <c r="H3325" s="183" t="s">
        <v>14176</v>
      </c>
    </row>
    <row r="3326" spans="1:8">
      <c r="A3326" s="183" t="s">
        <v>8888</v>
      </c>
      <c r="E3326" s="206">
        <v>110</v>
      </c>
      <c r="F3326" s="206">
        <v>6431</v>
      </c>
      <c r="G3326" s="183" t="s">
        <v>12083</v>
      </c>
      <c r="H3326" s="183" t="s">
        <v>14176</v>
      </c>
    </row>
    <row r="3327" spans="1:8">
      <c r="A3327" s="183" t="s">
        <v>14177</v>
      </c>
      <c r="E3327" s="183">
        <v>60</v>
      </c>
      <c r="F3327" s="206">
        <v>6371</v>
      </c>
      <c r="G3327" s="183" t="s">
        <v>12103</v>
      </c>
      <c r="H3327" s="183" t="s">
        <v>14178</v>
      </c>
    </row>
    <row r="3328" spans="1:8" ht="49.5">
      <c r="A3328" s="183" t="s">
        <v>14179</v>
      </c>
      <c r="E3328" s="183">
        <v>1800</v>
      </c>
      <c r="F3328" s="206">
        <v>4571</v>
      </c>
      <c r="G3328" s="695"/>
      <c r="H3328" s="694" t="s">
        <v>14180</v>
      </c>
    </row>
    <row r="3329" spans="1:11">
      <c r="A3329" s="183" t="s">
        <v>14181</v>
      </c>
      <c r="E3329" s="206">
        <v>1458</v>
      </c>
      <c r="F3329" s="206">
        <v>3113</v>
      </c>
      <c r="G3329" s="183" t="s">
        <v>12090</v>
      </c>
      <c r="H3329" s="183" t="s">
        <v>14182</v>
      </c>
    </row>
    <row r="3330" spans="1:11">
      <c r="A3330" s="183" t="s">
        <v>14183</v>
      </c>
      <c r="C3330" s="183">
        <v>20000</v>
      </c>
      <c r="H3330" s="183" t="s">
        <v>14184</v>
      </c>
      <c r="K3330" s="183" t="s">
        <v>14185</v>
      </c>
    </row>
    <row r="3331" spans="1:11">
      <c r="A3331" s="183" t="s">
        <v>14183</v>
      </c>
      <c r="E3331" s="206">
        <v>189</v>
      </c>
      <c r="F3331" s="206">
        <v>2924</v>
      </c>
      <c r="G3331" s="206" t="s">
        <v>12096</v>
      </c>
      <c r="H3331" s="183" t="s">
        <v>14186</v>
      </c>
    </row>
    <row r="3332" spans="1:11">
      <c r="A3332" s="183" t="s">
        <v>14187</v>
      </c>
      <c r="C3332" s="183">
        <v>29647</v>
      </c>
      <c r="H3332" s="183" t="s">
        <v>14188</v>
      </c>
    </row>
    <row r="3333" spans="1:11">
      <c r="A3333" s="183" t="s">
        <v>14183</v>
      </c>
      <c r="C3333" s="183">
        <v>12000</v>
      </c>
      <c r="D3333" s="696"/>
      <c r="H3333" s="183" t="s">
        <v>14189</v>
      </c>
    </row>
    <row r="3334" spans="1:11">
      <c r="A3334" s="183" t="s">
        <v>14190</v>
      </c>
      <c r="C3334" s="183">
        <v>15090</v>
      </c>
      <c r="H3334" s="183" t="s">
        <v>14191</v>
      </c>
    </row>
    <row r="3335" spans="1:11">
      <c r="A3335" s="183" t="s">
        <v>14192</v>
      </c>
      <c r="C3335" s="183">
        <v>61454</v>
      </c>
      <c r="D3335" s="696"/>
      <c r="H3335" s="183" t="s">
        <v>14193</v>
      </c>
    </row>
    <row r="3336" spans="1:11">
      <c r="A3336" s="183" t="s">
        <v>14194</v>
      </c>
      <c r="E3336" s="183">
        <v>228</v>
      </c>
      <c r="F3336" s="206">
        <v>2696</v>
      </c>
      <c r="G3336" s="183" t="s">
        <v>12103</v>
      </c>
      <c r="H3336" s="183" t="s">
        <v>14195</v>
      </c>
    </row>
    <row r="3337" spans="1:11">
      <c r="A3337" s="183" t="s">
        <v>14196</v>
      </c>
      <c r="E3337" s="183">
        <v>360</v>
      </c>
      <c r="F3337" s="206">
        <v>2336</v>
      </c>
      <c r="G3337" s="183" t="s">
        <v>12103</v>
      </c>
      <c r="H3337" s="183" t="s">
        <v>14197</v>
      </c>
    </row>
    <row r="3338" spans="1:11">
      <c r="A3338" s="183" t="s">
        <v>14198</v>
      </c>
      <c r="E3338" s="183">
        <v>28</v>
      </c>
      <c r="F3338" s="206">
        <v>2308</v>
      </c>
      <c r="G3338" s="183" t="s">
        <v>12103</v>
      </c>
      <c r="H3338" s="183" t="s">
        <v>14199</v>
      </c>
    </row>
    <row r="3339" spans="1:11">
      <c r="A3339" s="183" t="s">
        <v>14200</v>
      </c>
      <c r="E3339" s="183">
        <v>44</v>
      </c>
      <c r="F3339" s="206">
        <v>2264</v>
      </c>
      <c r="G3339" s="183" t="s">
        <v>11093</v>
      </c>
      <c r="H3339" s="183" t="s">
        <v>14201</v>
      </c>
    </row>
    <row r="3340" spans="1:11">
      <c r="A3340" s="183" t="s">
        <v>14200</v>
      </c>
      <c r="E3340" s="206">
        <v>120</v>
      </c>
      <c r="F3340" s="206">
        <v>2144</v>
      </c>
      <c r="G3340" s="183" t="s">
        <v>12133</v>
      </c>
      <c r="H3340" s="183" t="s">
        <v>12134</v>
      </c>
    </row>
    <row r="3341" spans="1:11">
      <c r="A3341" s="183" t="s">
        <v>14202</v>
      </c>
      <c r="E3341" s="183">
        <v>44</v>
      </c>
      <c r="F3341" s="206">
        <v>2100</v>
      </c>
      <c r="G3341" s="183" t="s">
        <v>11093</v>
      </c>
      <c r="H3341" s="183" t="s">
        <v>14203</v>
      </c>
    </row>
    <row r="3342" spans="1:11">
      <c r="A3342" s="183" t="s">
        <v>14204</v>
      </c>
      <c r="E3342" s="183">
        <v>125</v>
      </c>
      <c r="F3342" s="206">
        <v>1975</v>
      </c>
      <c r="G3342" s="183" t="s">
        <v>12706</v>
      </c>
      <c r="H3342" s="183" t="s">
        <v>11343</v>
      </c>
    </row>
    <row r="3343" spans="1:11">
      <c r="E3343" s="206"/>
      <c r="F3343" s="206"/>
      <c r="H3343" s="696" t="s">
        <v>12912</v>
      </c>
    </row>
    <row r="3344" spans="1:11">
      <c r="A3344" s="183" t="s">
        <v>14205</v>
      </c>
      <c r="E3344" s="206">
        <v>1458</v>
      </c>
      <c r="F3344" s="206">
        <v>517</v>
      </c>
      <c r="G3344" s="183" t="s">
        <v>12090</v>
      </c>
      <c r="H3344" s="183" t="s">
        <v>14206</v>
      </c>
    </row>
    <row r="3345" spans="1:11">
      <c r="A3345" s="183" t="s">
        <v>14207</v>
      </c>
      <c r="E3345" s="206">
        <v>18</v>
      </c>
      <c r="F3345" s="206">
        <v>499</v>
      </c>
      <c r="G3345" s="183" t="s">
        <v>12072</v>
      </c>
      <c r="H3345" s="183" t="s">
        <v>14208</v>
      </c>
    </row>
    <row r="3346" spans="1:11">
      <c r="A3346" s="183" t="s">
        <v>14207</v>
      </c>
      <c r="E3346" s="183">
        <v>32</v>
      </c>
      <c r="F3346" s="206">
        <v>467</v>
      </c>
      <c r="G3346" s="183" t="s">
        <v>12083</v>
      </c>
      <c r="H3346" s="183" t="s">
        <v>14209</v>
      </c>
    </row>
    <row r="3347" spans="1:11">
      <c r="A3347" s="183" t="s">
        <v>14210</v>
      </c>
      <c r="C3347" s="183">
        <v>20000</v>
      </c>
      <c r="H3347" s="183" t="s">
        <v>14211</v>
      </c>
      <c r="K3347" s="183" t="s">
        <v>14160</v>
      </c>
    </row>
    <row r="3348" spans="1:11">
      <c r="A3348" s="183" t="s">
        <v>8920</v>
      </c>
      <c r="C3348" s="183">
        <v>29647</v>
      </c>
      <c r="H3348" s="183" t="s">
        <v>14212</v>
      </c>
    </row>
    <row r="3349" spans="1:11">
      <c r="A3349" s="183" t="s">
        <v>8920</v>
      </c>
      <c r="C3349" s="183">
        <v>61454</v>
      </c>
      <c r="D3349" s="696"/>
      <c r="H3349" s="183" t="s">
        <v>14213</v>
      </c>
    </row>
    <row r="3350" spans="1:11">
      <c r="A3350" s="183" t="s">
        <v>8920</v>
      </c>
      <c r="E3350" s="183">
        <v>100</v>
      </c>
      <c r="F3350" s="206">
        <v>367</v>
      </c>
      <c r="G3350" s="183" t="s">
        <v>12103</v>
      </c>
      <c r="H3350" s="183" t="s">
        <v>14214</v>
      </c>
    </row>
    <row r="3351" spans="1:11">
      <c r="A3351" s="183" t="s">
        <v>14215</v>
      </c>
      <c r="C3351" s="183">
        <v>400</v>
      </c>
      <c r="H3351" s="183" t="s">
        <v>14216</v>
      </c>
    </row>
    <row r="3352" spans="1:11">
      <c r="A3352" s="183" t="s">
        <v>14217</v>
      </c>
      <c r="C3352" s="183">
        <v>17387</v>
      </c>
      <c r="H3352" s="183" t="s">
        <v>14218</v>
      </c>
    </row>
    <row r="3353" spans="1:11">
      <c r="A3353" s="183" t="s">
        <v>8928</v>
      </c>
      <c r="C3353" s="206">
        <v>25000</v>
      </c>
      <c r="D3353" s="696"/>
      <c r="E3353" s="696"/>
      <c r="H3353" s="206" t="s">
        <v>14219</v>
      </c>
    </row>
    <row r="3354" spans="1:11">
      <c r="A3354" s="183" t="s">
        <v>8930</v>
      </c>
      <c r="D3354" s="183">
        <v>5000</v>
      </c>
      <c r="E3354" s="206"/>
      <c r="F3354" s="206">
        <v>5367</v>
      </c>
      <c r="H3354" s="183" t="s">
        <v>11466</v>
      </c>
    </row>
    <row r="3355" spans="1:11">
      <c r="A3355" s="183" t="s">
        <v>8930</v>
      </c>
      <c r="E3355" s="206">
        <v>130</v>
      </c>
      <c r="F3355" s="206">
        <v>5237</v>
      </c>
      <c r="G3355" s="183" t="s">
        <v>12083</v>
      </c>
      <c r="H3355" s="183" t="s">
        <v>13508</v>
      </c>
    </row>
    <row r="3356" spans="1:11">
      <c r="A3356" s="183" t="s">
        <v>8930</v>
      </c>
      <c r="E3356" s="206">
        <v>115</v>
      </c>
      <c r="F3356" s="206">
        <v>5122</v>
      </c>
      <c r="G3356" s="183" t="s">
        <v>12083</v>
      </c>
      <c r="H3356" s="183" t="s">
        <v>13508</v>
      </c>
    </row>
    <row r="3357" spans="1:11">
      <c r="A3357" s="183" t="s">
        <v>14220</v>
      </c>
      <c r="E3357" s="206">
        <v>120</v>
      </c>
      <c r="F3357" s="206">
        <v>5002</v>
      </c>
      <c r="G3357" s="183" t="s">
        <v>12083</v>
      </c>
      <c r="H3357" s="183" t="s">
        <v>13508</v>
      </c>
    </row>
    <row r="3358" spans="1:11">
      <c r="A3358" s="183" t="s">
        <v>14221</v>
      </c>
      <c r="E3358" s="206">
        <v>16</v>
      </c>
      <c r="F3358" s="206">
        <v>4986</v>
      </c>
      <c r="G3358" s="183" t="s">
        <v>12083</v>
      </c>
      <c r="H3358" s="183" t="s">
        <v>13508</v>
      </c>
    </row>
    <row r="3359" spans="1:11" ht="181.15" customHeight="1">
      <c r="A3359" s="183" t="s">
        <v>14222</v>
      </c>
      <c r="C3359" s="711">
        <v>92120</v>
      </c>
      <c r="E3359" s="206"/>
      <c r="F3359" s="206"/>
      <c r="H3359" s="694" t="s">
        <v>14223</v>
      </c>
    </row>
    <row r="3360" spans="1:11">
      <c r="A3360" s="183" t="s">
        <v>14224</v>
      </c>
      <c r="E3360" s="206">
        <v>1458</v>
      </c>
      <c r="F3360" s="206">
        <v>3528</v>
      </c>
      <c r="G3360" s="183" t="s">
        <v>12090</v>
      </c>
      <c r="H3360" s="183" t="s">
        <v>14225</v>
      </c>
    </row>
    <row r="3361" spans="1:11">
      <c r="A3361" s="183" t="s">
        <v>14226</v>
      </c>
      <c r="E3361" s="206">
        <v>87</v>
      </c>
      <c r="F3361" s="206">
        <v>3441</v>
      </c>
      <c r="G3361" s="183" t="s">
        <v>12133</v>
      </c>
      <c r="H3361" s="183" t="s">
        <v>14227</v>
      </c>
    </row>
    <row r="3362" spans="1:11">
      <c r="A3362" s="183" t="s">
        <v>14228</v>
      </c>
      <c r="C3362" s="183">
        <v>20000</v>
      </c>
      <c r="H3362" s="183" t="s">
        <v>14229</v>
      </c>
      <c r="K3362" s="183" t="s">
        <v>14160</v>
      </c>
    </row>
    <row r="3363" spans="1:11">
      <c r="A3363" s="183" t="s">
        <v>8941</v>
      </c>
      <c r="E3363" s="206">
        <v>168</v>
      </c>
      <c r="F3363" s="206">
        <v>3273</v>
      </c>
      <c r="G3363" s="206" t="s">
        <v>12096</v>
      </c>
      <c r="H3363" s="183" t="s">
        <v>14230</v>
      </c>
    </row>
    <row r="3364" spans="1:11">
      <c r="A3364" s="183" t="s">
        <v>14231</v>
      </c>
      <c r="C3364" s="183">
        <v>29647</v>
      </c>
      <c r="H3364" s="183" t="s">
        <v>14232</v>
      </c>
    </row>
    <row r="3365" spans="1:11">
      <c r="A3365" s="183" t="s">
        <v>14231</v>
      </c>
      <c r="C3365" s="183">
        <v>61454</v>
      </c>
      <c r="D3365" s="696"/>
      <c r="H3365" s="183" t="s">
        <v>14233</v>
      </c>
    </row>
    <row r="3366" spans="1:11">
      <c r="A3366" s="183" t="s">
        <v>14231</v>
      </c>
      <c r="C3366" s="183">
        <v>12000</v>
      </c>
      <c r="D3366" s="696"/>
      <c r="H3366" s="183" t="s">
        <v>14234</v>
      </c>
    </row>
    <row r="3367" spans="1:11">
      <c r="A3367" s="183" t="s">
        <v>8947</v>
      </c>
      <c r="C3367" s="183">
        <v>9375</v>
      </c>
      <c r="H3367" s="183" t="s">
        <v>14235</v>
      </c>
    </row>
    <row r="3368" spans="1:11">
      <c r="A3368" s="183" t="s">
        <v>14236</v>
      </c>
      <c r="E3368" s="206">
        <v>208</v>
      </c>
      <c r="F3368" s="206">
        <v>3065</v>
      </c>
      <c r="G3368" s="183" t="s">
        <v>12072</v>
      </c>
      <c r="H3368" s="183" t="s">
        <v>14237</v>
      </c>
    </row>
    <row r="3369" spans="1:11">
      <c r="A3369" s="183" t="s">
        <v>14238</v>
      </c>
      <c r="E3369" s="183">
        <v>60</v>
      </c>
      <c r="F3369" s="206">
        <v>3005</v>
      </c>
      <c r="G3369" s="183" t="s">
        <v>12103</v>
      </c>
      <c r="H3369" s="183" t="s">
        <v>14239</v>
      </c>
    </row>
    <row r="3370" spans="1:11" ht="33">
      <c r="A3370" s="183" t="s">
        <v>14240</v>
      </c>
      <c r="C3370" s="183">
        <v>6600</v>
      </c>
      <c r="H3370" s="697" t="s">
        <v>14241</v>
      </c>
    </row>
    <row r="3371" spans="1:11" ht="49.5">
      <c r="A3371" s="183" t="s">
        <v>8955</v>
      </c>
      <c r="C3371" s="206">
        <v>1468</v>
      </c>
      <c r="F3371" s="206"/>
      <c r="G3371" s="183" t="s">
        <v>12090</v>
      </c>
      <c r="H3371" s="694" t="s">
        <v>14242</v>
      </c>
    </row>
    <row r="3372" spans="1:11">
      <c r="A3372" s="183" t="s">
        <v>8955</v>
      </c>
      <c r="E3372" s="206">
        <v>140</v>
      </c>
      <c r="F3372" s="206">
        <v>2865</v>
      </c>
      <c r="G3372" s="183" t="s">
        <v>12706</v>
      </c>
      <c r="H3372" s="183" t="s">
        <v>14243</v>
      </c>
    </row>
    <row r="3373" spans="1:11">
      <c r="A3373" s="183" t="s">
        <v>8958</v>
      </c>
      <c r="E3373" s="206">
        <v>18</v>
      </c>
      <c r="F3373" s="206">
        <v>2847</v>
      </c>
      <c r="G3373" s="183" t="s">
        <v>12072</v>
      </c>
      <c r="H3373" s="183" t="s">
        <v>14244</v>
      </c>
    </row>
    <row r="3374" spans="1:11">
      <c r="A3374" s="183" t="s">
        <v>8958</v>
      </c>
      <c r="E3374" s="183">
        <v>100</v>
      </c>
      <c r="F3374" s="206">
        <v>2747</v>
      </c>
      <c r="G3374" s="183" t="s">
        <v>11094</v>
      </c>
      <c r="H3374" s="183" t="s">
        <v>11314</v>
      </c>
    </row>
    <row r="3375" spans="1:11">
      <c r="A3375" s="183" t="s">
        <v>8958</v>
      </c>
      <c r="E3375" s="206">
        <v>243</v>
      </c>
      <c r="F3375" s="206">
        <v>2504</v>
      </c>
      <c r="G3375" s="183" t="s">
        <v>12072</v>
      </c>
      <c r="H3375" s="183" t="s">
        <v>14245</v>
      </c>
    </row>
    <row r="3376" spans="1:11">
      <c r="A3376" s="183" t="s">
        <v>14246</v>
      </c>
      <c r="E3376" s="183">
        <v>60</v>
      </c>
      <c r="F3376" s="206">
        <v>2444</v>
      </c>
      <c r="G3376" s="183" t="s">
        <v>12103</v>
      </c>
      <c r="H3376" s="183" t="s">
        <v>14247</v>
      </c>
    </row>
    <row r="3377" spans="1:11">
      <c r="A3377" s="183" t="s">
        <v>14248</v>
      </c>
      <c r="C3377" s="183">
        <v>20010</v>
      </c>
      <c r="H3377" s="183" t="s">
        <v>14249</v>
      </c>
      <c r="K3377" s="183" t="s">
        <v>14185</v>
      </c>
    </row>
    <row r="3378" spans="1:11">
      <c r="E3378" s="206"/>
      <c r="F3378" s="206"/>
      <c r="H3378" s="696" t="s">
        <v>12912</v>
      </c>
    </row>
    <row r="3379" spans="1:11">
      <c r="A3379" s="183" t="s">
        <v>14250</v>
      </c>
      <c r="C3379" s="183">
        <v>29647</v>
      </c>
      <c r="H3379" s="183" t="s">
        <v>14251</v>
      </c>
    </row>
    <row r="3380" spans="1:11">
      <c r="A3380" s="183" t="s">
        <v>14250</v>
      </c>
      <c r="C3380" s="183">
        <v>61454</v>
      </c>
      <c r="D3380" s="696"/>
      <c r="H3380" s="183" t="s">
        <v>14252</v>
      </c>
    </row>
    <row r="3381" spans="1:11">
      <c r="A3381" s="183" t="s">
        <v>14250</v>
      </c>
      <c r="C3381" s="183">
        <v>5569</v>
      </c>
      <c r="H3381" s="183" t="s">
        <v>14253</v>
      </c>
    </row>
    <row r="3382" spans="1:11">
      <c r="H3382" s="706" t="s">
        <v>14254</v>
      </c>
    </row>
    <row r="3383" spans="1:11">
      <c r="H3383" s="699"/>
    </row>
    <row r="3384" spans="1:11" s="483" customFormat="1">
      <c r="A3384" s="329" t="s">
        <v>14255</v>
      </c>
      <c r="E3384" s="483">
        <v>120</v>
      </c>
      <c r="F3384" s="329">
        <v>2324</v>
      </c>
      <c r="G3384" s="483" t="s">
        <v>12103</v>
      </c>
      <c r="H3384" s="329" t="s">
        <v>14256</v>
      </c>
    </row>
    <row r="3385" spans="1:11" s="483" customFormat="1">
      <c r="A3385" s="329" t="s">
        <v>14255</v>
      </c>
      <c r="E3385" s="483">
        <v>44</v>
      </c>
      <c r="F3385" s="329">
        <v>2280</v>
      </c>
      <c r="G3385" s="483" t="s">
        <v>12103</v>
      </c>
      <c r="H3385" s="329" t="s">
        <v>14257</v>
      </c>
    </row>
    <row r="3386" spans="1:11" s="483" customFormat="1">
      <c r="A3386" s="329" t="s">
        <v>10767</v>
      </c>
      <c r="E3386" s="483">
        <v>572</v>
      </c>
      <c r="F3386" s="329">
        <v>1708</v>
      </c>
      <c r="G3386" s="483" t="s">
        <v>11099</v>
      </c>
      <c r="H3386" s="329" t="s">
        <v>14258</v>
      </c>
    </row>
    <row r="3387" spans="1:11">
      <c r="A3387" s="183" t="s">
        <v>14259</v>
      </c>
      <c r="E3387" s="206">
        <v>110</v>
      </c>
      <c r="F3387" s="693">
        <v>1598</v>
      </c>
      <c r="G3387" s="183" t="s">
        <v>12083</v>
      </c>
      <c r="H3387" s="183" t="s">
        <v>13696</v>
      </c>
    </row>
    <row r="3388" spans="1:11">
      <c r="A3388" s="183" t="s">
        <v>11091</v>
      </c>
      <c r="E3388" s="206">
        <v>140</v>
      </c>
      <c r="F3388" s="693">
        <v>1458</v>
      </c>
      <c r="G3388" s="183" t="s">
        <v>11094</v>
      </c>
      <c r="H3388" s="183" t="s">
        <v>14260</v>
      </c>
    </row>
    <row r="3389" spans="1:11" s="483" customFormat="1">
      <c r="A3389" s="329" t="s">
        <v>14261</v>
      </c>
      <c r="E3389" s="483">
        <v>44</v>
      </c>
      <c r="F3389" s="329">
        <v>1414</v>
      </c>
      <c r="G3389" s="483" t="s">
        <v>12103</v>
      </c>
      <c r="H3389" s="329" t="s">
        <v>14262</v>
      </c>
    </row>
    <row r="3390" spans="1:11" ht="49.5">
      <c r="A3390" s="329" t="s">
        <v>11092</v>
      </c>
      <c r="C3390" s="206">
        <v>1468</v>
      </c>
      <c r="F3390" s="206"/>
      <c r="G3390" s="183" t="s">
        <v>11101</v>
      </c>
      <c r="H3390" s="694" t="s">
        <v>14263</v>
      </c>
    </row>
    <row r="3391" spans="1:11">
      <c r="A3391" s="183" t="s">
        <v>14264</v>
      </c>
      <c r="E3391" s="206">
        <v>500</v>
      </c>
      <c r="F3391" s="206">
        <v>914</v>
      </c>
      <c r="G3391" s="183" t="s">
        <v>12083</v>
      </c>
      <c r="H3391" s="183" t="s">
        <v>11095</v>
      </c>
    </row>
    <row r="3392" spans="1:11">
      <c r="A3392" s="183" t="s">
        <v>14265</v>
      </c>
      <c r="E3392" s="206">
        <v>500</v>
      </c>
      <c r="F3392" s="206">
        <v>414</v>
      </c>
      <c r="G3392" s="183" t="s">
        <v>12586</v>
      </c>
      <c r="H3392" s="183" t="s">
        <v>14266</v>
      </c>
    </row>
    <row r="3393" spans="1:11">
      <c r="A3393" s="183" t="s">
        <v>14267</v>
      </c>
      <c r="E3393" s="206">
        <v>200</v>
      </c>
      <c r="F3393" s="206">
        <v>214</v>
      </c>
      <c r="G3393" s="695"/>
      <c r="H3393" s="183" t="s">
        <v>14268</v>
      </c>
    </row>
    <row r="3394" spans="1:11" ht="66">
      <c r="A3394" s="183" t="s">
        <v>14269</v>
      </c>
      <c r="C3394" s="696" t="s">
        <v>14270</v>
      </c>
      <c r="D3394" s="696"/>
      <c r="H3394" s="694" t="s">
        <v>11096</v>
      </c>
    </row>
    <row r="3395" spans="1:11">
      <c r="A3395" s="183" t="s">
        <v>14267</v>
      </c>
      <c r="C3395" s="696">
        <v>61454</v>
      </c>
      <c r="H3395" s="183" t="s">
        <v>14271</v>
      </c>
    </row>
    <row r="3396" spans="1:11">
      <c r="A3396" s="183" t="s">
        <v>8930</v>
      </c>
      <c r="D3396" s="696">
        <v>556</v>
      </c>
      <c r="E3396" s="206"/>
      <c r="F3396" s="206">
        <v>770</v>
      </c>
      <c r="H3396" s="183" t="s">
        <v>14272</v>
      </c>
    </row>
    <row r="3397" spans="1:11">
      <c r="A3397" s="183" t="s">
        <v>14273</v>
      </c>
      <c r="C3397" s="183">
        <v>20010</v>
      </c>
      <c r="H3397" s="183" t="s">
        <v>14274</v>
      </c>
      <c r="K3397" s="183" t="s">
        <v>14275</v>
      </c>
    </row>
    <row r="3398" spans="1:11">
      <c r="A3398" s="183" t="s">
        <v>14276</v>
      </c>
      <c r="E3398" s="696">
        <v>178</v>
      </c>
      <c r="F3398" s="206">
        <v>602</v>
      </c>
      <c r="G3398" s="206" t="s">
        <v>13053</v>
      </c>
      <c r="H3398" s="183" t="s">
        <v>15247</v>
      </c>
    </row>
    <row r="3399" spans="1:11">
      <c r="A3399" s="183" t="s">
        <v>14278</v>
      </c>
      <c r="C3399" s="183">
        <v>29647</v>
      </c>
      <c r="H3399" s="183" t="s">
        <v>14279</v>
      </c>
    </row>
    <row r="3400" spans="1:11">
      <c r="A3400" s="183" t="s">
        <v>14278</v>
      </c>
      <c r="C3400" s="183">
        <v>39500</v>
      </c>
      <c r="D3400" s="696"/>
      <c r="H3400" s="183" t="s">
        <v>11098</v>
      </c>
    </row>
    <row r="3401" spans="1:11">
      <c r="A3401" s="183" t="s">
        <v>14278</v>
      </c>
      <c r="C3401" s="183">
        <v>36441</v>
      </c>
      <c r="H3401" s="183" t="s">
        <v>14280</v>
      </c>
    </row>
    <row r="3402" spans="1:11">
      <c r="A3402" s="183" t="s">
        <v>14278</v>
      </c>
      <c r="D3402" s="183">
        <v>5000</v>
      </c>
      <c r="E3402" s="206"/>
      <c r="F3402" s="206">
        <v>5602</v>
      </c>
      <c r="H3402" s="183" t="s">
        <v>11514</v>
      </c>
    </row>
    <row r="3403" spans="1:11">
      <c r="A3403" s="183" t="s">
        <v>14278</v>
      </c>
      <c r="E3403" s="183">
        <v>112</v>
      </c>
      <c r="F3403" s="206">
        <v>5490</v>
      </c>
      <c r="G3403" s="183" t="s">
        <v>11093</v>
      </c>
      <c r="H3403" s="183" t="s">
        <v>14281</v>
      </c>
    </row>
    <row r="3404" spans="1:11">
      <c r="A3404" s="183" t="s">
        <v>14278</v>
      </c>
      <c r="E3404" s="206">
        <v>120</v>
      </c>
      <c r="F3404" s="206">
        <v>5370</v>
      </c>
      <c r="G3404" s="183" t="s">
        <v>11131</v>
      </c>
      <c r="H3404" s="183" t="s">
        <v>12134</v>
      </c>
    </row>
    <row r="3405" spans="1:11">
      <c r="A3405" s="183" t="s">
        <v>11100</v>
      </c>
      <c r="E3405" s="183">
        <v>32</v>
      </c>
      <c r="F3405" s="206">
        <v>5338</v>
      </c>
      <c r="G3405" s="183" t="s">
        <v>12083</v>
      </c>
      <c r="H3405" s="183" t="s">
        <v>14282</v>
      </c>
    </row>
    <row r="3406" spans="1:11">
      <c r="E3406" s="206"/>
      <c r="F3406" s="206"/>
      <c r="H3406" s="696" t="s">
        <v>14283</v>
      </c>
    </row>
    <row r="3407" spans="1:11">
      <c r="A3407" s="183" t="s">
        <v>14284</v>
      </c>
      <c r="E3407" s="183">
        <v>28</v>
      </c>
      <c r="F3407" s="206">
        <v>5310</v>
      </c>
      <c r="G3407" s="183" t="s">
        <v>12103</v>
      </c>
      <c r="H3407" s="183" t="s">
        <v>14285</v>
      </c>
    </row>
    <row r="3408" spans="1:11" ht="49.5">
      <c r="A3408" s="183" t="s">
        <v>14286</v>
      </c>
      <c r="C3408" s="206">
        <v>1468</v>
      </c>
      <c r="F3408" s="206"/>
      <c r="G3408" s="183" t="s">
        <v>12090</v>
      </c>
      <c r="H3408" s="694" t="s">
        <v>14287</v>
      </c>
    </row>
    <row r="3409" spans="1:8">
      <c r="A3409" s="183" t="s">
        <v>10772</v>
      </c>
      <c r="E3409" s="206">
        <v>18</v>
      </c>
      <c r="F3409" s="206">
        <v>5292</v>
      </c>
      <c r="G3409" s="183" t="s">
        <v>11113</v>
      </c>
      <c r="H3409" s="183" t="s">
        <v>14288</v>
      </c>
    </row>
    <row r="3410" spans="1:8">
      <c r="A3410" s="183" t="s">
        <v>10772</v>
      </c>
      <c r="E3410" s="183">
        <v>100</v>
      </c>
      <c r="F3410" s="206">
        <v>5192</v>
      </c>
      <c r="G3410" s="183" t="s">
        <v>11094</v>
      </c>
      <c r="H3410" s="183" t="s">
        <v>11112</v>
      </c>
    </row>
    <row r="3411" spans="1:8">
      <c r="A3411" s="183" t="s">
        <v>11102</v>
      </c>
      <c r="E3411" s="206">
        <v>275</v>
      </c>
      <c r="F3411" s="206">
        <v>4917</v>
      </c>
      <c r="G3411" s="183" t="s">
        <v>12083</v>
      </c>
      <c r="H3411" s="183" t="s">
        <v>14289</v>
      </c>
    </row>
    <row r="3412" spans="1:8">
      <c r="A3412" s="183" t="s">
        <v>11102</v>
      </c>
      <c r="E3412" s="206">
        <v>275</v>
      </c>
      <c r="F3412" s="206">
        <v>4642</v>
      </c>
      <c r="G3412" s="183" t="s">
        <v>12083</v>
      </c>
      <c r="H3412" s="183" t="s">
        <v>14289</v>
      </c>
    </row>
    <row r="3413" spans="1:8">
      <c r="A3413" s="183" t="s">
        <v>14290</v>
      </c>
      <c r="C3413" s="183">
        <v>29647</v>
      </c>
      <c r="H3413" s="183" t="s">
        <v>14291</v>
      </c>
    </row>
    <row r="3414" spans="1:8">
      <c r="A3414" s="183" t="s">
        <v>11105</v>
      </c>
      <c r="C3414" s="183">
        <v>22500</v>
      </c>
      <c r="D3414" s="696"/>
      <c r="H3414" s="183" t="s">
        <v>14292</v>
      </c>
    </row>
    <row r="3415" spans="1:8">
      <c r="A3415" s="183" t="s">
        <v>11103</v>
      </c>
      <c r="C3415" s="206">
        <v>61454</v>
      </c>
      <c r="H3415" s="183" t="s">
        <v>14293</v>
      </c>
    </row>
    <row r="3416" spans="1:8">
      <c r="A3416" s="183" t="s">
        <v>11103</v>
      </c>
      <c r="C3416" s="183">
        <v>800</v>
      </c>
      <c r="H3416" s="183" t="s">
        <v>11104</v>
      </c>
    </row>
    <row r="3417" spans="1:8">
      <c r="A3417" s="183" t="s">
        <v>14290</v>
      </c>
      <c r="C3417" s="183">
        <v>16602</v>
      </c>
      <c r="H3417" s="183" t="s">
        <v>14294</v>
      </c>
    </row>
    <row r="3418" spans="1:8">
      <c r="A3418" s="183" t="s">
        <v>14295</v>
      </c>
      <c r="C3418" s="183">
        <v>23835</v>
      </c>
      <c r="H3418" s="183" t="s">
        <v>14296</v>
      </c>
    </row>
    <row r="3419" spans="1:8">
      <c r="A3419" s="183" t="s">
        <v>14297</v>
      </c>
      <c r="C3419" s="183">
        <v>26000</v>
      </c>
      <c r="H3419" s="183" t="s">
        <v>11106</v>
      </c>
    </row>
    <row r="3420" spans="1:8">
      <c r="A3420" s="183" t="s">
        <v>14298</v>
      </c>
      <c r="B3420" s="183">
        <v>26000</v>
      </c>
      <c r="H3420" s="183" t="s">
        <v>14299</v>
      </c>
    </row>
    <row r="3421" spans="1:8">
      <c r="A3421" s="183" t="s">
        <v>14300</v>
      </c>
      <c r="E3421" s="206">
        <v>325</v>
      </c>
      <c r="F3421" s="206">
        <v>4317</v>
      </c>
      <c r="G3421" s="183" t="s">
        <v>12586</v>
      </c>
      <c r="H3421" s="183" t="s">
        <v>13703</v>
      </c>
    </row>
    <row r="3422" spans="1:8">
      <c r="A3422" s="183" t="s">
        <v>14301</v>
      </c>
      <c r="E3422" s="206">
        <v>285</v>
      </c>
      <c r="F3422" s="206">
        <v>4032</v>
      </c>
      <c r="G3422" s="183" t="s">
        <v>12083</v>
      </c>
      <c r="H3422" s="183" t="s">
        <v>14302</v>
      </c>
    </row>
    <row r="3423" spans="1:8" ht="49.5">
      <c r="A3423" s="183" t="s">
        <v>11107</v>
      </c>
      <c r="C3423" s="206">
        <v>1468</v>
      </c>
      <c r="F3423" s="206"/>
      <c r="G3423" s="183" t="s">
        <v>12090</v>
      </c>
      <c r="H3423" s="694" t="s">
        <v>14303</v>
      </c>
    </row>
    <row r="3424" spans="1:8">
      <c r="A3424" s="183" t="s">
        <v>14304</v>
      </c>
      <c r="E3424" s="206">
        <v>178</v>
      </c>
      <c r="F3424" s="206">
        <v>3854</v>
      </c>
      <c r="G3424" s="206" t="s">
        <v>11097</v>
      </c>
      <c r="H3424" s="183" t="s">
        <v>14305</v>
      </c>
    </row>
    <row r="3425" spans="1:11">
      <c r="A3425" s="183" t="s">
        <v>14304</v>
      </c>
      <c r="E3425" s="183">
        <v>44</v>
      </c>
      <c r="F3425" s="206">
        <v>3810</v>
      </c>
      <c r="G3425" s="183" t="s">
        <v>12103</v>
      </c>
      <c r="H3425" s="183" t="s">
        <v>14306</v>
      </c>
    </row>
    <row r="3426" spans="1:11">
      <c r="E3426" s="206"/>
      <c r="F3426" s="206"/>
      <c r="H3426" s="696" t="s">
        <v>14283</v>
      </c>
    </row>
    <row r="3427" spans="1:11">
      <c r="A3427" s="183" t="s">
        <v>14307</v>
      </c>
      <c r="E3427" s="183">
        <v>60</v>
      </c>
      <c r="F3427" s="206">
        <v>3750</v>
      </c>
      <c r="G3427" s="183" t="s">
        <v>11099</v>
      </c>
      <c r="H3427" s="183" t="s">
        <v>14308</v>
      </c>
    </row>
    <row r="3428" spans="1:11">
      <c r="A3428" s="183" t="s">
        <v>14309</v>
      </c>
      <c r="C3428" s="183">
        <v>20000</v>
      </c>
      <c r="H3428" s="183" t="s">
        <v>14310</v>
      </c>
    </row>
    <row r="3429" spans="1:11">
      <c r="A3429" s="183" t="s">
        <v>14311</v>
      </c>
      <c r="C3429" s="183">
        <v>20010</v>
      </c>
      <c r="H3429" s="183" t="s">
        <v>14312</v>
      </c>
      <c r="K3429" s="183" t="s">
        <v>14185</v>
      </c>
    </row>
    <row r="3430" spans="1:11">
      <c r="A3430" s="183" t="s">
        <v>14313</v>
      </c>
      <c r="C3430" s="183">
        <v>29647</v>
      </c>
      <c r="H3430" s="183" t="s">
        <v>14314</v>
      </c>
    </row>
    <row r="3431" spans="1:11">
      <c r="A3431" s="183" t="s">
        <v>11109</v>
      </c>
      <c r="C3431" s="183">
        <v>18000</v>
      </c>
      <c r="D3431" s="696"/>
      <c r="H3431" s="183" t="s">
        <v>14292</v>
      </c>
    </row>
    <row r="3432" spans="1:11">
      <c r="A3432" s="183" t="s">
        <v>14315</v>
      </c>
      <c r="C3432" s="206">
        <v>1000</v>
      </c>
      <c r="H3432" s="183" t="s">
        <v>14316</v>
      </c>
    </row>
    <row r="3433" spans="1:11">
      <c r="A3433" s="183" t="s">
        <v>11109</v>
      </c>
      <c r="C3433" s="206">
        <v>60454</v>
      </c>
      <c r="H3433" s="183" t="s">
        <v>14316</v>
      </c>
    </row>
    <row r="3434" spans="1:11">
      <c r="A3434" s="183" t="s">
        <v>11109</v>
      </c>
      <c r="C3434" s="183">
        <v>11285</v>
      </c>
      <c r="H3434" s="183" t="s">
        <v>14317</v>
      </c>
    </row>
    <row r="3435" spans="1:11">
      <c r="A3435" s="183" t="s">
        <v>11109</v>
      </c>
      <c r="E3435" s="183">
        <v>112</v>
      </c>
      <c r="F3435" s="206">
        <v>3638</v>
      </c>
      <c r="G3435" s="183" t="s">
        <v>11093</v>
      </c>
      <c r="H3435" s="183" t="s">
        <v>14318</v>
      </c>
    </row>
    <row r="3436" spans="1:11">
      <c r="A3436" s="183" t="s">
        <v>14319</v>
      </c>
      <c r="E3436" s="183">
        <v>60</v>
      </c>
      <c r="F3436" s="206">
        <v>3578</v>
      </c>
      <c r="G3436" s="183" t="s">
        <v>11093</v>
      </c>
      <c r="H3436" s="183" t="s">
        <v>14320</v>
      </c>
    </row>
    <row r="3437" spans="1:11">
      <c r="A3437" s="183" t="s">
        <v>14321</v>
      </c>
      <c r="E3437" s="183">
        <v>75</v>
      </c>
      <c r="F3437" s="206">
        <v>3503</v>
      </c>
      <c r="G3437" s="183" t="s">
        <v>14322</v>
      </c>
      <c r="H3437" s="183" t="s">
        <v>14323</v>
      </c>
    </row>
    <row r="3438" spans="1:11">
      <c r="E3438" s="206"/>
      <c r="F3438" s="206"/>
      <c r="H3438" s="696" t="s">
        <v>14046</v>
      </c>
    </row>
    <row r="3439" spans="1:11" ht="49.5">
      <c r="A3439" s="183" t="s">
        <v>11111</v>
      </c>
      <c r="C3439" s="206">
        <v>1468</v>
      </c>
      <c r="F3439" s="206"/>
      <c r="G3439" s="183" t="s">
        <v>11101</v>
      </c>
      <c r="H3439" s="694" t="s">
        <v>14324</v>
      </c>
    </row>
    <row r="3440" spans="1:11">
      <c r="A3440" s="183" t="s">
        <v>11111</v>
      </c>
      <c r="C3440" s="183">
        <v>10000</v>
      </c>
      <c r="H3440" s="183" t="s">
        <v>14325</v>
      </c>
    </row>
    <row r="3441" spans="1:11">
      <c r="A3441" s="183" t="s">
        <v>14326</v>
      </c>
      <c r="E3441" s="183">
        <v>230</v>
      </c>
      <c r="F3441" s="206">
        <v>3273</v>
      </c>
      <c r="G3441" s="183" t="s">
        <v>12121</v>
      </c>
      <c r="H3441" s="183" t="s">
        <v>14327</v>
      </c>
    </row>
    <row r="3442" spans="1:11">
      <c r="A3442" s="183" t="s">
        <v>14328</v>
      </c>
      <c r="E3442" s="183">
        <v>100</v>
      </c>
      <c r="F3442" s="206">
        <v>3173</v>
      </c>
      <c r="G3442" s="183" t="s">
        <v>11094</v>
      </c>
      <c r="H3442" s="183" t="s">
        <v>11314</v>
      </c>
    </row>
    <row r="3443" spans="1:11">
      <c r="A3443" s="183" t="s">
        <v>14329</v>
      </c>
      <c r="E3443" s="206">
        <v>18</v>
      </c>
      <c r="F3443" s="206">
        <v>3155</v>
      </c>
      <c r="G3443" s="183" t="s">
        <v>11113</v>
      </c>
      <c r="H3443" s="183" t="s">
        <v>14330</v>
      </c>
    </row>
    <row r="3444" spans="1:11">
      <c r="A3444" s="183" t="s">
        <v>11114</v>
      </c>
      <c r="C3444" s="183">
        <v>20010</v>
      </c>
      <c r="H3444" s="183" t="s">
        <v>11115</v>
      </c>
      <c r="K3444" s="183" t="s">
        <v>14275</v>
      </c>
    </row>
    <row r="3445" spans="1:11">
      <c r="A3445" s="183" t="s">
        <v>11116</v>
      </c>
      <c r="E3445" s="206">
        <v>2700</v>
      </c>
      <c r="F3445" s="206">
        <v>455</v>
      </c>
      <c r="G3445" s="183" t="s">
        <v>11113</v>
      </c>
      <c r="H3445" s="183" t="s">
        <v>11117</v>
      </c>
    </row>
    <row r="3446" spans="1:11">
      <c r="A3446" s="183" t="s">
        <v>14331</v>
      </c>
      <c r="D3446" s="183">
        <v>5000</v>
      </c>
      <c r="E3446" s="206"/>
      <c r="F3446" s="206">
        <v>5455</v>
      </c>
      <c r="H3446" s="183" t="s">
        <v>11466</v>
      </c>
    </row>
    <row r="3447" spans="1:11">
      <c r="A3447" s="183" t="s">
        <v>11118</v>
      </c>
      <c r="E3447" s="183">
        <v>60</v>
      </c>
      <c r="F3447" s="206">
        <v>5395</v>
      </c>
      <c r="G3447" s="183" t="s">
        <v>11093</v>
      </c>
      <c r="H3447" s="183" t="s">
        <v>14332</v>
      </c>
    </row>
    <row r="3448" spans="1:11">
      <c r="A3448" s="183" t="s">
        <v>11119</v>
      </c>
      <c r="C3448" s="183">
        <v>29647</v>
      </c>
      <c r="H3448" s="183" t="s">
        <v>14333</v>
      </c>
    </row>
    <row r="3449" spans="1:11">
      <c r="A3449" s="183" t="s">
        <v>11119</v>
      </c>
      <c r="C3449" s="206">
        <v>61454</v>
      </c>
      <c r="H3449" s="183" t="s">
        <v>14334</v>
      </c>
    </row>
    <row r="3450" spans="1:11">
      <c r="A3450" s="183" t="s">
        <v>11120</v>
      </c>
      <c r="C3450" s="183">
        <v>2148</v>
      </c>
      <c r="H3450" s="183" t="s">
        <v>14335</v>
      </c>
    </row>
    <row r="3451" spans="1:11">
      <c r="A3451" s="183" t="s">
        <v>11121</v>
      </c>
      <c r="E3451" s="183">
        <v>60</v>
      </c>
      <c r="F3451" s="206">
        <v>5335</v>
      </c>
      <c r="G3451" s="183" t="s">
        <v>11099</v>
      </c>
      <c r="H3451" s="183" t="s">
        <v>14336</v>
      </c>
    </row>
    <row r="3452" spans="1:11">
      <c r="A3452" s="183" t="s">
        <v>11122</v>
      </c>
      <c r="E3452" s="183">
        <v>30</v>
      </c>
      <c r="F3452" s="206">
        <v>5305</v>
      </c>
      <c r="G3452" s="183" t="s">
        <v>14322</v>
      </c>
      <c r="H3452" s="183" t="s">
        <v>14323</v>
      </c>
    </row>
    <row r="3453" spans="1:11" ht="49.5">
      <c r="A3453" s="183" t="s">
        <v>14337</v>
      </c>
      <c r="C3453" s="206">
        <v>1468</v>
      </c>
      <c r="F3453" s="206"/>
      <c r="G3453" s="183" t="s">
        <v>12090</v>
      </c>
      <c r="H3453" s="694" t="s">
        <v>14338</v>
      </c>
    </row>
    <row r="3454" spans="1:11">
      <c r="A3454" s="183" t="s">
        <v>14339</v>
      </c>
      <c r="C3454" s="183">
        <v>24674</v>
      </c>
      <c r="H3454" s="183" t="s">
        <v>14340</v>
      </c>
    </row>
    <row r="3455" spans="1:11">
      <c r="A3455" s="183" t="s">
        <v>14341</v>
      </c>
      <c r="E3455" s="206">
        <v>189</v>
      </c>
      <c r="F3455" s="206">
        <v>5116</v>
      </c>
      <c r="G3455" s="206" t="s">
        <v>11097</v>
      </c>
      <c r="H3455" s="183" t="s">
        <v>14342</v>
      </c>
    </row>
    <row r="3456" spans="1:11">
      <c r="A3456" s="183" t="s">
        <v>14343</v>
      </c>
      <c r="E3456" s="206">
        <v>138</v>
      </c>
      <c r="F3456" s="206">
        <v>4978</v>
      </c>
      <c r="G3456" s="183" t="s">
        <v>11113</v>
      </c>
      <c r="H3456" s="183" t="s">
        <v>14344</v>
      </c>
    </row>
    <row r="3457" spans="1:11">
      <c r="A3457" s="183" t="s">
        <v>14345</v>
      </c>
      <c r="E3457" s="183">
        <v>44</v>
      </c>
      <c r="F3457" s="206">
        <v>4934</v>
      </c>
      <c r="G3457" s="183" t="s">
        <v>14346</v>
      </c>
      <c r="H3457" s="183" t="s">
        <v>14347</v>
      </c>
    </row>
    <row r="3458" spans="1:11">
      <c r="A3458" s="183" t="s">
        <v>11123</v>
      </c>
      <c r="E3458" s="206">
        <v>100</v>
      </c>
      <c r="F3458" s="206">
        <v>4834</v>
      </c>
      <c r="G3458" s="183" t="s">
        <v>12083</v>
      </c>
      <c r="H3458" s="183" t="s">
        <v>14348</v>
      </c>
    </row>
    <row r="3459" spans="1:11" ht="33">
      <c r="A3459" s="183" t="s">
        <v>11124</v>
      </c>
      <c r="C3459" s="183">
        <v>12000</v>
      </c>
      <c r="E3459" s="206"/>
      <c r="F3459" s="206"/>
      <c r="H3459" s="694" t="s">
        <v>14349</v>
      </c>
    </row>
    <row r="3460" spans="1:11">
      <c r="A3460" s="183" t="s">
        <v>14350</v>
      </c>
      <c r="C3460" s="183">
        <v>20010</v>
      </c>
      <c r="H3460" s="183" t="s">
        <v>14351</v>
      </c>
      <c r="K3460" s="183" t="s">
        <v>14160</v>
      </c>
    </row>
    <row r="3461" spans="1:11" ht="49.5">
      <c r="A3461" s="183" t="s">
        <v>14352</v>
      </c>
      <c r="C3461" s="206">
        <v>130010</v>
      </c>
      <c r="D3461" s="696"/>
      <c r="H3461" s="694" t="s">
        <v>11125</v>
      </c>
    </row>
    <row r="3462" spans="1:11">
      <c r="A3462" s="183" t="s">
        <v>11012</v>
      </c>
      <c r="E3462" s="183">
        <v>250</v>
      </c>
      <c r="F3462" s="183">
        <v>4584</v>
      </c>
      <c r="H3462" s="183" t="s">
        <v>14353</v>
      </c>
    </row>
    <row r="3463" spans="1:11">
      <c r="A3463" s="183" t="s">
        <v>14354</v>
      </c>
      <c r="C3463" s="206">
        <v>19800</v>
      </c>
      <c r="H3463" s="183" t="s">
        <v>14355</v>
      </c>
    </row>
    <row r="3464" spans="1:11">
      <c r="A3464" s="183" t="s">
        <v>14354</v>
      </c>
      <c r="C3464" s="183">
        <v>29575</v>
      </c>
      <c r="H3464" s="183" t="s">
        <v>14356</v>
      </c>
    </row>
    <row r="3465" spans="1:11">
      <c r="A3465" s="183" t="s">
        <v>11127</v>
      </c>
      <c r="C3465" s="206">
        <v>61280</v>
      </c>
      <c r="H3465" s="183" t="s">
        <v>14357</v>
      </c>
    </row>
    <row r="3466" spans="1:11">
      <c r="A3466" s="183" t="s">
        <v>14358</v>
      </c>
      <c r="C3466" s="183">
        <v>317</v>
      </c>
      <c r="H3466" s="183" t="s">
        <v>14359</v>
      </c>
    </row>
    <row r="3467" spans="1:11">
      <c r="A3467" s="183" t="s">
        <v>14360</v>
      </c>
      <c r="C3467" s="183">
        <v>283</v>
      </c>
      <c r="H3467" s="183" t="s">
        <v>14361</v>
      </c>
    </row>
    <row r="3468" spans="1:11">
      <c r="A3468" s="183" t="s">
        <v>14362</v>
      </c>
      <c r="E3468" s="206">
        <v>18</v>
      </c>
      <c r="F3468" s="206">
        <v>4566</v>
      </c>
      <c r="G3468" s="183" t="s">
        <v>11113</v>
      </c>
      <c r="H3468" s="183" t="s">
        <v>11128</v>
      </c>
    </row>
    <row r="3469" spans="1:11">
      <c r="A3469" s="183" t="s">
        <v>11129</v>
      </c>
      <c r="E3469" s="696">
        <v>260</v>
      </c>
      <c r="F3469" s="206">
        <v>4306</v>
      </c>
      <c r="G3469" s="183" t="s">
        <v>14363</v>
      </c>
      <c r="H3469" s="183" t="s">
        <v>13758</v>
      </c>
    </row>
    <row r="3470" spans="1:11">
      <c r="A3470" s="183" t="s">
        <v>14364</v>
      </c>
      <c r="E3470" s="696">
        <v>270</v>
      </c>
      <c r="F3470" s="206">
        <v>4036</v>
      </c>
      <c r="G3470" s="183" t="s">
        <v>11094</v>
      </c>
      <c r="H3470" s="183" t="s">
        <v>11130</v>
      </c>
    </row>
    <row r="3471" spans="1:11">
      <c r="A3471" s="183" t="s">
        <v>11129</v>
      </c>
      <c r="E3471" s="206">
        <v>235</v>
      </c>
      <c r="F3471" s="206">
        <v>3801</v>
      </c>
      <c r="G3471" s="183" t="s">
        <v>11131</v>
      </c>
      <c r="H3471" s="183" t="s">
        <v>14365</v>
      </c>
    </row>
    <row r="3472" spans="1:11">
      <c r="A3472" s="183" t="s">
        <v>11129</v>
      </c>
      <c r="E3472" s="183">
        <v>720</v>
      </c>
      <c r="F3472" s="206">
        <v>3081</v>
      </c>
      <c r="G3472" s="183" t="s">
        <v>11093</v>
      </c>
      <c r="H3472" s="183" t="s">
        <v>14366</v>
      </c>
    </row>
    <row r="3473" spans="1:11">
      <c r="A3473" s="183" t="s">
        <v>14367</v>
      </c>
      <c r="E3473" s="183">
        <v>88</v>
      </c>
      <c r="F3473" s="206">
        <v>2993</v>
      </c>
      <c r="G3473" s="183" t="s">
        <v>12103</v>
      </c>
      <c r="H3473" s="183" t="s">
        <v>14368</v>
      </c>
    </row>
    <row r="3474" spans="1:11" ht="99">
      <c r="A3474" s="183" t="s">
        <v>14369</v>
      </c>
      <c r="C3474" s="206">
        <v>150010</v>
      </c>
      <c r="D3474" s="696"/>
      <c r="H3474" s="694" t="s">
        <v>11132</v>
      </c>
    </row>
    <row r="3475" spans="1:11" ht="49.5">
      <c r="A3475" s="183" t="s">
        <v>14370</v>
      </c>
      <c r="C3475" s="206">
        <v>1468</v>
      </c>
      <c r="F3475" s="206"/>
      <c r="G3475" s="183" t="s">
        <v>11101</v>
      </c>
      <c r="H3475" s="694" t="s">
        <v>14371</v>
      </c>
    </row>
    <row r="3476" spans="1:11">
      <c r="A3476" s="183" t="s">
        <v>14372</v>
      </c>
      <c r="E3476" s="183">
        <v>92</v>
      </c>
      <c r="F3476" s="206">
        <v>2901</v>
      </c>
      <c r="G3476" s="183" t="s">
        <v>11099</v>
      </c>
      <c r="H3476" s="183" t="s">
        <v>11134</v>
      </c>
    </row>
    <row r="3477" spans="1:11">
      <c r="A3477" s="183" t="s">
        <v>14373</v>
      </c>
      <c r="C3477" s="183">
        <v>20010</v>
      </c>
      <c r="H3477" s="183" t="s">
        <v>14374</v>
      </c>
      <c r="K3477" s="183" t="s">
        <v>14375</v>
      </c>
    </row>
    <row r="3478" spans="1:11" ht="132">
      <c r="A3478" s="183" t="s">
        <v>14373</v>
      </c>
      <c r="C3478" s="696">
        <v>4010</v>
      </c>
      <c r="D3478" s="696" t="s">
        <v>14376</v>
      </c>
      <c r="H3478" s="697" t="s">
        <v>14377</v>
      </c>
    </row>
    <row r="3479" spans="1:11">
      <c r="A3479" s="183" t="s">
        <v>14378</v>
      </c>
      <c r="E3479" s="183">
        <v>28</v>
      </c>
      <c r="F3479" s="206">
        <v>2873</v>
      </c>
      <c r="G3479" s="183" t="s">
        <v>11133</v>
      </c>
      <c r="H3479" s="183" t="s">
        <v>13803</v>
      </c>
    </row>
    <row r="3480" spans="1:11">
      <c r="A3480" s="183" t="s">
        <v>14379</v>
      </c>
      <c r="C3480" s="206">
        <v>21000</v>
      </c>
      <c r="H3480" s="183" t="s">
        <v>14380</v>
      </c>
    </row>
    <row r="3481" spans="1:11">
      <c r="A3481" s="183" t="s">
        <v>14379</v>
      </c>
      <c r="C3481" s="183">
        <v>29575</v>
      </c>
      <c r="H3481" s="183" t="s">
        <v>14381</v>
      </c>
    </row>
    <row r="3482" spans="1:11">
      <c r="A3482" s="183" t="s">
        <v>11137</v>
      </c>
      <c r="C3482" s="206">
        <v>31280</v>
      </c>
      <c r="D3482" s="206"/>
      <c r="H3482" s="183" t="s">
        <v>14382</v>
      </c>
    </row>
    <row r="3483" spans="1:11">
      <c r="A3483" s="183" t="s">
        <v>14383</v>
      </c>
      <c r="C3483" s="206">
        <v>11000</v>
      </c>
      <c r="D3483" s="206"/>
      <c r="H3483" s="183" t="s">
        <v>14384</v>
      </c>
    </row>
    <row r="3484" spans="1:11">
      <c r="A3484" s="183" t="s">
        <v>11138</v>
      </c>
      <c r="E3484" s="206">
        <v>430</v>
      </c>
      <c r="F3484" s="206">
        <v>2443</v>
      </c>
      <c r="G3484" s="183" t="s">
        <v>12586</v>
      </c>
      <c r="H3484" s="183" t="s">
        <v>13806</v>
      </c>
    </row>
    <row r="3485" spans="1:11">
      <c r="A3485" s="183" t="s">
        <v>14385</v>
      </c>
      <c r="E3485" s="206">
        <v>410</v>
      </c>
      <c r="F3485" s="206">
        <v>2033</v>
      </c>
      <c r="G3485" s="183" t="s">
        <v>12586</v>
      </c>
      <c r="H3485" s="183" t="s">
        <v>14386</v>
      </c>
    </row>
    <row r="3486" spans="1:11">
      <c r="A3486" s="183" t="s">
        <v>11139</v>
      </c>
      <c r="C3486" s="183">
        <v>10725</v>
      </c>
      <c r="H3486" s="183" t="s">
        <v>14387</v>
      </c>
    </row>
    <row r="3487" spans="1:11" ht="165">
      <c r="A3487" s="183" t="s">
        <v>11139</v>
      </c>
      <c r="C3487" s="206">
        <v>7004</v>
      </c>
      <c r="D3487" s="696"/>
      <c r="H3487" s="694" t="s">
        <v>14388</v>
      </c>
      <c r="J3487" s="694"/>
    </row>
    <row r="3488" spans="1:11">
      <c r="A3488" s="183" t="s">
        <v>11139</v>
      </c>
      <c r="D3488" s="183">
        <v>5000</v>
      </c>
      <c r="E3488" s="206"/>
      <c r="F3488" s="206">
        <v>7033</v>
      </c>
      <c r="H3488" s="183" t="s">
        <v>14389</v>
      </c>
    </row>
    <row r="3489" spans="1:11">
      <c r="A3489" s="183" t="s">
        <v>14390</v>
      </c>
      <c r="E3489" s="183">
        <v>28</v>
      </c>
      <c r="F3489" s="206">
        <v>7005</v>
      </c>
      <c r="G3489" s="183" t="s">
        <v>14346</v>
      </c>
      <c r="H3489" s="183" t="s">
        <v>14391</v>
      </c>
    </row>
    <row r="3490" spans="1:11" ht="99">
      <c r="A3490" s="183" t="s">
        <v>14390</v>
      </c>
      <c r="C3490" s="206">
        <v>7510</v>
      </c>
      <c r="D3490" s="696"/>
      <c r="H3490" s="697" t="s">
        <v>14392</v>
      </c>
    </row>
    <row r="3491" spans="1:11">
      <c r="A3491" s="183" t="s">
        <v>14393</v>
      </c>
      <c r="C3491" s="206">
        <v>23342</v>
      </c>
      <c r="D3491" s="206"/>
      <c r="H3491" s="183" t="s">
        <v>14394</v>
      </c>
    </row>
    <row r="3492" spans="1:11">
      <c r="A3492" s="183" t="s">
        <v>14395</v>
      </c>
      <c r="C3492" s="206">
        <v>19000</v>
      </c>
      <c r="D3492" s="696"/>
      <c r="H3492" s="183" t="s">
        <v>14396</v>
      </c>
    </row>
    <row r="3493" spans="1:11">
      <c r="A3493" s="183" t="s">
        <v>14397</v>
      </c>
      <c r="E3493" s="183">
        <v>56</v>
      </c>
      <c r="F3493" s="206">
        <v>6949</v>
      </c>
      <c r="G3493" s="183" t="s">
        <v>14346</v>
      </c>
      <c r="H3493" s="183" t="s">
        <v>14398</v>
      </c>
    </row>
    <row r="3494" spans="1:11" ht="115.5">
      <c r="A3494" s="183" t="s">
        <v>14399</v>
      </c>
      <c r="C3494" s="206">
        <v>18171</v>
      </c>
      <c r="D3494" s="696"/>
      <c r="H3494" s="694" t="s">
        <v>14400</v>
      </c>
      <c r="J3494" s="694"/>
    </row>
    <row r="3495" spans="1:11">
      <c r="A3495" s="183" t="s">
        <v>11141</v>
      </c>
      <c r="E3495" s="183">
        <v>112</v>
      </c>
      <c r="F3495" s="206">
        <v>6837</v>
      </c>
      <c r="G3495" s="183" t="s">
        <v>11133</v>
      </c>
      <c r="H3495" s="183" t="s">
        <v>11142</v>
      </c>
    </row>
    <row r="3496" spans="1:11" ht="49.5">
      <c r="A3496" s="183" t="s">
        <v>10867</v>
      </c>
      <c r="C3496" s="206">
        <v>1468</v>
      </c>
      <c r="F3496" s="206"/>
      <c r="G3496" s="183" t="s">
        <v>12090</v>
      </c>
      <c r="H3496" s="694" t="s">
        <v>14401</v>
      </c>
    </row>
    <row r="3497" spans="1:11">
      <c r="A3497" s="183" t="s">
        <v>14402</v>
      </c>
      <c r="E3497" s="183">
        <v>44</v>
      </c>
      <c r="F3497" s="206">
        <v>6793</v>
      </c>
      <c r="G3497" s="183" t="s">
        <v>11133</v>
      </c>
      <c r="H3497" s="183" t="s">
        <v>14403</v>
      </c>
    </row>
    <row r="3498" spans="1:11">
      <c r="A3498" s="183" t="s">
        <v>14404</v>
      </c>
      <c r="E3498" s="206">
        <v>178</v>
      </c>
      <c r="F3498" s="206">
        <v>6615</v>
      </c>
      <c r="G3498" s="206" t="s">
        <v>14405</v>
      </c>
      <c r="H3498" s="183" t="s">
        <v>14406</v>
      </c>
    </row>
    <row r="3499" spans="1:11">
      <c r="A3499" s="183" t="s">
        <v>14407</v>
      </c>
      <c r="C3499" s="183">
        <v>20010</v>
      </c>
      <c r="H3499" s="183" t="s">
        <v>14408</v>
      </c>
      <c r="K3499" s="183" t="s">
        <v>14375</v>
      </c>
    </row>
    <row r="3500" spans="1:11">
      <c r="A3500" s="183" t="s">
        <v>14409</v>
      </c>
      <c r="E3500" s="183">
        <v>56</v>
      </c>
      <c r="F3500" s="206">
        <v>6559</v>
      </c>
      <c r="G3500" s="183" t="s">
        <v>12103</v>
      </c>
      <c r="H3500" s="183" t="s">
        <v>14410</v>
      </c>
    </row>
    <row r="3501" spans="1:11">
      <c r="A3501" s="183" t="s">
        <v>14411</v>
      </c>
      <c r="E3501" s="183">
        <v>28</v>
      </c>
      <c r="F3501" s="206">
        <v>6531</v>
      </c>
      <c r="G3501" s="183" t="s">
        <v>12103</v>
      </c>
      <c r="H3501" s="183" t="s">
        <v>14412</v>
      </c>
    </row>
    <row r="3502" spans="1:11">
      <c r="A3502" s="183" t="s">
        <v>10817</v>
      </c>
      <c r="C3502" s="206">
        <v>18000</v>
      </c>
      <c r="H3502" s="183" t="s">
        <v>14413</v>
      </c>
    </row>
    <row r="3503" spans="1:11">
      <c r="A3503" s="183" t="s">
        <v>10817</v>
      </c>
      <c r="C3503" s="183">
        <v>29575</v>
      </c>
      <c r="H3503" s="183" t="s">
        <v>14414</v>
      </c>
    </row>
    <row r="3504" spans="1:11">
      <c r="A3504" s="183" t="s">
        <v>10817</v>
      </c>
      <c r="C3504" s="206">
        <v>61280</v>
      </c>
      <c r="D3504" s="206"/>
      <c r="H3504" s="183" t="s">
        <v>14415</v>
      </c>
    </row>
    <row r="3505" spans="1:11">
      <c r="A3505" s="183" t="s">
        <v>14416</v>
      </c>
      <c r="C3505" s="183">
        <v>4988</v>
      </c>
      <c r="H3505" s="183" t="s">
        <v>14417</v>
      </c>
    </row>
    <row r="3506" spans="1:11">
      <c r="A3506" s="183" t="s">
        <v>14418</v>
      </c>
      <c r="E3506" s="183">
        <v>28</v>
      </c>
      <c r="F3506" s="206">
        <v>6503</v>
      </c>
      <c r="G3506" s="183" t="s">
        <v>11099</v>
      </c>
      <c r="H3506" s="183" t="s">
        <v>14419</v>
      </c>
    </row>
    <row r="3507" spans="1:11" ht="132">
      <c r="A3507" s="183" t="s">
        <v>14418</v>
      </c>
      <c r="C3507" s="206">
        <v>160000</v>
      </c>
      <c r="D3507" s="696"/>
      <c r="H3507" s="694" t="s">
        <v>14420</v>
      </c>
      <c r="J3507" s="694"/>
    </row>
    <row r="3508" spans="1:11">
      <c r="A3508" s="183" t="s">
        <v>11145</v>
      </c>
      <c r="E3508" s="206">
        <v>680</v>
      </c>
      <c r="F3508" s="206">
        <v>5823</v>
      </c>
      <c r="G3508" s="183" t="s">
        <v>11094</v>
      </c>
      <c r="H3508" s="183" t="s">
        <v>11147</v>
      </c>
    </row>
    <row r="3509" spans="1:11">
      <c r="A3509" s="183" t="s">
        <v>11145</v>
      </c>
      <c r="E3509" s="206">
        <v>620</v>
      </c>
      <c r="F3509" s="206">
        <v>5203</v>
      </c>
      <c r="G3509" s="183" t="s">
        <v>12586</v>
      </c>
      <c r="H3509" s="183" t="s">
        <v>14421</v>
      </c>
    </row>
    <row r="3510" spans="1:11" ht="49.5">
      <c r="A3510" s="183" t="s">
        <v>14422</v>
      </c>
      <c r="C3510" s="206">
        <v>1468</v>
      </c>
      <c r="F3510" s="206"/>
      <c r="G3510" s="183" t="s">
        <v>12550</v>
      </c>
      <c r="H3510" s="694" t="s">
        <v>14423</v>
      </c>
    </row>
    <row r="3511" spans="1:11">
      <c r="A3511" s="183" t="s">
        <v>10938</v>
      </c>
      <c r="E3511" s="206">
        <v>18</v>
      </c>
      <c r="F3511" s="698">
        <v>5185</v>
      </c>
      <c r="G3511" s="183" t="s">
        <v>14424</v>
      </c>
      <c r="H3511" s="183" t="s">
        <v>14425</v>
      </c>
    </row>
    <row r="3512" spans="1:11">
      <c r="A3512" s="183" t="s">
        <v>10938</v>
      </c>
      <c r="E3512" s="206">
        <v>100</v>
      </c>
      <c r="F3512" s="206">
        <v>5085</v>
      </c>
      <c r="G3512" s="183" t="s">
        <v>11094</v>
      </c>
      <c r="H3512" s="183" t="s">
        <v>13691</v>
      </c>
    </row>
    <row r="3513" spans="1:11" s="704" customFormat="1" ht="3.6" customHeight="1">
      <c r="E3513" s="708"/>
      <c r="F3513" s="708"/>
    </row>
    <row r="3514" spans="1:11">
      <c r="A3514" s="183" t="s">
        <v>14426</v>
      </c>
      <c r="C3514" s="183">
        <v>20010</v>
      </c>
      <c r="H3514" s="183" t="s">
        <v>14427</v>
      </c>
      <c r="K3514" s="183" t="s">
        <v>14275</v>
      </c>
    </row>
    <row r="3515" spans="1:11">
      <c r="A3515" s="183" t="s">
        <v>14428</v>
      </c>
      <c r="C3515" s="206">
        <v>31000</v>
      </c>
      <c r="H3515" s="183" t="s">
        <v>14429</v>
      </c>
    </row>
    <row r="3516" spans="1:11">
      <c r="A3516" s="183" t="s">
        <v>14430</v>
      </c>
      <c r="C3516" s="183">
        <v>29575</v>
      </c>
      <c r="H3516" s="183" t="s">
        <v>14431</v>
      </c>
    </row>
    <row r="3517" spans="1:11">
      <c r="A3517" s="183" t="s">
        <v>14432</v>
      </c>
      <c r="C3517" s="183">
        <v>15830</v>
      </c>
      <c r="H3517" s="183" t="s">
        <v>14433</v>
      </c>
    </row>
    <row r="3518" spans="1:11">
      <c r="A3518" s="183" t="s">
        <v>14434</v>
      </c>
      <c r="C3518" s="206">
        <v>41280</v>
      </c>
      <c r="D3518" s="206"/>
      <c r="E3518" s="696"/>
      <c r="H3518" s="206" t="s">
        <v>14435</v>
      </c>
    </row>
    <row r="3519" spans="1:11">
      <c r="A3519" s="183" t="s">
        <v>14436</v>
      </c>
      <c r="C3519" s="206">
        <v>20000</v>
      </c>
      <c r="D3519" s="206"/>
      <c r="E3519" s="696"/>
      <c r="H3519" s="206" t="s">
        <v>14437</v>
      </c>
    </row>
    <row r="3520" spans="1:11">
      <c r="A3520" s="183" t="s">
        <v>14436</v>
      </c>
      <c r="C3520" s="183">
        <v>16930</v>
      </c>
      <c r="H3520" s="183" t="s">
        <v>14438</v>
      </c>
    </row>
    <row r="3521" spans="1:11">
      <c r="A3521" s="183" t="s">
        <v>14439</v>
      </c>
      <c r="C3521" s="183">
        <v>43064</v>
      </c>
      <c r="H3521" s="183" t="s">
        <v>14440</v>
      </c>
    </row>
    <row r="3522" spans="1:11" ht="33">
      <c r="A3522" s="183" t="s">
        <v>14441</v>
      </c>
      <c r="C3522" s="183">
        <v>8888</v>
      </c>
      <c r="H3522" s="694" t="s">
        <v>14442</v>
      </c>
    </row>
    <row r="3523" spans="1:11" ht="113.45" customHeight="1">
      <c r="A3523" s="183" t="s">
        <v>14443</v>
      </c>
      <c r="C3523" s="206">
        <v>62100</v>
      </c>
      <c r="D3523" s="696"/>
      <c r="H3523" s="694" t="s">
        <v>14444</v>
      </c>
      <c r="J3523" s="694"/>
    </row>
    <row r="3524" spans="1:11" ht="49.5">
      <c r="A3524" s="183" t="s">
        <v>14445</v>
      </c>
      <c r="C3524" s="206">
        <v>1468</v>
      </c>
      <c r="F3524" s="206"/>
      <c r="G3524" s="183" t="s">
        <v>11101</v>
      </c>
      <c r="H3524" s="694" t="s">
        <v>14446</v>
      </c>
    </row>
    <row r="3525" spans="1:11">
      <c r="A3525" s="183" t="s">
        <v>14447</v>
      </c>
      <c r="E3525" s="206">
        <v>199</v>
      </c>
      <c r="F3525" s="206">
        <v>4886</v>
      </c>
      <c r="G3525" s="206" t="s">
        <v>14405</v>
      </c>
      <c r="H3525" s="183" t="s">
        <v>14448</v>
      </c>
    </row>
    <row r="3526" spans="1:11">
      <c r="A3526" s="183" t="s">
        <v>14449</v>
      </c>
      <c r="C3526" s="183">
        <v>20010</v>
      </c>
      <c r="H3526" s="183" t="s">
        <v>14450</v>
      </c>
      <c r="K3526" s="183" t="s">
        <v>14160</v>
      </c>
    </row>
    <row r="3527" spans="1:11">
      <c r="A3527" s="183" t="s">
        <v>14451</v>
      </c>
      <c r="E3527" s="183">
        <v>384</v>
      </c>
      <c r="F3527" s="206">
        <v>4502</v>
      </c>
      <c r="G3527" s="183" t="s">
        <v>11099</v>
      </c>
      <c r="H3527" s="183" t="s">
        <v>14452</v>
      </c>
    </row>
    <row r="3528" spans="1:11" ht="33">
      <c r="A3528" s="183" t="s">
        <v>14453</v>
      </c>
      <c r="C3528" s="183">
        <v>26000</v>
      </c>
      <c r="H3528" s="694" t="s">
        <v>14454</v>
      </c>
    </row>
    <row r="3529" spans="1:11" ht="33">
      <c r="A3529" s="183" t="s">
        <v>14453</v>
      </c>
      <c r="E3529" s="712">
        <v>3575</v>
      </c>
      <c r="F3529" s="696">
        <v>927</v>
      </c>
      <c r="H3529" s="706" t="s">
        <v>14455</v>
      </c>
    </row>
    <row r="3530" spans="1:11">
      <c r="A3530" s="183" t="s">
        <v>14456</v>
      </c>
      <c r="E3530" s="183">
        <v>88</v>
      </c>
      <c r="F3530" s="206">
        <v>839</v>
      </c>
      <c r="G3530" s="183" t="s">
        <v>11099</v>
      </c>
      <c r="H3530" s="183" t="s">
        <v>14457</v>
      </c>
    </row>
    <row r="3531" spans="1:11">
      <c r="A3531" s="183" t="s">
        <v>14458</v>
      </c>
      <c r="E3531" s="206">
        <v>175</v>
      </c>
      <c r="F3531" s="206">
        <v>664</v>
      </c>
      <c r="G3531" s="183" t="s">
        <v>11094</v>
      </c>
      <c r="H3531" s="183" t="s">
        <v>13926</v>
      </c>
    </row>
    <row r="3532" spans="1:11">
      <c r="A3532" s="183" t="s">
        <v>14459</v>
      </c>
      <c r="E3532" s="206">
        <v>135</v>
      </c>
      <c r="F3532" s="206">
        <v>529</v>
      </c>
      <c r="G3532" s="183" t="s">
        <v>12083</v>
      </c>
      <c r="H3532" s="183" t="s">
        <v>14460</v>
      </c>
    </row>
    <row r="3533" spans="1:11">
      <c r="A3533" s="183" t="s">
        <v>14461</v>
      </c>
      <c r="C3533" s="206">
        <v>31280</v>
      </c>
      <c r="D3533" s="696"/>
      <c r="E3533" s="696"/>
      <c r="H3533" s="206" t="s">
        <v>14462</v>
      </c>
    </row>
    <row r="3534" spans="1:11" ht="49.5">
      <c r="A3534" s="183" t="s">
        <v>14463</v>
      </c>
      <c r="C3534" s="206">
        <v>1468</v>
      </c>
      <c r="F3534" s="206"/>
      <c r="G3534" s="183" t="s">
        <v>11101</v>
      </c>
      <c r="H3534" s="694" t="s">
        <v>14464</v>
      </c>
    </row>
    <row r="3535" spans="1:11">
      <c r="A3535" s="183" t="s">
        <v>10868</v>
      </c>
      <c r="E3535" s="206">
        <v>18</v>
      </c>
      <c r="F3535" s="713">
        <v>511</v>
      </c>
      <c r="G3535" s="183" t="s">
        <v>12621</v>
      </c>
      <c r="H3535" s="183" t="s">
        <v>14465</v>
      </c>
    </row>
    <row r="3536" spans="1:11">
      <c r="A3536" s="183" t="s">
        <v>10868</v>
      </c>
      <c r="E3536" s="183">
        <v>40</v>
      </c>
      <c r="F3536" s="206">
        <v>471</v>
      </c>
      <c r="G3536" s="183" t="s">
        <v>12586</v>
      </c>
      <c r="H3536" s="183" t="s">
        <v>14466</v>
      </c>
    </row>
    <row r="3537" spans="1:11">
      <c r="A3537" s="183" t="s">
        <v>14467</v>
      </c>
      <c r="C3537" s="183">
        <v>20010</v>
      </c>
      <c r="H3537" s="183" t="s">
        <v>14468</v>
      </c>
      <c r="K3537" s="183" t="s">
        <v>14275</v>
      </c>
    </row>
    <row r="3538" spans="1:11">
      <c r="A3538" s="183" t="s">
        <v>14469</v>
      </c>
      <c r="E3538" s="206">
        <v>324</v>
      </c>
      <c r="F3538" s="183">
        <v>147</v>
      </c>
      <c r="H3538" s="183" t="s">
        <v>14470</v>
      </c>
      <c r="K3538" s="183" t="s">
        <v>14275</v>
      </c>
    </row>
    <row r="3539" spans="1:11">
      <c r="A3539" s="183" t="s">
        <v>14471</v>
      </c>
      <c r="C3539" s="206">
        <v>30000</v>
      </c>
      <c r="D3539" s="696"/>
      <c r="E3539" s="696"/>
      <c r="H3539" s="206" t="s">
        <v>14472</v>
      </c>
    </row>
    <row r="3540" spans="1:11">
      <c r="A3540" s="183" t="s">
        <v>14473</v>
      </c>
      <c r="C3540" s="183">
        <v>760</v>
      </c>
      <c r="H3540" s="183" t="s">
        <v>14474</v>
      </c>
    </row>
    <row r="3541" spans="1:11">
      <c r="A3541" s="183" t="s">
        <v>14473</v>
      </c>
      <c r="C3541" s="183">
        <v>18010</v>
      </c>
      <c r="H3541" s="183" t="s">
        <v>14475</v>
      </c>
    </row>
    <row r="3542" spans="1:11">
      <c r="A3542" s="183" t="s">
        <v>14476</v>
      </c>
      <c r="D3542" s="183">
        <v>5000</v>
      </c>
      <c r="E3542" s="206"/>
      <c r="F3542" s="206">
        <v>5147</v>
      </c>
      <c r="H3542" s="183" t="s">
        <v>11514</v>
      </c>
    </row>
    <row r="3543" spans="1:11">
      <c r="A3543" s="183" t="s">
        <v>14471</v>
      </c>
      <c r="E3543" s="183">
        <v>72</v>
      </c>
      <c r="F3543" s="206">
        <v>5075</v>
      </c>
      <c r="G3543" s="183" t="s">
        <v>11099</v>
      </c>
      <c r="H3543" s="183" t="s">
        <v>14477</v>
      </c>
    </row>
    <row r="3544" spans="1:11">
      <c r="A3544" s="183" t="s">
        <v>14478</v>
      </c>
      <c r="C3544" s="206">
        <v>18000</v>
      </c>
      <c r="H3544" s="183" t="s">
        <v>14479</v>
      </c>
    </row>
    <row r="3545" spans="1:11">
      <c r="A3545" s="183" t="s">
        <v>14480</v>
      </c>
      <c r="C3545" s="183">
        <v>29575</v>
      </c>
      <c r="H3545" s="183" t="s">
        <v>14481</v>
      </c>
    </row>
    <row r="3546" spans="1:11">
      <c r="A3546" s="183" t="s">
        <v>14480</v>
      </c>
      <c r="C3546" s="713">
        <v>18000</v>
      </c>
      <c r="D3546" s="206"/>
      <c r="H3546" s="183" t="s">
        <v>14482</v>
      </c>
    </row>
    <row r="3547" spans="1:11">
      <c r="A3547" s="183" t="s">
        <v>14483</v>
      </c>
      <c r="C3547" s="713">
        <v>33280</v>
      </c>
      <c r="H3547" s="183" t="s">
        <v>14484</v>
      </c>
    </row>
    <row r="3548" spans="1:11">
      <c r="A3548" s="183" t="s">
        <v>14485</v>
      </c>
      <c r="E3548" s="206">
        <v>120</v>
      </c>
      <c r="F3548" s="206">
        <v>4955</v>
      </c>
      <c r="G3548" s="183" t="s">
        <v>14486</v>
      </c>
      <c r="H3548" s="183" t="s">
        <v>14487</v>
      </c>
    </row>
    <row r="3549" spans="1:11">
      <c r="A3549" s="183" t="s">
        <v>14488</v>
      </c>
      <c r="E3549" s="206">
        <v>275</v>
      </c>
      <c r="F3549" s="206">
        <v>4680</v>
      </c>
      <c r="G3549" s="183" t="s">
        <v>12083</v>
      </c>
      <c r="H3549" s="183" t="s">
        <v>14489</v>
      </c>
    </row>
    <row r="3550" spans="1:11">
      <c r="A3550" s="183" t="s">
        <v>14490</v>
      </c>
      <c r="E3550" s="696">
        <v>290</v>
      </c>
      <c r="F3550" s="206">
        <v>4390</v>
      </c>
      <c r="G3550" s="183" t="s">
        <v>11094</v>
      </c>
      <c r="H3550" s="183" t="s">
        <v>13986</v>
      </c>
    </row>
    <row r="3551" spans="1:11">
      <c r="A3551" s="183" t="s">
        <v>14491</v>
      </c>
      <c r="E3551" s="183">
        <v>74</v>
      </c>
      <c r="F3551" s="206">
        <v>4316</v>
      </c>
      <c r="G3551" s="183" t="s">
        <v>11099</v>
      </c>
      <c r="H3551" s="183" t="s">
        <v>14492</v>
      </c>
    </row>
    <row r="3552" spans="1:11">
      <c r="A3552" s="183" t="s">
        <v>14493</v>
      </c>
      <c r="E3552" s="206">
        <v>120</v>
      </c>
      <c r="F3552" s="206">
        <v>4196</v>
      </c>
      <c r="G3552" s="183" t="s">
        <v>14424</v>
      </c>
      <c r="H3552" s="183" t="s">
        <v>14344</v>
      </c>
    </row>
    <row r="3553" spans="1:11">
      <c r="A3553" s="183" t="s">
        <v>14494</v>
      </c>
      <c r="C3553" s="183">
        <v>19416</v>
      </c>
      <c r="H3553" s="183" t="s">
        <v>14495</v>
      </c>
    </row>
    <row r="3554" spans="1:11" ht="49.5">
      <c r="A3554" s="183" t="s">
        <v>14496</v>
      </c>
      <c r="C3554" s="206">
        <v>1468</v>
      </c>
      <c r="F3554" s="206"/>
      <c r="G3554" s="183" t="s">
        <v>12090</v>
      </c>
      <c r="H3554" s="694" t="s">
        <v>14497</v>
      </c>
    </row>
    <row r="3555" spans="1:11">
      <c r="A3555" s="183" t="s">
        <v>14498</v>
      </c>
      <c r="C3555" s="713">
        <v>10000</v>
      </c>
      <c r="H3555" s="183" t="s">
        <v>14499</v>
      </c>
    </row>
    <row r="3556" spans="1:11">
      <c r="A3556" s="183" t="s">
        <v>14500</v>
      </c>
      <c r="C3556" s="183">
        <v>20010</v>
      </c>
      <c r="H3556" s="183" t="s">
        <v>14501</v>
      </c>
      <c r="K3556" s="183" t="s">
        <v>14275</v>
      </c>
    </row>
    <row r="3557" spans="1:11">
      <c r="A3557" s="183" t="s">
        <v>14502</v>
      </c>
      <c r="C3557" s="206">
        <v>12000</v>
      </c>
      <c r="H3557" s="183" t="s">
        <v>14503</v>
      </c>
    </row>
    <row r="3558" spans="1:11">
      <c r="A3558" s="183" t="s">
        <v>14504</v>
      </c>
      <c r="C3558" s="183">
        <v>29575</v>
      </c>
      <c r="H3558" s="183" t="s">
        <v>14505</v>
      </c>
    </row>
    <row r="3559" spans="1:11">
      <c r="A3559" s="183" t="s">
        <v>14506</v>
      </c>
      <c r="C3559" s="713">
        <v>31280</v>
      </c>
      <c r="D3559" s="714">
        <v>30000</v>
      </c>
      <c r="H3559" s="183" t="s">
        <v>14507</v>
      </c>
    </row>
    <row r="3560" spans="1:11">
      <c r="A3560" s="183" t="s">
        <v>14508</v>
      </c>
      <c r="E3560" s="206">
        <v>199</v>
      </c>
      <c r="F3560" s="206">
        <v>3997</v>
      </c>
      <c r="G3560" s="206" t="s">
        <v>12096</v>
      </c>
      <c r="H3560" s="183" t="s">
        <v>14509</v>
      </c>
    </row>
    <row r="3561" spans="1:11">
      <c r="A3561" s="183" t="s">
        <v>14508</v>
      </c>
      <c r="E3561" s="183">
        <v>60</v>
      </c>
      <c r="F3561" s="206">
        <v>3937</v>
      </c>
      <c r="G3561" s="183" t="s">
        <v>11099</v>
      </c>
      <c r="H3561" s="183" t="s">
        <v>14510</v>
      </c>
    </row>
    <row r="3562" spans="1:11">
      <c r="A3562" s="183" t="s">
        <v>14511</v>
      </c>
      <c r="C3562" s="713">
        <v>30000</v>
      </c>
      <c r="D3562" s="715"/>
      <c r="H3562" s="183" t="s">
        <v>14512</v>
      </c>
    </row>
    <row r="3563" spans="1:11">
      <c r="A3563" s="183" t="s">
        <v>14513</v>
      </c>
      <c r="E3563" s="206">
        <v>18</v>
      </c>
      <c r="F3563" s="206">
        <v>3919</v>
      </c>
      <c r="G3563" s="183" t="s">
        <v>11113</v>
      </c>
      <c r="H3563" s="183" t="s">
        <v>14514</v>
      </c>
    </row>
    <row r="3564" spans="1:11">
      <c r="A3564" s="183" t="s">
        <v>14515</v>
      </c>
      <c r="E3564" s="183">
        <v>40</v>
      </c>
      <c r="F3564" s="206">
        <v>3879</v>
      </c>
      <c r="G3564" s="183" t="s">
        <v>11094</v>
      </c>
      <c r="H3564" s="183" t="s">
        <v>14516</v>
      </c>
    </row>
    <row r="3565" spans="1:11">
      <c r="A3565" s="183" t="s">
        <v>14517</v>
      </c>
      <c r="C3565" s="183">
        <v>557</v>
      </c>
      <c r="H3565" s="183" t="s">
        <v>14518</v>
      </c>
    </row>
    <row r="3566" spans="1:11" ht="49.5">
      <c r="A3566" s="183" t="s">
        <v>14519</v>
      </c>
      <c r="C3566" s="206">
        <v>1468</v>
      </c>
      <c r="F3566" s="206"/>
      <c r="G3566" s="183" t="s">
        <v>11101</v>
      </c>
      <c r="H3566" s="694" t="s">
        <v>14520</v>
      </c>
    </row>
    <row r="3567" spans="1:11">
      <c r="A3567" s="183" t="s">
        <v>14521</v>
      </c>
      <c r="B3567" s="696">
        <v>100000</v>
      </c>
    </row>
    <row r="3568" spans="1:11">
      <c r="A3568" s="183" t="s">
        <v>14522</v>
      </c>
      <c r="C3568" s="696">
        <v>20010</v>
      </c>
      <c r="H3568" s="183" t="s">
        <v>14523</v>
      </c>
      <c r="K3568" s="183" t="s">
        <v>14275</v>
      </c>
    </row>
    <row r="3569" spans="1:11">
      <c r="A3569" s="183" t="s">
        <v>14524</v>
      </c>
      <c r="C3569" s="696">
        <v>29575</v>
      </c>
      <c r="H3569" s="183" t="s">
        <v>14525</v>
      </c>
    </row>
    <row r="3570" spans="1:11">
      <c r="A3570" s="183" t="s">
        <v>14524</v>
      </c>
      <c r="C3570" s="696">
        <v>26000</v>
      </c>
      <c r="H3570" s="183" t="s">
        <v>14526</v>
      </c>
    </row>
    <row r="3571" spans="1:11">
      <c r="A3571" s="183" t="s">
        <v>14524</v>
      </c>
      <c r="C3571" s="712">
        <v>24415</v>
      </c>
      <c r="D3571" s="715">
        <v>36865</v>
      </c>
      <c r="E3571" s="696"/>
      <c r="H3571" s="183" t="s">
        <v>14527</v>
      </c>
    </row>
    <row r="3572" spans="1:11">
      <c r="A3572" s="183" t="s">
        <v>14528</v>
      </c>
      <c r="E3572" s="183">
        <v>70</v>
      </c>
      <c r="F3572" s="206">
        <v>3809</v>
      </c>
      <c r="G3572" s="183" t="s">
        <v>11094</v>
      </c>
      <c r="H3572" s="183" t="s">
        <v>14529</v>
      </c>
    </row>
    <row r="3573" spans="1:11" ht="66">
      <c r="A3573" s="183" t="s">
        <v>14530</v>
      </c>
      <c r="E3573" s="206">
        <v>551</v>
      </c>
      <c r="F3573" s="206">
        <v>3258</v>
      </c>
      <c r="G3573" s="183" t="s">
        <v>14346</v>
      </c>
      <c r="H3573" s="694" t="s">
        <v>14531</v>
      </c>
    </row>
    <row r="3574" spans="1:11">
      <c r="A3574" s="183" t="s">
        <v>14532</v>
      </c>
      <c r="C3574" s="183">
        <v>11206</v>
      </c>
      <c r="H3574" s="183" t="s">
        <v>14533</v>
      </c>
    </row>
    <row r="3575" spans="1:11">
      <c r="A3575" s="183" t="s">
        <v>14532</v>
      </c>
      <c r="E3575" s="206">
        <v>69</v>
      </c>
      <c r="F3575" s="206">
        <v>3189</v>
      </c>
      <c r="G3575" s="183" t="s">
        <v>14486</v>
      </c>
      <c r="H3575" s="183" t="s">
        <v>14534</v>
      </c>
    </row>
    <row r="3576" spans="1:11">
      <c r="A3576" s="183" t="s">
        <v>14535</v>
      </c>
      <c r="E3576" s="183">
        <v>196</v>
      </c>
      <c r="F3576" s="206">
        <v>2993</v>
      </c>
      <c r="G3576" s="183" t="s">
        <v>14346</v>
      </c>
      <c r="H3576" s="183" t="s">
        <v>14536</v>
      </c>
    </row>
    <row r="3577" spans="1:11" ht="49.5">
      <c r="A3577" s="183" t="s">
        <v>14537</v>
      </c>
      <c r="C3577" s="206">
        <v>1468</v>
      </c>
      <c r="F3577" s="206"/>
      <c r="G3577" s="183" t="s">
        <v>12090</v>
      </c>
      <c r="H3577" s="694" t="s">
        <v>14538</v>
      </c>
    </row>
    <row r="3578" spans="1:11">
      <c r="A3578" s="183" t="s">
        <v>14539</v>
      </c>
      <c r="C3578" s="183">
        <v>3366</v>
      </c>
      <c r="H3578" s="183" t="s">
        <v>14540</v>
      </c>
    </row>
    <row r="3579" spans="1:11">
      <c r="A3579" s="183" t="s">
        <v>14541</v>
      </c>
      <c r="C3579" s="183">
        <v>40030</v>
      </c>
      <c r="H3579" s="183" t="s">
        <v>14542</v>
      </c>
    </row>
    <row r="3580" spans="1:11">
      <c r="A3580" s="183" t="s">
        <v>14543</v>
      </c>
      <c r="E3580" s="183">
        <v>588</v>
      </c>
      <c r="F3580" s="206">
        <v>2405</v>
      </c>
      <c r="G3580" s="183" t="s">
        <v>11099</v>
      </c>
      <c r="H3580" s="183" t="s">
        <v>14544</v>
      </c>
    </row>
    <row r="3581" spans="1:11">
      <c r="E3581" s="206"/>
      <c r="F3581" s="206"/>
      <c r="H3581" s="696" t="s">
        <v>14283</v>
      </c>
    </row>
    <row r="3582" spans="1:11">
      <c r="A3582" s="183" t="s">
        <v>14545</v>
      </c>
      <c r="C3582" s="206">
        <v>20010</v>
      </c>
      <c r="H3582" s="183" t="s">
        <v>14546</v>
      </c>
      <c r="K3582" s="183" t="s">
        <v>14275</v>
      </c>
    </row>
    <row r="3583" spans="1:11">
      <c r="A3583" s="183" t="s">
        <v>14547</v>
      </c>
      <c r="E3583" s="206">
        <v>185</v>
      </c>
      <c r="F3583" s="206">
        <v>2220</v>
      </c>
      <c r="G3583" s="206" t="s">
        <v>13053</v>
      </c>
      <c r="H3583" s="183" t="s">
        <v>14548</v>
      </c>
    </row>
    <row r="3584" spans="1:11">
      <c r="A3584" s="183" t="s">
        <v>14549</v>
      </c>
      <c r="E3584" s="183">
        <v>44</v>
      </c>
      <c r="F3584" s="206">
        <v>2176</v>
      </c>
      <c r="G3584" s="183" t="s">
        <v>11093</v>
      </c>
      <c r="H3584" s="183" t="s">
        <v>14550</v>
      </c>
    </row>
    <row r="3585" spans="1:8">
      <c r="E3585" s="206"/>
      <c r="F3585" s="206"/>
      <c r="H3585" s="696" t="s">
        <v>14551</v>
      </c>
    </row>
    <row r="3586" spans="1:8">
      <c r="A3586" s="183" t="s">
        <v>14552</v>
      </c>
      <c r="E3586" s="183">
        <v>120</v>
      </c>
      <c r="F3586" s="206">
        <v>2056</v>
      </c>
      <c r="G3586" s="183" t="s">
        <v>14363</v>
      </c>
      <c r="H3586" s="183" t="s">
        <v>14553</v>
      </c>
    </row>
    <row r="3587" spans="1:8">
      <c r="A3587" s="183" t="s">
        <v>14552</v>
      </c>
      <c r="E3587" s="183">
        <v>110</v>
      </c>
      <c r="F3587" s="206">
        <v>1946</v>
      </c>
      <c r="G3587" s="183" t="s">
        <v>14363</v>
      </c>
      <c r="H3587" s="183" t="s">
        <v>14529</v>
      </c>
    </row>
    <row r="3588" spans="1:8">
      <c r="A3588" s="183" t="s">
        <v>14554</v>
      </c>
      <c r="E3588" s="183">
        <v>215</v>
      </c>
      <c r="F3588" s="206">
        <v>1731</v>
      </c>
      <c r="G3588" s="183" t="s">
        <v>11094</v>
      </c>
      <c r="H3588" s="183" t="s">
        <v>14555</v>
      </c>
    </row>
    <row r="3589" spans="1:8">
      <c r="A3589" s="183" t="s">
        <v>14554</v>
      </c>
      <c r="E3589" s="183">
        <v>220</v>
      </c>
      <c r="F3589" s="206">
        <v>1511</v>
      </c>
      <c r="G3589" s="183" t="s">
        <v>12586</v>
      </c>
      <c r="H3589" s="183" t="s">
        <v>14556</v>
      </c>
    </row>
    <row r="3590" spans="1:8">
      <c r="A3590" s="183" t="s">
        <v>14557</v>
      </c>
      <c r="C3590" s="206">
        <v>36000</v>
      </c>
      <c r="H3590" s="183" t="s">
        <v>14558</v>
      </c>
    </row>
    <row r="3591" spans="1:8">
      <c r="A3591" s="183" t="s">
        <v>14559</v>
      </c>
      <c r="C3591" s="183">
        <v>29575</v>
      </c>
      <c r="H3591" s="183" t="s">
        <v>14560</v>
      </c>
    </row>
    <row r="3592" spans="1:8">
      <c r="A3592" s="183" t="s">
        <v>14559</v>
      </c>
      <c r="C3592" s="713">
        <v>36865</v>
      </c>
      <c r="D3592" s="715"/>
      <c r="E3592" s="696"/>
      <c r="H3592" s="183" t="s">
        <v>14561</v>
      </c>
    </row>
    <row r="3593" spans="1:8">
      <c r="C3593" s="712">
        <v>61280</v>
      </c>
      <c r="D3593" s="715"/>
      <c r="E3593" s="696"/>
      <c r="H3593" s="696" t="s">
        <v>14562</v>
      </c>
    </row>
    <row r="3594" spans="1:8">
      <c r="A3594" s="183" t="s">
        <v>14559</v>
      </c>
      <c r="C3594" s="183">
        <v>400</v>
      </c>
      <c r="H3594" s="183" t="s">
        <v>14563</v>
      </c>
    </row>
    <row r="3595" spans="1:8">
      <c r="A3595" s="183" t="s">
        <v>14559</v>
      </c>
      <c r="C3595" s="183">
        <v>16957</v>
      </c>
      <c r="H3595" s="183" t="s">
        <v>14564</v>
      </c>
    </row>
    <row r="3596" spans="1:8">
      <c r="A3596" s="183" t="s">
        <v>14565</v>
      </c>
      <c r="C3596" s="183">
        <v>101010</v>
      </c>
      <c r="H3596" s="183" t="s">
        <v>14566</v>
      </c>
    </row>
    <row r="3597" spans="1:8">
      <c r="A3597" s="183" t="s">
        <v>14567</v>
      </c>
      <c r="E3597" s="183">
        <v>160</v>
      </c>
      <c r="F3597" s="206">
        <v>1351</v>
      </c>
      <c r="G3597" s="183" t="s">
        <v>14346</v>
      </c>
      <c r="H3597" s="183" t="s">
        <v>14568</v>
      </c>
    </row>
    <row r="3598" spans="1:8">
      <c r="A3598" s="183" t="s">
        <v>14569</v>
      </c>
      <c r="C3598" s="713"/>
      <c r="D3598" s="714"/>
      <c r="E3598" s="183">
        <v>610</v>
      </c>
      <c r="F3598" s="183">
        <v>741</v>
      </c>
      <c r="H3598" s="183" t="s">
        <v>14570</v>
      </c>
    </row>
    <row r="3599" spans="1:8">
      <c r="E3599" s="206"/>
      <c r="F3599" s="206"/>
      <c r="H3599" s="696" t="s">
        <v>14283</v>
      </c>
    </row>
    <row r="3601" spans="3:8">
      <c r="E3601" s="206"/>
      <c r="F3601" s="206"/>
    </row>
    <row r="3602" spans="3:8">
      <c r="C3602" s="206"/>
      <c r="D3602" s="696"/>
      <c r="H3602" s="694"/>
    </row>
    <row r="3603" spans="3:8">
      <c r="E3603" s="206"/>
      <c r="F3603" s="696"/>
      <c r="H3603" s="696"/>
    </row>
    <row r="3605" spans="3:8">
      <c r="E3605" s="694"/>
      <c r="H3605" s="706" t="s">
        <v>14571</v>
      </c>
    </row>
    <row r="3607" spans="3:8">
      <c r="H3607" s="694"/>
    </row>
  </sheetData>
  <phoneticPr fontId="3" type="noConversion"/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6"/>
  <sheetViews>
    <sheetView workbookViewId="0">
      <selection activeCell="B33" sqref="B33"/>
    </sheetView>
  </sheetViews>
  <sheetFormatPr defaultColWidth="8.875" defaultRowHeight="16.5"/>
  <cols>
    <col min="1" max="1" width="12.25" style="183" customWidth="1"/>
    <col min="2" max="5" width="8.875" style="183"/>
    <col min="6" max="6" width="9.5" style="183" bestFit="1" customWidth="1"/>
    <col min="7" max="7" width="8.875" style="183"/>
    <col min="8" max="8" width="47.25" style="183" customWidth="1"/>
    <col min="9" max="9" width="8.875" style="183"/>
    <col min="10" max="10" width="16.5" style="183" bestFit="1" customWidth="1"/>
    <col min="11" max="16384" width="8.875" style="183"/>
  </cols>
  <sheetData>
    <row r="1" spans="1:4" s="480" customFormat="1" ht="12.75" customHeight="1">
      <c r="A1" s="480" t="s">
        <v>241</v>
      </c>
      <c r="B1" s="480" t="s">
        <v>1455</v>
      </c>
      <c r="C1" s="480" t="s">
        <v>2384</v>
      </c>
      <c r="D1" s="480" t="s">
        <v>2437</v>
      </c>
    </row>
    <row r="2" spans="1:4" ht="16.149999999999999" customHeight="1">
      <c r="A2" s="717" t="s">
        <v>8874</v>
      </c>
      <c r="B2" s="717">
        <v>70</v>
      </c>
      <c r="C2" s="717" t="s">
        <v>12185</v>
      </c>
      <c r="D2" s="717" t="s">
        <v>14578</v>
      </c>
    </row>
    <row r="3" spans="1:4" ht="16.149999999999999" customHeight="1">
      <c r="A3" s="717" t="s">
        <v>8874</v>
      </c>
      <c r="B3" s="717">
        <v>70</v>
      </c>
      <c r="C3" s="717" t="s">
        <v>12185</v>
      </c>
      <c r="D3" s="717" t="s">
        <v>14578</v>
      </c>
    </row>
    <row r="4" spans="1:4" ht="16.149999999999999" customHeight="1">
      <c r="A4" s="717" t="s">
        <v>8874</v>
      </c>
      <c r="B4" s="717">
        <v>195</v>
      </c>
      <c r="C4" s="717" t="s">
        <v>12185</v>
      </c>
      <c r="D4" s="717" t="s">
        <v>14583</v>
      </c>
    </row>
    <row r="5" spans="1:4" ht="16.149999999999999" customHeight="1">
      <c r="A5" s="717" t="s">
        <v>8874</v>
      </c>
      <c r="B5" s="717">
        <v>190</v>
      </c>
      <c r="C5" s="717" t="s">
        <v>12185</v>
      </c>
      <c r="D5" s="717" t="s">
        <v>14583</v>
      </c>
    </row>
    <row r="6" spans="1:4" ht="16.149999999999999" customHeight="1">
      <c r="A6" s="717" t="s">
        <v>8888</v>
      </c>
      <c r="B6" s="717">
        <v>365</v>
      </c>
      <c r="C6" s="717" t="s">
        <v>12185</v>
      </c>
      <c r="D6" s="717" t="s">
        <v>14586</v>
      </c>
    </row>
    <row r="7" spans="1:4" ht="16.149999999999999" customHeight="1">
      <c r="A7" s="717" t="s">
        <v>8888</v>
      </c>
      <c r="B7" s="717">
        <v>110</v>
      </c>
      <c r="C7" s="717" t="s">
        <v>12185</v>
      </c>
      <c r="D7" s="717" t="s">
        <v>14586</v>
      </c>
    </row>
    <row r="8" spans="1:4" ht="16.149999999999999" customHeight="1">
      <c r="A8" s="717" t="s">
        <v>14604</v>
      </c>
      <c r="B8" s="717">
        <v>32</v>
      </c>
      <c r="C8" s="717" t="s">
        <v>12185</v>
      </c>
      <c r="D8" s="717" t="s">
        <v>14582</v>
      </c>
    </row>
    <row r="9" spans="1:4" ht="16.149999999999999" customHeight="1">
      <c r="A9" s="717" t="s">
        <v>8930</v>
      </c>
      <c r="B9" s="717">
        <v>130</v>
      </c>
      <c r="C9" s="717" t="s">
        <v>12185</v>
      </c>
      <c r="D9" s="717" t="s">
        <v>14577</v>
      </c>
    </row>
    <row r="10" spans="1:4" ht="16.149999999999999" customHeight="1">
      <c r="A10" s="717" t="s">
        <v>8930</v>
      </c>
      <c r="B10" s="717">
        <v>115</v>
      </c>
      <c r="C10" s="717" t="s">
        <v>14363</v>
      </c>
      <c r="D10" s="717" t="s">
        <v>14577</v>
      </c>
    </row>
    <row r="11" spans="1:4" ht="16.149999999999999" customHeight="1">
      <c r="A11" s="717" t="s">
        <v>14608</v>
      </c>
      <c r="B11" s="717">
        <v>120</v>
      </c>
      <c r="C11" s="717" t="s">
        <v>12185</v>
      </c>
      <c r="D11" s="717" t="s">
        <v>14577</v>
      </c>
    </row>
    <row r="12" spans="1:4" ht="16.149999999999999" customHeight="1">
      <c r="A12" s="717" t="s">
        <v>14608</v>
      </c>
      <c r="B12" s="717">
        <v>16</v>
      </c>
      <c r="C12" s="717" t="s">
        <v>12185</v>
      </c>
      <c r="D12" s="717" t="s">
        <v>14577</v>
      </c>
    </row>
    <row r="13" spans="1:4" ht="16.149999999999999" customHeight="1">
      <c r="A13" s="717" t="s">
        <v>8958</v>
      </c>
      <c r="B13" s="717">
        <v>100</v>
      </c>
      <c r="C13" s="717" t="s">
        <v>12185</v>
      </c>
      <c r="D13" s="717" t="s">
        <v>14576</v>
      </c>
    </row>
    <row r="14" spans="1:4" ht="16.149999999999999" customHeight="1">
      <c r="A14" s="717" t="s">
        <v>14629</v>
      </c>
      <c r="B14" s="717">
        <v>110</v>
      </c>
      <c r="C14" s="717" t="s">
        <v>12185</v>
      </c>
      <c r="D14" s="717" t="s">
        <v>14260</v>
      </c>
    </row>
    <row r="15" spans="1:4" ht="16.149999999999999" customHeight="1">
      <c r="A15" s="717" t="s">
        <v>14630</v>
      </c>
      <c r="B15" s="717">
        <v>140</v>
      </c>
      <c r="C15" s="717" t="s">
        <v>11094</v>
      </c>
      <c r="D15" s="717" t="s">
        <v>14579</v>
      </c>
    </row>
    <row r="16" spans="1:4" ht="16.149999999999999" customHeight="1">
      <c r="A16" s="717" t="s">
        <v>14634</v>
      </c>
      <c r="B16" s="717">
        <v>500</v>
      </c>
      <c r="C16" s="717" t="s">
        <v>14363</v>
      </c>
      <c r="D16" s="717" t="s">
        <v>14635</v>
      </c>
    </row>
    <row r="17" spans="1:4" ht="16.149999999999999" customHeight="1">
      <c r="A17" s="717" t="s">
        <v>14634</v>
      </c>
      <c r="B17" s="717">
        <v>500</v>
      </c>
      <c r="C17" s="717" t="s">
        <v>11094</v>
      </c>
      <c r="D17" s="717" t="s">
        <v>11095</v>
      </c>
    </row>
    <row r="18" spans="1:4" ht="16.149999999999999" customHeight="1">
      <c r="A18" s="717" t="s">
        <v>10772</v>
      </c>
      <c r="B18" s="717">
        <v>100</v>
      </c>
      <c r="C18" s="717" t="s">
        <v>11094</v>
      </c>
      <c r="D18" s="717" t="s">
        <v>14576</v>
      </c>
    </row>
    <row r="19" spans="1:4" ht="16.149999999999999" customHeight="1">
      <c r="A19" s="717" t="s">
        <v>14644</v>
      </c>
      <c r="B19" s="717">
        <v>275</v>
      </c>
      <c r="C19" s="717" t="s">
        <v>12185</v>
      </c>
      <c r="D19" s="717" t="s">
        <v>14645</v>
      </c>
    </row>
    <row r="20" spans="1:4" ht="16.149999999999999" customHeight="1">
      <c r="A20" s="717" t="s">
        <v>14644</v>
      </c>
      <c r="B20" s="717">
        <v>275</v>
      </c>
      <c r="C20" s="717" t="s">
        <v>11094</v>
      </c>
      <c r="D20" s="717" t="s">
        <v>14645</v>
      </c>
    </row>
    <row r="21" spans="1:4" ht="16.149999999999999" customHeight="1">
      <c r="A21" s="717" t="s">
        <v>14301</v>
      </c>
      <c r="B21" s="717">
        <v>325</v>
      </c>
      <c r="C21" s="717" t="s">
        <v>12185</v>
      </c>
      <c r="D21" s="717" t="s">
        <v>14302</v>
      </c>
    </row>
    <row r="22" spans="1:4" ht="16.149999999999999" customHeight="1">
      <c r="A22" s="717" t="s">
        <v>14301</v>
      </c>
      <c r="B22" s="717">
        <v>285</v>
      </c>
      <c r="C22" s="717" t="s">
        <v>11094</v>
      </c>
      <c r="D22" s="717" t="s">
        <v>14302</v>
      </c>
    </row>
    <row r="23" spans="1:4" ht="16.149999999999999" customHeight="1">
      <c r="A23" s="717" t="s">
        <v>11100</v>
      </c>
      <c r="B23" s="717">
        <v>32</v>
      </c>
      <c r="C23" s="717" t="s">
        <v>12185</v>
      </c>
      <c r="D23" s="717" t="s">
        <v>14640</v>
      </c>
    </row>
    <row r="24" spans="1:4" ht="16.149999999999999" customHeight="1">
      <c r="A24" s="717" t="s">
        <v>14653</v>
      </c>
      <c r="B24" s="717">
        <v>100</v>
      </c>
      <c r="C24" s="717" t="s">
        <v>11094</v>
      </c>
      <c r="D24" s="717" t="s">
        <v>11112</v>
      </c>
    </row>
    <row r="25" spans="1:4" ht="16.149999999999999" customHeight="1">
      <c r="A25" s="717" t="s">
        <v>11123</v>
      </c>
      <c r="B25" s="717">
        <v>100</v>
      </c>
      <c r="C25" s="717" t="s">
        <v>11094</v>
      </c>
      <c r="D25" s="717" t="s">
        <v>14659</v>
      </c>
    </row>
    <row r="26" spans="1:4" ht="16.149999999999999" customHeight="1">
      <c r="A26" s="717" t="s">
        <v>11129</v>
      </c>
      <c r="B26" s="717">
        <v>260</v>
      </c>
      <c r="C26" s="717" t="s">
        <v>11094</v>
      </c>
      <c r="D26" s="717" t="s">
        <v>11130</v>
      </c>
    </row>
    <row r="27" spans="1:4" ht="16.149999999999999" customHeight="1">
      <c r="A27" s="717" t="s">
        <v>11129</v>
      </c>
      <c r="B27" s="717">
        <v>270</v>
      </c>
      <c r="C27" s="717" t="s">
        <v>11094</v>
      </c>
      <c r="D27" s="717" t="s">
        <v>11130</v>
      </c>
    </row>
    <row r="28" spans="1:4" ht="16.149999999999999" customHeight="1">
      <c r="A28" s="717" t="s">
        <v>14383</v>
      </c>
      <c r="B28" s="717">
        <v>430</v>
      </c>
      <c r="C28" s="717" t="s">
        <v>12185</v>
      </c>
      <c r="D28" s="717" t="s">
        <v>14581</v>
      </c>
    </row>
    <row r="29" spans="1:4" ht="16.149999999999999" customHeight="1">
      <c r="A29" s="717" t="s">
        <v>14383</v>
      </c>
      <c r="B29" s="717">
        <v>410</v>
      </c>
      <c r="C29" s="717" t="s">
        <v>11094</v>
      </c>
      <c r="D29" s="717" t="s">
        <v>14386</v>
      </c>
    </row>
    <row r="30" spans="1:4" ht="16.149999999999999" customHeight="1">
      <c r="A30" s="717" t="s">
        <v>11145</v>
      </c>
      <c r="B30" s="717">
        <v>680</v>
      </c>
      <c r="C30" s="717" t="s">
        <v>14363</v>
      </c>
      <c r="D30" s="717" t="s">
        <v>11146</v>
      </c>
    </row>
    <row r="31" spans="1:4" ht="16.149999999999999" customHeight="1">
      <c r="A31" s="717" t="s">
        <v>11145</v>
      </c>
      <c r="B31" s="717">
        <v>620</v>
      </c>
      <c r="C31" s="717" t="s">
        <v>11094</v>
      </c>
      <c r="D31" s="717" t="s">
        <v>11147</v>
      </c>
    </row>
    <row r="32" spans="1:4" ht="16.149999999999999" customHeight="1">
      <c r="A32" s="717" t="s">
        <v>10938</v>
      </c>
      <c r="B32" s="717">
        <v>100</v>
      </c>
      <c r="C32" s="717" t="s">
        <v>11094</v>
      </c>
      <c r="D32" s="717" t="s">
        <v>14674</v>
      </c>
    </row>
    <row r="33" spans="1:4" s="566" customFormat="1">
      <c r="A33" s="567"/>
      <c r="B33" s="567">
        <f>SUM(B2:B32)</f>
        <v>7025</v>
      </c>
      <c r="C33" s="567"/>
      <c r="D33" s="567"/>
    </row>
    <row r="34" spans="1:4" s="717" customFormat="1" ht="16.149999999999999" customHeight="1">
      <c r="A34" s="717" t="s">
        <v>14589</v>
      </c>
      <c r="B34" s="717">
        <v>1458</v>
      </c>
      <c r="C34" s="717" t="s">
        <v>12230</v>
      </c>
      <c r="D34" s="717" t="s">
        <v>14590</v>
      </c>
    </row>
    <row r="35" spans="1:4" s="717" customFormat="1" ht="16.149999999999999" customHeight="1">
      <c r="A35" s="717" t="s">
        <v>14604</v>
      </c>
      <c r="B35" s="717">
        <v>1458</v>
      </c>
      <c r="C35" s="717" t="s">
        <v>12230</v>
      </c>
      <c r="D35" s="717" t="s">
        <v>14605</v>
      </c>
    </row>
    <row r="36" spans="1:4" s="717" customFormat="1" ht="16.149999999999999" customHeight="1">
      <c r="A36" s="717" t="s">
        <v>14609</v>
      </c>
      <c r="B36" s="717">
        <v>1458</v>
      </c>
      <c r="C36" s="717" t="s">
        <v>12230</v>
      </c>
      <c r="D36" s="717" t="s">
        <v>14610</v>
      </c>
    </row>
    <row r="37" spans="1:4" s="717" customFormat="1" ht="16.149999999999999" customHeight="1">
      <c r="A37" s="717" t="s">
        <v>8955</v>
      </c>
      <c r="C37" s="717" t="s">
        <v>14575</v>
      </c>
      <c r="D37" s="718" t="s">
        <v>14675</v>
      </c>
    </row>
    <row r="38" spans="1:4" s="717" customFormat="1" ht="16.149999999999999" customHeight="1">
      <c r="A38" s="481" t="s">
        <v>14631</v>
      </c>
      <c r="C38" s="717" t="s">
        <v>11101</v>
      </c>
      <c r="D38" s="718" t="s">
        <v>14676</v>
      </c>
    </row>
    <row r="39" spans="1:4" s="717" customFormat="1" ht="16.149999999999999" customHeight="1">
      <c r="A39" s="717" t="s">
        <v>14642</v>
      </c>
      <c r="C39" s="717" t="s">
        <v>11101</v>
      </c>
      <c r="D39" s="718" t="s">
        <v>14677</v>
      </c>
    </row>
    <row r="40" spans="1:4" s="717" customFormat="1" ht="16.149999999999999" customHeight="1">
      <c r="A40" s="717" t="s">
        <v>11107</v>
      </c>
      <c r="C40" s="717" t="s">
        <v>11101</v>
      </c>
      <c r="D40" s="718" t="s">
        <v>14678</v>
      </c>
    </row>
    <row r="41" spans="1:4" s="717" customFormat="1" ht="16.149999999999999" customHeight="1">
      <c r="A41" s="717" t="s">
        <v>14650</v>
      </c>
      <c r="C41" s="717" t="s">
        <v>11101</v>
      </c>
      <c r="D41" s="718" t="s">
        <v>14679</v>
      </c>
    </row>
    <row r="42" spans="1:4" s="717" customFormat="1" ht="16.149999999999999" customHeight="1">
      <c r="A42" s="717" t="s">
        <v>14656</v>
      </c>
      <c r="C42" s="717" t="s">
        <v>11101</v>
      </c>
      <c r="D42" s="718" t="s">
        <v>14338</v>
      </c>
    </row>
    <row r="43" spans="1:4" s="717" customFormat="1" ht="16.149999999999999" customHeight="1">
      <c r="A43" s="717" t="s">
        <v>14370</v>
      </c>
      <c r="C43" s="717" t="s">
        <v>14664</v>
      </c>
      <c r="D43" s="718" t="s">
        <v>14371</v>
      </c>
    </row>
    <row r="44" spans="1:4" s="717" customFormat="1" ht="16.149999999999999" customHeight="1">
      <c r="A44" s="717" t="s">
        <v>10867</v>
      </c>
      <c r="C44" s="717" t="s">
        <v>14664</v>
      </c>
      <c r="D44" s="718" t="s">
        <v>11143</v>
      </c>
    </row>
    <row r="45" spans="1:4" s="717" customFormat="1" ht="16.149999999999999" customHeight="1">
      <c r="A45" s="717" t="s">
        <v>14422</v>
      </c>
      <c r="C45" s="717" t="s">
        <v>11101</v>
      </c>
      <c r="D45" s="718" t="s">
        <v>14672</v>
      </c>
    </row>
    <row r="46" spans="1:4" s="566" customFormat="1">
      <c r="A46" s="567"/>
      <c r="B46" s="567">
        <f>SUM(B34:B45)</f>
        <v>4374</v>
      </c>
      <c r="C46" s="567"/>
      <c r="D46" s="567"/>
    </row>
    <row r="47" spans="1:4" s="717" customFormat="1" ht="16.149999999999999" customHeight="1">
      <c r="A47" s="717" t="s">
        <v>14591</v>
      </c>
      <c r="B47" s="717">
        <v>189</v>
      </c>
      <c r="C47" s="717" t="s">
        <v>12324</v>
      </c>
      <c r="D47" s="717" t="s">
        <v>14592</v>
      </c>
    </row>
    <row r="48" spans="1:4" s="717" customFormat="1" ht="16.149999999999999" customHeight="1">
      <c r="A48" s="717" t="s">
        <v>8941</v>
      </c>
      <c r="B48" s="717">
        <v>168</v>
      </c>
      <c r="C48" s="717" t="s">
        <v>12324</v>
      </c>
      <c r="D48" s="717" t="s">
        <v>14613</v>
      </c>
    </row>
    <row r="49" spans="1:4" s="717" customFormat="1" ht="16.149999999999999" customHeight="1">
      <c r="A49" s="717" t="s">
        <v>14637</v>
      </c>
      <c r="B49" s="817">
        <v>178</v>
      </c>
      <c r="C49" s="717" t="s">
        <v>12324</v>
      </c>
      <c r="D49" s="717" t="s">
        <v>14277</v>
      </c>
    </row>
    <row r="50" spans="1:4" s="717" customFormat="1" ht="16.149999999999999" customHeight="1">
      <c r="A50" s="717" t="s">
        <v>11107</v>
      </c>
      <c r="B50" s="717">
        <v>178</v>
      </c>
      <c r="C50" s="717" t="s">
        <v>12324</v>
      </c>
      <c r="D50" s="717" t="s">
        <v>14646</v>
      </c>
    </row>
    <row r="51" spans="1:4" s="717" customFormat="1" ht="16.149999999999999" customHeight="1">
      <c r="A51" s="717" t="s">
        <v>14341</v>
      </c>
      <c r="B51" s="717">
        <v>189</v>
      </c>
      <c r="C51" s="717" t="s">
        <v>11097</v>
      </c>
      <c r="D51" s="717" t="s">
        <v>14657</v>
      </c>
    </row>
    <row r="52" spans="1:4" s="717" customFormat="1" ht="16.149999999999999" customHeight="1">
      <c r="A52" s="717" t="s">
        <v>14669</v>
      </c>
      <c r="B52" s="717">
        <v>178</v>
      </c>
      <c r="C52" s="717" t="s">
        <v>11097</v>
      </c>
      <c r="D52" s="717" t="s">
        <v>14406</v>
      </c>
    </row>
    <row r="53" spans="1:4" s="566" customFormat="1">
      <c r="A53" s="567"/>
      <c r="B53" s="567">
        <f>SUM(B47:B52)</f>
        <v>1080</v>
      </c>
      <c r="C53" s="567"/>
      <c r="D53" s="567"/>
    </row>
    <row r="54" spans="1:4" s="717" customFormat="1" ht="16.149999999999999" customHeight="1">
      <c r="A54" s="717" t="s">
        <v>14602</v>
      </c>
      <c r="B54" s="717">
        <v>125</v>
      </c>
      <c r="C54" s="717" t="s">
        <v>18233</v>
      </c>
      <c r="D54" s="717" t="s">
        <v>14603</v>
      </c>
    </row>
    <row r="55" spans="1:4" s="717" customFormat="1" ht="16.149999999999999" customHeight="1">
      <c r="A55" s="717" t="s">
        <v>8955</v>
      </c>
      <c r="B55" s="717">
        <v>140</v>
      </c>
      <c r="C55" s="717" t="s">
        <v>14322</v>
      </c>
      <c r="D55" s="717" t="s">
        <v>14619</v>
      </c>
    </row>
    <row r="56" spans="1:4" s="717" customFormat="1" ht="16.149999999999999" customHeight="1">
      <c r="A56" s="717" t="s">
        <v>14321</v>
      </c>
      <c r="B56" s="717">
        <v>75</v>
      </c>
      <c r="C56" s="717" t="s">
        <v>14649</v>
      </c>
      <c r="D56" s="717" t="s">
        <v>14603</v>
      </c>
    </row>
    <row r="57" spans="1:4" s="717" customFormat="1" ht="16.149999999999999" customHeight="1">
      <c r="A57" s="717" t="s">
        <v>14652</v>
      </c>
      <c r="B57" s="717">
        <v>230</v>
      </c>
      <c r="C57" s="717" t="s">
        <v>14322</v>
      </c>
      <c r="D57" s="717" t="s">
        <v>14327</v>
      </c>
    </row>
    <row r="58" spans="1:4" s="717" customFormat="1" ht="16.149999999999999" customHeight="1">
      <c r="A58" s="717" t="s">
        <v>11122</v>
      </c>
      <c r="B58" s="717">
        <v>30</v>
      </c>
      <c r="C58" s="717" t="s">
        <v>14322</v>
      </c>
      <c r="D58" s="717" t="s">
        <v>14323</v>
      </c>
    </row>
    <row r="59" spans="1:4" s="566" customFormat="1">
      <c r="A59" s="567"/>
      <c r="B59" s="567">
        <f>SUM(B54:B58)</f>
        <v>600</v>
      </c>
      <c r="C59" s="567"/>
      <c r="D59" s="567"/>
    </row>
    <row r="60" spans="1:4" s="717" customFormat="1" ht="16.149999999999999" customHeight="1">
      <c r="A60" s="717" t="s">
        <v>14584</v>
      </c>
      <c r="B60" s="717">
        <v>100</v>
      </c>
      <c r="C60" s="717" t="s">
        <v>12305</v>
      </c>
      <c r="D60" s="717" t="s">
        <v>14585</v>
      </c>
    </row>
    <row r="61" spans="1:4" s="717" customFormat="1" ht="16.149999999999999" customHeight="1">
      <c r="A61" s="717" t="s">
        <v>14604</v>
      </c>
      <c r="B61" s="717">
        <v>18</v>
      </c>
      <c r="C61" s="717" t="s">
        <v>12305</v>
      </c>
      <c r="D61" s="717" t="s">
        <v>14606</v>
      </c>
    </row>
    <row r="62" spans="1:4" s="717" customFormat="1" ht="16.149999999999999" customHeight="1">
      <c r="A62" s="717" t="s">
        <v>14614</v>
      </c>
      <c r="B62" s="717">
        <v>208</v>
      </c>
      <c r="C62" s="717" t="s">
        <v>12305</v>
      </c>
      <c r="D62" s="717" t="s">
        <v>14615</v>
      </c>
    </row>
    <row r="63" spans="1:4" s="717" customFormat="1" ht="16.149999999999999" customHeight="1">
      <c r="A63" s="717" t="s">
        <v>8958</v>
      </c>
      <c r="B63" s="717">
        <v>18</v>
      </c>
      <c r="C63" s="717" t="s">
        <v>12305</v>
      </c>
      <c r="D63" s="717" t="s">
        <v>14620</v>
      </c>
    </row>
    <row r="64" spans="1:4" s="717" customFormat="1" ht="16.149999999999999" customHeight="1">
      <c r="A64" s="717" t="s">
        <v>8958</v>
      </c>
      <c r="B64" s="717">
        <v>243</v>
      </c>
      <c r="C64" s="717" t="s">
        <v>12305</v>
      </c>
      <c r="D64" s="717" t="s">
        <v>14621</v>
      </c>
    </row>
    <row r="65" spans="1:4" s="717" customFormat="1" ht="16.149999999999999" customHeight="1">
      <c r="A65" s="717" t="s">
        <v>10772</v>
      </c>
      <c r="B65" s="717">
        <v>18</v>
      </c>
      <c r="C65" s="717" t="s">
        <v>11113</v>
      </c>
      <c r="D65" s="717" t="s">
        <v>14643</v>
      </c>
    </row>
    <row r="66" spans="1:4" s="717" customFormat="1" ht="16.149999999999999" customHeight="1">
      <c r="A66" s="717" t="s">
        <v>14329</v>
      </c>
      <c r="B66" s="717">
        <v>18</v>
      </c>
      <c r="C66" s="717" t="s">
        <v>12305</v>
      </c>
      <c r="D66" s="717" t="s">
        <v>14654</v>
      </c>
    </row>
    <row r="67" spans="1:4" s="717" customFormat="1" ht="16.149999999999999" customHeight="1">
      <c r="A67" s="717" t="s">
        <v>11116</v>
      </c>
      <c r="B67" s="717">
        <v>2700</v>
      </c>
      <c r="C67" s="717" t="s">
        <v>11113</v>
      </c>
      <c r="D67" s="717" t="s">
        <v>14655</v>
      </c>
    </row>
    <row r="68" spans="1:4" s="717" customFormat="1" ht="16.149999999999999" customHeight="1">
      <c r="A68" s="717" t="s">
        <v>14341</v>
      </c>
      <c r="B68" s="717">
        <v>138</v>
      </c>
      <c r="C68" s="717" t="s">
        <v>11113</v>
      </c>
      <c r="D68" s="717" t="s">
        <v>14574</v>
      </c>
    </row>
    <row r="69" spans="1:4" s="717" customFormat="1" ht="16.149999999999999" customHeight="1">
      <c r="A69" s="717" t="s">
        <v>14660</v>
      </c>
      <c r="B69" s="717">
        <v>18</v>
      </c>
      <c r="C69" s="717" t="s">
        <v>11113</v>
      </c>
      <c r="D69" s="717" t="s">
        <v>11128</v>
      </c>
    </row>
    <row r="70" spans="1:4" s="717" customFormat="1" ht="16.149999999999999" customHeight="1">
      <c r="A70" s="717" t="s">
        <v>10938</v>
      </c>
      <c r="B70" s="717">
        <v>18</v>
      </c>
      <c r="C70" s="717" t="s">
        <v>11113</v>
      </c>
      <c r="D70" s="717" t="s">
        <v>14673</v>
      </c>
    </row>
    <row r="71" spans="1:4" s="566" customFormat="1">
      <c r="A71" s="567"/>
      <c r="B71" s="567">
        <f>SUM(B60:B70)</f>
        <v>3497</v>
      </c>
      <c r="C71" s="567"/>
      <c r="D71" s="567"/>
    </row>
    <row r="72" spans="1:4" s="717" customFormat="1" ht="16.149999999999999" customHeight="1">
      <c r="A72" s="717" t="s">
        <v>14596</v>
      </c>
      <c r="B72" s="717">
        <v>120</v>
      </c>
      <c r="C72" s="717" t="s">
        <v>12273</v>
      </c>
      <c r="D72" s="717" t="s">
        <v>14599</v>
      </c>
    </row>
    <row r="73" spans="1:4" s="717" customFormat="1" ht="16.149999999999999" customHeight="1">
      <c r="A73" s="717" t="s">
        <v>14611</v>
      </c>
      <c r="B73" s="717">
        <v>87</v>
      </c>
      <c r="C73" s="717" t="s">
        <v>12273</v>
      </c>
      <c r="D73" s="717" t="s">
        <v>14612</v>
      </c>
    </row>
    <row r="74" spans="1:4" s="717" customFormat="1" ht="16.149999999999999" customHeight="1">
      <c r="A74" s="717" t="s">
        <v>11100</v>
      </c>
      <c r="B74" s="717">
        <v>120</v>
      </c>
      <c r="C74" s="717" t="s">
        <v>12273</v>
      </c>
      <c r="D74" s="717" t="s">
        <v>14599</v>
      </c>
    </row>
    <row r="75" spans="1:4" s="717" customFormat="1" ht="16.149999999999999" customHeight="1">
      <c r="A75" s="717" t="s">
        <v>11129</v>
      </c>
      <c r="B75" s="717">
        <v>235</v>
      </c>
      <c r="C75" s="717" t="s">
        <v>11131</v>
      </c>
      <c r="D75" s="717" t="s">
        <v>14661</v>
      </c>
    </row>
    <row r="76" spans="1:4" s="566" customFormat="1">
      <c r="A76" s="567"/>
      <c r="B76" s="567">
        <f>SUM(B72:B75)</f>
        <v>562</v>
      </c>
      <c r="C76" s="567"/>
      <c r="D76" s="567"/>
    </row>
    <row r="77" spans="1:4" s="717" customFormat="1" ht="16.149999999999999" customHeight="1">
      <c r="A77" s="717" t="s">
        <v>14587</v>
      </c>
      <c r="B77" s="717">
        <v>60</v>
      </c>
      <c r="C77" s="717" t="s">
        <v>12114</v>
      </c>
      <c r="D77" s="717" t="s">
        <v>14588</v>
      </c>
    </row>
    <row r="78" spans="1:4" s="717" customFormat="1" ht="16.149999999999999" customHeight="1">
      <c r="A78" s="717" t="s">
        <v>14593</v>
      </c>
      <c r="B78" s="717">
        <v>228</v>
      </c>
      <c r="C78" s="717" t="s">
        <v>12114</v>
      </c>
      <c r="D78" s="717" t="s">
        <v>14594</v>
      </c>
    </row>
    <row r="79" spans="1:4" s="717" customFormat="1" ht="16.149999999999999" customHeight="1">
      <c r="A79" s="717" t="s">
        <v>14593</v>
      </c>
      <c r="B79" s="717">
        <v>360</v>
      </c>
      <c r="C79" s="717" t="s">
        <v>12114</v>
      </c>
      <c r="D79" s="717" t="s">
        <v>14595</v>
      </c>
    </row>
    <row r="80" spans="1:4" s="717" customFormat="1" ht="16.149999999999999" customHeight="1">
      <c r="A80" s="717" t="s">
        <v>14596</v>
      </c>
      <c r="B80" s="717">
        <v>28</v>
      </c>
      <c r="C80" s="717" t="s">
        <v>12114</v>
      </c>
      <c r="D80" s="717" t="s">
        <v>14597</v>
      </c>
    </row>
    <row r="81" spans="1:4" s="717" customFormat="1" ht="16.149999999999999" customHeight="1">
      <c r="A81" s="717" t="s">
        <v>14596</v>
      </c>
      <c r="B81" s="717">
        <v>44</v>
      </c>
      <c r="C81" s="717" t="s">
        <v>12114</v>
      </c>
      <c r="D81" s="717" t="s">
        <v>14598</v>
      </c>
    </row>
    <row r="82" spans="1:4" s="717" customFormat="1" ht="16.149999999999999" customHeight="1">
      <c r="A82" s="717" t="s">
        <v>14600</v>
      </c>
      <c r="B82" s="717">
        <v>44</v>
      </c>
      <c r="C82" s="717" t="s">
        <v>12114</v>
      </c>
      <c r="D82" s="717" t="s">
        <v>14601</v>
      </c>
    </row>
    <row r="83" spans="1:4" s="717" customFormat="1" ht="16.149999999999999" customHeight="1">
      <c r="A83" s="717" t="s">
        <v>8920</v>
      </c>
      <c r="B83" s="717">
        <v>100</v>
      </c>
      <c r="C83" s="717" t="s">
        <v>12114</v>
      </c>
      <c r="D83" s="717" t="s">
        <v>14607</v>
      </c>
    </row>
    <row r="84" spans="1:4" s="717" customFormat="1" ht="16.149999999999999" customHeight="1">
      <c r="A84" s="717" t="s">
        <v>14616</v>
      </c>
      <c r="B84" s="717">
        <v>60</v>
      </c>
      <c r="C84" s="717" t="s">
        <v>12114</v>
      </c>
      <c r="D84" s="717" t="s">
        <v>14617</v>
      </c>
    </row>
    <row r="85" spans="1:4" s="717" customFormat="1" ht="16.149999999999999" customHeight="1">
      <c r="A85" s="717" t="s">
        <v>14622</v>
      </c>
      <c r="B85" s="717">
        <v>60</v>
      </c>
      <c r="C85" s="717" t="s">
        <v>12114</v>
      </c>
      <c r="D85" s="717" t="s">
        <v>14623</v>
      </c>
    </row>
    <row r="86" spans="1:4" s="481" customFormat="1" ht="16.149999999999999" customHeight="1">
      <c r="A86" s="481" t="s">
        <v>14624</v>
      </c>
      <c r="B86" s="481">
        <v>120</v>
      </c>
      <c r="C86" s="481" t="s">
        <v>12114</v>
      </c>
      <c r="D86" s="481" t="s">
        <v>14625</v>
      </c>
    </row>
    <row r="87" spans="1:4" s="481" customFormat="1" ht="16.149999999999999" customHeight="1">
      <c r="A87" s="481" t="s">
        <v>14624</v>
      </c>
      <c r="B87" s="481">
        <v>44</v>
      </c>
      <c r="C87" s="481" t="s">
        <v>12114</v>
      </c>
      <c r="D87" s="481" t="s">
        <v>14626</v>
      </c>
    </row>
    <row r="88" spans="1:4" s="481" customFormat="1" ht="16.149999999999999" customHeight="1">
      <c r="A88" s="481" t="s">
        <v>14627</v>
      </c>
      <c r="B88" s="481">
        <v>572</v>
      </c>
      <c r="C88" s="481" t="s">
        <v>12114</v>
      </c>
      <c r="D88" s="481" t="s">
        <v>14628</v>
      </c>
    </row>
    <row r="89" spans="1:4" s="481" customFormat="1" ht="16.149999999999999" customHeight="1">
      <c r="A89" s="481" t="s">
        <v>14631</v>
      </c>
      <c r="B89" s="481">
        <v>44</v>
      </c>
      <c r="C89" s="481" t="s">
        <v>12114</v>
      </c>
      <c r="D89" s="481" t="s">
        <v>14632</v>
      </c>
    </row>
    <row r="90" spans="1:4" s="717" customFormat="1" ht="16.149999999999999" customHeight="1">
      <c r="A90" s="717" t="s">
        <v>14638</v>
      </c>
      <c r="B90" s="717">
        <v>112</v>
      </c>
      <c r="C90" s="717" t="s">
        <v>12114</v>
      </c>
      <c r="D90" s="717" t="s">
        <v>14639</v>
      </c>
    </row>
    <row r="91" spans="1:4" s="717" customFormat="1" ht="16.149999999999999" customHeight="1">
      <c r="A91" s="717" t="s">
        <v>14641</v>
      </c>
      <c r="B91" s="717">
        <v>28</v>
      </c>
      <c r="C91" s="717" t="s">
        <v>11099</v>
      </c>
      <c r="D91" s="717" t="s">
        <v>14285</v>
      </c>
    </row>
    <row r="92" spans="1:4" s="717" customFormat="1" ht="16.149999999999999" customHeight="1">
      <c r="A92" s="717" t="s">
        <v>11107</v>
      </c>
      <c r="B92" s="717">
        <v>44</v>
      </c>
      <c r="C92" s="717" t="s">
        <v>12114</v>
      </c>
      <c r="D92" s="717" t="s">
        <v>11108</v>
      </c>
    </row>
    <row r="93" spans="1:4" s="717" customFormat="1" ht="16.149999999999999" customHeight="1">
      <c r="A93" s="717" t="s">
        <v>14307</v>
      </c>
      <c r="B93" s="717">
        <v>60</v>
      </c>
      <c r="C93" s="717" t="s">
        <v>11099</v>
      </c>
      <c r="D93" s="717" t="s">
        <v>14647</v>
      </c>
    </row>
    <row r="94" spans="1:4" s="717" customFormat="1" ht="16.149999999999999" customHeight="1">
      <c r="A94" s="717" t="s">
        <v>11109</v>
      </c>
      <c r="B94" s="717">
        <v>112</v>
      </c>
      <c r="C94" s="717" t="s">
        <v>12114</v>
      </c>
      <c r="D94" s="717" t="s">
        <v>14648</v>
      </c>
    </row>
    <row r="95" spans="1:4" s="717" customFormat="1" ht="16.149999999999999" customHeight="1">
      <c r="A95" s="717" t="s">
        <v>11110</v>
      </c>
      <c r="B95" s="717">
        <v>60</v>
      </c>
      <c r="C95" s="717" t="s">
        <v>11099</v>
      </c>
      <c r="D95" s="717" t="s">
        <v>14320</v>
      </c>
    </row>
    <row r="96" spans="1:4" s="717" customFormat="1" ht="16.149999999999999" customHeight="1">
      <c r="A96" s="717" t="s">
        <v>11118</v>
      </c>
      <c r="B96" s="717">
        <v>60</v>
      </c>
      <c r="C96" s="717" t="s">
        <v>11099</v>
      </c>
      <c r="D96" s="717" t="s">
        <v>14332</v>
      </c>
    </row>
    <row r="97" spans="1:5" s="717" customFormat="1" ht="16.149999999999999" customHeight="1">
      <c r="A97" s="717" t="s">
        <v>11121</v>
      </c>
      <c r="B97" s="717">
        <v>60</v>
      </c>
      <c r="C97" s="717" t="s">
        <v>11099</v>
      </c>
      <c r="D97" s="717" t="s">
        <v>14336</v>
      </c>
    </row>
    <row r="98" spans="1:5" s="717" customFormat="1" ht="16.149999999999999" customHeight="1">
      <c r="A98" s="717" t="s">
        <v>11123</v>
      </c>
      <c r="B98" s="717">
        <v>44</v>
      </c>
      <c r="C98" s="717" t="s">
        <v>11099</v>
      </c>
      <c r="D98" s="717" t="s">
        <v>14658</v>
      </c>
    </row>
    <row r="99" spans="1:5" s="717" customFormat="1" ht="16.149999999999999" customHeight="1">
      <c r="A99" s="717" t="s">
        <v>11129</v>
      </c>
      <c r="B99" s="717">
        <v>720</v>
      </c>
      <c r="C99" s="717" t="s">
        <v>11099</v>
      </c>
      <c r="D99" s="717" t="s">
        <v>14366</v>
      </c>
    </row>
    <row r="100" spans="1:5" s="717" customFormat="1" ht="16.149999999999999" customHeight="1">
      <c r="A100" s="717" t="s">
        <v>14662</v>
      </c>
      <c r="B100" s="717">
        <v>88</v>
      </c>
      <c r="C100" s="717" t="s">
        <v>12114</v>
      </c>
      <c r="D100" s="717" t="s">
        <v>14663</v>
      </c>
    </row>
    <row r="101" spans="1:5" s="717" customFormat="1" ht="16.149999999999999" customHeight="1">
      <c r="A101" s="717" t="s">
        <v>14372</v>
      </c>
      <c r="B101" s="717">
        <v>92</v>
      </c>
      <c r="C101" s="717" t="s">
        <v>11099</v>
      </c>
      <c r="D101" s="717" t="s">
        <v>11134</v>
      </c>
    </row>
    <row r="102" spans="1:5" s="717" customFormat="1" ht="16.149999999999999" customHeight="1">
      <c r="A102" s="717" t="s">
        <v>11135</v>
      </c>
      <c r="B102" s="717">
        <v>28</v>
      </c>
      <c r="C102" s="717" t="s">
        <v>12114</v>
      </c>
      <c r="D102" s="717" t="s">
        <v>14580</v>
      </c>
    </row>
    <row r="103" spans="1:5" s="717" customFormat="1" ht="16.149999999999999" customHeight="1">
      <c r="A103" s="717" t="s">
        <v>11140</v>
      </c>
      <c r="B103" s="717">
        <v>28</v>
      </c>
      <c r="C103" s="717" t="s">
        <v>11099</v>
      </c>
      <c r="D103" s="717" t="s">
        <v>11136</v>
      </c>
    </row>
    <row r="104" spans="1:5" s="717" customFormat="1" ht="16.149999999999999" customHeight="1">
      <c r="A104" s="717" t="s">
        <v>14397</v>
      </c>
      <c r="B104" s="717">
        <v>56</v>
      </c>
      <c r="C104" s="717" t="s">
        <v>11099</v>
      </c>
      <c r="D104" s="717" t="s">
        <v>14665</v>
      </c>
    </row>
    <row r="105" spans="1:5" s="717" customFormat="1" ht="16.149999999999999" customHeight="1">
      <c r="A105" s="717" t="s">
        <v>11141</v>
      </c>
      <c r="B105" s="717">
        <v>112</v>
      </c>
      <c r="C105" s="717" t="s">
        <v>11099</v>
      </c>
      <c r="D105" s="717" t="s">
        <v>14666</v>
      </c>
    </row>
    <row r="106" spans="1:5" s="717" customFormat="1" ht="16.149999999999999" customHeight="1">
      <c r="A106" s="717" t="s">
        <v>14667</v>
      </c>
      <c r="B106" s="717">
        <v>44</v>
      </c>
      <c r="C106" s="717" t="s">
        <v>11133</v>
      </c>
      <c r="D106" s="717" t="s">
        <v>14668</v>
      </c>
    </row>
    <row r="107" spans="1:5" s="717" customFormat="1" ht="16.149999999999999" customHeight="1">
      <c r="A107" s="717" t="s">
        <v>14411</v>
      </c>
      <c r="B107" s="717">
        <v>56</v>
      </c>
      <c r="C107" s="717" t="s">
        <v>11099</v>
      </c>
      <c r="D107" s="717" t="s">
        <v>14670</v>
      </c>
    </row>
    <row r="108" spans="1:5" s="717" customFormat="1" ht="16.149999999999999" customHeight="1">
      <c r="A108" s="717" t="s">
        <v>14411</v>
      </c>
      <c r="B108" s="717">
        <v>28</v>
      </c>
      <c r="C108" s="717" t="s">
        <v>11099</v>
      </c>
      <c r="D108" s="717" t="s">
        <v>14671</v>
      </c>
    </row>
    <row r="109" spans="1:5" s="717" customFormat="1" ht="16.149999999999999" customHeight="1">
      <c r="A109" s="717" t="s">
        <v>14418</v>
      </c>
      <c r="B109" s="717">
        <v>28</v>
      </c>
      <c r="C109" s="717" t="s">
        <v>12114</v>
      </c>
      <c r="D109" s="717" t="s">
        <v>11144</v>
      </c>
    </row>
    <row r="110" spans="1:5" s="566" customFormat="1">
      <c r="A110" s="567"/>
      <c r="B110" s="567">
        <f>SUM(B77:B109)</f>
        <v>3624</v>
      </c>
      <c r="C110" s="567"/>
      <c r="D110" s="567"/>
    </row>
    <row r="111" spans="1:5" s="483" customFormat="1">
      <c r="A111" s="482"/>
      <c r="B111" s="482"/>
      <c r="C111" s="631"/>
      <c r="D111" s="482"/>
      <c r="E111" s="487"/>
    </row>
    <row r="112" spans="1:5" s="717" customFormat="1" ht="16.149999999999999" customHeight="1">
      <c r="A112" s="717" t="s">
        <v>14636</v>
      </c>
      <c r="B112" s="717">
        <v>200</v>
      </c>
      <c r="C112" s="719"/>
      <c r="D112" s="717" t="s">
        <v>14268</v>
      </c>
    </row>
    <row r="113" spans="1:5" s="717" customFormat="1" ht="16.149999999999999" customHeight="1">
      <c r="A113" s="717" t="s">
        <v>11012</v>
      </c>
      <c r="B113" s="717">
        <v>250</v>
      </c>
      <c r="C113" s="720"/>
      <c r="D113" s="717" t="s">
        <v>11126</v>
      </c>
    </row>
    <row r="114" spans="1:5" s="483" customFormat="1">
      <c r="A114" s="481"/>
      <c r="B114" s="481"/>
      <c r="C114" s="716"/>
      <c r="D114" s="481"/>
    </row>
    <row r="115" spans="1:5" s="483" customFormat="1">
      <c r="A115" s="481"/>
      <c r="B115" s="481"/>
      <c r="C115" s="716"/>
      <c r="D115" s="481"/>
    </row>
    <row r="116" spans="1:5" s="483" customFormat="1">
      <c r="A116" s="482"/>
      <c r="B116" s="482"/>
      <c r="C116" s="631"/>
      <c r="D116" s="482"/>
      <c r="E116" s="487"/>
    </row>
    <row r="117" spans="1:5" s="483" customFormat="1">
      <c r="A117" s="482"/>
      <c r="B117" s="482"/>
      <c r="C117" s="631"/>
      <c r="D117" s="482"/>
      <c r="E117" s="487"/>
    </row>
    <row r="118" spans="1:5">
      <c r="A118" s="183" t="s">
        <v>14572</v>
      </c>
      <c r="B118" s="183" t="s">
        <v>4428</v>
      </c>
      <c r="C118" s="183" t="s">
        <v>4430</v>
      </c>
      <c r="D118" s="183" t="s">
        <v>14573</v>
      </c>
    </row>
    <row r="119" spans="1:5" s="485" customFormat="1" ht="6.75" customHeight="1">
      <c r="B119" s="651"/>
    </row>
    <row r="120" spans="1:5" ht="16.149999999999999" customHeight="1">
      <c r="A120" s="183" t="s">
        <v>8874</v>
      </c>
      <c r="B120" s="206">
        <v>70</v>
      </c>
      <c r="C120" s="183" t="s">
        <v>12185</v>
      </c>
      <c r="D120" s="183" t="s">
        <v>14578</v>
      </c>
    </row>
    <row r="121" spans="1:5" ht="16.149999999999999" customHeight="1">
      <c r="A121" s="183" t="s">
        <v>8874</v>
      </c>
      <c r="B121" s="206">
        <v>70</v>
      </c>
      <c r="C121" s="183" t="s">
        <v>12185</v>
      </c>
      <c r="D121" s="183" t="s">
        <v>14578</v>
      </c>
    </row>
    <row r="122" spans="1:5" ht="16.149999999999999" customHeight="1">
      <c r="A122" s="183" t="s">
        <v>8874</v>
      </c>
      <c r="B122" s="206">
        <v>195</v>
      </c>
      <c r="C122" s="183" t="s">
        <v>12185</v>
      </c>
      <c r="D122" s="183" t="s">
        <v>14583</v>
      </c>
    </row>
    <row r="123" spans="1:5" ht="16.149999999999999" customHeight="1">
      <c r="A123" s="183" t="s">
        <v>8874</v>
      </c>
      <c r="B123" s="206">
        <v>190</v>
      </c>
      <c r="C123" s="183" t="s">
        <v>12185</v>
      </c>
      <c r="D123" s="183" t="s">
        <v>14583</v>
      </c>
    </row>
    <row r="124" spans="1:5" ht="16.149999999999999" customHeight="1">
      <c r="A124" s="183" t="s">
        <v>8888</v>
      </c>
      <c r="B124" s="206">
        <v>365</v>
      </c>
      <c r="C124" s="183" t="s">
        <v>12185</v>
      </c>
      <c r="D124" s="183" t="s">
        <v>14586</v>
      </c>
    </row>
    <row r="125" spans="1:5" ht="16.149999999999999" customHeight="1">
      <c r="A125" s="183" t="s">
        <v>8888</v>
      </c>
      <c r="B125" s="206">
        <v>110</v>
      </c>
      <c r="C125" s="183" t="s">
        <v>12185</v>
      </c>
      <c r="D125" s="183" t="s">
        <v>14586</v>
      </c>
    </row>
    <row r="126" spans="1:5" ht="16.149999999999999" customHeight="1">
      <c r="A126" s="183" t="s">
        <v>14604</v>
      </c>
      <c r="B126" s="183">
        <v>32</v>
      </c>
      <c r="C126" s="183" t="s">
        <v>12185</v>
      </c>
      <c r="D126" s="183" t="s">
        <v>14582</v>
      </c>
    </row>
    <row r="127" spans="1:5" ht="16.149999999999999" customHeight="1">
      <c r="A127" s="183" t="s">
        <v>8930</v>
      </c>
      <c r="B127" s="206">
        <v>130</v>
      </c>
      <c r="C127" s="183" t="s">
        <v>12185</v>
      </c>
      <c r="D127" s="183" t="s">
        <v>14577</v>
      </c>
    </row>
    <row r="128" spans="1:5" ht="16.149999999999999" customHeight="1">
      <c r="A128" s="183" t="s">
        <v>8930</v>
      </c>
      <c r="B128" s="206">
        <v>115</v>
      </c>
      <c r="C128" s="183" t="s">
        <v>14363</v>
      </c>
      <c r="D128" s="183" t="s">
        <v>14577</v>
      </c>
    </row>
    <row r="129" spans="1:4" ht="16.149999999999999" customHeight="1">
      <c r="A129" s="183" t="s">
        <v>14608</v>
      </c>
      <c r="B129" s="206">
        <v>120</v>
      </c>
      <c r="C129" s="183" t="s">
        <v>12185</v>
      </c>
      <c r="D129" s="183" t="s">
        <v>14577</v>
      </c>
    </row>
    <row r="130" spans="1:4" ht="16.149999999999999" customHeight="1">
      <c r="A130" s="183" t="s">
        <v>14608</v>
      </c>
      <c r="B130" s="206">
        <v>16</v>
      </c>
      <c r="C130" s="183" t="s">
        <v>12185</v>
      </c>
      <c r="D130" s="183" t="s">
        <v>14577</v>
      </c>
    </row>
    <row r="131" spans="1:4" ht="16.149999999999999" customHeight="1">
      <c r="A131" s="183" t="s">
        <v>8958</v>
      </c>
      <c r="B131" s="183">
        <v>100</v>
      </c>
      <c r="C131" s="183" t="s">
        <v>12185</v>
      </c>
      <c r="D131" s="183" t="s">
        <v>14576</v>
      </c>
    </row>
    <row r="132" spans="1:4" ht="16.149999999999999" customHeight="1">
      <c r="A132" s="183" t="s">
        <v>14629</v>
      </c>
      <c r="B132" s="206">
        <v>110</v>
      </c>
      <c r="C132" s="183" t="s">
        <v>12185</v>
      </c>
      <c r="D132" s="183" t="s">
        <v>14260</v>
      </c>
    </row>
    <row r="133" spans="1:4" ht="16.149999999999999" customHeight="1">
      <c r="A133" s="183" t="s">
        <v>14630</v>
      </c>
      <c r="B133" s="206">
        <v>140</v>
      </c>
      <c r="C133" s="183" t="s">
        <v>11094</v>
      </c>
      <c r="D133" s="183" t="s">
        <v>14579</v>
      </c>
    </row>
    <row r="134" spans="1:4" ht="16.149999999999999" customHeight="1">
      <c r="A134" s="183" t="s">
        <v>14634</v>
      </c>
      <c r="B134" s="206">
        <v>500</v>
      </c>
      <c r="C134" s="183" t="s">
        <v>14363</v>
      </c>
      <c r="D134" s="183" t="s">
        <v>14635</v>
      </c>
    </row>
    <row r="135" spans="1:4" ht="16.149999999999999" customHeight="1">
      <c r="A135" s="183" t="s">
        <v>14634</v>
      </c>
      <c r="B135" s="206">
        <v>500</v>
      </c>
      <c r="C135" s="183" t="s">
        <v>11094</v>
      </c>
      <c r="D135" s="183" t="s">
        <v>11095</v>
      </c>
    </row>
    <row r="136" spans="1:4" ht="16.149999999999999" customHeight="1">
      <c r="A136" s="183" t="s">
        <v>10772</v>
      </c>
      <c r="B136" s="183">
        <v>100</v>
      </c>
      <c r="C136" s="183" t="s">
        <v>11094</v>
      </c>
      <c r="D136" s="183" t="s">
        <v>14576</v>
      </c>
    </row>
    <row r="137" spans="1:4" ht="16.149999999999999" customHeight="1">
      <c r="A137" s="183" t="s">
        <v>14644</v>
      </c>
      <c r="B137" s="206">
        <v>275</v>
      </c>
      <c r="C137" s="183" t="s">
        <v>12185</v>
      </c>
      <c r="D137" s="183" t="s">
        <v>14645</v>
      </c>
    </row>
    <row r="138" spans="1:4" ht="16.149999999999999" customHeight="1">
      <c r="A138" s="183" t="s">
        <v>14644</v>
      </c>
      <c r="B138" s="206">
        <v>275</v>
      </c>
      <c r="C138" s="183" t="s">
        <v>11094</v>
      </c>
      <c r="D138" s="183" t="s">
        <v>14645</v>
      </c>
    </row>
    <row r="139" spans="1:4" ht="16.149999999999999" customHeight="1">
      <c r="A139" s="183" t="s">
        <v>14301</v>
      </c>
      <c r="B139" s="206">
        <v>325</v>
      </c>
      <c r="C139" s="183" t="s">
        <v>12185</v>
      </c>
      <c r="D139" s="183" t="s">
        <v>14302</v>
      </c>
    </row>
    <row r="140" spans="1:4" ht="16.149999999999999" customHeight="1">
      <c r="A140" s="183" t="s">
        <v>14301</v>
      </c>
      <c r="B140" s="206">
        <v>285</v>
      </c>
      <c r="C140" s="183" t="s">
        <v>11094</v>
      </c>
      <c r="D140" s="183" t="s">
        <v>14302</v>
      </c>
    </row>
    <row r="141" spans="1:4" ht="16.149999999999999" customHeight="1">
      <c r="A141" s="183" t="s">
        <v>11100</v>
      </c>
      <c r="B141" s="183">
        <v>32</v>
      </c>
      <c r="C141" s="183" t="s">
        <v>12185</v>
      </c>
      <c r="D141" s="183" t="s">
        <v>14640</v>
      </c>
    </row>
    <row r="142" spans="1:4" ht="16.149999999999999" customHeight="1">
      <c r="A142" s="183" t="s">
        <v>14653</v>
      </c>
      <c r="B142" s="183">
        <v>100</v>
      </c>
      <c r="C142" s="183" t="s">
        <v>11094</v>
      </c>
      <c r="D142" s="183" t="s">
        <v>11112</v>
      </c>
    </row>
    <row r="143" spans="1:4" ht="16.149999999999999" customHeight="1">
      <c r="A143" s="183" t="s">
        <v>11123</v>
      </c>
      <c r="B143" s="206">
        <v>100</v>
      </c>
      <c r="C143" s="183" t="s">
        <v>11094</v>
      </c>
      <c r="D143" s="183" t="s">
        <v>14659</v>
      </c>
    </row>
    <row r="144" spans="1:4" ht="16.149999999999999" customHeight="1">
      <c r="A144" s="183" t="s">
        <v>11129</v>
      </c>
      <c r="B144" s="206">
        <v>260</v>
      </c>
      <c r="C144" s="183" t="s">
        <v>11094</v>
      </c>
      <c r="D144" s="183" t="s">
        <v>11130</v>
      </c>
    </row>
    <row r="145" spans="1:4" ht="16.149999999999999" customHeight="1">
      <c r="A145" s="183" t="s">
        <v>11129</v>
      </c>
      <c r="B145" s="206">
        <v>270</v>
      </c>
      <c r="C145" s="183" t="s">
        <v>11094</v>
      </c>
      <c r="D145" s="183" t="s">
        <v>11130</v>
      </c>
    </row>
    <row r="146" spans="1:4" ht="16.149999999999999" customHeight="1">
      <c r="A146" s="183" t="s">
        <v>14383</v>
      </c>
      <c r="B146" s="206">
        <v>430</v>
      </c>
      <c r="C146" s="183" t="s">
        <v>12185</v>
      </c>
      <c r="D146" s="183" t="s">
        <v>14581</v>
      </c>
    </row>
    <row r="147" spans="1:4" ht="16.149999999999999" customHeight="1">
      <c r="A147" s="183" t="s">
        <v>14383</v>
      </c>
      <c r="B147" s="206">
        <v>410</v>
      </c>
      <c r="C147" s="183" t="s">
        <v>11094</v>
      </c>
      <c r="D147" s="183" t="s">
        <v>14386</v>
      </c>
    </row>
    <row r="148" spans="1:4" ht="16.149999999999999" customHeight="1">
      <c r="A148" s="183" t="s">
        <v>11145</v>
      </c>
      <c r="B148" s="206">
        <v>680</v>
      </c>
      <c r="C148" s="183" t="s">
        <v>14363</v>
      </c>
      <c r="D148" s="183" t="s">
        <v>11146</v>
      </c>
    </row>
    <row r="149" spans="1:4" ht="16.149999999999999" customHeight="1">
      <c r="A149" s="183" t="s">
        <v>11145</v>
      </c>
      <c r="B149" s="206">
        <v>620</v>
      </c>
      <c r="C149" s="183" t="s">
        <v>11094</v>
      </c>
      <c r="D149" s="183" t="s">
        <v>11147</v>
      </c>
    </row>
    <row r="150" spans="1:4" ht="16.149999999999999" customHeight="1">
      <c r="A150" s="183" t="s">
        <v>10938</v>
      </c>
      <c r="B150" s="206">
        <v>100</v>
      </c>
      <c r="C150" s="183" t="s">
        <v>11094</v>
      </c>
      <c r="D150" s="183" t="s">
        <v>14674</v>
      </c>
    </row>
    <row r="151" spans="1:4" ht="16.149999999999999" customHeight="1">
      <c r="A151" s="183" t="s">
        <v>14589</v>
      </c>
      <c r="B151" s="206">
        <v>1458</v>
      </c>
      <c r="C151" s="183" t="s">
        <v>12230</v>
      </c>
      <c r="D151" s="183" t="s">
        <v>14590</v>
      </c>
    </row>
    <row r="152" spans="1:4" ht="16.149999999999999" customHeight="1">
      <c r="A152" s="183" t="s">
        <v>14604</v>
      </c>
      <c r="B152" s="206">
        <v>1458</v>
      </c>
      <c r="C152" s="183" t="s">
        <v>12230</v>
      </c>
      <c r="D152" s="183" t="s">
        <v>14605</v>
      </c>
    </row>
    <row r="153" spans="1:4" ht="16.149999999999999" customHeight="1">
      <c r="A153" s="183" t="s">
        <v>14609</v>
      </c>
      <c r="B153" s="206">
        <v>1458</v>
      </c>
      <c r="C153" s="183" t="s">
        <v>12230</v>
      </c>
      <c r="D153" s="183" t="s">
        <v>14610</v>
      </c>
    </row>
    <row r="154" spans="1:4" ht="16.149999999999999" customHeight="1">
      <c r="A154" s="183" t="s">
        <v>8955</v>
      </c>
      <c r="C154" s="183" t="s">
        <v>14575</v>
      </c>
      <c r="D154" s="694" t="s">
        <v>14618</v>
      </c>
    </row>
    <row r="155" spans="1:4" ht="16.149999999999999" customHeight="1">
      <c r="A155" s="329" t="s">
        <v>14631</v>
      </c>
      <c r="C155" s="183" t="s">
        <v>11101</v>
      </c>
      <c r="D155" s="694" t="s">
        <v>14633</v>
      </c>
    </row>
    <row r="156" spans="1:4" ht="16.149999999999999" customHeight="1">
      <c r="A156" s="183" t="s">
        <v>14642</v>
      </c>
      <c r="C156" s="183" t="s">
        <v>11101</v>
      </c>
      <c r="D156" s="694" t="s">
        <v>14287</v>
      </c>
    </row>
    <row r="157" spans="1:4" ht="16.149999999999999" customHeight="1">
      <c r="A157" s="183" t="s">
        <v>11107</v>
      </c>
      <c r="C157" s="183" t="s">
        <v>11101</v>
      </c>
      <c r="D157" s="694" t="s">
        <v>14303</v>
      </c>
    </row>
    <row r="158" spans="1:4" ht="16.149999999999999" customHeight="1">
      <c r="A158" s="183" t="s">
        <v>14650</v>
      </c>
      <c r="C158" s="183" t="s">
        <v>11101</v>
      </c>
      <c r="D158" s="694" t="s">
        <v>14651</v>
      </c>
    </row>
    <row r="159" spans="1:4" ht="16.149999999999999" customHeight="1">
      <c r="A159" s="183" t="s">
        <v>14656</v>
      </c>
      <c r="C159" s="183" t="s">
        <v>11101</v>
      </c>
      <c r="D159" s="694" t="s">
        <v>14338</v>
      </c>
    </row>
    <row r="160" spans="1:4" ht="16.149999999999999" customHeight="1">
      <c r="A160" s="183" t="s">
        <v>14370</v>
      </c>
      <c r="C160" s="183" t="s">
        <v>14664</v>
      </c>
      <c r="D160" s="694" t="s">
        <v>14371</v>
      </c>
    </row>
    <row r="161" spans="1:4" ht="16.149999999999999" customHeight="1">
      <c r="A161" s="183" t="s">
        <v>10867</v>
      </c>
      <c r="C161" s="183" t="s">
        <v>14664</v>
      </c>
      <c r="D161" s="694" t="s">
        <v>11143</v>
      </c>
    </row>
    <row r="162" spans="1:4" ht="16.149999999999999" customHeight="1">
      <c r="A162" s="183" t="s">
        <v>14422</v>
      </c>
      <c r="C162" s="183" t="s">
        <v>11101</v>
      </c>
      <c r="D162" s="694" t="s">
        <v>14672</v>
      </c>
    </row>
    <row r="163" spans="1:4" ht="16.149999999999999" customHeight="1">
      <c r="A163" s="183" t="s">
        <v>14591</v>
      </c>
      <c r="B163" s="206">
        <v>189</v>
      </c>
      <c r="C163" s="206" t="s">
        <v>12324</v>
      </c>
      <c r="D163" s="183" t="s">
        <v>14592</v>
      </c>
    </row>
    <row r="164" spans="1:4" ht="16.149999999999999" customHeight="1">
      <c r="A164" s="183" t="s">
        <v>8941</v>
      </c>
      <c r="B164" s="206">
        <v>168</v>
      </c>
      <c r="C164" s="206" t="s">
        <v>12324</v>
      </c>
      <c r="D164" s="183" t="s">
        <v>14613</v>
      </c>
    </row>
    <row r="165" spans="1:4" ht="16.149999999999999" customHeight="1">
      <c r="A165" s="183" t="s">
        <v>14637</v>
      </c>
      <c r="B165" s="696">
        <v>178</v>
      </c>
      <c r="C165" s="206" t="s">
        <v>12324</v>
      </c>
      <c r="D165" s="183" t="s">
        <v>14277</v>
      </c>
    </row>
    <row r="166" spans="1:4" ht="16.149999999999999" customHeight="1">
      <c r="A166" s="183" t="s">
        <v>11107</v>
      </c>
      <c r="B166" s="206">
        <v>178</v>
      </c>
      <c r="C166" s="206" t="s">
        <v>12324</v>
      </c>
      <c r="D166" s="183" t="s">
        <v>14646</v>
      </c>
    </row>
    <row r="167" spans="1:4" ht="16.149999999999999" customHeight="1">
      <c r="A167" s="183" t="s">
        <v>14341</v>
      </c>
      <c r="B167" s="206">
        <v>189</v>
      </c>
      <c r="C167" s="206" t="s">
        <v>11097</v>
      </c>
      <c r="D167" s="183" t="s">
        <v>14657</v>
      </c>
    </row>
    <row r="168" spans="1:4" ht="16.149999999999999" customHeight="1">
      <c r="A168" s="183" t="s">
        <v>14669</v>
      </c>
      <c r="B168" s="206">
        <v>178</v>
      </c>
      <c r="C168" s="206" t="s">
        <v>11097</v>
      </c>
      <c r="D168" s="183" t="s">
        <v>14406</v>
      </c>
    </row>
    <row r="169" spans="1:4" ht="16.149999999999999" customHeight="1">
      <c r="A169" s="183" t="s">
        <v>14602</v>
      </c>
      <c r="B169" s="183">
        <v>125</v>
      </c>
      <c r="C169" s="183" t="s">
        <v>12275</v>
      </c>
      <c r="D169" s="183" t="s">
        <v>14603</v>
      </c>
    </row>
    <row r="170" spans="1:4" ht="16.149999999999999" customHeight="1">
      <c r="A170" s="183" t="s">
        <v>8955</v>
      </c>
      <c r="B170" s="206">
        <v>140</v>
      </c>
      <c r="C170" s="183" t="s">
        <v>14322</v>
      </c>
      <c r="D170" s="183" t="s">
        <v>14619</v>
      </c>
    </row>
    <row r="171" spans="1:4" ht="16.149999999999999" customHeight="1">
      <c r="A171" s="183" t="s">
        <v>14321</v>
      </c>
      <c r="B171" s="183">
        <v>75</v>
      </c>
      <c r="C171" s="183" t="s">
        <v>14649</v>
      </c>
      <c r="D171" s="183" t="s">
        <v>14603</v>
      </c>
    </row>
    <row r="172" spans="1:4" ht="16.149999999999999" customHeight="1">
      <c r="A172" s="183" t="s">
        <v>14652</v>
      </c>
      <c r="B172" s="183">
        <v>230</v>
      </c>
      <c r="C172" s="183" t="s">
        <v>14322</v>
      </c>
      <c r="D172" s="183" t="s">
        <v>14327</v>
      </c>
    </row>
    <row r="173" spans="1:4" ht="16.149999999999999" customHeight="1">
      <c r="A173" s="183" t="s">
        <v>11122</v>
      </c>
      <c r="B173" s="183">
        <v>30</v>
      </c>
      <c r="C173" s="183" t="s">
        <v>14322</v>
      </c>
      <c r="D173" s="183" t="s">
        <v>14323</v>
      </c>
    </row>
    <row r="174" spans="1:4" ht="16.149999999999999" customHeight="1">
      <c r="A174" s="183" t="s">
        <v>14584</v>
      </c>
      <c r="B174" s="206">
        <v>100</v>
      </c>
      <c r="C174" s="183" t="s">
        <v>12305</v>
      </c>
      <c r="D174" s="183" t="s">
        <v>14585</v>
      </c>
    </row>
    <row r="175" spans="1:4" ht="16.149999999999999" customHeight="1">
      <c r="A175" s="183" t="s">
        <v>14604</v>
      </c>
      <c r="B175" s="206">
        <v>18</v>
      </c>
      <c r="C175" s="183" t="s">
        <v>12305</v>
      </c>
      <c r="D175" s="183" t="s">
        <v>14606</v>
      </c>
    </row>
    <row r="176" spans="1:4" ht="16.149999999999999" customHeight="1">
      <c r="A176" s="183" t="s">
        <v>14614</v>
      </c>
      <c r="B176" s="206">
        <v>208</v>
      </c>
      <c r="C176" s="183" t="s">
        <v>12305</v>
      </c>
      <c r="D176" s="183" t="s">
        <v>14615</v>
      </c>
    </row>
    <row r="177" spans="1:4" ht="16.149999999999999" customHeight="1">
      <c r="A177" s="183" t="s">
        <v>8958</v>
      </c>
      <c r="B177" s="206">
        <v>18</v>
      </c>
      <c r="C177" s="183" t="s">
        <v>12305</v>
      </c>
      <c r="D177" s="183" t="s">
        <v>14620</v>
      </c>
    </row>
    <row r="178" spans="1:4" ht="16.149999999999999" customHeight="1">
      <c r="A178" s="183" t="s">
        <v>8958</v>
      </c>
      <c r="B178" s="206">
        <v>243</v>
      </c>
      <c r="C178" s="183" t="s">
        <v>12305</v>
      </c>
      <c r="D178" s="183" t="s">
        <v>14621</v>
      </c>
    </row>
    <row r="179" spans="1:4" ht="16.149999999999999" customHeight="1">
      <c r="A179" s="183" t="s">
        <v>10772</v>
      </c>
      <c r="B179" s="206">
        <v>18</v>
      </c>
      <c r="C179" s="183" t="s">
        <v>11113</v>
      </c>
      <c r="D179" s="183" t="s">
        <v>14643</v>
      </c>
    </row>
    <row r="180" spans="1:4" ht="16.149999999999999" customHeight="1">
      <c r="A180" s="183" t="s">
        <v>14329</v>
      </c>
      <c r="B180" s="206">
        <v>18</v>
      </c>
      <c r="C180" s="183" t="s">
        <v>12305</v>
      </c>
      <c r="D180" s="183" t="s">
        <v>14654</v>
      </c>
    </row>
    <row r="181" spans="1:4" ht="16.149999999999999" customHeight="1">
      <c r="A181" s="183" t="s">
        <v>11116</v>
      </c>
      <c r="B181" s="206">
        <v>2700</v>
      </c>
      <c r="C181" s="183" t="s">
        <v>11113</v>
      </c>
      <c r="D181" s="183" t="s">
        <v>14655</v>
      </c>
    </row>
    <row r="182" spans="1:4" ht="16.149999999999999" customHeight="1">
      <c r="A182" s="183" t="s">
        <v>14341</v>
      </c>
      <c r="B182" s="206">
        <v>138</v>
      </c>
      <c r="C182" s="183" t="s">
        <v>11113</v>
      </c>
      <c r="D182" s="183" t="s">
        <v>14574</v>
      </c>
    </row>
    <row r="183" spans="1:4" ht="16.149999999999999" customHeight="1">
      <c r="A183" s="183" t="s">
        <v>14660</v>
      </c>
      <c r="B183" s="206">
        <v>18</v>
      </c>
      <c r="C183" s="183" t="s">
        <v>11113</v>
      </c>
      <c r="D183" s="183" t="s">
        <v>11128</v>
      </c>
    </row>
    <row r="184" spans="1:4" ht="16.149999999999999" customHeight="1">
      <c r="A184" s="183" t="s">
        <v>10938</v>
      </c>
      <c r="B184" s="206">
        <v>18</v>
      </c>
      <c r="C184" s="183" t="s">
        <v>11113</v>
      </c>
      <c r="D184" s="183" t="s">
        <v>14673</v>
      </c>
    </row>
    <row r="185" spans="1:4" ht="16.149999999999999" customHeight="1">
      <c r="A185" s="183" t="s">
        <v>14596</v>
      </c>
      <c r="B185" s="206">
        <v>120</v>
      </c>
      <c r="C185" s="183" t="s">
        <v>12273</v>
      </c>
      <c r="D185" s="183" t="s">
        <v>14599</v>
      </c>
    </row>
    <row r="186" spans="1:4" ht="16.149999999999999" customHeight="1">
      <c r="A186" s="183" t="s">
        <v>14611</v>
      </c>
      <c r="B186" s="206">
        <v>87</v>
      </c>
      <c r="C186" s="183" t="s">
        <v>12273</v>
      </c>
      <c r="D186" s="183" t="s">
        <v>14612</v>
      </c>
    </row>
    <row r="187" spans="1:4" ht="16.149999999999999" customHeight="1">
      <c r="A187" s="183" t="s">
        <v>11100</v>
      </c>
      <c r="B187" s="206">
        <v>120</v>
      </c>
      <c r="C187" s="183" t="s">
        <v>12273</v>
      </c>
      <c r="D187" s="183" t="s">
        <v>14599</v>
      </c>
    </row>
    <row r="188" spans="1:4" ht="16.149999999999999" customHeight="1">
      <c r="A188" s="183" t="s">
        <v>11129</v>
      </c>
      <c r="B188" s="206">
        <v>235</v>
      </c>
      <c r="C188" s="183" t="s">
        <v>11131</v>
      </c>
      <c r="D188" s="183" t="s">
        <v>14661</v>
      </c>
    </row>
    <row r="189" spans="1:4" ht="16.149999999999999" customHeight="1">
      <c r="A189" s="183" t="s">
        <v>14587</v>
      </c>
      <c r="B189" s="183">
        <v>60</v>
      </c>
      <c r="C189" s="183" t="s">
        <v>12114</v>
      </c>
      <c r="D189" s="183" t="s">
        <v>14588</v>
      </c>
    </row>
    <row r="190" spans="1:4" ht="16.149999999999999" customHeight="1">
      <c r="A190" s="183" t="s">
        <v>14593</v>
      </c>
      <c r="B190" s="183">
        <v>228</v>
      </c>
      <c r="C190" s="183" t="s">
        <v>12114</v>
      </c>
      <c r="D190" s="183" t="s">
        <v>14594</v>
      </c>
    </row>
    <row r="191" spans="1:4" ht="16.149999999999999" customHeight="1">
      <c r="A191" s="183" t="s">
        <v>14593</v>
      </c>
      <c r="B191" s="183">
        <v>360</v>
      </c>
      <c r="C191" s="183" t="s">
        <v>12114</v>
      </c>
      <c r="D191" s="183" t="s">
        <v>14595</v>
      </c>
    </row>
    <row r="192" spans="1:4" ht="16.149999999999999" customHeight="1">
      <c r="A192" s="183" t="s">
        <v>14596</v>
      </c>
      <c r="B192" s="183">
        <v>28</v>
      </c>
      <c r="C192" s="183" t="s">
        <v>12114</v>
      </c>
      <c r="D192" s="183" t="s">
        <v>14597</v>
      </c>
    </row>
    <row r="193" spans="1:4" ht="16.149999999999999" customHeight="1">
      <c r="A193" s="183" t="s">
        <v>14596</v>
      </c>
      <c r="B193" s="183">
        <v>44</v>
      </c>
      <c r="C193" s="183" t="s">
        <v>12114</v>
      </c>
      <c r="D193" s="183" t="s">
        <v>14598</v>
      </c>
    </row>
    <row r="194" spans="1:4" ht="16.149999999999999" customHeight="1">
      <c r="A194" s="183" t="s">
        <v>14600</v>
      </c>
      <c r="B194" s="183">
        <v>44</v>
      </c>
      <c r="C194" s="183" t="s">
        <v>12114</v>
      </c>
      <c r="D194" s="183" t="s">
        <v>14601</v>
      </c>
    </row>
    <row r="195" spans="1:4" ht="16.149999999999999" customHeight="1">
      <c r="A195" s="183" t="s">
        <v>8920</v>
      </c>
      <c r="B195" s="183">
        <v>100</v>
      </c>
      <c r="C195" s="183" t="s">
        <v>12114</v>
      </c>
      <c r="D195" s="183" t="s">
        <v>14607</v>
      </c>
    </row>
    <row r="196" spans="1:4" ht="16.149999999999999" customHeight="1">
      <c r="A196" s="183" t="s">
        <v>14616</v>
      </c>
      <c r="B196" s="183">
        <v>60</v>
      </c>
      <c r="C196" s="183" t="s">
        <v>12114</v>
      </c>
      <c r="D196" s="183" t="s">
        <v>14617</v>
      </c>
    </row>
    <row r="197" spans="1:4" ht="16.149999999999999" customHeight="1">
      <c r="A197" s="183" t="s">
        <v>14622</v>
      </c>
      <c r="B197" s="183">
        <v>60</v>
      </c>
      <c r="C197" s="183" t="s">
        <v>12114</v>
      </c>
      <c r="D197" s="183" t="s">
        <v>14623</v>
      </c>
    </row>
    <row r="198" spans="1:4" s="483" customFormat="1" ht="16.149999999999999" customHeight="1">
      <c r="A198" s="329" t="s">
        <v>14624</v>
      </c>
      <c r="B198" s="483">
        <v>120</v>
      </c>
      <c r="C198" s="483" t="s">
        <v>12114</v>
      </c>
      <c r="D198" s="329" t="s">
        <v>14625</v>
      </c>
    </row>
    <row r="199" spans="1:4" s="483" customFormat="1" ht="16.149999999999999" customHeight="1">
      <c r="A199" s="329" t="s">
        <v>14624</v>
      </c>
      <c r="B199" s="483">
        <v>44</v>
      </c>
      <c r="C199" s="483" t="s">
        <v>12114</v>
      </c>
      <c r="D199" s="329" t="s">
        <v>14626</v>
      </c>
    </row>
    <row r="200" spans="1:4" s="483" customFormat="1" ht="16.149999999999999" customHeight="1">
      <c r="A200" s="329" t="s">
        <v>14627</v>
      </c>
      <c r="B200" s="483">
        <v>572</v>
      </c>
      <c r="C200" s="483" t="s">
        <v>12114</v>
      </c>
      <c r="D200" s="329" t="s">
        <v>14628</v>
      </c>
    </row>
    <row r="201" spans="1:4" s="483" customFormat="1" ht="16.149999999999999" customHeight="1">
      <c r="A201" s="329" t="s">
        <v>14631</v>
      </c>
      <c r="B201" s="483">
        <v>44</v>
      </c>
      <c r="C201" s="483" t="s">
        <v>12114</v>
      </c>
      <c r="D201" s="329" t="s">
        <v>14632</v>
      </c>
    </row>
    <row r="202" spans="1:4" ht="16.149999999999999" customHeight="1">
      <c r="A202" s="183" t="s">
        <v>14638</v>
      </c>
      <c r="B202" s="183">
        <v>112</v>
      </c>
      <c r="C202" s="183" t="s">
        <v>12114</v>
      </c>
      <c r="D202" s="183" t="s">
        <v>14639</v>
      </c>
    </row>
    <row r="203" spans="1:4" ht="16.149999999999999" customHeight="1">
      <c r="A203" s="183" t="s">
        <v>14641</v>
      </c>
      <c r="B203" s="183">
        <v>28</v>
      </c>
      <c r="C203" s="183" t="s">
        <v>11099</v>
      </c>
      <c r="D203" s="183" t="s">
        <v>14285</v>
      </c>
    </row>
    <row r="204" spans="1:4" ht="16.149999999999999" customHeight="1">
      <c r="A204" s="183" t="s">
        <v>11107</v>
      </c>
      <c r="B204" s="183">
        <v>44</v>
      </c>
      <c r="C204" s="183" t="s">
        <v>12114</v>
      </c>
      <c r="D204" s="183" t="s">
        <v>11108</v>
      </c>
    </row>
    <row r="205" spans="1:4" ht="16.149999999999999" customHeight="1">
      <c r="A205" s="183" t="s">
        <v>14307</v>
      </c>
      <c r="B205" s="183">
        <v>60</v>
      </c>
      <c r="C205" s="183" t="s">
        <v>11099</v>
      </c>
      <c r="D205" s="183" t="s">
        <v>14647</v>
      </c>
    </row>
    <row r="206" spans="1:4" ht="16.149999999999999" customHeight="1">
      <c r="A206" s="183" t="s">
        <v>11109</v>
      </c>
      <c r="B206" s="183">
        <v>112</v>
      </c>
      <c r="C206" s="183" t="s">
        <v>12114</v>
      </c>
      <c r="D206" s="183" t="s">
        <v>14648</v>
      </c>
    </row>
    <row r="207" spans="1:4" ht="16.149999999999999" customHeight="1">
      <c r="A207" s="183" t="s">
        <v>11110</v>
      </c>
      <c r="B207" s="183">
        <v>60</v>
      </c>
      <c r="C207" s="183" t="s">
        <v>11099</v>
      </c>
      <c r="D207" s="183" t="s">
        <v>14320</v>
      </c>
    </row>
    <row r="208" spans="1:4" ht="16.149999999999999" customHeight="1">
      <c r="A208" s="183" t="s">
        <v>11118</v>
      </c>
      <c r="B208" s="183">
        <v>60</v>
      </c>
      <c r="C208" s="183" t="s">
        <v>11099</v>
      </c>
      <c r="D208" s="183" t="s">
        <v>14332</v>
      </c>
    </row>
    <row r="209" spans="1:6" ht="16.149999999999999" customHeight="1">
      <c r="A209" s="183" t="s">
        <v>11121</v>
      </c>
      <c r="B209" s="183">
        <v>60</v>
      </c>
      <c r="C209" s="183" t="s">
        <v>11099</v>
      </c>
      <c r="D209" s="183" t="s">
        <v>14336</v>
      </c>
    </row>
    <row r="210" spans="1:6" ht="16.149999999999999" customHeight="1">
      <c r="A210" s="183" t="s">
        <v>11123</v>
      </c>
      <c r="B210" s="183">
        <v>44</v>
      </c>
      <c r="C210" s="183" t="s">
        <v>11099</v>
      </c>
      <c r="D210" s="183" t="s">
        <v>14658</v>
      </c>
    </row>
    <row r="211" spans="1:6" ht="16.149999999999999" customHeight="1">
      <c r="A211" s="183" t="s">
        <v>11129</v>
      </c>
      <c r="B211" s="183">
        <v>720</v>
      </c>
      <c r="C211" s="183" t="s">
        <v>11099</v>
      </c>
      <c r="D211" s="183" t="s">
        <v>14366</v>
      </c>
    </row>
    <row r="212" spans="1:6" ht="16.149999999999999" customHeight="1">
      <c r="A212" s="183" t="s">
        <v>14662</v>
      </c>
      <c r="B212" s="183">
        <v>88</v>
      </c>
      <c r="C212" s="183" t="s">
        <v>12114</v>
      </c>
      <c r="D212" s="183" t="s">
        <v>14663</v>
      </c>
    </row>
    <row r="213" spans="1:6" ht="16.149999999999999" customHeight="1">
      <c r="A213" s="183" t="s">
        <v>14372</v>
      </c>
      <c r="B213" s="183">
        <v>92</v>
      </c>
      <c r="C213" s="183" t="s">
        <v>11099</v>
      </c>
      <c r="D213" s="183" t="s">
        <v>11134</v>
      </c>
    </row>
    <row r="214" spans="1:6" ht="16.149999999999999" customHeight="1">
      <c r="A214" s="183" t="s">
        <v>11135</v>
      </c>
      <c r="B214" s="183">
        <v>28</v>
      </c>
      <c r="C214" s="183" t="s">
        <v>12114</v>
      </c>
      <c r="D214" s="183" t="s">
        <v>14580</v>
      </c>
    </row>
    <row r="215" spans="1:6" ht="16.149999999999999" customHeight="1">
      <c r="A215" s="183" t="s">
        <v>11140</v>
      </c>
      <c r="B215" s="183">
        <v>28</v>
      </c>
      <c r="C215" s="183" t="s">
        <v>11099</v>
      </c>
      <c r="D215" s="183" t="s">
        <v>11136</v>
      </c>
    </row>
    <row r="216" spans="1:6" ht="16.149999999999999" customHeight="1">
      <c r="A216" s="183" t="s">
        <v>14397</v>
      </c>
      <c r="B216" s="183">
        <v>56</v>
      </c>
      <c r="C216" s="183" t="s">
        <v>11099</v>
      </c>
      <c r="D216" s="183" t="s">
        <v>14665</v>
      </c>
    </row>
    <row r="217" spans="1:6" ht="16.149999999999999" customHeight="1">
      <c r="A217" s="183" t="s">
        <v>11141</v>
      </c>
      <c r="B217" s="183">
        <v>112</v>
      </c>
      <c r="C217" s="183" t="s">
        <v>11099</v>
      </c>
      <c r="D217" s="183" t="s">
        <v>14666</v>
      </c>
    </row>
    <row r="218" spans="1:6" ht="16.149999999999999" customHeight="1">
      <c r="A218" s="183" t="s">
        <v>14667</v>
      </c>
      <c r="B218" s="183">
        <v>44</v>
      </c>
      <c r="C218" s="183" t="s">
        <v>11133</v>
      </c>
      <c r="D218" s="183" t="s">
        <v>14668</v>
      </c>
    </row>
    <row r="219" spans="1:6" ht="16.149999999999999" customHeight="1">
      <c r="A219" s="183" t="s">
        <v>14411</v>
      </c>
      <c r="B219" s="183">
        <v>56</v>
      </c>
      <c r="C219" s="183" t="s">
        <v>11099</v>
      </c>
      <c r="D219" s="183" t="s">
        <v>14670</v>
      </c>
    </row>
    <row r="220" spans="1:6" ht="16.149999999999999" customHeight="1">
      <c r="A220" s="183" t="s">
        <v>14411</v>
      </c>
      <c r="B220" s="183">
        <v>28</v>
      </c>
      <c r="C220" s="183" t="s">
        <v>11099</v>
      </c>
      <c r="D220" s="183" t="s">
        <v>14671</v>
      </c>
    </row>
    <row r="221" spans="1:6" ht="16.149999999999999" customHeight="1">
      <c r="A221" s="183" t="s">
        <v>14418</v>
      </c>
      <c r="B221" s="183">
        <v>28</v>
      </c>
      <c r="C221" s="183" t="s">
        <v>12114</v>
      </c>
      <c r="D221" s="183" t="s">
        <v>11144</v>
      </c>
    </row>
    <row r="222" spans="1:6" ht="16.149999999999999" customHeight="1">
      <c r="A222" s="183" t="s">
        <v>14636</v>
      </c>
      <c r="B222" s="206">
        <v>200</v>
      </c>
      <c r="C222" s="695"/>
      <c r="D222" s="183" t="s">
        <v>15244</v>
      </c>
    </row>
    <row r="223" spans="1:6" ht="16.149999999999999" customHeight="1">
      <c r="A223" s="183" t="s">
        <v>11012</v>
      </c>
      <c r="B223" s="183">
        <v>250</v>
      </c>
      <c r="D223" s="183" t="s">
        <v>15245</v>
      </c>
    </row>
    <row r="224" spans="1:6" s="704" customFormat="1" ht="3.6" customHeight="1">
      <c r="E224" s="708"/>
      <c r="F224" s="708"/>
    </row>
    <row r="226" spans="8:8">
      <c r="H226" s="694"/>
    </row>
  </sheetData>
  <phoneticPr fontId="3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3755"/>
  <sheetViews>
    <sheetView workbookViewId="0">
      <pane ySplit="705" topLeftCell="A3572" activePane="bottomLeft"/>
      <selection activeCell="E1" sqref="E1:E1048576"/>
      <selection pane="bottomLeft" activeCell="H1307" sqref="H1307"/>
    </sheetView>
  </sheetViews>
  <sheetFormatPr defaultColWidth="8.75" defaultRowHeight="16.5"/>
  <cols>
    <col min="1" max="1" width="12.25" style="739" customWidth="1"/>
    <col min="2" max="5" width="8.75" style="739"/>
    <col min="6" max="6" width="9.5" style="739" bestFit="1" customWidth="1"/>
    <col min="7" max="7" width="8.75" style="739"/>
    <col min="8" max="8" width="47.25" style="739" customWidth="1"/>
    <col min="9" max="9" width="8.75" style="739"/>
    <col min="10" max="10" width="16.5" style="739" bestFit="1" customWidth="1"/>
    <col min="11" max="16384" width="8.75" style="739"/>
  </cols>
  <sheetData>
    <row r="1" spans="1:16">
      <c r="A1" s="739" t="s">
        <v>16593</v>
      </c>
      <c r="B1" s="739" t="s">
        <v>4425</v>
      </c>
      <c r="C1" s="739" t="s">
        <v>4426</v>
      </c>
      <c r="D1" s="739" t="s">
        <v>16594</v>
      </c>
      <c r="E1" s="739" t="s">
        <v>16595</v>
      </c>
      <c r="F1" s="739" t="s">
        <v>4429</v>
      </c>
      <c r="G1" s="739" t="s">
        <v>16596</v>
      </c>
      <c r="H1" s="739" t="s">
        <v>16597</v>
      </c>
    </row>
    <row r="2" spans="1:16">
      <c r="D2" s="739">
        <v>331</v>
      </c>
      <c r="H2" s="739" t="s">
        <v>11156</v>
      </c>
    </row>
    <row r="3" spans="1:16">
      <c r="A3" s="739" t="s">
        <v>16598</v>
      </c>
      <c r="H3" s="739">
        <f>1046.67+951.43</f>
        <v>1998.1</v>
      </c>
      <c r="P3" s="739">
        <f>1514.29*2</f>
        <v>3028.58</v>
      </c>
    </row>
    <row r="4" spans="1:16">
      <c r="E4" s="739">
        <v>200</v>
      </c>
      <c r="H4" s="739" t="s">
        <v>16599</v>
      </c>
    </row>
    <row r="5" spans="1:16">
      <c r="E5" s="834" t="s">
        <v>16600</v>
      </c>
      <c r="F5" s="834"/>
      <c r="G5" s="834"/>
    </row>
    <row r="6" spans="1:16">
      <c r="A6" s="739" t="s">
        <v>16601</v>
      </c>
    </row>
    <row r="7" spans="1:16">
      <c r="D7" s="739">
        <v>8503</v>
      </c>
      <c r="H7" s="739" t="s">
        <v>16602</v>
      </c>
    </row>
    <row r="8" spans="1:16">
      <c r="E8" s="739">
        <v>6725</v>
      </c>
      <c r="H8" s="739" t="s">
        <v>6027</v>
      </c>
    </row>
    <row r="9" spans="1:16">
      <c r="E9" s="739">
        <v>1205</v>
      </c>
      <c r="H9" s="739" t="s">
        <v>6028</v>
      </c>
    </row>
    <row r="10" spans="1:16">
      <c r="E10" s="739">
        <v>174</v>
      </c>
      <c r="H10" s="739" t="s">
        <v>6029</v>
      </c>
    </row>
    <row r="11" spans="1:16">
      <c r="E11" s="739">
        <v>399</v>
      </c>
      <c r="H11" s="739" t="s">
        <v>16603</v>
      </c>
    </row>
    <row r="12" spans="1:16">
      <c r="D12" s="739">
        <v>33</v>
      </c>
      <c r="H12" s="739" t="s">
        <v>16604</v>
      </c>
    </row>
    <row r="13" spans="1:16">
      <c r="E13" s="739">
        <v>33</v>
      </c>
      <c r="H13" s="739" t="s">
        <v>6032</v>
      </c>
    </row>
    <row r="15" spans="1:16">
      <c r="A15" s="739" t="s">
        <v>16605</v>
      </c>
    </row>
    <row r="16" spans="1:16">
      <c r="D16" s="739">
        <v>20030</v>
      </c>
      <c r="H16" s="739" t="s">
        <v>16602</v>
      </c>
    </row>
    <row r="17" spans="1:8">
      <c r="E17" s="739">
        <v>20000</v>
      </c>
      <c r="H17" s="739" t="s">
        <v>6034</v>
      </c>
    </row>
    <row r="19" spans="1:8">
      <c r="A19" s="739" t="s">
        <v>16606</v>
      </c>
    </row>
    <row r="20" spans="1:8">
      <c r="D20" s="739">
        <v>150000</v>
      </c>
      <c r="H20" s="739" t="s">
        <v>6026</v>
      </c>
    </row>
    <row r="21" spans="1:8">
      <c r="E21" s="739">
        <v>150000</v>
      </c>
      <c r="H21" s="739" t="s">
        <v>16607</v>
      </c>
    </row>
    <row r="22" spans="1:8">
      <c r="D22" s="739">
        <v>2000</v>
      </c>
      <c r="H22" s="739" t="s">
        <v>6026</v>
      </c>
    </row>
    <row r="23" spans="1:8">
      <c r="E23" s="739">
        <v>40</v>
      </c>
      <c r="H23" s="739" t="s">
        <v>16608</v>
      </c>
    </row>
    <row r="24" spans="1:8">
      <c r="E24" s="834" t="s">
        <v>16609</v>
      </c>
      <c r="F24" s="834"/>
      <c r="G24" s="834"/>
    </row>
    <row r="26" spans="1:8">
      <c r="A26" s="739" t="s">
        <v>16610</v>
      </c>
    </row>
    <row r="27" spans="1:8">
      <c r="E27" s="739">
        <v>73</v>
      </c>
      <c r="H27" s="739" t="s">
        <v>6040</v>
      </c>
    </row>
    <row r="28" spans="1:8">
      <c r="E28" s="739">
        <v>123</v>
      </c>
      <c r="H28" s="739" t="s">
        <v>16611</v>
      </c>
    </row>
    <row r="29" spans="1:8">
      <c r="E29" s="834" t="s">
        <v>11178</v>
      </c>
      <c r="F29" s="834"/>
      <c r="G29" s="834"/>
    </row>
    <row r="31" spans="1:8">
      <c r="A31" s="739" t="s">
        <v>6042</v>
      </c>
    </row>
    <row r="32" spans="1:8">
      <c r="E32" s="739">
        <v>45</v>
      </c>
      <c r="H32" s="739" t="s">
        <v>11180</v>
      </c>
    </row>
    <row r="33" spans="1:9">
      <c r="E33" s="834" t="s">
        <v>6044</v>
      </c>
      <c r="F33" s="834"/>
      <c r="G33" s="834"/>
    </row>
    <row r="35" spans="1:9">
      <c r="A35" s="739" t="s">
        <v>6045</v>
      </c>
    </row>
    <row r="36" spans="1:9">
      <c r="E36" s="739">
        <v>1205</v>
      </c>
      <c r="H36" s="739" t="s">
        <v>16612</v>
      </c>
    </row>
    <row r="37" spans="1:9">
      <c r="E37" s="834" t="s">
        <v>6047</v>
      </c>
      <c r="F37" s="834"/>
      <c r="G37" s="834"/>
    </row>
    <row r="38" spans="1:9">
      <c r="A38" s="739" t="s">
        <v>16613</v>
      </c>
    </row>
    <row r="39" spans="1:9">
      <c r="E39" s="739">
        <v>399</v>
      </c>
      <c r="H39" s="739" t="s">
        <v>16614</v>
      </c>
    </row>
    <row r="40" spans="1:9">
      <c r="E40" s="834" t="s">
        <v>11187</v>
      </c>
      <c r="F40" s="834"/>
      <c r="G40" s="834"/>
    </row>
    <row r="42" spans="1:9">
      <c r="A42" s="739" t="s">
        <v>6051</v>
      </c>
    </row>
    <row r="43" spans="1:9">
      <c r="E43" s="739">
        <v>33</v>
      </c>
      <c r="H43" s="739" t="s">
        <v>16615</v>
      </c>
      <c r="I43" s="739" t="s">
        <v>16616</v>
      </c>
    </row>
    <row r="44" spans="1:9">
      <c r="E44" s="834" t="s">
        <v>16617</v>
      </c>
      <c r="F44" s="834"/>
      <c r="G44" s="834"/>
    </row>
    <row r="46" spans="1:9">
      <c r="A46" s="739" t="s">
        <v>16618</v>
      </c>
    </row>
    <row r="47" spans="1:9">
      <c r="E47" s="739">
        <v>200</v>
      </c>
      <c r="H47" s="739" t="s">
        <v>16619</v>
      </c>
    </row>
    <row r="48" spans="1:9">
      <c r="E48" s="834" t="s">
        <v>16620</v>
      </c>
      <c r="F48" s="834"/>
      <c r="G48" s="834"/>
    </row>
    <row r="50" spans="1:8">
      <c r="A50" s="739" t="s">
        <v>6057</v>
      </c>
    </row>
    <row r="51" spans="1:8">
      <c r="D51" s="739">
        <v>2000</v>
      </c>
      <c r="H51" s="739" t="s">
        <v>6026</v>
      </c>
    </row>
    <row r="52" spans="1:8">
      <c r="E52" s="739">
        <v>300</v>
      </c>
      <c r="H52" s="739" t="s">
        <v>6058</v>
      </c>
    </row>
    <row r="53" spans="1:8">
      <c r="E53" s="739">
        <v>10</v>
      </c>
      <c r="H53" s="739" t="s">
        <v>6059</v>
      </c>
    </row>
    <row r="54" spans="1:8">
      <c r="E54" s="834" t="s">
        <v>16621</v>
      </c>
      <c r="F54" s="834"/>
      <c r="G54" s="834"/>
    </row>
    <row r="56" spans="1:8" s="835" customFormat="1"/>
    <row r="58" spans="1:8">
      <c r="A58" s="739" t="s">
        <v>6061</v>
      </c>
    </row>
    <row r="59" spans="1:8">
      <c r="E59" s="739">
        <v>50</v>
      </c>
      <c r="H59" s="739" t="s">
        <v>6062</v>
      </c>
    </row>
    <row r="60" spans="1:8">
      <c r="E60" s="834" t="s">
        <v>16622</v>
      </c>
      <c r="F60" s="834"/>
      <c r="G60" s="834"/>
    </row>
    <row r="62" spans="1:8">
      <c r="A62" s="739" t="s">
        <v>6064</v>
      </c>
    </row>
    <row r="63" spans="1:8">
      <c r="E63" s="739">
        <v>800</v>
      </c>
      <c r="H63" s="739" t="s">
        <v>6065</v>
      </c>
    </row>
    <row r="64" spans="1:8">
      <c r="E64" s="834" t="s">
        <v>16623</v>
      </c>
      <c r="F64" s="834"/>
      <c r="G64" s="834"/>
    </row>
    <row r="66" spans="1:8">
      <c r="A66" s="739" t="s">
        <v>16624</v>
      </c>
    </row>
    <row r="67" spans="1:8">
      <c r="E67" s="739">
        <v>100</v>
      </c>
      <c r="H67" s="739" t="s">
        <v>16625</v>
      </c>
    </row>
    <row r="68" spans="1:8">
      <c r="E68" s="834" t="s">
        <v>6069</v>
      </c>
      <c r="F68" s="834"/>
      <c r="G68" s="834"/>
    </row>
    <row r="70" spans="1:8">
      <c r="A70" s="739" t="s">
        <v>16626</v>
      </c>
    </row>
    <row r="71" spans="1:8">
      <c r="D71" s="739">
        <v>19062</v>
      </c>
      <c r="H71" s="739" t="s">
        <v>6026</v>
      </c>
    </row>
    <row r="72" spans="1:8">
      <c r="E72" s="739">
        <v>17062</v>
      </c>
      <c r="H72" s="739" t="s">
        <v>6071</v>
      </c>
    </row>
    <row r="73" spans="1:8">
      <c r="E73" s="834" t="s">
        <v>16627</v>
      </c>
      <c r="F73" s="834"/>
      <c r="G73" s="834"/>
    </row>
    <row r="75" spans="1:8">
      <c r="A75" s="739" t="s">
        <v>6073</v>
      </c>
    </row>
    <row r="76" spans="1:8">
      <c r="E76" s="739">
        <v>174</v>
      </c>
      <c r="H76" s="739" t="s">
        <v>6074</v>
      </c>
    </row>
    <row r="77" spans="1:8">
      <c r="E77" s="739">
        <v>399</v>
      </c>
      <c r="H77" s="739" t="s">
        <v>16628</v>
      </c>
    </row>
    <row r="78" spans="1:8">
      <c r="E78" s="834" t="s">
        <v>6076</v>
      </c>
      <c r="F78" s="834"/>
      <c r="G78" s="834"/>
    </row>
    <row r="80" spans="1:8">
      <c r="A80" s="739" t="s">
        <v>16629</v>
      </c>
    </row>
    <row r="81" spans="1:8">
      <c r="D81" s="739">
        <v>8500</v>
      </c>
      <c r="H81" s="739" t="s">
        <v>16602</v>
      </c>
    </row>
    <row r="82" spans="1:8" ht="58.5" customHeight="1">
      <c r="E82" s="739">
        <v>7826</v>
      </c>
      <c r="H82" s="836" t="s">
        <v>11214</v>
      </c>
    </row>
    <row r="83" spans="1:8">
      <c r="E83" s="739">
        <v>220</v>
      </c>
      <c r="H83" s="739" t="s">
        <v>16630</v>
      </c>
    </row>
    <row r="84" spans="1:8">
      <c r="E84" s="834" t="s">
        <v>6079</v>
      </c>
      <c r="F84" s="834"/>
      <c r="G84" s="834"/>
    </row>
    <row r="86" spans="1:8">
      <c r="A86" s="739" t="s">
        <v>16629</v>
      </c>
    </row>
    <row r="87" spans="1:8">
      <c r="E87" s="739">
        <v>1205</v>
      </c>
      <c r="H87" s="739" t="s">
        <v>16631</v>
      </c>
    </row>
    <row r="88" spans="1:8">
      <c r="E88" s="834" t="s">
        <v>11218</v>
      </c>
      <c r="F88" s="834"/>
      <c r="G88" s="834"/>
    </row>
    <row r="90" spans="1:8">
      <c r="A90" s="739" t="s">
        <v>16632</v>
      </c>
    </row>
    <row r="91" spans="1:8">
      <c r="E91" s="739">
        <v>37</v>
      </c>
      <c r="H91" s="739" t="s">
        <v>11220</v>
      </c>
    </row>
    <row r="92" spans="1:8">
      <c r="E92" s="834" t="s">
        <v>6084</v>
      </c>
      <c r="F92" s="834"/>
      <c r="G92" s="834"/>
    </row>
    <row r="94" spans="1:8">
      <c r="A94" s="739" t="s">
        <v>16633</v>
      </c>
    </row>
    <row r="95" spans="1:8">
      <c r="D95" s="739">
        <v>50000</v>
      </c>
      <c r="H95" s="739" t="s">
        <v>16602</v>
      </c>
    </row>
    <row r="96" spans="1:8">
      <c r="E96" s="739">
        <v>50000</v>
      </c>
      <c r="H96" s="739" t="s">
        <v>6086</v>
      </c>
    </row>
    <row r="98" spans="1:8">
      <c r="A98" s="739" t="s">
        <v>16634</v>
      </c>
    </row>
    <row r="99" spans="1:8">
      <c r="E99" s="739">
        <v>9</v>
      </c>
      <c r="H99" s="739" t="s">
        <v>6088</v>
      </c>
    </row>
    <row r="100" spans="1:8">
      <c r="E100" s="834" t="s">
        <v>16635</v>
      </c>
      <c r="F100" s="834"/>
      <c r="G100" s="834"/>
    </row>
    <row r="102" spans="1:8">
      <c r="A102" s="739" t="s">
        <v>16636</v>
      </c>
    </row>
    <row r="103" spans="1:8">
      <c r="E103" s="739">
        <v>100</v>
      </c>
      <c r="H103" s="739" t="s">
        <v>6091</v>
      </c>
    </row>
    <row r="104" spans="1:8">
      <c r="E104" s="834" t="s">
        <v>16637</v>
      </c>
      <c r="F104" s="834"/>
      <c r="G104" s="834"/>
    </row>
    <row r="106" spans="1:8">
      <c r="A106" s="739" t="s">
        <v>11230</v>
      </c>
    </row>
    <row r="107" spans="1:8">
      <c r="E107" s="739">
        <v>67</v>
      </c>
      <c r="H107" s="739" t="s">
        <v>16638</v>
      </c>
    </row>
    <row r="108" spans="1:8">
      <c r="E108" s="739">
        <v>700</v>
      </c>
      <c r="H108" s="739" t="s">
        <v>16639</v>
      </c>
    </row>
    <row r="109" spans="1:8">
      <c r="E109" s="834" t="s">
        <v>6096</v>
      </c>
      <c r="F109" s="834"/>
      <c r="G109" s="834"/>
    </row>
    <row r="111" spans="1:8">
      <c r="A111" s="739" t="s">
        <v>16640</v>
      </c>
    </row>
    <row r="112" spans="1:8">
      <c r="D112" s="739">
        <v>20030</v>
      </c>
      <c r="H112" s="739" t="s">
        <v>6026</v>
      </c>
    </row>
    <row r="113" spans="1:8">
      <c r="E113" s="739">
        <v>20000</v>
      </c>
      <c r="H113" s="739" t="s">
        <v>6098</v>
      </c>
    </row>
    <row r="114" spans="1:8">
      <c r="E114" s="739">
        <v>30</v>
      </c>
      <c r="H114" s="739" t="s">
        <v>6099</v>
      </c>
    </row>
    <row r="115" spans="1:8">
      <c r="E115" s="834" t="s">
        <v>16641</v>
      </c>
      <c r="F115" s="834"/>
      <c r="G115" s="834"/>
    </row>
    <row r="117" spans="1:8">
      <c r="A117" s="739" t="s">
        <v>6100</v>
      </c>
    </row>
    <row r="118" spans="1:8">
      <c r="E118" s="739">
        <v>200</v>
      </c>
      <c r="H118" s="739" t="s">
        <v>11238</v>
      </c>
    </row>
    <row r="119" spans="1:8">
      <c r="E119" s="834" t="s">
        <v>6102</v>
      </c>
      <c r="F119" s="834"/>
      <c r="G119" s="834"/>
    </row>
    <row r="121" spans="1:8">
      <c r="A121" s="739" t="s">
        <v>16642</v>
      </c>
    </row>
    <row r="122" spans="1:8">
      <c r="D122" s="739">
        <v>4000</v>
      </c>
      <c r="H122" s="739" t="s">
        <v>16602</v>
      </c>
    </row>
    <row r="123" spans="1:8">
      <c r="E123" s="739">
        <v>1205</v>
      </c>
      <c r="H123" s="739" t="s">
        <v>16643</v>
      </c>
    </row>
    <row r="124" spans="1:8">
      <c r="E124" s="739">
        <v>35</v>
      </c>
      <c r="H124" s="739" t="s">
        <v>6105</v>
      </c>
    </row>
    <row r="125" spans="1:8">
      <c r="E125" s="739">
        <v>25</v>
      </c>
      <c r="H125" s="739" t="s">
        <v>16644</v>
      </c>
    </row>
    <row r="126" spans="1:8">
      <c r="E126" s="739">
        <v>1000</v>
      </c>
      <c r="H126" s="739" t="s">
        <v>16645</v>
      </c>
    </row>
    <row r="127" spans="1:8">
      <c r="E127" s="834" t="s">
        <v>16646</v>
      </c>
      <c r="F127" s="834"/>
      <c r="G127" s="834"/>
    </row>
    <row r="129" spans="1:8">
      <c r="A129" s="739" t="s">
        <v>16647</v>
      </c>
    </row>
    <row r="130" spans="1:8">
      <c r="E130" s="739">
        <v>500</v>
      </c>
      <c r="H130" s="739" t="s">
        <v>16648</v>
      </c>
    </row>
    <row r="131" spans="1:8">
      <c r="E131" s="834" t="s">
        <v>16649</v>
      </c>
      <c r="F131" s="834"/>
      <c r="G131" s="834"/>
    </row>
    <row r="133" spans="1:8" s="835" customFormat="1"/>
    <row r="135" spans="1:8">
      <c r="A135" s="739" t="s">
        <v>6112</v>
      </c>
    </row>
    <row r="136" spans="1:8">
      <c r="E136" s="739">
        <v>250</v>
      </c>
      <c r="H136" s="739" t="s">
        <v>16650</v>
      </c>
    </row>
    <row r="137" spans="1:8">
      <c r="E137" s="834" t="s">
        <v>6114</v>
      </c>
      <c r="F137" s="834"/>
      <c r="G137" s="834"/>
    </row>
    <row r="139" spans="1:8">
      <c r="A139" s="739" t="s">
        <v>16651</v>
      </c>
    </row>
    <row r="140" spans="1:8">
      <c r="E140" s="739">
        <v>18</v>
      </c>
      <c r="H140" s="739" t="s">
        <v>16652</v>
      </c>
    </row>
    <row r="141" spans="1:8">
      <c r="E141" s="739">
        <v>275</v>
      </c>
      <c r="H141" s="739" t="s">
        <v>16653</v>
      </c>
    </row>
    <row r="142" spans="1:8">
      <c r="E142" s="739">
        <v>169</v>
      </c>
      <c r="H142" s="739" t="s">
        <v>6118</v>
      </c>
    </row>
    <row r="143" spans="1:8">
      <c r="E143" s="834" t="s">
        <v>6119</v>
      </c>
      <c r="F143" s="834"/>
      <c r="G143" s="834"/>
    </row>
    <row r="145" spans="1:8">
      <c r="A145" s="739" t="s">
        <v>16654</v>
      </c>
    </row>
    <row r="146" spans="1:8">
      <c r="C146" s="739">
        <v>12396</v>
      </c>
      <c r="H146" s="739" t="s">
        <v>16655</v>
      </c>
    </row>
    <row r="147" spans="1:8">
      <c r="B147" s="739">
        <v>11340</v>
      </c>
      <c r="H147" s="739" t="s">
        <v>16656</v>
      </c>
    </row>
    <row r="148" spans="1:8">
      <c r="D148" s="739">
        <v>12000</v>
      </c>
      <c r="H148" s="739" t="s">
        <v>6026</v>
      </c>
    </row>
    <row r="149" spans="1:8">
      <c r="E149" s="739">
        <v>10370</v>
      </c>
      <c r="H149" s="739" t="s">
        <v>11260</v>
      </c>
    </row>
    <row r="150" spans="1:8">
      <c r="E150" s="834" t="s">
        <v>6124</v>
      </c>
      <c r="F150" s="834"/>
      <c r="G150" s="834"/>
    </row>
    <row r="152" spans="1:8">
      <c r="A152" s="739" t="s">
        <v>11262</v>
      </c>
    </row>
    <row r="153" spans="1:8">
      <c r="E153" s="739">
        <v>109</v>
      </c>
      <c r="H153" s="739" t="s">
        <v>7126</v>
      </c>
    </row>
    <row r="154" spans="1:8">
      <c r="E154" s="834" t="s">
        <v>16657</v>
      </c>
      <c r="F154" s="834"/>
      <c r="G154" s="834"/>
    </row>
    <row r="156" spans="1:8">
      <c r="A156" s="739" t="s">
        <v>6128</v>
      </c>
    </row>
    <row r="157" spans="1:8">
      <c r="E157" s="739">
        <v>130</v>
      </c>
      <c r="H157" s="739" t="s">
        <v>16658</v>
      </c>
    </row>
    <row r="158" spans="1:8">
      <c r="E158" s="834" t="s">
        <v>11267</v>
      </c>
      <c r="F158" s="834"/>
      <c r="G158" s="834"/>
    </row>
    <row r="159" spans="1:8">
      <c r="E159" s="739">
        <v>159</v>
      </c>
      <c r="H159" s="739" t="s">
        <v>7252</v>
      </c>
    </row>
    <row r="160" spans="1:8">
      <c r="E160" s="739">
        <v>1205</v>
      </c>
      <c r="H160" s="739" t="s">
        <v>6132</v>
      </c>
    </row>
    <row r="161" spans="1:8">
      <c r="E161" s="739">
        <v>798</v>
      </c>
      <c r="H161" s="739" t="s">
        <v>6133</v>
      </c>
    </row>
    <row r="162" spans="1:8">
      <c r="E162" s="834" t="s">
        <v>6134</v>
      </c>
      <c r="F162" s="834"/>
      <c r="G162" s="834"/>
    </row>
    <row r="163" spans="1:8">
      <c r="E163" s="834"/>
      <c r="F163" s="834"/>
      <c r="G163" s="834"/>
    </row>
    <row r="164" spans="1:8">
      <c r="A164" s="739" t="s">
        <v>16659</v>
      </c>
      <c r="E164" s="834"/>
      <c r="F164" s="834"/>
      <c r="G164" s="834"/>
    </row>
    <row r="165" spans="1:8">
      <c r="E165" s="741">
        <v>180</v>
      </c>
      <c r="F165" s="741"/>
      <c r="G165" s="741"/>
      <c r="H165" s="739" t="s">
        <v>16660</v>
      </c>
    </row>
    <row r="166" spans="1:8">
      <c r="E166" s="741">
        <v>200</v>
      </c>
      <c r="F166" s="741"/>
      <c r="G166" s="741"/>
      <c r="H166" s="739" t="s">
        <v>16661</v>
      </c>
    </row>
    <row r="167" spans="1:8">
      <c r="E167" s="834"/>
      <c r="F167" s="834"/>
      <c r="G167" s="834"/>
    </row>
    <row r="168" spans="1:8">
      <c r="A168" s="739" t="s">
        <v>6137</v>
      </c>
      <c r="E168" s="834"/>
      <c r="F168" s="834"/>
      <c r="G168" s="834"/>
    </row>
    <row r="169" spans="1:8">
      <c r="E169" s="741">
        <v>140</v>
      </c>
      <c r="F169" s="741"/>
      <c r="G169" s="741"/>
      <c r="H169" s="739" t="s">
        <v>16662</v>
      </c>
    </row>
    <row r="170" spans="1:8">
      <c r="E170" s="741">
        <v>145</v>
      </c>
      <c r="F170" s="741"/>
      <c r="G170" s="741"/>
      <c r="H170" s="739" t="s">
        <v>16663</v>
      </c>
    </row>
    <row r="171" spans="1:8">
      <c r="E171" s="741"/>
      <c r="F171" s="741"/>
      <c r="G171" s="741"/>
    </row>
    <row r="172" spans="1:8">
      <c r="A172" s="739" t="s">
        <v>6139</v>
      </c>
      <c r="E172" s="834"/>
      <c r="F172" s="834"/>
      <c r="G172" s="834"/>
    </row>
    <row r="173" spans="1:8">
      <c r="E173" s="741">
        <v>25</v>
      </c>
      <c r="F173" s="741"/>
      <c r="G173" s="741"/>
      <c r="H173" s="739" t="s">
        <v>16664</v>
      </c>
    </row>
    <row r="174" spans="1:8">
      <c r="E174" s="834" t="s">
        <v>16665</v>
      </c>
      <c r="F174" s="834"/>
      <c r="G174" s="834"/>
    </row>
    <row r="175" spans="1:8">
      <c r="E175" s="834"/>
      <c r="F175" s="834"/>
      <c r="G175" s="834"/>
    </row>
    <row r="176" spans="1:8">
      <c r="A176" s="739" t="s">
        <v>16666</v>
      </c>
      <c r="E176" s="834"/>
      <c r="F176" s="834"/>
      <c r="G176" s="834"/>
    </row>
    <row r="177" spans="1:8">
      <c r="E177" s="741">
        <v>88</v>
      </c>
      <c r="F177" s="741"/>
      <c r="G177" s="741"/>
      <c r="H177" s="739" t="s">
        <v>16667</v>
      </c>
    </row>
    <row r="178" spans="1:8">
      <c r="E178" s="834"/>
      <c r="F178" s="834"/>
      <c r="G178" s="834"/>
    </row>
    <row r="179" spans="1:8">
      <c r="A179" s="739" t="s">
        <v>11281</v>
      </c>
      <c r="E179" s="834"/>
      <c r="F179" s="834"/>
      <c r="G179" s="834"/>
    </row>
    <row r="180" spans="1:8">
      <c r="E180" s="741">
        <v>98</v>
      </c>
      <c r="F180" s="741"/>
      <c r="G180" s="741"/>
      <c r="H180" s="739" t="s">
        <v>16668</v>
      </c>
    </row>
    <row r="181" spans="1:8">
      <c r="E181" s="834"/>
      <c r="F181" s="834"/>
      <c r="G181" s="834"/>
    </row>
    <row r="182" spans="1:8">
      <c r="A182" s="739" t="s">
        <v>16669</v>
      </c>
      <c r="E182" s="834"/>
      <c r="F182" s="834"/>
      <c r="G182" s="834"/>
    </row>
    <row r="183" spans="1:8">
      <c r="C183" s="739">
        <v>24689</v>
      </c>
      <c r="E183" s="834"/>
      <c r="F183" s="834"/>
      <c r="G183" s="834"/>
      <c r="H183" s="739" t="s">
        <v>16670</v>
      </c>
    </row>
    <row r="184" spans="1:8">
      <c r="C184" s="739">
        <v>40120</v>
      </c>
      <c r="E184" s="834"/>
      <c r="F184" s="834"/>
      <c r="G184" s="834"/>
      <c r="H184" s="739" t="s">
        <v>16671</v>
      </c>
    </row>
    <row r="185" spans="1:8">
      <c r="C185" s="739">
        <v>63796</v>
      </c>
      <c r="E185" s="834"/>
      <c r="F185" s="834"/>
      <c r="G185" s="834"/>
      <c r="H185" s="739" t="s">
        <v>6148</v>
      </c>
    </row>
    <row r="186" spans="1:8">
      <c r="E186" s="834"/>
      <c r="F186" s="834"/>
      <c r="G186" s="834"/>
    </row>
    <row r="187" spans="1:8">
      <c r="A187" s="739" t="s">
        <v>11287</v>
      </c>
    </row>
    <row r="188" spans="1:8" ht="49.5">
      <c r="C188" s="739">
        <v>20000</v>
      </c>
      <c r="H188" s="836" t="s">
        <v>6150</v>
      </c>
    </row>
    <row r="189" spans="1:8">
      <c r="E189" s="739">
        <v>30</v>
      </c>
      <c r="H189" s="739" t="s">
        <v>16672</v>
      </c>
    </row>
    <row r="190" spans="1:8">
      <c r="E190" s="834" t="s">
        <v>6056</v>
      </c>
      <c r="F190" s="834"/>
      <c r="G190" s="834"/>
    </row>
    <row r="191" spans="1:8">
      <c r="D191" s="739">
        <v>45000</v>
      </c>
      <c r="E191" s="834"/>
      <c r="F191" s="834"/>
      <c r="G191" s="834"/>
      <c r="H191" s="739" t="s">
        <v>6026</v>
      </c>
    </row>
    <row r="192" spans="1:8" ht="214.5">
      <c r="E192" s="741">
        <v>39561</v>
      </c>
      <c r="F192" s="741"/>
      <c r="G192" s="741"/>
      <c r="H192" s="836" t="s">
        <v>11290</v>
      </c>
    </row>
    <row r="193" spans="1:8">
      <c r="E193" s="834" t="s">
        <v>16673</v>
      </c>
      <c r="F193" s="834"/>
      <c r="G193" s="834"/>
    </row>
    <row r="194" spans="1:8">
      <c r="E194" s="834"/>
      <c r="F194" s="834"/>
      <c r="G194" s="834"/>
    </row>
    <row r="195" spans="1:8">
      <c r="A195" s="739" t="s">
        <v>16674</v>
      </c>
    </row>
    <row r="196" spans="1:8">
      <c r="C196" s="739">
        <v>15000</v>
      </c>
      <c r="H196" s="739" t="s">
        <v>16675</v>
      </c>
    </row>
    <row r="197" spans="1:8" ht="132">
      <c r="B197" s="836" t="s">
        <v>16676</v>
      </c>
      <c r="H197" s="739" t="s">
        <v>16677</v>
      </c>
    </row>
    <row r="199" spans="1:8">
      <c r="A199" s="739" t="s">
        <v>16678</v>
      </c>
    </row>
    <row r="200" spans="1:8">
      <c r="E200" s="739">
        <v>1205</v>
      </c>
      <c r="H200" s="739" t="s">
        <v>16679</v>
      </c>
    </row>
    <row r="201" spans="1:8">
      <c r="E201" s="834" t="s">
        <v>16680</v>
      </c>
      <c r="F201" s="834"/>
      <c r="G201" s="834"/>
    </row>
    <row r="202" spans="1:8">
      <c r="E202" s="834" t="s">
        <v>16681</v>
      </c>
      <c r="F202" s="834"/>
      <c r="G202" s="834"/>
      <c r="H202" s="739" t="s">
        <v>16682</v>
      </c>
    </row>
    <row r="204" spans="1:8">
      <c r="A204" s="739" t="s">
        <v>6163</v>
      </c>
    </row>
    <row r="205" spans="1:8">
      <c r="C205" s="739">
        <v>30000</v>
      </c>
      <c r="H205" s="739" t="s">
        <v>6164</v>
      </c>
    </row>
    <row r="206" spans="1:8">
      <c r="E206" s="739">
        <v>399</v>
      </c>
      <c r="H206" s="739" t="s">
        <v>11303</v>
      </c>
    </row>
    <row r="207" spans="1:8">
      <c r="E207" s="739">
        <v>180</v>
      </c>
      <c r="H207" s="739" t="s">
        <v>6166</v>
      </c>
    </row>
    <row r="208" spans="1:8">
      <c r="E208" s="739">
        <v>185</v>
      </c>
      <c r="H208" s="739" t="s">
        <v>6166</v>
      </c>
    </row>
    <row r="209" spans="1:8">
      <c r="E209" s="834" t="s">
        <v>6167</v>
      </c>
      <c r="F209" s="834"/>
      <c r="G209" s="834"/>
    </row>
    <row r="210" spans="1:8">
      <c r="E210" s="834" t="s">
        <v>6168</v>
      </c>
      <c r="F210" s="834"/>
      <c r="G210" s="834"/>
      <c r="H210" s="739" t="s">
        <v>6169</v>
      </c>
    </row>
    <row r="212" spans="1:8">
      <c r="A212" s="739" t="s">
        <v>16683</v>
      </c>
    </row>
    <row r="213" spans="1:8">
      <c r="E213" s="739">
        <v>145</v>
      </c>
      <c r="H213" s="739" t="s">
        <v>6171</v>
      </c>
    </row>
    <row r="214" spans="1:8">
      <c r="E214" s="739">
        <v>150</v>
      </c>
      <c r="H214" s="739" t="s">
        <v>16684</v>
      </c>
    </row>
    <row r="215" spans="1:8">
      <c r="E215" s="834" t="s">
        <v>11311</v>
      </c>
      <c r="F215" s="834"/>
      <c r="G215" s="834"/>
    </row>
    <row r="217" spans="1:8">
      <c r="A217" s="739" t="s">
        <v>11312</v>
      </c>
    </row>
    <row r="218" spans="1:8">
      <c r="E218" s="739">
        <v>18</v>
      </c>
      <c r="H218" s="739" t="s">
        <v>16685</v>
      </c>
    </row>
    <row r="219" spans="1:8">
      <c r="E219" s="739">
        <v>200</v>
      </c>
      <c r="H219" s="739" t="s">
        <v>16686</v>
      </c>
    </row>
    <row r="220" spans="1:8">
      <c r="E220" s="739">
        <v>600</v>
      </c>
      <c r="H220" s="739" t="s">
        <v>11315</v>
      </c>
    </row>
    <row r="221" spans="1:8">
      <c r="E221" s="834" t="s">
        <v>16687</v>
      </c>
      <c r="F221" s="834"/>
      <c r="G221" s="834"/>
      <c r="H221" s="739" t="s">
        <v>16688</v>
      </c>
    </row>
    <row r="222" spans="1:8">
      <c r="E222" s="834"/>
      <c r="F222" s="834"/>
      <c r="G222" s="834"/>
    </row>
    <row r="223" spans="1:8">
      <c r="A223" s="739" t="s">
        <v>6179</v>
      </c>
      <c r="E223" s="834"/>
      <c r="F223" s="834"/>
      <c r="G223" s="834"/>
    </row>
    <row r="224" spans="1:8">
      <c r="E224" s="741">
        <v>230</v>
      </c>
      <c r="F224" s="741"/>
      <c r="G224" s="741"/>
      <c r="H224" s="739" t="s">
        <v>6180</v>
      </c>
    </row>
    <row r="225" spans="1:8">
      <c r="E225" s="741">
        <v>230</v>
      </c>
      <c r="F225" s="741"/>
      <c r="G225" s="741"/>
      <c r="H225" s="739" t="s">
        <v>6180</v>
      </c>
    </row>
    <row r="226" spans="1:8">
      <c r="E226" s="834" t="s">
        <v>6181</v>
      </c>
      <c r="F226" s="834"/>
      <c r="G226" s="834"/>
      <c r="H226" s="739" t="s">
        <v>16689</v>
      </c>
    </row>
    <row r="227" spans="1:8" s="835" customFormat="1">
      <c r="E227" s="837"/>
      <c r="F227" s="837"/>
      <c r="G227" s="837"/>
    </row>
    <row r="228" spans="1:8">
      <c r="A228" s="739" t="s">
        <v>6183</v>
      </c>
    </row>
    <row r="229" spans="1:8">
      <c r="C229" s="739">
        <v>15000</v>
      </c>
      <c r="H229" s="739" t="s">
        <v>11323</v>
      </c>
    </row>
    <row r="231" spans="1:8">
      <c r="A231" s="739" t="s">
        <v>11324</v>
      </c>
      <c r="E231" s="834"/>
      <c r="F231" s="834"/>
      <c r="G231" s="834"/>
    </row>
    <row r="232" spans="1:8">
      <c r="E232" s="741">
        <v>255</v>
      </c>
      <c r="F232" s="741"/>
      <c r="G232" s="741"/>
      <c r="H232" s="739" t="s">
        <v>6186</v>
      </c>
    </row>
    <row r="233" spans="1:8">
      <c r="E233" s="741">
        <v>270</v>
      </c>
      <c r="F233" s="741"/>
      <c r="G233" s="741"/>
      <c r="H233" s="739" t="s">
        <v>16690</v>
      </c>
    </row>
    <row r="234" spans="1:8">
      <c r="E234" s="834" t="s">
        <v>16691</v>
      </c>
      <c r="F234" s="834"/>
      <c r="G234" s="834"/>
    </row>
    <row r="236" spans="1:8">
      <c r="A236" s="739" t="s">
        <v>11327</v>
      </c>
    </row>
    <row r="237" spans="1:8">
      <c r="D237" s="739">
        <v>7000</v>
      </c>
      <c r="H237" s="739" t="s">
        <v>16692</v>
      </c>
    </row>
    <row r="238" spans="1:8">
      <c r="E238" s="739">
        <v>2000</v>
      </c>
      <c r="H238" s="739" t="s">
        <v>16693</v>
      </c>
    </row>
    <row r="239" spans="1:8">
      <c r="E239" s="834" t="s">
        <v>6190</v>
      </c>
      <c r="F239" s="834"/>
      <c r="G239" s="834"/>
    </row>
    <row r="241" spans="1:8">
      <c r="A241" s="739" t="s">
        <v>16694</v>
      </c>
    </row>
    <row r="242" spans="1:8">
      <c r="D242" s="739">
        <v>53000</v>
      </c>
      <c r="H242" s="739" t="s">
        <v>6026</v>
      </c>
    </row>
    <row r="243" spans="1:8">
      <c r="E243" s="739">
        <v>18234</v>
      </c>
      <c r="H243" s="739" t="s">
        <v>6192</v>
      </c>
    </row>
    <row r="244" spans="1:8">
      <c r="E244" s="739">
        <v>20758</v>
      </c>
      <c r="H244" s="739" t="s">
        <v>16695</v>
      </c>
    </row>
    <row r="245" spans="1:8">
      <c r="E245" s="739">
        <v>13614</v>
      </c>
      <c r="H245" s="739" t="s">
        <v>11333</v>
      </c>
    </row>
    <row r="246" spans="1:8">
      <c r="E246" s="834" t="s">
        <v>11334</v>
      </c>
      <c r="F246" s="834"/>
      <c r="G246" s="834"/>
    </row>
    <row r="248" spans="1:8">
      <c r="A248" s="739" t="s">
        <v>16696</v>
      </c>
    </row>
    <row r="249" spans="1:8">
      <c r="E249" s="739">
        <v>1812</v>
      </c>
      <c r="H249" s="739" t="s">
        <v>11336</v>
      </c>
    </row>
    <row r="250" spans="1:8">
      <c r="E250" s="739">
        <v>399</v>
      </c>
      <c r="H250" s="739" t="s">
        <v>11337</v>
      </c>
    </row>
    <row r="251" spans="1:8">
      <c r="E251" s="834" t="s">
        <v>6199</v>
      </c>
      <c r="F251" s="834"/>
      <c r="G251" s="834"/>
    </row>
    <row r="252" spans="1:8">
      <c r="E252" s="834"/>
      <c r="F252" s="834"/>
      <c r="G252" s="834"/>
    </row>
    <row r="253" spans="1:8">
      <c r="A253" s="739" t="s">
        <v>11339</v>
      </c>
      <c r="E253" s="834"/>
      <c r="F253" s="834"/>
      <c r="G253" s="834"/>
    </row>
    <row r="254" spans="1:8">
      <c r="E254" s="741">
        <v>174</v>
      </c>
      <c r="F254" s="741"/>
      <c r="G254" s="741"/>
      <c r="H254" s="739" t="s">
        <v>16697</v>
      </c>
    </row>
    <row r="255" spans="1:8">
      <c r="E255" s="834" t="s">
        <v>16698</v>
      </c>
      <c r="F255" s="834"/>
      <c r="G255" s="834"/>
    </row>
    <row r="256" spans="1:8">
      <c r="E256" s="834"/>
      <c r="F256" s="834"/>
      <c r="G256" s="834"/>
    </row>
    <row r="257" spans="1:8">
      <c r="A257" s="739" t="s">
        <v>16699</v>
      </c>
    </row>
    <row r="258" spans="1:8">
      <c r="E258" s="739">
        <v>130</v>
      </c>
      <c r="H258" s="739" t="s">
        <v>8914</v>
      </c>
    </row>
    <row r="259" spans="1:8">
      <c r="E259" s="834" t="s">
        <v>6205</v>
      </c>
      <c r="F259" s="834"/>
      <c r="G259" s="834"/>
    </row>
    <row r="261" spans="1:8">
      <c r="A261" s="739" t="s">
        <v>6206</v>
      </c>
    </row>
    <row r="262" spans="1:8">
      <c r="E262" s="739">
        <v>140</v>
      </c>
      <c r="H262" s="739" t="s">
        <v>16700</v>
      </c>
    </row>
    <row r="263" spans="1:8">
      <c r="E263" s="739">
        <v>130</v>
      </c>
      <c r="H263" s="739" t="s">
        <v>16700</v>
      </c>
    </row>
    <row r="264" spans="1:8">
      <c r="E264" s="834" t="s">
        <v>6208</v>
      </c>
      <c r="F264" s="834"/>
      <c r="G264" s="834"/>
    </row>
    <row r="266" spans="1:8">
      <c r="A266" s="739" t="s">
        <v>16701</v>
      </c>
    </row>
    <row r="267" spans="1:8">
      <c r="E267" s="739">
        <v>1205</v>
      </c>
      <c r="H267" s="739" t="s">
        <v>16702</v>
      </c>
    </row>
    <row r="268" spans="1:8">
      <c r="E268" s="834" t="s">
        <v>16703</v>
      </c>
      <c r="F268" s="834"/>
      <c r="G268" s="834"/>
    </row>
    <row r="270" spans="1:8">
      <c r="A270" s="739" t="s">
        <v>11351</v>
      </c>
    </row>
    <row r="271" spans="1:8">
      <c r="E271" s="739">
        <v>200</v>
      </c>
      <c r="H271" s="739" t="s">
        <v>16704</v>
      </c>
    </row>
    <row r="272" spans="1:8">
      <c r="E272" s="834"/>
      <c r="F272" s="834"/>
      <c r="G272" s="834"/>
    </row>
    <row r="274" spans="1:8">
      <c r="A274" s="739" t="s">
        <v>16705</v>
      </c>
    </row>
    <row r="275" spans="1:8">
      <c r="C275" s="739">
        <v>15000</v>
      </c>
      <c r="H275" s="739" t="s">
        <v>16706</v>
      </c>
    </row>
    <row r="277" spans="1:8">
      <c r="A277" s="739" t="s">
        <v>11355</v>
      </c>
    </row>
    <row r="278" spans="1:8">
      <c r="E278" s="739">
        <v>1583</v>
      </c>
      <c r="H278" s="739" t="s">
        <v>16707</v>
      </c>
    </row>
    <row r="279" spans="1:8">
      <c r="E279" s="834" t="s">
        <v>16708</v>
      </c>
      <c r="F279" s="834"/>
      <c r="G279" s="834"/>
    </row>
    <row r="281" spans="1:8">
      <c r="A281" s="739" t="s">
        <v>16709</v>
      </c>
    </row>
    <row r="282" spans="1:8">
      <c r="C282" s="739">
        <v>19536</v>
      </c>
      <c r="H282" s="739" t="s">
        <v>16710</v>
      </c>
    </row>
    <row r="283" spans="1:8">
      <c r="D283" s="739">
        <v>5000</v>
      </c>
      <c r="H283" s="739" t="s">
        <v>463</v>
      </c>
    </row>
    <row r="284" spans="1:8">
      <c r="E284" s="834" t="s">
        <v>11361</v>
      </c>
      <c r="F284" s="834"/>
      <c r="G284" s="834"/>
    </row>
    <row r="286" spans="1:8">
      <c r="A286" s="739" t="s">
        <v>11362</v>
      </c>
      <c r="E286" s="739">
        <v>250</v>
      </c>
      <c r="H286" s="739" t="s">
        <v>16711</v>
      </c>
    </row>
    <row r="287" spans="1:8">
      <c r="E287" s="739">
        <v>250</v>
      </c>
      <c r="H287" s="739" t="s">
        <v>11363</v>
      </c>
    </row>
    <row r="288" spans="1:8">
      <c r="E288" s="834" t="s">
        <v>6225</v>
      </c>
      <c r="F288" s="834"/>
      <c r="G288" s="834"/>
    </row>
    <row r="290" spans="1:8">
      <c r="A290" s="739" t="s">
        <v>6226</v>
      </c>
    </row>
    <row r="291" spans="1:8">
      <c r="C291" s="739">
        <v>39756</v>
      </c>
      <c r="H291" s="739" t="s">
        <v>16712</v>
      </c>
    </row>
    <row r="293" spans="1:8">
      <c r="A293" s="739" t="s">
        <v>11367</v>
      </c>
    </row>
    <row r="294" spans="1:8">
      <c r="C294" s="739">
        <v>15000</v>
      </c>
      <c r="H294" s="739" t="s">
        <v>16713</v>
      </c>
    </row>
    <row r="296" spans="1:8">
      <c r="A296" s="739" t="s">
        <v>11367</v>
      </c>
    </row>
    <row r="297" spans="1:8">
      <c r="E297" s="739">
        <v>1205</v>
      </c>
      <c r="H297" s="739" t="s">
        <v>16714</v>
      </c>
    </row>
    <row r="298" spans="1:8">
      <c r="E298" s="739">
        <v>1205</v>
      </c>
      <c r="H298" s="739" t="s">
        <v>16715</v>
      </c>
    </row>
    <row r="299" spans="1:8">
      <c r="E299" s="834" t="s">
        <v>16716</v>
      </c>
      <c r="F299" s="834"/>
      <c r="G299" s="834"/>
    </row>
    <row r="300" spans="1:8">
      <c r="E300" s="834" t="s">
        <v>16717</v>
      </c>
      <c r="F300" s="834"/>
      <c r="G300" s="834"/>
      <c r="H300" s="739" t="s">
        <v>16718</v>
      </c>
    </row>
    <row r="301" spans="1:8">
      <c r="E301" s="834"/>
      <c r="F301" s="834"/>
      <c r="G301" s="834"/>
    </row>
    <row r="302" spans="1:8">
      <c r="A302" s="739" t="s">
        <v>16719</v>
      </c>
      <c r="D302" s="739">
        <v>12994</v>
      </c>
      <c r="E302" s="834"/>
      <c r="F302" s="834"/>
      <c r="G302" s="834"/>
    </row>
    <row r="303" spans="1:8">
      <c r="E303" s="739">
        <v>12994</v>
      </c>
      <c r="H303" s="739" t="s">
        <v>11375</v>
      </c>
    </row>
    <row r="305" spans="1:8">
      <c r="A305" s="739" t="s">
        <v>16720</v>
      </c>
      <c r="D305" s="739">
        <v>9600</v>
      </c>
      <c r="H305" s="739" t="s">
        <v>6238</v>
      </c>
    </row>
    <row r="306" spans="1:8">
      <c r="E306" s="834" t="s">
        <v>16721</v>
      </c>
      <c r="F306" s="834"/>
      <c r="G306" s="834"/>
    </row>
    <row r="308" spans="1:8">
      <c r="A308" s="739" t="s">
        <v>6237</v>
      </c>
      <c r="E308" s="739">
        <v>1583</v>
      </c>
      <c r="H308" s="739" t="s">
        <v>16722</v>
      </c>
    </row>
    <row r="309" spans="1:8">
      <c r="E309" s="739">
        <v>3</v>
      </c>
      <c r="H309" s="739" t="s">
        <v>16723</v>
      </c>
    </row>
    <row r="310" spans="1:8">
      <c r="E310" s="834" t="s">
        <v>11381</v>
      </c>
      <c r="F310" s="834"/>
      <c r="G310" s="834"/>
    </row>
    <row r="312" spans="1:8">
      <c r="A312" s="739" t="s">
        <v>16724</v>
      </c>
      <c r="E312" s="739">
        <v>50</v>
      </c>
      <c r="H312" s="739" t="s">
        <v>6244</v>
      </c>
    </row>
    <row r="313" spans="1:8">
      <c r="E313" s="739">
        <v>70</v>
      </c>
      <c r="H313" s="739" t="s">
        <v>6245</v>
      </c>
    </row>
    <row r="314" spans="1:8">
      <c r="E314" s="834" t="s">
        <v>6246</v>
      </c>
      <c r="F314" s="834"/>
      <c r="G314" s="834"/>
    </row>
    <row r="316" spans="1:8">
      <c r="A316" s="739" t="s">
        <v>11386</v>
      </c>
    </row>
    <row r="317" spans="1:8">
      <c r="E317" s="739">
        <v>50</v>
      </c>
      <c r="H317" s="739" t="s">
        <v>16725</v>
      </c>
    </row>
    <row r="318" spans="1:8">
      <c r="E318" s="739">
        <v>798</v>
      </c>
      <c r="H318" s="739" t="s">
        <v>16726</v>
      </c>
    </row>
    <row r="319" spans="1:8">
      <c r="E319" s="834" t="s">
        <v>16727</v>
      </c>
      <c r="F319" s="834"/>
      <c r="G319" s="834"/>
    </row>
    <row r="321" spans="1:8">
      <c r="A321" s="739" t="s">
        <v>11390</v>
      </c>
    </row>
    <row r="322" spans="1:8">
      <c r="C322" s="739">
        <v>7000</v>
      </c>
      <c r="H322" s="739" t="s">
        <v>16728</v>
      </c>
    </row>
    <row r="324" spans="1:8">
      <c r="A324" s="739" t="s">
        <v>16729</v>
      </c>
    </row>
    <row r="325" spans="1:8">
      <c r="E325" s="739">
        <v>5000</v>
      </c>
      <c r="H325" s="739" t="s">
        <v>6253</v>
      </c>
    </row>
    <row r="326" spans="1:8">
      <c r="E326" s="834" t="s">
        <v>16730</v>
      </c>
      <c r="F326" s="834"/>
      <c r="G326" s="834"/>
    </row>
    <row r="328" spans="1:8">
      <c r="A328" s="739" t="s">
        <v>16731</v>
      </c>
    </row>
    <row r="329" spans="1:8">
      <c r="E329" s="739">
        <v>1000</v>
      </c>
      <c r="H329" s="739" t="s">
        <v>16732</v>
      </c>
    </row>
    <row r="330" spans="1:8">
      <c r="E330" s="834" t="s">
        <v>16733</v>
      </c>
      <c r="F330" s="834"/>
      <c r="G330" s="834"/>
    </row>
    <row r="332" spans="1:8">
      <c r="A332" s="739" t="s">
        <v>11397</v>
      </c>
    </row>
    <row r="333" spans="1:8">
      <c r="E333" s="739">
        <v>399</v>
      </c>
      <c r="H333" s="739" t="s">
        <v>16734</v>
      </c>
    </row>
    <row r="334" spans="1:8">
      <c r="E334" s="834" t="s">
        <v>16735</v>
      </c>
      <c r="F334" s="834"/>
      <c r="G334" s="834"/>
    </row>
    <row r="336" spans="1:8">
      <c r="A336" s="739" t="s">
        <v>16736</v>
      </c>
    </row>
    <row r="337" spans="1:8">
      <c r="E337" s="739">
        <v>90</v>
      </c>
      <c r="H337" s="739" t="s">
        <v>16737</v>
      </c>
    </row>
    <row r="338" spans="1:8">
      <c r="E338" s="834" t="s">
        <v>11402</v>
      </c>
      <c r="F338" s="834"/>
      <c r="G338" s="834"/>
    </row>
    <row r="340" spans="1:8">
      <c r="A340" s="739" t="s">
        <v>6263</v>
      </c>
    </row>
    <row r="341" spans="1:8">
      <c r="E341" s="739">
        <v>276</v>
      </c>
      <c r="H341" s="739" t="s">
        <v>7252</v>
      </c>
    </row>
    <row r="342" spans="1:8">
      <c r="E342" s="834" t="s">
        <v>16738</v>
      </c>
      <c r="F342" s="834"/>
      <c r="G342" s="834"/>
    </row>
    <row r="344" spans="1:8">
      <c r="A344" s="739" t="s">
        <v>6265</v>
      </c>
    </row>
    <row r="345" spans="1:8">
      <c r="C345" s="739">
        <v>15000</v>
      </c>
      <c r="H345" s="739" t="s">
        <v>11407</v>
      </c>
    </row>
    <row r="347" spans="1:8">
      <c r="A347" s="739" t="s">
        <v>6265</v>
      </c>
    </row>
    <row r="348" spans="1:8">
      <c r="C348" s="739">
        <v>40000</v>
      </c>
      <c r="H348" s="739" t="s">
        <v>16739</v>
      </c>
    </row>
    <row r="350" spans="1:8">
      <c r="A350" s="739" t="s">
        <v>6265</v>
      </c>
    </row>
    <row r="351" spans="1:8" ht="115.5">
      <c r="B351" s="739">
        <v>97905</v>
      </c>
      <c r="H351" s="836" t="s">
        <v>16740</v>
      </c>
    </row>
    <row r="353" spans="1:8">
      <c r="A353" s="739" t="s">
        <v>11410</v>
      </c>
    </row>
    <row r="354" spans="1:8">
      <c r="C354" s="739">
        <v>63796</v>
      </c>
      <c r="H354" s="739" t="s">
        <v>16741</v>
      </c>
    </row>
    <row r="355" spans="1:8">
      <c r="C355" s="739">
        <v>29000</v>
      </c>
      <c r="H355" s="739" t="s">
        <v>16742</v>
      </c>
    </row>
    <row r="356" spans="1:8">
      <c r="C356" s="739">
        <v>23536</v>
      </c>
      <c r="H356" s="739" t="s">
        <v>16743</v>
      </c>
    </row>
    <row r="357" spans="1:8">
      <c r="C357" s="739">
        <v>13002</v>
      </c>
      <c r="H357" s="739" t="s">
        <v>16744</v>
      </c>
    </row>
    <row r="359" spans="1:8">
      <c r="A359" s="739" t="s">
        <v>16745</v>
      </c>
    </row>
    <row r="360" spans="1:8">
      <c r="D360" s="739">
        <v>10000</v>
      </c>
      <c r="H360" s="739" t="s">
        <v>16746</v>
      </c>
    </row>
    <row r="361" spans="1:8">
      <c r="E361" s="739">
        <v>3844</v>
      </c>
      <c r="H361" s="739" t="s">
        <v>11417</v>
      </c>
    </row>
    <row r="362" spans="1:8">
      <c r="E362" s="739">
        <v>1583</v>
      </c>
      <c r="H362" s="739" t="s">
        <v>16747</v>
      </c>
    </row>
    <row r="363" spans="1:8">
      <c r="E363" s="739">
        <v>1583</v>
      </c>
      <c r="H363" s="739" t="s">
        <v>6278</v>
      </c>
    </row>
    <row r="364" spans="1:8">
      <c r="E364" s="739">
        <v>9</v>
      </c>
      <c r="H364" s="739" t="s">
        <v>16748</v>
      </c>
    </row>
    <row r="365" spans="1:8">
      <c r="E365" s="739">
        <v>17</v>
      </c>
      <c r="H365" s="739" t="s">
        <v>16749</v>
      </c>
    </row>
    <row r="366" spans="1:8">
      <c r="E366" s="834" t="s">
        <v>16750</v>
      </c>
      <c r="F366" s="834"/>
      <c r="G366" s="834"/>
    </row>
    <row r="368" spans="1:8">
      <c r="A368" s="739" t="s">
        <v>6282</v>
      </c>
    </row>
    <row r="369" spans="1:8">
      <c r="E369" s="739">
        <v>200</v>
      </c>
      <c r="H369" s="739" t="s">
        <v>6283</v>
      </c>
    </row>
    <row r="370" spans="1:8">
      <c r="E370" s="834" t="s">
        <v>16751</v>
      </c>
      <c r="F370" s="834"/>
      <c r="G370" s="834"/>
    </row>
    <row r="372" spans="1:8">
      <c r="A372" s="739" t="s">
        <v>16752</v>
      </c>
    </row>
    <row r="373" spans="1:8">
      <c r="E373" s="739">
        <v>114</v>
      </c>
      <c r="H373" s="739" t="s">
        <v>16753</v>
      </c>
    </row>
    <row r="374" spans="1:8">
      <c r="E374" s="834" t="s">
        <v>6287</v>
      </c>
      <c r="F374" s="834"/>
      <c r="G374" s="834"/>
    </row>
    <row r="376" spans="1:8">
      <c r="A376" s="739" t="s">
        <v>6288</v>
      </c>
    </row>
    <row r="377" spans="1:8">
      <c r="E377" s="739">
        <v>1205</v>
      </c>
      <c r="H377" s="739" t="s">
        <v>16754</v>
      </c>
    </row>
    <row r="378" spans="1:8">
      <c r="E378" s="834" t="s">
        <v>16755</v>
      </c>
      <c r="F378" s="834"/>
      <c r="G378" s="834"/>
    </row>
    <row r="380" spans="1:8">
      <c r="A380" s="739" t="s">
        <v>16756</v>
      </c>
    </row>
    <row r="381" spans="1:8">
      <c r="C381" s="739">
        <v>23767</v>
      </c>
      <c r="H381" s="739" t="s">
        <v>16757</v>
      </c>
    </row>
    <row r="383" spans="1:8">
      <c r="A383" s="739" t="s">
        <v>6292</v>
      </c>
    </row>
    <row r="384" spans="1:8">
      <c r="E384" s="739">
        <v>2400</v>
      </c>
      <c r="H384" s="739" t="s">
        <v>6293</v>
      </c>
    </row>
    <row r="385" spans="1:8">
      <c r="E385" s="834" t="s">
        <v>16758</v>
      </c>
      <c r="F385" s="834"/>
      <c r="G385" s="834"/>
    </row>
    <row r="387" spans="1:8">
      <c r="A387" s="739" t="s">
        <v>6295</v>
      </c>
    </row>
    <row r="388" spans="1:8">
      <c r="E388" s="739">
        <v>130</v>
      </c>
      <c r="H388" s="739" t="s">
        <v>6296</v>
      </c>
    </row>
    <row r="389" spans="1:8">
      <c r="E389" s="834" t="s">
        <v>16759</v>
      </c>
      <c r="F389" s="834"/>
      <c r="G389" s="834"/>
    </row>
    <row r="391" spans="1:8">
      <c r="A391" s="739" t="s">
        <v>6298</v>
      </c>
    </row>
    <row r="392" spans="1:8">
      <c r="B392" s="739">
        <v>16380</v>
      </c>
      <c r="H392" s="739" t="s">
        <v>6299</v>
      </c>
    </row>
    <row r="393" spans="1:8">
      <c r="B393" s="739">
        <v>4725</v>
      </c>
      <c r="H393" s="739" t="s">
        <v>6300</v>
      </c>
    </row>
    <row r="394" spans="1:8">
      <c r="B394" s="739">
        <v>11340</v>
      </c>
      <c r="H394" s="739" t="s">
        <v>11442</v>
      </c>
    </row>
    <row r="395" spans="1:8">
      <c r="B395" s="739">
        <v>9450</v>
      </c>
      <c r="H395" s="739" t="s">
        <v>16760</v>
      </c>
    </row>
    <row r="396" spans="1:8">
      <c r="B396" s="739">
        <v>14175</v>
      </c>
      <c r="H396" s="739" t="s">
        <v>16761</v>
      </c>
    </row>
    <row r="397" spans="1:8">
      <c r="B397" s="739">
        <v>14175</v>
      </c>
      <c r="H397" s="739" t="s">
        <v>16762</v>
      </c>
    </row>
    <row r="399" spans="1:8">
      <c r="A399" s="739" t="s">
        <v>6305</v>
      </c>
    </row>
    <row r="400" spans="1:8">
      <c r="E400" s="739">
        <v>320</v>
      </c>
      <c r="H400" s="739" t="s">
        <v>16763</v>
      </c>
    </row>
    <row r="401" spans="1:8">
      <c r="E401" s="834" t="s">
        <v>6307</v>
      </c>
      <c r="F401" s="834"/>
      <c r="G401" s="834"/>
    </row>
    <row r="403" spans="1:8">
      <c r="A403" s="739" t="s">
        <v>6308</v>
      </c>
    </row>
    <row r="404" spans="1:8">
      <c r="B404" s="739">
        <v>12600</v>
      </c>
      <c r="H404" s="739" t="s">
        <v>16764</v>
      </c>
    </row>
    <row r="405" spans="1:8">
      <c r="B405" s="739">
        <v>11340</v>
      </c>
      <c r="H405" s="739" t="s">
        <v>6310</v>
      </c>
    </row>
    <row r="406" spans="1:8">
      <c r="B406" s="739">
        <v>10800</v>
      </c>
      <c r="H406" s="739" t="s">
        <v>11452</v>
      </c>
    </row>
    <row r="407" spans="1:8">
      <c r="B407" s="739">
        <v>14175</v>
      </c>
      <c r="H407" s="739" t="s">
        <v>16765</v>
      </c>
    </row>
    <row r="408" spans="1:8">
      <c r="B408" s="739">
        <v>14175</v>
      </c>
      <c r="H408" s="739" t="s">
        <v>11454</v>
      </c>
    </row>
    <row r="410" spans="1:8">
      <c r="A410" s="739" t="s">
        <v>16766</v>
      </c>
    </row>
    <row r="411" spans="1:8">
      <c r="C411" s="739">
        <v>15000</v>
      </c>
      <c r="H411" s="739" t="s">
        <v>11456</v>
      </c>
    </row>
    <row r="413" spans="1:8">
      <c r="A413" s="739" t="s">
        <v>11455</v>
      </c>
    </row>
    <row r="414" spans="1:8">
      <c r="E414" s="739">
        <v>18</v>
      </c>
      <c r="H414" s="739" t="s">
        <v>16767</v>
      </c>
    </row>
    <row r="415" spans="1:8">
      <c r="E415" s="834" t="s">
        <v>16768</v>
      </c>
      <c r="F415" s="834"/>
      <c r="G415" s="834"/>
    </row>
    <row r="417" spans="1:8">
      <c r="A417" s="739" t="s">
        <v>16769</v>
      </c>
    </row>
    <row r="418" spans="1:8">
      <c r="E418" s="739">
        <v>110</v>
      </c>
      <c r="H418" s="739" t="s">
        <v>6319</v>
      </c>
    </row>
    <row r="419" spans="1:8">
      <c r="E419" s="834" t="s">
        <v>16770</v>
      </c>
      <c r="F419" s="834"/>
      <c r="G419" s="834"/>
    </row>
    <row r="421" spans="1:8">
      <c r="A421" s="739" t="s">
        <v>6321</v>
      </c>
    </row>
    <row r="422" spans="1:8">
      <c r="C422" s="739">
        <v>36000</v>
      </c>
      <c r="H422" s="739" t="s">
        <v>11463</v>
      </c>
    </row>
    <row r="423" spans="1:8">
      <c r="C423" s="739">
        <v>63796</v>
      </c>
      <c r="H423" s="739" t="s">
        <v>16771</v>
      </c>
    </row>
    <row r="424" spans="1:8">
      <c r="C424" s="739">
        <v>23538</v>
      </c>
      <c r="H424" s="739" t="s">
        <v>6324</v>
      </c>
    </row>
    <row r="425" spans="1:8">
      <c r="C425" s="739">
        <v>5000</v>
      </c>
      <c r="H425" s="739" t="s">
        <v>463</v>
      </c>
    </row>
    <row r="426" spans="1:8">
      <c r="D426" s="739">
        <v>5000</v>
      </c>
      <c r="H426" s="739" t="s">
        <v>16772</v>
      </c>
    </row>
    <row r="427" spans="1:8">
      <c r="E427" s="834" t="s">
        <v>16773</v>
      </c>
      <c r="F427" s="834"/>
      <c r="G427" s="834"/>
    </row>
    <row r="429" spans="1:8">
      <c r="A429" s="739" t="s">
        <v>11468</v>
      </c>
    </row>
    <row r="430" spans="1:8">
      <c r="E430" s="739">
        <v>350</v>
      </c>
      <c r="H430" s="739" t="s">
        <v>6327</v>
      </c>
    </row>
    <row r="431" spans="1:8">
      <c r="E431" s="834" t="s">
        <v>6328</v>
      </c>
      <c r="F431" s="834"/>
      <c r="G431" s="834"/>
    </row>
    <row r="433" spans="1:8">
      <c r="A433" s="739" t="s">
        <v>11468</v>
      </c>
    </row>
    <row r="434" spans="1:8">
      <c r="C434" s="739">
        <v>18560</v>
      </c>
      <c r="H434" s="739" t="s">
        <v>16774</v>
      </c>
    </row>
    <row r="436" spans="1:8">
      <c r="A436" s="739" t="s">
        <v>16775</v>
      </c>
    </row>
    <row r="437" spans="1:8">
      <c r="E437" s="739">
        <v>18560</v>
      </c>
      <c r="H437" s="739" t="s">
        <v>6331</v>
      </c>
    </row>
    <row r="438" spans="1:8">
      <c r="E438" s="834" t="s">
        <v>16776</v>
      </c>
      <c r="F438" s="834"/>
      <c r="G438" s="834"/>
    </row>
    <row r="440" spans="1:8">
      <c r="A440" s="739" t="s">
        <v>16775</v>
      </c>
    </row>
    <row r="441" spans="1:8">
      <c r="E441" s="739">
        <v>200</v>
      </c>
      <c r="H441" s="739" t="s">
        <v>16777</v>
      </c>
    </row>
    <row r="442" spans="1:8">
      <c r="E442" s="834" t="s">
        <v>6333</v>
      </c>
      <c r="F442" s="834"/>
      <c r="G442" s="834"/>
    </row>
    <row r="444" spans="1:8">
      <c r="A444" s="739" t="s">
        <v>16775</v>
      </c>
    </row>
    <row r="445" spans="1:8">
      <c r="E445" s="739">
        <v>1205</v>
      </c>
      <c r="H445" s="739" t="s">
        <v>11476</v>
      </c>
    </row>
    <row r="446" spans="1:8">
      <c r="E446" s="834" t="s">
        <v>16778</v>
      </c>
      <c r="F446" s="834"/>
      <c r="G446" s="834"/>
    </row>
    <row r="448" spans="1:8">
      <c r="A448" s="739" t="s">
        <v>6336</v>
      </c>
    </row>
    <row r="449" spans="1:8">
      <c r="C449" s="739">
        <v>6000</v>
      </c>
      <c r="H449" s="739" t="s">
        <v>6337</v>
      </c>
    </row>
    <row r="451" spans="1:8">
      <c r="A451" s="739" t="s">
        <v>6336</v>
      </c>
    </row>
    <row r="452" spans="1:8">
      <c r="E452" s="739">
        <v>99</v>
      </c>
      <c r="H452" s="739" t="s">
        <v>16779</v>
      </c>
    </row>
    <row r="453" spans="1:8">
      <c r="E453" s="834" t="s">
        <v>16780</v>
      </c>
      <c r="F453" s="834"/>
      <c r="G453" s="834"/>
    </row>
    <row r="455" spans="1:8">
      <c r="A455" s="739" t="s">
        <v>16781</v>
      </c>
    </row>
    <row r="456" spans="1:8">
      <c r="E456" s="739">
        <v>1583</v>
      </c>
      <c r="H456" s="739" t="s">
        <v>11482</v>
      </c>
    </row>
    <row r="457" spans="1:8">
      <c r="E457" s="834" t="s">
        <v>11483</v>
      </c>
      <c r="F457" s="834"/>
      <c r="G457" s="834"/>
    </row>
    <row r="459" spans="1:8">
      <c r="A459" s="739" t="s">
        <v>11484</v>
      </c>
    </row>
    <row r="460" spans="1:8">
      <c r="E460" s="739">
        <v>399</v>
      </c>
      <c r="H460" s="739" t="s">
        <v>16782</v>
      </c>
    </row>
    <row r="461" spans="1:8">
      <c r="E461" s="739">
        <v>399</v>
      </c>
      <c r="H461" s="739" t="s">
        <v>16783</v>
      </c>
    </row>
    <row r="462" spans="1:8">
      <c r="E462" s="834" t="s">
        <v>16784</v>
      </c>
      <c r="F462" s="834"/>
      <c r="G462" s="834"/>
    </row>
    <row r="464" spans="1:8">
      <c r="A464" s="739" t="s">
        <v>6346</v>
      </c>
    </row>
    <row r="465" spans="1:8">
      <c r="E465" s="739">
        <v>109</v>
      </c>
      <c r="H465" s="739" t="s">
        <v>16785</v>
      </c>
    </row>
    <row r="466" spans="1:8">
      <c r="E466" s="834" t="s">
        <v>6347</v>
      </c>
      <c r="F466" s="834"/>
      <c r="G466" s="834"/>
    </row>
    <row r="468" spans="1:8">
      <c r="A468" s="739" t="s">
        <v>6348</v>
      </c>
    </row>
    <row r="469" spans="1:8">
      <c r="C469" s="739">
        <v>2639</v>
      </c>
      <c r="H469" s="739" t="s">
        <v>11491</v>
      </c>
    </row>
    <row r="471" spans="1:8">
      <c r="A471" s="739" t="s">
        <v>6348</v>
      </c>
    </row>
    <row r="472" spans="1:8">
      <c r="E472" s="739">
        <v>104</v>
      </c>
      <c r="H472" s="739" t="s">
        <v>11493</v>
      </c>
    </row>
    <row r="473" spans="1:8">
      <c r="E473" s="739">
        <v>20</v>
      </c>
      <c r="H473" s="739" t="s">
        <v>6351</v>
      </c>
    </row>
    <row r="474" spans="1:8">
      <c r="E474" s="834" t="s">
        <v>6352</v>
      </c>
      <c r="F474" s="834"/>
      <c r="G474" s="834"/>
    </row>
    <row r="475" spans="1:8">
      <c r="E475" s="834"/>
      <c r="F475" s="834"/>
      <c r="G475" s="834"/>
    </row>
    <row r="476" spans="1:8">
      <c r="A476" s="739" t="s">
        <v>6353</v>
      </c>
      <c r="E476" s="834"/>
      <c r="F476" s="834"/>
      <c r="G476" s="834"/>
    </row>
    <row r="477" spans="1:8">
      <c r="E477" s="838">
        <v>65</v>
      </c>
      <c r="F477" s="838"/>
      <c r="G477" s="838"/>
      <c r="H477" s="739" t="s">
        <v>16786</v>
      </c>
    </row>
    <row r="478" spans="1:8">
      <c r="E478" s="834" t="s">
        <v>11498</v>
      </c>
      <c r="F478" s="834"/>
      <c r="G478" s="834"/>
    </row>
    <row r="479" spans="1:8">
      <c r="E479" s="834"/>
      <c r="F479" s="834"/>
      <c r="G479" s="834"/>
    </row>
    <row r="480" spans="1:8">
      <c r="A480" s="739" t="s">
        <v>11499</v>
      </c>
      <c r="E480" s="834"/>
      <c r="F480" s="834"/>
      <c r="G480" s="834"/>
    </row>
    <row r="481" spans="1:8">
      <c r="E481" s="838">
        <v>83</v>
      </c>
      <c r="F481" s="838"/>
      <c r="G481" s="838"/>
      <c r="H481" s="739" t="s">
        <v>16787</v>
      </c>
    </row>
    <row r="482" spans="1:8">
      <c r="E482" s="834" t="s">
        <v>16788</v>
      </c>
      <c r="F482" s="834"/>
      <c r="G482" s="834"/>
    </row>
    <row r="484" spans="1:8">
      <c r="A484" s="739" t="s">
        <v>16789</v>
      </c>
      <c r="E484" s="834"/>
      <c r="F484" s="834"/>
      <c r="G484" s="834"/>
    </row>
    <row r="485" spans="1:8">
      <c r="E485" s="838">
        <v>175</v>
      </c>
      <c r="F485" s="838"/>
      <c r="G485" s="838"/>
      <c r="H485" s="739" t="s">
        <v>6359</v>
      </c>
    </row>
    <row r="486" spans="1:8">
      <c r="E486" s="838">
        <v>205</v>
      </c>
      <c r="F486" s="838"/>
      <c r="G486" s="838"/>
      <c r="H486" s="739" t="s">
        <v>6359</v>
      </c>
    </row>
    <row r="487" spans="1:8">
      <c r="E487" s="834" t="s">
        <v>11504</v>
      </c>
      <c r="F487" s="834"/>
      <c r="G487" s="834"/>
    </row>
    <row r="489" spans="1:8">
      <c r="A489" s="739" t="s">
        <v>6361</v>
      </c>
      <c r="E489" s="834"/>
      <c r="F489" s="834"/>
      <c r="G489" s="834"/>
    </row>
    <row r="490" spans="1:8">
      <c r="E490" s="838">
        <v>80</v>
      </c>
      <c r="F490" s="838"/>
      <c r="G490" s="838"/>
      <c r="H490" s="739" t="s">
        <v>16790</v>
      </c>
    </row>
    <row r="491" spans="1:8">
      <c r="E491" s="838">
        <v>105</v>
      </c>
      <c r="F491" s="838"/>
      <c r="G491" s="838"/>
      <c r="H491" s="739" t="s">
        <v>6362</v>
      </c>
    </row>
    <row r="492" spans="1:8">
      <c r="E492" s="834" t="s">
        <v>11508</v>
      </c>
      <c r="F492" s="834"/>
      <c r="G492" s="834"/>
    </row>
    <row r="494" spans="1:8">
      <c r="A494" s="739" t="s">
        <v>16791</v>
      </c>
    </row>
    <row r="495" spans="1:8">
      <c r="C495" s="739">
        <v>15000</v>
      </c>
      <c r="H495" s="739" t="s">
        <v>11510</v>
      </c>
    </row>
    <row r="497" spans="1:8">
      <c r="A497" s="739" t="s">
        <v>16792</v>
      </c>
      <c r="E497" s="834"/>
      <c r="F497" s="834"/>
      <c r="G497" s="834"/>
    </row>
    <row r="498" spans="1:8">
      <c r="E498" s="838">
        <v>110</v>
      </c>
      <c r="F498" s="838"/>
      <c r="G498" s="838"/>
      <c r="H498" s="739" t="s">
        <v>16793</v>
      </c>
    </row>
    <row r="499" spans="1:8">
      <c r="E499" s="838">
        <v>120</v>
      </c>
      <c r="F499" s="838"/>
      <c r="G499" s="838"/>
      <c r="H499" s="739" t="s">
        <v>6367</v>
      </c>
    </row>
    <row r="500" spans="1:8">
      <c r="E500" s="834" t="s">
        <v>16794</v>
      </c>
      <c r="F500" s="834"/>
      <c r="G500" s="834"/>
    </row>
    <row r="502" spans="1:8">
      <c r="A502" s="739" t="s">
        <v>16795</v>
      </c>
    </row>
    <row r="503" spans="1:8">
      <c r="D503" s="739">
        <v>5000</v>
      </c>
      <c r="H503" s="739" t="s">
        <v>16796</v>
      </c>
    </row>
    <row r="504" spans="1:8">
      <c r="E504" s="834" t="s">
        <v>11515</v>
      </c>
      <c r="F504" s="834"/>
      <c r="G504" s="834"/>
    </row>
    <row r="506" spans="1:8">
      <c r="A506" s="739" t="s">
        <v>16797</v>
      </c>
    </row>
    <row r="507" spans="1:8">
      <c r="C507" s="739">
        <v>18000</v>
      </c>
      <c r="H507" s="739" t="s">
        <v>6371</v>
      </c>
    </row>
    <row r="508" spans="1:8">
      <c r="C508" s="739">
        <v>63796</v>
      </c>
      <c r="H508" s="739" t="s">
        <v>6372</v>
      </c>
    </row>
    <row r="509" spans="1:8">
      <c r="C509" s="739">
        <v>23538</v>
      </c>
      <c r="H509" s="739" t="s">
        <v>16798</v>
      </c>
    </row>
    <row r="511" spans="1:8">
      <c r="A511" s="739" t="s">
        <v>11520</v>
      </c>
    </row>
    <row r="512" spans="1:8">
      <c r="E512" s="739">
        <v>337</v>
      </c>
      <c r="H512" s="739" t="s">
        <v>11521</v>
      </c>
    </row>
    <row r="513" spans="1:8">
      <c r="E513" s="834" t="s">
        <v>16799</v>
      </c>
      <c r="F513" s="834"/>
      <c r="G513" s="834"/>
    </row>
    <row r="515" spans="1:8">
      <c r="A515" s="739" t="s">
        <v>16800</v>
      </c>
    </row>
    <row r="516" spans="1:8">
      <c r="E516" s="739">
        <v>70</v>
      </c>
      <c r="H516" s="739" t="s">
        <v>16801</v>
      </c>
    </row>
    <row r="517" spans="1:8">
      <c r="E517" s="834" t="s">
        <v>11525</v>
      </c>
      <c r="F517" s="834"/>
      <c r="G517" s="834"/>
    </row>
    <row r="518" spans="1:8">
      <c r="E518" s="834"/>
      <c r="F518" s="834"/>
      <c r="G518" s="834"/>
    </row>
    <row r="519" spans="1:8">
      <c r="A519" s="739" t="s">
        <v>6380</v>
      </c>
    </row>
    <row r="520" spans="1:8">
      <c r="C520" s="739">
        <v>20000</v>
      </c>
      <c r="H520" s="739" t="s">
        <v>16802</v>
      </c>
    </row>
    <row r="522" spans="1:8">
      <c r="A522" s="739" t="s">
        <v>16803</v>
      </c>
    </row>
    <row r="523" spans="1:8">
      <c r="E523" s="739">
        <v>180</v>
      </c>
      <c r="H523" s="739" t="s">
        <v>16804</v>
      </c>
    </row>
    <row r="524" spans="1:8">
      <c r="E524" s="739">
        <v>185</v>
      </c>
      <c r="H524" s="739" t="s">
        <v>6383</v>
      </c>
    </row>
    <row r="525" spans="1:8">
      <c r="E525" s="834" t="s">
        <v>6384</v>
      </c>
      <c r="F525" s="834"/>
      <c r="G525" s="834"/>
    </row>
    <row r="527" spans="1:8">
      <c r="A527" s="739" t="s">
        <v>16805</v>
      </c>
    </row>
    <row r="528" spans="1:8">
      <c r="C528" s="739">
        <v>36000</v>
      </c>
      <c r="H528" s="739" t="s">
        <v>16806</v>
      </c>
    </row>
    <row r="530" spans="1:8">
      <c r="A530" s="739" t="s">
        <v>16807</v>
      </c>
    </row>
    <row r="531" spans="1:8">
      <c r="E531" s="739">
        <v>1205</v>
      </c>
      <c r="H531" s="739" t="s">
        <v>16808</v>
      </c>
    </row>
    <row r="532" spans="1:8">
      <c r="E532" s="834" t="s">
        <v>11535</v>
      </c>
      <c r="F532" s="834"/>
      <c r="G532" s="834"/>
    </row>
    <row r="534" spans="1:8">
      <c r="A534" s="739" t="s">
        <v>16809</v>
      </c>
    </row>
    <row r="535" spans="1:8">
      <c r="E535" s="739">
        <v>35</v>
      </c>
      <c r="H535" s="739" t="s">
        <v>6391</v>
      </c>
    </row>
    <row r="536" spans="1:8">
      <c r="E536" s="834" t="s">
        <v>6392</v>
      </c>
      <c r="F536" s="834"/>
      <c r="G536" s="834"/>
    </row>
    <row r="538" spans="1:8">
      <c r="A538" s="739" t="s">
        <v>6393</v>
      </c>
    </row>
    <row r="539" spans="1:8">
      <c r="D539" s="739">
        <v>10000</v>
      </c>
      <c r="H539" s="739" t="s">
        <v>16810</v>
      </c>
    </row>
    <row r="540" spans="1:8">
      <c r="E540" s="834" t="s">
        <v>16811</v>
      </c>
      <c r="F540" s="834"/>
      <c r="G540" s="834"/>
    </row>
    <row r="543" spans="1:8">
      <c r="A543" s="739" t="s">
        <v>16812</v>
      </c>
    </row>
    <row r="544" spans="1:8">
      <c r="E544" s="739">
        <v>109</v>
      </c>
      <c r="H544" s="739" t="s">
        <v>6397</v>
      </c>
    </row>
    <row r="545" spans="1:8">
      <c r="E545" s="739">
        <v>68</v>
      </c>
      <c r="H545" s="739" t="s">
        <v>16813</v>
      </c>
    </row>
    <row r="546" spans="1:8">
      <c r="E546" s="834" t="s">
        <v>16814</v>
      </c>
      <c r="F546" s="834"/>
      <c r="G546" s="834"/>
    </row>
    <row r="548" spans="1:8">
      <c r="A548" s="739" t="s">
        <v>6400</v>
      </c>
    </row>
    <row r="549" spans="1:8">
      <c r="C549" s="739">
        <v>15000</v>
      </c>
      <c r="H549" s="739" t="s">
        <v>6401</v>
      </c>
    </row>
    <row r="551" spans="1:8">
      <c r="A551" s="739" t="s">
        <v>6400</v>
      </c>
    </row>
    <row r="552" spans="1:8">
      <c r="E552" s="739">
        <v>300</v>
      </c>
      <c r="H552" s="739" t="s">
        <v>16815</v>
      </c>
    </row>
    <row r="553" spans="1:8">
      <c r="E553" s="834" t="s">
        <v>11549</v>
      </c>
      <c r="F553" s="834"/>
      <c r="G553" s="834"/>
      <c r="H553" s="834" t="s">
        <v>6404</v>
      </c>
    </row>
    <row r="554" spans="1:8">
      <c r="E554" s="835"/>
      <c r="F554" s="835"/>
      <c r="G554" s="835"/>
    </row>
    <row r="556" spans="1:8">
      <c r="A556" s="739" t="s">
        <v>6405</v>
      </c>
    </row>
    <row r="557" spans="1:8">
      <c r="C557" s="739">
        <v>90000</v>
      </c>
      <c r="H557" s="739" t="s">
        <v>16816</v>
      </c>
    </row>
    <row r="558" spans="1:8">
      <c r="C558" s="739">
        <v>63740</v>
      </c>
      <c r="H558" s="739" t="s">
        <v>16817</v>
      </c>
    </row>
    <row r="559" spans="1:8">
      <c r="C559" s="739">
        <v>23538</v>
      </c>
      <c r="H559" s="739" t="s">
        <v>16818</v>
      </c>
    </row>
    <row r="561" spans="1:8">
      <c r="A561" s="739" t="s">
        <v>16819</v>
      </c>
    </row>
    <row r="562" spans="1:8">
      <c r="D562" s="739">
        <v>249</v>
      </c>
      <c r="H562" s="739" t="s">
        <v>16820</v>
      </c>
    </row>
    <row r="563" spans="1:8">
      <c r="D563" s="739">
        <v>9726</v>
      </c>
      <c r="H563" s="739" t="s">
        <v>16821</v>
      </c>
    </row>
    <row r="564" spans="1:8">
      <c r="E564" s="834" t="s">
        <v>16822</v>
      </c>
      <c r="F564" s="834"/>
      <c r="G564" s="834"/>
    </row>
    <row r="566" spans="1:8">
      <c r="A566" s="739" t="s">
        <v>16823</v>
      </c>
    </row>
    <row r="567" spans="1:8">
      <c r="E567" s="739">
        <v>179</v>
      </c>
      <c r="H567" s="739" t="s">
        <v>16824</v>
      </c>
    </row>
    <row r="568" spans="1:8">
      <c r="E568" s="834" t="s">
        <v>16825</v>
      </c>
      <c r="F568" s="834"/>
      <c r="G568" s="834"/>
    </row>
    <row r="570" spans="1:8">
      <c r="A570" s="739" t="s">
        <v>16826</v>
      </c>
    </row>
    <row r="571" spans="1:8">
      <c r="C571" s="739">
        <v>35072</v>
      </c>
      <c r="H571" s="739" t="s">
        <v>16827</v>
      </c>
    </row>
    <row r="573" spans="1:8">
      <c r="A573" s="739" t="s">
        <v>6417</v>
      </c>
    </row>
    <row r="574" spans="1:8">
      <c r="E574" s="739">
        <v>37020</v>
      </c>
      <c r="H574" s="739" t="s">
        <v>16828</v>
      </c>
    </row>
    <row r="576" spans="1:8">
      <c r="A576" s="739" t="s">
        <v>16829</v>
      </c>
    </row>
    <row r="577" spans="1:8" s="839" customFormat="1">
      <c r="D577" s="839">
        <v>6000</v>
      </c>
      <c r="H577" s="839" t="s">
        <v>11565</v>
      </c>
    </row>
    <row r="579" spans="1:8">
      <c r="A579" s="739" t="s">
        <v>16829</v>
      </c>
    </row>
    <row r="580" spans="1:8">
      <c r="E580" s="739">
        <v>1205</v>
      </c>
      <c r="H580" s="739" t="s">
        <v>16830</v>
      </c>
    </row>
    <row r="581" spans="1:8">
      <c r="E581" s="834" t="s">
        <v>16831</v>
      </c>
      <c r="F581" s="834"/>
      <c r="G581" s="834"/>
    </row>
    <row r="583" spans="1:8">
      <c r="A583" s="739" t="s">
        <v>16832</v>
      </c>
    </row>
    <row r="584" spans="1:8" s="839" customFormat="1">
      <c r="D584" s="839">
        <v>150000</v>
      </c>
      <c r="H584" s="839" t="s">
        <v>16833</v>
      </c>
    </row>
    <row r="586" spans="1:8">
      <c r="A586" s="739" t="s">
        <v>16834</v>
      </c>
    </row>
    <row r="587" spans="1:8">
      <c r="E587" s="739">
        <v>18</v>
      </c>
      <c r="H587" s="739" t="s">
        <v>6425</v>
      </c>
    </row>
    <row r="588" spans="1:8">
      <c r="E588" s="834" t="s">
        <v>11572</v>
      </c>
      <c r="F588" s="834"/>
      <c r="G588" s="834"/>
    </row>
    <row r="590" spans="1:8">
      <c r="A590" s="739" t="s">
        <v>11573</v>
      </c>
    </row>
    <row r="591" spans="1:8">
      <c r="E591" s="739">
        <v>399</v>
      </c>
      <c r="H591" s="739" t="s">
        <v>6428</v>
      </c>
    </row>
    <row r="592" spans="1:8">
      <c r="E592" s="739">
        <v>399</v>
      </c>
      <c r="H592" s="739" t="s">
        <v>11575</v>
      </c>
    </row>
    <row r="593" spans="1:8">
      <c r="E593" s="834" t="s">
        <v>16835</v>
      </c>
      <c r="F593" s="834"/>
      <c r="G593" s="834"/>
    </row>
    <row r="595" spans="1:8">
      <c r="A595" s="739" t="s">
        <v>6431</v>
      </c>
    </row>
    <row r="596" spans="1:8" s="839" customFormat="1">
      <c r="D596" s="839">
        <v>162016</v>
      </c>
      <c r="H596" s="839" t="s">
        <v>16836</v>
      </c>
    </row>
    <row r="598" spans="1:8">
      <c r="A598" s="739" t="s">
        <v>16837</v>
      </c>
    </row>
    <row r="599" spans="1:8">
      <c r="E599" s="739">
        <v>85</v>
      </c>
      <c r="H599" s="739" t="s">
        <v>11580</v>
      </c>
    </row>
    <row r="600" spans="1:8">
      <c r="E600" s="834" t="s">
        <v>11581</v>
      </c>
      <c r="F600" s="834"/>
      <c r="G600" s="834"/>
    </row>
    <row r="602" spans="1:8">
      <c r="A602" s="739" t="s">
        <v>6436</v>
      </c>
    </row>
    <row r="603" spans="1:8">
      <c r="B603" s="739">
        <v>6000</v>
      </c>
      <c r="H603" s="739" t="s">
        <v>6437</v>
      </c>
    </row>
    <row r="604" spans="1:8">
      <c r="B604" s="739">
        <v>150000</v>
      </c>
      <c r="H604" s="739" t="s">
        <v>6437</v>
      </c>
    </row>
    <row r="605" spans="1:8" ht="33">
      <c r="B605" s="836" t="s">
        <v>16838</v>
      </c>
      <c r="H605" s="739" t="s">
        <v>16839</v>
      </c>
    </row>
    <row r="607" spans="1:8">
      <c r="A607" s="739" t="s">
        <v>16840</v>
      </c>
    </row>
    <row r="608" spans="1:8">
      <c r="C608" s="739">
        <v>15000</v>
      </c>
      <c r="H608" s="739" t="s">
        <v>6441</v>
      </c>
    </row>
    <row r="610" spans="1:8">
      <c r="A610" s="739" t="s">
        <v>6442</v>
      </c>
    </row>
    <row r="611" spans="1:8">
      <c r="C611" s="739">
        <v>63740</v>
      </c>
      <c r="H611" s="739" t="s">
        <v>5592</v>
      </c>
    </row>
    <row r="612" spans="1:8">
      <c r="C612" s="739">
        <v>19580</v>
      </c>
      <c r="H612" s="739" t="s">
        <v>6444</v>
      </c>
    </row>
    <row r="614" spans="1:8">
      <c r="A614" s="739" t="s">
        <v>11590</v>
      </c>
    </row>
    <row r="615" spans="1:8">
      <c r="E615" s="739">
        <v>110</v>
      </c>
      <c r="H615" s="739" t="s">
        <v>6446</v>
      </c>
    </row>
    <row r="616" spans="1:8">
      <c r="E616" s="739">
        <v>120</v>
      </c>
      <c r="H616" s="739" t="s">
        <v>6447</v>
      </c>
    </row>
    <row r="617" spans="1:8">
      <c r="E617" s="834" t="s">
        <v>6448</v>
      </c>
      <c r="F617" s="834"/>
      <c r="G617" s="834"/>
    </row>
    <row r="619" spans="1:8">
      <c r="A619" s="739" t="s">
        <v>6449</v>
      </c>
    </row>
    <row r="620" spans="1:8">
      <c r="D620" s="739">
        <v>1559</v>
      </c>
      <c r="H620" s="739" t="s">
        <v>16841</v>
      </c>
    </row>
    <row r="621" spans="1:8">
      <c r="E621" s="834" t="s">
        <v>6451</v>
      </c>
      <c r="F621" s="834"/>
      <c r="G621" s="834"/>
    </row>
    <row r="623" spans="1:8">
      <c r="A623" s="739" t="s">
        <v>6452</v>
      </c>
    </row>
    <row r="624" spans="1:8">
      <c r="E624" s="739">
        <v>1205</v>
      </c>
      <c r="H624" s="739" t="s">
        <v>16612</v>
      </c>
    </row>
    <row r="625" spans="1:8">
      <c r="E625" s="834" t="s">
        <v>6453</v>
      </c>
      <c r="F625" s="834"/>
      <c r="G625" s="834"/>
    </row>
    <row r="627" spans="1:8">
      <c r="A627" s="739" t="s">
        <v>6452</v>
      </c>
    </row>
    <row r="628" spans="1:8">
      <c r="E628" s="739">
        <v>90</v>
      </c>
      <c r="H628" s="739" t="s">
        <v>16842</v>
      </c>
    </row>
    <row r="629" spans="1:8">
      <c r="E629" s="834" t="s">
        <v>6455</v>
      </c>
      <c r="F629" s="834"/>
      <c r="G629" s="834"/>
    </row>
    <row r="631" spans="1:8">
      <c r="A631" s="739" t="s">
        <v>16843</v>
      </c>
    </row>
    <row r="632" spans="1:8">
      <c r="C632" s="739">
        <v>11999</v>
      </c>
      <c r="H632" s="739" t="s">
        <v>6457</v>
      </c>
    </row>
    <row r="634" spans="1:8">
      <c r="A634" s="739" t="s">
        <v>11604</v>
      </c>
    </row>
    <row r="635" spans="1:8">
      <c r="C635" s="739">
        <v>300000</v>
      </c>
      <c r="H635" s="739" t="s">
        <v>16844</v>
      </c>
    </row>
    <row r="636" spans="1:8">
      <c r="C636" s="840" t="s">
        <v>6460</v>
      </c>
      <c r="E636" s="739">
        <v>30</v>
      </c>
      <c r="H636" s="739" t="s">
        <v>16845</v>
      </c>
    </row>
    <row r="637" spans="1:8">
      <c r="E637" s="834" t="s">
        <v>11607</v>
      </c>
      <c r="F637" s="834"/>
      <c r="G637" s="834"/>
    </row>
    <row r="639" spans="1:8">
      <c r="A639" s="739" t="s">
        <v>16846</v>
      </c>
    </row>
    <row r="640" spans="1:8">
      <c r="E640" s="739">
        <v>100</v>
      </c>
      <c r="H640" s="739" t="s">
        <v>16847</v>
      </c>
    </row>
    <row r="641" spans="1:8">
      <c r="E641" s="739">
        <v>110</v>
      </c>
      <c r="H641" s="739" t="s">
        <v>6463</v>
      </c>
    </row>
    <row r="642" spans="1:8">
      <c r="E642" s="834" t="s">
        <v>6464</v>
      </c>
      <c r="F642" s="834"/>
      <c r="G642" s="834"/>
    </row>
    <row r="644" spans="1:8">
      <c r="A644" s="739" t="s">
        <v>16848</v>
      </c>
    </row>
    <row r="645" spans="1:8">
      <c r="E645" s="739">
        <v>370</v>
      </c>
      <c r="H645" s="739" t="s">
        <v>16849</v>
      </c>
    </row>
    <row r="646" spans="1:8">
      <c r="E646" s="739">
        <v>370</v>
      </c>
      <c r="H646" s="739" t="s">
        <v>16850</v>
      </c>
    </row>
    <row r="647" spans="1:8">
      <c r="E647" s="834" t="s">
        <v>6467</v>
      </c>
      <c r="F647" s="834"/>
      <c r="G647" s="834"/>
    </row>
    <row r="649" spans="1:8">
      <c r="A649" s="739" t="s">
        <v>5595</v>
      </c>
    </row>
    <row r="650" spans="1:8">
      <c r="E650" s="739">
        <v>200</v>
      </c>
      <c r="H650" s="739" t="s">
        <v>6469</v>
      </c>
    </row>
    <row r="651" spans="1:8">
      <c r="E651" s="739">
        <v>190</v>
      </c>
      <c r="H651" s="739" t="s">
        <v>16851</v>
      </c>
    </row>
    <row r="652" spans="1:8">
      <c r="E652" s="834" t="s">
        <v>11615</v>
      </c>
      <c r="F652" s="834"/>
      <c r="G652" s="834"/>
    </row>
    <row r="654" spans="1:8">
      <c r="A654" s="739" t="s">
        <v>6471</v>
      </c>
    </row>
    <row r="655" spans="1:8">
      <c r="E655" s="739">
        <v>120</v>
      </c>
      <c r="H655" s="739" t="s">
        <v>16852</v>
      </c>
    </row>
    <row r="656" spans="1:8">
      <c r="E656" s="834" t="s">
        <v>6473</v>
      </c>
      <c r="F656" s="834"/>
      <c r="G656" s="834"/>
    </row>
    <row r="658" spans="1:8">
      <c r="A658" s="739" t="s">
        <v>11619</v>
      </c>
    </row>
    <row r="659" spans="1:8">
      <c r="E659" s="739">
        <v>42</v>
      </c>
      <c r="H659" s="739" t="s">
        <v>11620</v>
      </c>
    </row>
    <row r="660" spans="1:8">
      <c r="E660" s="739">
        <v>500</v>
      </c>
      <c r="H660" s="739" t="s">
        <v>16853</v>
      </c>
    </row>
    <row r="661" spans="1:8">
      <c r="E661" s="834" t="s">
        <v>6477</v>
      </c>
      <c r="F661" s="834"/>
      <c r="G661" s="834"/>
    </row>
    <row r="662" spans="1:8">
      <c r="E662" s="834"/>
      <c r="F662" s="834"/>
      <c r="G662" s="834"/>
    </row>
    <row r="663" spans="1:8">
      <c r="A663" s="739" t="s">
        <v>11623</v>
      </c>
    </row>
    <row r="664" spans="1:8">
      <c r="E664" s="739">
        <v>42</v>
      </c>
      <c r="H664" s="739" t="s">
        <v>16854</v>
      </c>
    </row>
    <row r="665" spans="1:8">
      <c r="E665" s="834" t="s">
        <v>11625</v>
      </c>
      <c r="F665" s="834"/>
      <c r="G665" s="834"/>
    </row>
    <row r="667" spans="1:8">
      <c r="A667" s="739" t="s">
        <v>6481</v>
      </c>
    </row>
    <row r="668" spans="1:8">
      <c r="C668" s="739">
        <v>15000</v>
      </c>
      <c r="H668" s="739" t="s">
        <v>6482</v>
      </c>
    </row>
    <row r="670" spans="1:8">
      <c r="A670" s="739" t="s">
        <v>16855</v>
      </c>
    </row>
    <row r="671" spans="1:8">
      <c r="C671" s="739">
        <v>2832</v>
      </c>
      <c r="H671" s="739" t="s">
        <v>16856</v>
      </c>
    </row>
    <row r="672" spans="1:8">
      <c r="E672" s="739">
        <v>30</v>
      </c>
      <c r="H672" s="739" t="s">
        <v>6484</v>
      </c>
    </row>
    <row r="673" spans="1:8">
      <c r="E673" s="834" t="s">
        <v>11630</v>
      </c>
      <c r="F673" s="834"/>
      <c r="G673" s="834"/>
    </row>
    <row r="675" spans="1:8">
      <c r="A675" s="739" t="s">
        <v>16857</v>
      </c>
    </row>
    <row r="676" spans="1:8">
      <c r="C676" s="739">
        <v>63740</v>
      </c>
      <c r="H676" s="739" t="s">
        <v>6487</v>
      </c>
    </row>
    <row r="677" spans="1:8">
      <c r="C677" s="739">
        <v>23038</v>
      </c>
      <c r="H677" s="739" t="s">
        <v>6488</v>
      </c>
    </row>
    <row r="678" spans="1:8">
      <c r="C678" s="739">
        <v>70000</v>
      </c>
      <c r="H678" s="739" t="s">
        <v>16858</v>
      </c>
    </row>
    <row r="680" spans="1:8">
      <c r="A680" s="739" t="s">
        <v>6486</v>
      </c>
    </row>
    <row r="681" spans="1:8">
      <c r="E681" s="739">
        <v>10000</v>
      </c>
      <c r="H681" s="739" t="s">
        <v>5597</v>
      </c>
    </row>
    <row r="682" spans="1:8">
      <c r="E682" s="739">
        <v>35</v>
      </c>
      <c r="H682" s="739" t="s">
        <v>6491</v>
      </c>
    </row>
    <row r="683" spans="1:8">
      <c r="E683" s="739">
        <v>175</v>
      </c>
      <c r="H683" s="739" t="s">
        <v>11635</v>
      </c>
    </row>
    <row r="684" spans="1:8">
      <c r="E684" s="834" t="s">
        <v>11636</v>
      </c>
      <c r="F684" s="834"/>
      <c r="G684" s="834"/>
    </row>
    <row r="685" spans="1:8">
      <c r="H685" s="840" t="s">
        <v>6494</v>
      </c>
    </row>
    <row r="686" spans="1:8">
      <c r="E686" s="835"/>
      <c r="F686" s="835"/>
      <c r="G686" s="835"/>
      <c r="H686" s="840"/>
    </row>
    <row r="687" spans="1:8">
      <c r="E687" s="841"/>
      <c r="F687" s="841"/>
      <c r="G687" s="841"/>
      <c r="H687" s="840"/>
    </row>
    <row r="688" spans="1:8">
      <c r="A688" s="739" t="s">
        <v>6486</v>
      </c>
    </row>
    <row r="689" spans="1:8">
      <c r="H689" s="739" t="s">
        <v>6495</v>
      </c>
    </row>
    <row r="691" spans="1:8">
      <c r="A691" s="739" t="s">
        <v>16859</v>
      </c>
    </row>
    <row r="692" spans="1:8">
      <c r="E692" s="739">
        <v>45</v>
      </c>
      <c r="H692" s="739" t="s">
        <v>6497</v>
      </c>
    </row>
    <row r="693" spans="1:8">
      <c r="E693" s="834" t="s">
        <v>6498</v>
      </c>
      <c r="F693" s="834"/>
      <c r="G693" s="834"/>
    </row>
    <row r="695" spans="1:8">
      <c r="A695" s="739" t="s">
        <v>6499</v>
      </c>
    </row>
    <row r="696" spans="1:8">
      <c r="E696" s="739">
        <v>1205</v>
      </c>
      <c r="H696" s="739" t="s">
        <v>16860</v>
      </c>
    </row>
    <row r="697" spans="1:8">
      <c r="E697" s="739">
        <v>399</v>
      </c>
      <c r="H697" s="739" t="s">
        <v>6049</v>
      </c>
    </row>
    <row r="698" spans="1:8">
      <c r="E698" s="739">
        <v>399</v>
      </c>
      <c r="H698" s="739" t="s">
        <v>6500</v>
      </c>
    </row>
    <row r="699" spans="1:8">
      <c r="E699" s="739">
        <v>132</v>
      </c>
      <c r="H699" s="739" t="s">
        <v>7126</v>
      </c>
    </row>
    <row r="700" spans="1:8">
      <c r="E700" s="739">
        <v>45</v>
      </c>
      <c r="H700" s="739" t="s">
        <v>6501</v>
      </c>
    </row>
    <row r="701" spans="1:8">
      <c r="E701" s="834" t="s">
        <v>16861</v>
      </c>
      <c r="F701" s="834"/>
      <c r="G701" s="834"/>
    </row>
    <row r="703" spans="1:8">
      <c r="A703" s="739" t="s">
        <v>11647</v>
      </c>
    </row>
    <row r="704" spans="1:8">
      <c r="C704" s="739">
        <v>17420</v>
      </c>
      <c r="H704" s="739" t="s">
        <v>11648</v>
      </c>
    </row>
    <row r="705" spans="1:8">
      <c r="C705" s="739">
        <v>10519</v>
      </c>
      <c r="H705" s="739" t="s">
        <v>6505</v>
      </c>
    </row>
    <row r="707" spans="1:8">
      <c r="A707" s="739" t="s">
        <v>11650</v>
      </c>
    </row>
    <row r="708" spans="1:8">
      <c r="E708" s="739">
        <v>500</v>
      </c>
      <c r="H708" s="739" t="s">
        <v>6831</v>
      </c>
    </row>
    <row r="709" spans="1:8">
      <c r="E709" s="834" t="s">
        <v>6508</v>
      </c>
      <c r="F709" s="834"/>
      <c r="G709" s="834"/>
    </row>
    <row r="711" spans="1:8">
      <c r="A711" s="739" t="s">
        <v>6509</v>
      </c>
    </row>
    <row r="712" spans="1:8">
      <c r="E712" s="739">
        <v>42</v>
      </c>
      <c r="H712" s="739" t="s">
        <v>6510</v>
      </c>
    </row>
    <row r="713" spans="1:8">
      <c r="E713" s="834" t="s">
        <v>6511</v>
      </c>
      <c r="F713" s="834"/>
      <c r="G713" s="834"/>
    </row>
    <row r="715" spans="1:8">
      <c r="A715" s="739" t="s">
        <v>6512</v>
      </c>
    </row>
    <row r="716" spans="1:8">
      <c r="C716" s="739">
        <v>15000</v>
      </c>
      <c r="H716" s="739" t="s">
        <v>16862</v>
      </c>
    </row>
    <row r="718" spans="1:8">
      <c r="A718" s="739" t="s">
        <v>16863</v>
      </c>
    </row>
    <row r="719" spans="1:8">
      <c r="E719" s="739">
        <v>300</v>
      </c>
      <c r="H719" s="739" t="s">
        <v>6515</v>
      </c>
    </row>
    <row r="720" spans="1:8">
      <c r="E720" s="739">
        <v>135</v>
      </c>
      <c r="H720" s="739" t="s">
        <v>16864</v>
      </c>
    </row>
    <row r="721" spans="1:8">
      <c r="E721" s="739">
        <v>260</v>
      </c>
      <c r="H721" s="739" t="s">
        <v>6517</v>
      </c>
    </row>
    <row r="722" spans="1:8">
      <c r="E722" s="834" t="s">
        <v>6518</v>
      </c>
      <c r="F722" s="834"/>
      <c r="G722" s="834"/>
    </row>
    <row r="724" spans="1:8">
      <c r="A724" s="739" t="s">
        <v>16865</v>
      </c>
    </row>
    <row r="725" spans="1:8">
      <c r="E725" s="739">
        <v>35</v>
      </c>
      <c r="H725" s="739" t="s">
        <v>6520</v>
      </c>
    </row>
    <row r="726" spans="1:8">
      <c r="E726" s="739">
        <v>70</v>
      </c>
      <c r="H726" s="739" t="s">
        <v>16866</v>
      </c>
    </row>
    <row r="727" spans="1:8">
      <c r="E727" s="834" t="s">
        <v>16867</v>
      </c>
      <c r="F727" s="834"/>
      <c r="G727" s="834"/>
    </row>
    <row r="729" spans="1:8">
      <c r="A729" s="739" t="s">
        <v>5600</v>
      </c>
    </row>
    <row r="730" spans="1:8">
      <c r="C730" s="739">
        <v>44000</v>
      </c>
      <c r="H730" s="739" t="s">
        <v>6522</v>
      </c>
    </row>
    <row r="731" spans="1:8">
      <c r="C731" s="739">
        <v>23038</v>
      </c>
      <c r="H731" s="739" t="s">
        <v>16868</v>
      </c>
    </row>
    <row r="733" spans="1:8">
      <c r="A733" s="739" t="s">
        <v>5601</v>
      </c>
    </row>
    <row r="734" spans="1:8">
      <c r="C734" s="739">
        <v>63740</v>
      </c>
      <c r="H734" s="739" t="s">
        <v>16869</v>
      </c>
    </row>
    <row r="736" spans="1:8">
      <c r="A736" s="739" t="s">
        <v>6526</v>
      </c>
    </row>
    <row r="737" spans="1:8">
      <c r="C737" s="739">
        <v>10642</v>
      </c>
      <c r="H737" s="739" t="s">
        <v>16870</v>
      </c>
    </row>
    <row r="739" spans="1:8">
      <c r="A739" s="739" t="s">
        <v>16871</v>
      </c>
    </row>
    <row r="740" spans="1:8">
      <c r="E740" s="739">
        <v>1205</v>
      </c>
      <c r="H740" s="739" t="s">
        <v>6104</v>
      </c>
    </row>
    <row r="741" spans="1:8">
      <c r="E741" s="834" t="s">
        <v>16872</v>
      </c>
      <c r="F741" s="834"/>
      <c r="G741" s="834"/>
    </row>
    <row r="743" spans="1:8">
      <c r="A743" s="739" t="s">
        <v>6530</v>
      </c>
    </row>
    <row r="744" spans="1:8">
      <c r="C744" s="739">
        <v>15000</v>
      </c>
      <c r="H744" s="739" t="s">
        <v>16873</v>
      </c>
    </row>
    <row r="746" spans="1:8">
      <c r="A746" s="739" t="s">
        <v>16874</v>
      </c>
    </row>
    <row r="747" spans="1:8">
      <c r="E747" s="739">
        <v>18</v>
      </c>
      <c r="H747" s="739" t="s">
        <v>16875</v>
      </c>
    </row>
    <row r="748" spans="1:8">
      <c r="E748" s="834" t="s">
        <v>6534</v>
      </c>
      <c r="F748" s="834"/>
      <c r="G748" s="834"/>
    </row>
    <row r="750" spans="1:8">
      <c r="A750" s="739" t="s">
        <v>16876</v>
      </c>
    </row>
    <row r="751" spans="1:8">
      <c r="C751" s="739">
        <v>19299</v>
      </c>
      <c r="H751" s="739" t="s">
        <v>16877</v>
      </c>
    </row>
    <row r="752" spans="1:8">
      <c r="C752" s="739" t="s">
        <v>7009</v>
      </c>
    </row>
    <row r="753" spans="1:8">
      <c r="A753" s="739" t="s">
        <v>16878</v>
      </c>
    </row>
    <row r="754" spans="1:8">
      <c r="E754" s="739">
        <v>157</v>
      </c>
      <c r="H754" s="739" t="s">
        <v>16879</v>
      </c>
    </row>
    <row r="755" spans="1:8">
      <c r="E755" s="834" t="s">
        <v>16880</v>
      </c>
      <c r="F755" s="834"/>
      <c r="G755" s="834"/>
    </row>
    <row r="757" spans="1:8">
      <c r="A757" s="739" t="s">
        <v>6541</v>
      </c>
    </row>
    <row r="758" spans="1:8">
      <c r="C758" s="739">
        <v>11750</v>
      </c>
      <c r="H758" s="739" t="s">
        <v>6542</v>
      </c>
    </row>
    <row r="759" spans="1:8">
      <c r="C759" s="739">
        <v>23038</v>
      </c>
      <c r="H759" s="739" t="s">
        <v>6543</v>
      </c>
    </row>
    <row r="760" spans="1:8">
      <c r="C760" s="739">
        <v>63740</v>
      </c>
      <c r="H760" s="739" t="s">
        <v>6544</v>
      </c>
    </row>
    <row r="762" spans="1:8">
      <c r="A762" s="739" t="s">
        <v>6545</v>
      </c>
    </row>
    <row r="763" spans="1:8">
      <c r="E763" s="739">
        <v>240</v>
      </c>
      <c r="H763" s="739" t="s">
        <v>6546</v>
      </c>
    </row>
    <row r="764" spans="1:8">
      <c r="E764" s="739">
        <v>245</v>
      </c>
      <c r="H764" s="739" t="s">
        <v>6546</v>
      </c>
    </row>
    <row r="765" spans="1:8">
      <c r="E765" s="834" t="s">
        <v>6547</v>
      </c>
      <c r="F765" s="834"/>
      <c r="G765" s="834"/>
    </row>
    <row r="767" spans="1:8">
      <c r="A767" s="739" t="s">
        <v>11689</v>
      </c>
    </row>
    <row r="768" spans="1:8">
      <c r="C768" s="739">
        <v>2587</v>
      </c>
      <c r="H768" s="739" t="s">
        <v>16881</v>
      </c>
    </row>
    <row r="770" spans="1:8">
      <c r="A770" s="739" t="s">
        <v>6550</v>
      </c>
    </row>
    <row r="771" spans="1:8">
      <c r="E771" s="739">
        <v>130</v>
      </c>
      <c r="H771" s="739" t="s">
        <v>7327</v>
      </c>
    </row>
    <row r="772" spans="1:8">
      <c r="E772" s="739">
        <v>115</v>
      </c>
      <c r="H772" s="739" t="s">
        <v>16882</v>
      </c>
    </row>
    <row r="773" spans="1:8">
      <c r="E773" s="834" t="s">
        <v>6552</v>
      </c>
      <c r="F773" s="834"/>
      <c r="G773" s="834"/>
    </row>
    <row r="775" spans="1:8">
      <c r="A775" s="739" t="s">
        <v>6553</v>
      </c>
    </row>
    <row r="776" spans="1:8">
      <c r="E776" s="739">
        <v>325</v>
      </c>
      <c r="H776" s="739" t="s">
        <v>8045</v>
      </c>
    </row>
    <row r="777" spans="1:8">
      <c r="E777" s="739">
        <v>335</v>
      </c>
      <c r="H777" s="739" t="s">
        <v>8045</v>
      </c>
    </row>
    <row r="778" spans="1:8">
      <c r="E778" s="834" t="s">
        <v>11698</v>
      </c>
      <c r="F778" s="834"/>
      <c r="G778" s="834"/>
    </row>
    <row r="780" spans="1:8">
      <c r="A780" s="739" t="s">
        <v>16883</v>
      </c>
    </row>
    <row r="781" spans="1:8">
      <c r="C781" s="739">
        <v>5000</v>
      </c>
      <c r="H781" s="739" t="s">
        <v>6557</v>
      </c>
    </row>
    <row r="782" spans="1:8">
      <c r="D782" s="739">
        <v>5000</v>
      </c>
      <c r="H782" s="739" t="s">
        <v>16884</v>
      </c>
    </row>
    <row r="783" spans="1:8">
      <c r="E783" s="739">
        <v>126</v>
      </c>
      <c r="H783" s="739" t="s">
        <v>7252</v>
      </c>
    </row>
    <row r="784" spans="1:8">
      <c r="E784" s="739">
        <v>363</v>
      </c>
      <c r="H784" s="739" t="s">
        <v>6558</v>
      </c>
    </row>
    <row r="785" spans="1:8">
      <c r="E785" s="739">
        <v>798</v>
      </c>
      <c r="H785" s="739" t="s">
        <v>6559</v>
      </c>
    </row>
    <row r="786" spans="1:8">
      <c r="E786" s="834" t="s">
        <v>16885</v>
      </c>
      <c r="F786" s="834"/>
      <c r="G786" s="834"/>
    </row>
    <row r="788" spans="1:8">
      <c r="A788" s="739" t="s">
        <v>16886</v>
      </c>
    </row>
    <row r="789" spans="1:8">
      <c r="E789" s="739">
        <v>1205</v>
      </c>
      <c r="H789" s="739" t="s">
        <v>6132</v>
      </c>
    </row>
    <row r="790" spans="1:8">
      <c r="E790" s="834" t="s">
        <v>6562</v>
      </c>
      <c r="F790" s="834"/>
      <c r="G790" s="834"/>
    </row>
    <row r="792" spans="1:8">
      <c r="A792" s="739" t="s">
        <v>6561</v>
      </c>
    </row>
    <row r="793" spans="1:8">
      <c r="C793" s="739">
        <v>6000</v>
      </c>
      <c r="H793" s="739" t="s">
        <v>11707</v>
      </c>
    </row>
    <row r="795" spans="1:8">
      <c r="A795" s="739" t="s">
        <v>16887</v>
      </c>
    </row>
    <row r="796" spans="1:8">
      <c r="C796" s="739">
        <v>15000</v>
      </c>
      <c r="H796" s="739" t="s">
        <v>16888</v>
      </c>
    </row>
    <row r="798" spans="1:8">
      <c r="A798" s="739" t="s">
        <v>6566</v>
      </c>
    </row>
    <row r="799" spans="1:8">
      <c r="E799" s="739">
        <v>215</v>
      </c>
      <c r="H799" s="739" t="s">
        <v>16889</v>
      </c>
    </row>
    <row r="800" spans="1:8">
      <c r="E800" s="739">
        <v>230</v>
      </c>
      <c r="H800" s="739" t="s">
        <v>6567</v>
      </c>
    </row>
    <row r="801" spans="1:8">
      <c r="E801" s="834" t="s">
        <v>16890</v>
      </c>
      <c r="F801" s="834"/>
      <c r="G801" s="834"/>
    </row>
    <row r="803" spans="1:8">
      <c r="A803" s="739" t="s">
        <v>16891</v>
      </c>
    </row>
    <row r="804" spans="1:8">
      <c r="E804" s="739">
        <v>45</v>
      </c>
      <c r="H804" s="739" t="s">
        <v>6570</v>
      </c>
    </row>
    <row r="805" spans="1:8">
      <c r="E805" s="834" t="s">
        <v>16892</v>
      </c>
      <c r="F805" s="834"/>
      <c r="G805" s="834"/>
    </row>
    <row r="807" spans="1:8">
      <c r="A807" s="739" t="s">
        <v>16893</v>
      </c>
    </row>
    <row r="808" spans="1:8" ht="33">
      <c r="C808" s="739">
        <v>45000</v>
      </c>
      <c r="H808" s="836" t="s">
        <v>6573</v>
      </c>
    </row>
    <row r="810" spans="1:8">
      <c r="A810" s="739" t="s">
        <v>6572</v>
      </c>
    </row>
    <row r="811" spans="1:8">
      <c r="C811" s="739">
        <v>52000</v>
      </c>
      <c r="H811" s="739" t="s">
        <v>16894</v>
      </c>
    </row>
    <row r="812" spans="1:8">
      <c r="C812" s="739">
        <v>23004</v>
      </c>
      <c r="H812" s="739" t="s">
        <v>6575</v>
      </c>
    </row>
    <row r="813" spans="1:8">
      <c r="C813" s="739">
        <v>63725</v>
      </c>
      <c r="H813" s="739" t="s">
        <v>16895</v>
      </c>
    </row>
    <row r="815" spans="1:8">
      <c r="A815" s="739" t="s">
        <v>6577</v>
      </c>
    </row>
    <row r="816" spans="1:8">
      <c r="E816" s="739">
        <v>315</v>
      </c>
      <c r="H816" s="739" t="s">
        <v>16896</v>
      </c>
    </row>
    <row r="817" spans="1:8">
      <c r="E817" s="739">
        <v>410</v>
      </c>
      <c r="H817" s="739" t="s">
        <v>11723</v>
      </c>
    </row>
    <row r="818" spans="1:8">
      <c r="E818" s="834" t="s">
        <v>6579</v>
      </c>
      <c r="F818" s="834"/>
      <c r="G818" s="834"/>
      <c r="H818" s="739" t="s">
        <v>16897</v>
      </c>
    </row>
    <row r="819" spans="1:8">
      <c r="E819" s="834"/>
      <c r="F819" s="834"/>
      <c r="G819" s="834"/>
    </row>
    <row r="820" spans="1:8">
      <c r="A820" s="739" t="s">
        <v>11727</v>
      </c>
    </row>
    <row r="821" spans="1:8">
      <c r="C821" s="739">
        <v>34281</v>
      </c>
      <c r="H821" s="739" t="s">
        <v>6582</v>
      </c>
    </row>
    <row r="823" spans="1:8">
      <c r="A823" s="739" t="s">
        <v>6583</v>
      </c>
    </row>
    <row r="824" spans="1:8">
      <c r="C824" s="739">
        <v>45000</v>
      </c>
      <c r="H824" s="739" t="s">
        <v>16898</v>
      </c>
    </row>
    <row r="825" spans="1:8">
      <c r="E825" s="739">
        <v>30</v>
      </c>
      <c r="H825" s="739" t="s">
        <v>11731</v>
      </c>
    </row>
    <row r="826" spans="1:8">
      <c r="E826" s="834" t="s">
        <v>16899</v>
      </c>
      <c r="F826" s="834"/>
      <c r="G826" s="834"/>
    </row>
    <row r="828" spans="1:8">
      <c r="A828" s="739" t="s">
        <v>6587</v>
      </c>
      <c r="E828" s="739">
        <v>124</v>
      </c>
      <c r="H828" s="739" t="s">
        <v>16900</v>
      </c>
    </row>
    <row r="829" spans="1:8">
      <c r="E829" s="834" t="s">
        <v>16901</v>
      </c>
      <c r="F829" s="834"/>
      <c r="G829" s="834"/>
    </row>
    <row r="832" spans="1:8">
      <c r="A832" s="739" t="s">
        <v>6583</v>
      </c>
      <c r="E832" s="739">
        <v>70</v>
      </c>
      <c r="H832" s="739" t="s">
        <v>11737</v>
      </c>
    </row>
    <row r="833" spans="1:8">
      <c r="E833" s="834" t="s">
        <v>16902</v>
      </c>
      <c r="F833" s="834"/>
      <c r="G833" s="834"/>
    </row>
    <row r="835" spans="1:8">
      <c r="A835" s="739" t="s">
        <v>6592</v>
      </c>
    </row>
    <row r="836" spans="1:8">
      <c r="E836" s="739">
        <v>70</v>
      </c>
      <c r="H836" s="739" t="s">
        <v>16903</v>
      </c>
    </row>
    <row r="837" spans="1:8">
      <c r="E837" s="834" t="s">
        <v>6594</v>
      </c>
      <c r="F837" s="834"/>
      <c r="G837" s="834"/>
    </row>
    <row r="839" spans="1:8">
      <c r="A839" s="739" t="s">
        <v>16904</v>
      </c>
    </row>
    <row r="840" spans="1:8">
      <c r="E840" s="739">
        <v>95</v>
      </c>
      <c r="H840" s="739" t="s">
        <v>16905</v>
      </c>
    </row>
    <row r="841" spans="1:8">
      <c r="E841" s="834" t="s">
        <v>11744</v>
      </c>
      <c r="F841" s="834"/>
      <c r="G841" s="834"/>
    </row>
    <row r="843" spans="1:8">
      <c r="A843" s="739" t="s">
        <v>16906</v>
      </c>
    </row>
    <row r="844" spans="1:8">
      <c r="E844" s="739">
        <v>32</v>
      </c>
      <c r="H844" s="739" t="s">
        <v>11746</v>
      </c>
    </row>
    <row r="845" spans="1:8">
      <c r="E845" s="834" t="s">
        <v>11747</v>
      </c>
      <c r="F845" s="834"/>
      <c r="G845" s="834"/>
    </row>
    <row r="846" spans="1:8">
      <c r="E846" s="834"/>
      <c r="F846" s="834"/>
      <c r="G846" s="834"/>
    </row>
    <row r="847" spans="1:8">
      <c r="A847" s="739" t="s">
        <v>6601</v>
      </c>
    </row>
    <row r="848" spans="1:8">
      <c r="E848" s="739">
        <v>1205</v>
      </c>
      <c r="H848" s="739" t="s">
        <v>16907</v>
      </c>
    </row>
    <row r="849" spans="1:8">
      <c r="E849" s="834" t="s">
        <v>6602</v>
      </c>
      <c r="F849" s="834"/>
      <c r="G849" s="834"/>
    </row>
    <row r="850" spans="1:8">
      <c r="E850" s="834"/>
      <c r="F850" s="834"/>
      <c r="G850" s="834"/>
    </row>
    <row r="851" spans="1:8">
      <c r="A851" s="739" t="s">
        <v>6603</v>
      </c>
    </row>
    <row r="852" spans="1:8">
      <c r="E852" s="739">
        <v>64</v>
      </c>
      <c r="H852" s="739" t="s">
        <v>16908</v>
      </c>
    </row>
    <row r="853" spans="1:8">
      <c r="E853" s="834" t="s">
        <v>6605</v>
      </c>
      <c r="F853" s="834"/>
      <c r="G853" s="834"/>
    </row>
    <row r="854" spans="1:8">
      <c r="E854" s="834"/>
      <c r="F854" s="834"/>
      <c r="G854" s="834"/>
    </row>
    <row r="855" spans="1:8">
      <c r="A855" s="739" t="s">
        <v>11753</v>
      </c>
    </row>
    <row r="856" spans="1:8">
      <c r="C856" s="739">
        <v>14825</v>
      </c>
      <c r="E856" s="834"/>
      <c r="F856" s="834"/>
      <c r="G856" s="834"/>
      <c r="H856" s="739" t="s">
        <v>11754</v>
      </c>
    </row>
    <row r="857" spans="1:8">
      <c r="E857" s="834"/>
      <c r="F857" s="834"/>
      <c r="G857" s="834"/>
    </row>
    <row r="858" spans="1:8" s="835" customFormat="1"/>
    <row r="860" spans="1:8">
      <c r="A860" s="739" t="s">
        <v>16909</v>
      </c>
      <c r="C860" s="739">
        <v>15015</v>
      </c>
      <c r="H860" s="739" t="s">
        <v>11756</v>
      </c>
    </row>
    <row r="862" spans="1:8">
      <c r="A862" s="739" t="s">
        <v>11755</v>
      </c>
      <c r="C862" s="739">
        <v>9900</v>
      </c>
      <c r="H862" s="739" t="s">
        <v>6610</v>
      </c>
    </row>
    <row r="864" spans="1:8">
      <c r="A864" s="739" t="s">
        <v>16910</v>
      </c>
      <c r="E864" s="739">
        <v>300</v>
      </c>
      <c r="H864" s="739" t="s">
        <v>16911</v>
      </c>
    </row>
    <row r="865" spans="1:8">
      <c r="E865" s="834" t="s">
        <v>16912</v>
      </c>
      <c r="F865" s="834"/>
      <c r="G865" s="834"/>
    </row>
    <row r="867" spans="1:8">
      <c r="A867" s="739" t="s">
        <v>16913</v>
      </c>
    </row>
    <row r="868" spans="1:8">
      <c r="C868" s="739">
        <v>44500</v>
      </c>
      <c r="H868" s="739" t="s">
        <v>11760</v>
      </c>
    </row>
    <row r="869" spans="1:8">
      <c r="C869" s="739">
        <v>23004</v>
      </c>
      <c r="H869" s="739" t="s">
        <v>11761</v>
      </c>
    </row>
    <row r="870" spans="1:8">
      <c r="C870" s="739">
        <v>63725</v>
      </c>
      <c r="H870" s="739" t="s">
        <v>11762</v>
      </c>
    </row>
    <row r="871" spans="1:8">
      <c r="C871" s="739">
        <v>15907</v>
      </c>
      <c r="H871" s="739" t="s">
        <v>11763</v>
      </c>
    </row>
    <row r="873" spans="1:8">
      <c r="A873" s="739" t="s">
        <v>16914</v>
      </c>
      <c r="E873" s="739">
        <v>52</v>
      </c>
      <c r="H873" s="739" t="s">
        <v>6618</v>
      </c>
    </row>
    <row r="874" spans="1:8">
      <c r="E874" s="834" t="s">
        <v>11766</v>
      </c>
      <c r="F874" s="834"/>
      <c r="G874" s="834"/>
    </row>
    <row r="876" spans="1:8">
      <c r="A876" s="739" t="s">
        <v>6620</v>
      </c>
    </row>
    <row r="877" spans="1:8">
      <c r="E877" s="739">
        <v>21</v>
      </c>
      <c r="H877" s="739" t="s">
        <v>16915</v>
      </c>
    </row>
    <row r="878" spans="1:8">
      <c r="E878" s="834" t="s">
        <v>6622</v>
      </c>
      <c r="F878" s="834"/>
      <c r="G878" s="834"/>
    </row>
    <row r="880" spans="1:8">
      <c r="A880" s="739" t="s">
        <v>16916</v>
      </c>
    </row>
    <row r="881" spans="1:8">
      <c r="E881" s="739">
        <v>225</v>
      </c>
      <c r="H881" s="739" t="s">
        <v>16917</v>
      </c>
    </row>
    <row r="882" spans="1:8">
      <c r="E882" s="739">
        <v>245</v>
      </c>
      <c r="H882" s="739" t="s">
        <v>6623</v>
      </c>
    </row>
    <row r="883" spans="1:8">
      <c r="E883" s="834" t="s">
        <v>11771</v>
      </c>
      <c r="F883" s="834"/>
      <c r="G883" s="834"/>
    </row>
    <row r="885" spans="1:8">
      <c r="A885" s="739" t="s">
        <v>6625</v>
      </c>
    </row>
    <row r="886" spans="1:8">
      <c r="C886" s="739">
        <v>5000</v>
      </c>
      <c r="H886" s="739" t="s">
        <v>11773</v>
      </c>
    </row>
    <row r="887" spans="1:8">
      <c r="D887" s="739">
        <v>5000</v>
      </c>
      <c r="H887" s="739" t="s">
        <v>463</v>
      </c>
    </row>
    <row r="888" spans="1:8">
      <c r="E888" s="834" t="s">
        <v>16918</v>
      </c>
      <c r="F888" s="834"/>
      <c r="G888" s="834"/>
    </row>
    <row r="890" spans="1:8">
      <c r="A890" s="739" t="s">
        <v>6625</v>
      </c>
    </row>
    <row r="891" spans="1:8">
      <c r="E891" s="739">
        <v>385</v>
      </c>
      <c r="H891" s="739" t="s">
        <v>16919</v>
      </c>
    </row>
    <row r="892" spans="1:8">
      <c r="E892" s="739">
        <v>380</v>
      </c>
      <c r="H892" s="739" t="s">
        <v>6628</v>
      </c>
    </row>
    <row r="893" spans="1:8">
      <c r="E893" s="834" t="s">
        <v>6629</v>
      </c>
      <c r="F893" s="834"/>
      <c r="G893" s="834"/>
    </row>
    <row r="895" spans="1:8">
      <c r="A895" s="739" t="s">
        <v>6630</v>
      </c>
      <c r="E895" s="739">
        <v>1205</v>
      </c>
      <c r="H895" s="739" t="s">
        <v>16920</v>
      </c>
    </row>
    <row r="896" spans="1:8">
      <c r="E896" s="834" t="s">
        <v>16921</v>
      </c>
      <c r="F896" s="834"/>
      <c r="G896" s="834"/>
    </row>
    <row r="898" spans="1:8">
      <c r="A898" s="739" t="s">
        <v>16922</v>
      </c>
    </row>
    <row r="899" spans="1:8">
      <c r="C899" s="739">
        <v>15000</v>
      </c>
      <c r="H899" s="739" t="s">
        <v>6634</v>
      </c>
    </row>
    <row r="900" spans="1:8">
      <c r="B900" s="739">
        <v>15000</v>
      </c>
      <c r="H900" s="739" t="s">
        <v>6635</v>
      </c>
    </row>
    <row r="902" spans="1:8">
      <c r="A902" s="739" t="s">
        <v>16923</v>
      </c>
      <c r="C902" s="739">
        <v>15000</v>
      </c>
      <c r="H902" s="739" t="s">
        <v>11784</v>
      </c>
    </row>
    <row r="904" spans="1:8">
      <c r="A904" s="739" t="s">
        <v>6636</v>
      </c>
    </row>
    <row r="905" spans="1:8">
      <c r="C905" s="739">
        <v>33004</v>
      </c>
      <c r="H905" s="739" t="s">
        <v>11786</v>
      </c>
    </row>
    <row r="906" spans="1:8">
      <c r="C906" s="739">
        <v>36000</v>
      </c>
      <c r="H906" s="739" t="s">
        <v>6639</v>
      </c>
    </row>
    <row r="907" spans="1:8">
      <c r="C907" s="739">
        <v>63725</v>
      </c>
      <c r="H907" s="739" t="s">
        <v>16924</v>
      </c>
    </row>
    <row r="909" spans="1:8">
      <c r="A909" s="739" t="s">
        <v>6641</v>
      </c>
    </row>
    <row r="910" spans="1:8">
      <c r="C910" s="739">
        <v>4056</v>
      </c>
      <c r="E910" s="834"/>
      <c r="F910" s="834"/>
      <c r="G910" s="834"/>
      <c r="H910" s="739" t="s">
        <v>11790</v>
      </c>
    </row>
    <row r="911" spans="1:8">
      <c r="E911" s="834"/>
      <c r="F911" s="834"/>
      <c r="G911" s="834"/>
    </row>
    <row r="912" spans="1:8">
      <c r="A912" s="739" t="s">
        <v>16925</v>
      </c>
    </row>
    <row r="913" spans="1:8">
      <c r="E913" s="739">
        <v>100</v>
      </c>
      <c r="H913" s="739" t="s">
        <v>11792</v>
      </c>
    </row>
    <row r="914" spans="1:8">
      <c r="E914" s="739">
        <v>100</v>
      </c>
      <c r="H914" s="739" t="s">
        <v>16926</v>
      </c>
    </row>
    <row r="915" spans="1:8">
      <c r="E915" s="834" t="s">
        <v>11794</v>
      </c>
      <c r="F915" s="834"/>
      <c r="G915" s="834"/>
    </row>
    <row r="916" spans="1:8">
      <c r="E916" s="834"/>
      <c r="F916" s="834"/>
      <c r="G916" s="834"/>
    </row>
    <row r="917" spans="1:8">
      <c r="A917" s="739" t="s">
        <v>11795</v>
      </c>
    </row>
    <row r="918" spans="1:8">
      <c r="E918" s="739">
        <v>50</v>
      </c>
      <c r="H918" s="739" t="s">
        <v>16927</v>
      </c>
    </row>
    <row r="919" spans="1:8">
      <c r="E919" s="739">
        <v>500</v>
      </c>
      <c r="H919" s="739" t="s">
        <v>11797</v>
      </c>
    </row>
    <row r="920" spans="1:8">
      <c r="E920" s="739">
        <v>548</v>
      </c>
      <c r="H920" s="739" t="s">
        <v>6649</v>
      </c>
    </row>
    <row r="921" spans="1:8">
      <c r="E921" s="739">
        <v>75</v>
      </c>
      <c r="H921" s="739" t="s">
        <v>11799</v>
      </c>
    </row>
    <row r="922" spans="1:8">
      <c r="E922" s="834" t="s">
        <v>6651</v>
      </c>
      <c r="F922" s="834"/>
      <c r="G922" s="834"/>
    </row>
    <row r="924" spans="1:8">
      <c r="A924" s="739" t="s">
        <v>6652</v>
      </c>
    </row>
    <row r="925" spans="1:8">
      <c r="E925" s="739">
        <v>110</v>
      </c>
      <c r="H925" s="739" t="s">
        <v>11802</v>
      </c>
    </row>
    <row r="926" spans="1:8">
      <c r="E926" s="739">
        <v>130</v>
      </c>
      <c r="H926" s="739" t="s">
        <v>11802</v>
      </c>
    </row>
    <row r="927" spans="1:8">
      <c r="E927" s="834" t="s">
        <v>16928</v>
      </c>
      <c r="F927" s="834"/>
      <c r="G927" s="834"/>
    </row>
    <row r="929" spans="1:8">
      <c r="A929" s="739" t="s">
        <v>16929</v>
      </c>
      <c r="H929" s="739" t="s">
        <v>16930</v>
      </c>
    </row>
    <row r="930" spans="1:8">
      <c r="E930" s="739">
        <v>1205</v>
      </c>
    </row>
    <row r="931" spans="1:8">
      <c r="E931" s="834" t="s">
        <v>6657</v>
      </c>
      <c r="F931" s="834"/>
      <c r="G931" s="834"/>
    </row>
    <row r="933" spans="1:8">
      <c r="A933" s="739" t="s">
        <v>6658</v>
      </c>
    </row>
    <row r="934" spans="1:8">
      <c r="E934" s="739">
        <v>270</v>
      </c>
      <c r="H934" s="739" t="s">
        <v>6659</v>
      </c>
    </row>
    <row r="935" spans="1:8">
      <c r="E935" s="739">
        <v>250</v>
      </c>
      <c r="H935" s="739" t="s">
        <v>6659</v>
      </c>
    </row>
    <row r="936" spans="1:8">
      <c r="E936" s="834" t="s">
        <v>16931</v>
      </c>
      <c r="F936" s="834"/>
      <c r="G936" s="834"/>
      <c r="H936" s="834" t="s">
        <v>6661</v>
      </c>
    </row>
    <row r="938" spans="1:8">
      <c r="A938" s="739" t="s">
        <v>16932</v>
      </c>
      <c r="C938" s="739">
        <v>15000</v>
      </c>
      <c r="H938" s="739" t="s">
        <v>6663</v>
      </c>
    </row>
    <row r="940" spans="1:8">
      <c r="A940" s="739" t="s">
        <v>11815</v>
      </c>
    </row>
    <row r="941" spans="1:8">
      <c r="E941" s="739">
        <v>95</v>
      </c>
      <c r="H941" s="739" t="s">
        <v>6665</v>
      </c>
    </row>
    <row r="942" spans="1:8">
      <c r="E942" s="739">
        <v>470</v>
      </c>
      <c r="H942" s="739" t="s">
        <v>6666</v>
      </c>
    </row>
    <row r="943" spans="1:8">
      <c r="E943" s="834" t="s">
        <v>11818</v>
      </c>
      <c r="F943" s="834"/>
      <c r="G943" s="834"/>
    </row>
    <row r="945" spans="1:8">
      <c r="A945" s="739" t="s">
        <v>16933</v>
      </c>
      <c r="C945" s="739">
        <v>5000</v>
      </c>
      <c r="H945" s="739" t="s">
        <v>11773</v>
      </c>
    </row>
    <row r="946" spans="1:8">
      <c r="C946" s="739">
        <v>63707</v>
      </c>
      <c r="H946" s="739" t="s">
        <v>6640</v>
      </c>
    </row>
    <row r="947" spans="1:8">
      <c r="C947" s="739">
        <v>33000</v>
      </c>
      <c r="H947" s="739" t="s">
        <v>16934</v>
      </c>
    </row>
    <row r="948" spans="1:8">
      <c r="C948" s="739">
        <v>22978</v>
      </c>
      <c r="H948" s="739" t="s">
        <v>6639</v>
      </c>
    </row>
    <row r="949" spans="1:8">
      <c r="D949" s="739">
        <v>5000</v>
      </c>
      <c r="H949" s="739" t="s">
        <v>463</v>
      </c>
    </row>
    <row r="950" spans="1:8">
      <c r="E950" s="834" t="s">
        <v>6669</v>
      </c>
      <c r="F950" s="834"/>
      <c r="G950" s="834"/>
    </row>
    <row r="952" spans="1:8">
      <c r="A952" s="739" t="s">
        <v>16935</v>
      </c>
    </row>
    <row r="953" spans="1:8">
      <c r="C953" s="739">
        <v>33772</v>
      </c>
      <c r="H953" s="739" t="s">
        <v>16936</v>
      </c>
    </row>
    <row r="955" spans="1:8">
      <c r="A955" s="739" t="s">
        <v>6672</v>
      </c>
    </row>
    <row r="956" spans="1:8">
      <c r="C956" s="739">
        <v>21920</v>
      </c>
      <c r="H956" s="739" t="s">
        <v>6673</v>
      </c>
    </row>
    <row r="958" spans="1:8">
      <c r="A958" s="739" t="s">
        <v>6674</v>
      </c>
    </row>
    <row r="959" spans="1:8">
      <c r="C959" s="739">
        <v>36000</v>
      </c>
      <c r="H959" s="739" t="s">
        <v>6675</v>
      </c>
    </row>
    <row r="961" spans="1:8">
      <c r="A961" s="739" t="s">
        <v>6676</v>
      </c>
    </row>
    <row r="962" spans="1:8">
      <c r="E962" s="739">
        <v>267</v>
      </c>
      <c r="H962" s="739" t="s">
        <v>16937</v>
      </c>
    </row>
    <row r="963" spans="1:8">
      <c r="E963" s="834" t="s">
        <v>16938</v>
      </c>
      <c r="F963" s="834"/>
      <c r="G963" s="834"/>
    </row>
    <row r="965" spans="1:8">
      <c r="A965" s="739" t="s">
        <v>6679</v>
      </c>
    </row>
    <row r="966" spans="1:8">
      <c r="E966" s="739">
        <v>105</v>
      </c>
      <c r="H966" s="739" t="s">
        <v>16939</v>
      </c>
    </row>
    <row r="967" spans="1:8">
      <c r="E967" s="834" t="s">
        <v>11833</v>
      </c>
      <c r="F967" s="834"/>
      <c r="G967" s="834"/>
    </row>
    <row r="969" spans="1:8">
      <c r="A969" s="739" t="s">
        <v>16940</v>
      </c>
    </row>
    <row r="970" spans="1:8">
      <c r="E970" s="739">
        <v>998</v>
      </c>
      <c r="H970" s="739" t="s">
        <v>6683</v>
      </c>
    </row>
    <row r="971" spans="1:8">
      <c r="E971" s="739">
        <v>178</v>
      </c>
      <c r="H971" s="739" t="s">
        <v>16941</v>
      </c>
    </row>
    <row r="972" spans="1:8">
      <c r="E972" s="834" t="s">
        <v>6685</v>
      </c>
      <c r="F972" s="834"/>
      <c r="G972" s="834"/>
    </row>
    <row r="974" spans="1:8">
      <c r="A974" s="739" t="s">
        <v>16942</v>
      </c>
      <c r="H974" s="739" t="s">
        <v>16943</v>
      </c>
    </row>
    <row r="975" spans="1:8">
      <c r="E975" s="739">
        <v>1205</v>
      </c>
    </row>
    <row r="976" spans="1:8">
      <c r="E976" s="834" t="s">
        <v>11840</v>
      </c>
      <c r="F976" s="834"/>
      <c r="G976" s="834"/>
    </row>
    <row r="978" spans="1:8">
      <c r="A978" s="739" t="s">
        <v>16944</v>
      </c>
      <c r="C978" s="739">
        <v>15000</v>
      </c>
      <c r="H978" s="739" t="s">
        <v>11842</v>
      </c>
    </row>
    <row r="980" spans="1:8">
      <c r="A980" s="739" t="s">
        <v>6691</v>
      </c>
    </row>
    <row r="981" spans="1:8">
      <c r="E981" s="739">
        <v>1000</v>
      </c>
      <c r="H981" s="739" t="s">
        <v>6692</v>
      </c>
    </row>
    <row r="982" spans="1:8">
      <c r="E982" s="834" t="s">
        <v>11845</v>
      </c>
      <c r="F982" s="834"/>
      <c r="G982" s="834"/>
    </row>
    <row r="983" spans="1:8">
      <c r="C983" s="739">
        <v>17500</v>
      </c>
      <c r="H983" s="739" t="s">
        <v>6694</v>
      </c>
    </row>
    <row r="984" spans="1:8">
      <c r="C984" s="739">
        <v>22978</v>
      </c>
      <c r="H984" s="739" t="s">
        <v>16945</v>
      </c>
    </row>
    <row r="986" spans="1:8">
      <c r="A986" s="739" t="s">
        <v>6696</v>
      </c>
    </row>
    <row r="987" spans="1:8">
      <c r="C987" s="739">
        <v>63707</v>
      </c>
      <c r="H987" s="739" t="s">
        <v>6697</v>
      </c>
    </row>
    <row r="989" spans="1:8">
      <c r="A989" s="739" t="s">
        <v>11850</v>
      </c>
      <c r="H989" s="739" t="s">
        <v>6699</v>
      </c>
    </row>
    <row r="990" spans="1:8">
      <c r="E990" s="739">
        <v>1205</v>
      </c>
    </row>
    <row r="991" spans="1:8">
      <c r="E991" s="834" t="s">
        <v>6700</v>
      </c>
      <c r="F991" s="834"/>
      <c r="G991" s="834"/>
    </row>
    <row r="992" spans="1:8">
      <c r="E992" s="834"/>
      <c r="F992" s="834"/>
      <c r="G992" s="834"/>
    </row>
    <row r="993" spans="1:8">
      <c r="A993" s="739" t="s">
        <v>11850</v>
      </c>
    </row>
    <row r="994" spans="1:8">
      <c r="C994" s="739">
        <v>5000</v>
      </c>
      <c r="H994" s="739" t="s">
        <v>463</v>
      </c>
    </row>
    <row r="995" spans="1:8">
      <c r="D995" s="739">
        <v>5000</v>
      </c>
      <c r="H995" s="739" t="s">
        <v>16796</v>
      </c>
    </row>
    <row r="996" spans="1:8">
      <c r="E996" s="834" t="s">
        <v>16946</v>
      </c>
      <c r="F996" s="834"/>
      <c r="G996" s="834"/>
    </row>
    <row r="998" spans="1:8">
      <c r="A998" s="739" t="s">
        <v>16947</v>
      </c>
    </row>
    <row r="999" spans="1:8">
      <c r="E999" s="739">
        <v>235</v>
      </c>
      <c r="H999" s="739" t="s">
        <v>6703</v>
      </c>
    </row>
    <row r="1000" spans="1:8">
      <c r="E1000" s="739">
        <v>255</v>
      </c>
      <c r="H1000" s="739" t="s">
        <v>6703</v>
      </c>
    </row>
    <row r="1001" spans="1:8">
      <c r="E1001" s="834" t="s">
        <v>11858</v>
      </c>
      <c r="F1001" s="834"/>
      <c r="G1001" s="834"/>
    </row>
    <row r="1003" spans="1:8">
      <c r="A1003" s="739" t="s">
        <v>11859</v>
      </c>
    </row>
    <row r="1004" spans="1:8">
      <c r="E1004" s="739">
        <v>35</v>
      </c>
      <c r="H1004" s="739" t="s">
        <v>6706</v>
      </c>
    </row>
    <row r="1005" spans="1:8">
      <c r="E1005" s="739">
        <v>300</v>
      </c>
      <c r="H1005" s="739" t="s">
        <v>16948</v>
      </c>
    </row>
    <row r="1006" spans="1:8">
      <c r="E1006" s="739">
        <v>36</v>
      </c>
      <c r="H1006" s="739" t="s">
        <v>16786</v>
      </c>
    </row>
    <row r="1007" spans="1:8">
      <c r="E1007" s="739">
        <v>980</v>
      </c>
      <c r="H1007" s="739" t="s">
        <v>6708</v>
      </c>
    </row>
    <row r="1008" spans="1:8">
      <c r="E1008" s="834" t="s">
        <v>11864</v>
      </c>
      <c r="F1008" s="834"/>
      <c r="G1008" s="834"/>
    </row>
    <row r="1010" spans="1:8">
      <c r="A1010" s="739" t="s">
        <v>16949</v>
      </c>
    </row>
    <row r="1011" spans="1:8">
      <c r="E1011" s="739">
        <v>75</v>
      </c>
      <c r="H1011" s="739" t="s">
        <v>6711</v>
      </c>
    </row>
    <row r="1012" spans="1:8">
      <c r="E1012" s="834" t="s">
        <v>11867</v>
      </c>
      <c r="F1012" s="834"/>
      <c r="G1012" s="834"/>
    </row>
    <row r="1014" spans="1:8">
      <c r="A1014" s="739" t="s">
        <v>6713</v>
      </c>
    </row>
    <row r="1015" spans="1:8">
      <c r="E1015" s="739">
        <v>215</v>
      </c>
      <c r="H1015" s="739" t="s">
        <v>16950</v>
      </c>
    </row>
    <row r="1016" spans="1:8">
      <c r="E1016" s="739">
        <v>225</v>
      </c>
      <c r="H1016" s="739" t="s">
        <v>6714</v>
      </c>
    </row>
    <row r="1017" spans="1:8">
      <c r="E1017" s="834" t="s">
        <v>6715</v>
      </c>
      <c r="F1017" s="834"/>
      <c r="G1017" s="834"/>
    </row>
    <row r="1019" spans="1:8">
      <c r="A1019" s="739" t="s">
        <v>11871</v>
      </c>
    </row>
    <row r="1020" spans="1:8">
      <c r="C1020" s="739">
        <v>48000</v>
      </c>
      <c r="H1020" s="739" t="s">
        <v>6717</v>
      </c>
    </row>
    <row r="1021" spans="1:8">
      <c r="C1021" s="739">
        <v>22978</v>
      </c>
      <c r="H1021" s="739" t="s">
        <v>6718</v>
      </c>
    </row>
    <row r="1022" spans="1:8">
      <c r="C1022" s="739">
        <v>63707</v>
      </c>
      <c r="H1022" s="739" t="s">
        <v>6719</v>
      </c>
    </row>
    <row r="1023" spans="1:8">
      <c r="C1023" s="739">
        <v>39000</v>
      </c>
      <c r="H1023" s="739" t="s">
        <v>6720</v>
      </c>
    </row>
    <row r="1025" spans="1:8">
      <c r="A1025" s="739" t="s">
        <v>16951</v>
      </c>
    </row>
    <row r="1026" spans="1:8">
      <c r="E1026" s="739">
        <v>90</v>
      </c>
      <c r="H1026" s="739" t="s">
        <v>11877</v>
      </c>
    </row>
    <row r="1027" spans="1:8">
      <c r="E1027" s="834" t="s">
        <v>16952</v>
      </c>
      <c r="F1027" s="834"/>
      <c r="G1027" s="834"/>
    </row>
    <row r="1029" spans="1:8">
      <c r="A1029" s="739" t="s">
        <v>6721</v>
      </c>
    </row>
    <row r="1030" spans="1:8">
      <c r="C1030" s="739">
        <v>15501</v>
      </c>
      <c r="H1030" s="739" t="s">
        <v>6724</v>
      </c>
    </row>
    <row r="1032" spans="1:8">
      <c r="A1032" s="739" t="s">
        <v>6721</v>
      </c>
    </row>
    <row r="1033" spans="1:8">
      <c r="E1033" s="739">
        <v>167</v>
      </c>
      <c r="H1033" s="739" t="s">
        <v>6725</v>
      </c>
    </row>
    <row r="1034" spans="1:8">
      <c r="E1034" s="834" t="s">
        <v>16953</v>
      </c>
      <c r="F1034" s="834"/>
      <c r="G1034" s="834"/>
    </row>
    <row r="1036" spans="1:8">
      <c r="A1036" s="739" t="s">
        <v>11883</v>
      </c>
    </row>
    <row r="1037" spans="1:8">
      <c r="C1037" s="739">
        <v>13529</v>
      </c>
      <c r="H1037" s="739" t="s">
        <v>11884</v>
      </c>
    </row>
    <row r="1039" spans="1:8">
      <c r="A1039" s="739" t="s">
        <v>11885</v>
      </c>
    </row>
    <row r="1040" spans="1:8">
      <c r="E1040" s="739">
        <v>133</v>
      </c>
      <c r="H1040" s="739" t="s">
        <v>6730</v>
      </c>
    </row>
    <row r="1041" spans="1:8">
      <c r="E1041" s="834" t="s">
        <v>6731</v>
      </c>
      <c r="F1041" s="834"/>
      <c r="G1041" s="834"/>
    </row>
    <row r="1043" spans="1:8">
      <c r="A1043" s="739" t="s">
        <v>16954</v>
      </c>
    </row>
    <row r="1044" spans="1:8">
      <c r="E1044" s="739">
        <v>100</v>
      </c>
      <c r="H1044" s="739" t="s">
        <v>16955</v>
      </c>
    </row>
    <row r="1045" spans="1:8">
      <c r="E1045" s="834" t="s">
        <v>6734</v>
      </c>
      <c r="F1045" s="834"/>
      <c r="G1045" s="834"/>
    </row>
    <row r="1047" spans="1:8">
      <c r="A1047" s="739" t="s">
        <v>16956</v>
      </c>
      <c r="H1047" s="739" t="s">
        <v>6735</v>
      </c>
    </row>
    <row r="1048" spans="1:8">
      <c r="E1048" s="739">
        <v>1205</v>
      </c>
    </row>
    <row r="1049" spans="1:8">
      <c r="E1049" s="834" t="s">
        <v>16957</v>
      </c>
      <c r="F1049" s="834"/>
      <c r="G1049" s="834"/>
    </row>
    <row r="1051" spans="1:8">
      <c r="A1051" s="739" t="s">
        <v>6737</v>
      </c>
    </row>
    <row r="1052" spans="1:8">
      <c r="C1052" s="739">
        <v>15000</v>
      </c>
      <c r="H1052" s="739" t="s">
        <v>16958</v>
      </c>
    </row>
    <row r="1054" spans="1:8">
      <c r="A1054" s="739" t="s">
        <v>6739</v>
      </c>
    </row>
    <row r="1055" spans="1:8">
      <c r="E1055" s="739">
        <v>240</v>
      </c>
      <c r="H1055" s="739" t="s">
        <v>16959</v>
      </c>
    </row>
    <row r="1056" spans="1:8">
      <c r="E1056" s="739">
        <v>400</v>
      </c>
      <c r="H1056" s="739" t="s">
        <v>16960</v>
      </c>
    </row>
    <row r="1057" spans="1:8">
      <c r="E1057" s="834" t="s">
        <v>6742</v>
      </c>
      <c r="F1057" s="834"/>
      <c r="G1057" s="834"/>
    </row>
    <row r="1059" spans="1:8">
      <c r="A1059" s="739" t="s">
        <v>6743</v>
      </c>
    </row>
    <row r="1060" spans="1:8">
      <c r="E1060" s="739">
        <v>90</v>
      </c>
      <c r="H1060" s="739" t="s">
        <v>16961</v>
      </c>
    </row>
    <row r="1061" spans="1:8">
      <c r="E1061" s="834" t="s">
        <v>6744</v>
      </c>
      <c r="F1061" s="834"/>
      <c r="G1061" s="834"/>
    </row>
    <row r="1063" spans="1:8">
      <c r="A1063" s="739" t="s">
        <v>16962</v>
      </c>
    </row>
    <row r="1064" spans="1:8">
      <c r="C1064" s="739">
        <v>5000</v>
      </c>
      <c r="H1064" s="739" t="s">
        <v>16963</v>
      </c>
    </row>
    <row r="1065" spans="1:8">
      <c r="D1065" s="739">
        <v>5000</v>
      </c>
      <c r="H1065" s="739" t="s">
        <v>463</v>
      </c>
    </row>
    <row r="1066" spans="1:8">
      <c r="E1066" s="739">
        <v>500</v>
      </c>
      <c r="H1066" s="739" t="s">
        <v>6747</v>
      </c>
    </row>
    <row r="1067" spans="1:8">
      <c r="E1067" s="834" t="s">
        <v>6748</v>
      </c>
      <c r="F1067" s="834"/>
      <c r="G1067" s="834"/>
    </row>
    <row r="1069" spans="1:8">
      <c r="A1069" s="739" t="s">
        <v>6745</v>
      </c>
    </row>
    <row r="1070" spans="1:8">
      <c r="E1070" s="739">
        <v>230</v>
      </c>
      <c r="H1070" s="739" t="s">
        <v>6749</v>
      </c>
    </row>
    <row r="1071" spans="1:8">
      <c r="E1071" s="739">
        <v>190</v>
      </c>
      <c r="H1071" s="739" t="s">
        <v>6749</v>
      </c>
    </row>
    <row r="1072" spans="1:8">
      <c r="E1072" s="834" t="s">
        <v>16964</v>
      </c>
      <c r="F1072" s="834"/>
      <c r="G1072" s="834"/>
    </row>
    <row r="1074" spans="1:8">
      <c r="A1074" s="739" t="s">
        <v>6751</v>
      </c>
    </row>
    <row r="1075" spans="1:8">
      <c r="C1075" s="739">
        <v>22978</v>
      </c>
      <c r="H1075" s="739" t="s">
        <v>16965</v>
      </c>
    </row>
    <row r="1076" spans="1:8">
      <c r="C1076" s="739">
        <v>63707</v>
      </c>
      <c r="H1076" s="739" t="s">
        <v>16966</v>
      </c>
    </row>
    <row r="1078" spans="1:8">
      <c r="A1078" s="739" t="s">
        <v>16967</v>
      </c>
    </row>
    <row r="1079" spans="1:8">
      <c r="C1079" s="739">
        <v>16356</v>
      </c>
      <c r="H1079" s="739" t="s">
        <v>6755</v>
      </c>
    </row>
    <row r="1081" spans="1:8">
      <c r="A1081" s="739" t="s">
        <v>6756</v>
      </c>
    </row>
    <row r="1082" spans="1:8">
      <c r="E1082" s="739">
        <v>125</v>
      </c>
      <c r="H1082" s="739" t="s">
        <v>6757</v>
      </c>
    </row>
    <row r="1083" spans="1:8">
      <c r="E1083" s="739">
        <v>120</v>
      </c>
      <c r="H1083" s="739" t="s">
        <v>6757</v>
      </c>
    </row>
    <row r="1084" spans="1:8">
      <c r="E1084" s="834" t="s">
        <v>6758</v>
      </c>
      <c r="F1084" s="834"/>
      <c r="G1084" s="834"/>
    </row>
    <row r="1086" spans="1:8">
      <c r="A1086" s="739" t="s">
        <v>16968</v>
      </c>
    </row>
    <row r="1087" spans="1:8">
      <c r="E1087" s="739">
        <v>155</v>
      </c>
      <c r="H1087" s="739" t="s">
        <v>11920</v>
      </c>
    </row>
    <row r="1088" spans="1:8">
      <c r="E1088" s="739">
        <v>175</v>
      </c>
      <c r="H1088" s="739" t="s">
        <v>16969</v>
      </c>
    </row>
    <row r="1089" spans="1:8">
      <c r="E1089" s="834" t="s">
        <v>11921</v>
      </c>
      <c r="F1089" s="834"/>
      <c r="G1089" s="834"/>
    </row>
    <row r="1091" spans="1:8">
      <c r="A1091" s="739" t="s">
        <v>16970</v>
      </c>
    </row>
    <row r="1092" spans="1:8">
      <c r="E1092" s="739">
        <v>32</v>
      </c>
      <c r="H1092" s="739" t="s">
        <v>11923</v>
      </c>
    </row>
    <row r="1093" spans="1:8">
      <c r="E1093" s="739">
        <v>40</v>
      </c>
      <c r="H1093" s="739" t="s">
        <v>16971</v>
      </c>
    </row>
    <row r="1094" spans="1:8">
      <c r="E1094" s="834" t="s">
        <v>6765</v>
      </c>
      <c r="F1094" s="834"/>
      <c r="G1094" s="834"/>
    </row>
    <row r="1096" spans="1:8">
      <c r="A1096" s="739" t="s">
        <v>16972</v>
      </c>
    </row>
    <row r="1097" spans="1:8">
      <c r="E1097" s="739">
        <v>1205</v>
      </c>
      <c r="H1097" s="739" t="s">
        <v>6767</v>
      </c>
    </row>
    <row r="1098" spans="1:8">
      <c r="E1098" s="834" t="s">
        <v>16973</v>
      </c>
      <c r="F1098" s="834"/>
      <c r="G1098" s="834"/>
      <c r="H1098" s="834" t="s">
        <v>6769</v>
      </c>
    </row>
    <row r="1100" spans="1:8">
      <c r="A1100" s="739" t="s">
        <v>6770</v>
      </c>
      <c r="C1100" s="739">
        <v>15000</v>
      </c>
      <c r="H1100" s="739" t="s">
        <v>16974</v>
      </c>
    </row>
    <row r="1102" spans="1:8">
      <c r="A1102" s="739" t="s">
        <v>6770</v>
      </c>
    </row>
    <row r="1103" spans="1:8">
      <c r="E1103" s="739">
        <v>380</v>
      </c>
      <c r="H1103" s="739" t="s">
        <v>11932</v>
      </c>
    </row>
    <row r="1104" spans="1:8">
      <c r="E1104" s="739">
        <v>285</v>
      </c>
      <c r="H1104" s="739" t="s">
        <v>16975</v>
      </c>
    </row>
    <row r="1105" spans="1:8">
      <c r="E1105" s="834" t="s">
        <v>11933</v>
      </c>
      <c r="F1105" s="834"/>
      <c r="G1105" s="834"/>
    </row>
    <row r="1107" spans="1:8">
      <c r="A1107" s="739" t="s">
        <v>16976</v>
      </c>
    </row>
    <row r="1108" spans="1:8">
      <c r="E1108" s="739">
        <v>105</v>
      </c>
      <c r="H1108" s="739" t="s">
        <v>6775</v>
      </c>
    </row>
    <row r="1109" spans="1:8">
      <c r="E1109" s="834" t="s">
        <v>6776</v>
      </c>
      <c r="F1109" s="834"/>
      <c r="G1109" s="834"/>
    </row>
    <row r="1111" spans="1:8">
      <c r="A1111" s="739" t="s">
        <v>16977</v>
      </c>
    </row>
    <row r="1112" spans="1:8">
      <c r="E1112" s="739">
        <v>45</v>
      </c>
      <c r="H1112" s="739" t="s">
        <v>16978</v>
      </c>
    </row>
    <row r="1113" spans="1:8">
      <c r="E1113" s="834" t="s">
        <v>16979</v>
      </c>
      <c r="F1113" s="834"/>
      <c r="G1113" s="834"/>
    </row>
    <row r="1114" spans="1:8">
      <c r="E1114" s="834"/>
      <c r="F1114" s="834"/>
      <c r="G1114" s="834"/>
    </row>
    <row r="1115" spans="1:8">
      <c r="A1115" s="739" t="s">
        <v>11937</v>
      </c>
    </row>
    <row r="1116" spans="1:8">
      <c r="C1116" s="739">
        <v>26000</v>
      </c>
      <c r="H1116" s="739" t="s">
        <v>6780</v>
      </c>
    </row>
    <row r="1117" spans="1:8">
      <c r="C1117" s="739">
        <v>22970</v>
      </c>
      <c r="H1117" s="739" t="s">
        <v>6781</v>
      </c>
    </row>
    <row r="1118" spans="1:8">
      <c r="C1118" s="739">
        <v>63516</v>
      </c>
      <c r="H1118" s="739" t="s">
        <v>16980</v>
      </c>
    </row>
    <row r="1120" spans="1:8">
      <c r="A1120" s="739" t="s">
        <v>6783</v>
      </c>
    </row>
    <row r="1121" spans="1:8">
      <c r="C1121" s="739">
        <v>7117</v>
      </c>
      <c r="H1121" s="739" t="s">
        <v>16981</v>
      </c>
    </row>
    <row r="1122" spans="1:8">
      <c r="C1122" s="739">
        <v>16446</v>
      </c>
      <c r="H1122" s="739" t="s">
        <v>16982</v>
      </c>
    </row>
    <row r="1124" spans="1:8">
      <c r="A1124" s="739" t="s">
        <v>16983</v>
      </c>
    </row>
    <row r="1125" spans="1:8">
      <c r="E1125" s="739">
        <v>188</v>
      </c>
      <c r="H1125" s="739" t="s">
        <v>6787</v>
      </c>
    </row>
    <row r="1126" spans="1:8">
      <c r="E1126" s="739">
        <v>1205</v>
      </c>
      <c r="H1126" s="739" t="s">
        <v>11948</v>
      </c>
    </row>
    <row r="1127" spans="1:8">
      <c r="E1127" s="834" t="s">
        <v>11949</v>
      </c>
      <c r="F1127" s="834"/>
      <c r="G1127" s="834"/>
    </row>
    <row r="1129" spans="1:8">
      <c r="A1129" s="739" t="s">
        <v>6790</v>
      </c>
    </row>
    <row r="1130" spans="1:8">
      <c r="E1130" s="739">
        <v>88</v>
      </c>
      <c r="H1130" s="739" t="s">
        <v>11951</v>
      </c>
    </row>
    <row r="1131" spans="1:8">
      <c r="E1131" s="834" t="s">
        <v>16984</v>
      </c>
      <c r="F1131" s="834"/>
      <c r="G1131" s="834"/>
    </row>
    <row r="1132" spans="1:8">
      <c r="E1132" s="834"/>
      <c r="F1132" s="834"/>
      <c r="G1132" s="834"/>
    </row>
    <row r="1133" spans="1:8">
      <c r="A1133" s="739" t="s">
        <v>6793</v>
      </c>
    </row>
    <row r="1134" spans="1:8">
      <c r="B1134" s="739">
        <v>28000</v>
      </c>
      <c r="H1134" s="739" t="s">
        <v>6794</v>
      </c>
    </row>
    <row r="1135" spans="1:8">
      <c r="C1135" s="739">
        <v>5000</v>
      </c>
      <c r="H1135" s="739" t="s">
        <v>16963</v>
      </c>
    </row>
    <row r="1136" spans="1:8">
      <c r="D1136" s="739">
        <v>5000</v>
      </c>
      <c r="H1136" s="739" t="s">
        <v>16796</v>
      </c>
    </row>
    <row r="1137" spans="1:8">
      <c r="E1137" s="834" t="s">
        <v>16985</v>
      </c>
      <c r="F1137" s="834"/>
      <c r="G1137" s="834"/>
    </row>
    <row r="1139" spans="1:8">
      <c r="A1139" s="739" t="s">
        <v>6796</v>
      </c>
    </row>
    <row r="1140" spans="1:8">
      <c r="C1140" s="739">
        <v>15000</v>
      </c>
      <c r="H1140" s="739" t="s">
        <v>6797</v>
      </c>
    </row>
    <row r="1142" spans="1:8">
      <c r="A1142" s="739" t="s">
        <v>6796</v>
      </c>
    </row>
    <row r="1143" spans="1:8">
      <c r="E1143" s="739">
        <v>250</v>
      </c>
      <c r="H1143" s="739" t="s">
        <v>16986</v>
      </c>
    </row>
    <row r="1144" spans="1:8">
      <c r="E1144" s="739">
        <v>450</v>
      </c>
      <c r="H1144" s="739" t="s">
        <v>11960</v>
      </c>
    </row>
    <row r="1145" spans="1:8">
      <c r="A1145" s="739" t="s">
        <v>6800</v>
      </c>
      <c r="E1145" s="739">
        <v>159</v>
      </c>
      <c r="H1145" s="739" t="s">
        <v>16987</v>
      </c>
    </row>
    <row r="1146" spans="1:8">
      <c r="E1146" s="739">
        <v>300</v>
      </c>
      <c r="H1146" s="739" t="s">
        <v>6611</v>
      </c>
    </row>
    <row r="1147" spans="1:8">
      <c r="E1147" s="834" t="s">
        <v>11963</v>
      </c>
      <c r="F1147" s="834"/>
      <c r="G1147" s="834"/>
      <c r="H1147" s="834" t="s">
        <v>6803</v>
      </c>
    </row>
    <row r="1148" spans="1:8">
      <c r="E1148" s="834"/>
      <c r="F1148" s="834"/>
      <c r="G1148" s="834"/>
      <c r="H1148" s="834"/>
    </row>
    <row r="1149" spans="1:8">
      <c r="A1149" s="739" t="s">
        <v>16988</v>
      </c>
    </row>
    <row r="1150" spans="1:8">
      <c r="C1150" s="739">
        <v>33000</v>
      </c>
      <c r="H1150" s="739" t="s">
        <v>6805</v>
      </c>
    </row>
    <row r="1151" spans="1:8">
      <c r="C1151" s="739">
        <v>22970</v>
      </c>
      <c r="H1151" s="739" t="s">
        <v>16989</v>
      </c>
    </row>
    <row r="1152" spans="1:8">
      <c r="C1152" s="739">
        <v>63516</v>
      </c>
      <c r="H1152" s="739" t="s">
        <v>16990</v>
      </c>
    </row>
    <row r="1153" spans="1:8">
      <c r="E1153" s="834"/>
      <c r="F1153" s="834"/>
      <c r="G1153" s="834"/>
      <c r="H1153" s="834"/>
    </row>
    <row r="1154" spans="1:8">
      <c r="A1154" s="739" t="s">
        <v>16991</v>
      </c>
    </row>
    <row r="1155" spans="1:8" ht="66">
      <c r="C1155" s="739">
        <v>3000</v>
      </c>
      <c r="H1155" s="836" t="s">
        <v>6809</v>
      </c>
    </row>
    <row r="1157" spans="1:8">
      <c r="A1157" s="739" t="s">
        <v>11971</v>
      </c>
    </row>
    <row r="1158" spans="1:8">
      <c r="E1158" s="739">
        <v>280</v>
      </c>
      <c r="H1158" s="739" t="s">
        <v>16992</v>
      </c>
    </row>
    <row r="1159" spans="1:8">
      <c r="E1159" s="739">
        <v>270</v>
      </c>
      <c r="H1159" s="739" t="s">
        <v>11972</v>
      </c>
    </row>
    <row r="1160" spans="1:8">
      <c r="E1160" s="834" t="s">
        <v>6812</v>
      </c>
      <c r="F1160" s="834"/>
      <c r="G1160" s="834"/>
    </row>
    <row r="1161" spans="1:8">
      <c r="E1161" s="834"/>
      <c r="F1161" s="834"/>
      <c r="G1161" s="834"/>
    </row>
    <row r="1162" spans="1:8">
      <c r="A1162" s="739" t="s">
        <v>16993</v>
      </c>
    </row>
    <row r="1163" spans="1:8">
      <c r="C1163" s="739">
        <v>9944</v>
      </c>
      <c r="H1163" s="739" t="s">
        <v>6814</v>
      </c>
    </row>
    <row r="1165" spans="1:8">
      <c r="A1165" s="739" t="s">
        <v>16994</v>
      </c>
    </row>
    <row r="1166" spans="1:8">
      <c r="E1166" s="739">
        <v>1205</v>
      </c>
      <c r="H1166" s="739" t="s">
        <v>16995</v>
      </c>
    </row>
    <row r="1167" spans="1:8">
      <c r="E1167" s="834" t="s">
        <v>16996</v>
      </c>
      <c r="F1167" s="834"/>
      <c r="G1167" s="834"/>
    </row>
    <row r="1168" spans="1:8">
      <c r="E1168" s="834"/>
      <c r="F1168" s="834"/>
      <c r="G1168" s="834"/>
    </row>
    <row r="1169" spans="1:8">
      <c r="A1169" s="739" t="s">
        <v>16997</v>
      </c>
      <c r="E1169" s="834"/>
      <c r="F1169" s="834"/>
      <c r="G1169" s="834"/>
    </row>
    <row r="1170" spans="1:8">
      <c r="C1170" s="739">
        <v>137100</v>
      </c>
      <c r="E1170" s="834"/>
      <c r="F1170" s="834"/>
      <c r="G1170" s="834"/>
      <c r="H1170" s="739" t="s">
        <v>16998</v>
      </c>
    </row>
    <row r="1171" spans="1:8">
      <c r="E1171" s="741">
        <v>30</v>
      </c>
      <c r="F1171" s="741"/>
      <c r="G1171" s="741"/>
      <c r="H1171" s="739" t="s">
        <v>16999</v>
      </c>
    </row>
    <row r="1172" spans="1:8">
      <c r="E1172" s="834" t="s">
        <v>6821</v>
      </c>
      <c r="F1172" s="834"/>
      <c r="G1172" s="834"/>
    </row>
    <row r="1173" spans="1:8">
      <c r="E1173" s="834"/>
      <c r="F1173" s="834"/>
      <c r="G1173" s="834"/>
    </row>
    <row r="1174" spans="1:8">
      <c r="A1174" s="739" t="s">
        <v>6822</v>
      </c>
    </row>
    <row r="1175" spans="1:8">
      <c r="C1175" s="739">
        <v>15000</v>
      </c>
      <c r="H1175" s="739" t="s">
        <v>11984</v>
      </c>
    </row>
    <row r="1177" spans="1:8">
      <c r="A1177" s="739" t="s">
        <v>6824</v>
      </c>
    </row>
    <row r="1178" spans="1:8">
      <c r="C1178" s="739">
        <v>7500</v>
      </c>
      <c r="H1178" s="739" t="s">
        <v>6825</v>
      </c>
    </row>
    <row r="1179" spans="1:8">
      <c r="C1179" s="739">
        <v>25670</v>
      </c>
      <c r="H1179" s="739" t="s">
        <v>6826</v>
      </c>
    </row>
    <row r="1180" spans="1:8">
      <c r="C1180" s="739">
        <v>63516</v>
      </c>
      <c r="H1180" s="739" t="s">
        <v>6827</v>
      </c>
    </row>
    <row r="1182" spans="1:8">
      <c r="A1182" s="739" t="s">
        <v>6828</v>
      </c>
    </row>
    <row r="1183" spans="1:8">
      <c r="C1183" s="739">
        <v>17644</v>
      </c>
      <c r="H1183" s="739" t="s">
        <v>11990</v>
      </c>
    </row>
    <row r="1185" spans="1:8">
      <c r="A1185" s="739" t="s">
        <v>17000</v>
      </c>
    </row>
    <row r="1186" spans="1:8">
      <c r="E1186" s="739">
        <v>500</v>
      </c>
      <c r="H1186" s="739" t="s">
        <v>6830</v>
      </c>
    </row>
    <row r="1187" spans="1:8">
      <c r="E1187" s="739">
        <v>500</v>
      </c>
      <c r="H1187" s="739" t="s">
        <v>17001</v>
      </c>
    </row>
    <row r="1188" spans="1:8">
      <c r="E1188" s="834" t="s">
        <v>17002</v>
      </c>
      <c r="F1188" s="834"/>
      <c r="G1188" s="834"/>
    </row>
    <row r="1190" spans="1:8">
      <c r="A1190" s="739" t="s">
        <v>6833</v>
      </c>
    </row>
    <row r="1191" spans="1:8">
      <c r="C1191" s="739">
        <v>12728</v>
      </c>
      <c r="H1191" s="739" t="s">
        <v>6834</v>
      </c>
    </row>
    <row r="1192" spans="1:8">
      <c r="C1192" s="739">
        <v>5000</v>
      </c>
      <c r="H1192" s="739" t="s">
        <v>6746</v>
      </c>
    </row>
    <row r="1193" spans="1:8">
      <c r="D1193" s="739">
        <v>5000</v>
      </c>
      <c r="H1193" s="739" t="s">
        <v>463</v>
      </c>
    </row>
    <row r="1194" spans="1:8">
      <c r="E1194" s="834" t="s">
        <v>11996</v>
      </c>
      <c r="F1194" s="834"/>
      <c r="G1194" s="834"/>
    </row>
    <row r="1195" spans="1:8">
      <c r="E1195" s="834"/>
      <c r="F1195" s="834"/>
      <c r="G1195" s="834"/>
    </row>
    <row r="1196" spans="1:8">
      <c r="A1196" s="739" t="s">
        <v>17003</v>
      </c>
    </row>
    <row r="1197" spans="1:8">
      <c r="E1197" s="739">
        <v>1205</v>
      </c>
      <c r="H1197" s="739" t="s">
        <v>6839</v>
      </c>
    </row>
    <row r="1198" spans="1:8">
      <c r="E1198" s="739">
        <v>178</v>
      </c>
      <c r="H1198" s="739" t="s">
        <v>6840</v>
      </c>
    </row>
    <row r="1199" spans="1:8">
      <c r="E1199" s="834" t="s">
        <v>6841</v>
      </c>
      <c r="F1199" s="834"/>
      <c r="G1199" s="834"/>
    </row>
    <row r="1200" spans="1:8">
      <c r="E1200" s="834"/>
      <c r="F1200" s="834"/>
      <c r="G1200" s="834"/>
    </row>
    <row r="1201" spans="1:8">
      <c r="A1201" s="739" t="s">
        <v>12001</v>
      </c>
      <c r="E1201" s="834"/>
      <c r="F1201" s="834"/>
      <c r="G1201" s="834"/>
    </row>
    <row r="1202" spans="1:8">
      <c r="E1202" s="741">
        <v>200</v>
      </c>
      <c r="F1202" s="741"/>
      <c r="G1202" s="741"/>
      <c r="H1202" s="739" t="s">
        <v>6843</v>
      </c>
    </row>
    <row r="1203" spans="1:8">
      <c r="E1203" s="834" t="s">
        <v>17004</v>
      </c>
      <c r="F1203" s="834"/>
      <c r="G1203" s="834"/>
    </row>
    <row r="1204" spans="1:8">
      <c r="E1204" s="834"/>
      <c r="F1204" s="834"/>
      <c r="G1204" s="834"/>
    </row>
    <row r="1205" spans="1:8">
      <c r="A1205" s="739" t="s">
        <v>17005</v>
      </c>
    </row>
    <row r="1206" spans="1:8">
      <c r="C1206" s="739">
        <v>15000</v>
      </c>
      <c r="H1206" s="739" t="s">
        <v>17006</v>
      </c>
    </row>
    <row r="1208" spans="1:8">
      <c r="A1208" s="739" t="s">
        <v>12006</v>
      </c>
    </row>
    <row r="1209" spans="1:8">
      <c r="E1209" s="739">
        <v>225</v>
      </c>
      <c r="H1209" s="739" t="s">
        <v>6848</v>
      </c>
    </row>
    <row r="1210" spans="1:8">
      <c r="E1210" s="739">
        <v>245</v>
      </c>
      <c r="H1210" s="739" t="s">
        <v>6848</v>
      </c>
    </row>
    <row r="1211" spans="1:8">
      <c r="E1211" s="834" t="s">
        <v>6849</v>
      </c>
      <c r="F1211" s="834"/>
      <c r="G1211" s="834"/>
    </row>
    <row r="1212" spans="1:8">
      <c r="E1212" s="834"/>
      <c r="F1212" s="834"/>
      <c r="G1212" s="834"/>
    </row>
    <row r="1213" spans="1:8">
      <c r="A1213" s="739" t="s">
        <v>6850</v>
      </c>
    </row>
    <row r="1214" spans="1:8">
      <c r="C1214" s="739">
        <v>18000</v>
      </c>
      <c r="H1214" s="739" t="s">
        <v>6851</v>
      </c>
    </row>
    <row r="1215" spans="1:8">
      <c r="C1215" s="739">
        <v>25670</v>
      </c>
      <c r="H1215" s="739" t="s">
        <v>6852</v>
      </c>
    </row>
    <row r="1216" spans="1:8">
      <c r="C1216" s="739">
        <v>63516</v>
      </c>
      <c r="H1216" s="739" t="s">
        <v>17007</v>
      </c>
    </row>
    <row r="1218" spans="1:8">
      <c r="A1218" s="739" t="s">
        <v>6854</v>
      </c>
    </row>
    <row r="1219" spans="1:8">
      <c r="C1219" s="739">
        <v>1154</v>
      </c>
      <c r="H1219" s="739" t="s">
        <v>17008</v>
      </c>
    </row>
    <row r="1221" spans="1:8">
      <c r="A1221" s="739" t="s">
        <v>6856</v>
      </c>
    </row>
    <row r="1222" spans="1:8">
      <c r="E1222" s="739">
        <v>1205</v>
      </c>
      <c r="H1222" s="739" t="s">
        <v>6857</v>
      </c>
    </row>
    <row r="1223" spans="1:8">
      <c r="E1223" s="739">
        <v>140</v>
      </c>
      <c r="H1223" s="739" t="s">
        <v>17009</v>
      </c>
    </row>
    <row r="1224" spans="1:8">
      <c r="E1224" s="834" t="s">
        <v>6859</v>
      </c>
      <c r="F1224" s="834"/>
      <c r="G1224" s="834"/>
    </row>
    <row r="1225" spans="1:8">
      <c r="E1225" s="834"/>
      <c r="F1225" s="834"/>
      <c r="G1225" s="834"/>
    </row>
    <row r="1226" spans="1:8">
      <c r="A1226" s="739" t="s">
        <v>6860</v>
      </c>
    </row>
    <row r="1227" spans="1:8">
      <c r="E1227" s="739">
        <v>100</v>
      </c>
      <c r="H1227" s="739" t="s">
        <v>17010</v>
      </c>
    </row>
    <row r="1228" spans="1:8">
      <c r="E1228" s="739">
        <v>18</v>
      </c>
      <c r="H1228" s="739" t="s">
        <v>6862</v>
      </c>
    </row>
    <row r="1229" spans="1:8">
      <c r="E1229" s="834" t="s">
        <v>17011</v>
      </c>
      <c r="F1229" s="834"/>
      <c r="G1229" s="834"/>
    </row>
    <row r="1230" spans="1:8">
      <c r="E1230" s="834"/>
      <c r="F1230" s="834"/>
      <c r="G1230" s="834"/>
    </row>
    <row r="1231" spans="1:8">
      <c r="A1231" s="739" t="s">
        <v>12023</v>
      </c>
    </row>
    <row r="1232" spans="1:8">
      <c r="C1232" s="739">
        <v>15000</v>
      </c>
      <c r="H1232" s="739" t="s">
        <v>17012</v>
      </c>
    </row>
    <row r="1233" spans="1:8">
      <c r="E1233" s="834"/>
      <c r="F1233" s="834"/>
      <c r="G1233" s="834"/>
    </row>
    <row r="1234" spans="1:8">
      <c r="A1234" s="739" t="s">
        <v>17013</v>
      </c>
    </row>
    <row r="1235" spans="1:8">
      <c r="C1235" s="739">
        <v>25670</v>
      </c>
      <c r="H1235" s="739" t="s">
        <v>17014</v>
      </c>
    </row>
    <row r="1236" spans="1:8">
      <c r="C1236" s="739">
        <v>18614</v>
      </c>
      <c r="H1236" s="739" t="s">
        <v>6868</v>
      </c>
    </row>
    <row r="1237" spans="1:8">
      <c r="C1237" s="739">
        <v>4725</v>
      </c>
      <c r="H1237" s="739" t="s">
        <v>17015</v>
      </c>
    </row>
    <row r="1238" spans="1:8">
      <c r="C1238" s="739">
        <v>25670</v>
      </c>
      <c r="H1238" s="739" t="s">
        <v>17016</v>
      </c>
    </row>
    <row r="1239" spans="1:8">
      <c r="C1239" s="739">
        <v>37846</v>
      </c>
      <c r="H1239" s="739" t="s">
        <v>6871</v>
      </c>
    </row>
    <row r="1241" spans="1:8">
      <c r="A1241" s="739" t="s">
        <v>17017</v>
      </c>
    </row>
    <row r="1242" spans="1:8">
      <c r="E1242" s="739">
        <v>60</v>
      </c>
      <c r="H1242" s="739" t="s">
        <v>12032</v>
      </c>
    </row>
    <row r="1243" spans="1:8">
      <c r="E1243" s="739">
        <v>500</v>
      </c>
      <c r="H1243" s="739" t="s">
        <v>6874</v>
      </c>
    </row>
    <row r="1244" spans="1:8">
      <c r="E1244" s="739">
        <v>100</v>
      </c>
      <c r="H1244" s="739" t="s">
        <v>17018</v>
      </c>
    </row>
    <row r="1245" spans="1:8">
      <c r="E1245" s="834" t="s">
        <v>17019</v>
      </c>
      <c r="F1245" s="834"/>
      <c r="G1245" s="834"/>
    </row>
    <row r="1247" spans="1:8">
      <c r="A1247" s="739" t="s">
        <v>17020</v>
      </c>
    </row>
    <row r="1248" spans="1:8">
      <c r="E1248" s="739">
        <v>120</v>
      </c>
      <c r="H1248" s="739" t="s">
        <v>12037</v>
      </c>
    </row>
    <row r="1249" spans="1:8">
      <c r="E1249" s="834" t="s">
        <v>17021</v>
      </c>
      <c r="F1249" s="834"/>
      <c r="G1249" s="834"/>
    </row>
    <row r="1250" spans="1:8">
      <c r="E1250" s="834"/>
      <c r="F1250" s="834"/>
      <c r="G1250" s="834"/>
    </row>
    <row r="1251" spans="1:8">
      <c r="A1251" s="739" t="s">
        <v>17022</v>
      </c>
    </row>
    <row r="1252" spans="1:8">
      <c r="E1252" s="739">
        <v>1205</v>
      </c>
      <c r="H1252" s="739" t="s">
        <v>6881</v>
      </c>
    </row>
    <row r="1253" spans="1:8">
      <c r="E1253" s="739">
        <v>178</v>
      </c>
      <c r="H1253" s="739" t="s">
        <v>6882</v>
      </c>
    </row>
    <row r="1254" spans="1:8">
      <c r="E1254" s="834" t="s">
        <v>17023</v>
      </c>
      <c r="F1254" s="834"/>
      <c r="G1254" s="834"/>
    </row>
    <row r="1256" spans="1:8">
      <c r="A1256" s="739" t="s">
        <v>12043</v>
      </c>
    </row>
    <row r="1257" spans="1:8">
      <c r="C1257" s="739">
        <v>50000</v>
      </c>
      <c r="H1257" s="739" t="s">
        <v>17024</v>
      </c>
    </row>
    <row r="1259" spans="1:8">
      <c r="A1259" s="739" t="s">
        <v>6886</v>
      </c>
    </row>
    <row r="1260" spans="1:8">
      <c r="C1260" s="739">
        <v>15000</v>
      </c>
      <c r="H1260" s="739" t="s">
        <v>12046</v>
      </c>
    </row>
    <row r="1262" spans="1:8">
      <c r="A1262" s="739" t="s">
        <v>17025</v>
      </c>
    </row>
    <row r="1263" spans="1:8">
      <c r="C1263" s="739">
        <v>25670</v>
      </c>
      <c r="H1263" s="739" t="s">
        <v>17026</v>
      </c>
    </row>
    <row r="1264" spans="1:8">
      <c r="C1264" s="739">
        <v>63516</v>
      </c>
      <c r="H1264" s="739" t="s">
        <v>6890</v>
      </c>
    </row>
    <row r="1265" spans="1:8">
      <c r="C1265" s="739">
        <v>12000</v>
      </c>
      <c r="H1265" s="739" t="s">
        <v>17027</v>
      </c>
    </row>
    <row r="1266" spans="1:8">
      <c r="C1266" s="739">
        <v>5140</v>
      </c>
      <c r="H1266" s="739" t="s">
        <v>17028</v>
      </c>
    </row>
    <row r="1267" spans="1:8">
      <c r="C1267" s="739">
        <v>5000</v>
      </c>
      <c r="H1267" s="739" t="s">
        <v>6746</v>
      </c>
    </row>
    <row r="1268" spans="1:8">
      <c r="D1268" s="739">
        <v>5000</v>
      </c>
      <c r="H1268" s="739" t="s">
        <v>17029</v>
      </c>
    </row>
    <row r="1269" spans="1:8">
      <c r="E1269" s="834" t="s">
        <v>12052</v>
      </c>
      <c r="F1269" s="834"/>
      <c r="G1269" s="834"/>
    </row>
    <row r="1270" spans="1:8">
      <c r="E1270" s="834"/>
      <c r="F1270" s="834"/>
      <c r="G1270" s="834"/>
    </row>
    <row r="1271" spans="1:8">
      <c r="A1271" s="739" t="s">
        <v>6894</v>
      </c>
    </row>
    <row r="1272" spans="1:8">
      <c r="E1272" s="739">
        <v>1205</v>
      </c>
      <c r="H1272" s="739" t="s">
        <v>17030</v>
      </c>
    </row>
    <row r="1273" spans="1:8">
      <c r="E1273" s="739">
        <v>45</v>
      </c>
      <c r="H1273" s="739" t="s">
        <v>6896</v>
      </c>
    </row>
    <row r="1274" spans="1:8">
      <c r="E1274" s="834" t="s">
        <v>6897</v>
      </c>
      <c r="F1274" s="834"/>
      <c r="G1274" s="834"/>
      <c r="H1274" s="834" t="s">
        <v>6898</v>
      </c>
    </row>
    <row r="1276" spans="1:8">
      <c r="A1276" s="739" t="s">
        <v>17031</v>
      </c>
    </row>
    <row r="1277" spans="1:8">
      <c r="E1277" s="739">
        <v>92</v>
      </c>
      <c r="H1277" s="739" t="s">
        <v>6900</v>
      </c>
    </row>
    <row r="1278" spans="1:8">
      <c r="E1278" s="834" t="s">
        <v>17032</v>
      </c>
      <c r="F1278" s="834"/>
      <c r="G1278" s="834"/>
    </row>
    <row r="1279" spans="1:8">
      <c r="E1279" s="834"/>
      <c r="F1279" s="834"/>
      <c r="G1279" s="834"/>
    </row>
    <row r="1280" spans="1:8">
      <c r="A1280" s="739" t="s">
        <v>6902</v>
      </c>
    </row>
    <row r="1281" spans="1:8">
      <c r="E1281" s="739">
        <v>75</v>
      </c>
      <c r="H1281" s="739" t="s">
        <v>17033</v>
      </c>
    </row>
    <row r="1282" spans="1:8">
      <c r="E1282" s="834" t="s">
        <v>17034</v>
      </c>
      <c r="F1282" s="834"/>
      <c r="G1282" s="834"/>
    </row>
    <row r="1283" spans="1:8">
      <c r="E1283" s="834"/>
      <c r="F1283" s="834"/>
      <c r="G1283" s="834"/>
    </row>
    <row r="1284" spans="1:8">
      <c r="A1284" s="739" t="s">
        <v>17035</v>
      </c>
    </row>
    <row r="1285" spans="1:8">
      <c r="E1285" s="739">
        <v>2000</v>
      </c>
      <c r="F1285" s="739">
        <v>2199</v>
      </c>
      <c r="H1285" s="739" t="s">
        <v>6906</v>
      </c>
    </row>
    <row r="1286" spans="1:8">
      <c r="E1286" s="834" t="s">
        <v>6907</v>
      </c>
      <c r="F1286" s="834"/>
      <c r="G1286" s="834"/>
    </row>
    <row r="1287" spans="1:8">
      <c r="E1287" s="834"/>
      <c r="F1287" s="834"/>
      <c r="G1287" s="834"/>
    </row>
    <row r="1288" spans="1:8">
      <c r="A1288" s="739" t="s">
        <v>6908</v>
      </c>
    </row>
    <row r="1289" spans="1:8">
      <c r="C1289" s="739">
        <v>30000</v>
      </c>
      <c r="H1289" s="739" t="s">
        <v>6909</v>
      </c>
    </row>
    <row r="1290" spans="1:8" s="842" customFormat="1"/>
    <row r="1291" spans="1:8">
      <c r="A1291" s="739" t="s">
        <v>6910</v>
      </c>
    </row>
    <row r="1292" spans="1:8">
      <c r="C1292" s="739">
        <v>15000</v>
      </c>
      <c r="H1292" s="739" t="s">
        <v>17036</v>
      </c>
    </row>
    <row r="1294" spans="1:8">
      <c r="A1294" s="739" t="s">
        <v>6912</v>
      </c>
    </row>
    <row r="1295" spans="1:8">
      <c r="E1295" s="739">
        <v>18</v>
      </c>
      <c r="F1295" s="739">
        <v>2181</v>
      </c>
      <c r="G1295" s="739" t="s">
        <v>6913</v>
      </c>
      <c r="H1295" s="739" t="s">
        <v>17037</v>
      </c>
    </row>
    <row r="1296" spans="1:8">
      <c r="E1296" s="834" t="s">
        <v>6915</v>
      </c>
      <c r="F1296" s="834"/>
      <c r="G1296" s="834"/>
    </row>
    <row r="1297" spans="1:8">
      <c r="E1297" s="834"/>
      <c r="F1297" s="834"/>
      <c r="G1297" s="834"/>
    </row>
    <row r="1298" spans="1:8">
      <c r="A1298" s="739" t="s">
        <v>6916</v>
      </c>
    </row>
    <row r="1299" spans="1:8">
      <c r="C1299" s="739">
        <v>25670</v>
      </c>
      <c r="H1299" s="739" t="s">
        <v>6917</v>
      </c>
    </row>
    <row r="1300" spans="1:8">
      <c r="C1300" s="739">
        <v>63516</v>
      </c>
      <c r="H1300" s="739" t="s">
        <v>12077</v>
      </c>
    </row>
    <row r="1301" spans="1:8">
      <c r="C1301" s="739">
        <v>45000</v>
      </c>
      <c r="H1301" s="739" t="s">
        <v>17038</v>
      </c>
    </row>
    <row r="1303" spans="1:8">
      <c r="A1303" s="739" t="s">
        <v>12079</v>
      </c>
    </row>
    <row r="1304" spans="1:8">
      <c r="C1304" s="739">
        <v>462</v>
      </c>
      <c r="H1304" s="739" t="s">
        <v>17039</v>
      </c>
    </row>
    <row r="1307" spans="1:8">
      <c r="H1307" s="843" t="s">
        <v>12081</v>
      </c>
    </row>
    <row r="1309" spans="1:8">
      <c r="A1309" s="739" t="s">
        <v>12082</v>
      </c>
    </row>
    <row r="1310" spans="1:8">
      <c r="E1310" s="739">
        <v>100</v>
      </c>
      <c r="G1310" s="739" t="s">
        <v>17040</v>
      </c>
      <c r="H1310" s="739" t="s">
        <v>6925</v>
      </c>
    </row>
    <row r="1311" spans="1:8">
      <c r="E1311" s="834" t="s">
        <v>6926</v>
      </c>
      <c r="F1311" s="834"/>
      <c r="G1311" s="834"/>
    </row>
    <row r="1313" spans="1:8">
      <c r="A1313" s="739" t="s">
        <v>12082</v>
      </c>
    </row>
    <row r="1314" spans="1:8">
      <c r="C1314" s="739">
        <v>11930</v>
      </c>
      <c r="H1314" s="739" t="s">
        <v>17041</v>
      </c>
    </row>
    <row r="1315" spans="1:8">
      <c r="E1315" s="834" t="s">
        <v>6926</v>
      </c>
      <c r="F1315" s="834"/>
      <c r="G1315" s="834"/>
    </row>
    <row r="1317" spans="1:8">
      <c r="A1317" s="739" t="s">
        <v>12087</v>
      </c>
    </row>
    <row r="1318" spans="1:8">
      <c r="D1318" s="739">
        <v>100</v>
      </c>
      <c r="H1318" s="739" t="s">
        <v>12088</v>
      </c>
    </row>
    <row r="1319" spans="1:8">
      <c r="E1319" s="834" t="s">
        <v>6915</v>
      </c>
      <c r="F1319" s="834"/>
      <c r="G1319" s="834"/>
    </row>
    <row r="1320" spans="1:8">
      <c r="E1320" s="834"/>
      <c r="F1320" s="834"/>
      <c r="G1320" s="834"/>
    </row>
    <row r="1321" spans="1:8">
      <c r="A1321" s="739" t="s">
        <v>17042</v>
      </c>
    </row>
    <row r="1322" spans="1:8">
      <c r="E1322" s="739">
        <v>1205</v>
      </c>
      <c r="G1322" s="739" t="s">
        <v>7763</v>
      </c>
      <c r="H1322" s="739" t="s">
        <v>6932</v>
      </c>
    </row>
    <row r="1323" spans="1:8">
      <c r="E1323" s="834" t="s">
        <v>6933</v>
      </c>
      <c r="F1323" s="834"/>
      <c r="G1323" s="834"/>
    </row>
    <row r="1324" spans="1:8">
      <c r="E1324" s="834"/>
      <c r="F1324" s="834"/>
      <c r="G1324" s="834"/>
    </row>
    <row r="1325" spans="1:8">
      <c r="A1325" s="839" t="s">
        <v>6934</v>
      </c>
    </row>
    <row r="1326" spans="1:8">
      <c r="C1326" s="839">
        <v>20000</v>
      </c>
      <c r="H1326" s="839" t="s">
        <v>6935</v>
      </c>
    </row>
    <row r="1327" spans="1:8">
      <c r="E1327" s="834"/>
      <c r="F1327" s="834"/>
      <c r="G1327" s="834"/>
    </row>
    <row r="1329" spans="1:8">
      <c r="A1329" s="739" t="s">
        <v>17043</v>
      </c>
    </row>
    <row r="1330" spans="1:8">
      <c r="E1330" s="739">
        <v>188</v>
      </c>
      <c r="G1330" s="739" t="s">
        <v>6937</v>
      </c>
      <c r="H1330" s="739" t="s">
        <v>17044</v>
      </c>
    </row>
    <row r="1331" spans="1:8">
      <c r="E1331" s="834" t="s">
        <v>6939</v>
      </c>
      <c r="F1331" s="834"/>
      <c r="G1331" s="834"/>
      <c r="H1331" s="834" t="s">
        <v>6940</v>
      </c>
    </row>
    <row r="1333" spans="1:8">
      <c r="A1333" s="739" t="s">
        <v>12100</v>
      </c>
    </row>
    <row r="1334" spans="1:8">
      <c r="C1334" s="739">
        <v>15000</v>
      </c>
      <c r="H1334" s="739" t="s">
        <v>6942</v>
      </c>
    </row>
    <row r="1335" spans="1:8">
      <c r="C1335" s="739">
        <v>5000</v>
      </c>
      <c r="H1335" s="739" t="s">
        <v>17045</v>
      </c>
    </row>
    <row r="1336" spans="1:8">
      <c r="E1336" s="739">
        <v>10</v>
      </c>
      <c r="G1336" s="739" t="s">
        <v>6943</v>
      </c>
      <c r="H1336" s="739" t="s">
        <v>17046</v>
      </c>
    </row>
    <row r="1337" spans="1:8">
      <c r="E1337" s="834" t="s">
        <v>12105</v>
      </c>
      <c r="F1337" s="834"/>
      <c r="G1337" s="834"/>
    </row>
    <row r="1339" spans="1:8">
      <c r="A1339" s="739" t="s">
        <v>17047</v>
      </c>
    </row>
    <row r="1340" spans="1:8">
      <c r="D1340" s="739">
        <v>5000</v>
      </c>
      <c r="H1340" s="739" t="s">
        <v>463</v>
      </c>
    </row>
    <row r="1341" spans="1:8">
      <c r="E1341" s="834" t="s">
        <v>6947</v>
      </c>
      <c r="F1341" s="834"/>
      <c r="G1341" s="834"/>
    </row>
    <row r="1343" spans="1:8">
      <c r="A1343" s="739" t="s">
        <v>17048</v>
      </c>
    </row>
    <row r="1344" spans="1:8">
      <c r="C1344" s="739">
        <v>25670</v>
      </c>
      <c r="H1344" s="739" t="s">
        <v>12109</v>
      </c>
    </row>
    <row r="1345" spans="1:8">
      <c r="C1345" s="739">
        <v>63516</v>
      </c>
      <c r="H1345" s="739" t="s">
        <v>6950</v>
      </c>
    </row>
    <row r="1347" spans="1:8">
      <c r="A1347" s="739" t="s">
        <v>6951</v>
      </c>
    </row>
    <row r="1348" spans="1:8">
      <c r="C1348" s="739">
        <v>12924</v>
      </c>
      <c r="H1348" s="739" t="s">
        <v>6952</v>
      </c>
    </row>
    <row r="1350" spans="1:8">
      <c r="A1350" s="739" t="s">
        <v>6953</v>
      </c>
    </row>
    <row r="1351" spans="1:8">
      <c r="E1351" s="739">
        <v>70</v>
      </c>
      <c r="G1351" s="739" t="s">
        <v>6943</v>
      </c>
      <c r="H1351" s="739" t="s">
        <v>6954</v>
      </c>
    </row>
    <row r="1352" spans="1:8">
      <c r="E1352" s="834" t="s">
        <v>17049</v>
      </c>
      <c r="F1352" s="834"/>
      <c r="G1352" s="834"/>
    </row>
    <row r="1354" spans="1:8">
      <c r="A1354" s="739" t="s">
        <v>17050</v>
      </c>
    </row>
    <row r="1355" spans="1:8">
      <c r="E1355" s="739">
        <v>1205</v>
      </c>
      <c r="G1355" s="739" t="s">
        <v>7763</v>
      </c>
      <c r="H1355" s="739" t="s">
        <v>6957</v>
      </c>
    </row>
    <row r="1356" spans="1:8">
      <c r="E1356" s="834" t="s">
        <v>6958</v>
      </c>
      <c r="F1356" s="834"/>
      <c r="G1356" s="834"/>
    </row>
    <row r="1357" spans="1:8">
      <c r="A1357" s="739" t="s">
        <v>6959</v>
      </c>
    </row>
    <row r="1358" spans="1:8">
      <c r="E1358" s="739">
        <v>420</v>
      </c>
      <c r="G1358" s="739" t="s">
        <v>17051</v>
      </c>
      <c r="H1358" s="739" t="s">
        <v>12122</v>
      </c>
    </row>
    <row r="1359" spans="1:8">
      <c r="E1359" s="834" t="s">
        <v>17052</v>
      </c>
      <c r="F1359" s="834"/>
      <c r="G1359" s="834"/>
      <c r="H1359" s="834" t="s">
        <v>6963</v>
      </c>
    </row>
    <row r="1360" spans="1:8">
      <c r="E1360" s="834"/>
      <c r="F1360" s="834"/>
      <c r="G1360" s="834"/>
      <c r="H1360" s="834"/>
    </row>
    <row r="1361" spans="1:8">
      <c r="A1361" s="739" t="s">
        <v>6964</v>
      </c>
      <c r="E1361" s="834"/>
      <c r="F1361" s="834"/>
      <c r="G1361" s="834"/>
      <c r="H1361" s="834"/>
    </row>
    <row r="1362" spans="1:8">
      <c r="E1362" s="741">
        <v>180</v>
      </c>
      <c r="F1362" s="741"/>
      <c r="G1362" s="739" t="s">
        <v>6913</v>
      </c>
      <c r="H1362" s="739" t="s">
        <v>7928</v>
      </c>
    </row>
    <row r="1363" spans="1:8">
      <c r="E1363" s="834" t="s">
        <v>6966</v>
      </c>
      <c r="F1363" s="834"/>
      <c r="G1363" s="834"/>
    </row>
    <row r="1364" spans="1:8">
      <c r="A1364" s="739" t="s">
        <v>6967</v>
      </c>
    </row>
    <row r="1365" spans="1:8">
      <c r="C1365" s="739">
        <v>15000</v>
      </c>
      <c r="H1365" s="739" t="s">
        <v>17053</v>
      </c>
    </row>
    <row r="1367" spans="1:8">
      <c r="A1367" s="739" t="s">
        <v>6969</v>
      </c>
    </row>
    <row r="1368" spans="1:8">
      <c r="C1368" s="739">
        <v>25670</v>
      </c>
      <c r="H1368" s="739" t="s">
        <v>6970</v>
      </c>
    </row>
    <row r="1369" spans="1:8">
      <c r="C1369" s="739">
        <v>63516</v>
      </c>
      <c r="H1369" s="739" t="s">
        <v>6971</v>
      </c>
    </row>
    <row r="1370" spans="1:8">
      <c r="E1370" s="739">
        <v>120</v>
      </c>
      <c r="G1370" s="739" t="s">
        <v>17054</v>
      </c>
      <c r="H1370" s="739" t="s">
        <v>8910</v>
      </c>
    </row>
    <row r="1371" spans="1:8">
      <c r="E1371" s="834" t="s">
        <v>17055</v>
      </c>
      <c r="F1371" s="834"/>
      <c r="G1371" s="834"/>
    </row>
    <row r="1372" spans="1:8">
      <c r="E1372" s="834"/>
      <c r="F1372" s="834"/>
      <c r="G1372" s="834"/>
    </row>
    <row r="1373" spans="1:8">
      <c r="A1373" s="739" t="s">
        <v>17056</v>
      </c>
    </row>
    <row r="1374" spans="1:8">
      <c r="E1374" s="739">
        <v>1050</v>
      </c>
      <c r="G1374" s="739" t="s">
        <v>6976</v>
      </c>
      <c r="H1374" s="739" t="s">
        <v>6977</v>
      </c>
    </row>
    <row r="1375" spans="1:8">
      <c r="E1375" s="834" t="s">
        <v>12139</v>
      </c>
      <c r="F1375" s="834"/>
      <c r="G1375" s="834"/>
      <c r="H1375" s="834"/>
    </row>
    <row r="1377" spans="1:8">
      <c r="A1377" s="739" t="s">
        <v>6975</v>
      </c>
    </row>
    <row r="1378" spans="1:8">
      <c r="E1378" s="739">
        <v>18</v>
      </c>
      <c r="G1378" s="739" t="s">
        <v>6913</v>
      </c>
      <c r="H1378" s="739" t="s">
        <v>17057</v>
      </c>
    </row>
    <row r="1379" spans="1:8">
      <c r="E1379" s="834" t="s">
        <v>17058</v>
      </c>
      <c r="F1379" s="834"/>
      <c r="G1379" s="834"/>
    </row>
    <row r="1380" spans="1:8">
      <c r="E1380" s="834"/>
      <c r="F1380" s="834"/>
      <c r="G1380" s="834"/>
    </row>
    <row r="1381" spans="1:8">
      <c r="A1381" s="739" t="s">
        <v>6981</v>
      </c>
    </row>
    <row r="1382" spans="1:8">
      <c r="E1382" s="739">
        <v>125</v>
      </c>
      <c r="G1382" s="739" t="s">
        <v>17059</v>
      </c>
      <c r="H1382" s="739" t="s">
        <v>6982</v>
      </c>
    </row>
    <row r="1383" spans="1:8">
      <c r="E1383" s="739">
        <v>110</v>
      </c>
      <c r="G1383" s="739" t="s">
        <v>7776</v>
      </c>
      <c r="H1383" s="739" t="s">
        <v>17060</v>
      </c>
    </row>
    <row r="1384" spans="1:8">
      <c r="E1384" s="834" t="s">
        <v>6983</v>
      </c>
      <c r="F1384" s="834"/>
      <c r="G1384" s="834"/>
    </row>
    <row r="1385" spans="1:8">
      <c r="E1385" s="834"/>
      <c r="F1385" s="834"/>
      <c r="G1385" s="834"/>
    </row>
    <row r="1386" spans="1:8">
      <c r="A1386" s="739" t="s">
        <v>17061</v>
      </c>
      <c r="E1386" s="834"/>
      <c r="F1386" s="834"/>
      <c r="G1386" s="834"/>
    </row>
    <row r="1387" spans="1:8">
      <c r="E1387" s="741">
        <v>141</v>
      </c>
      <c r="F1387" s="741"/>
      <c r="G1387" s="739" t="s">
        <v>17062</v>
      </c>
      <c r="H1387" s="739" t="s">
        <v>6985</v>
      </c>
    </row>
    <row r="1388" spans="1:8">
      <c r="E1388" s="834" t="s">
        <v>6986</v>
      </c>
      <c r="F1388" s="834"/>
      <c r="G1388" s="834"/>
    </row>
    <row r="1389" spans="1:8">
      <c r="E1389" s="834"/>
      <c r="F1389" s="834"/>
      <c r="G1389" s="834"/>
    </row>
    <row r="1390" spans="1:8">
      <c r="A1390" s="739" t="s">
        <v>17063</v>
      </c>
      <c r="E1390" s="834"/>
      <c r="F1390" s="834"/>
      <c r="G1390" s="834"/>
    </row>
    <row r="1391" spans="1:8">
      <c r="E1391" s="741">
        <v>141</v>
      </c>
      <c r="F1391" s="741"/>
      <c r="G1391" s="739" t="s">
        <v>17064</v>
      </c>
      <c r="H1391" s="739" t="s">
        <v>17065</v>
      </c>
    </row>
    <row r="1392" spans="1:8">
      <c r="E1392" s="834" t="s">
        <v>6989</v>
      </c>
      <c r="F1392" s="834"/>
      <c r="G1392" s="834"/>
    </row>
    <row r="1393" spans="1:8">
      <c r="E1393" s="834"/>
      <c r="F1393" s="834"/>
      <c r="G1393" s="834"/>
    </row>
    <row r="1394" spans="1:8">
      <c r="A1394" s="739" t="s">
        <v>6987</v>
      </c>
      <c r="E1394" s="834"/>
      <c r="F1394" s="834"/>
      <c r="G1394" s="834"/>
    </row>
    <row r="1395" spans="1:8">
      <c r="C1395" s="739">
        <v>5000</v>
      </c>
      <c r="E1395" s="834"/>
      <c r="F1395" s="834"/>
      <c r="G1395" s="834"/>
      <c r="H1395" s="739" t="s">
        <v>6990</v>
      </c>
    </row>
    <row r="1396" spans="1:8">
      <c r="E1396" s="834"/>
      <c r="F1396" s="834"/>
      <c r="G1396" s="834"/>
    </row>
    <row r="1397" spans="1:8">
      <c r="A1397" s="739" t="s">
        <v>17066</v>
      </c>
    </row>
    <row r="1398" spans="1:8">
      <c r="C1398" s="739">
        <v>1680</v>
      </c>
      <c r="H1398" s="739" t="s">
        <v>6991</v>
      </c>
    </row>
    <row r="1399" spans="1:8">
      <c r="E1399" s="739">
        <v>188</v>
      </c>
      <c r="G1399" s="739" t="s">
        <v>6937</v>
      </c>
      <c r="H1399" s="739" t="s">
        <v>6992</v>
      </c>
    </row>
    <row r="1400" spans="1:8">
      <c r="E1400" s="739">
        <v>78</v>
      </c>
      <c r="G1400" s="739" t="s">
        <v>6972</v>
      </c>
      <c r="H1400" s="739" t="s">
        <v>17067</v>
      </c>
    </row>
    <row r="1401" spans="1:8">
      <c r="E1401" s="739">
        <v>45</v>
      </c>
      <c r="G1401" s="739" t="s">
        <v>6943</v>
      </c>
      <c r="H1401" s="739" t="s">
        <v>12158</v>
      </c>
    </row>
    <row r="1402" spans="1:8">
      <c r="C1402" s="739">
        <v>5000</v>
      </c>
      <c r="H1402" s="739" t="s">
        <v>6995</v>
      </c>
    </row>
    <row r="1403" spans="1:8">
      <c r="D1403" s="739">
        <v>5000</v>
      </c>
      <c r="H1403" s="739" t="s">
        <v>17029</v>
      </c>
    </row>
    <row r="1404" spans="1:8">
      <c r="E1404" s="834" t="s">
        <v>12160</v>
      </c>
      <c r="F1404" s="834"/>
      <c r="G1404" s="834"/>
      <c r="H1404" s="834" t="s">
        <v>17068</v>
      </c>
    </row>
    <row r="1405" spans="1:8">
      <c r="E1405" s="834"/>
      <c r="F1405" s="834"/>
      <c r="G1405" s="834"/>
      <c r="H1405" s="834"/>
    </row>
    <row r="1406" spans="1:8">
      <c r="A1406" s="739" t="s">
        <v>12162</v>
      </c>
    </row>
    <row r="1407" spans="1:8">
      <c r="E1407" s="739">
        <v>75</v>
      </c>
      <c r="G1407" s="739" t="s">
        <v>7776</v>
      </c>
      <c r="H1407" s="739" t="s">
        <v>6999</v>
      </c>
    </row>
    <row r="1408" spans="1:8">
      <c r="E1408" s="739">
        <v>70</v>
      </c>
      <c r="G1408" s="739" t="s">
        <v>7776</v>
      </c>
      <c r="H1408" s="739" t="s">
        <v>17069</v>
      </c>
    </row>
    <row r="1409" spans="1:8">
      <c r="E1409" s="834" t="s">
        <v>12165</v>
      </c>
      <c r="F1409" s="834"/>
      <c r="G1409" s="834"/>
    </row>
    <row r="1410" spans="1:8">
      <c r="E1410" s="834"/>
      <c r="F1410" s="834"/>
      <c r="G1410" s="834"/>
    </row>
    <row r="1411" spans="1:8">
      <c r="A1411" s="739" t="s">
        <v>7001</v>
      </c>
      <c r="E1411" s="834"/>
      <c r="F1411" s="834"/>
      <c r="G1411" s="834"/>
      <c r="H1411" s="834"/>
    </row>
    <row r="1412" spans="1:8">
      <c r="E1412" s="741">
        <v>110</v>
      </c>
      <c r="F1412" s="741"/>
      <c r="G1412" s="739" t="s">
        <v>17064</v>
      </c>
      <c r="H1412" s="741" t="s">
        <v>7002</v>
      </c>
    </row>
    <row r="1413" spans="1:8">
      <c r="E1413" s="834" t="s">
        <v>12168</v>
      </c>
      <c r="F1413" s="834"/>
      <c r="G1413" s="834"/>
      <c r="H1413" s="834"/>
    </row>
    <row r="1414" spans="1:8">
      <c r="E1414" s="834"/>
      <c r="F1414" s="834"/>
      <c r="G1414" s="834"/>
      <c r="H1414" s="834"/>
    </row>
    <row r="1415" spans="1:8">
      <c r="A1415" s="739" t="s">
        <v>7001</v>
      </c>
    </row>
    <row r="1416" spans="1:8">
      <c r="E1416" s="739">
        <v>1750</v>
      </c>
      <c r="G1416" s="739" t="s">
        <v>17070</v>
      </c>
      <c r="H1416" s="739" t="s">
        <v>7004</v>
      </c>
    </row>
    <row r="1417" spans="1:8">
      <c r="E1417" s="739">
        <v>1205</v>
      </c>
      <c r="G1417" s="739" t="s">
        <v>17071</v>
      </c>
      <c r="H1417" s="739" t="s">
        <v>7005</v>
      </c>
    </row>
    <row r="1418" spans="1:8">
      <c r="E1418" s="834" t="s">
        <v>17072</v>
      </c>
      <c r="F1418" s="834"/>
      <c r="G1418" s="834"/>
      <c r="H1418" s="834"/>
    </row>
    <row r="1419" spans="1:8">
      <c r="E1419" s="834"/>
      <c r="F1419" s="834"/>
      <c r="G1419" s="834"/>
      <c r="H1419" s="834"/>
    </row>
    <row r="1420" spans="1:8">
      <c r="A1420" s="739" t="s">
        <v>17073</v>
      </c>
    </row>
    <row r="1421" spans="1:8">
      <c r="E1421" s="739">
        <v>370</v>
      </c>
      <c r="G1421" s="739" t="s">
        <v>7776</v>
      </c>
      <c r="H1421" s="739" t="s">
        <v>12173</v>
      </c>
    </row>
    <row r="1422" spans="1:8">
      <c r="E1422" s="739">
        <v>350</v>
      </c>
      <c r="G1422" s="739" t="s">
        <v>7776</v>
      </c>
      <c r="H1422" s="739" t="s">
        <v>17074</v>
      </c>
    </row>
    <row r="1423" spans="1:8">
      <c r="D1423" s="739" t="s">
        <v>7009</v>
      </c>
      <c r="E1423" s="834" t="s">
        <v>17075</v>
      </c>
      <c r="F1423" s="834"/>
      <c r="G1423" s="834"/>
    </row>
    <row r="1424" spans="1:8">
      <c r="E1424" s="834"/>
      <c r="F1424" s="834"/>
      <c r="G1424" s="834"/>
    </row>
    <row r="1425" spans="1:8">
      <c r="A1425" s="739" t="s">
        <v>7011</v>
      </c>
      <c r="E1425" s="834"/>
      <c r="F1425" s="834"/>
      <c r="G1425" s="834"/>
    </row>
    <row r="1426" spans="1:8">
      <c r="E1426" s="741">
        <v>96</v>
      </c>
      <c r="F1426" s="741"/>
      <c r="G1426" s="739" t="s">
        <v>17076</v>
      </c>
      <c r="H1426" s="739" t="s">
        <v>17077</v>
      </c>
    </row>
    <row r="1427" spans="1:8">
      <c r="E1427" s="741">
        <v>59</v>
      </c>
      <c r="F1427" s="741"/>
      <c r="G1427" s="739" t="s">
        <v>17078</v>
      </c>
      <c r="H1427" s="739" t="s">
        <v>17079</v>
      </c>
    </row>
    <row r="1428" spans="1:8">
      <c r="D1428" s="739" t="s">
        <v>17080</v>
      </c>
      <c r="E1428" s="834" t="s">
        <v>17081</v>
      </c>
      <c r="F1428" s="834"/>
      <c r="G1428" s="834"/>
    </row>
    <row r="1429" spans="1:8">
      <c r="E1429" s="834"/>
      <c r="F1429" s="834"/>
      <c r="G1429" s="834"/>
    </row>
    <row r="1430" spans="1:8">
      <c r="A1430" s="739" t="s">
        <v>17082</v>
      </c>
      <c r="E1430" s="834"/>
      <c r="F1430" s="834"/>
      <c r="G1430" s="834"/>
    </row>
    <row r="1431" spans="1:8">
      <c r="E1431" s="741">
        <v>45</v>
      </c>
      <c r="F1431" s="741"/>
      <c r="G1431" s="739" t="s">
        <v>6913</v>
      </c>
      <c r="H1431" s="739" t="s">
        <v>7016</v>
      </c>
    </row>
    <row r="1432" spans="1:8">
      <c r="D1432" s="739" t="s">
        <v>17080</v>
      </c>
      <c r="E1432" s="834" t="s">
        <v>7017</v>
      </c>
      <c r="F1432" s="834"/>
      <c r="G1432" s="834"/>
    </row>
    <row r="1433" spans="1:8">
      <c r="E1433" s="834"/>
      <c r="F1433" s="834"/>
      <c r="G1433" s="834"/>
    </row>
    <row r="1434" spans="1:8">
      <c r="A1434" s="739" t="s">
        <v>17083</v>
      </c>
    </row>
    <row r="1435" spans="1:8">
      <c r="E1435" s="739">
        <v>180</v>
      </c>
      <c r="G1435" s="739" t="s">
        <v>17040</v>
      </c>
      <c r="H1435" s="739" t="s">
        <v>12184</v>
      </c>
    </row>
    <row r="1436" spans="1:8">
      <c r="E1436" s="739">
        <v>170</v>
      </c>
      <c r="G1436" s="739" t="s">
        <v>17040</v>
      </c>
      <c r="H1436" s="739" t="s">
        <v>12184</v>
      </c>
    </row>
    <row r="1437" spans="1:8">
      <c r="D1437" s="739" t="s">
        <v>17084</v>
      </c>
      <c r="E1437" s="834" t="s">
        <v>17085</v>
      </c>
      <c r="F1437" s="834"/>
      <c r="G1437" s="834"/>
    </row>
    <row r="1438" spans="1:8">
      <c r="E1438" s="834"/>
      <c r="F1438" s="834"/>
      <c r="G1438" s="834"/>
    </row>
    <row r="1439" spans="1:8">
      <c r="A1439" s="739" t="s">
        <v>17086</v>
      </c>
      <c r="E1439" s="834"/>
      <c r="F1439" s="834"/>
      <c r="G1439" s="834"/>
    </row>
    <row r="1440" spans="1:8" ht="49.5">
      <c r="E1440" s="741">
        <v>800</v>
      </c>
      <c r="F1440" s="741"/>
      <c r="G1440" s="739" t="s">
        <v>17087</v>
      </c>
      <c r="H1440" s="836" t="s">
        <v>17088</v>
      </c>
    </row>
    <row r="1441" spans="1:8">
      <c r="E1441" s="741">
        <v>30</v>
      </c>
      <c r="F1441" s="741"/>
      <c r="G1441" s="739" t="s">
        <v>17087</v>
      </c>
      <c r="H1441" s="739" t="s">
        <v>7024</v>
      </c>
    </row>
    <row r="1442" spans="1:8">
      <c r="D1442" s="739" t="s">
        <v>17080</v>
      </c>
      <c r="E1442" s="834" t="s">
        <v>17089</v>
      </c>
      <c r="F1442" s="834"/>
      <c r="G1442" s="834"/>
      <c r="H1442" s="834" t="s">
        <v>7026</v>
      </c>
    </row>
    <row r="1443" spans="1:8">
      <c r="E1443" s="834"/>
      <c r="F1443" s="834"/>
      <c r="G1443" s="834"/>
    </row>
    <row r="1444" spans="1:8">
      <c r="A1444" s="739" t="s">
        <v>7027</v>
      </c>
    </row>
    <row r="1445" spans="1:8">
      <c r="E1445" s="739">
        <v>120</v>
      </c>
      <c r="G1445" s="739" t="s">
        <v>17040</v>
      </c>
      <c r="H1445" s="739" t="s">
        <v>17090</v>
      </c>
    </row>
    <row r="1446" spans="1:8">
      <c r="E1446" s="739">
        <v>135</v>
      </c>
      <c r="G1446" s="739" t="s">
        <v>17040</v>
      </c>
      <c r="H1446" s="739" t="s">
        <v>7028</v>
      </c>
    </row>
    <row r="1447" spans="1:8">
      <c r="D1447" s="739" t="s">
        <v>7009</v>
      </c>
      <c r="E1447" s="834" t="s">
        <v>17091</v>
      </c>
      <c r="F1447" s="834"/>
      <c r="G1447" s="834"/>
    </row>
    <row r="1448" spans="1:8">
      <c r="E1448" s="834"/>
      <c r="F1448" s="834"/>
      <c r="G1448" s="834"/>
    </row>
    <row r="1449" spans="1:8">
      <c r="A1449" s="739" t="s">
        <v>17092</v>
      </c>
    </row>
    <row r="1450" spans="1:8">
      <c r="E1450" s="739">
        <v>75</v>
      </c>
      <c r="G1450" s="739" t="s">
        <v>17093</v>
      </c>
      <c r="H1450" s="739" t="s">
        <v>7031</v>
      </c>
    </row>
    <row r="1451" spans="1:8">
      <c r="E1451" s="739">
        <v>85</v>
      </c>
      <c r="G1451" s="739" t="s">
        <v>7776</v>
      </c>
      <c r="H1451" s="739" t="s">
        <v>17094</v>
      </c>
    </row>
    <row r="1452" spans="1:8">
      <c r="D1452" s="739" t="s">
        <v>17080</v>
      </c>
      <c r="E1452" s="834" t="s">
        <v>7032</v>
      </c>
      <c r="F1452" s="834"/>
      <c r="G1452" s="834"/>
    </row>
    <row r="1453" spans="1:8">
      <c r="E1453" s="834"/>
      <c r="F1453" s="834"/>
      <c r="G1453" s="834"/>
    </row>
    <row r="1454" spans="1:8">
      <c r="A1454" s="739" t="s">
        <v>17095</v>
      </c>
    </row>
    <row r="1455" spans="1:8">
      <c r="C1455" s="739">
        <v>15000</v>
      </c>
      <c r="H1455" s="739" t="s">
        <v>17096</v>
      </c>
    </row>
    <row r="1457" spans="1:8">
      <c r="A1457" s="739" t="s">
        <v>17097</v>
      </c>
    </row>
    <row r="1458" spans="1:8">
      <c r="E1458" s="739">
        <v>35</v>
      </c>
      <c r="G1458" s="739" t="s">
        <v>17098</v>
      </c>
      <c r="H1458" s="739" t="s">
        <v>17099</v>
      </c>
    </row>
    <row r="1459" spans="1:8">
      <c r="D1459" s="739" t="s">
        <v>7009</v>
      </c>
      <c r="E1459" s="834" t="s">
        <v>17100</v>
      </c>
      <c r="F1459" s="834"/>
      <c r="G1459" s="834"/>
    </row>
    <row r="1460" spans="1:8">
      <c r="E1460" s="834"/>
      <c r="F1460" s="834"/>
      <c r="G1460" s="834"/>
    </row>
    <row r="1461" spans="1:8">
      <c r="A1461" s="739" t="s">
        <v>17101</v>
      </c>
    </row>
    <row r="1462" spans="1:8">
      <c r="E1462" s="739">
        <v>260</v>
      </c>
      <c r="G1462" s="739" t="s">
        <v>17093</v>
      </c>
      <c r="H1462" s="739" t="s">
        <v>7038</v>
      </c>
    </row>
    <row r="1463" spans="1:8">
      <c r="E1463" s="739">
        <v>315</v>
      </c>
      <c r="G1463" s="739" t="s">
        <v>7776</v>
      </c>
      <c r="H1463" s="739" t="s">
        <v>12211</v>
      </c>
    </row>
    <row r="1464" spans="1:8">
      <c r="D1464" s="739" t="s">
        <v>7009</v>
      </c>
      <c r="E1464" s="834" t="s">
        <v>17102</v>
      </c>
      <c r="F1464" s="834"/>
      <c r="G1464" s="834"/>
    </row>
    <row r="1465" spans="1:8">
      <c r="E1465" s="834"/>
      <c r="F1465" s="834"/>
      <c r="G1465" s="834"/>
    </row>
    <row r="1466" spans="1:8">
      <c r="A1466" s="739" t="s">
        <v>7041</v>
      </c>
      <c r="E1466" s="834"/>
      <c r="F1466" s="834"/>
      <c r="G1466" s="834"/>
    </row>
    <row r="1467" spans="1:8">
      <c r="E1467" s="741">
        <v>141</v>
      </c>
      <c r="F1467" s="741"/>
      <c r="G1467" s="739" t="s">
        <v>17098</v>
      </c>
      <c r="H1467" s="739" t="s">
        <v>17103</v>
      </c>
    </row>
    <row r="1468" spans="1:8">
      <c r="E1468" s="834" t="s">
        <v>17104</v>
      </c>
      <c r="F1468" s="834"/>
      <c r="G1468" s="834"/>
    </row>
    <row r="1469" spans="1:8">
      <c r="E1469" s="834"/>
      <c r="F1469" s="834"/>
      <c r="G1469" s="834"/>
    </row>
    <row r="1470" spans="1:8">
      <c r="A1470" s="739" t="s">
        <v>17105</v>
      </c>
      <c r="E1470" s="834"/>
      <c r="F1470" s="834"/>
      <c r="G1470" s="834"/>
    </row>
    <row r="1471" spans="1:8">
      <c r="D1471" s="739">
        <v>5000</v>
      </c>
      <c r="H1471" s="739" t="s">
        <v>16884</v>
      </c>
    </row>
    <row r="1472" spans="1:8">
      <c r="C1472" s="739">
        <v>64306</v>
      </c>
      <c r="H1472" s="739" t="s">
        <v>7044</v>
      </c>
    </row>
    <row r="1473" spans="1:8">
      <c r="C1473" s="739">
        <v>70300</v>
      </c>
      <c r="H1473" s="739" t="s">
        <v>7045</v>
      </c>
    </row>
    <row r="1474" spans="1:8">
      <c r="C1474" s="739">
        <v>8536</v>
      </c>
      <c r="H1474" s="739" t="s">
        <v>17106</v>
      </c>
    </row>
    <row r="1475" spans="1:8">
      <c r="C1475" s="739">
        <v>31295</v>
      </c>
      <c r="H1475" s="739" t="s">
        <v>17107</v>
      </c>
    </row>
    <row r="1476" spans="1:8">
      <c r="C1476" s="739">
        <v>63516</v>
      </c>
      <c r="H1476" s="739" t="s">
        <v>17108</v>
      </c>
    </row>
    <row r="1477" spans="1:8">
      <c r="E1477" s="834" t="s">
        <v>17109</v>
      </c>
      <c r="F1477" s="834"/>
      <c r="G1477" s="834"/>
    </row>
    <row r="1478" spans="1:8">
      <c r="E1478" s="834"/>
      <c r="F1478" s="834"/>
      <c r="G1478" s="834"/>
    </row>
    <row r="1479" spans="1:8">
      <c r="A1479" s="739" t="s">
        <v>17110</v>
      </c>
      <c r="E1479" s="834"/>
      <c r="F1479" s="834"/>
      <c r="G1479" s="834"/>
    </row>
    <row r="1480" spans="1:8">
      <c r="E1480" s="741">
        <v>141</v>
      </c>
      <c r="F1480" s="741"/>
      <c r="G1480" s="739" t="s">
        <v>17098</v>
      </c>
      <c r="H1480" s="739" t="s">
        <v>17111</v>
      </c>
    </row>
    <row r="1481" spans="1:8">
      <c r="E1481" s="834" t="s">
        <v>7052</v>
      </c>
      <c r="F1481" s="834"/>
      <c r="G1481" s="834"/>
    </row>
    <row r="1483" spans="1:8">
      <c r="A1483" s="739" t="s">
        <v>12226</v>
      </c>
      <c r="E1483" s="834"/>
      <c r="F1483" s="834"/>
      <c r="G1483" s="834"/>
    </row>
    <row r="1484" spans="1:8">
      <c r="E1484" s="741">
        <v>100</v>
      </c>
      <c r="F1484" s="741"/>
      <c r="G1484" s="739" t="s">
        <v>17093</v>
      </c>
      <c r="H1484" s="739" t="s">
        <v>12227</v>
      </c>
    </row>
    <row r="1485" spans="1:8">
      <c r="E1485" s="834" t="s">
        <v>7055</v>
      </c>
      <c r="F1485" s="834"/>
      <c r="G1485" s="834"/>
    </row>
    <row r="1486" spans="1:8">
      <c r="E1486" s="834"/>
      <c r="F1486" s="834"/>
      <c r="G1486" s="834"/>
    </row>
    <row r="1487" spans="1:8">
      <c r="A1487" s="739" t="s">
        <v>17112</v>
      </c>
    </row>
    <row r="1488" spans="1:8">
      <c r="E1488" s="739">
        <v>1205</v>
      </c>
      <c r="G1488" s="739" t="s">
        <v>17113</v>
      </c>
      <c r="H1488" s="739" t="s">
        <v>7057</v>
      </c>
    </row>
    <row r="1489" spans="1:8">
      <c r="E1489" s="834" t="s">
        <v>17114</v>
      </c>
      <c r="F1489" s="834"/>
      <c r="G1489" s="834"/>
      <c r="H1489" s="834"/>
    </row>
    <row r="1490" spans="1:8">
      <c r="E1490" s="834"/>
      <c r="F1490" s="834"/>
      <c r="G1490" s="834"/>
      <c r="H1490" s="834"/>
    </row>
    <row r="1491" spans="1:8">
      <c r="A1491" s="739" t="s">
        <v>7059</v>
      </c>
      <c r="E1491" s="834"/>
      <c r="F1491" s="834"/>
      <c r="G1491" s="834"/>
    </row>
    <row r="1492" spans="1:8">
      <c r="C1492" s="739">
        <v>6000</v>
      </c>
      <c r="E1492" s="834"/>
      <c r="F1492" s="834"/>
      <c r="G1492" s="834"/>
      <c r="H1492" s="739" t="s">
        <v>17115</v>
      </c>
    </row>
    <row r="1493" spans="1:8">
      <c r="E1493" s="834"/>
      <c r="F1493" s="834"/>
      <c r="G1493" s="834"/>
    </row>
    <row r="1494" spans="1:8">
      <c r="A1494" s="739" t="s">
        <v>17116</v>
      </c>
    </row>
    <row r="1495" spans="1:8">
      <c r="C1495" s="739">
        <v>15000</v>
      </c>
      <c r="H1495" s="739" t="s">
        <v>17117</v>
      </c>
    </row>
    <row r="1497" spans="1:8">
      <c r="A1497" s="739" t="s">
        <v>17118</v>
      </c>
    </row>
    <row r="1498" spans="1:8">
      <c r="E1498" s="739">
        <v>18</v>
      </c>
      <c r="G1498" s="739" t="s">
        <v>1221</v>
      </c>
      <c r="H1498" s="739" t="s">
        <v>17119</v>
      </c>
    </row>
    <row r="1499" spans="1:8">
      <c r="E1499" s="739">
        <v>30</v>
      </c>
      <c r="G1499" s="739" t="s">
        <v>17040</v>
      </c>
      <c r="H1499" s="739" t="s">
        <v>12239</v>
      </c>
    </row>
    <row r="1500" spans="1:8">
      <c r="E1500" s="834" t="s">
        <v>17120</v>
      </c>
      <c r="F1500" s="834"/>
      <c r="G1500" s="834"/>
    </row>
    <row r="1501" spans="1:8">
      <c r="E1501" s="834"/>
      <c r="F1501" s="834"/>
      <c r="G1501" s="834"/>
    </row>
    <row r="1502" spans="1:8">
      <c r="A1502" s="739" t="s">
        <v>17121</v>
      </c>
      <c r="E1502" s="834"/>
      <c r="F1502" s="834"/>
      <c r="G1502" s="834"/>
    </row>
    <row r="1503" spans="1:8">
      <c r="C1503" s="739">
        <v>12000</v>
      </c>
      <c r="H1503" s="739" t="s">
        <v>17122</v>
      </c>
    </row>
    <row r="1504" spans="1:8">
      <c r="C1504" s="739">
        <v>19714</v>
      </c>
      <c r="H1504" s="739" t="s">
        <v>12243</v>
      </c>
    </row>
    <row r="1505" spans="1:8">
      <c r="C1505" s="739">
        <v>143</v>
      </c>
      <c r="H1505" s="739" t="s">
        <v>7070</v>
      </c>
    </row>
    <row r="1506" spans="1:8">
      <c r="C1506" s="739">
        <v>63516</v>
      </c>
      <c r="H1506" s="739" t="s">
        <v>17123</v>
      </c>
    </row>
    <row r="1507" spans="1:8">
      <c r="E1507" s="834"/>
      <c r="F1507" s="834"/>
      <c r="G1507" s="834"/>
    </row>
    <row r="1508" spans="1:8">
      <c r="E1508" s="834"/>
      <c r="F1508" s="834"/>
      <c r="G1508" s="834"/>
    </row>
    <row r="1509" spans="1:8">
      <c r="A1509" s="739" t="s">
        <v>7072</v>
      </c>
    </row>
    <row r="1510" spans="1:8">
      <c r="C1510" s="739">
        <v>10950</v>
      </c>
      <c r="H1510" s="739" t="s">
        <v>7073</v>
      </c>
    </row>
    <row r="1511" spans="1:8">
      <c r="E1511" s="739">
        <v>510</v>
      </c>
      <c r="G1511" s="739" t="s">
        <v>17040</v>
      </c>
      <c r="H1511" s="739" t="s">
        <v>17124</v>
      </c>
    </row>
    <row r="1512" spans="1:8">
      <c r="E1512" s="739">
        <v>540</v>
      </c>
      <c r="G1512" s="739" t="s">
        <v>17040</v>
      </c>
      <c r="H1512" s="739" t="s">
        <v>17125</v>
      </c>
    </row>
    <row r="1513" spans="1:8">
      <c r="D1513" s="739" t="s">
        <v>17080</v>
      </c>
      <c r="E1513" s="834" t="s">
        <v>7075</v>
      </c>
      <c r="F1513" s="834"/>
      <c r="G1513" s="834"/>
    </row>
    <row r="1514" spans="1:8">
      <c r="E1514" s="834"/>
      <c r="F1514" s="834"/>
      <c r="G1514" s="834"/>
    </row>
    <row r="1515" spans="1:8">
      <c r="A1515" s="739" t="s">
        <v>17126</v>
      </c>
    </row>
    <row r="1516" spans="1:8">
      <c r="C1516" s="739">
        <v>26477</v>
      </c>
      <c r="H1516" s="739" t="s">
        <v>17127</v>
      </c>
    </row>
    <row r="1517" spans="1:8">
      <c r="E1517" s="739">
        <v>520</v>
      </c>
      <c r="G1517" s="739" t="s">
        <v>17098</v>
      </c>
      <c r="H1517" s="739" t="s">
        <v>17128</v>
      </c>
    </row>
    <row r="1518" spans="1:8">
      <c r="D1518" s="739" t="s">
        <v>17080</v>
      </c>
      <c r="E1518" s="834" t="s">
        <v>17129</v>
      </c>
      <c r="F1518" s="834"/>
      <c r="G1518" s="834"/>
    </row>
    <row r="1520" spans="1:8">
      <c r="A1520" s="739" t="s">
        <v>17130</v>
      </c>
    </row>
    <row r="1521" spans="1:8">
      <c r="E1521" s="739">
        <v>175</v>
      </c>
      <c r="G1521" s="739" t="s">
        <v>17040</v>
      </c>
      <c r="H1521" s="739" t="s">
        <v>17131</v>
      </c>
    </row>
    <row r="1522" spans="1:8">
      <c r="E1522" s="739">
        <v>170</v>
      </c>
      <c r="G1522" s="739" t="s">
        <v>7776</v>
      </c>
      <c r="H1522" s="739" t="s">
        <v>17131</v>
      </c>
    </row>
    <row r="1523" spans="1:8">
      <c r="D1523" s="739" t="s">
        <v>17080</v>
      </c>
      <c r="E1523" s="834" t="s">
        <v>17132</v>
      </c>
      <c r="F1523" s="834"/>
      <c r="G1523" s="834"/>
    </row>
    <row r="1524" spans="1:8">
      <c r="E1524" s="834"/>
      <c r="F1524" s="834"/>
      <c r="G1524" s="834"/>
    </row>
    <row r="1525" spans="1:8">
      <c r="A1525" s="739" t="s">
        <v>12259</v>
      </c>
    </row>
    <row r="1526" spans="1:8">
      <c r="E1526" s="739">
        <v>165</v>
      </c>
      <c r="G1526" s="739" t="s">
        <v>7776</v>
      </c>
      <c r="H1526" s="739" t="s">
        <v>17133</v>
      </c>
    </row>
    <row r="1527" spans="1:8">
      <c r="E1527" s="739">
        <v>180</v>
      </c>
      <c r="G1527" s="739" t="s">
        <v>7776</v>
      </c>
      <c r="H1527" s="739" t="s">
        <v>17133</v>
      </c>
    </row>
    <row r="1528" spans="1:8">
      <c r="D1528" s="739" t="s">
        <v>7009</v>
      </c>
      <c r="E1528" s="834" t="s">
        <v>12262</v>
      </c>
      <c r="F1528" s="834"/>
      <c r="G1528" s="834"/>
    </row>
    <row r="1529" spans="1:8">
      <c r="E1529" s="834"/>
      <c r="F1529" s="834"/>
      <c r="G1529" s="834"/>
    </row>
    <row r="1530" spans="1:8">
      <c r="A1530" s="739" t="s">
        <v>17134</v>
      </c>
      <c r="E1530" s="834"/>
      <c r="F1530" s="834"/>
      <c r="G1530" s="834"/>
    </row>
    <row r="1531" spans="1:8">
      <c r="E1531" s="739">
        <v>1205</v>
      </c>
      <c r="G1531" s="739" t="s">
        <v>17135</v>
      </c>
      <c r="H1531" s="739" t="s">
        <v>17136</v>
      </c>
    </row>
    <row r="1532" spans="1:8">
      <c r="D1532" s="739" t="s">
        <v>7009</v>
      </c>
      <c r="E1532" s="834" t="s">
        <v>7088</v>
      </c>
      <c r="F1532" s="834"/>
      <c r="G1532" s="834"/>
    </row>
    <row r="1533" spans="1:8">
      <c r="E1533" s="834"/>
      <c r="F1533" s="834"/>
      <c r="G1533" s="834"/>
    </row>
    <row r="1534" spans="1:8">
      <c r="A1534" s="739" t="s">
        <v>17137</v>
      </c>
      <c r="E1534" s="834"/>
      <c r="F1534" s="834"/>
      <c r="G1534" s="834"/>
    </row>
    <row r="1535" spans="1:8">
      <c r="C1535" s="739">
        <v>5000</v>
      </c>
      <c r="E1535" s="834"/>
      <c r="F1535" s="834"/>
      <c r="G1535" s="834"/>
      <c r="H1535" s="739" t="s">
        <v>463</v>
      </c>
    </row>
    <row r="1536" spans="1:8">
      <c r="D1536" s="739">
        <v>5000</v>
      </c>
      <c r="E1536" s="834"/>
      <c r="F1536" s="834"/>
      <c r="G1536" s="834"/>
    </row>
    <row r="1537" spans="1:8">
      <c r="E1537" s="741">
        <v>80</v>
      </c>
      <c r="F1537" s="741"/>
      <c r="G1537" s="739" t="s">
        <v>17098</v>
      </c>
      <c r="H1537" s="739" t="s">
        <v>17138</v>
      </c>
    </row>
    <row r="1538" spans="1:8">
      <c r="E1538" s="741">
        <v>70</v>
      </c>
      <c r="F1538" s="741"/>
      <c r="G1538" s="739" t="s">
        <v>17098</v>
      </c>
      <c r="H1538" s="739" t="s">
        <v>17139</v>
      </c>
    </row>
    <row r="1539" spans="1:8">
      <c r="E1539" s="741">
        <v>199</v>
      </c>
      <c r="F1539" s="741"/>
      <c r="G1539" s="739" t="s">
        <v>6937</v>
      </c>
      <c r="H1539" s="739" t="s">
        <v>17140</v>
      </c>
    </row>
    <row r="1540" spans="1:8">
      <c r="E1540" s="834" t="s">
        <v>12270</v>
      </c>
      <c r="F1540" s="834"/>
      <c r="G1540" s="834"/>
      <c r="H1540" s="834" t="s">
        <v>7094</v>
      </c>
    </row>
    <row r="1541" spans="1:8">
      <c r="E1541" s="834"/>
      <c r="F1541" s="834"/>
      <c r="G1541" s="834"/>
    </row>
    <row r="1542" spans="1:8">
      <c r="A1542" s="739" t="s">
        <v>7095</v>
      </c>
      <c r="E1542" s="834"/>
      <c r="F1542" s="834"/>
      <c r="G1542" s="834"/>
    </row>
    <row r="1543" spans="1:8">
      <c r="E1543" s="739">
        <v>156</v>
      </c>
      <c r="G1543" s="739" t="s">
        <v>17141</v>
      </c>
      <c r="H1543" s="739" t="s">
        <v>17142</v>
      </c>
    </row>
    <row r="1544" spans="1:8">
      <c r="E1544" s="739">
        <v>54</v>
      </c>
      <c r="G1544" s="739" t="s">
        <v>7774</v>
      </c>
      <c r="H1544" s="739" t="s">
        <v>17143</v>
      </c>
    </row>
    <row r="1545" spans="1:8">
      <c r="E1545" s="739">
        <v>220</v>
      </c>
      <c r="G1545" s="739" t="s">
        <v>17040</v>
      </c>
      <c r="H1545" s="739" t="s">
        <v>17144</v>
      </c>
    </row>
    <row r="1546" spans="1:8">
      <c r="E1546" s="739">
        <v>195</v>
      </c>
      <c r="G1546" s="739" t="s">
        <v>17040</v>
      </c>
      <c r="H1546" s="739" t="s">
        <v>17144</v>
      </c>
    </row>
    <row r="1547" spans="1:8">
      <c r="D1547" s="739" t="s">
        <v>17080</v>
      </c>
      <c r="E1547" s="834" t="s">
        <v>7099</v>
      </c>
      <c r="F1547" s="834"/>
      <c r="G1547" s="834"/>
    </row>
    <row r="1548" spans="1:8">
      <c r="E1548" s="834"/>
      <c r="F1548" s="834"/>
      <c r="G1548" s="834"/>
    </row>
    <row r="1549" spans="1:8">
      <c r="A1549" s="739" t="s">
        <v>17145</v>
      </c>
    </row>
    <row r="1550" spans="1:8" ht="49.5">
      <c r="C1550" s="739">
        <v>39000</v>
      </c>
      <c r="H1550" s="836" t="s">
        <v>12281</v>
      </c>
    </row>
    <row r="1552" spans="1:8">
      <c r="A1552" s="739" t="s">
        <v>7102</v>
      </c>
      <c r="E1552" s="834"/>
      <c r="F1552" s="834"/>
      <c r="G1552" s="834"/>
    </row>
    <row r="1553" spans="1:8">
      <c r="E1553" s="739">
        <v>93</v>
      </c>
      <c r="G1553" s="739" t="s">
        <v>17141</v>
      </c>
      <c r="H1553" s="739" t="s">
        <v>17146</v>
      </c>
    </row>
    <row r="1554" spans="1:8">
      <c r="E1554" s="739">
        <v>35</v>
      </c>
      <c r="G1554" s="739" t="s">
        <v>17098</v>
      </c>
      <c r="H1554" s="739" t="s">
        <v>17147</v>
      </c>
    </row>
    <row r="1555" spans="1:8">
      <c r="D1555" s="739" t="s">
        <v>17080</v>
      </c>
      <c r="E1555" s="834" t="s">
        <v>7105</v>
      </c>
      <c r="F1555" s="834"/>
      <c r="G1555" s="834"/>
    </row>
    <row r="1556" spans="1:8">
      <c r="E1556" s="834"/>
      <c r="F1556" s="834"/>
      <c r="G1556" s="834"/>
    </row>
    <row r="1557" spans="1:8">
      <c r="A1557" s="739" t="s">
        <v>17148</v>
      </c>
    </row>
    <row r="1558" spans="1:8">
      <c r="E1558" s="739">
        <v>80</v>
      </c>
      <c r="G1558" s="739" t="s">
        <v>17040</v>
      </c>
      <c r="H1558" s="739" t="s">
        <v>17149</v>
      </c>
    </row>
    <row r="1559" spans="1:8">
      <c r="E1559" s="739">
        <v>90</v>
      </c>
      <c r="G1559" s="739" t="s">
        <v>17040</v>
      </c>
      <c r="H1559" s="739" t="s">
        <v>17149</v>
      </c>
    </row>
    <row r="1560" spans="1:8">
      <c r="D1560" s="739" t="s">
        <v>17080</v>
      </c>
      <c r="E1560" s="834" t="s">
        <v>17150</v>
      </c>
      <c r="F1560" s="834"/>
      <c r="G1560" s="834"/>
    </row>
    <row r="1561" spans="1:8">
      <c r="E1561" s="834"/>
      <c r="F1561" s="834"/>
      <c r="G1561" s="834"/>
    </row>
    <row r="1562" spans="1:8">
      <c r="A1562" s="739" t="s">
        <v>17151</v>
      </c>
    </row>
    <row r="1563" spans="1:8">
      <c r="C1563" s="739">
        <v>17000</v>
      </c>
      <c r="H1563" s="739" t="s">
        <v>17152</v>
      </c>
    </row>
    <row r="1565" spans="1:8">
      <c r="A1565" s="739" t="s">
        <v>7111</v>
      </c>
      <c r="E1565" s="834"/>
      <c r="F1565" s="834"/>
      <c r="G1565" s="834"/>
    </row>
    <row r="1566" spans="1:8">
      <c r="C1566" s="739">
        <v>23000</v>
      </c>
      <c r="H1566" s="739" t="s">
        <v>17153</v>
      </c>
    </row>
    <row r="1567" spans="1:8">
      <c r="C1567" s="739">
        <v>22857</v>
      </c>
      <c r="H1567" s="739" t="s">
        <v>17154</v>
      </c>
    </row>
    <row r="1568" spans="1:8">
      <c r="C1568" s="739">
        <v>63516</v>
      </c>
      <c r="H1568" s="739" t="s">
        <v>17155</v>
      </c>
    </row>
    <row r="1569" spans="1:8">
      <c r="C1569" s="739">
        <v>14193</v>
      </c>
      <c r="H1569" s="739" t="s">
        <v>12295</v>
      </c>
    </row>
    <row r="1570" spans="1:8">
      <c r="E1570" s="739">
        <v>5</v>
      </c>
      <c r="G1570" s="739" t="s">
        <v>6943</v>
      </c>
      <c r="H1570" s="739" t="s">
        <v>17156</v>
      </c>
    </row>
    <row r="1571" spans="1:8">
      <c r="D1571" s="739" t="s">
        <v>7009</v>
      </c>
      <c r="E1571" s="834" t="s">
        <v>17157</v>
      </c>
      <c r="F1571" s="834"/>
      <c r="G1571" s="834"/>
      <c r="H1571" s="834" t="s">
        <v>17158</v>
      </c>
    </row>
    <row r="1573" spans="1:8">
      <c r="A1573" s="739" t="s">
        <v>7119</v>
      </c>
      <c r="E1573" s="834"/>
      <c r="F1573" s="834"/>
      <c r="G1573" s="834"/>
    </row>
    <row r="1574" spans="1:8">
      <c r="E1574" s="739">
        <v>1205</v>
      </c>
      <c r="G1574" s="739" t="s">
        <v>17135</v>
      </c>
      <c r="H1574" s="739" t="s">
        <v>7120</v>
      </c>
    </row>
    <row r="1575" spans="1:8">
      <c r="E1575" s="739">
        <v>35</v>
      </c>
      <c r="G1575" s="739" t="s">
        <v>6943</v>
      </c>
      <c r="H1575" s="739" t="s">
        <v>17159</v>
      </c>
    </row>
    <row r="1576" spans="1:8">
      <c r="E1576" s="739">
        <v>500</v>
      </c>
      <c r="G1576" s="739" t="s">
        <v>17098</v>
      </c>
      <c r="H1576" s="739" t="s">
        <v>6110</v>
      </c>
    </row>
    <row r="1577" spans="1:8">
      <c r="D1577" s="739" t="s">
        <v>17080</v>
      </c>
      <c r="E1577" s="834" t="s">
        <v>17160</v>
      </c>
      <c r="F1577" s="834"/>
      <c r="G1577" s="834"/>
    </row>
    <row r="1578" spans="1:8">
      <c r="E1578" s="834"/>
      <c r="F1578" s="834"/>
      <c r="G1578" s="834"/>
    </row>
    <row r="1579" spans="1:8">
      <c r="A1579" s="739" t="s">
        <v>17161</v>
      </c>
    </row>
    <row r="1580" spans="1:8">
      <c r="E1580" s="739">
        <v>18</v>
      </c>
      <c r="G1580" s="739" t="s">
        <v>6913</v>
      </c>
      <c r="H1580" s="739" t="s">
        <v>17162</v>
      </c>
    </row>
    <row r="1581" spans="1:8">
      <c r="E1581" s="739">
        <v>30</v>
      </c>
      <c r="G1581" s="739" t="s">
        <v>17040</v>
      </c>
      <c r="H1581" s="739" t="s">
        <v>17163</v>
      </c>
    </row>
    <row r="1582" spans="1:8">
      <c r="E1582" s="739">
        <v>129</v>
      </c>
      <c r="G1582" s="739" t="s">
        <v>6913</v>
      </c>
      <c r="H1582" s="739" t="s">
        <v>17164</v>
      </c>
    </row>
    <row r="1583" spans="1:8">
      <c r="E1583" s="834" t="s">
        <v>17165</v>
      </c>
      <c r="F1583" s="834"/>
      <c r="G1583" s="834"/>
    </row>
    <row r="1584" spans="1:8">
      <c r="E1584" s="834"/>
      <c r="F1584" s="834"/>
      <c r="G1584" s="834"/>
    </row>
    <row r="1585" spans="1:8">
      <c r="H1585" s="834" t="s">
        <v>7128</v>
      </c>
    </row>
    <row r="1587" spans="1:8">
      <c r="A1587" s="739" t="s">
        <v>7129</v>
      </c>
    </row>
    <row r="1588" spans="1:8">
      <c r="C1588" s="739">
        <v>17000</v>
      </c>
      <c r="H1588" s="739" t="s">
        <v>17166</v>
      </c>
    </row>
    <row r="1590" spans="1:8">
      <c r="A1590" s="739" t="s">
        <v>7131</v>
      </c>
      <c r="E1590" s="834"/>
      <c r="F1590" s="834"/>
      <c r="G1590" s="834"/>
    </row>
    <row r="1591" spans="1:8">
      <c r="C1591" s="739">
        <v>85500</v>
      </c>
      <c r="H1591" s="739" t="s">
        <v>7132</v>
      </c>
    </row>
    <row r="1592" spans="1:8">
      <c r="C1592" s="739">
        <v>22857</v>
      </c>
      <c r="H1592" s="739" t="s">
        <v>7133</v>
      </c>
    </row>
    <row r="1593" spans="1:8">
      <c r="C1593" s="739">
        <v>63304</v>
      </c>
      <c r="H1593" s="739" t="s">
        <v>17167</v>
      </c>
    </row>
    <row r="1595" spans="1:8">
      <c r="A1595" s="739" t="s">
        <v>17168</v>
      </c>
    </row>
    <row r="1596" spans="1:8">
      <c r="C1596" s="739">
        <v>37152</v>
      </c>
      <c r="H1596" s="739" t="s">
        <v>17169</v>
      </c>
    </row>
    <row r="1597" spans="1:8">
      <c r="C1597" s="739">
        <v>1426</v>
      </c>
      <c r="H1597" s="739" t="s">
        <v>12318</v>
      </c>
    </row>
    <row r="1599" spans="1:8">
      <c r="A1599" s="739" t="s">
        <v>17170</v>
      </c>
    </row>
    <row r="1600" spans="1:8">
      <c r="E1600" s="739">
        <v>65</v>
      </c>
      <c r="G1600" s="739" t="s">
        <v>17040</v>
      </c>
      <c r="H1600" s="739" t="s">
        <v>17171</v>
      </c>
    </row>
    <row r="1601" spans="1:8">
      <c r="E1601" s="739">
        <v>100</v>
      </c>
      <c r="G1601" s="739" t="s">
        <v>17040</v>
      </c>
      <c r="H1601" s="739" t="s">
        <v>17172</v>
      </c>
    </row>
    <row r="1602" spans="1:8">
      <c r="E1602" s="739">
        <v>71</v>
      </c>
      <c r="G1602" s="739" t="s">
        <v>7776</v>
      </c>
      <c r="H1602" s="739" t="s">
        <v>17173</v>
      </c>
    </row>
    <row r="1603" spans="1:8">
      <c r="E1603" s="834" t="s">
        <v>17174</v>
      </c>
      <c r="F1603" s="834"/>
      <c r="G1603" s="834"/>
    </row>
    <row r="1604" spans="1:8">
      <c r="E1604" s="834"/>
      <c r="F1604" s="834"/>
      <c r="G1604" s="834"/>
    </row>
    <row r="1605" spans="1:8">
      <c r="A1605" s="739" t="s">
        <v>17175</v>
      </c>
    </row>
    <row r="1606" spans="1:8">
      <c r="E1606" s="741">
        <v>209</v>
      </c>
      <c r="F1606" s="741"/>
      <c r="G1606" s="739" t="s">
        <v>17176</v>
      </c>
      <c r="H1606" s="739" t="s">
        <v>17177</v>
      </c>
    </row>
    <row r="1607" spans="1:8">
      <c r="E1607" s="834" t="s">
        <v>17178</v>
      </c>
      <c r="F1607" s="834"/>
      <c r="G1607" s="834"/>
    </row>
    <row r="1608" spans="1:8">
      <c r="E1608" s="834"/>
      <c r="F1608" s="834"/>
      <c r="G1608" s="834"/>
    </row>
    <row r="1609" spans="1:8">
      <c r="A1609" s="739" t="s">
        <v>17179</v>
      </c>
    </row>
    <row r="1610" spans="1:8">
      <c r="E1610" s="741">
        <v>100</v>
      </c>
      <c r="F1610" s="741"/>
      <c r="G1610" s="739" t="s">
        <v>7776</v>
      </c>
      <c r="H1610" s="739" t="s">
        <v>17180</v>
      </c>
    </row>
    <row r="1611" spans="1:8">
      <c r="E1611" s="834" t="s">
        <v>17181</v>
      </c>
      <c r="F1611" s="834"/>
      <c r="G1611" s="834"/>
    </row>
    <row r="1613" spans="1:8">
      <c r="A1613" s="739" t="s">
        <v>17182</v>
      </c>
    </row>
    <row r="1614" spans="1:8">
      <c r="E1614" s="739">
        <v>30</v>
      </c>
      <c r="G1614" s="739" t="s">
        <v>17098</v>
      </c>
      <c r="H1614" s="739" t="s">
        <v>17183</v>
      </c>
    </row>
    <row r="1615" spans="1:8">
      <c r="E1615" s="834" t="s">
        <v>17184</v>
      </c>
      <c r="F1615" s="834"/>
      <c r="G1615" s="834"/>
    </row>
    <row r="1617" spans="1:8">
      <c r="A1617" s="739" t="s">
        <v>17185</v>
      </c>
      <c r="E1617" s="834"/>
      <c r="F1617" s="834"/>
      <c r="G1617" s="834"/>
    </row>
    <row r="1618" spans="1:8">
      <c r="E1618" s="739">
        <v>1205</v>
      </c>
      <c r="G1618" s="739" t="s">
        <v>17113</v>
      </c>
      <c r="H1618" s="739" t="s">
        <v>17186</v>
      </c>
    </row>
    <row r="1619" spans="1:8">
      <c r="D1619" s="739" t="s">
        <v>7009</v>
      </c>
      <c r="E1619" s="834" t="s">
        <v>17187</v>
      </c>
      <c r="F1619" s="834"/>
      <c r="G1619" s="834"/>
    </row>
    <row r="1620" spans="1:8">
      <c r="E1620" s="834"/>
      <c r="F1620" s="834"/>
      <c r="G1620" s="834"/>
    </row>
    <row r="1621" spans="1:8">
      <c r="A1621" s="739" t="s">
        <v>17188</v>
      </c>
    </row>
    <row r="1622" spans="1:8">
      <c r="C1622" s="739">
        <v>17000</v>
      </c>
      <c r="H1622" s="739" t="s">
        <v>17189</v>
      </c>
    </row>
    <row r="1624" spans="1:8">
      <c r="A1624" s="739" t="s">
        <v>7156</v>
      </c>
      <c r="E1624" s="834"/>
      <c r="F1624" s="834"/>
      <c r="G1624" s="834"/>
    </row>
    <row r="1625" spans="1:8">
      <c r="C1625" s="739">
        <v>22857</v>
      </c>
      <c r="H1625" s="739" t="s">
        <v>12339</v>
      </c>
    </row>
    <row r="1626" spans="1:8">
      <c r="C1626" s="739">
        <v>63304</v>
      </c>
      <c r="H1626" s="739" t="s">
        <v>17167</v>
      </c>
    </row>
    <row r="1628" spans="1:8">
      <c r="A1628" s="739" t="s">
        <v>17190</v>
      </c>
      <c r="E1628" s="834"/>
      <c r="F1628" s="834"/>
      <c r="G1628" s="834"/>
    </row>
    <row r="1629" spans="1:8">
      <c r="E1629" s="739">
        <v>35</v>
      </c>
      <c r="G1629" s="739" t="s">
        <v>17098</v>
      </c>
      <c r="H1629" s="739" t="s">
        <v>17191</v>
      </c>
    </row>
    <row r="1630" spans="1:8">
      <c r="E1630" s="739">
        <v>50</v>
      </c>
      <c r="G1630" s="739" t="s">
        <v>6943</v>
      </c>
      <c r="H1630" s="739" t="s">
        <v>7160</v>
      </c>
    </row>
    <row r="1631" spans="1:8">
      <c r="D1631" s="739" t="s">
        <v>7009</v>
      </c>
      <c r="E1631" s="834" t="s">
        <v>17192</v>
      </c>
      <c r="F1631" s="834"/>
      <c r="G1631" s="834"/>
    </row>
    <row r="1632" spans="1:8">
      <c r="E1632" s="834"/>
      <c r="F1632" s="834"/>
      <c r="G1632" s="834"/>
    </row>
    <row r="1633" spans="1:8">
      <c r="A1633" s="739" t="s">
        <v>17193</v>
      </c>
      <c r="E1633" s="834"/>
      <c r="F1633" s="834"/>
      <c r="G1633" s="834"/>
    </row>
    <row r="1634" spans="1:8">
      <c r="C1634" s="739">
        <v>5000</v>
      </c>
      <c r="E1634" s="834"/>
      <c r="F1634" s="834"/>
      <c r="G1634" s="834"/>
      <c r="H1634" s="739" t="s">
        <v>463</v>
      </c>
    </row>
    <row r="1635" spans="1:8">
      <c r="D1635" s="739">
        <v>5000</v>
      </c>
      <c r="E1635" s="834"/>
      <c r="F1635" s="834"/>
      <c r="G1635" s="834"/>
    </row>
    <row r="1636" spans="1:8">
      <c r="E1636" s="739">
        <v>300</v>
      </c>
      <c r="G1636" s="739" t="s">
        <v>17194</v>
      </c>
      <c r="H1636" s="739" t="s">
        <v>6611</v>
      </c>
    </row>
    <row r="1637" spans="1:8">
      <c r="D1637" s="739" t="s">
        <v>17080</v>
      </c>
      <c r="E1637" s="834" t="s">
        <v>17195</v>
      </c>
      <c r="F1637" s="834"/>
      <c r="G1637" s="834"/>
    </row>
    <row r="1638" spans="1:8">
      <c r="E1638" s="834"/>
      <c r="F1638" s="834"/>
      <c r="G1638" s="834"/>
    </row>
    <row r="1639" spans="1:8">
      <c r="A1639" s="739" t="s">
        <v>17196</v>
      </c>
      <c r="E1639" s="834"/>
      <c r="F1639" s="834"/>
      <c r="G1639" s="834"/>
    </row>
    <row r="1640" spans="1:8">
      <c r="E1640" s="739">
        <v>24</v>
      </c>
      <c r="G1640" s="739" t="s">
        <v>6972</v>
      </c>
      <c r="H1640" s="739" t="s">
        <v>17197</v>
      </c>
    </row>
    <row r="1641" spans="1:8">
      <c r="D1641" s="739" t="s">
        <v>17080</v>
      </c>
      <c r="E1641" s="834" t="s">
        <v>17198</v>
      </c>
      <c r="F1641" s="834"/>
      <c r="G1641" s="834"/>
    </row>
    <row r="1642" spans="1:8">
      <c r="E1642" s="834"/>
      <c r="F1642" s="834"/>
      <c r="G1642" s="834"/>
    </row>
    <row r="1643" spans="1:8">
      <c r="A1643" s="739" t="s">
        <v>17199</v>
      </c>
      <c r="E1643" s="834"/>
      <c r="F1643" s="834"/>
      <c r="G1643" s="834"/>
    </row>
    <row r="1644" spans="1:8">
      <c r="E1644" s="739">
        <v>35</v>
      </c>
      <c r="G1644" s="739" t="s">
        <v>6943</v>
      </c>
      <c r="H1644" s="739" t="s">
        <v>7170</v>
      </c>
    </row>
    <row r="1645" spans="1:8">
      <c r="D1645" s="739" t="s">
        <v>7009</v>
      </c>
      <c r="E1645" s="834" t="s">
        <v>17200</v>
      </c>
      <c r="F1645" s="834"/>
      <c r="G1645" s="834"/>
    </row>
    <row r="1646" spans="1:8">
      <c r="E1646" s="834"/>
      <c r="F1646" s="834"/>
      <c r="G1646" s="834"/>
    </row>
    <row r="1647" spans="1:8">
      <c r="A1647" s="739" t="s">
        <v>7172</v>
      </c>
      <c r="E1647" s="834"/>
      <c r="F1647" s="834"/>
      <c r="G1647" s="834"/>
    </row>
    <row r="1648" spans="1:8">
      <c r="E1648" s="739">
        <v>1205</v>
      </c>
      <c r="G1648" s="739" t="s">
        <v>7763</v>
      </c>
      <c r="H1648" s="739" t="s">
        <v>17201</v>
      </c>
    </row>
    <row r="1649" spans="1:8">
      <c r="D1649" s="739" t="s">
        <v>17080</v>
      </c>
      <c r="E1649" s="834" t="s">
        <v>17202</v>
      </c>
      <c r="F1649" s="834"/>
      <c r="G1649" s="834"/>
    </row>
    <row r="1650" spans="1:8">
      <c r="E1650" s="834"/>
      <c r="F1650" s="834"/>
      <c r="G1650" s="834"/>
    </row>
    <row r="1651" spans="1:8">
      <c r="A1651" s="739" t="s">
        <v>17203</v>
      </c>
      <c r="E1651" s="834"/>
      <c r="F1651" s="834"/>
      <c r="G1651" s="834"/>
    </row>
    <row r="1652" spans="1:8">
      <c r="E1652" s="739">
        <v>18</v>
      </c>
      <c r="G1652" s="739" t="s">
        <v>17204</v>
      </c>
      <c r="H1652" s="739" t="s">
        <v>17205</v>
      </c>
    </row>
    <row r="1653" spans="1:8">
      <c r="E1653" s="739">
        <v>35</v>
      </c>
      <c r="G1653" s="739" t="s">
        <v>6943</v>
      </c>
      <c r="H1653" s="739" t="s">
        <v>12360</v>
      </c>
    </row>
    <row r="1654" spans="1:8">
      <c r="D1654" s="739" t="s">
        <v>17080</v>
      </c>
      <c r="E1654" s="834" t="s">
        <v>17206</v>
      </c>
      <c r="F1654" s="834"/>
      <c r="G1654" s="834"/>
    </row>
    <row r="1655" spans="1:8" ht="18" customHeight="1">
      <c r="E1655" s="834"/>
      <c r="F1655" s="834"/>
      <c r="G1655" s="834"/>
    </row>
    <row r="1656" spans="1:8">
      <c r="A1656" s="739" t="s">
        <v>17207</v>
      </c>
    </row>
    <row r="1657" spans="1:8">
      <c r="C1657" s="739">
        <v>17000</v>
      </c>
      <c r="H1657" s="739" t="s">
        <v>12363</v>
      </c>
    </row>
    <row r="1659" spans="1:8">
      <c r="A1659" s="739" t="s">
        <v>17208</v>
      </c>
    </row>
    <row r="1660" spans="1:8">
      <c r="C1660" s="739">
        <v>15496</v>
      </c>
      <c r="H1660" s="739" t="s">
        <v>17209</v>
      </c>
    </row>
    <row r="1661" spans="1:8">
      <c r="E1661" s="739">
        <v>45</v>
      </c>
      <c r="G1661" s="739" t="s">
        <v>17210</v>
      </c>
      <c r="H1661" s="739" t="s">
        <v>17211</v>
      </c>
    </row>
    <row r="1662" spans="1:8">
      <c r="D1662" s="739" t="s">
        <v>17080</v>
      </c>
      <c r="E1662" s="834" t="s">
        <v>17212</v>
      </c>
      <c r="F1662" s="834"/>
      <c r="G1662" s="834"/>
    </row>
    <row r="1664" spans="1:8">
      <c r="A1664" s="739" t="s">
        <v>17213</v>
      </c>
      <c r="E1664" s="834"/>
      <c r="F1664" s="834"/>
      <c r="G1664" s="834"/>
    </row>
    <row r="1665" spans="1:8">
      <c r="C1665" s="739">
        <v>22857</v>
      </c>
      <c r="H1665" s="739" t="s">
        <v>17214</v>
      </c>
    </row>
    <row r="1667" spans="1:8">
      <c r="A1667" s="739" t="s">
        <v>17215</v>
      </c>
      <c r="E1667" s="834"/>
      <c r="F1667" s="834"/>
      <c r="G1667" s="834"/>
    </row>
    <row r="1668" spans="1:8">
      <c r="C1668" s="739">
        <v>36000</v>
      </c>
      <c r="H1668" s="739" t="s">
        <v>17216</v>
      </c>
    </row>
    <row r="1669" spans="1:8">
      <c r="C1669" s="739">
        <v>63352</v>
      </c>
      <c r="H1669" s="739" t="s">
        <v>17217</v>
      </c>
    </row>
    <row r="1670" spans="1:8">
      <c r="E1670" s="834"/>
      <c r="F1670" s="834"/>
      <c r="G1670" s="834"/>
    </row>
    <row r="1671" spans="1:8">
      <c r="A1671" s="739" t="s">
        <v>17218</v>
      </c>
      <c r="E1671" s="834"/>
      <c r="F1671" s="834"/>
      <c r="G1671" s="834"/>
    </row>
    <row r="1672" spans="1:8">
      <c r="E1672" s="741">
        <v>945</v>
      </c>
      <c r="F1672" s="741"/>
      <c r="G1672" s="739" t="s">
        <v>17070</v>
      </c>
      <c r="H1672" s="739" t="s">
        <v>12374</v>
      </c>
    </row>
    <row r="1673" spans="1:8">
      <c r="D1673" s="739" t="s">
        <v>17080</v>
      </c>
      <c r="E1673" s="834" t="s">
        <v>17219</v>
      </c>
      <c r="F1673" s="834"/>
      <c r="G1673" s="834"/>
    </row>
    <row r="1674" spans="1:8">
      <c r="E1674" s="834"/>
      <c r="F1674" s="834"/>
      <c r="G1674" s="834"/>
    </row>
    <row r="1675" spans="1:8">
      <c r="A1675" s="739" t="s">
        <v>17220</v>
      </c>
      <c r="E1675" s="834"/>
      <c r="F1675" s="834"/>
      <c r="G1675" s="834"/>
    </row>
    <row r="1676" spans="1:8">
      <c r="E1676" s="741">
        <v>169</v>
      </c>
      <c r="F1676" s="741"/>
      <c r="G1676" s="739" t="s">
        <v>17204</v>
      </c>
      <c r="H1676" s="739" t="s">
        <v>17164</v>
      </c>
    </row>
    <row r="1677" spans="1:8">
      <c r="D1677" s="739" t="s">
        <v>17080</v>
      </c>
      <c r="E1677" s="834" t="s">
        <v>12377</v>
      </c>
      <c r="F1677" s="834"/>
      <c r="G1677" s="834"/>
    </row>
    <row r="1678" spans="1:8">
      <c r="E1678" s="834"/>
      <c r="F1678" s="834"/>
      <c r="G1678" s="834"/>
      <c r="H1678" s="834" t="s">
        <v>17221</v>
      </c>
    </row>
    <row r="1679" spans="1:8">
      <c r="E1679" s="834"/>
      <c r="F1679" s="834"/>
      <c r="G1679" s="834"/>
      <c r="H1679" s="834"/>
    </row>
    <row r="1680" spans="1:8">
      <c r="A1680" s="739" t="s">
        <v>17222</v>
      </c>
      <c r="E1680" s="834"/>
      <c r="F1680" s="834"/>
      <c r="G1680" s="834"/>
    </row>
    <row r="1681" spans="1:8">
      <c r="E1681" s="739">
        <v>1205</v>
      </c>
      <c r="G1681" s="739" t="s">
        <v>17113</v>
      </c>
      <c r="H1681" s="739" t="s">
        <v>17223</v>
      </c>
    </row>
    <row r="1682" spans="1:8">
      <c r="D1682" s="739" t="s">
        <v>17080</v>
      </c>
      <c r="E1682" s="834" t="s">
        <v>12381</v>
      </c>
      <c r="F1682" s="834"/>
      <c r="G1682" s="834"/>
    </row>
    <row r="1683" spans="1:8">
      <c r="E1683" s="834"/>
      <c r="F1683" s="834"/>
      <c r="G1683" s="834"/>
    </row>
    <row r="1684" spans="1:8">
      <c r="A1684" s="739" t="s">
        <v>17224</v>
      </c>
      <c r="E1684" s="834"/>
      <c r="F1684" s="834"/>
      <c r="G1684" s="834"/>
    </row>
    <row r="1685" spans="1:8">
      <c r="E1685" s="741">
        <v>188</v>
      </c>
      <c r="F1685" s="741"/>
      <c r="G1685" s="739" t="s">
        <v>17225</v>
      </c>
      <c r="H1685" s="739" t="s">
        <v>7199</v>
      </c>
    </row>
    <row r="1686" spans="1:8">
      <c r="C1686" s="739">
        <v>5000</v>
      </c>
      <c r="E1686" s="834"/>
      <c r="F1686" s="834"/>
      <c r="G1686" s="834"/>
      <c r="H1686" s="739" t="s">
        <v>16884</v>
      </c>
    </row>
    <row r="1687" spans="1:8">
      <c r="D1687" s="739">
        <v>5000</v>
      </c>
      <c r="E1687" s="834"/>
      <c r="F1687" s="834"/>
      <c r="G1687" s="834"/>
    </row>
    <row r="1688" spans="1:8">
      <c r="D1688" s="739" t="s">
        <v>17080</v>
      </c>
      <c r="E1688" s="834" t="s">
        <v>17226</v>
      </c>
      <c r="F1688" s="834"/>
      <c r="G1688" s="834"/>
    </row>
    <row r="1689" spans="1:8">
      <c r="E1689" s="834"/>
      <c r="F1689" s="834"/>
      <c r="G1689" s="834"/>
      <c r="H1689" s="834"/>
    </row>
    <row r="1690" spans="1:8">
      <c r="A1690" s="739" t="s">
        <v>17227</v>
      </c>
    </row>
    <row r="1691" spans="1:8">
      <c r="C1691" s="739">
        <v>17000</v>
      </c>
      <c r="H1691" s="739" t="s">
        <v>17228</v>
      </c>
    </row>
    <row r="1692" spans="1:8">
      <c r="C1692" s="739">
        <v>6000</v>
      </c>
      <c r="H1692" s="739" t="s">
        <v>17229</v>
      </c>
    </row>
    <row r="1694" spans="1:8">
      <c r="A1694" s="739" t="s">
        <v>17230</v>
      </c>
    </row>
    <row r="1695" spans="1:8">
      <c r="E1695" s="741">
        <v>100</v>
      </c>
      <c r="F1695" s="741"/>
      <c r="G1695" s="739" t="s">
        <v>17040</v>
      </c>
      <c r="H1695" s="739" t="s">
        <v>17231</v>
      </c>
    </row>
    <row r="1696" spans="1:8">
      <c r="E1696" s="741">
        <v>100</v>
      </c>
      <c r="F1696" s="741"/>
      <c r="G1696" s="739" t="s">
        <v>17040</v>
      </c>
      <c r="H1696" s="739" t="s">
        <v>17232</v>
      </c>
    </row>
    <row r="1697" spans="1:8">
      <c r="D1697" s="739" t="s">
        <v>17080</v>
      </c>
      <c r="E1697" s="834" t="s">
        <v>17233</v>
      </c>
      <c r="F1697" s="834"/>
      <c r="G1697" s="834"/>
    </row>
    <row r="1698" spans="1:8">
      <c r="E1698" s="834"/>
      <c r="F1698" s="834"/>
      <c r="G1698" s="834"/>
    </row>
    <row r="1699" spans="1:8">
      <c r="A1699" s="739" t="s">
        <v>17234</v>
      </c>
    </row>
    <row r="1700" spans="1:8">
      <c r="C1700" s="739">
        <v>301</v>
      </c>
      <c r="H1700" s="739" t="s">
        <v>17235</v>
      </c>
    </row>
    <row r="1702" spans="1:8">
      <c r="A1702" s="739" t="s">
        <v>17236</v>
      </c>
      <c r="E1702" s="834"/>
      <c r="F1702" s="834"/>
      <c r="G1702" s="834"/>
    </row>
    <row r="1703" spans="1:8">
      <c r="C1703" s="739">
        <v>22857</v>
      </c>
      <c r="H1703" s="739" t="s">
        <v>7211</v>
      </c>
    </row>
    <row r="1704" spans="1:8">
      <c r="C1704" s="739">
        <v>10000</v>
      </c>
      <c r="H1704" s="739" t="s">
        <v>17237</v>
      </c>
    </row>
    <row r="1705" spans="1:8">
      <c r="C1705" s="739">
        <v>63352</v>
      </c>
      <c r="H1705" s="739" t="s">
        <v>17238</v>
      </c>
    </row>
    <row r="1707" spans="1:8">
      <c r="A1707" s="739" t="s">
        <v>17239</v>
      </c>
    </row>
    <row r="1708" spans="1:8">
      <c r="E1708" s="741">
        <v>90</v>
      </c>
      <c r="F1708" s="741"/>
      <c r="G1708" s="739" t="s">
        <v>17040</v>
      </c>
      <c r="H1708" s="739" t="s">
        <v>17240</v>
      </c>
    </row>
    <row r="1709" spans="1:8">
      <c r="E1709" s="741">
        <v>265</v>
      </c>
      <c r="F1709" s="741"/>
      <c r="G1709" s="739" t="s">
        <v>17040</v>
      </c>
      <c r="H1709" s="739" t="s">
        <v>7215</v>
      </c>
    </row>
    <row r="1710" spans="1:8">
      <c r="D1710" s="739">
        <v>378</v>
      </c>
      <c r="E1710" s="741"/>
      <c r="F1710" s="741"/>
      <c r="G1710" s="741"/>
      <c r="H1710" s="739" t="s">
        <v>17241</v>
      </c>
    </row>
    <row r="1711" spans="1:8">
      <c r="D1711" s="739" t="s">
        <v>17080</v>
      </c>
      <c r="E1711" s="834" t="s">
        <v>17242</v>
      </c>
      <c r="F1711" s="834"/>
      <c r="G1711" s="834"/>
      <c r="H1711" s="834" t="s">
        <v>17243</v>
      </c>
    </row>
    <row r="1712" spans="1:8">
      <c r="E1712" s="834"/>
      <c r="F1712" s="834"/>
      <c r="G1712" s="834"/>
    </row>
    <row r="1713" spans="1:8">
      <c r="A1713" s="739" t="s">
        <v>17244</v>
      </c>
      <c r="E1713" s="741"/>
      <c r="F1713" s="741"/>
      <c r="G1713" s="741"/>
    </row>
    <row r="1714" spans="1:8">
      <c r="E1714" s="741">
        <v>235</v>
      </c>
      <c r="F1714" s="741"/>
      <c r="G1714" s="739" t="s">
        <v>7776</v>
      </c>
      <c r="H1714" s="739" t="s">
        <v>17245</v>
      </c>
    </row>
    <row r="1715" spans="1:8">
      <c r="E1715" s="741">
        <v>225</v>
      </c>
      <c r="F1715" s="741"/>
      <c r="G1715" s="739" t="s">
        <v>17040</v>
      </c>
      <c r="H1715" s="739" t="s">
        <v>17246</v>
      </c>
    </row>
    <row r="1716" spans="1:8">
      <c r="E1716" s="739">
        <v>1205</v>
      </c>
      <c r="G1716" s="739" t="s">
        <v>17113</v>
      </c>
      <c r="H1716" s="739" t="s">
        <v>17247</v>
      </c>
    </row>
    <row r="1717" spans="1:8">
      <c r="D1717" s="739" t="s">
        <v>7009</v>
      </c>
      <c r="E1717" s="834" t="s">
        <v>7222</v>
      </c>
      <c r="F1717" s="834"/>
      <c r="G1717" s="834"/>
      <c r="H1717" s="834"/>
    </row>
    <row r="1718" spans="1:8">
      <c r="E1718" s="834"/>
      <c r="F1718" s="834"/>
      <c r="G1718" s="834"/>
    </row>
    <row r="1719" spans="1:8">
      <c r="A1719" s="739" t="s">
        <v>7223</v>
      </c>
      <c r="E1719" s="741"/>
      <c r="F1719" s="741"/>
      <c r="G1719" s="741"/>
    </row>
    <row r="1720" spans="1:8">
      <c r="E1720" s="741">
        <v>32</v>
      </c>
      <c r="F1720" s="741"/>
      <c r="G1720" s="739" t="s">
        <v>17040</v>
      </c>
      <c r="H1720" s="739" t="s">
        <v>17248</v>
      </c>
    </row>
    <row r="1721" spans="1:8">
      <c r="E1721" s="741">
        <v>32</v>
      </c>
      <c r="F1721" s="741"/>
      <c r="G1721" s="739" t="s">
        <v>17040</v>
      </c>
      <c r="H1721" s="739" t="s">
        <v>17249</v>
      </c>
    </row>
    <row r="1722" spans="1:8">
      <c r="D1722" s="739" t="s">
        <v>7009</v>
      </c>
      <c r="E1722" s="834" t="s">
        <v>17250</v>
      </c>
      <c r="F1722" s="834"/>
      <c r="G1722" s="834"/>
      <c r="H1722" s="834"/>
    </row>
    <row r="1723" spans="1:8">
      <c r="E1723" s="741"/>
      <c r="F1723" s="741"/>
      <c r="G1723" s="741"/>
    </row>
    <row r="1724" spans="1:8">
      <c r="A1724" s="739" t="s">
        <v>17251</v>
      </c>
      <c r="E1724" s="741"/>
      <c r="F1724" s="741"/>
      <c r="G1724" s="741"/>
    </row>
    <row r="1725" spans="1:8">
      <c r="E1725" s="741">
        <v>16</v>
      </c>
      <c r="F1725" s="741"/>
      <c r="G1725" s="739" t="s">
        <v>17040</v>
      </c>
      <c r="H1725" s="739" t="s">
        <v>17252</v>
      </c>
    </row>
    <row r="1726" spans="1:8">
      <c r="E1726" s="741">
        <v>18</v>
      </c>
      <c r="F1726" s="741"/>
      <c r="G1726" s="739" t="s">
        <v>6913</v>
      </c>
      <c r="H1726" s="739" t="s">
        <v>17253</v>
      </c>
    </row>
    <row r="1727" spans="1:8">
      <c r="E1727" s="741">
        <v>100</v>
      </c>
      <c r="F1727" s="741"/>
      <c r="G1727" s="739" t="s">
        <v>17040</v>
      </c>
      <c r="H1727" s="739" t="s">
        <v>17254</v>
      </c>
    </row>
    <row r="1728" spans="1:8">
      <c r="D1728" s="739" t="s">
        <v>17080</v>
      </c>
      <c r="E1728" s="834" t="s">
        <v>17255</v>
      </c>
      <c r="F1728" s="834"/>
      <c r="G1728" s="834"/>
      <c r="H1728" s="834"/>
    </row>
    <row r="1729" spans="1:8" ht="18" customHeight="1">
      <c r="E1729" s="834"/>
      <c r="F1729" s="834"/>
      <c r="G1729" s="834"/>
    </row>
    <row r="1730" spans="1:8">
      <c r="A1730" s="739" t="s">
        <v>7232</v>
      </c>
    </row>
    <row r="1731" spans="1:8">
      <c r="C1731" s="739">
        <v>17000</v>
      </c>
      <c r="H1731" s="739" t="s">
        <v>17256</v>
      </c>
    </row>
    <row r="1732" spans="1:8">
      <c r="E1732" s="741">
        <v>28</v>
      </c>
      <c r="F1732" s="741"/>
      <c r="G1732" s="739" t="s">
        <v>7776</v>
      </c>
      <c r="H1732" s="739" t="s">
        <v>17248</v>
      </c>
    </row>
    <row r="1733" spans="1:8">
      <c r="E1733" s="741">
        <v>115</v>
      </c>
      <c r="F1733" s="741"/>
      <c r="G1733" s="739" t="s">
        <v>17040</v>
      </c>
      <c r="H1733" s="739" t="s">
        <v>7234</v>
      </c>
    </row>
    <row r="1734" spans="1:8">
      <c r="E1734" s="741">
        <v>28</v>
      </c>
      <c r="F1734" s="741"/>
      <c r="G1734" s="739" t="s">
        <v>17257</v>
      </c>
      <c r="H1734" s="739" t="s">
        <v>7225</v>
      </c>
    </row>
    <row r="1735" spans="1:8">
      <c r="D1735" s="739" t="s">
        <v>17084</v>
      </c>
      <c r="E1735" s="834" t="s">
        <v>17258</v>
      </c>
      <c r="F1735" s="834"/>
      <c r="G1735" s="834"/>
      <c r="H1735" s="834"/>
    </row>
    <row r="1736" spans="1:8">
      <c r="E1736" s="834"/>
      <c r="F1736" s="834"/>
      <c r="G1736" s="834"/>
      <c r="H1736" s="834"/>
    </row>
    <row r="1737" spans="1:8">
      <c r="A1737" s="739" t="s">
        <v>17259</v>
      </c>
      <c r="E1737" s="834"/>
      <c r="F1737" s="834"/>
      <c r="G1737" s="834"/>
    </row>
    <row r="1738" spans="1:8">
      <c r="C1738" s="739">
        <v>22857</v>
      </c>
      <c r="H1738" s="739" t="s">
        <v>17260</v>
      </c>
    </row>
    <row r="1739" spans="1:8">
      <c r="C1739" s="739">
        <v>63352</v>
      </c>
      <c r="H1739" s="739" t="s">
        <v>17261</v>
      </c>
    </row>
    <row r="1740" spans="1:8">
      <c r="E1740" s="834"/>
      <c r="F1740" s="834"/>
      <c r="G1740" s="834"/>
      <c r="H1740" s="834"/>
    </row>
    <row r="1741" spans="1:8">
      <c r="A1741" s="739" t="s">
        <v>17262</v>
      </c>
      <c r="E1741" s="834"/>
      <c r="F1741" s="834"/>
      <c r="G1741" s="834"/>
      <c r="H1741" s="834"/>
    </row>
    <row r="1742" spans="1:8" ht="231">
      <c r="C1742" s="739">
        <v>60000</v>
      </c>
      <c r="E1742" s="834"/>
      <c r="F1742" s="834"/>
      <c r="G1742" s="741" t="s">
        <v>17263</v>
      </c>
      <c r="H1742" s="836" t="s">
        <v>12427</v>
      </c>
    </row>
    <row r="1743" spans="1:8">
      <c r="E1743" s="741">
        <v>30</v>
      </c>
      <c r="F1743" s="741"/>
      <c r="G1743" s="739" t="s">
        <v>17087</v>
      </c>
      <c r="H1743" s="836" t="s">
        <v>17264</v>
      </c>
    </row>
    <row r="1744" spans="1:8">
      <c r="D1744" s="739" t="s">
        <v>7009</v>
      </c>
      <c r="E1744" s="834" t="s">
        <v>17265</v>
      </c>
      <c r="F1744" s="834"/>
      <c r="G1744" s="834"/>
      <c r="H1744" s="834"/>
    </row>
    <row r="1745" spans="1:8">
      <c r="E1745" s="834"/>
      <c r="F1745" s="834"/>
      <c r="G1745" s="834"/>
      <c r="H1745" s="834"/>
    </row>
    <row r="1746" spans="1:8">
      <c r="A1746" s="739" t="s">
        <v>17266</v>
      </c>
      <c r="E1746" s="834"/>
      <c r="F1746" s="834"/>
      <c r="G1746" s="834"/>
    </row>
    <row r="1747" spans="1:8">
      <c r="E1747" s="741">
        <v>105</v>
      </c>
      <c r="F1747" s="741"/>
      <c r="G1747" s="739" t="s">
        <v>17040</v>
      </c>
      <c r="H1747" s="739" t="s">
        <v>17267</v>
      </c>
    </row>
    <row r="1748" spans="1:8">
      <c r="E1748" s="741">
        <v>15</v>
      </c>
      <c r="F1748" s="741"/>
      <c r="G1748" s="739" t="s">
        <v>17040</v>
      </c>
      <c r="H1748" s="739" t="s">
        <v>7246</v>
      </c>
    </row>
    <row r="1749" spans="1:8">
      <c r="D1749" s="739" t="s">
        <v>7009</v>
      </c>
      <c r="E1749" s="834" t="s">
        <v>17268</v>
      </c>
      <c r="F1749" s="834"/>
      <c r="G1749" s="834"/>
      <c r="H1749" s="834"/>
    </row>
    <row r="1750" spans="1:8">
      <c r="E1750" s="834"/>
      <c r="F1750" s="834"/>
      <c r="G1750" s="834"/>
      <c r="H1750" s="834"/>
    </row>
    <row r="1751" spans="1:8">
      <c r="A1751" s="739" t="s">
        <v>17269</v>
      </c>
    </row>
    <row r="1752" spans="1:8">
      <c r="C1752" s="739">
        <v>46080</v>
      </c>
      <c r="H1752" s="739" t="s">
        <v>17270</v>
      </c>
    </row>
    <row r="1754" spans="1:8">
      <c r="A1754" s="739" t="s">
        <v>17271</v>
      </c>
      <c r="E1754" s="834"/>
      <c r="F1754" s="834"/>
      <c r="G1754" s="834"/>
    </row>
    <row r="1755" spans="1:8">
      <c r="E1755" s="741">
        <v>70</v>
      </c>
      <c r="F1755" s="741"/>
      <c r="G1755" s="739" t="s">
        <v>17141</v>
      </c>
      <c r="H1755" s="739" t="s">
        <v>17272</v>
      </c>
    </row>
    <row r="1756" spans="1:8">
      <c r="E1756" s="741">
        <v>126</v>
      </c>
      <c r="F1756" s="741"/>
      <c r="G1756" s="739" t="s">
        <v>17141</v>
      </c>
      <c r="H1756" s="739" t="s">
        <v>17273</v>
      </c>
    </row>
    <row r="1757" spans="1:8">
      <c r="E1757" s="741">
        <v>40</v>
      </c>
      <c r="F1757" s="741"/>
      <c r="G1757" s="739" t="s">
        <v>17076</v>
      </c>
      <c r="H1757" s="739" t="s">
        <v>17274</v>
      </c>
    </row>
    <row r="1758" spans="1:8">
      <c r="D1758" s="739" t="s">
        <v>17080</v>
      </c>
      <c r="E1758" s="834" t="s">
        <v>17275</v>
      </c>
      <c r="F1758" s="834"/>
      <c r="G1758" s="834"/>
      <c r="H1758" s="834" t="s">
        <v>17276</v>
      </c>
    </row>
    <row r="1759" spans="1:8">
      <c r="E1759" s="834"/>
      <c r="F1759" s="834"/>
      <c r="G1759" s="834"/>
      <c r="H1759" s="834"/>
    </row>
    <row r="1760" spans="1:8">
      <c r="A1760" s="739" t="s">
        <v>17277</v>
      </c>
      <c r="E1760" s="834"/>
      <c r="F1760" s="834"/>
      <c r="G1760" s="834"/>
    </row>
    <row r="1761" spans="1:8">
      <c r="E1761" s="739">
        <v>45</v>
      </c>
      <c r="G1761" s="739" t="s">
        <v>17098</v>
      </c>
      <c r="H1761" s="739" t="s">
        <v>17278</v>
      </c>
    </row>
    <row r="1762" spans="1:8">
      <c r="E1762" s="739">
        <v>45</v>
      </c>
      <c r="G1762" s="739" t="s">
        <v>6943</v>
      </c>
      <c r="H1762" s="739" t="s">
        <v>17279</v>
      </c>
    </row>
    <row r="1763" spans="1:8">
      <c r="E1763" s="739">
        <v>700</v>
      </c>
      <c r="G1763" s="739" t="s">
        <v>17098</v>
      </c>
      <c r="H1763" s="739" t="s">
        <v>7259</v>
      </c>
    </row>
    <row r="1764" spans="1:8">
      <c r="D1764" s="739" t="s">
        <v>17080</v>
      </c>
      <c r="E1764" s="834" t="s">
        <v>17280</v>
      </c>
      <c r="F1764" s="834"/>
      <c r="G1764" s="834"/>
      <c r="H1764" s="834"/>
    </row>
    <row r="1765" spans="1:8">
      <c r="E1765" s="834"/>
      <c r="F1765" s="834"/>
      <c r="G1765" s="834"/>
    </row>
    <row r="1766" spans="1:8">
      <c r="A1766" s="739" t="s">
        <v>17281</v>
      </c>
    </row>
    <row r="1767" spans="1:8" ht="82.5">
      <c r="C1767" s="739">
        <v>36000</v>
      </c>
      <c r="H1767" s="836" t="s">
        <v>12448</v>
      </c>
    </row>
    <row r="1768" spans="1:8">
      <c r="E1768" s="834"/>
      <c r="F1768" s="834"/>
      <c r="G1768" s="834"/>
      <c r="H1768" s="834"/>
    </row>
    <row r="1769" spans="1:8">
      <c r="A1769" s="739" t="s">
        <v>7263</v>
      </c>
      <c r="E1769" s="834"/>
      <c r="F1769" s="834"/>
      <c r="G1769" s="834"/>
    </row>
    <row r="1770" spans="1:8">
      <c r="E1770" s="739">
        <v>45</v>
      </c>
      <c r="G1770" s="739" t="s">
        <v>6943</v>
      </c>
      <c r="H1770" s="739" t="s">
        <v>12450</v>
      </c>
    </row>
    <row r="1771" spans="1:8">
      <c r="D1771" s="739" t="s">
        <v>17080</v>
      </c>
      <c r="E1771" s="834" t="s">
        <v>17282</v>
      </c>
      <c r="F1771" s="834"/>
      <c r="G1771" s="834"/>
      <c r="H1771" s="834"/>
    </row>
    <row r="1773" spans="1:8">
      <c r="A1773" s="739" t="s">
        <v>17283</v>
      </c>
      <c r="E1773" s="834"/>
      <c r="F1773" s="834"/>
      <c r="G1773" s="834"/>
    </row>
    <row r="1774" spans="1:8">
      <c r="E1774" s="741">
        <v>125</v>
      </c>
      <c r="F1774" s="741"/>
      <c r="G1774" s="739" t="s">
        <v>17040</v>
      </c>
      <c r="H1774" s="739" t="s">
        <v>17284</v>
      </c>
    </row>
    <row r="1775" spans="1:8">
      <c r="E1775" s="741">
        <v>120</v>
      </c>
      <c r="F1775" s="741"/>
      <c r="G1775" s="739" t="s">
        <v>7776</v>
      </c>
      <c r="H1775" s="739" t="s">
        <v>7267</v>
      </c>
    </row>
    <row r="1776" spans="1:8">
      <c r="D1776" s="739" t="s">
        <v>7009</v>
      </c>
      <c r="E1776" s="834" t="s">
        <v>17285</v>
      </c>
      <c r="F1776" s="834"/>
      <c r="G1776" s="834"/>
      <c r="H1776" s="834"/>
    </row>
    <row r="1777" spans="1:8">
      <c r="E1777" s="834"/>
      <c r="F1777" s="834"/>
      <c r="G1777" s="834"/>
      <c r="H1777" s="834"/>
    </row>
    <row r="1778" spans="1:8">
      <c r="A1778" s="739" t="s">
        <v>7269</v>
      </c>
      <c r="E1778" s="834"/>
      <c r="F1778" s="834"/>
      <c r="G1778" s="834"/>
      <c r="H1778" s="834"/>
    </row>
    <row r="1779" spans="1:8">
      <c r="E1779" s="741">
        <v>199</v>
      </c>
      <c r="F1779" s="741">
        <v>2348</v>
      </c>
      <c r="G1779" s="741" t="s">
        <v>17176</v>
      </c>
      <c r="H1779" s="741" t="s">
        <v>17286</v>
      </c>
    </row>
    <row r="1780" spans="1:8">
      <c r="E1780" s="741">
        <v>1205</v>
      </c>
      <c r="F1780" s="741">
        <v>1143</v>
      </c>
      <c r="G1780" s="739" t="s">
        <v>17113</v>
      </c>
      <c r="H1780" s="739" t="s">
        <v>7271</v>
      </c>
    </row>
    <row r="1781" spans="1:8">
      <c r="A1781" s="739" t="s">
        <v>17277</v>
      </c>
      <c r="E1781" s="834"/>
      <c r="F1781" s="834"/>
      <c r="G1781" s="834"/>
    </row>
    <row r="1782" spans="1:8">
      <c r="E1782" s="739">
        <v>45</v>
      </c>
      <c r="F1782" s="739">
        <v>1098</v>
      </c>
      <c r="G1782" s="739" t="s">
        <v>6943</v>
      </c>
      <c r="H1782" s="739" t="s">
        <v>7272</v>
      </c>
    </row>
    <row r="1783" spans="1:8">
      <c r="E1783" s="739">
        <v>30</v>
      </c>
      <c r="F1783" s="741">
        <v>1068</v>
      </c>
      <c r="G1783" s="739" t="s">
        <v>17098</v>
      </c>
      <c r="H1783" s="739" t="s">
        <v>17287</v>
      </c>
    </row>
    <row r="1784" spans="1:8">
      <c r="E1784" s="739">
        <v>45</v>
      </c>
      <c r="F1784" s="741">
        <v>1023</v>
      </c>
      <c r="G1784" s="739" t="s">
        <v>17141</v>
      </c>
      <c r="H1784" s="739" t="s">
        <v>12461</v>
      </c>
    </row>
    <row r="1785" spans="1:8">
      <c r="F1785" s="741"/>
    </row>
    <row r="1786" spans="1:8">
      <c r="A1786" s="739" t="s">
        <v>12462</v>
      </c>
    </row>
    <row r="1787" spans="1:8">
      <c r="C1787" s="739">
        <v>250</v>
      </c>
      <c r="H1787" s="739" t="s">
        <v>17288</v>
      </c>
    </row>
    <row r="1789" spans="1:8">
      <c r="A1789" s="739" t="s">
        <v>17283</v>
      </c>
      <c r="E1789" s="834"/>
      <c r="F1789" s="834"/>
      <c r="G1789" s="834"/>
    </row>
    <row r="1790" spans="1:8">
      <c r="E1790" s="741">
        <v>265</v>
      </c>
      <c r="F1790" s="741">
        <v>758</v>
      </c>
      <c r="G1790" s="739" t="s">
        <v>17040</v>
      </c>
      <c r="H1790" s="739" t="s">
        <v>6517</v>
      </c>
    </row>
    <row r="1791" spans="1:8">
      <c r="E1791" s="741">
        <v>240</v>
      </c>
      <c r="F1791" s="741">
        <v>518</v>
      </c>
      <c r="G1791" s="739" t="s">
        <v>17040</v>
      </c>
      <c r="H1791" s="739" t="s">
        <v>17289</v>
      </c>
    </row>
    <row r="1792" spans="1:8">
      <c r="E1792" s="741"/>
      <c r="F1792" s="741"/>
    </row>
    <row r="1793" spans="1:8">
      <c r="A1793" s="739" t="s">
        <v>17290</v>
      </c>
      <c r="E1793" s="834"/>
      <c r="F1793" s="834"/>
      <c r="G1793" s="834"/>
    </row>
    <row r="1794" spans="1:8">
      <c r="C1794" s="739">
        <v>5000</v>
      </c>
      <c r="E1794" s="834"/>
      <c r="F1794" s="834"/>
      <c r="G1794" s="834"/>
      <c r="H1794" s="739" t="s">
        <v>16884</v>
      </c>
    </row>
    <row r="1795" spans="1:8">
      <c r="D1795" s="739">
        <v>5000</v>
      </c>
      <c r="E1795" s="834"/>
      <c r="F1795" s="741">
        <v>5518</v>
      </c>
      <c r="G1795" s="834"/>
      <c r="H1795" s="739" t="s">
        <v>16884</v>
      </c>
    </row>
    <row r="1796" spans="1:8" ht="18" customHeight="1">
      <c r="E1796" s="834"/>
      <c r="F1796" s="834"/>
      <c r="G1796" s="834"/>
    </row>
    <row r="1797" spans="1:8">
      <c r="A1797" s="739" t="s">
        <v>17291</v>
      </c>
    </row>
    <row r="1798" spans="1:8">
      <c r="C1798" s="739">
        <v>17000</v>
      </c>
      <c r="H1798" s="739" t="s">
        <v>17292</v>
      </c>
    </row>
    <row r="1799" spans="1:8">
      <c r="E1799" s="739">
        <v>12</v>
      </c>
      <c r="F1799" s="739">
        <v>5506</v>
      </c>
      <c r="G1799" s="739" t="s">
        <v>17098</v>
      </c>
      <c r="H1799" s="739" t="s">
        <v>17293</v>
      </c>
    </row>
    <row r="1801" spans="1:8">
      <c r="A1801" s="739" t="s">
        <v>7282</v>
      </c>
      <c r="E1801" s="834"/>
      <c r="F1801" s="834"/>
      <c r="G1801" s="834"/>
    </row>
    <row r="1802" spans="1:8">
      <c r="C1802" s="739">
        <v>22857</v>
      </c>
      <c r="H1802" s="739" t="s">
        <v>17294</v>
      </c>
    </row>
    <row r="1803" spans="1:8">
      <c r="C1803" s="739">
        <v>93000</v>
      </c>
      <c r="H1803" s="739" t="s">
        <v>17295</v>
      </c>
    </row>
    <row r="1804" spans="1:8">
      <c r="C1804" s="739">
        <v>63352</v>
      </c>
      <c r="H1804" s="739" t="s">
        <v>7285</v>
      </c>
    </row>
    <row r="1806" spans="1:8">
      <c r="A1806" s="739" t="s">
        <v>17296</v>
      </c>
      <c r="E1806" s="834"/>
      <c r="F1806" s="834"/>
      <c r="G1806" s="834"/>
    </row>
    <row r="1807" spans="1:8">
      <c r="E1807" s="741">
        <v>80</v>
      </c>
      <c r="F1807" s="741">
        <v>5426</v>
      </c>
      <c r="G1807" s="739" t="s">
        <v>17040</v>
      </c>
      <c r="H1807" s="739" t="s">
        <v>17297</v>
      </c>
    </row>
    <row r="1808" spans="1:8">
      <c r="E1808" s="741">
        <v>65</v>
      </c>
      <c r="F1808" s="741">
        <v>5361</v>
      </c>
      <c r="G1808" s="739" t="s">
        <v>17040</v>
      </c>
      <c r="H1808" s="739" t="s">
        <v>17298</v>
      </c>
    </row>
    <row r="1809" spans="1:8">
      <c r="E1809" s="741">
        <v>100</v>
      </c>
      <c r="F1809" s="741">
        <v>5261</v>
      </c>
      <c r="G1809" s="739" t="s">
        <v>17040</v>
      </c>
      <c r="H1809" s="739" t="s">
        <v>17299</v>
      </c>
    </row>
    <row r="1810" spans="1:8">
      <c r="E1810" s="741">
        <v>65</v>
      </c>
      <c r="F1810" s="741">
        <v>5196</v>
      </c>
      <c r="G1810" s="739" t="s">
        <v>17040</v>
      </c>
      <c r="H1810" s="739" t="s">
        <v>12475</v>
      </c>
    </row>
    <row r="1811" spans="1:8">
      <c r="E1811" s="741">
        <v>80</v>
      </c>
      <c r="F1811" s="741">
        <v>5116</v>
      </c>
      <c r="G1811" s="739" t="s">
        <v>7776</v>
      </c>
      <c r="H1811" s="739" t="s">
        <v>17297</v>
      </c>
    </row>
    <row r="1812" spans="1:8">
      <c r="E1812" s="741"/>
      <c r="F1812" s="741"/>
    </row>
    <row r="1813" spans="1:8">
      <c r="F1813" s="741"/>
    </row>
    <row r="1814" spans="1:8">
      <c r="A1814" s="739" t="s">
        <v>17300</v>
      </c>
    </row>
    <row r="1815" spans="1:8">
      <c r="C1815" s="739">
        <v>33661</v>
      </c>
      <c r="H1815" s="739" t="s">
        <v>17301</v>
      </c>
    </row>
    <row r="1817" spans="1:8">
      <c r="A1817" s="739" t="s">
        <v>17302</v>
      </c>
      <c r="E1817" s="834"/>
      <c r="F1817" s="834"/>
      <c r="G1817" s="834"/>
    </row>
    <row r="1818" spans="1:8">
      <c r="E1818" s="741">
        <v>70</v>
      </c>
      <c r="F1818" s="741">
        <v>5046</v>
      </c>
      <c r="G1818" s="739" t="s">
        <v>17040</v>
      </c>
      <c r="H1818" s="739" t="s">
        <v>17303</v>
      </c>
    </row>
    <row r="1819" spans="1:8">
      <c r="E1819" s="741">
        <v>65</v>
      </c>
      <c r="F1819" s="741">
        <v>4981</v>
      </c>
      <c r="G1819" s="739" t="s">
        <v>7776</v>
      </c>
      <c r="H1819" s="739" t="s">
        <v>12475</v>
      </c>
    </row>
    <row r="1820" spans="1:8">
      <c r="E1820" s="741">
        <v>100</v>
      </c>
      <c r="F1820" s="741">
        <v>4881</v>
      </c>
      <c r="G1820" s="739" t="s">
        <v>17040</v>
      </c>
      <c r="H1820" s="739" t="s">
        <v>17299</v>
      </c>
    </row>
    <row r="1821" spans="1:8">
      <c r="E1821" s="741">
        <v>65</v>
      </c>
      <c r="F1821" s="741">
        <v>4816</v>
      </c>
      <c r="G1821" s="739" t="s">
        <v>17040</v>
      </c>
      <c r="H1821" s="739" t="s">
        <v>17298</v>
      </c>
    </row>
    <row r="1822" spans="1:8">
      <c r="E1822" s="741">
        <v>75</v>
      </c>
      <c r="F1822" s="741">
        <v>4741</v>
      </c>
      <c r="G1822" s="739" t="s">
        <v>7776</v>
      </c>
      <c r="H1822" s="739" t="s">
        <v>17297</v>
      </c>
    </row>
    <row r="1824" spans="1:8">
      <c r="A1824" s="739" t="s">
        <v>17304</v>
      </c>
      <c r="E1824" s="834"/>
      <c r="F1824" s="834"/>
      <c r="G1824" s="834"/>
    </row>
    <row r="1825" spans="1:8">
      <c r="E1825" s="741">
        <v>35</v>
      </c>
      <c r="F1825" s="741">
        <v>4706</v>
      </c>
      <c r="G1825" s="739" t="s">
        <v>7776</v>
      </c>
      <c r="H1825" s="739" t="s">
        <v>7295</v>
      </c>
    </row>
    <row r="1826" spans="1:8">
      <c r="E1826" s="741">
        <v>35</v>
      </c>
      <c r="F1826" s="741">
        <v>4671</v>
      </c>
      <c r="G1826" s="739" t="s">
        <v>7776</v>
      </c>
      <c r="H1826" s="739" t="s">
        <v>12484</v>
      </c>
    </row>
    <row r="1827" spans="1:8">
      <c r="H1827" s="834" t="s">
        <v>17305</v>
      </c>
    </row>
    <row r="1828" spans="1:8">
      <c r="E1828" s="834"/>
      <c r="F1828" s="834"/>
      <c r="G1828" s="834"/>
      <c r="H1828" s="834"/>
    </row>
    <row r="1829" spans="1:8">
      <c r="A1829" s="739" t="s">
        <v>7298</v>
      </c>
      <c r="E1829" s="834"/>
      <c r="F1829" s="834"/>
      <c r="G1829" s="834"/>
      <c r="H1829" s="834"/>
    </row>
    <row r="1830" spans="1:8">
      <c r="E1830" s="741">
        <v>80</v>
      </c>
      <c r="F1830" s="741">
        <v>4591</v>
      </c>
      <c r="G1830" s="739" t="s">
        <v>17204</v>
      </c>
      <c r="H1830" s="739" t="s">
        <v>17306</v>
      </c>
    </row>
    <row r="1831" spans="1:8">
      <c r="E1831" s="834"/>
      <c r="F1831" s="834"/>
      <c r="G1831" s="834"/>
      <c r="H1831" s="834"/>
    </row>
    <row r="1832" spans="1:8">
      <c r="A1832" s="739" t="s">
        <v>17307</v>
      </c>
      <c r="E1832" s="834"/>
      <c r="F1832" s="834"/>
      <c r="G1832" s="834"/>
      <c r="H1832" s="834"/>
    </row>
    <row r="1833" spans="1:8">
      <c r="E1833" s="741">
        <v>6</v>
      </c>
      <c r="F1833" s="741">
        <v>4585</v>
      </c>
      <c r="G1833" s="739" t="s">
        <v>6972</v>
      </c>
      <c r="H1833" s="739" t="s">
        <v>17308</v>
      </c>
    </row>
    <row r="1834" spans="1:8">
      <c r="E1834" s="739">
        <v>52</v>
      </c>
      <c r="F1834" s="739">
        <v>4533</v>
      </c>
      <c r="G1834" s="739" t="s">
        <v>6943</v>
      </c>
      <c r="H1834" s="739" t="s">
        <v>17309</v>
      </c>
    </row>
    <row r="1835" spans="1:8">
      <c r="E1835" s="741">
        <v>78</v>
      </c>
      <c r="F1835" s="741">
        <v>4455</v>
      </c>
      <c r="G1835" s="739" t="s">
        <v>17141</v>
      </c>
      <c r="H1835" s="739" t="s">
        <v>17310</v>
      </c>
    </row>
    <row r="1836" spans="1:8">
      <c r="E1836" s="834"/>
      <c r="F1836" s="834"/>
      <c r="G1836" s="834"/>
      <c r="H1836" s="834"/>
    </row>
    <row r="1837" spans="1:8">
      <c r="A1837" s="739" t="s">
        <v>17311</v>
      </c>
      <c r="E1837" s="834"/>
      <c r="F1837" s="834"/>
      <c r="G1837" s="834"/>
      <c r="H1837" s="834"/>
    </row>
    <row r="1838" spans="1:8">
      <c r="E1838" s="741">
        <v>1205</v>
      </c>
      <c r="F1838" s="741">
        <v>3250</v>
      </c>
      <c r="G1838" s="739" t="s">
        <v>17113</v>
      </c>
      <c r="H1838" s="739" t="s">
        <v>17312</v>
      </c>
    </row>
    <row r="1839" spans="1:8">
      <c r="E1839" s="834"/>
      <c r="F1839" s="834"/>
      <c r="G1839" s="834"/>
      <c r="H1839" s="834"/>
    </row>
    <row r="1840" spans="1:8">
      <c r="A1840" s="739" t="s">
        <v>17313</v>
      </c>
      <c r="E1840" s="834"/>
      <c r="F1840" s="834"/>
      <c r="G1840" s="834"/>
      <c r="H1840" s="834"/>
    </row>
    <row r="1841" spans="1:8" ht="330">
      <c r="C1841" s="739">
        <v>16000</v>
      </c>
      <c r="E1841" s="741"/>
      <c r="F1841" s="741"/>
      <c r="H1841" s="836" t="s">
        <v>17314</v>
      </c>
    </row>
    <row r="1842" spans="1:8">
      <c r="E1842" s="741"/>
      <c r="F1842" s="741"/>
      <c r="H1842" s="836"/>
    </row>
    <row r="1843" spans="1:8">
      <c r="A1843" s="739" t="s">
        <v>12496</v>
      </c>
    </row>
    <row r="1844" spans="1:8">
      <c r="E1844" s="741">
        <v>100</v>
      </c>
      <c r="F1844" s="741">
        <v>3150</v>
      </c>
      <c r="G1844" s="739" t="s">
        <v>17040</v>
      </c>
      <c r="H1844" s="739" t="s">
        <v>17315</v>
      </c>
    </row>
    <row r="1845" spans="1:8">
      <c r="E1845" s="741">
        <v>100</v>
      </c>
      <c r="F1845" s="741">
        <v>3050</v>
      </c>
      <c r="G1845" s="739" t="s">
        <v>17040</v>
      </c>
      <c r="H1845" s="739" t="s">
        <v>17316</v>
      </c>
    </row>
    <row r="1846" spans="1:8">
      <c r="E1846" s="834"/>
      <c r="F1846" s="834"/>
      <c r="G1846" s="834"/>
      <c r="H1846" s="834"/>
    </row>
    <row r="1847" spans="1:8">
      <c r="E1847" s="741"/>
      <c r="F1847" s="741"/>
      <c r="H1847" s="836"/>
    </row>
    <row r="1848" spans="1:8">
      <c r="A1848" s="739" t="s">
        <v>17317</v>
      </c>
    </row>
    <row r="1849" spans="1:8">
      <c r="E1849" s="741">
        <v>144</v>
      </c>
      <c r="F1849" s="741">
        <v>2906</v>
      </c>
      <c r="G1849" s="739" t="s">
        <v>17257</v>
      </c>
      <c r="H1849" s="739" t="s">
        <v>7311</v>
      </c>
    </row>
    <row r="1850" spans="1:8">
      <c r="E1850" s="741">
        <v>30</v>
      </c>
      <c r="F1850" s="741">
        <v>2876</v>
      </c>
      <c r="G1850" s="739" t="s">
        <v>17040</v>
      </c>
      <c r="H1850" s="739" t="s">
        <v>17318</v>
      </c>
    </row>
    <row r="1851" spans="1:8">
      <c r="E1851" s="741"/>
      <c r="F1851" s="741"/>
      <c r="G1851" s="741"/>
    </row>
    <row r="1852" spans="1:8">
      <c r="A1852" s="739" t="s">
        <v>12500</v>
      </c>
      <c r="E1852" s="741"/>
      <c r="F1852" s="741"/>
      <c r="G1852" s="741"/>
    </row>
    <row r="1853" spans="1:8">
      <c r="E1853" s="741">
        <v>18</v>
      </c>
      <c r="F1853" s="741">
        <v>2858</v>
      </c>
      <c r="G1853" s="739" t="s">
        <v>6913</v>
      </c>
      <c r="H1853" s="739" t="s">
        <v>7313</v>
      </c>
    </row>
    <row r="1854" spans="1:8">
      <c r="E1854" s="834"/>
      <c r="F1854" s="834"/>
      <c r="G1854" s="834"/>
      <c r="H1854" s="834"/>
    </row>
    <row r="1855" spans="1:8">
      <c r="A1855" s="739" t="s">
        <v>7314</v>
      </c>
    </row>
    <row r="1856" spans="1:8">
      <c r="C1856" s="739">
        <v>17000</v>
      </c>
      <c r="H1856" s="739" t="s">
        <v>17319</v>
      </c>
    </row>
    <row r="1858" spans="1:8">
      <c r="A1858" s="739" t="s">
        <v>17320</v>
      </c>
      <c r="E1858" s="834"/>
      <c r="F1858" s="834"/>
      <c r="G1858" s="834"/>
    </row>
    <row r="1859" spans="1:8">
      <c r="C1859" s="739">
        <v>22857</v>
      </c>
      <c r="H1859" s="739" t="s">
        <v>17321</v>
      </c>
    </row>
    <row r="1860" spans="1:8">
      <c r="C1860" s="739">
        <v>12000</v>
      </c>
      <c r="H1860" s="739" t="s">
        <v>17322</v>
      </c>
    </row>
    <row r="1861" spans="1:8">
      <c r="C1861" s="739">
        <v>63352</v>
      </c>
      <c r="H1861" s="739" t="s">
        <v>17323</v>
      </c>
    </row>
    <row r="1862" spans="1:8">
      <c r="E1862" s="834"/>
      <c r="F1862" s="834"/>
      <c r="G1862" s="834"/>
      <c r="H1862" s="834"/>
    </row>
    <row r="1863" spans="1:8">
      <c r="A1863" s="739" t="s">
        <v>17324</v>
      </c>
    </row>
    <row r="1864" spans="1:8">
      <c r="C1864" s="739">
        <v>2176</v>
      </c>
      <c r="H1864" s="739" t="s">
        <v>17325</v>
      </c>
    </row>
    <row r="1866" spans="1:8">
      <c r="A1866" s="739" t="s">
        <v>17326</v>
      </c>
      <c r="E1866" s="834"/>
      <c r="F1866" s="834"/>
      <c r="G1866" s="834"/>
    </row>
    <row r="1867" spans="1:8">
      <c r="E1867" s="741">
        <v>200</v>
      </c>
      <c r="F1867" s="741">
        <v>2658</v>
      </c>
      <c r="G1867" s="739" t="s">
        <v>7776</v>
      </c>
      <c r="H1867" s="739" t="s">
        <v>17327</v>
      </c>
    </row>
    <row r="1868" spans="1:8">
      <c r="E1868" s="741">
        <v>200</v>
      </c>
      <c r="F1868" s="741">
        <v>2458</v>
      </c>
      <c r="G1868" s="739" t="s">
        <v>7776</v>
      </c>
      <c r="H1868" s="739" t="s">
        <v>17327</v>
      </c>
    </row>
    <row r="1869" spans="1:8">
      <c r="E1869" s="741"/>
      <c r="F1869" s="741"/>
    </row>
    <row r="1870" spans="1:8">
      <c r="A1870" s="739" t="s">
        <v>17328</v>
      </c>
      <c r="E1870" s="834"/>
      <c r="F1870" s="834"/>
      <c r="G1870" s="834"/>
    </row>
    <row r="1871" spans="1:8">
      <c r="E1871" s="741">
        <v>300</v>
      </c>
      <c r="F1871" s="741">
        <v>2158</v>
      </c>
      <c r="G1871" s="739" t="s">
        <v>17040</v>
      </c>
      <c r="H1871" s="739" t="s">
        <v>17329</v>
      </c>
    </row>
    <row r="1872" spans="1:8">
      <c r="E1872" s="741">
        <v>300</v>
      </c>
      <c r="F1872" s="741">
        <v>1858</v>
      </c>
      <c r="G1872" s="739" t="s">
        <v>7776</v>
      </c>
      <c r="H1872" s="739" t="s">
        <v>17329</v>
      </c>
    </row>
    <row r="1873" spans="1:8">
      <c r="E1873" s="741"/>
      <c r="F1873" s="741"/>
    </row>
    <row r="1874" spans="1:8">
      <c r="A1874" s="739" t="s">
        <v>12514</v>
      </c>
      <c r="E1874" s="834"/>
      <c r="F1874" s="834"/>
      <c r="G1874" s="834"/>
    </row>
    <row r="1875" spans="1:8">
      <c r="E1875" s="741">
        <v>130</v>
      </c>
      <c r="F1875" s="741">
        <v>1728</v>
      </c>
      <c r="G1875" s="739" t="s">
        <v>17040</v>
      </c>
      <c r="H1875" s="739" t="s">
        <v>16882</v>
      </c>
    </row>
    <row r="1876" spans="1:8">
      <c r="E1876" s="741">
        <v>120</v>
      </c>
      <c r="F1876" s="741">
        <v>1608</v>
      </c>
      <c r="G1876" s="739" t="s">
        <v>17040</v>
      </c>
      <c r="H1876" s="739" t="s">
        <v>16882</v>
      </c>
    </row>
    <row r="1877" spans="1:8">
      <c r="E1877" s="834"/>
      <c r="F1877" s="834"/>
      <c r="G1877" s="834"/>
    </row>
    <row r="1878" spans="1:8">
      <c r="A1878" s="739" t="s">
        <v>17330</v>
      </c>
      <c r="E1878" s="834"/>
      <c r="F1878" s="834"/>
      <c r="G1878" s="834"/>
    </row>
    <row r="1879" spans="1:8">
      <c r="E1879" s="739">
        <v>40</v>
      </c>
      <c r="F1879" s="741">
        <v>1568</v>
      </c>
      <c r="G1879" s="739" t="s">
        <v>17331</v>
      </c>
      <c r="H1879" s="739" t="s">
        <v>17332</v>
      </c>
    </row>
    <row r="1880" spans="1:8">
      <c r="E1880" s="741">
        <v>45</v>
      </c>
      <c r="F1880" s="741">
        <v>1523</v>
      </c>
      <c r="G1880" s="739" t="s">
        <v>17257</v>
      </c>
      <c r="H1880" s="739" t="s">
        <v>17333</v>
      </c>
    </row>
    <row r="1881" spans="1:8">
      <c r="E1881" s="741"/>
      <c r="F1881" s="741"/>
    </row>
    <row r="1882" spans="1:8">
      <c r="A1882" s="739" t="s">
        <v>17334</v>
      </c>
      <c r="E1882" s="834"/>
      <c r="F1882" s="834"/>
      <c r="G1882" s="834"/>
    </row>
    <row r="1883" spans="1:8">
      <c r="E1883" s="741">
        <v>230</v>
      </c>
      <c r="F1883" s="741">
        <v>1293</v>
      </c>
      <c r="G1883" s="739" t="s">
        <v>17040</v>
      </c>
      <c r="H1883" s="739" t="s">
        <v>17335</v>
      </c>
    </row>
    <row r="1884" spans="1:8">
      <c r="E1884" s="741">
        <v>240</v>
      </c>
      <c r="F1884" s="741">
        <v>1053</v>
      </c>
      <c r="G1884" s="739" t="s">
        <v>7776</v>
      </c>
      <c r="H1884" s="739" t="s">
        <v>12520</v>
      </c>
    </row>
    <row r="1885" spans="1:8">
      <c r="E1885" s="834"/>
      <c r="F1885" s="834"/>
      <c r="G1885" s="834"/>
      <c r="H1885" s="834"/>
    </row>
    <row r="1886" spans="1:8">
      <c r="A1886" s="739" t="s">
        <v>12522</v>
      </c>
      <c r="E1886" s="834"/>
      <c r="F1886" s="834"/>
      <c r="G1886" s="834"/>
      <c r="H1886" s="834"/>
    </row>
    <row r="1887" spans="1:8">
      <c r="D1887" s="739">
        <v>5000</v>
      </c>
      <c r="E1887" s="834"/>
      <c r="F1887" s="741">
        <v>6053</v>
      </c>
      <c r="G1887" s="834"/>
      <c r="H1887" s="739" t="s">
        <v>463</v>
      </c>
    </row>
    <row r="1888" spans="1:8">
      <c r="E1888" s="741">
        <v>216</v>
      </c>
      <c r="F1888" s="741">
        <v>5837</v>
      </c>
      <c r="G1888" s="739" t="s">
        <v>6972</v>
      </c>
      <c r="H1888" s="739" t="s">
        <v>17336</v>
      </c>
    </row>
    <row r="1889" spans="1:8">
      <c r="E1889" s="834"/>
      <c r="F1889" s="834"/>
      <c r="G1889" s="834"/>
      <c r="H1889" s="834"/>
    </row>
    <row r="1890" spans="1:8" ht="132">
      <c r="E1890" s="834"/>
      <c r="F1890" s="834"/>
      <c r="G1890" s="834"/>
      <c r="H1890" s="836" t="s">
        <v>17337</v>
      </c>
    </row>
    <row r="1891" spans="1:8">
      <c r="E1891" s="834"/>
      <c r="F1891" s="834"/>
      <c r="G1891" s="834"/>
      <c r="H1891" s="834"/>
    </row>
    <row r="1892" spans="1:8">
      <c r="A1892" s="739" t="s">
        <v>17338</v>
      </c>
      <c r="E1892" s="834"/>
      <c r="F1892" s="834"/>
      <c r="G1892" s="834"/>
      <c r="H1892" s="834"/>
    </row>
    <row r="1893" spans="1:8">
      <c r="E1893" s="741">
        <v>1205</v>
      </c>
      <c r="F1893" s="741">
        <v>4632</v>
      </c>
      <c r="G1893" s="739" t="s">
        <v>17113</v>
      </c>
      <c r="H1893" s="739" t="s">
        <v>12527</v>
      </c>
    </row>
    <row r="1894" spans="1:8">
      <c r="E1894" s="834"/>
      <c r="F1894" s="834"/>
      <c r="G1894" s="834"/>
      <c r="H1894" s="834"/>
    </row>
    <row r="1895" spans="1:8">
      <c r="A1895" s="739" t="s">
        <v>17339</v>
      </c>
      <c r="E1895" s="834"/>
      <c r="F1895" s="834"/>
      <c r="G1895" s="834"/>
      <c r="H1895" s="834"/>
    </row>
    <row r="1896" spans="1:8">
      <c r="E1896" s="741">
        <v>188</v>
      </c>
      <c r="F1896" s="741">
        <v>4444</v>
      </c>
      <c r="G1896" s="741" t="s">
        <v>17176</v>
      </c>
      <c r="H1896" s="739" t="s">
        <v>17340</v>
      </c>
    </row>
    <row r="1897" spans="1:8">
      <c r="E1897" s="834"/>
      <c r="F1897" s="834"/>
      <c r="G1897" s="834"/>
      <c r="H1897" s="834"/>
    </row>
    <row r="1898" spans="1:8" ht="297">
      <c r="A1898" s="739" t="s">
        <v>17341</v>
      </c>
      <c r="C1898" s="739">
        <v>200000</v>
      </c>
      <c r="H1898" s="836" t="s">
        <v>17342</v>
      </c>
    </row>
    <row r="1899" spans="1:8">
      <c r="C1899" s="739">
        <v>17000</v>
      </c>
      <c r="H1899" s="739" t="s">
        <v>17343</v>
      </c>
    </row>
    <row r="1900" spans="1:8">
      <c r="H1900" s="836"/>
    </row>
    <row r="1901" spans="1:8">
      <c r="A1901" s="739" t="s">
        <v>7342</v>
      </c>
      <c r="E1901" s="834"/>
      <c r="F1901" s="834"/>
      <c r="G1901" s="834"/>
    </row>
    <row r="1902" spans="1:8">
      <c r="C1902" s="739">
        <v>22857</v>
      </c>
      <c r="H1902" s="739" t="s">
        <v>17344</v>
      </c>
    </row>
    <row r="1903" spans="1:8">
      <c r="C1903" s="739">
        <v>15000</v>
      </c>
      <c r="H1903" s="739" t="s">
        <v>17345</v>
      </c>
    </row>
    <row r="1904" spans="1:8">
      <c r="C1904" s="739">
        <v>51000</v>
      </c>
      <c r="H1904" s="739" t="s">
        <v>17346</v>
      </c>
    </row>
    <row r="1905" spans="1:8">
      <c r="C1905" s="739">
        <v>63248</v>
      </c>
      <c r="H1905" s="739" t="s">
        <v>7346</v>
      </c>
    </row>
    <row r="1906" spans="1:8">
      <c r="C1906" s="739">
        <v>30000</v>
      </c>
      <c r="H1906" s="739" t="s">
        <v>7347</v>
      </c>
    </row>
    <row r="1907" spans="1:8">
      <c r="E1907" s="834"/>
      <c r="F1907" s="834"/>
      <c r="G1907" s="834"/>
      <c r="H1907" s="834"/>
    </row>
    <row r="1908" spans="1:8">
      <c r="A1908" s="739" t="s">
        <v>7348</v>
      </c>
      <c r="E1908" s="834"/>
      <c r="F1908" s="834"/>
      <c r="G1908" s="834"/>
      <c r="H1908" s="834"/>
    </row>
    <row r="1909" spans="1:8">
      <c r="C1909" s="739">
        <v>40519</v>
      </c>
      <c r="H1909" s="739" t="s">
        <v>7349</v>
      </c>
    </row>
    <row r="1910" spans="1:8">
      <c r="E1910" s="741">
        <v>40</v>
      </c>
      <c r="F1910" s="741">
        <v>4404</v>
      </c>
      <c r="G1910" s="739" t="s">
        <v>17141</v>
      </c>
      <c r="H1910" s="739" t="s">
        <v>17347</v>
      </c>
    </row>
    <row r="1911" spans="1:8">
      <c r="E1911" s="741">
        <v>40</v>
      </c>
      <c r="F1911" s="741">
        <v>4364</v>
      </c>
      <c r="G1911" s="739" t="s">
        <v>17141</v>
      </c>
      <c r="H1911" s="739" t="s">
        <v>17274</v>
      </c>
    </row>
    <row r="1912" spans="1:8">
      <c r="E1912" s="741">
        <v>30</v>
      </c>
      <c r="F1912" s="741">
        <v>4334</v>
      </c>
      <c r="G1912" s="741" t="s">
        <v>17204</v>
      </c>
      <c r="H1912" s="739" t="s">
        <v>17348</v>
      </c>
    </row>
    <row r="1913" spans="1:8">
      <c r="E1913" s="741">
        <v>31</v>
      </c>
      <c r="F1913" s="741">
        <v>4303</v>
      </c>
      <c r="G1913" s="739" t="s">
        <v>17040</v>
      </c>
      <c r="H1913" s="739" t="s">
        <v>17349</v>
      </c>
    </row>
    <row r="1914" spans="1:8">
      <c r="E1914" s="741">
        <v>31</v>
      </c>
      <c r="F1914" s="741">
        <v>4272</v>
      </c>
      <c r="G1914" s="739" t="s">
        <v>17040</v>
      </c>
      <c r="H1914" s="739" t="s">
        <v>17350</v>
      </c>
    </row>
    <row r="1915" spans="1:8">
      <c r="E1915" s="739">
        <v>300</v>
      </c>
      <c r="F1915" s="741">
        <v>3972</v>
      </c>
      <c r="G1915" s="739" t="s">
        <v>17194</v>
      </c>
      <c r="H1915" s="739" t="s">
        <v>17351</v>
      </c>
    </row>
    <row r="1916" spans="1:8" s="741" customFormat="1">
      <c r="H1916" s="844" t="s">
        <v>17352</v>
      </c>
    </row>
    <row r="1917" spans="1:8">
      <c r="E1917" s="834"/>
      <c r="F1917" s="834"/>
      <c r="G1917" s="834"/>
      <c r="H1917" s="834"/>
    </row>
    <row r="1918" spans="1:8">
      <c r="A1918" s="739" t="s">
        <v>17353</v>
      </c>
      <c r="E1918" s="834"/>
      <c r="F1918" s="834"/>
      <c r="G1918" s="834"/>
      <c r="H1918" s="834"/>
    </row>
    <row r="1919" spans="1:8">
      <c r="E1919" s="741">
        <v>1205</v>
      </c>
      <c r="F1919" s="741">
        <v>2767</v>
      </c>
      <c r="G1919" s="739" t="s">
        <v>7763</v>
      </c>
      <c r="H1919" s="739" t="s">
        <v>7355</v>
      </c>
    </row>
    <row r="1920" spans="1:8">
      <c r="E1920" s="834"/>
      <c r="F1920" s="834"/>
      <c r="G1920" s="834"/>
      <c r="H1920" s="834"/>
    </row>
    <row r="1921" spans="1:8">
      <c r="A1921" s="739" t="s">
        <v>7356</v>
      </c>
      <c r="E1921" s="834"/>
      <c r="F1921" s="834"/>
      <c r="G1921" s="834"/>
      <c r="H1921" s="834"/>
    </row>
    <row r="1922" spans="1:8" s="741" customFormat="1" ht="49.5">
      <c r="C1922" s="741">
        <v>190400</v>
      </c>
      <c r="H1922" s="836" t="s">
        <v>17354</v>
      </c>
    </row>
    <row r="1923" spans="1:8">
      <c r="E1923" s="834"/>
      <c r="F1923" s="834"/>
      <c r="G1923" s="834"/>
      <c r="H1923" s="834"/>
    </row>
    <row r="1924" spans="1:8">
      <c r="A1924" s="739" t="s">
        <v>17355</v>
      </c>
      <c r="E1924" s="834"/>
      <c r="F1924" s="834"/>
      <c r="G1924" s="834"/>
      <c r="H1924" s="834"/>
    </row>
    <row r="1925" spans="1:8">
      <c r="D1925" s="739">
        <v>46</v>
      </c>
      <c r="E1925" s="741"/>
      <c r="F1925" s="741">
        <v>2813</v>
      </c>
      <c r="H1925" s="739" t="s">
        <v>17356</v>
      </c>
    </row>
    <row r="1926" spans="1:8" s="741" customFormat="1">
      <c r="E1926" s="741">
        <v>48</v>
      </c>
      <c r="F1926" s="741">
        <v>2765</v>
      </c>
      <c r="G1926" s="739" t="s">
        <v>7776</v>
      </c>
      <c r="H1926" s="739" t="s">
        <v>17357</v>
      </c>
    </row>
    <row r="1927" spans="1:8">
      <c r="E1927" s="741">
        <v>18</v>
      </c>
      <c r="F1927" s="741">
        <v>2747</v>
      </c>
      <c r="G1927" s="739" t="s">
        <v>17204</v>
      </c>
      <c r="H1927" s="739" t="s">
        <v>17358</v>
      </c>
    </row>
    <row r="1928" spans="1:8">
      <c r="E1928" s="834"/>
      <c r="F1928" s="834"/>
      <c r="G1928" s="834"/>
      <c r="H1928" s="834"/>
    </row>
    <row r="1929" spans="1:8">
      <c r="A1929" s="739" t="s">
        <v>17359</v>
      </c>
    </row>
    <row r="1930" spans="1:8">
      <c r="C1930" s="739">
        <v>17000</v>
      </c>
      <c r="H1930" s="739" t="s">
        <v>7363</v>
      </c>
    </row>
    <row r="1931" spans="1:8">
      <c r="E1931" s="739">
        <v>50</v>
      </c>
      <c r="F1931" s="741">
        <v>2697</v>
      </c>
      <c r="G1931" s="739" t="s">
        <v>6943</v>
      </c>
      <c r="H1931" s="739" t="s">
        <v>17360</v>
      </c>
    </row>
    <row r="1932" spans="1:8">
      <c r="H1932" s="836"/>
    </row>
    <row r="1933" spans="1:8">
      <c r="A1933" s="739" t="s">
        <v>17361</v>
      </c>
      <c r="E1933" s="834"/>
      <c r="F1933" s="834"/>
      <c r="G1933" s="834"/>
    </row>
    <row r="1934" spans="1:8">
      <c r="C1934" s="739">
        <v>22857</v>
      </c>
      <c r="H1934" s="739" t="s">
        <v>17344</v>
      </c>
    </row>
    <row r="1935" spans="1:8">
      <c r="C1935" s="739">
        <v>33248</v>
      </c>
      <c r="H1935" s="739" t="s">
        <v>17362</v>
      </c>
    </row>
    <row r="1936" spans="1:8">
      <c r="E1936" s="834"/>
      <c r="F1936" s="834"/>
      <c r="G1936" s="834"/>
      <c r="H1936" s="834" t="s">
        <v>17363</v>
      </c>
    </row>
    <row r="1937" spans="1:8">
      <c r="C1937" s="739">
        <v>2558</v>
      </c>
      <c r="H1937" s="739" t="s">
        <v>7367</v>
      </c>
    </row>
    <row r="1938" spans="1:8">
      <c r="E1938" s="834"/>
      <c r="F1938" s="834"/>
      <c r="G1938" s="834"/>
    </row>
    <row r="1939" spans="1:8">
      <c r="A1939" s="739" t="s">
        <v>7368</v>
      </c>
    </row>
    <row r="1940" spans="1:8">
      <c r="E1940" s="739">
        <v>200</v>
      </c>
      <c r="F1940" s="741">
        <v>2497</v>
      </c>
      <c r="G1940" s="739" t="s">
        <v>7774</v>
      </c>
      <c r="H1940" s="739" t="s">
        <v>17364</v>
      </c>
    </row>
    <row r="1941" spans="1:8">
      <c r="C1941" s="739">
        <v>15000</v>
      </c>
      <c r="H1941" s="739" t="s">
        <v>17362</v>
      </c>
    </row>
    <row r="1942" spans="1:8">
      <c r="E1942" s="834"/>
      <c r="F1942" s="834"/>
      <c r="G1942" s="834"/>
      <c r="H1942" s="834" t="s">
        <v>17365</v>
      </c>
    </row>
    <row r="1943" spans="1:8">
      <c r="E1943" s="834"/>
      <c r="F1943" s="834"/>
      <c r="G1943" s="834"/>
    </row>
    <row r="1944" spans="1:8">
      <c r="A1944" s="739" t="s">
        <v>12568</v>
      </c>
    </row>
    <row r="1945" spans="1:8">
      <c r="E1945" s="739">
        <v>45</v>
      </c>
      <c r="F1945" s="739">
        <v>2452</v>
      </c>
      <c r="G1945" s="739" t="s">
        <v>17098</v>
      </c>
      <c r="H1945" s="739" t="s">
        <v>17366</v>
      </c>
    </row>
    <row r="1947" spans="1:8">
      <c r="A1947" s="739" t="s">
        <v>17367</v>
      </c>
    </row>
    <row r="1948" spans="1:8">
      <c r="C1948" s="739">
        <v>28733</v>
      </c>
      <c r="H1948" s="739" t="s">
        <v>17368</v>
      </c>
    </row>
    <row r="1949" spans="1:8">
      <c r="C1949" s="739">
        <v>15000</v>
      </c>
      <c r="H1949" s="739" t="s">
        <v>17362</v>
      </c>
    </row>
    <row r="1950" spans="1:8">
      <c r="E1950" s="834"/>
      <c r="F1950" s="834"/>
      <c r="G1950" s="834"/>
      <c r="H1950" s="834" t="s">
        <v>17369</v>
      </c>
    </row>
    <row r="1951" spans="1:8">
      <c r="E1951" s="834"/>
      <c r="F1951" s="834"/>
      <c r="G1951" s="834"/>
      <c r="H1951" s="834"/>
    </row>
    <row r="1952" spans="1:8">
      <c r="A1952" s="739" t="s">
        <v>17370</v>
      </c>
    </row>
    <row r="1953" spans="1:8">
      <c r="E1953" s="741">
        <v>209</v>
      </c>
      <c r="F1953" s="741">
        <v>2243</v>
      </c>
      <c r="G1953" s="741" t="s">
        <v>17176</v>
      </c>
      <c r="H1953" s="739" t="s">
        <v>7376</v>
      </c>
    </row>
    <row r="1954" spans="1:8" s="741" customFormat="1">
      <c r="E1954" s="741">
        <v>1205</v>
      </c>
      <c r="F1954" s="741">
        <v>1038</v>
      </c>
      <c r="G1954" s="739" t="s">
        <v>17113</v>
      </c>
      <c r="H1954" s="739" t="s">
        <v>7377</v>
      </c>
    </row>
    <row r="1955" spans="1:8">
      <c r="E1955" s="834"/>
      <c r="F1955" s="834"/>
      <c r="G1955" s="834"/>
    </row>
    <row r="1956" spans="1:8">
      <c r="A1956" s="739" t="s">
        <v>7378</v>
      </c>
    </row>
    <row r="1957" spans="1:8">
      <c r="E1957" s="739">
        <v>35</v>
      </c>
      <c r="F1957" s="739">
        <v>1003</v>
      </c>
      <c r="G1957" s="739" t="s">
        <v>17098</v>
      </c>
      <c r="H1957" s="739" t="s">
        <v>17371</v>
      </c>
    </row>
    <row r="1958" spans="1:8">
      <c r="D1958" s="739">
        <v>5000</v>
      </c>
      <c r="E1958" s="834"/>
      <c r="F1958" s="741">
        <v>6003</v>
      </c>
      <c r="G1958" s="834"/>
      <c r="H1958" s="739" t="s">
        <v>16884</v>
      </c>
    </row>
    <row r="1959" spans="1:8">
      <c r="E1959" s="834"/>
      <c r="F1959" s="834"/>
      <c r="G1959" s="834"/>
      <c r="H1959" s="834"/>
    </row>
    <row r="1960" spans="1:8">
      <c r="A1960" s="739" t="s">
        <v>17372</v>
      </c>
    </row>
    <row r="1961" spans="1:8">
      <c r="C1961" s="739">
        <v>17000</v>
      </c>
      <c r="H1961" s="739" t="s">
        <v>17373</v>
      </c>
    </row>
    <row r="1962" spans="1:8">
      <c r="E1962" s="741">
        <v>100</v>
      </c>
      <c r="F1962" s="741">
        <v>5903</v>
      </c>
      <c r="G1962" s="739" t="s">
        <v>17040</v>
      </c>
      <c r="H1962" s="739" t="s">
        <v>17374</v>
      </c>
    </row>
    <row r="1963" spans="1:8">
      <c r="H1963" s="836"/>
    </row>
    <row r="1964" spans="1:8">
      <c r="A1964" s="739" t="s">
        <v>17375</v>
      </c>
      <c r="E1964" s="834"/>
      <c r="F1964" s="834"/>
      <c r="G1964" s="834"/>
    </row>
    <row r="1965" spans="1:8">
      <c r="C1965" s="739">
        <v>22857</v>
      </c>
      <c r="H1965" s="739" t="s">
        <v>17376</v>
      </c>
    </row>
    <row r="1966" spans="1:8">
      <c r="C1966" s="739">
        <v>36500</v>
      </c>
      <c r="H1966" s="739" t="s">
        <v>17377</v>
      </c>
    </row>
    <row r="1967" spans="1:8">
      <c r="C1967" s="739">
        <v>63248</v>
      </c>
      <c r="H1967" s="739" t="s">
        <v>17378</v>
      </c>
    </row>
    <row r="1968" spans="1:8">
      <c r="E1968" s="834"/>
      <c r="F1968" s="834"/>
      <c r="G1968" s="834"/>
      <c r="H1968" s="834"/>
    </row>
    <row r="1969" spans="1:8">
      <c r="E1969" s="741"/>
      <c r="F1969" s="741"/>
    </row>
    <row r="1970" spans="1:8">
      <c r="A1970" s="739" t="s">
        <v>17379</v>
      </c>
      <c r="E1970" s="834"/>
      <c r="F1970" s="834"/>
      <c r="G1970" s="834"/>
    </row>
    <row r="1971" spans="1:8">
      <c r="E1971" s="741">
        <v>100</v>
      </c>
      <c r="F1971" s="741">
        <v>5803</v>
      </c>
      <c r="G1971" s="739" t="s">
        <v>7776</v>
      </c>
      <c r="H1971" s="739" t="s">
        <v>17380</v>
      </c>
    </row>
    <row r="1972" spans="1:8">
      <c r="E1972" s="741">
        <v>90</v>
      </c>
      <c r="F1972" s="741">
        <v>5713</v>
      </c>
      <c r="G1972" s="739" t="s">
        <v>17381</v>
      </c>
      <c r="H1972" s="739" t="s">
        <v>7943</v>
      </c>
    </row>
    <row r="1974" spans="1:8">
      <c r="A1974" s="739" t="s">
        <v>17382</v>
      </c>
      <c r="E1974" s="834"/>
      <c r="F1974" s="834"/>
      <c r="G1974" s="834"/>
    </row>
    <row r="1975" spans="1:8">
      <c r="E1975" s="739">
        <v>500</v>
      </c>
      <c r="F1975" s="741">
        <v>5213</v>
      </c>
      <c r="G1975" s="739" t="s">
        <v>17098</v>
      </c>
      <c r="H1975" s="739" t="s">
        <v>12589</v>
      </c>
    </row>
    <row r="1976" spans="1:8">
      <c r="E1976" s="739">
        <v>45</v>
      </c>
      <c r="F1976" s="739">
        <v>5168</v>
      </c>
      <c r="G1976" s="739" t="s">
        <v>17098</v>
      </c>
      <c r="H1976" s="739" t="s">
        <v>7391</v>
      </c>
    </row>
    <row r="1977" spans="1:8" s="741" customFormat="1">
      <c r="E1977" s="741">
        <v>32</v>
      </c>
      <c r="F1977" s="741">
        <v>5136</v>
      </c>
      <c r="G1977" s="739" t="s">
        <v>17040</v>
      </c>
      <c r="H1977" s="739" t="s">
        <v>17383</v>
      </c>
    </row>
    <row r="1978" spans="1:8">
      <c r="A1978" s="739" t="s">
        <v>17384</v>
      </c>
      <c r="E1978" s="834"/>
      <c r="F1978" s="834"/>
      <c r="G1978" s="834"/>
    </row>
    <row r="1979" spans="1:8">
      <c r="E1979" s="741">
        <v>35</v>
      </c>
      <c r="F1979" s="741">
        <v>5101</v>
      </c>
      <c r="G1979" s="739" t="s">
        <v>17040</v>
      </c>
      <c r="H1979" s="739" t="s">
        <v>17385</v>
      </c>
    </row>
    <row r="1980" spans="1:8">
      <c r="E1980" s="741">
        <v>70</v>
      </c>
      <c r="F1980" s="741">
        <v>5031</v>
      </c>
      <c r="G1980" s="739" t="s">
        <v>17040</v>
      </c>
      <c r="H1980" s="739" t="s">
        <v>17386</v>
      </c>
    </row>
    <row r="1981" spans="1:8">
      <c r="E1981" s="741">
        <v>300</v>
      </c>
      <c r="F1981" s="741">
        <v>4731</v>
      </c>
      <c r="G1981" s="739" t="s">
        <v>17257</v>
      </c>
      <c r="H1981" s="739" t="s">
        <v>17386</v>
      </c>
    </row>
    <row r="1982" spans="1:8">
      <c r="E1982" s="834"/>
      <c r="F1982" s="834"/>
      <c r="G1982" s="834"/>
      <c r="H1982" s="834"/>
    </row>
    <row r="1983" spans="1:8">
      <c r="A1983" s="739" t="s">
        <v>17387</v>
      </c>
      <c r="E1983" s="834"/>
      <c r="F1983" s="834"/>
      <c r="G1983" s="834"/>
      <c r="H1983" s="834"/>
    </row>
    <row r="1984" spans="1:8">
      <c r="E1984" s="741">
        <v>1205</v>
      </c>
      <c r="F1984" s="741">
        <v>3526</v>
      </c>
      <c r="G1984" s="739" t="s">
        <v>17113</v>
      </c>
      <c r="H1984" s="739" t="s">
        <v>17388</v>
      </c>
    </row>
    <row r="1986" spans="1:8">
      <c r="A1986" s="739" t="s">
        <v>7397</v>
      </c>
    </row>
    <row r="1987" spans="1:8">
      <c r="E1987" s="739">
        <v>100</v>
      </c>
      <c r="F1987" s="739">
        <v>3426</v>
      </c>
      <c r="G1987" s="739" t="s">
        <v>7776</v>
      </c>
      <c r="H1987" s="739" t="s">
        <v>7398</v>
      </c>
    </row>
    <row r="1989" spans="1:8">
      <c r="A1989" s="739" t="s">
        <v>17389</v>
      </c>
    </row>
    <row r="1990" spans="1:8">
      <c r="E1990" s="739">
        <v>95</v>
      </c>
      <c r="F1990" s="739">
        <v>3331</v>
      </c>
      <c r="G1990" s="739" t="s">
        <v>6943</v>
      </c>
      <c r="H1990" s="739" t="s">
        <v>17390</v>
      </c>
    </row>
    <row r="1992" spans="1:8">
      <c r="A1992" s="739" t="s">
        <v>17391</v>
      </c>
    </row>
    <row r="1993" spans="1:8">
      <c r="E1993" s="739">
        <v>100</v>
      </c>
      <c r="F1993" s="739">
        <v>3231</v>
      </c>
      <c r="G1993" s="739" t="s">
        <v>7776</v>
      </c>
      <c r="H1993" s="739" t="s">
        <v>17392</v>
      </c>
    </row>
    <row r="1994" spans="1:8">
      <c r="E1994" s="834"/>
      <c r="F1994" s="834"/>
      <c r="G1994" s="834"/>
      <c r="H1994" s="834"/>
    </row>
    <row r="1995" spans="1:8">
      <c r="A1995" s="739" t="s">
        <v>7403</v>
      </c>
    </row>
    <row r="1996" spans="1:8">
      <c r="C1996" s="739">
        <v>17000</v>
      </c>
      <c r="H1996" s="739" t="s">
        <v>7404</v>
      </c>
    </row>
    <row r="1997" spans="1:8">
      <c r="C1997" s="739">
        <v>24968</v>
      </c>
      <c r="H1997" s="739" t="s">
        <v>7405</v>
      </c>
    </row>
    <row r="1998" spans="1:8">
      <c r="E1998" s="834"/>
      <c r="F1998" s="834"/>
      <c r="G1998" s="834"/>
    </row>
    <row r="1999" spans="1:8">
      <c r="A1999" s="739" t="s">
        <v>17393</v>
      </c>
    </row>
    <row r="2000" spans="1:8" ht="49.5">
      <c r="C2000" s="739">
        <v>39000</v>
      </c>
      <c r="H2000" s="836" t="s">
        <v>17394</v>
      </c>
    </row>
    <row r="2001" spans="1:8">
      <c r="H2001" s="836"/>
    </row>
    <row r="2002" spans="1:8">
      <c r="A2002" s="739" t="s">
        <v>17395</v>
      </c>
      <c r="E2002" s="834"/>
      <c r="F2002" s="834"/>
      <c r="G2002" s="834"/>
    </row>
    <row r="2003" spans="1:8">
      <c r="C2003" s="739">
        <v>22827</v>
      </c>
      <c r="H2003" s="739" t="s">
        <v>7409</v>
      </c>
    </row>
    <row r="2004" spans="1:8">
      <c r="C2004" s="739">
        <v>22000</v>
      </c>
      <c r="H2004" s="739" t="s">
        <v>7410</v>
      </c>
    </row>
    <row r="2005" spans="1:8">
      <c r="C2005" s="739">
        <v>33248</v>
      </c>
      <c r="H2005" s="739" t="s">
        <v>17396</v>
      </c>
    </row>
    <row r="2006" spans="1:8">
      <c r="E2006" s="739">
        <v>100</v>
      </c>
      <c r="F2006" s="739">
        <v>3131</v>
      </c>
      <c r="G2006" s="739" t="s">
        <v>17040</v>
      </c>
      <c r="H2006" s="739" t="s">
        <v>17397</v>
      </c>
    </row>
    <row r="2007" spans="1:8">
      <c r="H2007" s="836"/>
    </row>
    <row r="2008" spans="1:8">
      <c r="A2008" s="739" t="s">
        <v>17398</v>
      </c>
      <c r="E2008" s="834"/>
      <c r="F2008" s="834"/>
      <c r="G2008" s="834"/>
    </row>
    <row r="2009" spans="1:8">
      <c r="C2009" s="739">
        <v>30000</v>
      </c>
      <c r="H2009" s="739" t="s">
        <v>17399</v>
      </c>
    </row>
    <row r="2010" spans="1:8">
      <c r="C2010" s="739">
        <v>11877</v>
      </c>
      <c r="H2010" s="739" t="s">
        <v>17400</v>
      </c>
    </row>
    <row r="2011" spans="1:8">
      <c r="E2011" s="834"/>
      <c r="F2011" s="834"/>
      <c r="G2011" s="834"/>
      <c r="H2011" s="834"/>
    </row>
    <row r="2012" spans="1:8">
      <c r="A2012" s="739" t="s">
        <v>17401</v>
      </c>
      <c r="E2012" s="834"/>
      <c r="F2012" s="834"/>
      <c r="G2012" s="834"/>
    </row>
    <row r="2013" spans="1:8" ht="99">
      <c r="C2013" s="739">
        <v>240030</v>
      </c>
      <c r="E2013" s="834"/>
      <c r="F2013" s="834"/>
      <c r="G2013" s="834"/>
      <c r="H2013" s="836" t="s">
        <v>17402</v>
      </c>
    </row>
    <row r="2014" spans="1:8">
      <c r="E2014" s="834"/>
      <c r="F2014" s="834"/>
      <c r="G2014" s="834"/>
      <c r="H2014" s="834"/>
    </row>
    <row r="2015" spans="1:8">
      <c r="A2015" s="739" t="s">
        <v>17403</v>
      </c>
      <c r="E2015" s="834"/>
      <c r="F2015" s="834"/>
      <c r="G2015" s="834"/>
      <c r="H2015" s="834"/>
    </row>
    <row r="2016" spans="1:8">
      <c r="E2016" s="741">
        <v>124</v>
      </c>
      <c r="F2016" s="741">
        <v>3007</v>
      </c>
      <c r="G2016" s="739" t="s">
        <v>17141</v>
      </c>
      <c r="H2016" s="739" t="s">
        <v>7419</v>
      </c>
    </row>
    <row r="2017" spans="1:8">
      <c r="E2017" s="834"/>
      <c r="F2017" s="834"/>
      <c r="G2017" s="834"/>
      <c r="H2017" s="834"/>
    </row>
    <row r="2018" spans="1:8">
      <c r="A2018" s="739" t="s">
        <v>17404</v>
      </c>
      <c r="E2018" s="834"/>
      <c r="F2018" s="834"/>
      <c r="G2018" s="834"/>
      <c r="H2018" s="834"/>
    </row>
    <row r="2019" spans="1:8">
      <c r="E2019" s="739">
        <v>96</v>
      </c>
      <c r="F2019" s="739">
        <v>2911</v>
      </c>
      <c r="G2019" s="739" t="s">
        <v>17204</v>
      </c>
      <c r="H2019" s="739" t="s">
        <v>17164</v>
      </c>
    </row>
    <row r="2020" spans="1:8">
      <c r="E2020" s="834"/>
      <c r="F2020" s="834"/>
      <c r="G2020" s="834"/>
      <c r="H2020" s="834"/>
    </row>
    <row r="2021" spans="1:8">
      <c r="E2021" s="834"/>
      <c r="F2021" s="834"/>
      <c r="G2021" s="834"/>
      <c r="H2021" s="834"/>
    </row>
    <row r="2022" spans="1:8">
      <c r="A2022" s="739" t="s">
        <v>17405</v>
      </c>
      <c r="E2022" s="834"/>
      <c r="F2022" s="834"/>
      <c r="G2022" s="834"/>
      <c r="H2022" s="834"/>
    </row>
    <row r="2023" spans="1:8">
      <c r="E2023" s="739">
        <v>1205</v>
      </c>
      <c r="F2023" s="739">
        <v>1706</v>
      </c>
      <c r="G2023" s="739" t="s">
        <v>17113</v>
      </c>
      <c r="H2023" s="739" t="s">
        <v>17406</v>
      </c>
    </row>
    <row r="2024" spans="1:8">
      <c r="E2024" s="834"/>
      <c r="F2024" s="834"/>
      <c r="G2024" s="834"/>
      <c r="H2024" s="834"/>
    </row>
    <row r="2025" spans="1:8">
      <c r="A2025" s="739" t="s">
        <v>17407</v>
      </c>
    </row>
    <row r="2026" spans="1:8">
      <c r="E2026" s="741">
        <v>209</v>
      </c>
      <c r="F2026" s="741">
        <v>1497</v>
      </c>
      <c r="G2026" s="741" t="s">
        <v>17176</v>
      </c>
      <c r="H2026" s="739" t="s">
        <v>17408</v>
      </c>
    </row>
    <row r="2027" spans="1:8">
      <c r="E2027" s="834"/>
      <c r="F2027" s="834"/>
      <c r="G2027" s="834"/>
      <c r="H2027" s="834"/>
    </row>
    <row r="2028" spans="1:8">
      <c r="A2028" s="739" t="s">
        <v>7425</v>
      </c>
    </row>
    <row r="2029" spans="1:8">
      <c r="C2029" s="739">
        <v>17000</v>
      </c>
      <c r="H2029" s="739" t="s">
        <v>12628</v>
      </c>
    </row>
    <row r="2030" spans="1:8">
      <c r="E2030" s="834"/>
      <c r="F2030" s="834"/>
      <c r="G2030" s="834"/>
      <c r="H2030" s="834"/>
    </row>
    <row r="2031" spans="1:8">
      <c r="A2031" s="739" t="s">
        <v>7427</v>
      </c>
      <c r="E2031" s="834"/>
      <c r="F2031" s="834"/>
      <c r="G2031" s="834"/>
      <c r="H2031" s="834"/>
    </row>
    <row r="2032" spans="1:8">
      <c r="C2032" s="739">
        <v>22827</v>
      </c>
      <c r="H2032" s="739" t="s">
        <v>17409</v>
      </c>
    </row>
    <row r="2033" spans="1:8">
      <c r="C2033" s="739">
        <v>63248</v>
      </c>
      <c r="H2033" s="739" t="s">
        <v>17410</v>
      </c>
    </row>
    <row r="2034" spans="1:8">
      <c r="E2034" s="739">
        <v>250</v>
      </c>
      <c r="F2034" s="739">
        <v>1247</v>
      </c>
      <c r="G2034" s="739" t="s">
        <v>17204</v>
      </c>
      <c r="H2034" s="739" t="s">
        <v>17411</v>
      </c>
    </row>
    <row r="2035" spans="1:8">
      <c r="E2035" s="834"/>
      <c r="F2035" s="834"/>
      <c r="G2035" s="834"/>
      <c r="H2035" s="834"/>
    </row>
    <row r="2036" spans="1:8">
      <c r="A2036" s="739" t="s">
        <v>17412</v>
      </c>
      <c r="E2036" s="834"/>
      <c r="F2036" s="834"/>
      <c r="G2036" s="834"/>
      <c r="H2036" s="834"/>
    </row>
    <row r="2037" spans="1:8" s="741" customFormat="1">
      <c r="E2037" s="741">
        <v>32</v>
      </c>
      <c r="F2037" s="741">
        <v>1215</v>
      </c>
      <c r="G2037" s="739" t="s">
        <v>17040</v>
      </c>
      <c r="H2037" s="739" t="s">
        <v>17413</v>
      </c>
    </row>
    <row r="2039" spans="1:8">
      <c r="A2039" s="739" t="s">
        <v>17414</v>
      </c>
      <c r="E2039" s="834"/>
      <c r="F2039" s="834"/>
      <c r="G2039" s="834"/>
    </row>
    <row r="2040" spans="1:8">
      <c r="E2040" s="739">
        <v>60</v>
      </c>
      <c r="F2040" s="739">
        <v>1155</v>
      </c>
      <c r="G2040" s="739" t="s">
        <v>6943</v>
      </c>
      <c r="H2040" s="739" t="s">
        <v>17415</v>
      </c>
    </row>
    <row r="2041" spans="1:8">
      <c r="E2041" s="834"/>
      <c r="F2041" s="834"/>
      <c r="G2041" s="834"/>
      <c r="H2041" s="844" t="s">
        <v>17352</v>
      </c>
    </row>
    <row r="2043" spans="1:8">
      <c r="A2043" s="739" t="s">
        <v>17416</v>
      </c>
      <c r="E2043" s="834"/>
      <c r="F2043" s="834"/>
      <c r="G2043" s="834"/>
    </row>
    <row r="2044" spans="1:8">
      <c r="D2044" s="739">
        <v>5000</v>
      </c>
      <c r="E2044" s="834"/>
      <c r="F2044" s="741">
        <v>6155</v>
      </c>
      <c r="G2044" s="834"/>
      <c r="H2044" s="739" t="s">
        <v>16884</v>
      </c>
    </row>
    <row r="2046" spans="1:8">
      <c r="A2046" s="739" t="s">
        <v>17417</v>
      </c>
      <c r="E2046" s="834"/>
      <c r="F2046" s="834"/>
      <c r="G2046" s="834"/>
    </row>
    <row r="2047" spans="1:8">
      <c r="E2047" s="741">
        <v>255</v>
      </c>
      <c r="F2047" s="741">
        <v>5900</v>
      </c>
      <c r="G2047" s="739" t="s">
        <v>17040</v>
      </c>
      <c r="H2047" s="739" t="s">
        <v>12640</v>
      </c>
    </row>
    <row r="2048" spans="1:8">
      <c r="E2048" s="741">
        <v>235</v>
      </c>
      <c r="F2048" s="741">
        <v>5665</v>
      </c>
      <c r="G2048" s="739" t="s">
        <v>17040</v>
      </c>
      <c r="H2048" s="739" t="s">
        <v>17418</v>
      </c>
    </row>
    <row r="2050" spans="1:8">
      <c r="A2050" s="739" t="s">
        <v>17419</v>
      </c>
      <c r="E2050" s="834"/>
      <c r="F2050" s="834"/>
      <c r="G2050" s="834"/>
    </row>
    <row r="2051" spans="1:8">
      <c r="E2051" s="739">
        <v>32</v>
      </c>
      <c r="F2051" s="739">
        <v>5633</v>
      </c>
      <c r="G2051" s="739" t="s">
        <v>17098</v>
      </c>
      <c r="H2051" s="739" t="s">
        <v>7439</v>
      </c>
    </row>
    <row r="2053" spans="1:8">
      <c r="A2053" s="739" t="s">
        <v>12644</v>
      </c>
      <c r="E2053" s="834"/>
      <c r="F2053" s="834"/>
      <c r="G2053" s="834"/>
    </row>
    <row r="2054" spans="1:8">
      <c r="E2054" s="739">
        <v>35</v>
      </c>
      <c r="F2054" s="739">
        <v>5598</v>
      </c>
      <c r="G2054" s="739" t="s">
        <v>17098</v>
      </c>
      <c r="H2054" s="739" t="s">
        <v>7441</v>
      </c>
    </row>
    <row r="2056" spans="1:8">
      <c r="A2056" s="739" t="s">
        <v>17420</v>
      </c>
      <c r="E2056" s="834"/>
      <c r="F2056" s="834"/>
      <c r="G2056" s="834"/>
    </row>
    <row r="2057" spans="1:8">
      <c r="C2057" s="739">
        <v>27091</v>
      </c>
      <c r="H2057" s="739" t="s">
        <v>17421</v>
      </c>
    </row>
    <row r="2058" spans="1:8">
      <c r="E2058" s="739">
        <v>18</v>
      </c>
      <c r="F2058" s="739">
        <v>5580</v>
      </c>
      <c r="G2058" s="739" t="s">
        <v>17204</v>
      </c>
      <c r="H2058" s="739" t="s">
        <v>7444</v>
      </c>
    </row>
    <row r="2060" spans="1:8">
      <c r="A2060" s="739" t="s">
        <v>17422</v>
      </c>
      <c r="E2060" s="834"/>
      <c r="F2060" s="834"/>
      <c r="G2060" s="834"/>
    </row>
    <row r="2061" spans="1:8">
      <c r="E2061" s="741">
        <v>380</v>
      </c>
      <c r="F2061" s="741">
        <v>5200</v>
      </c>
      <c r="G2061" s="739" t="s">
        <v>7776</v>
      </c>
      <c r="H2061" s="739" t="s">
        <v>17423</v>
      </c>
    </row>
    <row r="2062" spans="1:8">
      <c r="E2062" s="741">
        <v>355</v>
      </c>
      <c r="F2062" s="741">
        <v>4845</v>
      </c>
      <c r="G2062" s="739" t="s">
        <v>7776</v>
      </c>
      <c r="H2062" s="739" t="s">
        <v>7446</v>
      </c>
    </row>
    <row r="2063" spans="1:8">
      <c r="E2063" s="834"/>
      <c r="F2063" s="834"/>
      <c r="G2063" s="834"/>
      <c r="H2063" s="834"/>
    </row>
    <row r="2064" spans="1:8">
      <c r="A2064" s="739" t="s">
        <v>17424</v>
      </c>
    </row>
    <row r="2065" spans="1:8">
      <c r="C2065" s="739">
        <v>17000</v>
      </c>
      <c r="H2065" s="739" t="s">
        <v>17425</v>
      </c>
    </row>
    <row r="2066" spans="1:8">
      <c r="E2066" s="834"/>
      <c r="F2066" s="834"/>
      <c r="G2066" s="834"/>
      <c r="H2066" s="834"/>
    </row>
    <row r="2067" spans="1:8">
      <c r="A2067" s="739" t="s">
        <v>17426</v>
      </c>
      <c r="E2067" s="834"/>
      <c r="F2067" s="834"/>
      <c r="G2067" s="834"/>
    </row>
    <row r="2068" spans="1:8" ht="66">
      <c r="C2068" s="739">
        <v>120030</v>
      </c>
      <c r="E2068" s="834"/>
      <c r="F2068" s="834"/>
      <c r="G2068" s="834"/>
      <c r="H2068" s="836" t="s">
        <v>17427</v>
      </c>
    </row>
    <row r="2069" spans="1:8">
      <c r="E2069" s="834"/>
      <c r="F2069" s="834"/>
      <c r="G2069" s="834"/>
      <c r="H2069" s="834"/>
    </row>
    <row r="2070" spans="1:8" s="845" customFormat="1">
      <c r="A2070" s="845" t="s">
        <v>17428</v>
      </c>
    </row>
    <row r="2071" spans="1:8" s="845" customFormat="1">
      <c r="E2071" s="845">
        <v>47</v>
      </c>
      <c r="F2071" s="845">
        <v>4798</v>
      </c>
      <c r="G2071" s="845" t="s">
        <v>17040</v>
      </c>
      <c r="H2071" s="845" t="s">
        <v>17429</v>
      </c>
    </row>
    <row r="2073" spans="1:8">
      <c r="A2073" s="739" t="s">
        <v>12657</v>
      </c>
      <c r="E2073" s="834"/>
      <c r="F2073" s="834"/>
      <c r="G2073" s="834"/>
    </row>
    <row r="2074" spans="1:8">
      <c r="C2074" s="739">
        <v>22827</v>
      </c>
      <c r="H2074" s="739" t="s">
        <v>17430</v>
      </c>
    </row>
    <row r="2075" spans="1:8">
      <c r="C2075" s="739">
        <v>48800</v>
      </c>
      <c r="H2075" s="739" t="s">
        <v>17431</v>
      </c>
    </row>
    <row r="2076" spans="1:8">
      <c r="C2076" s="739">
        <v>63248</v>
      </c>
      <c r="H2076" s="739" t="s">
        <v>17432</v>
      </c>
    </row>
    <row r="2077" spans="1:8">
      <c r="E2077" s="834"/>
      <c r="F2077" s="834"/>
      <c r="G2077" s="834"/>
      <c r="H2077" s="834"/>
    </row>
    <row r="2078" spans="1:8" s="845" customFormat="1">
      <c r="A2078" s="845" t="s">
        <v>17433</v>
      </c>
    </row>
    <row r="2079" spans="1:8" s="845" customFormat="1">
      <c r="E2079" s="845">
        <v>200</v>
      </c>
      <c r="F2079" s="845">
        <v>4598</v>
      </c>
      <c r="G2079" s="845" t="s">
        <v>17194</v>
      </c>
      <c r="H2079" s="845" t="s">
        <v>17434</v>
      </c>
    </row>
    <row r="2080" spans="1:8">
      <c r="E2080" s="739">
        <v>45</v>
      </c>
      <c r="F2080" s="739">
        <v>4553</v>
      </c>
      <c r="G2080" s="739" t="s">
        <v>17435</v>
      </c>
      <c r="H2080" s="739" t="s">
        <v>17436</v>
      </c>
    </row>
    <row r="2081" spans="1:8">
      <c r="E2081" s="739">
        <v>1205</v>
      </c>
      <c r="F2081" s="739">
        <v>3348</v>
      </c>
      <c r="G2081" s="739" t="s">
        <v>17113</v>
      </c>
      <c r="H2081" s="739" t="s">
        <v>17437</v>
      </c>
    </row>
    <row r="2083" spans="1:8">
      <c r="A2083" s="739" t="s">
        <v>17438</v>
      </c>
    </row>
    <row r="2084" spans="1:8">
      <c r="C2084" s="739">
        <v>22819</v>
      </c>
      <c r="H2084" s="739" t="s">
        <v>12666</v>
      </c>
    </row>
    <row r="2085" spans="1:8">
      <c r="E2085" s="834"/>
      <c r="F2085" s="834"/>
      <c r="G2085" s="834"/>
      <c r="H2085" s="834"/>
    </row>
    <row r="2086" spans="1:8">
      <c r="A2086" s="739" t="s">
        <v>17439</v>
      </c>
      <c r="E2086" s="834"/>
      <c r="F2086" s="834"/>
      <c r="G2086" s="834"/>
      <c r="H2086" s="834"/>
    </row>
    <row r="2087" spans="1:8">
      <c r="E2087" s="741">
        <v>50</v>
      </c>
      <c r="F2087" s="741">
        <v>3298</v>
      </c>
      <c r="G2087" s="739" t="s">
        <v>17204</v>
      </c>
      <c r="H2087" s="739" t="s">
        <v>17440</v>
      </c>
    </row>
    <row r="2088" spans="1:8">
      <c r="E2088" s="739">
        <v>200</v>
      </c>
      <c r="F2088" s="739">
        <v>3098</v>
      </c>
      <c r="G2088" s="739" t="s">
        <v>7776</v>
      </c>
      <c r="H2088" s="739" t="s">
        <v>17441</v>
      </c>
    </row>
    <row r="2090" spans="1:8">
      <c r="A2090" s="739" t="s">
        <v>17442</v>
      </c>
      <c r="E2090" s="834"/>
      <c r="F2090" s="834"/>
      <c r="G2090" s="834"/>
    </row>
    <row r="2091" spans="1:8">
      <c r="E2091" s="741">
        <v>175</v>
      </c>
      <c r="F2091" s="741">
        <v>2923</v>
      </c>
      <c r="G2091" s="739" t="s">
        <v>17040</v>
      </c>
      <c r="H2091" s="739" t="s">
        <v>17443</v>
      </c>
    </row>
    <row r="2092" spans="1:8">
      <c r="E2092" s="741">
        <v>160</v>
      </c>
      <c r="F2092" s="741">
        <v>2763</v>
      </c>
      <c r="G2092" s="739" t="s">
        <v>17040</v>
      </c>
      <c r="H2092" s="739" t="s">
        <v>7466</v>
      </c>
    </row>
    <row r="2094" spans="1:8">
      <c r="A2094" s="739" t="s">
        <v>17444</v>
      </c>
      <c r="E2094" s="834"/>
      <c r="F2094" s="834"/>
      <c r="G2094" s="834"/>
    </row>
    <row r="2095" spans="1:8">
      <c r="E2095" s="741">
        <v>375</v>
      </c>
      <c r="F2095" s="741">
        <v>2388</v>
      </c>
      <c r="G2095" s="739" t="s">
        <v>17257</v>
      </c>
      <c r="H2095" s="739" t="s">
        <v>17445</v>
      </c>
    </row>
    <row r="2096" spans="1:8">
      <c r="E2096" s="741">
        <v>325</v>
      </c>
      <c r="F2096" s="741">
        <v>2063</v>
      </c>
      <c r="G2096" s="739" t="s">
        <v>7776</v>
      </c>
      <c r="H2096" s="739" t="s">
        <v>17445</v>
      </c>
    </row>
    <row r="2098" spans="1:8">
      <c r="A2098" s="739" t="s">
        <v>17446</v>
      </c>
      <c r="E2098" s="834"/>
      <c r="F2098" s="834"/>
      <c r="G2098" s="834"/>
    </row>
    <row r="2099" spans="1:8">
      <c r="E2099" s="741">
        <v>117</v>
      </c>
      <c r="F2099" s="741">
        <v>1946</v>
      </c>
      <c r="G2099" s="739" t="s">
        <v>17141</v>
      </c>
      <c r="H2099" s="739" t="s">
        <v>17273</v>
      </c>
    </row>
    <row r="2100" spans="1:8">
      <c r="E2100" s="741">
        <v>40</v>
      </c>
      <c r="F2100" s="741">
        <v>1906</v>
      </c>
      <c r="G2100" s="739" t="s">
        <v>17076</v>
      </c>
      <c r="H2100" s="739" t="s">
        <v>17274</v>
      </c>
    </row>
    <row r="2102" spans="1:8">
      <c r="A2102" s="739" t="s">
        <v>17447</v>
      </c>
      <c r="E2102" s="834"/>
      <c r="F2102" s="834"/>
      <c r="G2102" s="834"/>
    </row>
    <row r="2103" spans="1:8">
      <c r="E2103" s="741">
        <v>125</v>
      </c>
      <c r="F2103" s="741">
        <v>1781</v>
      </c>
      <c r="G2103" s="739" t="s">
        <v>17141</v>
      </c>
      <c r="H2103" s="739" t="s">
        <v>17273</v>
      </c>
    </row>
    <row r="2104" spans="1:8">
      <c r="E2104" s="741">
        <v>110</v>
      </c>
      <c r="F2104" s="741">
        <v>1671</v>
      </c>
      <c r="G2104" s="739" t="s">
        <v>17141</v>
      </c>
      <c r="H2104" s="739" t="s">
        <v>17274</v>
      </c>
    </row>
    <row r="2105" spans="1:8">
      <c r="E2105" s="739">
        <v>1205</v>
      </c>
      <c r="F2105" s="739">
        <v>466</v>
      </c>
      <c r="G2105" s="739" t="s">
        <v>17113</v>
      </c>
      <c r="H2105" s="739" t="s">
        <v>17448</v>
      </c>
    </row>
    <row r="2106" spans="1:8">
      <c r="D2106" s="739">
        <v>5000</v>
      </c>
      <c r="E2106" s="741"/>
      <c r="F2106" s="741">
        <v>5466</v>
      </c>
      <c r="H2106" s="739" t="s">
        <v>463</v>
      </c>
    </row>
    <row r="2108" spans="1:8">
      <c r="A2108" s="739" t="s">
        <v>7472</v>
      </c>
      <c r="E2108" s="834"/>
      <c r="F2108" s="834"/>
      <c r="G2108" s="834"/>
    </row>
    <row r="2109" spans="1:8">
      <c r="E2109" s="741">
        <v>71</v>
      </c>
      <c r="F2109" s="741">
        <v>5395</v>
      </c>
      <c r="G2109" s="739" t="s">
        <v>17040</v>
      </c>
      <c r="H2109" s="739" t="s">
        <v>17449</v>
      </c>
    </row>
    <row r="2110" spans="1:8">
      <c r="E2110" s="741">
        <v>160</v>
      </c>
      <c r="F2110" s="741">
        <v>5235</v>
      </c>
      <c r="G2110" s="739" t="s">
        <v>17040</v>
      </c>
      <c r="H2110" s="739" t="s">
        <v>17450</v>
      </c>
    </row>
    <row r="2111" spans="1:8">
      <c r="E2111" s="741">
        <v>160</v>
      </c>
      <c r="F2111" s="741">
        <v>5075</v>
      </c>
      <c r="G2111" s="739" t="s">
        <v>17257</v>
      </c>
      <c r="H2111" s="739" t="s">
        <v>17450</v>
      </c>
    </row>
    <row r="2112" spans="1:8">
      <c r="E2112" s="741">
        <v>71</v>
      </c>
      <c r="F2112" s="741">
        <v>5004</v>
      </c>
      <c r="G2112" s="739" t="s">
        <v>17040</v>
      </c>
      <c r="H2112" s="739" t="s">
        <v>17449</v>
      </c>
    </row>
    <row r="2113" spans="1:8">
      <c r="E2113" s="741">
        <v>188</v>
      </c>
      <c r="F2113" s="741">
        <v>4816</v>
      </c>
      <c r="G2113" s="741" t="s">
        <v>17176</v>
      </c>
      <c r="H2113" s="739" t="s">
        <v>17451</v>
      </c>
    </row>
    <row r="2115" spans="1:8">
      <c r="A2115" s="739" t="s">
        <v>17452</v>
      </c>
      <c r="E2115" s="834"/>
      <c r="F2115" s="834"/>
      <c r="G2115" s="834"/>
    </row>
    <row r="2116" spans="1:8">
      <c r="E2116" s="741">
        <v>230</v>
      </c>
      <c r="F2116" s="741">
        <v>4586</v>
      </c>
      <c r="G2116" s="739" t="s">
        <v>17040</v>
      </c>
      <c r="H2116" s="739" t="s">
        <v>17453</v>
      </c>
    </row>
    <row r="2117" spans="1:8">
      <c r="E2117" s="741">
        <v>70</v>
      </c>
      <c r="F2117" s="741">
        <v>4516</v>
      </c>
      <c r="G2117" s="739" t="s">
        <v>7776</v>
      </c>
      <c r="H2117" s="739" t="s">
        <v>17453</v>
      </c>
    </row>
    <row r="2118" spans="1:8">
      <c r="E2118" s="741">
        <v>20</v>
      </c>
      <c r="F2118" s="741">
        <v>4496</v>
      </c>
      <c r="G2118" s="739" t="s">
        <v>17040</v>
      </c>
      <c r="H2118" s="739" t="s">
        <v>17453</v>
      </c>
    </row>
    <row r="2119" spans="1:8">
      <c r="E2119" s="741">
        <v>32</v>
      </c>
      <c r="F2119" s="741">
        <v>4464</v>
      </c>
      <c r="G2119" s="739" t="s">
        <v>17040</v>
      </c>
      <c r="H2119" s="739" t="s">
        <v>17454</v>
      </c>
    </row>
    <row r="2120" spans="1:8">
      <c r="E2120" s="741">
        <v>43</v>
      </c>
      <c r="F2120" s="741">
        <v>4421</v>
      </c>
      <c r="G2120" s="739" t="s">
        <v>17331</v>
      </c>
      <c r="H2120" s="739" t="s">
        <v>17455</v>
      </c>
    </row>
    <row r="2121" spans="1:8">
      <c r="E2121" s="834"/>
      <c r="F2121" s="834"/>
      <c r="G2121" s="834"/>
      <c r="H2121" s="834"/>
    </row>
    <row r="2122" spans="1:8">
      <c r="A2122" s="739" t="s">
        <v>7480</v>
      </c>
    </row>
    <row r="2123" spans="1:8">
      <c r="C2123" s="739">
        <v>17000</v>
      </c>
      <c r="H2123" s="739" t="s">
        <v>7481</v>
      </c>
    </row>
    <row r="2125" spans="1:8">
      <c r="A2125" s="739" t="s">
        <v>17456</v>
      </c>
      <c r="E2125" s="834"/>
      <c r="F2125" s="834"/>
      <c r="G2125" s="834"/>
    </row>
    <row r="2126" spans="1:8">
      <c r="E2126" s="741">
        <v>70</v>
      </c>
      <c r="F2126" s="741">
        <v>4351</v>
      </c>
      <c r="G2126" s="739" t="s">
        <v>17040</v>
      </c>
      <c r="H2126" s="739" t="s">
        <v>7483</v>
      </c>
    </row>
    <row r="2127" spans="1:8">
      <c r="E2127" s="741">
        <v>90</v>
      </c>
      <c r="F2127" s="741">
        <v>4261</v>
      </c>
      <c r="G2127" s="739" t="s">
        <v>17040</v>
      </c>
      <c r="H2127" s="739" t="s">
        <v>17457</v>
      </c>
    </row>
    <row r="2128" spans="1:8">
      <c r="E2128" s="741">
        <v>20</v>
      </c>
      <c r="F2128" s="741">
        <v>4241</v>
      </c>
      <c r="G2128" s="739" t="s">
        <v>7776</v>
      </c>
      <c r="H2128" s="739" t="s">
        <v>17458</v>
      </c>
    </row>
    <row r="2130" spans="1:8">
      <c r="A2130" s="739" t="s">
        <v>17459</v>
      </c>
      <c r="E2130" s="834"/>
      <c r="F2130" s="834"/>
      <c r="G2130" s="834"/>
    </row>
    <row r="2131" spans="1:8">
      <c r="C2131" s="739">
        <v>22827</v>
      </c>
      <c r="H2131" s="739" t="s">
        <v>17460</v>
      </c>
    </row>
    <row r="2132" spans="1:8">
      <c r="C2132" s="739">
        <v>25500</v>
      </c>
      <c r="H2132" s="739" t="s">
        <v>17461</v>
      </c>
    </row>
    <row r="2133" spans="1:8">
      <c r="C2133" s="739">
        <v>63248</v>
      </c>
      <c r="H2133" s="739" t="s">
        <v>17462</v>
      </c>
    </row>
    <row r="2134" spans="1:8">
      <c r="E2134" s="741">
        <v>20</v>
      </c>
      <c r="F2134" s="741">
        <v>4221</v>
      </c>
      <c r="G2134" s="739" t="s">
        <v>17040</v>
      </c>
      <c r="H2134" s="739" t="s">
        <v>7485</v>
      </c>
    </row>
    <row r="2135" spans="1:8">
      <c r="E2135" s="741">
        <v>95</v>
      </c>
      <c r="F2135" s="741">
        <v>4126</v>
      </c>
      <c r="G2135" s="739" t="s">
        <v>17040</v>
      </c>
      <c r="H2135" s="739" t="s">
        <v>17463</v>
      </c>
    </row>
    <row r="2136" spans="1:8">
      <c r="E2136" s="741">
        <v>70</v>
      </c>
      <c r="F2136" s="741">
        <v>4056</v>
      </c>
      <c r="G2136" s="739" t="s">
        <v>17040</v>
      </c>
      <c r="H2136" s="739" t="s">
        <v>17463</v>
      </c>
    </row>
    <row r="2137" spans="1:8">
      <c r="E2137" s="741">
        <v>20</v>
      </c>
      <c r="F2137" s="741">
        <v>4036</v>
      </c>
      <c r="G2137" s="739" t="s">
        <v>17040</v>
      </c>
      <c r="H2137" s="739" t="s">
        <v>17464</v>
      </c>
    </row>
    <row r="2139" spans="1:8">
      <c r="A2139" s="739" t="s">
        <v>17465</v>
      </c>
      <c r="E2139" s="834"/>
      <c r="F2139" s="834"/>
      <c r="G2139" s="834"/>
    </row>
    <row r="2140" spans="1:8">
      <c r="C2140" s="739">
        <v>28287</v>
      </c>
      <c r="H2140" s="739" t="s">
        <v>17466</v>
      </c>
    </row>
    <row r="2141" spans="1:8">
      <c r="E2141" s="834"/>
      <c r="F2141" s="834"/>
      <c r="G2141" s="834"/>
      <c r="H2141" s="834"/>
    </row>
    <row r="2142" spans="1:8" s="845" customFormat="1">
      <c r="A2142" s="845" t="s">
        <v>17467</v>
      </c>
    </row>
    <row r="2143" spans="1:8">
      <c r="E2143" s="739">
        <v>35</v>
      </c>
      <c r="F2143" s="739">
        <v>4001</v>
      </c>
      <c r="G2143" s="739" t="s">
        <v>17098</v>
      </c>
      <c r="H2143" s="739" t="s">
        <v>17468</v>
      </c>
    </row>
    <row r="2144" spans="1:8">
      <c r="E2144" s="834"/>
      <c r="F2144" s="834"/>
      <c r="G2144" s="834"/>
      <c r="H2144" s="834"/>
    </row>
    <row r="2145" spans="1:8" s="845" customFormat="1">
      <c r="A2145" s="845" t="s">
        <v>12703</v>
      </c>
    </row>
    <row r="2146" spans="1:8">
      <c r="E2146" s="739">
        <v>100</v>
      </c>
      <c r="F2146" s="739">
        <v>3901</v>
      </c>
      <c r="G2146" s="739" t="s">
        <v>17098</v>
      </c>
      <c r="H2146" s="739" t="s">
        <v>17469</v>
      </c>
    </row>
    <row r="2148" spans="1:8">
      <c r="A2148" s="739" t="s">
        <v>7498</v>
      </c>
      <c r="E2148" s="834"/>
      <c r="F2148" s="834"/>
      <c r="G2148" s="834"/>
    </row>
    <row r="2149" spans="1:8">
      <c r="E2149" s="741">
        <v>110</v>
      </c>
      <c r="F2149" s="741">
        <v>3791</v>
      </c>
      <c r="G2149" s="739" t="s">
        <v>17331</v>
      </c>
      <c r="H2149" s="739" t="s">
        <v>17470</v>
      </c>
    </row>
    <row r="2150" spans="1:8">
      <c r="E2150" s="834"/>
      <c r="F2150" s="834"/>
      <c r="G2150" s="834"/>
      <c r="H2150" s="834"/>
    </row>
    <row r="2151" spans="1:8" s="845" customFormat="1">
      <c r="A2151" s="845" t="s">
        <v>17471</v>
      </c>
    </row>
    <row r="2152" spans="1:8">
      <c r="E2152" s="739">
        <v>60</v>
      </c>
      <c r="F2152" s="739">
        <v>3731</v>
      </c>
      <c r="G2152" s="739" t="s">
        <v>17435</v>
      </c>
      <c r="H2152" s="739" t="s">
        <v>17472</v>
      </c>
    </row>
    <row r="2154" spans="1:8">
      <c r="A2154" s="739" t="s">
        <v>17473</v>
      </c>
      <c r="E2154" s="834"/>
      <c r="F2154" s="834"/>
      <c r="G2154" s="834"/>
    </row>
    <row r="2155" spans="1:8">
      <c r="E2155" s="741">
        <v>130</v>
      </c>
      <c r="F2155" s="741">
        <v>3601</v>
      </c>
      <c r="G2155" s="739" t="s">
        <v>7776</v>
      </c>
      <c r="H2155" s="739" t="s">
        <v>17474</v>
      </c>
    </row>
    <row r="2156" spans="1:8">
      <c r="E2156" s="741">
        <v>140</v>
      </c>
      <c r="F2156" s="741">
        <v>3461</v>
      </c>
      <c r="G2156" s="739" t="s">
        <v>7776</v>
      </c>
      <c r="H2156" s="739" t="s">
        <v>17474</v>
      </c>
    </row>
    <row r="2158" spans="1:8">
      <c r="A2158" s="739" t="s">
        <v>17475</v>
      </c>
      <c r="E2158" s="834"/>
      <c r="F2158" s="834"/>
      <c r="G2158" s="834"/>
    </row>
    <row r="2159" spans="1:8">
      <c r="E2159" s="741">
        <v>263</v>
      </c>
      <c r="F2159" s="741">
        <v>3198</v>
      </c>
      <c r="G2159" s="739" t="s">
        <v>6972</v>
      </c>
      <c r="H2159" s="739" t="s">
        <v>17476</v>
      </c>
    </row>
    <row r="2160" spans="1:8">
      <c r="C2160" s="739">
        <v>20030</v>
      </c>
      <c r="E2160" s="834"/>
      <c r="F2160" s="834"/>
      <c r="G2160" s="834"/>
      <c r="H2160" s="741" t="s">
        <v>17477</v>
      </c>
    </row>
    <row r="2161" spans="1:8">
      <c r="E2161" s="834"/>
      <c r="F2161" s="834"/>
      <c r="G2161" s="834"/>
      <c r="H2161" s="741"/>
    </row>
    <row r="2162" spans="1:8">
      <c r="A2162" s="739" t="s">
        <v>17478</v>
      </c>
      <c r="E2162" s="834"/>
      <c r="F2162" s="834"/>
      <c r="G2162" s="834"/>
      <c r="H2162" s="741"/>
    </row>
    <row r="2163" spans="1:8">
      <c r="C2163" s="739">
        <v>5000</v>
      </c>
      <c r="E2163" s="834"/>
      <c r="F2163" s="741">
        <v>8198</v>
      </c>
      <c r="G2163" s="834"/>
      <c r="H2163" s="741" t="s">
        <v>16884</v>
      </c>
    </row>
    <row r="2164" spans="1:8">
      <c r="E2164" s="834"/>
      <c r="F2164" s="834"/>
      <c r="G2164" s="834"/>
      <c r="H2164" s="741"/>
    </row>
    <row r="2165" spans="1:8">
      <c r="A2165" s="739" t="s">
        <v>17479</v>
      </c>
      <c r="E2165" s="834"/>
      <c r="F2165" s="834"/>
      <c r="G2165" s="834"/>
      <c r="H2165" s="741"/>
    </row>
    <row r="2166" spans="1:8">
      <c r="E2166" s="739">
        <v>1205</v>
      </c>
      <c r="F2166" s="739">
        <v>6993</v>
      </c>
      <c r="G2166" s="739" t="s">
        <v>17113</v>
      </c>
      <c r="H2166" s="739" t="s">
        <v>17480</v>
      </c>
    </row>
    <row r="2167" spans="1:8">
      <c r="E2167" s="834"/>
      <c r="F2167" s="834"/>
      <c r="G2167" s="834"/>
      <c r="H2167" s="741"/>
    </row>
    <row r="2168" spans="1:8">
      <c r="A2168" s="739" t="s">
        <v>17481</v>
      </c>
      <c r="E2168" s="834"/>
      <c r="F2168" s="834"/>
      <c r="G2168" s="834"/>
      <c r="H2168" s="741"/>
    </row>
    <row r="2169" spans="1:8" s="741" customFormat="1">
      <c r="E2169" s="741">
        <v>32</v>
      </c>
      <c r="F2169" s="741">
        <v>6961</v>
      </c>
      <c r="G2169" s="739" t="s">
        <v>17040</v>
      </c>
      <c r="H2169" s="739" t="s">
        <v>17482</v>
      </c>
    </row>
    <row r="2170" spans="1:8">
      <c r="E2170" s="741">
        <v>18</v>
      </c>
      <c r="F2170" s="741">
        <v>6943</v>
      </c>
      <c r="G2170" s="739" t="s">
        <v>17204</v>
      </c>
      <c r="H2170" s="739" t="s">
        <v>7512</v>
      </c>
    </row>
    <row r="2171" spans="1:8">
      <c r="E2171" s="834"/>
      <c r="F2171" s="834"/>
      <c r="G2171" s="834"/>
      <c r="H2171" s="834"/>
    </row>
    <row r="2172" spans="1:8">
      <c r="A2172" s="739" t="s">
        <v>17483</v>
      </c>
    </row>
    <row r="2173" spans="1:8">
      <c r="C2173" s="739">
        <v>17000</v>
      </c>
      <c r="H2173" s="739" t="s">
        <v>17484</v>
      </c>
    </row>
    <row r="2175" spans="1:8">
      <c r="A2175" s="739" t="s">
        <v>17485</v>
      </c>
      <c r="E2175" s="834"/>
      <c r="F2175" s="834"/>
      <c r="G2175" s="834"/>
    </row>
    <row r="2176" spans="1:8">
      <c r="C2176" s="739">
        <v>42011</v>
      </c>
      <c r="H2176" s="739" t="s">
        <v>17486</v>
      </c>
    </row>
    <row r="2177" spans="1:8">
      <c r="H2177" s="836"/>
    </row>
    <row r="2178" spans="1:8">
      <c r="A2178" s="739" t="s">
        <v>17487</v>
      </c>
      <c r="E2178" s="834"/>
      <c r="F2178" s="834"/>
      <c r="G2178" s="834"/>
    </row>
    <row r="2179" spans="1:8">
      <c r="C2179" s="739">
        <v>22827</v>
      </c>
      <c r="H2179" s="739" t="s">
        <v>17488</v>
      </c>
    </row>
    <row r="2180" spans="1:8">
      <c r="C2180" s="739">
        <v>63248</v>
      </c>
      <c r="H2180" s="739" t="s">
        <v>7519</v>
      </c>
    </row>
    <row r="2181" spans="1:8">
      <c r="C2181" s="739">
        <v>20500</v>
      </c>
      <c r="H2181" s="739" t="s">
        <v>17489</v>
      </c>
    </row>
    <row r="2182" spans="1:8">
      <c r="C2182" s="739">
        <v>14363</v>
      </c>
      <c r="H2182" s="739" t="s">
        <v>17490</v>
      </c>
    </row>
    <row r="2184" spans="1:8">
      <c r="A2184" s="739" t="s">
        <v>17491</v>
      </c>
    </row>
    <row r="2185" spans="1:8">
      <c r="C2185" s="739">
        <v>11035</v>
      </c>
      <c r="H2185" s="739" t="s">
        <v>17492</v>
      </c>
    </row>
    <row r="2187" spans="1:8">
      <c r="A2187" s="739" t="s">
        <v>7524</v>
      </c>
    </row>
    <row r="2188" spans="1:8">
      <c r="E2188" s="741">
        <v>50</v>
      </c>
      <c r="F2188" s="741">
        <v>6853</v>
      </c>
      <c r="G2188" s="739" t="s">
        <v>7776</v>
      </c>
      <c r="H2188" s="741" t="s">
        <v>17493</v>
      </c>
    </row>
    <row r="2189" spans="1:8">
      <c r="E2189" s="741">
        <v>45</v>
      </c>
      <c r="F2189" s="741">
        <v>6848</v>
      </c>
      <c r="G2189" s="739" t="s">
        <v>17494</v>
      </c>
      <c r="H2189" s="741" t="s">
        <v>7526</v>
      </c>
    </row>
    <row r="2191" spans="1:8">
      <c r="A2191" s="739" t="s">
        <v>17495</v>
      </c>
    </row>
    <row r="2192" spans="1:8">
      <c r="E2192" s="741">
        <v>30</v>
      </c>
      <c r="F2192" s="741">
        <v>6818</v>
      </c>
      <c r="G2192" s="739" t="s">
        <v>17040</v>
      </c>
      <c r="H2192" s="741" t="s">
        <v>7528</v>
      </c>
    </row>
    <row r="2193" spans="1:8">
      <c r="E2193" s="834"/>
      <c r="F2193" s="834"/>
      <c r="G2193" s="834"/>
      <c r="H2193" s="834"/>
    </row>
    <row r="2194" spans="1:8">
      <c r="A2194" s="739" t="s">
        <v>12738</v>
      </c>
    </row>
    <row r="2195" spans="1:8">
      <c r="E2195" s="741">
        <v>220</v>
      </c>
      <c r="F2195" s="741">
        <v>6598</v>
      </c>
      <c r="G2195" s="741" t="s">
        <v>6937</v>
      </c>
      <c r="H2195" s="739" t="s">
        <v>17451</v>
      </c>
    </row>
    <row r="2196" spans="1:8">
      <c r="E2196" s="739">
        <v>1205</v>
      </c>
      <c r="F2196" s="739">
        <v>5393</v>
      </c>
      <c r="G2196" s="739" t="s">
        <v>17113</v>
      </c>
      <c r="H2196" s="739" t="s">
        <v>17496</v>
      </c>
    </row>
    <row r="2197" spans="1:8">
      <c r="E2197" s="741">
        <v>84</v>
      </c>
      <c r="F2197" s="741">
        <v>5309</v>
      </c>
      <c r="G2197" s="739" t="s">
        <v>17331</v>
      </c>
      <c r="H2197" s="741" t="s">
        <v>17497</v>
      </c>
    </row>
    <row r="2198" spans="1:8">
      <c r="E2198" s="741">
        <v>90</v>
      </c>
      <c r="F2198" s="741">
        <v>5219</v>
      </c>
      <c r="G2198" s="739" t="s">
        <v>17331</v>
      </c>
      <c r="H2198" s="741" t="s">
        <v>17498</v>
      </c>
    </row>
    <row r="2199" spans="1:8">
      <c r="E2199" s="834"/>
      <c r="F2199" s="834"/>
      <c r="G2199" s="834"/>
      <c r="H2199" s="834"/>
    </row>
    <row r="2200" spans="1:8">
      <c r="A2200" s="739" t="s">
        <v>17499</v>
      </c>
      <c r="E2200" s="834"/>
      <c r="F2200" s="834"/>
      <c r="G2200" s="834"/>
      <c r="H2200" s="834"/>
    </row>
    <row r="2201" spans="1:8">
      <c r="E2201" s="741">
        <v>144</v>
      </c>
      <c r="F2201" s="741">
        <v>5075</v>
      </c>
      <c r="G2201" s="739" t="s">
        <v>17204</v>
      </c>
      <c r="H2201" s="739" t="s">
        <v>17500</v>
      </c>
    </row>
    <row r="2202" spans="1:8">
      <c r="E2202" s="739">
        <v>119</v>
      </c>
      <c r="F2202" s="741">
        <v>4956</v>
      </c>
      <c r="G2202" s="739" t="s">
        <v>17204</v>
      </c>
      <c r="H2202" s="739" t="s">
        <v>17164</v>
      </c>
    </row>
    <row r="2203" spans="1:8">
      <c r="E2203" s="834"/>
      <c r="F2203" s="834"/>
      <c r="G2203" s="834"/>
      <c r="H2203" s="834"/>
    </row>
    <row r="2204" spans="1:8">
      <c r="A2204" s="739" t="s">
        <v>17501</v>
      </c>
    </row>
    <row r="2205" spans="1:8">
      <c r="C2205" s="739">
        <v>17000</v>
      </c>
      <c r="H2205" s="739" t="s">
        <v>12745</v>
      </c>
    </row>
    <row r="2206" spans="1:8">
      <c r="C2206" s="739">
        <v>14430</v>
      </c>
      <c r="H2206" s="739" t="s">
        <v>17502</v>
      </c>
    </row>
    <row r="2207" spans="1:8">
      <c r="E2207" s="741">
        <v>25</v>
      </c>
      <c r="F2207" s="741">
        <v>4931</v>
      </c>
      <c r="G2207" s="739" t="s">
        <v>17141</v>
      </c>
      <c r="H2207" s="739" t="s">
        <v>7538</v>
      </c>
    </row>
    <row r="2209" spans="1:8">
      <c r="A2209" s="739" t="s">
        <v>17503</v>
      </c>
      <c r="E2209" s="834"/>
      <c r="F2209" s="834"/>
      <c r="G2209" s="834"/>
    </row>
    <row r="2210" spans="1:8">
      <c r="E2210" s="741">
        <v>365</v>
      </c>
      <c r="F2210" s="741">
        <v>4566</v>
      </c>
      <c r="G2210" s="739" t="s">
        <v>17040</v>
      </c>
      <c r="H2210" s="739" t="s">
        <v>17504</v>
      </c>
    </row>
    <row r="2211" spans="1:8">
      <c r="E2211" s="741">
        <v>350</v>
      </c>
      <c r="F2211" s="741">
        <v>4216</v>
      </c>
      <c r="G2211" s="739" t="s">
        <v>17040</v>
      </c>
      <c r="H2211" s="739" t="s">
        <v>7540</v>
      </c>
    </row>
    <row r="2212" spans="1:8">
      <c r="H2212" s="836"/>
    </row>
    <row r="2213" spans="1:8">
      <c r="A2213" s="739" t="s">
        <v>7541</v>
      </c>
      <c r="E2213" s="834"/>
      <c r="F2213" s="834"/>
      <c r="G2213" s="834"/>
    </row>
    <row r="2214" spans="1:8">
      <c r="C2214" s="739">
        <v>22827</v>
      </c>
      <c r="H2214" s="739" t="s">
        <v>17505</v>
      </c>
    </row>
    <row r="2215" spans="1:8">
      <c r="C2215" s="739">
        <v>63248</v>
      </c>
      <c r="H2215" s="739" t="s">
        <v>17506</v>
      </c>
    </row>
    <row r="2216" spans="1:8">
      <c r="E2216" s="834"/>
      <c r="F2216" s="834"/>
      <c r="G2216" s="834"/>
      <c r="H2216" s="834"/>
    </row>
    <row r="2217" spans="1:8">
      <c r="A2217" s="739" t="s">
        <v>17507</v>
      </c>
      <c r="E2217" s="834"/>
      <c r="F2217" s="834"/>
      <c r="G2217" s="834"/>
      <c r="H2217" s="834"/>
    </row>
    <row r="2218" spans="1:8">
      <c r="E2218" s="741">
        <v>99</v>
      </c>
      <c r="F2218" s="741">
        <v>4117</v>
      </c>
      <c r="G2218" s="739" t="s">
        <v>17508</v>
      </c>
      <c r="H2218" s="739" t="s">
        <v>17509</v>
      </c>
    </row>
    <row r="2219" spans="1:8">
      <c r="E2219" s="739">
        <v>25</v>
      </c>
      <c r="F2219" s="739">
        <v>4092</v>
      </c>
      <c r="G2219" s="739" t="s">
        <v>17098</v>
      </c>
      <c r="H2219" s="739" t="s">
        <v>17510</v>
      </c>
    </row>
    <row r="2220" spans="1:8">
      <c r="E2220" s="834"/>
      <c r="F2220" s="834"/>
      <c r="G2220" s="834"/>
      <c r="H2220" s="834"/>
    </row>
    <row r="2221" spans="1:8">
      <c r="A2221" s="739" t="s">
        <v>17511</v>
      </c>
      <c r="E2221" s="834"/>
      <c r="F2221" s="834"/>
      <c r="G2221" s="834"/>
      <c r="H2221" s="834"/>
    </row>
    <row r="2222" spans="1:8">
      <c r="E2222" s="741">
        <v>156</v>
      </c>
      <c r="F2222" s="741">
        <v>3936</v>
      </c>
      <c r="G2222" s="739" t="s">
        <v>6972</v>
      </c>
      <c r="H2222" s="739" t="s">
        <v>7548</v>
      </c>
    </row>
    <row r="2223" spans="1:8">
      <c r="E2223" s="741">
        <v>24</v>
      </c>
      <c r="F2223" s="741">
        <v>3912</v>
      </c>
      <c r="G2223" s="739" t="s">
        <v>17141</v>
      </c>
      <c r="H2223" s="739" t="s">
        <v>17274</v>
      </c>
    </row>
    <row r="2224" spans="1:8">
      <c r="E2224" s="834"/>
      <c r="F2224" s="834"/>
      <c r="G2224" s="834"/>
      <c r="H2224" s="834"/>
    </row>
    <row r="2225" spans="1:8" s="845" customFormat="1">
      <c r="A2225" s="845" t="s">
        <v>17512</v>
      </c>
    </row>
    <row r="2226" spans="1:8">
      <c r="E2226" s="739">
        <v>75</v>
      </c>
      <c r="F2226" s="739">
        <v>3837</v>
      </c>
      <c r="G2226" s="739" t="s">
        <v>6943</v>
      </c>
      <c r="H2226" s="739" t="s">
        <v>7550</v>
      </c>
    </row>
    <row r="2227" spans="1:8">
      <c r="E2227" s="834"/>
      <c r="F2227" s="834"/>
      <c r="G2227" s="834"/>
      <c r="H2227" s="834"/>
    </row>
    <row r="2228" spans="1:8" s="845" customFormat="1">
      <c r="A2228" s="845" t="s">
        <v>17513</v>
      </c>
    </row>
    <row r="2229" spans="1:8">
      <c r="E2229" s="739">
        <v>65</v>
      </c>
      <c r="F2229" s="739">
        <v>3772</v>
      </c>
      <c r="G2229" s="739" t="s">
        <v>17098</v>
      </c>
      <c r="H2229" s="739" t="s">
        <v>17514</v>
      </c>
    </row>
    <row r="2230" spans="1:8">
      <c r="E2230" s="741">
        <v>78</v>
      </c>
      <c r="F2230" s="741">
        <v>3694</v>
      </c>
      <c r="G2230" s="739" t="s">
        <v>17141</v>
      </c>
      <c r="H2230" s="739" t="s">
        <v>17515</v>
      </c>
    </row>
    <row r="2231" spans="1:8">
      <c r="E2231" s="834"/>
      <c r="F2231" s="834"/>
      <c r="G2231" s="834"/>
      <c r="H2231" s="834"/>
    </row>
    <row r="2232" spans="1:8" s="845" customFormat="1">
      <c r="A2232" s="845" t="s">
        <v>12763</v>
      </c>
    </row>
    <row r="2233" spans="1:8">
      <c r="C2233" s="739">
        <v>50000</v>
      </c>
      <c r="E2233" s="741"/>
      <c r="F2233" s="741"/>
      <c r="H2233" s="739" t="s">
        <v>17516</v>
      </c>
    </row>
    <row r="2234" spans="1:8">
      <c r="E2234" s="834"/>
      <c r="F2234" s="834"/>
      <c r="G2234" s="834"/>
      <c r="H2234" s="834"/>
    </row>
    <row r="2235" spans="1:8">
      <c r="A2235" s="739" t="s">
        <v>12765</v>
      </c>
    </row>
    <row r="2236" spans="1:8">
      <c r="E2236" s="739">
        <v>1205</v>
      </c>
      <c r="F2236" s="739">
        <v>2489</v>
      </c>
      <c r="G2236" s="739" t="s">
        <v>17113</v>
      </c>
      <c r="H2236" s="739" t="s">
        <v>17517</v>
      </c>
    </row>
    <row r="2237" spans="1:8">
      <c r="E2237" s="834"/>
      <c r="F2237" s="834"/>
      <c r="G2237" s="834"/>
      <c r="H2237" s="741"/>
    </row>
    <row r="2238" spans="1:8">
      <c r="A2238" s="739" t="s">
        <v>17518</v>
      </c>
      <c r="E2238" s="834"/>
      <c r="F2238" s="834"/>
      <c r="G2238" s="834"/>
      <c r="H2238" s="741"/>
    </row>
    <row r="2239" spans="1:8" s="741" customFormat="1">
      <c r="E2239" s="741">
        <v>32</v>
      </c>
      <c r="F2239" s="741">
        <v>2457</v>
      </c>
      <c r="G2239" s="739" t="s">
        <v>17040</v>
      </c>
      <c r="H2239" s="739" t="s">
        <v>17482</v>
      </c>
    </row>
    <row r="2240" spans="1:8">
      <c r="E2240" s="741">
        <v>18</v>
      </c>
      <c r="F2240" s="741">
        <v>2439</v>
      </c>
      <c r="G2240" s="739" t="s">
        <v>6913</v>
      </c>
      <c r="H2240" s="739" t="s">
        <v>17519</v>
      </c>
    </row>
    <row r="2241" spans="1:8">
      <c r="E2241" s="834"/>
      <c r="F2241" s="834"/>
      <c r="G2241" s="834"/>
      <c r="H2241" s="834"/>
    </row>
    <row r="2242" spans="1:8">
      <c r="A2242" s="739" t="s">
        <v>17520</v>
      </c>
    </row>
    <row r="2243" spans="1:8">
      <c r="C2243" s="739">
        <v>17000</v>
      </c>
      <c r="H2243" s="739" t="s">
        <v>17521</v>
      </c>
    </row>
    <row r="2244" spans="1:8">
      <c r="H2244" s="836"/>
    </row>
    <row r="2245" spans="1:8">
      <c r="A2245" s="739" t="s">
        <v>17522</v>
      </c>
      <c r="E2245" s="834"/>
      <c r="F2245" s="834"/>
      <c r="G2245" s="834"/>
    </row>
    <row r="2246" spans="1:8">
      <c r="C2246" s="739">
        <v>22827</v>
      </c>
      <c r="H2246" s="739" t="s">
        <v>17523</v>
      </c>
    </row>
    <row r="2247" spans="1:8">
      <c r="C2247" s="739">
        <v>63248</v>
      </c>
      <c r="H2247" s="739" t="s">
        <v>17524</v>
      </c>
    </row>
    <row r="2248" spans="1:8">
      <c r="E2248" s="739">
        <v>280</v>
      </c>
      <c r="F2248" s="741">
        <v>2159</v>
      </c>
      <c r="G2248" s="739" t="s">
        <v>17204</v>
      </c>
      <c r="H2248" s="739" t="s">
        <v>17525</v>
      </c>
    </row>
    <row r="2250" spans="1:8">
      <c r="A2250" s="739" t="s">
        <v>7565</v>
      </c>
    </row>
    <row r="2251" spans="1:8">
      <c r="C2251" s="739">
        <v>19921</v>
      </c>
      <c r="H2251" s="739" t="s">
        <v>17526</v>
      </c>
    </row>
    <row r="2252" spans="1:8">
      <c r="C2252" s="739">
        <v>5000</v>
      </c>
      <c r="H2252" s="739" t="s">
        <v>463</v>
      </c>
    </row>
    <row r="2253" spans="1:8">
      <c r="D2253" s="739">
        <v>5000</v>
      </c>
      <c r="F2253" s="741">
        <v>7159</v>
      </c>
      <c r="H2253" s="739" t="s">
        <v>16884</v>
      </c>
    </row>
    <row r="2254" spans="1:8">
      <c r="E2254" s="739">
        <v>500</v>
      </c>
      <c r="F2254" s="741">
        <v>6659</v>
      </c>
      <c r="G2254" s="739" t="s">
        <v>6943</v>
      </c>
      <c r="H2254" s="739" t="s">
        <v>12589</v>
      </c>
    </row>
    <row r="2255" spans="1:8">
      <c r="E2255" s="739">
        <v>125</v>
      </c>
      <c r="F2255" s="739">
        <v>6534</v>
      </c>
      <c r="G2255" s="739" t="s">
        <v>17098</v>
      </c>
      <c r="H2255" s="739" t="s">
        <v>7567</v>
      </c>
    </row>
    <row r="2256" spans="1:8">
      <c r="E2256" s="741"/>
      <c r="F2256" s="741"/>
      <c r="H2256" s="846"/>
    </row>
    <row r="2257" spans="1:8">
      <c r="A2257" s="739" t="s">
        <v>7568</v>
      </c>
      <c r="E2257" s="834"/>
      <c r="F2257" s="834"/>
      <c r="G2257" s="834"/>
      <c r="H2257" s="834"/>
    </row>
    <row r="2258" spans="1:8">
      <c r="C2258" s="739">
        <v>180000</v>
      </c>
      <c r="E2258" s="834"/>
      <c r="F2258" s="834"/>
      <c r="G2258" s="834"/>
      <c r="H2258" s="741" t="s">
        <v>17527</v>
      </c>
    </row>
    <row r="2259" spans="1:8">
      <c r="C2259" s="739">
        <v>14546</v>
      </c>
      <c r="E2259" s="834"/>
      <c r="F2259" s="834"/>
      <c r="G2259" s="834"/>
      <c r="H2259" s="741" t="s">
        <v>17528</v>
      </c>
    </row>
    <row r="2260" spans="1:8">
      <c r="E2260" s="834"/>
      <c r="F2260" s="834"/>
      <c r="G2260" s="834"/>
      <c r="H2260" s="834"/>
    </row>
    <row r="2261" spans="1:8">
      <c r="A2261" s="739" t="s">
        <v>17529</v>
      </c>
    </row>
    <row r="2262" spans="1:8">
      <c r="E2262" s="741">
        <v>230</v>
      </c>
      <c r="F2262" s="741">
        <v>6304</v>
      </c>
      <c r="G2262" s="741" t="s">
        <v>17176</v>
      </c>
      <c r="H2262" s="739" t="s">
        <v>17530</v>
      </c>
    </row>
    <row r="2263" spans="1:8">
      <c r="E2263" s="739">
        <v>1205</v>
      </c>
      <c r="F2263" s="739">
        <v>5099</v>
      </c>
      <c r="G2263" s="739" t="s">
        <v>7763</v>
      </c>
      <c r="H2263" s="739" t="s">
        <v>17531</v>
      </c>
    </row>
    <row r="2264" spans="1:8">
      <c r="E2264" s="739">
        <v>200</v>
      </c>
      <c r="F2264" s="739">
        <v>4899</v>
      </c>
      <c r="G2264" s="739" t="s">
        <v>17040</v>
      </c>
      <c r="H2264" s="739" t="s">
        <v>17532</v>
      </c>
    </row>
    <row r="2265" spans="1:8">
      <c r="E2265" s="834"/>
      <c r="F2265" s="834"/>
      <c r="G2265" s="834"/>
      <c r="H2265" s="834"/>
    </row>
    <row r="2266" spans="1:8">
      <c r="A2266" s="739" t="s">
        <v>17533</v>
      </c>
    </row>
    <row r="2267" spans="1:8">
      <c r="E2267" s="741">
        <v>57</v>
      </c>
      <c r="F2267" s="741">
        <v>4842</v>
      </c>
      <c r="G2267" s="739" t="s">
        <v>17331</v>
      </c>
      <c r="H2267" s="741" t="s">
        <v>17534</v>
      </c>
    </row>
    <row r="2268" spans="1:8">
      <c r="E2268" s="741">
        <v>220</v>
      </c>
      <c r="F2268" s="741">
        <v>4622</v>
      </c>
      <c r="G2268" s="739" t="s">
        <v>17331</v>
      </c>
      <c r="H2268" s="741" t="s">
        <v>17535</v>
      </c>
    </row>
    <row r="2269" spans="1:8">
      <c r="E2269" s="834"/>
      <c r="F2269" s="834"/>
      <c r="G2269" s="834"/>
      <c r="H2269" s="834"/>
    </row>
    <row r="2270" spans="1:8">
      <c r="A2270" s="739" t="s">
        <v>17536</v>
      </c>
    </row>
    <row r="2271" spans="1:8">
      <c r="C2271" s="739">
        <v>17000</v>
      </c>
      <c r="H2271" s="739" t="s">
        <v>12788</v>
      </c>
    </row>
    <row r="2272" spans="1:8">
      <c r="C2272" s="739">
        <v>21820</v>
      </c>
      <c r="H2272" s="739" t="s">
        <v>17537</v>
      </c>
    </row>
    <row r="2273" spans="1:8">
      <c r="E2273" s="834"/>
      <c r="F2273" s="834"/>
      <c r="G2273" s="834"/>
      <c r="H2273" s="834"/>
    </row>
    <row r="2274" spans="1:8">
      <c r="A2274" s="739" t="s">
        <v>7579</v>
      </c>
    </row>
    <row r="2275" spans="1:8">
      <c r="E2275" s="741">
        <v>190</v>
      </c>
      <c r="F2275" s="741">
        <v>4432</v>
      </c>
      <c r="G2275" s="739" t="s">
        <v>17076</v>
      </c>
      <c r="H2275" s="739" t="s">
        <v>17515</v>
      </c>
    </row>
    <row r="2276" spans="1:8">
      <c r="E2276" s="834"/>
      <c r="F2276" s="834"/>
      <c r="G2276" s="834"/>
      <c r="H2276" s="834"/>
    </row>
    <row r="2277" spans="1:8">
      <c r="A2277" s="739" t="s">
        <v>17538</v>
      </c>
    </row>
    <row r="2278" spans="1:8">
      <c r="E2278" s="741">
        <v>378</v>
      </c>
      <c r="F2278" s="741">
        <v>4054</v>
      </c>
      <c r="G2278" s="846" t="s">
        <v>465</v>
      </c>
      <c r="H2278" s="739" t="s">
        <v>17539</v>
      </c>
    </row>
    <row r="2279" spans="1:8">
      <c r="E2279" s="834"/>
      <c r="F2279" s="834"/>
      <c r="G2279" s="834"/>
      <c r="H2279" s="834"/>
    </row>
    <row r="2280" spans="1:8">
      <c r="A2280" s="739" t="s">
        <v>17540</v>
      </c>
    </row>
    <row r="2281" spans="1:8">
      <c r="E2281" s="739">
        <v>5</v>
      </c>
      <c r="F2281" s="739">
        <v>4049</v>
      </c>
      <c r="G2281" s="739" t="s">
        <v>17098</v>
      </c>
      <c r="H2281" s="739" t="s">
        <v>17541</v>
      </c>
    </row>
    <row r="2283" spans="1:8">
      <c r="A2283" s="739" t="s">
        <v>17542</v>
      </c>
      <c r="E2283" s="834"/>
      <c r="F2283" s="834"/>
      <c r="G2283" s="834"/>
    </row>
    <row r="2284" spans="1:8">
      <c r="E2284" s="741">
        <v>550</v>
      </c>
      <c r="F2284" s="741">
        <v>3499</v>
      </c>
      <c r="G2284" s="739" t="s">
        <v>17040</v>
      </c>
      <c r="H2284" s="739" t="s">
        <v>17386</v>
      </c>
    </row>
    <row r="2285" spans="1:8">
      <c r="E2285" s="741">
        <v>300</v>
      </c>
      <c r="F2285" s="741">
        <v>3199</v>
      </c>
      <c r="G2285" s="739" t="s">
        <v>17040</v>
      </c>
      <c r="H2285" s="739" t="s">
        <v>17543</v>
      </c>
    </row>
    <row r="2286" spans="1:8">
      <c r="E2286" s="834"/>
      <c r="F2286" s="834"/>
      <c r="G2286" s="834"/>
      <c r="H2286" s="834"/>
    </row>
    <row r="2287" spans="1:8">
      <c r="A2287" s="739" t="s">
        <v>17544</v>
      </c>
    </row>
    <row r="2288" spans="1:8">
      <c r="E2288" s="739">
        <v>74</v>
      </c>
      <c r="F2288" s="739">
        <v>3125</v>
      </c>
      <c r="G2288" s="739" t="s">
        <v>17098</v>
      </c>
      <c r="H2288" s="739" t="s">
        <v>17545</v>
      </c>
    </row>
    <row r="2289" spans="1:8">
      <c r="E2289" s="834"/>
      <c r="F2289" s="834"/>
      <c r="G2289" s="834"/>
      <c r="H2289" s="834"/>
    </row>
    <row r="2290" spans="1:8">
      <c r="A2290" s="739" t="s">
        <v>12798</v>
      </c>
    </row>
    <row r="2291" spans="1:8">
      <c r="E2291" s="739">
        <v>1205</v>
      </c>
      <c r="F2291" s="739">
        <v>1920</v>
      </c>
      <c r="G2291" s="739" t="s">
        <v>7763</v>
      </c>
      <c r="H2291" s="739" t="s">
        <v>17546</v>
      </c>
    </row>
    <row r="2292" spans="1:8">
      <c r="E2292" s="741">
        <v>330</v>
      </c>
      <c r="F2292" s="741">
        <v>1590</v>
      </c>
      <c r="G2292" s="739" t="s">
        <v>7774</v>
      </c>
      <c r="H2292" s="741" t="s">
        <v>17547</v>
      </c>
    </row>
    <row r="2293" spans="1:8">
      <c r="E2293" s="834"/>
      <c r="F2293" s="834"/>
      <c r="G2293" s="834"/>
      <c r="H2293" s="834"/>
    </row>
    <row r="2294" spans="1:8">
      <c r="A2294" s="739" t="s">
        <v>17548</v>
      </c>
    </row>
    <row r="2295" spans="1:8">
      <c r="E2295" s="741">
        <v>18</v>
      </c>
      <c r="F2295" s="741">
        <v>1572</v>
      </c>
      <c r="G2295" s="739" t="s">
        <v>17204</v>
      </c>
      <c r="H2295" s="739" t="s">
        <v>7591</v>
      </c>
    </row>
    <row r="2296" spans="1:8">
      <c r="E2296" s="834"/>
      <c r="F2296" s="834"/>
      <c r="G2296" s="834"/>
      <c r="H2296" s="834"/>
    </row>
    <row r="2297" spans="1:8">
      <c r="A2297" s="739" t="s">
        <v>17549</v>
      </c>
    </row>
    <row r="2298" spans="1:8">
      <c r="C2298" s="739">
        <v>17000</v>
      </c>
      <c r="H2298" s="739" t="s">
        <v>17550</v>
      </c>
    </row>
    <row r="2299" spans="1:8">
      <c r="C2299" s="739">
        <v>6600</v>
      </c>
      <c r="H2299" s="739" t="s">
        <v>16884</v>
      </c>
    </row>
    <row r="2300" spans="1:8">
      <c r="D2300" s="739">
        <v>6600</v>
      </c>
      <c r="F2300" s="741">
        <v>8172</v>
      </c>
      <c r="H2300" s="739" t="s">
        <v>16884</v>
      </c>
    </row>
    <row r="2301" spans="1:8">
      <c r="E2301" s="741">
        <v>1600</v>
      </c>
      <c r="F2301" s="741">
        <v>6572</v>
      </c>
      <c r="G2301" s="846" t="s">
        <v>17087</v>
      </c>
      <c r="H2301" s="739" t="s">
        <v>7594</v>
      </c>
    </row>
    <row r="2302" spans="1:8">
      <c r="E2302" s="834"/>
      <c r="F2302" s="834"/>
      <c r="G2302" s="834"/>
      <c r="H2302" s="834"/>
    </row>
    <row r="2303" spans="1:8">
      <c r="A2303" s="739" t="s">
        <v>7595</v>
      </c>
      <c r="E2303" s="834"/>
      <c r="F2303" s="834"/>
      <c r="G2303" s="834"/>
      <c r="H2303" s="834"/>
    </row>
    <row r="2304" spans="1:8">
      <c r="E2304" s="741">
        <v>115</v>
      </c>
      <c r="F2304" s="741">
        <v>6457</v>
      </c>
      <c r="G2304" s="739" t="s">
        <v>6913</v>
      </c>
      <c r="H2304" s="739" t="s">
        <v>17551</v>
      </c>
    </row>
    <row r="2305" spans="1:8">
      <c r="C2305" s="739">
        <v>22827</v>
      </c>
      <c r="H2305" s="739" t="s">
        <v>17552</v>
      </c>
    </row>
    <row r="2306" spans="1:8">
      <c r="C2306" s="739">
        <v>63248</v>
      </c>
      <c r="H2306" s="739" t="s">
        <v>17553</v>
      </c>
    </row>
    <row r="2307" spans="1:8">
      <c r="C2307" s="739">
        <v>15938</v>
      </c>
      <c r="H2307" s="739" t="s">
        <v>7599</v>
      </c>
    </row>
    <row r="2309" spans="1:8">
      <c r="A2309" s="739" t="s">
        <v>7600</v>
      </c>
      <c r="E2309" s="834"/>
      <c r="F2309" s="834"/>
      <c r="G2309" s="834"/>
    </row>
    <row r="2310" spans="1:8">
      <c r="E2310" s="741">
        <v>280</v>
      </c>
      <c r="F2310" s="741">
        <v>6177</v>
      </c>
      <c r="G2310" s="739" t="s">
        <v>17040</v>
      </c>
      <c r="H2310" s="739" t="s">
        <v>17554</v>
      </c>
    </row>
    <row r="2311" spans="1:8">
      <c r="E2311" s="741">
        <v>250</v>
      </c>
      <c r="F2311" s="741">
        <v>5927</v>
      </c>
      <c r="G2311" s="739" t="s">
        <v>17040</v>
      </c>
      <c r="H2311" s="739" t="s">
        <v>17554</v>
      </c>
    </row>
    <row r="2312" spans="1:8">
      <c r="E2312" s="834"/>
      <c r="F2312" s="834"/>
      <c r="G2312" s="834"/>
      <c r="H2312" s="834"/>
    </row>
    <row r="2314" spans="1:8">
      <c r="A2314" s="739" t="s">
        <v>12814</v>
      </c>
      <c r="E2314" s="834"/>
      <c r="F2314" s="834"/>
      <c r="G2314" s="834"/>
    </row>
    <row r="2315" spans="1:8">
      <c r="E2315" s="741">
        <v>220</v>
      </c>
      <c r="F2315" s="741">
        <v>5707</v>
      </c>
      <c r="G2315" s="739" t="s">
        <v>17257</v>
      </c>
      <c r="H2315" s="739" t="s">
        <v>17555</v>
      </c>
    </row>
    <row r="2316" spans="1:8">
      <c r="E2316" s="741">
        <v>245</v>
      </c>
      <c r="F2316" s="741">
        <v>5462</v>
      </c>
      <c r="G2316" s="739" t="s">
        <v>17040</v>
      </c>
      <c r="H2316" s="739" t="s">
        <v>7603</v>
      </c>
    </row>
    <row r="2317" spans="1:8">
      <c r="E2317" s="834"/>
      <c r="F2317" s="834"/>
      <c r="G2317" s="834"/>
      <c r="H2317" s="834"/>
    </row>
    <row r="2318" spans="1:8">
      <c r="A2318" s="739" t="s">
        <v>17556</v>
      </c>
    </row>
    <row r="2319" spans="1:8">
      <c r="E2319" s="739">
        <v>5</v>
      </c>
      <c r="F2319" s="739">
        <v>5457</v>
      </c>
      <c r="G2319" s="739" t="s">
        <v>17098</v>
      </c>
      <c r="H2319" s="739" t="s">
        <v>17557</v>
      </c>
    </row>
    <row r="2320" spans="1:8">
      <c r="E2320" s="741">
        <v>220</v>
      </c>
      <c r="F2320" s="741">
        <v>5237</v>
      </c>
      <c r="G2320" s="739" t="s">
        <v>17040</v>
      </c>
      <c r="H2320" s="739" t="s">
        <v>17555</v>
      </c>
    </row>
    <row r="2321" spans="1:8">
      <c r="E2321" s="741">
        <v>255</v>
      </c>
      <c r="F2321" s="741">
        <v>4982</v>
      </c>
      <c r="G2321" s="739" t="s">
        <v>17040</v>
      </c>
      <c r="H2321" s="739" t="s">
        <v>17555</v>
      </c>
    </row>
    <row r="2322" spans="1:8">
      <c r="E2322" s="834"/>
      <c r="F2322" s="834"/>
      <c r="G2322" s="834"/>
      <c r="H2322" s="834"/>
    </row>
    <row r="2323" spans="1:8">
      <c r="A2323" s="739" t="s">
        <v>17558</v>
      </c>
    </row>
    <row r="2324" spans="1:8">
      <c r="E2324" s="739">
        <v>25</v>
      </c>
      <c r="F2324" s="739">
        <v>4957</v>
      </c>
      <c r="G2324" s="739" t="s">
        <v>17098</v>
      </c>
      <c r="H2324" s="739" t="s">
        <v>17559</v>
      </c>
    </row>
    <row r="2325" spans="1:8">
      <c r="E2325" s="834"/>
      <c r="F2325" s="834"/>
      <c r="G2325" s="834"/>
      <c r="H2325" s="834"/>
    </row>
    <row r="2326" spans="1:8">
      <c r="A2326" s="739" t="s">
        <v>17560</v>
      </c>
    </row>
    <row r="2327" spans="1:8">
      <c r="E2327" s="739">
        <v>1205</v>
      </c>
      <c r="F2327" s="739">
        <v>3752</v>
      </c>
      <c r="G2327" s="739" t="s">
        <v>17113</v>
      </c>
      <c r="H2327" s="739" t="s">
        <v>17561</v>
      </c>
    </row>
    <row r="2328" spans="1:8">
      <c r="E2328" s="834"/>
      <c r="F2328" s="834"/>
      <c r="G2328" s="834"/>
      <c r="H2328" s="834"/>
    </row>
    <row r="2329" spans="1:8">
      <c r="A2329" s="739" t="s">
        <v>7610</v>
      </c>
    </row>
    <row r="2330" spans="1:8">
      <c r="E2330" s="741">
        <v>230</v>
      </c>
      <c r="F2330" s="741">
        <v>3522</v>
      </c>
      <c r="G2330" s="741" t="s">
        <v>17176</v>
      </c>
      <c r="H2330" s="739" t="s">
        <v>17562</v>
      </c>
    </row>
    <row r="2331" spans="1:8">
      <c r="E2331" s="834"/>
      <c r="F2331" s="834"/>
      <c r="G2331" s="834"/>
      <c r="H2331" s="834"/>
    </row>
    <row r="2332" spans="1:8">
      <c r="A2332" s="739" t="s">
        <v>17563</v>
      </c>
    </row>
    <row r="2333" spans="1:8">
      <c r="C2333" s="739">
        <v>17000</v>
      </c>
      <c r="H2333" s="739" t="s">
        <v>17564</v>
      </c>
    </row>
    <row r="2334" spans="1:8">
      <c r="C2334" s="739">
        <v>22818</v>
      </c>
      <c r="H2334" s="739" t="s">
        <v>17565</v>
      </c>
    </row>
    <row r="2335" spans="1:8">
      <c r="C2335" s="739">
        <v>63185</v>
      </c>
      <c r="H2335" s="739" t="s">
        <v>7615</v>
      </c>
    </row>
    <row r="2336" spans="1:8">
      <c r="C2336" s="739">
        <v>35000</v>
      </c>
      <c r="H2336" s="739" t="s">
        <v>17566</v>
      </c>
    </row>
    <row r="2337" spans="1:8">
      <c r="E2337" s="834"/>
      <c r="F2337" s="834"/>
      <c r="G2337" s="834"/>
    </row>
    <row r="2338" spans="1:8">
      <c r="A2338" s="739" t="s">
        <v>17567</v>
      </c>
      <c r="E2338" s="834"/>
      <c r="F2338" s="834"/>
      <c r="G2338" s="834"/>
    </row>
    <row r="2339" spans="1:8">
      <c r="E2339" s="739">
        <v>30</v>
      </c>
      <c r="F2339" s="741">
        <v>3492</v>
      </c>
      <c r="G2339" s="739" t="s">
        <v>17331</v>
      </c>
      <c r="H2339" s="739" t="s">
        <v>17332</v>
      </c>
    </row>
    <row r="2340" spans="1:8">
      <c r="E2340" s="741"/>
      <c r="F2340" s="741"/>
      <c r="H2340" s="846"/>
    </row>
    <row r="2341" spans="1:8">
      <c r="A2341" s="739" t="s">
        <v>17568</v>
      </c>
      <c r="E2341" s="834"/>
      <c r="F2341" s="834"/>
      <c r="G2341" s="834"/>
      <c r="H2341" s="834"/>
    </row>
    <row r="2342" spans="1:8">
      <c r="C2342" s="739">
        <v>10000</v>
      </c>
      <c r="E2342" s="834"/>
      <c r="F2342" s="834"/>
      <c r="G2342" s="834"/>
      <c r="H2342" s="741" t="s">
        <v>7570</v>
      </c>
    </row>
    <row r="2343" spans="1:8">
      <c r="E2343" s="741">
        <v>689</v>
      </c>
      <c r="F2343" s="741">
        <v>2803</v>
      </c>
      <c r="G2343" s="739" t="s">
        <v>17331</v>
      </c>
      <c r="H2343" s="741" t="s">
        <v>17569</v>
      </c>
    </row>
    <row r="2344" spans="1:8">
      <c r="E2344" s="739">
        <v>100</v>
      </c>
      <c r="F2344" s="739">
        <v>2703</v>
      </c>
      <c r="G2344" s="739" t="s">
        <v>6943</v>
      </c>
      <c r="H2344" s="739" t="s">
        <v>17570</v>
      </c>
    </row>
    <row r="2345" spans="1:8" ht="214.5">
      <c r="C2345" s="846" t="s">
        <v>17571</v>
      </c>
      <c r="H2345" s="836" t="s">
        <v>17572</v>
      </c>
    </row>
    <row r="2346" spans="1:8">
      <c r="C2346" s="846">
        <v>5598</v>
      </c>
      <c r="H2346" s="836"/>
    </row>
    <row r="2347" spans="1:8">
      <c r="E2347" s="846">
        <v>5598</v>
      </c>
      <c r="H2347" s="836" t="s">
        <v>17573</v>
      </c>
    </row>
    <row r="2348" spans="1:8">
      <c r="D2348" s="846">
        <v>5598</v>
      </c>
      <c r="H2348" s="836" t="s">
        <v>17574</v>
      </c>
    </row>
    <row r="2349" spans="1:8">
      <c r="E2349" s="741"/>
      <c r="F2349" s="741"/>
      <c r="H2349" s="846"/>
    </row>
    <row r="2350" spans="1:8">
      <c r="A2350" s="739" t="s">
        <v>17575</v>
      </c>
      <c r="E2350" s="834"/>
      <c r="F2350" s="834"/>
      <c r="G2350" s="834"/>
      <c r="H2350" s="834"/>
    </row>
    <row r="2351" spans="1:8">
      <c r="E2351" s="739">
        <v>300</v>
      </c>
      <c r="F2351" s="741">
        <v>2403</v>
      </c>
      <c r="G2351" s="739" t="s">
        <v>17194</v>
      </c>
      <c r="H2351" s="739" t="s">
        <v>17576</v>
      </c>
    </row>
    <row r="2352" spans="1:8">
      <c r="E2352" s="741"/>
      <c r="F2352" s="741"/>
      <c r="H2352" s="846"/>
    </row>
    <row r="2353" spans="1:8">
      <c r="A2353" s="739" t="s">
        <v>17577</v>
      </c>
      <c r="E2353" s="834"/>
      <c r="F2353" s="834"/>
      <c r="G2353" s="834"/>
      <c r="H2353" s="834"/>
    </row>
    <row r="2354" spans="1:8">
      <c r="E2354" s="741">
        <v>10</v>
      </c>
      <c r="F2354" s="741">
        <v>2393</v>
      </c>
      <c r="G2354" s="739" t="s">
        <v>17141</v>
      </c>
      <c r="H2354" s="739" t="s">
        <v>17578</v>
      </c>
    </row>
    <row r="2355" spans="1:8">
      <c r="E2355" s="741"/>
      <c r="F2355" s="741"/>
      <c r="H2355" s="846"/>
    </row>
    <row r="2356" spans="1:8">
      <c r="A2356" s="739" t="s">
        <v>17579</v>
      </c>
      <c r="E2356" s="834"/>
      <c r="F2356" s="834"/>
      <c r="G2356" s="834"/>
      <c r="H2356" s="834"/>
    </row>
    <row r="2357" spans="1:8" ht="66">
      <c r="C2357" s="739">
        <v>3100</v>
      </c>
      <c r="E2357" s="834"/>
      <c r="F2357" s="834"/>
      <c r="G2357" s="834"/>
      <c r="H2357" s="847" t="s">
        <v>17580</v>
      </c>
    </row>
    <row r="2358" spans="1:8">
      <c r="E2358" s="834"/>
      <c r="F2358" s="834"/>
      <c r="G2358" s="834"/>
      <c r="H2358" s="834"/>
    </row>
    <row r="2359" spans="1:8">
      <c r="A2359" s="739" t="s">
        <v>17581</v>
      </c>
    </row>
    <row r="2360" spans="1:8">
      <c r="E2360" s="739">
        <v>1205</v>
      </c>
      <c r="F2360" s="739">
        <v>1188</v>
      </c>
      <c r="G2360" s="739" t="s">
        <v>17113</v>
      </c>
      <c r="H2360" s="739" t="s">
        <v>17582</v>
      </c>
    </row>
    <row r="2361" spans="1:8">
      <c r="E2361" s="834"/>
      <c r="F2361" s="834"/>
      <c r="G2361" s="834"/>
      <c r="H2361" s="834"/>
    </row>
    <row r="2362" spans="1:8">
      <c r="A2362" s="739" t="s">
        <v>7632</v>
      </c>
    </row>
    <row r="2363" spans="1:8">
      <c r="C2363" s="739">
        <v>5000</v>
      </c>
      <c r="H2363" s="739" t="s">
        <v>463</v>
      </c>
    </row>
    <row r="2364" spans="1:8">
      <c r="D2364" s="739">
        <v>5000</v>
      </c>
      <c r="F2364" s="741">
        <v>6188</v>
      </c>
      <c r="H2364" s="739" t="s">
        <v>16884</v>
      </c>
    </row>
    <row r="2365" spans="1:8">
      <c r="E2365" s="834"/>
      <c r="F2365" s="834"/>
      <c r="G2365" s="834"/>
      <c r="H2365" s="834"/>
    </row>
    <row r="2366" spans="1:8">
      <c r="A2366" s="739" t="s">
        <v>12847</v>
      </c>
    </row>
    <row r="2367" spans="1:8">
      <c r="C2367" s="739">
        <v>17000</v>
      </c>
      <c r="H2367" s="739" t="s">
        <v>12848</v>
      </c>
    </row>
    <row r="2368" spans="1:8">
      <c r="E2368" s="741"/>
      <c r="F2368" s="741"/>
      <c r="G2368" s="741"/>
    </row>
    <row r="2369" spans="1:8">
      <c r="A2369" s="739" t="s">
        <v>17583</v>
      </c>
      <c r="E2369" s="741"/>
      <c r="F2369" s="741"/>
      <c r="G2369" s="741"/>
    </row>
    <row r="2370" spans="1:8">
      <c r="E2370" s="741">
        <v>18</v>
      </c>
      <c r="F2370" s="741">
        <v>6170</v>
      </c>
      <c r="G2370" s="739" t="s">
        <v>17204</v>
      </c>
      <c r="H2370" s="739" t="s">
        <v>12850</v>
      </c>
    </row>
    <row r="2371" spans="1:8">
      <c r="E2371" s="741">
        <v>32</v>
      </c>
      <c r="F2371" s="741">
        <v>6138</v>
      </c>
      <c r="G2371" s="739" t="s">
        <v>17040</v>
      </c>
      <c r="H2371" s="739" t="s">
        <v>17584</v>
      </c>
    </row>
    <row r="2372" spans="1:8">
      <c r="C2372" s="739">
        <v>98564</v>
      </c>
      <c r="E2372" s="834"/>
      <c r="F2372" s="834"/>
      <c r="G2372" s="834"/>
      <c r="H2372" s="741" t="s">
        <v>7569</v>
      </c>
    </row>
    <row r="2373" spans="1:8">
      <c r="E2373" s="741"/>
      <c r="F2373" s="741"/>
      <c r="G2373" s="741"/>
    </row>
    <row r="2374" spans="1:8">
      <c r="A2374" s="739" t="s">
        <v>17585</v>
      </c>
      <c r="E2374" s="741"/>
      <c r="F2374" s="741"/>
      <c r="G2374" s="741"/>
    </row>
    <row r="2375" spans="1:8">
      <c r="C2375" s="739">
        <v>13715</v>
      </c>
      <c r="H2375" s="739" t="s">
        <v>17586</v>
      </c>
    </row>
    <row r="2376" spans="1:8">
      <c r="C2376" s="739">
        <v>25318</v>
      </c>
      <c r="H2376" s="739" t="s">
        <v>17587</v>
      </c>
    </row>
    <row r="2377" spans="1:8">
      <c r="C2377" s="739">
        <v>63185</v>
      </c>
      <c r="H2377" s="739" t="s">
        <v>17588</v>
      </c>
    </row>
    <row r="2378" spans="1:8">
      <c r="C2378" s="739">
        <v>12800</v>
      </c>
      <c r="H2378" s="739" t="s">
        <v>7642</v>
      </c>
    </row>
    <row r="2379" spans="1:8">
      <c r="E2379" s="834"/>
      <c r="F2379" s="834"/>
      <c r="G2379" s="834"/>
      <c r="H2379" s="834"/>
    </row>
    <row r="2380" spans="1:8">
      <c r="A2380" s="739" t="s">
        <v>12857</v>
      </c>
    </row>
    <row r="2381" spans="1:8">
      <c r="C2381" s="739">
        <v>30000</v>
      </c>
      <c r="E2381" s="741"/>
      <c r="F2381" s="741"/>
      <c r="G2381" s="846"/>
      <c r="H2381" s="739" t="s">
        <v>17589</v>
      </c>
    </row>
    <row r="2382" spans="1:8">
      <c r="E2382" s="741">
        <v>15</v>
      </c>
      <c r="F2382" s="741">
        <v>6123</v>
      </c>
      <c r="G2382" s="739" t="s">
        <v>6913</v>
      </c>
      <c r="H2382" s="739" t="s">
        <v>17590</v>
      </c>
    </row>
    <row r="2383" spans="1:8">
      <c r="E2383" s="741">
        <v>32</v>
      </c>
      <c r="F2383" s="741">
        <v>6091</v>
      </c>
      <c r="G2383" s="739" t="s">
        <v>17204</v>
      </c>
      <c r="H2383" s="739" t="s">
        <v>17591</v>
      </c>
    </row>
    <row r="2385" spans="1:8">
      <c r="A2385" s="739" t="s">
        <v>7647</v>
      </c>
      <c r="E2385" s="834"/>
      <c r="F2385" s="834"/>
      <c r="G2385" s="834"/>
    </row>
    <row r="2386" spans="1:8">
      <c r="E2386" s="741">
        <v>225</v>
      </c>
      <c r="F2386" s="741">
        <v>5866</v>
      </c>
      <c r="G2386" s="739" t="s">
        <v>7776</v>
      </c>
      <c r="H2386" s="739" t="s">
        <v>12862</v>
      </c>
    </row>
    <row r="2387" spans="1:8">
      <c r="E2387" s="741">
        <v>105</v>
      </c>
      <c r="F2387" s="741">
        <v>5761</v>
      </c>
      <c r="G2387" s="739" t="s">
        <v>7776</v>
      </c>
      <c r="H2387" s="739" t="s">
        <v>12862</v>
      </c>
    </row>
    <row r="2388" spans="1:8">
      <c r="E2388" s="741">
        <v>25</v>
      </c>
      <c r="F2388" s="741">
        <v>5736</v>
      </c>
      <c r="G2388" s="739" t="s">
        <v>17040</v>
      </c>
      <c r="H2388" s="739" t="s">
        <v>17592</v>
      </c>
    </row>
    <row r="2389" spans="1:8">
      <c r="E2389" s="834"/>
      <c r="F2389" s="834"/>
      <c r="G2389" s="834"/>
      <c r="H2389" s="834"/>
    </row>
    <row r="2390" spans="1:8">
      <c r="A2390" s="739" t="s">
        <v>17593</v>
      </c>
    </row>
    <row r="2391" spans="1:8">
      <c r="E2391" s="739">
        <v>1205</v>
      </c>
      <c r="F2391" s="739">
        <v>4531</v>
      </c>
      <c r="G2391" s="739" t="s">
        <v>17113</v>
      </c>
      <c r="H2391" s="739" t="s">
        <v>17594</v>
      </c>
    </row>
    <row r="2392" spans="1:8">
      <c r="E2392" s="834"/>
      <c r="F2392" s="834"/>
      <c r="G2392" s="834"/>
      <c r="H2392" s="834"/>
    </row>
    <row r="2393" spans="1:8">
      <c r="A2393" s="739" t="s">
        <v>17595</v>
      </c>
    </row>
    <row r="2394" spans="1:8">
      <c r="E2394" s="741">
        <v>90</v>
      </c>
      <c r="F2394" s="741">
        <v>4441</v>
      </c>
      <c r="G2394" s="739" t="s">
        <v>6972</v>
      </c>
      <c r="H2394" s="739" t="s">
        <v>7653</v>
      </c>
    </row>
    <row r="2395" spans="1:8">
      <c r="E2395" s="739">
        <v>52</v>
      </c>
      <c r="F2395" s="739">
        <v>4389</v>
      </c>
      <c r="G2395" s="739" t="s">
        <v>17098</v>
      </c>
      <c r="H2395" s="739" t="s">
        <v>17596</v>
      </c>
    </row>
    <row r="2396" spans="1:8">
      <c r="E2396" s="834"/>
      <c r="F2396" s="834"/>
      <c r="G2396" s="834"/>
      <c r="H2396" s="834"/>
    </row>
    <row r="2397" spans="1:8">
      <c r="A2397" s="739" t="s">
        <v>17597</v>
      </c>
    </row>
    <row r="2398" spans="1:8">
      <c r="E2398" s="739">
        <v>25</v>
      </c>
      <c r="F2398" s="739">
        <v>4364</v>
      </c>
      <c r="G2398" s="739" t="s">
        <v>6943</v>
      </c>
      <c r="H2398" s="739" t="s">
        <v>7656</v>
      </c>
    </row>
    <row r="2399" spans="1:8">
      <c r="E2399" s="739">
        <v>35</v>
      </c>
      <c r="F2399" s="739">
        <v>4329</v>
      </c>
      <c r="G2399" s="739" t="s">
        <v>17098</v>
      </c>
      <c r="H2399" s="739" t="s">
        <v>17598</v>
      </c>
    </row>
    <row r="2400" spans="1:8">
      <c r="E2400" s="741">
        <v>304</v>
      </c>
      <c r="F2400" s="741">
        <v>4025</v>
      </c>
      <c r="G2400" s="741" t="s">
        <v>17176</v>
      </c>
      <c r="H2400" s="739" t="s">
        <v>17599</v>
      </c>
    </row>
    <row r="2401" spans="1:8">
      <c r="C2401" s="739">
        <v>17000</v>
      </c>
      <c r="H2401" s="739" t="s">
        <v>7659</v>
      </c>
    </row>
    <row r="2402" spans="1:8">
      <c r="E2402" s="741"/>
      <c r="F2402" s="741"/>
      <c r="G2402" s="741"/>
    </row>
    <row r="2403" spans="1:8">
      <c r="A2403" s="739" t="s">
        <v>17600</v>
      </c>
      <c r="E2403" s="741"/>
      <c r="F2403" s="741"/>
      <c r="G2403" s="741"/>
    </row>
    <row r="2404" spans="1:8">
      <c r="C2404" s="739">
        <v>18617</v>
      </c>
      <c r="H2404" s="739" t="s">
        <v>17601</v>
      </c>
    </row>
    <row r="2405" spans="1:8">
      <c r="C2405" s="739">
        <v>1808</v>
      </c>
      <c r="H2405" s="739" t="s">
        <v>17602</v>
      </c>
    </row>
    <row r="2406" spans="1:8">
      <c r="E2406" s="741"/>
      <c r="F2406" s="741"/>
      <c r="G2406" s="741"/>
    </row>
    <row r="2407" spans="1:8">
      <c r="A2407" s="739" t="s">
        <v>17603</v>
      </c>
      <c r="E2407" s="741"/>
      <c r="F2407" s="741"/>
      <c r="G2407" s="741"/>
    </row>
    <row r="2408" spans="1:8">
      <c r="C2408" s="739">
        <v>25318</v>
      </c>
      <c r="H2408" s="739" t="s">
        <v>7640</v>
      </c>
    </row>
    <row r="2409" spans="1:8">
      <c r="C2409" s="739">
        <v>63185</v>
      </c>
      <c r="H2409" s="739" t="s">
        <v>17588</v>
      </c>
    </row>
    <row r="2410" spans="1:8">
      <c r="C2410" s="739">
        <v>28000</v>
      </c>
      <c r="H2410" s="739" t="s">
        <v>17604</v>
      </c>
    </row>
    <row r="2411" spans="1:8">
      <c r="E2411" s="741"/>
      <c r="F2411" s="741"/>
      <c r="G2411" s="741"/>
    </row>
    <row r="2412" spans="1:8">
      <c r="A2412" s="739" t="s">
        <v>7664</v>
      </c>
      <c r="E2412" s="741"/>
      <c r="F2412" s="741"/>
      <c r="G2412" s="741"/>
    </row>
    <row r="2413" spans="1:8">
      <c r="E2413" s="739">
        <v>99</v>
      </c>
      <c r="F2413" s="741">
        <v>3926</v>
      </c>
      <c r="G2413" s="739" t="s">
        <v>6913</v>
      </c>
      <c r="H2413" s="739" t="s">
        <v>7126</v>
      </c>
    </row>
    <row r="2414" spans="1:8">
      <c r="E2414" s="741"/>
      <c r="F2414" s="741"/>
      <c r="G2414" s="741"/>
    </row>
    <row r="2415" spans="1:8">
      <c r="A2415" s="739" t="s">
        <v>7665</v>
      </c>
      <c r="E2415" s="741"/>
      <c r="F2415" s="741"/>
      <c r="G2415" s="741"/>
    </row>
    <row r="2416" spans="1:8">
      <c r="E2416" s="739">
        <v>279</v>
      </c>
      <c r="F2416" s="741">
        <v>3647</v>
      </c>
      <c r="G2416" s="739" t="s">
        <v>17141</v>
      </c>
      <c r="H2416" s="739" t="s">
        <v>17605</v>
      </c>
    </row>
    <row r="2417" spans="1:8">
      <c r="E2417" s="834"/>
      <c r="F2417" s="834"/>
      <c r="G2417" s="834"/>
      <c r="H2417" s="834"/>
    </row>
    <row r="2418" spans="1:8">
      <c r="A2418" s="739" t="s">
        <v>17606</v>
      </c>
    </row>
    <row r="2419" spans="1:8">
      <c r="E2419" s="739">
        <v>35</v>
      </c>
      <c r="F2419" s="739">
        <v>3612</v>
      </c>
      <c r="G2419" s="739" t="s">
        <v>17098</v>
      </c>
      <c r="H2419" s="739" t="s">
        <v>17607</v>
      </c>
    </row>
    <row r="2421" spans="1:8">
      <c r="A2421" s="739" t="s">
        <v>17608</v>
      </c>
    </row>
    <row r="2422" spans="1:8">
      <c r="C2422" s="739">
        <v>42000</v>
      </c>
      <c r="H2422" s="739" t="s">
        <v>17609</v>
      </c>
    </row>
    <row r="2423" spans="1:8">
      <c r="E2423" s="834"/>
      <c r="F2423" s="834"/>
      <c r="G2423" s="834"/>
      <c r="H2423" s="834"/>
    </row>
    <row r="2424" spans="1:8">
      <c r="A2424" s="739" t="s">
        <v>17610</v>
      </c>
    </row>
    <row r="2425" spans="1:8">
      <c r="E2425" s="739">
        <v>75</v>
      </c>
      <c r="F2425" s="739">
        <v>3537</v>
      </c>
      <c r="G2425" s="739" t="s">
        <v>17098</v>
      </c>
      <c r="H2425" s="739" t="s">
        <v>7672</v>
      </c>
    </row>
    <row r="2426" spans="1:8">
      <c r="E2426" s="739">
        <v>1205</v>
      </c>
      <c r="F2426" s="739">
        <v>2332</v>
      </c>
      <c r="G2426" s="739" t="s">
        <v>17113</v>
      </c>
      <c r="H2426" s="739" t="s">
        <v>17611</v>
      </c>
    </row>
    <row r="2427" spans="1:8">
      <c r="E2427" s="741">
        <v>48</v>
      </c>
      <c r="F2427" s="741">
        <v>2284</v>
      </c>
      <c r="G2427" s="739" t="s">
        <v>7776</v>
      </c>
      <c r="H2427" s="739" t="s">
        <v>17612</v>
      </c>
    </row>
    <row r="2428" spans="1:8">
      <c r="E2428" s="834"/>
      <c r="F2428" s="834"/>
      <c r="G2428" s="834"/>
      <c r="H2428" s="834"/>
    </row>
    <row r="2429" spans="1:8">
      <c r="A2429" s="739" t="s">
        <v>17613</v>
      </c>
    </row>
    <row r="2430" spans="1:8">
      <c r="E2430" s="741">
        <v>18</v>
      </c>
      <c r="F2430" s="741">
        <v>2266</v>
      </c>
      <c r="G2430" s="739" t="s">
        <v>6913</v>
      </c>
      <c r="H2430" s="739" t="s">
        <v>7676</v>
      </c>
    </row>
    <row r="2431" spans="1:8">
      <c r="C2431" s="739">
        <v>200000</v>
      </c>
      <c r="E2431" s="834"/>
      <c r="F2431" s="834"/>
      <c r="G2431" s="834"/>
      <c r="H2431" s="741" t="s">
        <v>7569</v>
      </c>
    </row>
    <row r="2432" spans="1:8">
      <c r="E2432" s="741">
        <v>840</v>
      </c>
      <c r="F2432" s="741">
        <v>1426</v>
      </c>
      <c r="G2432" s="739" t="s">
        <v>17098</v>
      </c>
      <c r="H2432" s="739" t="s">
        <v>17614</v>
      </c>
    </row>
    <row r="2433" spans="1:8">
      <c r="E2433" s="834"/>
      <c r="F2433" s="834"/>
      <c r="G2433" s="834"/>
      <c r="H2433" s="834"/>
    </row>
    <row r="2434" spans="1:8">
      <c r="A2434" s="739" t="s">
        <v>17615</v>
      </c>
    </row>
    <row r="2435" spans="1:8">
      <c r="C2435" s="739">
        <v>17000</v>
      </c>
      <c r="H2435" s="739" t="s">
        <v>7679</v>
      </c>
    </row>
    <row r="2436" spans="1:8">
      <c r="C2436" s="739">
        <v>5000</v>
      </c>
      <c r="H2436" s="739" t="s">
        <v>16884</v>
      </c>
    </row>
    <row r="2437" spans="1:8">
      <c r="D2437" s="739">
        <v>5000</v>
      </c>
      <c r="F2437" s="739">
        <v>6426</v>
      </c>
      <c r="H2437" s="739" t="s">
        <v>16884</v>
      </c>
    </row>
    <row r="2439" spans="1:8">
      <c r="A2439" s="739" t="s">
        <v>17616</v>
      </c>
      <c r="E2439" s="834"/>
      <c r="F2439" s="834"/>
      <c r="G2439" s="834"/>
    </row>
    <row r="2440" spans="1:8">
      <c r="E2440" s="741">
        <v>370</v>
      </c>
      <c r="F2440" s="741">
        <v>6056</v>
      </c>
      <c r="G2440" s="739" t="s">
        <v>17040</v>
      </c>
      <c r="H2440" s="739" t="s">
        <v>17617</v>
      </c>
    </row>
    <row r="2441" spans="1:8">
      <c r="E2441" s="741">
        <v>365</v>
      </c>
      <c r="F2441" s="741">
        <v>5691</v>
      </c>
      <c r="G2441" s="739" t="s">
        <v>17040</v>
      </c>
      <c r="H2441" s="739" t="s">
        <v>7681</v>
      </c>
    </row>
    <row r="2442" spans="1:8">
      <c r="E2442" s="741"/>
      <c r="F2442" s="741"/>
      <c r="H2442" s="846" t="s">
        <v>17618</v>
      </c>
    </row>
    <row r="2443" spans="1:8">
      <c r="A2443" s="739" t="s">
        <v>17619</v>
      </c>
      <c r="E2443" s="739">
        <v>500</v>
      </c>
      <c r="F2443" s="741">
        <v>5191</v>
      </c>
      <c r="G2443" s="739" t="s">
        <v>6943</v>
      </c>
      <c r="H2443" s="739" t="s">
        <v>17620</v>
      </c>
    </row>
    <row r="2444" spans="1:8">
      <c r="A2444" s="739" t="s">
        <v>12900</v>
      </c>
      <c r="C2444" s="739">
        <v>11568</v>
      </c>
      <c r="H2444" s="739" t="s">
        <v>17621</v>
      </c>
    </row>
    <row r="2445" spans="1:8">
      <c r="A2445" s="739" t="s">
        <v>17622</v>
      </c>
      <c r="E2445" s="739">
        <v>200</v>
      </c>
      <c r="F2445" s="741">
        <v>4991</v>
      </c>
      <c r="G2445" s="739" t="s">
        <v>17040</v>
      </c>
      <c r="H2445" s="739" t="s">
        <v>17532</v>
      </c>
    </row>
    <row r="2446" spans="1:8">
      <c r="A2446" s="739" t="s">
        <v>17622</v>
      </c>
      <c r="E2446" s="739">
        <v>80</v>
      </c>
      <c r="F2446" s="741">
        <v>4911</v>
      </c>
      <c r="G2446" s="739" t="s">
        <v>17141</v>
      </c>
      <c r="H2446" s="739" t="s">
        <v>7686</v>
      </c>
    </row>
    <row r="2447" spans="1:8">
      <c r="A2447" s="739" t="s">
        <v>17622</v>
      </c>
      <c r="E2447" s="739">
        <v>300</v>
      </c>
      <c r="F2447" s="741">
        <v>4611</v>
      </c>
      <c r="G2447" s="739" t="s">
        <v>17194</v>
      </c>
      <c r="H2447" s="739" t="s">
        <v>17623</v>
      </c>
    </row>
    <row r="2448" spans="1:8">
      <c r="A2448" s="739" t="s">
        <v>17624</v>
      </c>
      <c r="C2448" s="739">
        <v>8139</v>
      </c>
      <c r="H2448" s="739" t="s">
        <v>12908</v>
      </c>
    </row>
    <row r="2449" spans="1:8">
      <c r="A2449" s="739" t="s">
        <v>17625</v>
      </c>
      <c r="E2449" s="741">
        <v>150</v>
      </c>
      <c r="F2449" s="741">
        <v>4461</v>
      </c>
      <c r="G2449" s="739" t="s">
        <v>17040</v>
      </c>
      <c r="H2449" s="739" t="s">
        <v>17626</v>
      </c>
    </row>
    <row r="2450" spans="1:8">
      <c r="A2450" s="739" t="s">
        <v>17625</v>
      </c>
      <c r="E2450" s="741">
        <v>160</v>
      </c>
      <c r="F2450" s="741">
        <v>4301</v>
      </c>
      <c r="G2450" s="739" t="s">
        <v>7776</v>
      </c>
      <c r="H2450" s="739" t="s">
        <v>17626</v>
      </c>
    </row>
    <row r="2451" spans="1:8">
      <c r="E2451" s="741"/>
      <c r="F2451" s="741"/>
      <c r="H2451" s="846" t="s">
        <v>17627</v>
      </c>
    </row>
    <row r="2452" spans="1:8">
      <c r="A2452" s="739" t="s">
        <v>17628</v>
      </c>
      <c r="E2452" s="741">
        <v>216</v>
      </c>
      <c r="F2452" s="741">
        <v>4085</v>
      </c>
      <c r="G2452" s="739" t="s">
        <v>17098</v>
      </c>
      <c r="H2452" s="739" t="s">
        <v>17629</v>
      </c>
    </row>
    <row r="2453" spans="1:8">
      <c r="A2453" s="739" t="s">
        <v>17630</v>
      </c>
      <c r="E2453" s="739">
        <v>1205</v>
      </c>
      <c r="F2453" s="739">
        <v>2880</v>
      </c>
      <c r="G2453" s="739" t="s">
        <v>7763</v>
      </c>
      <c r="H2453" s="739" t="s">
        <v>12916</v>
      </c>
    </row>
    <row r="2454" spans="1:8">
      <c r="A2454" s="739" t="s">
        <v>17630</v>
      </c>
      <c r="E2454" s="741">
        <v>251</v>
      </c>
      <c r="F2454" s="741">
        <v>2629</v>
      </c>
      <c r="G2454" s="741" t="s">
        <v>17176</v>
      </c>
      <c r="H2454" s="739" t="s">
        <v>17631</v>
      </c>
    </row>
    <row r="2455" spans="1:8">
      <c r="A2455" s="739" t="s">
        <v>17630</v>
      </c>
      <c r="E2455" s="739">
        <v>65</v>
      </c>
      <c r="F2455" s="741">
        <v>2564</v>
      </c>
      <c r="G2455" s="739" t="s">
        <v>17331</v>
      </c>
      <c r="H2455" s="739" t="s">
        <v>17632</v>
      </c>
    </row>
    <row r="2456" spans="1:8">
      <c r="A2456" s="739" t="s">
        <v>17633</v>
      </c>
      <c r="E2456" s="741">
        <v>120</v>
      </c>
      <c r="F2456" s="741">
        <v>2444</v>
      </c>
      <c r="G2456" s="739" t="s">
        <v>17040</v>
      </c>
      <c r="H2456" s="739" t="s">
        <v>17634</v>
      </c>
    </row>
    <row r="2457" spans="1:8">
      <c r="A2457" s="739" t="s">
        <v>17635</v>
      </c>
      <c r="E2457" s="741">
        <v>130</v>
      </c>
      <c r="F2457" s="741">
        <v>2314</v>
      </c>
      <c r="G2457" s="739" t="s">
        <v>17040</v>
      </c>
      <c r="H2457" s="739" t="s">
        <v>17634</v>
      </c>
    </row>
    <row r="2458" spans="1:8">
      <c r="A2458" s="739" t="s">
        <v>17636</v>
      </c>
      <c r="E2458" s="741">
        <v>275</v>
      </c>
      <c r="F2458" s="741">
        <v>2039</v>
      </c>
      <c r="G2458" s="739" t="s">
        <v>17040</v>
      </c>
      <c r="H2458" s="739" t="s">
        <v>17637</v>
      </c>
    </row>
    <row r="2459" spans="1:8">
      <c r="A2459" s="739" t="s">
        <v>17636</v>
      </c>
      <c r="E2459" s="741">
        <v>280</v>
      </c>
      <c r="F2459" s="741">
        <v>1759</v>
      </c>
      <c r="G2459" s="739" t="s">
        <v>17040</v>
      </c>
      <c r="H2459" s="739" t="s">
        <v>7702</v>
      </c>
    </row>
    <row r="2460" spans="1:8">
      <c r="A2460" s="739" t="s">
        <v>17638</v>
      </c>
      <c r="E2460" s="739">
        <v>16</v>
      </c>
      <c r="F2460" s="741">
        <v>1743</v>
      </c>
      <c r="G2460" s="739" t="s">
        <v>17331</v>
      </c>
      <c r="H2460" s="739" t="s">
        <v>17639</v>
      </c>
    </row>
    <row r="2461" spans="1:8">
      <c r="A2461" s="739" t="s">
        <v>17638</v>
      </c>
      <c r="E2461" s="739">
        <v>60</v>
      </c>
      <c r="F2461" s="741">
        <v>1683</v>
      </c>
      <c r="G2461" s="739" t="s">
        <v>17331</v>
      </c>
      <c r="H2461" s="739" t="s">
        <v>17640</v>
      </c>
    </row>
    <row r="2462" spans="1:8">
      <c r="A2462" s="739" t="s">
        <v>17641</v>
      </c>
      <c r="E2462" s="741">
        <v>210</v>
      </c>
      <c r="F2462" s="741">
        <v>1473</v>
      </c>
      <c r="G2462" s="739" t="s">
        <v>17040</v>
      </c>
      <c r="H2462" s="739" t="s">
        <v>17642</v>
      </c>
    </row>
    <row r="2463" spans="1:8">
      <c r="A2463" s="739" t="s">
        <v>17641</v>
      </c>
      <c r="E2463" s="741">
        <v>200</v>
      </c>
      <c r="F2463" s="741">
        <v>1273</v>
      </c>
      <c r="G2463" s="739" t="s">
        <v>17040</v>
      </c>
      <c r="H2463" s="739" t="s">
        <v>17643</v>
      </c>
    </row>
    <row r="2464" spans="1:8">
      <c r="A2464" s="739" t="s">
        <v>17644</v>
      </c>
      <c r="C2464" s="739">
        <v>17000</v>
      </c>
      <c r="H2464" s="739" t="s">
        <v>17645</v>
      </c>
    </row>
    <row r="2465" spans="1:8">
      <c r="A2465" s="739" t="s">
        <v>17644</v>
      </c>
      <c r="E2465" s="739">
        <v>32</v>
      </c>
      <c r="F2465" s="741">
        <v>1241</v>
      </c>
      <c r="G2465" s="739" t="s">
        <v>17331</v>
      </c>
      <c r="H2465" s="739" t="s">
        <v>12927</v>
      </c>
    </row>
    <row r="2466" spans="1:8">
      <c r="A2466" s="739" t="s">
        <v>12933</v>
      </c>
      <c r="E2466" s="741">
        <v>120</v>
      </c>
      <c r="F2466" s="741">
        <v>1121</v>
      </c>
      <c r="G2466" s="739" t="s">
        <v>6943</v>
      </c>
      <c r="H2466" s="739" t="s">
        <v>17646</v>
      </c>
    </row>
    <row r="2467" spans="1:8">
      <c r="A2467" s="739" t="s">
        <v>17647</v>
      </c>
      <c r="C2467" s="739">
        <v>85053</v>
      </c>
      <c r="H2467" s="739" t="s">
        <v>17648</v>
      </c>
    </row>
    <row r="2468" spans="1:8">
      <c r="A2468" s="739" t="s">
        <v>17647</v>
      </c>
      <c r="C2468" s="739">
        <v>25318</v>
      </c>
      <c r="H2468" s="739" t="s">
        <v>17649</v>
      </c>
    </row>
    <row r="2469" spans="1:8">
      <c r="A2469" s="739" t="s">
        <v>17647</v>
      </c>
      <c r="C2469" s="739">
        <v>62750</v>
      </c>
      <c r="H2469" s="739" t="s">
        <v>17588</v>
      </c>
    </row>
    <row r="2470" spans="1:8">
      <c r="A2470" s="739" t="s">
        <v>17647</v>
      </c>
      <c r="C2470" s="739">
        <v>18500</v>
      </c>
      <c r="H2470" s="739" t="s">
        <v>17604</v>
      </c>
    </row>
    <row r="2471" spans="1:8">
      <c r="A2471" s="739" t="s">
        <v>7715</v>
      </c>
      <c r="C2471" s="739">
        <v>3000</v>
      </c>
      <c r="H2471" s="739" t="s">
        <v>7716</v>
      </c>
    </row>
    <row r="2472" spans="1:8">
      <c r="A2472" s="739" t="s">
        <v>7717</v>
      </c>
      <c r="E2472" s="739">
        <v>35</v>
      </c>
      <c r="F2472" s="739">
        <v>1086</v>
      </c>
      <c r="G2472" s="739" t="s">
        <v>17098</v>
      </c>
      <c r="H2472" s="739" t="s">
        <v>17650</v>
      </c>
    </row>
    <row r="2473" spans="1:8">
      <c r="A2473" s="739" t="s">
        <v>17651</v>
      </c>
      <c r="C2473" s="739">
        <v>16500</v>
      </c>
      <c r="H2473" s="739" t="s">
        <v>17652</v>
      </c>
    </row>
    <row r="2474" spans="1:8">
      <c r="A2474" s="739" t="s">
        <v>7721</v>
      </c>
      <c r="C2474" s="739">
        <v>825</v>
      </c>
      <c r="H2474" s="739" t="s">
        <v>17653</v>
      </c>
    </row>
    <row r="2475" spans="1:8">
      <c r="A2475" s="739" t="s">
        <v>17654</v>
      </c>
      <c r="C2475" s="739">
        <v>5000</v>
      </c>
      <c r="H2475" s="739" t="s">
        <v>463</v>
      </c>
    </row>
    <row r="2476" spans="1:8">
      <c r="A2476" s="739" t="s">
        <v>17654</v>
      </c>
      <c r="D2476" s="739">
        <v>5000</v>
      </c>
      <c r="F2476" s="739">
        <v>6086</v>
      </c>
      <c r="H2476" s="739" t="s">
        <v>16884</v>
      </c>
    </row>
    <row r="2477" spans="1:8">
      <c r="A2477" s="739" t="s">
        <v>17655</v>
      </c>
      <c r="E2477" s="739">
        <v>1205</v>
      </c>
      <c r="F2477" s="739">
        <v>4881</v>
      </c>
      <c r="G2477" s="739" t="s">
        <v>17113</v>
      </c>
      <c r="H2477" s="739" t="s">
        <v>17656</v>
      </c>
    </row>
    <row r="2478" spans="1:8">
      <c r="A2478" s="739" t="s">
        <v>17657</v>
      </c>
      <c r="E2478" s="741">
        <v>18</v>
      </c>
      <c r="F2478" s="741">
        <v>4863</v>
      </c>
      <c r="G2478" s="739" t="s">
        <v>17204</v>
      </c>
      <c r="H2478" s="739" t="s">
        <v>17658</v>
      </c>
    </row>
    <row r="2479" spans="1:8" ht="66">
      <c r="A2479" s="739" t="s">
        <v>17659</v>
      </c>
      <c r="C2479" s="739">
        <v>25000</v>
      </c>
      <c r="E2479" s="741"/>
      <c r="F2479" s="741"/>
      <c r="H2479" s="836" t="s">
        <v>17660</v>
      </c>
    </row>
    <row r="2480" spans="1:8">
      <c r="A2480" s="739" t="s">
        <v>17661</v>
      </c>
      <c r="C2480" s="739">
        <v>17000</v>
      </c>
      <c r="H2480" s="739" t="s">
        <v>17662</v>
      </c>
    </row>
    <row r="2481" spans="1:8">
      <c r="A2481" s="739" t="s">
        <v>7731</v>
      </c>
      <c r="C2481" s="739">
        <v>14193</v>
      </c>
      <c r="H2481" s="739" t="s">
        <v>17663</v>
      </c>
    </row>
    <row r="2482" spans="1:8">
      <c r="A2482" s="739" t="s">
        <v>17664</v>
      </c>
      <c r="E2482" s="741">
        <v>435</v>
      </c>
      <c r="F2482" s="741">
        <v>4428</v>
      </c>
      <c r="G2482" s="739" t="s">
        <v>17040</v>
      </c>
      <c r="H2482" s="739" t="s">
        <v>17665</v>
      </c>
    </row>
    <row r="2483" spans="1:8">
      <c r="A2483" s="739" t="s">
        <v>17666</v>
      </c>
      <c r="E2483" s="741">
        <v>500</v>
      </c>
      <c r="F2483" s="741">
        <v>3928</v>
      </c>
      <c r="G2483" s="739" t="s">
        <v>7776</v>
      </c>
      <c r="H2483" s="739" t="s">
        <v>17667</v>
      </c>
    </row>
    <row r="2484" spans="1:8">
      <c r="A2484" s="739" t="s">
        <v>17668</v>
      </c>
      <c r="C2484" s="739">
        <v>25318</v>
      </c>
      <c r="H2484" s="739" t="s">
        <v>17669</v>
      </c>
    </row>
    <row r="2485" spans="1:8">
      <c r="A2485" s="739" t="s">
        <v>17668</v>
      </c>
      <c r="C2485" s="739">
        <v>62750</v>
      </c>
      <c r="H2485" s="739" t="s">
        <v>17670</v>
      </c>
    </row>
    <row r="2486" spans="1:8">
      <c r="A2486" s="739" t="s">
        <v>17668</v>
      </c>
      <c r="C2486" s="739">
        <v>89500</v>
      </c>
      <c r="H2486" s="739" t="s">
        <v>17671</v>
      </c>
    </row>
    <row r="2487" spans="1:8">
      <c r="A2487" s="739" t="s">
        <v>7740</v>
      </c>
      <c r="C2487" s="739">
        <v>39562</v>
      </c>
      <c r="H2487" s="739" t="s">
        <v>17672</v>
      </c>
    </row>
    <row r="2488" spans="1:8">
      <c r="A2488" s="739" t="s">
        <v>17673</v>
      </c>
      <c r="E2488" s="741">
        <v>209</v>
      </c>
      <c r="F2488" s="741">
        <v>3719</v>
      </c>
      <c r="G2488" s="741" t="s">
        <v>17176</v>
      </c>
      <c r="H2488" s="739" t="s">
        <v>7743</v>
      </c>
    </row>
    <row r="2489" spans="1:8">
      <c r="A2489" s="739" t="s">
        <v>17673</v>
      </c>
      <c r="E2489" s="739">
        <v>1205</v>
      </c>
      <c r="F2489" s="739">
        <v>2514</v>
      </c>
      <c r="G2489" s="739" t="s">
        <v>17113</v>
      </c>
      <c r="H2489" s="739" t="s">
        <v>17674</v>
      </c>
    </row>
    <row r="2490" spans="1:8">
      <c r="A2490" s="739" t="s">
        <v>17675</v>
      </c>
      <c r="C2490" s="739">
        <v>17000</v>
      </c>
      <c r="H2490" s="739" t="s">
        <v>17676</v>
      </c>
    </row>
    <row r="2491" spans="1:8">
      <c r="A2491" s="739" t="s">
        <v>17677</v>
      </c>
      <c r="C2491" s="739">
        <v>5077</v>
      </c>
      <c r="H2491" s="739" t="s">
        <v>17678</v>
      </c>
    </row>
    <row r="2492" spans="1:8">
      <c r="A2492" s="739" t="s">
        <v>7749</v>
      </c>
      <c r="E2492" s="739">
        <v>200</v>
      </c>
      <c r="F2492" s="741">
        <v>2314</v>
      </c>
      <c r="G2492" s="739" t="s">
        <v>7774</v>
      </c>
      <c r="H2492" s="739" t="s">
        <v>17679</v>
      </c>
    </row>
    <row r="2493" spans="1:8">
      <c r="A2493" s="739" t="s">
        <v>17680</v>
      </c>
      <c r="C2493" s="739">
        <v>25318</v>
      </c>
      <c r="H2493" s="739" t="s">
        <v>7750</v>
      </c>
    </row>
    <row r="2494" spans="1:8">
      <c r="A2494" s="739" t="s">
        <v>17680</v>
      </c>
      <c r="C2494" s="739">
        <v>62750</v>
      </c>
      <c r="H2494" s="739" t="s">
        <v>17681</v>
      </c>
    </row>
    <row r="2495" spans="1:8">
      <c r="A2495" s="739" t="s">
        <v>17680</v>
      </c>
      <c r="C2495" s="739">
        <v>18000</v>
      </c>
      <c r="H2495" s="739" t="s">
        <v>17682</v>
      </c>
    </row>
    <row r="2496" spans="1:8">
      <c r="A2496" s="739" t="s">
        <v>7754</v>
      </c>
      <c r="E2496" s="739">
        <v>200</v>
      </c>
      <c r="F2496" s="739">
        <v>2114</v>
      </c>
      <c r="G2496" s="739" t="s">
        <v>6943</v>
      </c>
      <c r="H2496" s="739" t="s">
        <v>7756</v>
      </c>
    </row>
    <row r="2497" spans="1:8">
      <c r="A2497" s="739" t="s">
        <v>17683</v>
      </c>
      <c r="E2497" s="739">
        <v>35</v>
      </c>
      <c r="F2497" s="739">
        <v>2079</v>
      </c>
      <c r="G2497" s="739" t="s">
        <v>17098</v>
      </c>
      <c r="H2497" s="739" t="s">
        <v>17684</v>
      </c>
    </row>
    <row r="2498" spans="1:8">
      <c r="A2498" s="739" t="s">
        <v>17683</v>
      </c>
      <c r="E2498" s="741">
        <v>20</v>
      </c>
      <c r="F2498" s="741">
        <v>2059</v>
      </c>
      <c r="G2498" s="739" t="s">
        <v>17141</v>
      </c>
      <c r="H2498" s="739" t="s">
        <v>17274</v>
      </c>
    </row>
    <row r="2499" spans="1:8">
      <c r="A2499" s="739" t="s">
        <v>17683</v>
      </c>
      <c r="E2499" s="739">
        <v>39</v>
      </c>
      <c r="F2499" s="741">
        <v>2020</v>
      </c>
      <c r="G2499" s="739" t="s">
        <v>17141</v>
      </c>
      <c r="H2499" s="739" t="s">
        <v>17685</v>
      </c>
    </row>
    <row r="2500" spans="1:8">
      <c r="A2500" s="739" t="s">
        <v>17686</v>
      </c>
      <c r="E2500" s="739">
        <v>1205</v>
      </c>
      <c r="F2500" s="739">
        <v>815</v>
      </c>
      <c r="G2500" s="739" t="s">
        <v>17113</v>
      </c>
      <c r="H2500" s="739" t="s">
        <v>17687</v>
      </c>
    </row>
    <row r="2501" spans="1:8">
      <c r="A2501" s="739" t="s">
        <v>7765</v>
      </c>
      <c r="C2501" s="739">
        <v>5000</v>
      </c>
      <c r="H2501" s="739" t="s">
        <v>16884</v>
      </c>
    </row>
    <row r="2502" spans="1:8">
      <c r="A2502" s="739" t="s">
        <v>17688</v>
      </c>
      <c r="D2502" s="739">
        <v>5000</v>
      </c>
      <c r="F2502" s="739">
        <v>5815</v>
      </c>
      <c r="H2502" s="739" t="s">
        <v>463</v>
      </c>
    </row>
    <row r="2503" spans="1:8">
      <c r="A2503" s="739" t="s">
        <v>17689</v>
      </c>
      <c r="E2503" s="741">
        <v>18</v>
      </c>
      <c r="F2503" s="741">
        <v>5797</v>
      </c>
      <c r="G2503" s="739" t="s">
        <v>17204</v>
      </c>
      <c r="H2503" s="739" t="s">
        <v>17690</v>
      </c>
    </row>
    <row r="2504" spans="1:8">
      <c r="A2504" s="739" t="s">
        <v>17691</v>
      </c>
      <c r="C2504" s="739">
        <v>17000</v>
      </c>
      <c r="H2504" s="739" t="s">
        <v>17692</v>
      </c>
    </row>
    <row r="2505" spans="1:8">
      <c r="A2505" s="739" t="s">
        <v>17693</v>
      </c>
      <c r="C2505" s="739">
        <v>8998</v>
      </c>
      <c r="H2505" s="739" t="s">
        <v>17694</v>
      </c>
    </row>
    <row r="2506" spans="1:8">
      <c r="A2506" s="739" t="s">
        <v>7773</v>
      </c>
      <c r="E2506" s="739">
        <v>39</v>
      </c>
      <c r="F2506" s="741">
        <v>5758</v>
      </c>
      <c r="G2506" s="739" t="s">
        <v>17331</v>
      </c>
      <c r="H2506" s="739" t="s">
        <v>17695</v>
      </c>
    </row>
    <row r="2507" spans="1:8">
      <c r="A2507" s="739" t="s">
        <v>17696</v>
      </c>
      <c r="E2507" s="741">
        <v>32</v>
      </c>
      <c r="F2507" s="741">
        <v>5726</v>
      </c>
      <c r="G2507" s="739" t="s">
        <v>17040</v>
      </c>
      <c r="H2507" s="739" t="s">
        <v>17697</v>
      </c>
    </row>
    <row r="2508" spans="1:8">
      <c r="A2508" s="739" t="s">
        <v>17698</v>
      </c>
      <c r="E2508" s="741">
        <v>199</v>
      </c>
      <c r="F2508" s="741">
        <v>5527</v>
      </c>
      <c r="G2508" s="741" t="s">
        <v>17176</v>
      </c>
      <c r="H2508" s="739" t="s">
        <v>17699</v>
      </c>
    </row>
    <row r="2509" spans="1:8">
      <c r="A2509" s="739" t="s">
        <v>7778</v>
      </c>
      <c r="E2509" s="739">
        <v>1205</v>
      </c>
      <c r="F2509" s="739">
        <v>4322</v>
      </c>
      <c r="G2509" s="739" t="s">
        <v>17113</v>
      </c>
      <c r="H2509" s="739" t="s">
        <v>17700</v>
      </c>
    </row>
    <row r="2510" spans="1:8">
      <c r="A2510" s="739" t="s">
        <v>7782</v>
      </c>
      <c r="E2510" s="741">
        <v>80</v>
      </c>
      <c r="F2510" s="741">
        <v>4242</v>
      </c>
      <c r="G2510" s="739" t="s">
        <v>17040</v>
      </c>
      <c r="H2510" s="739" t="s">
        <v>17701</v>
      </c>
    </row>
    <row r="2511" spans="1:8">
      <c r="A2511" s="739" t="s">
        <v>17702</v>
      </c>
      <c r="E2511" s="741">
        <v>80</v>
      </c>
      <c r="F2511" s="741">
        <v>4162</v>
      </c>
      <c r="G2511" s="739" t="s">
        <v>7776</v>
      </c>
      <c r="H2511" s="739" t="s">
        <v>17701</v>
      </c>
    </row>
    <row r="2512" spans="1:8">
      <c r="A2512" s="739" t="s">
        <v>17703</v>
      </c>
      <c r="E2512" s="741">
        <v>70</v>
      </c>
      <c r="F2512" s="741">
        <v>4092</v>
      </c>
      <c r="G2512" s="739" t="s">
        <v>17040</v>
      </c>
      <c r="H2512" s="739" t="s">
        <v>17704</v>
      </c>
    </row>
    <row r="2513" spans="1:8">
      <c r="A2513" s="739" t="s">
        <v>17703</v>
      </c>
      <c r="E2513" s="741">
        <v>75</v>
      </c>
      <c r="F2513" s="741">
        <v>4017</v>
      </c>
      <c r="G2513" s="739" t="s">
        <v>17040</v>
      </c>
      <c r="H2513" s="739" t="s">
        <v>17704</v>
      </c>
    </row>
    <row r="2514" spans="1:8">
      <c r="A2514" s="739" t="s">
        <v>17705</v>
      </c>
      <c r="E2514" s="741">
        <v>100</v>
      </c>
      <c r="F2514" s="741">
        <v>3917</v>
      </c>
      <c r="G2514" s="739" t="s">
        <v>17040</v>
      </c>
      <c r="H2514" s="739" t="s">
        <v>7786</v>
      </c>
    </row>
    <row r="2515" spans="1:8">
      <c r="A2515" s="739" t="s">
        <v>17706</v>
      </c>
      <c r="C2515" s="739">
        <v>17000</v>
      </c>
      <c r="H2515" s="739" t="s">
        <v>17707</v>
      </c>
    </row>
    <row r="2516" spans="1:8">
      <c r="A2516" s="739" t="s">
        <v>17708</v>
      </c>
      <c r="C2516" s="739">
        <v>1354</v>
      </c>
      <c r="H2516" s="739" t="s">
        <v>17709</v>
      </c>
    </row>
    <row r="2517" spans="1:8">
      <c r="A2517" s="739" t="s">
        <v>17710</v>
      </c>
      <c r="E2517" s="739">
        <v>30</v>
      </c>
      <c r="F2517" s="741">
        <v>3887</v>
      </c>
      <c r="G2517" s="739" t="s">
        <v>17331</v>
      </c>
      <c r="H2517" s="739" t="s">
        <v>17711</v>
      </c>
    </row>
    <row r="2518" spans="1:8">
      <c r="A2518" s="739" t="s">
        <v>17712</v>
      </c>
      <c r="E2518" s="739">
        <v>35</v>
      </c>
      <c r="F2518" s="739">
        <v>3852</v>
      </c>
      <c r="G2518" s="739" t="s">
        <v>17098</v>
      </c>
      <c r="H2518" s="739" t="s">
        <v>17713</v>
      </c>
    </row>
    <row r="2519" spans="1:8">
      <c r="A2519" s="739" t="s">
        <v>17714</v>
      </c>
      <c r="E2519" s="739">
        <v>1205</v>
      </c>
      <c r="F2519" s="739">
        <v>2647</v>
      </c>
      <c r="G2519" s="739" t="s">
        <v>7763</v>
      </c>
      <c r="H2519" s="739" t="s">
        <v>17715</v>
      </c>
    </row>
    <row r="2520" spans="1:8">
      <c r="A2520" s="739" t="s">
        <v>17716</v>
      </c>
      <c r="E2520" s="741">
        <v>86</v>
      </c>
      <c r="F2520" s="741">
        <v>2561</v>
      </c>
      <c r="G2520" s="739" t="s">
        <v>17331</v>
      </c>
      <c r="H2520" s="741" t="s">
        <v>17717</v>
      </c>
    </row>
    <row r="2521" spans="1:8">
      <c r="A2521" s="739" t="s">
        <v>7797</v>
      </c>
      <c r="E2521" s="741">
        <v>169</v>
      </c>
      <c r="F2521" s="741">
        <v>2392</v>
      </c>
      <c r="G2521" s="739" t="s">
        <v>7774</v>
      </c>
      <c r="H2521" s="741" t="s">
        <v>7799</v>
      </c>
    </row>
    <row r="2522" spans="1:8">
      <c r="A2522" s="739" t="s">
        <v>7797</v>
      </c>
      <c r="E2522" s="741">
        <v>18</v>
      </c>
      <c r="F2522" s="741">
        <v>2374</v>
      </c>
      <c r="G2522" s="739" t="s">
        <v>6913</v>
      </c>
      <c r="H2522" s="739" t="s">
        <v>17718</v>
      </c>
    </row>
    <row r="2523" spans="1:8">
      <c r="A2523" s="739" t="s">
        <v>17719</v>
      </c>
      <c r="E2523" s="741">
        <v>140</v>
      </c>
      <c r="F2523" s="741">
        <v>2234</v>
      </c>
      <c r="G2523" s="739" t="s">
        <v>17040</v>
      </c>
      <c r="H2523" s="739" t="s">
        <v>17720</v>
      </c>
    </row>
    <row r="2524" spans="1:8">
      <c r="A2524" s="739" t="s">
        <v>17719</v>
      </c>
      <c r="E2524" s="741">
        <v>145</v>
      </c>
      <c r="F2524" s="741">
        <v>2089</v>
      </c>
      <c r="G2524" s="739" t="s">
        <v>17040</v>
      </c>
      <c r="H2524" s="739" t="s">
        <v>17720</v>
      </c>
    </row>
    <row r="2525" spans="1:8">
      <c r="A2525" s="739" t="s">
        <v>17719</v>
      </c>
      <c r="E2525" s="741">
        <v>155</v>
      </c>
      <c r="F2525" s="741">
        <v>1934</v>
      </c>
      <c r="G2525" s="739" t="s">
        <v>7776</v>
      </c>
      <c r="H2525" s="739" t="s">
        <v>17721</v>
      </c>
    </row>
    <row r="2526" spans="1:8">
      <c r="A2526" s="739" t="s">
        <v>17722</v>
      </c>
      <c r="E2526" s="741">
        <v>145</v>
      </c>
      <c r="F2526" s="741">
        <v>1789</v>
      </c>
      <c r="G2526" s="739" t="s">
        <v>17040</v>
      </c>
      <c r="H2526" s="739" t="s">
        <v>7803</v>
      </c>
    </row>
    <row r="2527" spans="1:8">
      <c r="A2527" s="739" t="s">
        <v>17723</v>
      </c>
      <c r="E2527" s="739">
        <v>145</v>
      </c>
      <c r="F2527" s="741">
        <v>1644</v>
      </c>
      <c r="G2527" s="739" t="s">
        <v>6913</v>
      </c>
      <c r="H2527" s="739" t="s">
        <v>17164</v>
      </c>
    </row>
    <row r="2528" spans="1:8">
      <c r="A2528" s="739" t="s">
        <v>7806</v>
      </c>
      <c r="C2528" s="739">
        <v>17000</v>
      </c>
      <c r="H2528" s="739" t="s">
        <v>17724</v>
      </c>
    </row>
    <row r="2529" spans="1:8">
      <c r="A2529" s="739" t="s">
        <v>17725</v>
      </c>
      <c r="C2529" s="739">
        <v>5000</v>
      </c>
      <c r="H2529" s="739" t="s">
        <v>16884</v>
      </c>
    </row>
    <row r="2530" spans="1:8">
      <c r="A2530" s="739" t="s">
        <v>17725</v>
      </c>
      <c r="C2530" s="739">
        <v>28652</v>
      </c>
      <c r="H2530" s="739" t="s">
        <v>7808</v>
      </c>
    </row>
    <row r="2531" spans="1:8">
      <c r="A2531" s="739" t="s">
        <v>17725</v>
      </c>
      <c r="E2531" s="739">
        <v>30</v>
      </c>
      <c r="F2531" s="739">
        <v>1614</v>
      </c>
      <c r="G2531" s="739" t="s">
        <v>17098</v>
      </c>
      <c r="H2531" s="739" t="s">
        <v>17726</v>
      </c>
    </row>
    <row r="2532" spans="1:8">
      <c r="A2532" s="739" t="s">
        <v>17727</v>
      </c>
      <c r="D2532" s="739">
        <v>5000</v>
      </c>
      <c r="F2532" s="739">
        <v>6614</v>
      </c>
      <c r="H2532" s="739" t="s">
        <v>16884</v>
      </c>
    </row>
    <row r="2533" spans="1:8">
      <c r="A2533" s="739" t="s">
        <v>17728</v>
      </c>
      <c r="E2533" s="739">
        <v>695</v>
      </c>
      <c r="F2533" s="739">
        <v>5919</v>
      </c>
      <c r="G2533" s="739" t="s">
        <v>17098</v>
      </c>
      <c r="H2533" s="739" t="s">
        <v>7811</v>
      </c>
    </row>
    <row r="2534" spans="1:8">
      <c r="A2534" s="739" t="s">
        <v>17728</v>
      </c>
      <c r="E2534" s="739">
        <v>284</v>
      </c>
      <c r="F2534" s="741">
        <v>5635</v>
      </c>
      <c r="G2534" s="739" t="s">
        <v>17141</v>
      </c>
      <c r="H2534" s="739" t="s">
        <v>17729</v>
      </c>
    </row>
    <row r="2535" spans="1:8">
      <c r="A2535" s="739" t="s">
        <v>7813</v>
      </c>
      <c r="C2535" s="739">
        <v>25318</v>
      </c>
      <c r="H2535" s="739" t="s">
        <v>17730</v>
      </c>
    </row>
    <row r="2536" spans="1:8">
      <c r="A2536" s="739" t="s">
        <v>17731</v>
      </c>
      <c r="C2536" s="739">
        <v>62750</v>
      </c>
      <c r="H2536" s="739" t="s">
        <v>17732</v>
      </c>
    </row>
    <row r="2537" spans="1:8">
      <c r="A2537" s="739" t="s">
        <v>17731</v>
      </c>
      <c r="C2537" s="739">
        <v>12000</v>
      </c>
      <c r="H2537" s="739" t="s">
        <v>17733</v>
      </c>
    </row>
    <row r="2538" spans="1:8">
      <c r="A2538" s="739" t="s">
        <v>17731</v>
      </c>
      <c r="E2538" s="739">
        <v>60</v>
      </c>
      <c r="F2538" s="739">
        <v>5575</v>
      </c>
      <c r="G2538" s="739" t="s">
        <v>17098</v>
      </c>
      <c r="H2538" s="739" t="s">
        <v>17734</v>
      </c>
    </row>
    <row r="2539" spans="1:8">
      <c r="A2539" s="739" t="s">
        <v>17731</v>
      </c>
      <c r="E2539" s="741">
        <v>32</v>
      </c>
      <c r="F2539" s="741">
        <v>5543</v>
      </c>
      <c r="G2539" s="739" t="s">
        <v>17040</v>
      </c>
      <c r="H2539" s="739" t="s">
        <v>17735</v>
      </c>
    </row>
    <row r="2540" spans="1:8">
      <c r="A2540" s="739" t="s">
        <v>17731</v>
      </c>
      <c r="E2540" s="741">
        <v>10</v>
      </c>
      <c r="F2540" s="741">
        <v>5533</v>
      </c>
      <c r="G2540" s="739" t="s">
        <v>17141</v>
      </c>
      <c r="H2540" s="739" t="s">
        <v>17736</v>
      </c>
    </row>
    <row r="2541" spans="1:8">
      <c r="A2541" s="739" t="s">
        <v>17737</v>
      </c>
      <c r="C2541" s="739">
        <v>10725</v>
      </c>
      <c r="H2541" s="739" t="s">
        <v>7821</v>
      </c>
    </row>
    <row r="2542" spans="1:8">
      <c r="A2542" s="739" t="s">
        <v>17737</v>
      </c>
      <c r="E2542" s="741">
        <v>130</v>
      </c>
      <c r="F2542" s="741">
        <v>5403</v>
      </c>
      <c r="G2542" s="739" t="s">
        <v>7776</v>
      </c>
      <c r="H2542" s="739" t="s">
        <v>7822</v>
      </c>
    </row>
    <row r="2543" spans="1:8">
      <c r="A2543" s="739" t="s">
        <v>17737</v>
      </c>
      <c r="E2543" s="741">
        <v>130</v>
      </c>
      <c r="F2543" s="741">
        <v>5273</v>
      </c>
      <c r="G2543" s="739" t="s">
        <v>17040</v>
      </c>
      <c r="H2543" s="739" t="s">
        <v>17738</v>
      </c>
    </row>
    <row r="2544" spans="1:8">
      <c r="A2544" s="739" t="s">
        <v>17739</v>
      </c>
      <c r="E2544" s="739">
        <v>30</v>
      </c>
      <c r="F2544" s="739">
        <v>5243</v>
      </c>
      <c r="G2544" s="739" t="s">
        <v>6943</v>
      </c>
      <c r="H2544" s="739" t="s">
        <v>17740</v>
      </c>
    </row>
    <row r="2545" spans="1:8">
      <c r="A2545" s="739" t="s">
        <v>17739</v>
      </c>
      <c r="E2545" s="741">
        <v>220</v>
      </c>
      <c r="F2545" s="741">
        <v>5023</v>
      </c>
      <c r="G2545" s="739" t="s">
        <v>17040</v>
      </c>
      <c r="H2545" s="739" t="s">
        <v>17741</v>
      </c>
    </row>
    <row r="2546" spans="1:8">
      <c r="A2546" s="739" t="s">
        <v>17739</v>
      </c>
      <c r="E2546" s="741">
        <v>215</v>
      </c>
      <c r="F2546" s="741">
        <v>4808</v>
      </c>
      <c r="G2546" s="739" t="s">
        <v>17040</v>
      </c>
      <c r="H2546" s="739" t="s">
        <v>17741</v>
      </c>
    </row>
    <row r="2547" spans="1:8">
      <c r="A2547" s="739" t="s">
        <v>17742</v>
      </c>
      <c r="E2547" s="739">
        <v>1205</v>
      </c>
      <c r="F2547" s="739">
        <v>3603</v>
      </c>
      <c r="G2547" s="739" t="s">
        <v>7763</v>
      </c>
      <c r="H2547" s="739" t="s">
        <v>17743</v>
      </c>
    </row>
    <row r="2548" spans="1:8">
      <c r="A2548" s="739" t="s">
        <v>17742</v>
      </c>
      <c r="E2548" s="739">
        <v>35</v>
      </c>
      <c r="F2548" s="739">
        <v>3568</v>
      </c>
      <c r="G2548" s="739" t="s">
        <v>17098</v>
      </c>
      <c r="H2548" s="739" t="s">
        <v>17744</v>
      </c>
    </row>
    <row r="2549" spans="1:8">
      <c r="A2549" s="739" t="s">
        <v>17742</v>
      </c>
      <c r="E2549" s="739">
        <v>700</v>
      </c>
      <c r="F2549" s="739">
        <v>2868</v>
      </c>
      <c r="G2549" s="739" t="s">
        <v>17098</v>
      </c>
      <c r="H2549" s="739" t="s">
        <v>17745</v>
      </c>
    </row>
    <row r="2550" spans="1:8">
      <c r="A2550" s="739" t="s">
        <v>17742</v>
      </c>
      <c r="E2550" s="741">
        <v>199</v>
      </c>
      <c r="F2550" s="741">
        <v>2669</v>
      </c>
      <c r="G2550" s="741" t="s">
        <v>17176</v>
      </c>
      <c r="H2550" s="739" t="s">
        <v>17746</v>
      </c>
    </row>
    <row r="2551" spans="1:8">
      <c r="A2551" s="739" t="s">
        <v>17747</v>
      </c>
      <c r="E2551" s="739">
        <v>35</v>
      </c>
      <c r="F2551" s="739">
        <v>2634</v>
      </c>
      <c r="G2551" s="739" t="s">
        <v>17098</v>
      </c>
      <c r="H2551" s="739" t="s">
        <v>7832</v>
      </c>
    </row>
    <row r="2552" spans="1:8">
      <c r="A2552" s="739" t="s">
        <v>17748</v>
      </c>
      <c r="C2552" s="739">
        <v>840</v>
      </c>
      <c r="H2552" s="739" t="s">
        <v>17749</v>
      </c>
    </row>
    <row r="2553" spans="1:8">
      <c r="A2553" s="739" t="s">
        <v>17750</v>
      </c>
      <c r="C2553" s="739">
        <v>17000</v>
      </c>
      <c r="H2553" s="739" t="s">
        <v>7836</v>
      </c>
    </row>
    <row r="2554" spans="1:8">
      <c r="A2554" s="739" t="s">
        <v>17751</v>
      </c>
      <c r="E2554" s="739">
        <v>45</v>
      </c>
      <c r="F2554" s="739">
        <v>2589</v>
      </c>
      <c r="G2554" s="739" t="s">
        <v>6943</v>
      </c>
      <c r="H2554" s="739" t="s">
        <v>7838</v>
      </c>
    </row>
    <row r="2555" spans="1:8">
      <c r="A2555" s="739" t="s">
        <v>7839</v>
      </c>
      <c r="E2555" s="739">
        <v>35</v>
      </c>
      <c r="F2555" s="739">
        <v>2554</v>
      </c>
      <c r="G2555" s="739" t="s">
        <v>17098</v>
      </c>
      <c r="H2555" s="739" t="s">
        <v>17752</v>
      </c>
    </row>
    <row r="2556" spans="1:8">
      <c r="A2556" s="739" t="s">
        <v>7841</v>
      </c>
      <c r="E2556" s="741">
        <v>94</v>
      </c>
      <c r="F2556" s="741">
        <v>2460</v>
      </c>
      <c r="G2556" s="739" t="s">
        <v>17257</v>
      </c>
      <c r="H2556" s="739" t="s">
        <v>7786</v>
      </c>
    </row>
    <row r="2557" spans="1:8">
      <c r="A2557" s="739" t="s">
        <v>17753</v>
      </c>
      <c r="E2557" s="739">
        <v>65</v>
      </c>
      <c r="F2557" s="739">
        <v>2395</v>
      </c>
      <c r="G2557" s="739" t="s">
        <v>17098</v>
      </c>
      <c r="H2557" s="739" t="s">
        <v>17754</v>
      </c>
    </row>
    <row r="2558" spans="1:8">
      <c r="A2558" s="739" t="s">
        <v>17755</v>
      </c>
      <c r="E2558" s="741">
        <v>400</v>
      </c>
      <c r="F2558" s="741">
        <v>1995</v>
      </c>
      <c r="G2558" s="739" t="s">
        <v>7776</v>
      </c>
      <c r="H2558" s="739" t="s">
        <v>17756</v>
      </c>
    </row>
    <row r="2559" spans="1:8">
      <c r="A2559" s="739" t="s">
        <v>7846</v>
      </c>
      <c r="E2559" s="739">
        <v>1205</v>
      </c>
      <c r="F2559" s="739">
        <v>790</v>
      </c>
      <c r="G2559" s="739" t="s">
        <v>17113</v>
      </c>
      <c r="H2559" s="739" t="s">
        <v>17757</v>
      </c>
    </row>
    <row r="2560" spans="1:8" ht="33">
      <c r="C2560" s="739">
        <v>50000</v>
      </c>
      <c r="H2560" s="836" t="s">
        <v>17758</v>
      </c>
    </row>
    <row r="2561" spans="1:8">
      <c r="A2561" s="739" t="s">
        <v>17759</v>
      </c>
      <c r="E2561" s="741">
        <v>18</v>
      </c>
      <c r="F2561" s="741">
        <v>772</v>
      </c>
      <c r="G2561" s="739" t="s">
        <v>17204</v>
      </c>
      <c r="H2561" s="739" t="s">
        <v>17760</v>
      </c>
    </row>
    <row r="2562" spans="1:8">
      <c r="A2562" s="739" t="s">
        <v>17761</v>
      </c>
      <c r="E2562" s="739">
        <v>30</v>
      </c>
      <c r="F2562" s="739">
        <v>742</v>
      </c>
      <c r="G2562" s="739" t="s">
        <v>17098</v>
      </c>
      <c r="H2562" s="739" t="s">
        <v>17762</v>
      </c>
    </row>
    <row r="2563" spans="1:8" s="842" customFormat="1" ht="3" customHeight="1">
      <c r="E2563" s="848"/>
      <c r="F2563" s="848"/>
    </row>
    <row r="2564" spans="1:8">
      <c r="A2564" s="739" t="s">
        <v>7853</v>
      </c>
      <c r="C2564" s="739">
        <v>17000</v>
      </c>
      <c r="H2564" s="739" t="s">
        <v>17763</v>
      </c>
    </row>
    <row r="2565" spans="1:8">
      <c r="A2565" s="739" t="s">
        <v>17764</v>
      </c>
      <c r="C2565" s="739">
        <v>25318</v>
      </c>
      <c r="H2565" s="739" t="s">
        <v>17765</v>
      </c>
    </row>
    <row r="2566" spans="1:8">
      <c r="A2566" s="739" t="s">
        <v>17764</v>
      </c>
      <c r="C2566" s="739">
        <v>62750</v>
      </c>
      <c r="H2566" s="739" t="s">
        <v>17766</v>
      </c>
    </row>
    <row r="2567" spans="1:8">
      <c r="A2567" s="739" t="s">
        <v>17764</v>
      </c>
      <c r="C2567" s="739">
        <v>23000</v>
      </c>
      <c r="H2567" s="739" t="s">
        <v>17767</v>
      </c>
    </row>
    <row r="2568" spans="1:8">
      <c r="A2568" s="739" t="s">
        <v>17764</v>
      </c>
      <c r="C2568" s="739">
        <v>5000</v>
      </c>
      <c r="H2568" s="739" t="s">
        <v>16884</v>
      </c>
    </row>
    <row r="2569" spans="1:8">
      <c r="A2569" s="739" t="s">
        <v>17768</v>
      </c>
      <c r="C2569" s="739">
        <v>15359</v>
      </c>
      <c r="H2569" s="739" t="s">
        <v>17769</v>
      </c>
    </row>
    <row r="2570" spans="1:8">
      <c r="A2570" s="739" t="s">
        <v>17764</v>
      </c>
      <c r="C2570" s="739">
        <v>1090</v>
      </c>
      <c r="H2570" s="739" t="s">
        <v>17770</v>
      </c>
    </row>
    <row r="2571" spans="1:8">
      <c r="A2571" s="739" t="s">
        <v>17764</v>
      </c>
      <c r="E2571" s="739">
        <v>300</v>
      </c>
      <c r="F2571" s="739">
        <v>442</v>
      </c>
      <c r="G2571" s="739" t="s">
        <v>17194</v>
      </c>
      <c r="H2571" s="739" t="s">
        <v>17771</v>
      </c>
    </row>
    <row r="2572" spans="1:8">
      <c r="A2572" s="739" t="s">
        <v>17764</v>
      </c>
      <c r="D2572" s="739">
        <v>5000</v>
      </c>
      <c r="F2572" s="739">
        <v>5442</v>
      </c>
      <c r="H2572" s="739" t="s">
        <v>16884</v>
      </c>
    </row>
    <row r="2573" spans="1:8">
      <c r="A2573" s="739" t="s">
        <v>17772</v>
      </c>
      <c r="E2573" s="741">
        <v>110</v>
      </c>
      <c r="F2573" s="741">
        <v>5332</v>
      </c>
      <c r="G2573" s="739" t="s">
        <v>17040</v>
      </c>
      <c r="H2573" s="739" t="s">
        <v>17738</v>
      </c>
    </row>
    <row r="2574" spans="1:8">
      <c r="A2574" s="739" t="s">
        <v>17772</v>
      </c>
      <c r="E2574" s="741">
        <v>140</v>
      </c>
      <c r="F2574" s="741">
        <v>5192</v>
      </c>
      <c r="G2574" s="739" t="s">
        <v>17040</v>
      </c>
      <c r="H2574" s="739" t="s">
        <v>17738</v>
      </c>
    </row>
    <row r="2575" spans="1:8" ht="181.5">
      <c r="A2575" s="739" t="s">
        <v>3943</v>
      </c>
      <c r="C2575" s="739">
        <v>494498</v>
      </c>
      <c r="H2575" s="836" t="s">
        <v>17773</v>
      </c>
    </row>
    <row r="2576" spans="1:8">
      <c r="A2576" s="739" t="s">
        <v>3995</v>
      </c>
      <c r="C2576" s="739">
        <v>51801</v>
      </c>
      <c r="H2576" s="739" t="s">
        <v>17774</v>
      </c>
    </row>
    <row r="2577" spans="1:8">
      <c r="A2577" s="739" t="s">
        <v>17775</v>
      </c>
      <c r="E2577" s="739">
        <v>1205</v>
      </c>
      <c r="F2577" s="739">
        <v>3987</v>
      </c>
      <c r="G2577" s="739" t="s">
        <v>17113</v>
      </c>
      <c r="H2577" s="739" t="s">
        <v>7868</v>
      </c>
    </row>
    <row r="2578" spans="1:8" ht="115.5">
      <c r="A2578" s="739" t="s">
        <v>7869</v>
      </c>
      <c r="C2578" s="739">
        <v>59000</v>
      </c>
      <c r="H2578" s="836" t="s">
        <v>17776</v>
      </c>
    </row>
    <row r="2579" spans="1:8">
      <c r="A2579" s="739" t="s">
        <v>17777</v>
      </c>
      <c r="E2579" s="741">
        <v>209</v>
      </c>
      <c r="F2579" s="741">
        <v>3778</v>
      </c>
      <c r="G2579" s="741" t="s">
        <v>6937</v>
      </c>
      <c r="H2579" s="739" t="s">
        <v>17778</v>
      </c>
    </row>
    <row r="2580" spans="1:8">
      <c r="A2580" s="739" t="s">
        <v>17779</v>
      </c>
      <c r="C2580" s="739">
        <v>17000</v>
      </c>
      <c r="H2580" s="739" t="s">
        <v>17780</v>
      </c>
    </row>
    <row r="2581" spans="1:8">
      <c r="A2581" s="739" t="s">
        <v>17781</v>
      </c>
      <c r="E2581" s="739">
        <v>200</v>
      </c>
      <c r="F2581" s="741">
        <v>3578</v>
      </c>
      <c r="G2581" s="739" t="s">
        <v>7774</v>
      </c>
      <c r="H2581" s="739" t="s">
        <v>17679</v>
      </c>
    </row>
    <row r="2582" spans="1:8">
      <c r="A2582" s="739" t="s">
        <v>17782</v>
      </c>
      <c r="H2582" s="739" t="s">
        <v>17783</v>
      </c>
    </row>
    <row r="2583" spans="1:8">
      <c r="A2583" s="739" t="s">
        <v>17784</v>
      </c>
      <c r="C2583" s="739">
        <v>50000</v>
      </c>
      <c r="H2583" s="739" t="s">
        <v>17785</v>
      </c>
    </row>
    <row r="2584" spans="1:8">
      <c r="A2584" s="739" t="s">
        <v>17782</v>
      </c>
      <c r="H2584" s="739" t="s">
        <v>17786</v>
      </c>
    </row>
    <row r="2585" spans="1:8">
      <c r="A2585" s="739" t="s">
        <v>17787</v>
      </c>
      <c r="C2585" s="739">
        <v>26036</v>
      </c>
      <c r="H2585" s="739" t="s">
        <v>17788</v>
      </c>
    </row>
    <row r="2586" spans="1:8">
      <c r="A2586" s="739" t="s">
        <v>17789</v>
      </c>
      <c r="E2586" s="741">
        <v>145</v>
      </c>
      <c r="F2586" s="741">
        <v>3433</v>
      </c>
      <c r="G2586" s="739" t="s">
        <v>17040</v>
      </c>
      <c r="H2586" s="739" t="s">
        <v>17790</v>
      </c>
    </row>
    <row r="2587" spans="1:8">
      <c r="A2587" s="739" t="s">
        <v>17791</v>
      </c>
      <c r="E2587" s="741">
        <v>155</v>
      </c>
      <c r="F2587" s="741">
        <v>3278</v>
      </c>
      <c r="G2587" s="739" t="s">
        <v>17040</v>
      </c>
      <c r="H2587" s="739" t="s">
        <v>7884</v>
      </c>
    </row>
    <row r="2588" spans="1:8">
      <c r="A2588" s="739" t="s">
        <v>17792</v>
      </c>
      <c r="E2588" s="741">
        <v>190</v>
      </c>
      <c r="F2588" s="741">
        <v>3088</v>
      </c>
      <c r="G2588" s="739" t="s">
        <v>17040</v>
      </c>
      <c r="H2588" s="739" t="s">
        <v>17793</v>
      </c>
    </row>
    <row r="2589" spans="1:8">
      <c r="A2589" s="739" t="s">
        <v>17792</v>
      </c>
      <c r="E2589" s="741">
        <v>20</v>
      </c>
      <c r="F2589" s="741">
        <v>3068</v>
      </c>
      <c r="G2589" s="739" t="s">
        <v>17257</v>
      </c>
      <c r="H2589" s="739" t="s">
        <v>17794</v>
      </c>
    </row>
    <row r="2590" spans="1:8">
      <c r="A2590" s="739" t="s">
        <v>7888</v>
      </c>
      <c r="E2590" s="739">
        <v>1205</v>
      </c>
      <c r="F2590" s="739">
        <v>1863</v>
      </c>
      <c r="G2590" s="739" t="s">
        <v>17113</v>
      </c>
      <c r="H2590" s="739" t="s">
        <v>17795</v>
      </c>
    </row>
    <row r="2591" spans="1:8">
      <c r="A2591" s="739" t="s">
        <v>17796</v>
      </c>
      <c r="C2591" s="739">
        <v>17000</v>
      </c>
      <c r="H2591" s="739" t="s">
        <v>17797</v>
      </c>
    </row>
    <row r="2592" spans="1:8">
      <c r="A2592" s="739" t="s">
        <v>17798</v>
      </c>
      <c r="E2592" s="741">
        <v>18</v>
      </c>
      <c r="F2592" s="741">
        <v>1845</v>
      </c>
      <c r="G2592" s="739" t="s">
        <v>6913</v>
      </c>
      <c r="H2592" s="739" t="s">
        <v>17799</v>
      </c>
    </row>
    <row r="2593" spans="1:8">
      <c r="A2593" s="739" t="s">
        <v>17798</v>
      </c>
      <c r="E2593" s="739">
        <v>204</v>
      </c>
      <c r="F2593" s="741">
        <v>1641</v>
      </c>
      <c r="G2593" s="739" t="s">
        <v>17141</v>
      </c>
      <c r="H2593" s="739" t="s">
        <v>17800</v>
      </c>
    </row>
    <row r="2594" spans="1:8">
      <c r="A2594" s="739" t="s">
        <v>17798</v>
      </c>
      <c r="E2594" s="741">
        <v>80</v>
      </c>
      <c r="F2594" s="741">
        <v>1561</v>
      </c>
      <c r="G2594" s="739" t="s">
        <v>17141</v>
      </c>
      <c r="H2594" s="739" t="s">
        <v>17274</v>
      </c>
    </row>
    <row r="2595" spans="1:8">
      <c r="A2595" s="739" t="s">
        <v>17801</v>
      </c>
      <c r="C2595" s="739">
        <v>25318</v>
      </c>
      <c r="H2595" s="739" t="s">
        <v>17802</v>
      </c>
    </row>
    <row r="2596" spans="1:8">
      <c r="A2596" s="739" t="s">
        <v>7895</v>
      </c>
      <c r="C2596" s="739">
        <v>62750</v>
      </c>
      <c r="H2596" s="739" t="s">
        <v>7897</v>
      </c>
    </row>
    <row r="2597" spans="1:8">
      <c r="A2597" s="739" t="s">
        <v>17801</v>
      </c>
      <c r="C2597" s="739">
        <v>18000</v>
      </c>
      <c r="H2597" s="739" t="s">
        <v>17803</v>
      </c>
    </row>
    <row r="2598" spans="1:8">
      <c r="A2598" s="739" t="s">
        <v>17801</v>
      </c>
      <c r="C2598" s="739">
        <v>2036</v>
      </c>
      <c r="H2598" s="739" t="s">
        <v>7899</v>
      </c>
    </row>
    <row r="2599" spans="1:8">
      <c r="A2599" s="739" t="s">
        <v>7895</v>
      </c>
      <c r="C2599" s="739">
        <v>28321</v>
      </c>
      <c r="H2599" s="739" t="s">
        <v>17804</v>
      </c>
    </row>
    <row r="2600" spans="1:8">
      <c r="A2600" s="739" t="s">
        <v>17805</v>
      </c>
      <c r="E2600" s="739">
        <v>45</v>
      </c>
      <c r="F2600" s="739">
        <v>1516</v>
      </c>
      <c r="G2600" s="739" t="s">
        <v>17210</v>
      </c>
      <c r="H2600" s="739" t="s">
        <v>17806</v>
      </c>
    </row>
    <row r="2601" spans="1:8">
      <c r="A2601" s="739" t="s">
        <v>4037</v>
      </c>
      <c r="C2601" s="739">
        <v>5000</v>
      </c>
      <c r="H2601" s="739" t="s">
        <v>16884</v>
      </c>
    </row>
    <row r="2602" spans="1:8">
      <c r="A2602" s="739" t="s">
        <v>4037</v>
      </c>
      <c r="C2602" s="739">
        <v>8712</v>
      </c>
      <c r="H2602" s="739" t="s">
        <v>17807</v>
      </c>
    </row>
    <row r="2603" spans="1:8">
      <c r="A2603" s="739" t="s">
        <v>17808</v>
      </c>
      <c r="D2603" s="739">
        <v>5000</v>
      </c>
      <c r="F2603" s="739">
        <v>6516</v>
      </c>
      <c r="H2603" s="739" t="s">
        <v>16884</v>
      </c>
    </row>
    <row r="2604" spans="1:8">
      <c r="A2604" s="739" t="s">
        <v>17809</v>
      </c>
      <c r="E2604" s="741">
        <v>150</v>
      </c>
      <c r="F2604" s="741">
        <v>6366</v>
      </c>
      <c r="G2604" s="739" t="s">
        <v>17040</v>
      </c>
      <c r="H2604" s="739" t="s">
        <v>16882</v>
      </c>
    </row>
    <row r="2605" spans="1:8">
      <c r="A2605" s="739" t="s">
        <v>7906</v>
      </c>
      <c r="E2605" s="741">
        <v>150</v>
      </c>
      <c r="F2605" s="741">
        <v>6216</v>
      </c>
      <c r="G2605" s="739" t="s">
        <v>7776</v>
      </c>
      <c r="H2605" s="739" t="s">
        <v>7327</v>
      </c>
    </row>
    <row r="2606" spans="1:8">
      <c r="A2606" s="739" t="s">
        <v>4074</v>
      </c>
      <c r="E2606" s="741">
        <v>245</v>
      </c>
      <c r="F2606" s="741">
        <v>5971</v>
      </c>
      <c r="G2606" s="739" t="s">
        <v>17040</v>
      </c>
      <c r="H2606" s="739" t="s">
        <v>17289</v>
      </c>
    </row>
    <row r="2607" spans="1:8">
      <c r="A2607" s="739" t="s">
        <v>17810</v>
      </c>
      <c r="E2607" s="741">
        <v>275</v>
      </c>
      <c r="F2607" s="741">
        <v>5696</v>
      </c>
      <c r="G2607" s="739" t="s">
        <v>17040</v>
      </c>
      <c r="H2607" s="739" t="s">
        <v>6517</v>
      </c>
    </row>
    <row r="2608" spans="1:8">
      <c r="A2608" s="739" t="s">
        <v>17810</v>
      </c>
      <c r="E2608" s="739">
        <v>1205</v>
      </c>
      <c r="F2608" s="739">
        <v>4491</v>
      </c>
      <c r="G2608" s="739" t="s">
        <v>17113</v>
      </c>
      <c r="H2608" s="739" t="s">
        <v>17811</v>
      </c>
    </row>
    <row r="2609" spans="1:8">
      <c r="A2609" s="739" t="s">
        <v>17812</v>
      </c>
      <c r="E2609" s="741">
        <v>190</v>
      </c>
      <c r="F2609" s="741">
        <v>4301</v>
      </c>
      <c r="G2609" s="739" t="s">
        <v>17331</v>
      </c>
      <c r="H2609" s="741" t="s">
        <v>17717</v>
      </c>
    </row>
    <row r="2610" spans="1:8">
      <c r="A2610" s="739" t="s">
        <v>17813</v>
      </c>
      <c r="E2610" s="741">
        <v>188</v>
      </c>
      <c r="F2610" s="741">
        <v>4113</v>
      </c>
      <c r="G2610" s="741" t="s">
        <v>6937</v>
      </c>
      <c r="H2610" s="739" t="s">
        <v>7913</v>
      </c>
    </row>
    <row r="2611" spans="1:8">
      <c r="A2611" s="739" t="s">
        <v>17814</v>
      </c>
      <c r="E2611" s="739">
        <v>35</v>
      </c>
      <c r="F2611" s="739">
        <v>4078</v>
      </c>
      <c r="G2611" s="739" t="s">
        <v>17098</v>
      </c>
      <c r="H2611" s="739" t="s">
        <v>17815</v>
      </c>
    </row>
    <row r="2612" spans="1:8">
      <c r="A2612" s="739" t="s">
        <v>17816</v>
      </c>
      <c r="C2612" s="739">
        <v>17000</v>
      </c>
      <c r="H2612" s="739" t="s">
        <v>17817</v>
      </c>
    </row>
    <row r="2613" spans="1:8">
      <c r="A2613" s="739" t="s">
        <v>17818</v>
      </c>
      <c r="C2613" s="739">
        <v>25318</v>
      </c>
      <c r="H2613" s="739" t="s">
        <v>7919</v>
      </c>
    </row>
    <row r="2614" spans="1:8">
      <c r="A2614" s="739" t="s">
        <v>17818</v>
      </c>
      <c r="C2614" s="739">
        <v>62750</v>
      </c>
      <c r="H2614" s="739" t="s">
        <v>17819</v>
      </c>
    </row>
    <row r="2615" spans="1:8">
      <c r="A2615" s="739" t="s">
        <v>17818</v>
      </c>
      <c r="C2615" s="739">
        <v>36000</v>
      </c>
      <c r="H2615" s="739" t="s">
        <v>17820</v>
      </c>
    </row>
    <row r="2616" spans="1:8">
      <c r="A2616" s="739" t="s">
        <v>7918</v>
      </c>
      <c r="C2616" s="739">
        <v>5998</v>
      </c>
      <c r="H2616" s="739" t="s">
        <v>17821</v>
      </c>
    </row>
    <row r="2617" spans="1:8">
      <c r="A2617" s="739" t="s">
        <v>17818</v>
      </c>
      <c r="C2617" s="739">
        <v>27660</v>
      </c>
      <c r="H2617" s="739" t="s">
        <v>17822</v>
      </c>
    </row>
    <row r="2618" spans="1:8" ht="132">
      <c r="A2618" s="739" t="s">
        <v>17818</v>
      </c>
      <c r="C2618" s="739">
        <v>35000</v>
      </c>
      <c r="H2618" s="836" t="s">
        <v>17823</v>
      </c>
    </row>
    <row r="2619" spans="1:8">
      <c r="A2619" s="739" t="s">
        <v>17824</v>
      </c>
      <c r="E2619" s="741">
        <v>205</v>
      </c>
      <c r="F2619" s="741">
        <v>3873</v>
      </c>
      <c r="G2619" s="739" t="s">
        <v>17040</v>
      </c>
      <c r="H2619" s="739" t="s">
        <v>7926</v>
      </c>
    </row>
    <row r="2620" spans="1:8">
      <c r="A2620" s="739" t="s">
        <v>17824</v>
      </c>
      <c r="E2620" s="741">
        <v>215</v>
      </c>
      <c r="F2620" s="741">
        <v>3658</v>
      </c>
      <c r="G2620" s="739" t="s">
        <v>17040</v>
      </c>
      <c r="H2620" s="739" t="s">
        <v>17825</v>
      </c>
    </row>
    <row r="2621" spans="1:8">
      <c r="A2621" s="739" t="s">
        <v>17826</v>
      </c>
      <c r="E2621" s="741">
        <v>105</v>
      </c>
      <c r="F2621" s="741">
        <v>3553</v>
      </c>
      <c r="G2621" s="739" t="s">
        <v>17204</v>
      </c>
      <c r="H2621" s="739" t="s">
        <v>17827</v>
      </c>
    </row>
    <row r="2622" spans="1:8">
      <c r="A2622" s="739" t="s">
        <v>17828</v>
      </c>
      <c r="E2622" s="739">
        <v>1205</v>
      </c>
      <c r="F2622" s="739">
        <v>2348</v>
      </c>
      <c r="G2622" s="739" t="s">
        <v>17113</v>
      </c>
      <c r="H2622" s="739" t="s">
        <v>7930</v>
      </c>
    </row>
    <row r="2623" spans="1:8">
      <c r="A2623" s="739" t="s">
        <v>17829</v>
      </c>
      <c r="E2623" s="739">
        <v>35</v>
      </c>
      <c r="F2623" s="739">
        <v>2313</v>
      </c>
      <c r="G2623" s="739" t="s">
        <v>17098</v>
      </c>
      <c r="H2623" s="739" t="s">
        <v>17830</v>
      </c>
    </row>
    <row r="2624" spans="1:8">
      <c r="A2624" s="739" t="s">
        <v>17831</v>
      </c>
      <c r="E2624" s="741">
        <v>18</v>
      </c>
      <c r="F2624" s="741">
        <v>2295</v>
      </c>
      <c r="G2624" s="739" t="s">
        <v>6913</v>
      </c>
      <c r="H2624" s="739" t="s">
        <v>7934</v>
      </c>
    </row>
    <row r="2625" spans="1:8">
      <c r="A2625" s="739" t="s">
        <v>17832</v>
      </c>
      <c r="C2625" s="739">
        <v>17000</v>
      </c>
      <c r="H2625" s="739" t="s">
        <v>17833</v>
      </c>
    </row>
    <row r="2626" spans="1:8">
      <c r="A2626" s="739" t="s">
        <v>17834</v>
      </c>
      <c r="E2626" s="739">
        <v>35</v>
      </c>
      <c r="F2626" s="739">
        <v>2260</v>
      </c>
      <c r="G2626" s="739" t="s">
        <v>17098</v>
      </c>
      <c r="H2626" s="739" t="s">
        <v>17835</v>
      </c>
    </row>
    <row r="2627" spans="1:8">
      <c r="A2627" s="739" t="s">
        <v>4058</v>
      </c>
      <c r="C2627" s="739">
        <v>25318</v>
      </c>
      <c r="H2627" s="739" t="s">
        <v>17836</v>
      </c>
    </row>
    <row r="2628" spans="1:8">
      <c r="A2628" s="739" t="s">
        <v>4058</v>
      </c>
      <c r="C2628" s="739">
        <v>61326</v>
      </c>
      <c r="H2628" s="739" t="s">
        <v>17837</v>
      </c>
    </row>
    <row r="2629" spans="1:8">
      <c r="A2629" s="739" t="s">
        <v>4058</v>
      </c>
      <c r="C2629" s="739">
        <v>11956</v>
      </c>
      <c r="H2629" s="739" t="s">
        <v>17838</v>
      </c>
    </row>
    <row r="2630" spans="1:8">
      <c r="A2630" s="739" t="s">
        <v>17839</v>
      </c>
      <c r="E2630" s="741">
        <v>110</v>
      </c>
      <c r="F2630" s="741">
        <v>2150</v>
      </c>
      <c r="G2630" s="739" t="s">
        <v>17040</v>
      </c>
      <c r="H2630" s="739" t="s">
        <v>17380</v>
      </c>
    </row>
    <row r="2631" spans="1:8">
      <c r="A2631" s="739" t="s">
        <v>4058</v>
      </c>
      <c r="E2631" s="741">
        <v>100</v>
      </c>
      <c r="F2631" s="741">
        <v>2050</v>
      </c>
      <c r="G2631" s="739" t="s">
        <v>17040</v>
      </c>
      <c r="H2631" s="739" t="s">
        <v>17380</v>
      </c>
    </row>
    <row r="2632" spans="1:8">
      <c r="A2632" s="739" t="s">
        <v>17840</v>
      </c>
      <c r="C2632" s="739">
        <v>8608</v>
      </c>
      <c r="H2632" s="739" t="s">
        <v>17841</v>
      </c>
    </row>
    <row r="2633" spans="1:8">
      <c r="A2633" s="739" t="s">
        <v>17842</v>
      </c>
      <c r="C2633" s="739">
        <v>5000</v>
      </c>
      <c r="H2633" s="739" t="s">
        <v>16884</v>
      </c>
    </row>
    <row r="2634" spans="1:8">
      <c r="A2634" s="739" t="s">
        <v>17842</v>
      </c>
      <c r="D2634" s="739">
        <v>5000</v>
      </c>
      <c r="F2634" s="739">
        <v>7050</v>
      </c>
      <c r="H2634" s="739" t="s">
        <v>16884</v>
      </c>
    </row>
    <row r="2635" spans="1:8">
      <c r="A2635" s="739" t="s">
        <v>17842</v>
      </c>
      <c r="E2635" s="741">
        <v>121</v>
      </c>
      <c r="F2635" s="741">
        <v>6929</v>
      </c>
      <c r="G2635" s="739" t="s">
        <v>17098</v>
      </c>
      <c r="H2635" s="739" t="s">
        <v>17843</v>
      </c>
    </row>
    <row r="2636" spans="1:8">
      <c r="A2636" s="739" t="s">
        <v>17842</v>
      </c>
      <c r="E2636" s="739">
        <v>1020</v>
      </c>
      <c r="F2636" s="739">
        <v>5909</v>
      </c>
      <c r="G2636" s="739" t="s">
        <v>17435</v>
      </c>
      <c r="H2636" s="739" t="s">
        <v>17844</v>
      </c>
    </row>
    <row r="2637" spans="1:8">
      <c r="A2637" s="739" t="s">
        <v>17845</v>
      </c>
      <c r="E2637" s="741">
        <v>375</v>
      </c>
      <c r="F2637" s="741">
        <v>5534</v>
      </c>
      <c r="G2637" s="739" t="s">
        <v>7776</v>
      </c>
      <c r="H2637" s="739" t="s">
        <v>17329</v>
      </c>
    </row>
    <row r="2638" spans="1:8">
      <c r="A2638" s="739" t="s">
        <v>17845</v>
      </c>
      <c r="E2638" s="741">
        <v>405</v>
      </c>
      <c r="F2638" s="741">
        <v>5129</v>
      </c>
      <c r="G2638" s="739" t="s">
        <v>17040</v>
      </c>
      <c r="H2638" s="739" t="s">
        <v>17329</v>
      </c>
    </row>
    <row r="2639" spans="1:8">
      <c r="A2639" s="739" t="s">
        <v>17846</v>
      </c>
      <c r="E2639" s="741">
        <v>120</v>
      </c>
      <c r="F2639" s="741">
        <v>5009</v>
      </c>
      <c r="G2639" s="739" t="s">
        <v>7776</v>
      </c>
      <c r="H2639" s="739" t="s">
        <v>17847</v>
      </c>
    </row>
    <row r="2640" spans="1:8">
      <c r="A2640" s="739" t="s">
        <v>4130</v>
      </c>
      <c r="E2640" s="741">
        <v>235</v>
      </c>
      <c r="F2640" s="741">
        <v>4774</v>
      </c>
      <c r="G2640" s="739" t="s">
        <v>17257</v>
      </c>
      <c r="H2640" s="739" t="s">
        <v>17848</v>
      </c>
    </row>
    <row r="2641" spans="1:8">
      <c r="A2641" s="739" t="s">
        <v>17846</v>
      </c>
      <c r="E2641" s="741">
        <v>165</v>
      </c>
      <c r="F2641" s="741">
        <v>4609</v>
      </c>
      <c r="G2641" s="739" t="s">
        <v>17040</v>
      </c>
      <c r="H2641" s="739" t="s">
        <v>17284</v>
      </c>
    </row>
    <row r="2642" spans="1:8">
      <c r="E2642" s="741"/>
      <c r="F2642" s="741"/>
      <c r="H2642" s="846" t="s">
        <v>7954</v>
      </c>
    </row>
    <row r="2643" spans="1:8">
      <c r="A2643" s="739" t="s">
        <v>17849</v>
      </c>
      <c r="E2643" s="741">
        <v>1205</v>
      </c>
      <c r="F2643" s="741">
        <v>3404</v>
      </c>
      <c r="G2643" s="739" t="s">
        <v>17113</v>
      </c>
      <c r="H2643" s="739" t="s">
        <v>17850</v>
      </c>
    </row>
    <row r="2644" spans="1:8">
      <c r="A2644" s="739" t="s">
        <v>17849</v>
      </c>
      <c r="E2644" s="741">
        <v>187</v>
      </c>
      <c r="F2644" s="741">
        <v>3217</v>
      </c>
      <c r="G2644" s="741" t="s">
        <v>17176</v>
      </c>
      <c r="H2644" s="739" t="s">
        <v>17851</v>
      </c>
    </row>
    <row r="2645" spans="1:8">
      <c r="A2645" s="739" t="s">
        <v>17852</v>
      </c>
      <c r="E2645" s="741">
        <v>280</v>
      </c>
      <c r="F2645" s="741">
        <v>2937</v>
      </c>
      <c r="G2645" s="739" t="s">
        <v>17040</v>
      </c>
      <c r="H2645" s="739" t="s">
        <v>16850</v>
      </c>
    </row>
    <row r="2646" spans="1:8">
      <c r="A2646" s="739" t="s">
        <v>17852</v>
      </c>
      <c r="E2646" s="741">
        <v>275</v>
      </c>
      <c r="F2646" s="741">
        <v>2662</v>
      </c>
      <c r="G2646" s="739" t="s">
        <v>17040</v>
      </c>
      <c r="H2646" s="739" t="s">
        <v>17284</v>
      </c>
    </row>
    <row r="2647" spans="1:8">
      <c r="A2647" s="739" t="s">
        <v>17853</v>
      </c>
      <c r="E2647" s="741">
        <v>30</v>
      </c>
      <c r="F2647" s="741">
        <v>2632</v>
      </c>
      <c r="G2647" s="739" t="s">
        <v>6943</v>
      </c>
      <c r="H2647" s="739" t="s">
        <v>7960</v>
      </c>
    </row>
    <row r="2648" spans="1:8">
      <c r="A2648" s="739" t="s">
        <v>3947</v>
      </c>
      <c r="E2648" s="741">
        <v>30</v>
      </c>
      <c r="F2648" s="741">
        <v>2602</v>
      </c>
      <c r="G2648" s="739" t="s">
        <v>17098</v>
      </c>
      <c r="H2648" s="739" t="s">
        <v>17854</v>
      </c>
    </row>
    <row r="2649" spans="1:8" ht="33">
      <c r="A2649" s="739" t="s">
        <v>17855</v>
      </c>
      <c r="C2649" s="739">
        <v>50000</v>
      </c>
      <c r="H2649" s="836" t="s">
        <v>17856</v>
      </c>
    </row>
    <row r="2650" spans="1:8">
      <c r="A2650" s="739" t="s">
        <v>17857</v>
      </c>
      <c r="C2650" s="739">
        <v>17000</v>
      </c>
      <c r="H2650" s="739" t="s">
        <v>17858</v>
      </c>
    </row>
    <row r="2651" spans="1:8">
      <c r="A2651" s="739" t="s">
        <v>17859</v>
      </c>
      <c r="E2651" s="739">
        <v>149</v>
      </c>
      <c r="F2651" s="741">
        <v>2453</v>
      </c>
      <c r="G2651" s="739" t="s">
        <v>17204</v>
      </c>
      <c r="H2651" s="739" t="s">
        <v>17164</v>
      </c>
    </row>
    <row r="2652" spans="1:8">
      <c r="A2652" s="739" t="s">
        <v>7967</v>
      </c>
      <c r="E2652" s="741">
        <v>5</v>
      </c>
      <c r="F2652" s="741">
        <v>2448</v>
      </c>
      <c r="G2652" s="739" t="s">
        <v>6913</v>
      </c>
      <c r="H2652" s="739" t="s">
        <v>17860</v>
      </c>
    </row>
    <row r="2653" spans="1:8">
      <c r="A2653" s="739" t="s">
        <v>17861</v>
      </c>
      <c r="D2653" s="739">
        <v>5000</v>
      </c>
      <c r="E2653" s="741"/>
      <c r="F2653" s="741">
        <v>7448</v>
      </c>
      <c r="H2653" s="739" t="s">
        <v>463</v>
      </c>
    </row>
    <row r="2654" spans="1:8">
      <c r="A2654" s="739" t="s">
        <v>17861</v>
      </c>
      <c r="E2654" s="739">
        <v>1300</v>
      </c>
      <c r="F2654" s="741">
        <v>6148</v>
      </c>
      <c r="H2654" s="739" t="s">
        <v>17862</v>
      </c>
    </row>
    <row r="2655" spans="1:8">
      <c r="A2655" s="739" t="s">
        <v>17861</v>
      </c>
      <c r="E2655" s="739">
        <v>900</v>
      </c>
      <c r="F2655" s="741">
        <v>5248</v>
      </c>
      <c r="H2655" s="739" t="s">
        <v>17863</v>
      </c>
    </row>
    <row r="2656" spans="1:8">
      <c r="A2656" s="739" t="s">
        <v>17861</v>
      </c>
      <c r="E2656" s="739">
        <v>500</v>
      </c>
      <c r="F2656" s="741">
        <v>4748</v>
      </c>
      <c r="H2656" s="739" t="s">
        <v>17864</v>
      </c>
    </row>
    <row r="2657" spans="1:8">
      <c r="A2657" s="739" t="s">
        <v>17861</v>
      </c>
      <c r="E2657" s="741">
        <v>110</v>
      </c>
      <c r="F2657" s="741">
        <v>4638</v>
      </c>
      <c r="G2657" s="739" t="s">
        <v>17040</v>
      </c>
      <c r="H2657" s="739" t="s">
        <v>17865</v>
      </c>
    </row>
    <row r="2658" spans="1:8">
      <c r="A2658" s="739" t="s">
        <v>17861</v>
      </c>
      <c r="E2658" s="741">
        <v>95</v>
      </c>
      <c r="F2658" s="741">
        <v>4543</v>
      </c>
      <c r="G2658" s="739" t="s">
        <v>17040</v>
      </c>
      <c r="H2658" s="739" t="s">
        <v>17866</v>
      </c>
    </row>
    <row r="2659" spans="1:8">
      <c r="A2659" s="739" t="s">
        <v>7974</v>
      </c>
      <c r="E2659" s="741">
        <v>110</v>
      </c>
      <c r="F2659" s="741">
        <v>4433</v>
      </c>
      <c r="G2659" s="739" t="s">
        <v>17040</v>
      </c>
      <c r="H2659" s="739" t="s">
        <v>17867</v>
      </c>
    </row>
    <row r="2660" spans="1:8">
      <c r="A2660" s="739" t="s">
        <v>17868</v>
      </c>
      <c r="E2660" s="741">
        <v>121</v>
      </c>
      <c r="F2660" s="741">
        <v>4312</v>
      </c>
      <c r="G2660" s="739" t="s">
        <v>17098</v>
      </c>
      <c r="H2660" s="739" t="s">
        <v>17869</v>
      </c>
    </row>
    <row r="2661" spans="1:8">
      <c r="A2661" s="739" t="s">
        <v>3950</v>
      </c>
      <c r="C2661" s="739">
        <v>41609</v>
      </c>
      <c r="H2661" s="739" t="s">
        <v>7978</v>
      </c>
    </row>
    <row r="2662" spans="1:8">
      <c r="A2662" s="739" t="s">
        <v>17870</v>
      </c>
      <c r="E2662" s="739">
        <v>220</v>
      </c>
      <c r="F2662" s="741">
        <v>4092</v>
      </c>
      <c r="G2662" s="739" t="s">
        <v>6972</v>
      </c>
      <c r="H2662" s="739" t="s">
        <v>17871</v>
      </c>
    </row>
    <row r="2663" spans="1:8">
      <c r="A2663" s="739" t="s">
        <v>17872</v>
      </c>
      <c r="E2663" s="739">
        <v>300</v>
      </c>
      <c r="F2663" s="739">
        <v>3792</v>
      </c>
      <c r="G2663" s="739" t="s">
        <v>17194</v>
      </c>
      <c r="H2663" s="739" t="s">
        <v>17771</v>
      </c>
    </row>
    <row r="2664" spans="1:8">
      <c r="A2664" s="739" t="s">
        <v>17873</v>
      </c>
      <c r="E2664" s="741">
        <v>200</v>
      </c>
      <c r="F2664" s="741">
        <v>3592</v>
      </c>
      <c r="G2664" s="739" t="s">
        <v>7776</v>
      </c>
      <c r="H2664" s="739" t="s">
        <v>17874</v>
      </c>
    </row>
    <row r="2665" spans="1:8">
      <c r="A2665" s="739" t="s">
        <v>17873</v>
      </c>
      <c r="E2665" s="741">
        <v>280</v>
      </c>
      <c r="F2665" s="741">
        <v>3312</v>
      </c>
      <c r="G2665" s="739" t="s">
        <v>17040</v>
      </c>
      <c r="H2665" s="739" t="s">
        <v>17874</v>
      </c>
    </row>
    <row r="2666" spans="1:8">
      <c r="A2666" s="739" t="s">
        <v>17873</v>
      </c>
      <c r="E2666" s="741">
        <v>1205</v>
      </c>
      <c r="F2666" s="741">
        <v>2107</v>
      </c>
      <c r="G2666" s="739" t="s">
        <v>17113</v>
      </c>
      <c r="H2666" s="739" t="s">
        <v>17875</v>
      </c>
    </row>
    <row r="2667" spans="1:8">
      <c r="A2667" s="739" t="s">
        <v>17876</v>
      </c>
      <c r="E2667" s="741">
        <v>18</v>
      </c>
      <c r="F2667" s="741">
        <v>2089</v>
      </c>
      <c r="G2667" s="739" t="s">
        <v>17204</v>
      </c>
      <c r="H2667" s="739" t="s">
        <v>7986</v>
      </c>
    </row>
    <row r="2668" spans="1:8">
      <c r="A2668" s="739" t="s">
        <v>17876</v>
      </c>
      <c r="E2668" s="741">
        <v>248</v>
      </c>
      <c r="F2668" s="741">
        <v>1841</v>
      </c>
      <c r="G2668" s="739" t="s">
        <v>17331</v>
      </c>
      <c r="H2668" s="741" t="s">
        <v>7799</v>
      </c>
    </row>
    <row r="2669" spans="1:8">
      <c r="A2669" s="739" t="s">
        <v>17877</v>
      </c>
      <c r="E2669" s="741">
        <v>32</v>
      </c>
      <c r="F2669" s="741">
        <v>1809</v>
      </c>
      <c r="G2669" s="739" t="s">
        <v>17040</v>
      </c>
      <c r="H2669" s="739" t="s">
        <v>17878</v>
      </c>
    </row>
    <row r="2670" spans="1:8">
      <c r="A2670" s="739" t="s">
        <v>7988</v>
      </c>
      <c r="C2670" s="739">
        <v>17000</v>
      </c>
      <c r="H2670" s="739" t="s">
        <v>17879</v>
      </c>
    </row>
    <row r="2671" spans="1:8">
      <c r="A2671" s="739" t="s">
        <v>17880</v>
      </c>
      <c r="C2671" s="739">
        <v>18613</v>
      </c>
      <c r="H2671" s="739" t="s">
        <v>17881</v>
      </c>
    </row>
    <row r="2672" spans="1:8">
      <c r="A2672" s="739" t="s">
        <v>17882</v>
      </c>
      <c r="C2672" s="739">
        <v>30723</v>
      </c>
      <c r="H2672" s="739" t="s">
        <v>17883</v>
      </c>
    </row>
    <row r="2673" spans="1:8">
      <c r="A2673" s="739" t="s">
        <v>17882</v>
      </c>
      <c r="C2673" s="739">
        <v>25318</v>
      </c>
      <c r="H2673" s="739" t="s">
        <v>7994</v>
      </c>
    </row>
    <row r="2674" spans="1:8">
      <c r="A2674" s="739" t="s">
        <v>17882</v>
      </c>
      <c r="C2674" s="739">
        <v>61326</v>
      </c>
      <c r="H2674" s="739" t="s">
        <v>17884</v>
      </c>
    </row>
    <row r="2675" spans="1:8">
      <c r="A2675" s="739" t="s">
        <v>17882</v>
      </c>
      <c r="C2675" s="739">
        <v>15000</v>
      </c>
      <c r="H2675" s="739" t="s">
        <v>17885</v>
      </c>
    </row>
    <row r="2676" spans="1:8">
      <c r="A2676" s="739" t="s">
        <v>17886</v>
      </c>
      <c r="E2676" s="739">
        <v>57</v>
      </c>
      <c r="F2676" s="741">
        <v>1752</v>
      </c>
      <c r="G2676" s="739" t="s">
        <v>6972</v>
      </c>
      <c r="H2676" s="739" t="s">
        <v>7998</v>
      </c>
    </row>
    <row r="2677" spans="1:8">
      <c r="A2677" s="739" t="s">
        <v>7999</v>
      </c>
      <c r="E2677" s="741">
        <v>45</v>
      </c>
      <c r="F2677" s="741">
        <v>1707</v>
      </c>
      <c r="G2677" s="739" t="s">
        <v>17098</v>
      </c>
      <c r="H2677" s="739" t="s">
        <v>17887</v>
      </c>
    </row>
    <row r="2678" spans="1:8">
      <c r="A2678" s="739" t="s">
        <v>17888</v>
      </c>
      <c r="E2678" s="741">
        <v>7</v>
      </c>
      <c r="F2678" s="741">
        <v>1700</v>
      </c>
      <c r="G2678" s="739" t="s">
        <v>17098</v>
      </c>
      <c r="H2678" s="739" t="s">
        <v>17889</v>
      </c>
    </row>
    <row r="2679" spans="1:8">
      <c r="A2679" s="739" t="s">
        <v>17890</v>
      </c>
      <c r="D2679" s="739">
        <v>5000</v>
      </c>
      <c r="E2679" s="741"/>
      <c r="F2679" s="741">
        <v>6700</v>
      </c>
      <c r="H2679" s="739" t="s">
        <v>16884</v>
      </c>
    </row>
    <row r="2680" spans="1:8">
      <c r="A2680" s="739" t="s">
        <v>17890</v>
      </c>
      <c r="E2680" s="741">
        <v>1205</v>
      </c>
      <c r="F2680" s="741">
        <v>5495</v>
      </c>
      <c r="G2680" s="739" t="s">
        <v>17113</v>
      </c>
      <c r="H2680" s="739" t="s">
        <v>17891</v>
      </c>
    </row>
    <row r="2681" spans="1:8">
      <c r="A2681" s="739" t="s">
        <v>17892</v>
      </c>
      <c r="E2681" s="741">
        <v>300</v>
      </c>
      <c r="F2681" s="741">
        <v>5195</v>
      </c>
      <c r="H2681" s="739" t="s">
        <v>17893</v>
      </c>
    </row>
    <row r="2682" spans="1:8">
      <c r="A2682" s="739" t="s">
        <v>17894</v>
      </c>
      <c r="E2682" s="741">
        <v>35</v>
      </c>
      <c r="F2682" s="741">
        <v>5160</v>
      </c>
      <c r="G2682" s="739" t="s">
        <v>17098</v>
      </c>
      <c r="H2682" s="739" t="s">
        <v>17895</v>
      </c>
    </row>
    <row r="2683" spans="1:8">
      <c r="A2683" s="739" t="s">
        <v>8008</v>
      </c>
      <c r="E2683" s="741">
        <v>35</v>
      </c>
      <c r="F2683" s="741">
        <v>5125</v>
      </c>
      <c r="G2683" s="739" t="s">
        <v>17098</v>
      </c>
      <c r="H2683" s="739" t="s">
        <v>17896</v>
      </c>
    </row>
    <row r="2684" spans="1:8">
      <c r="A2684" s="739" t="s">
        <v>8008</v>
      </c>
      <c r="E2684" s="741">
        <v>199</v>
      </c>
      <c r="F2684" s="741">
        <v>4926</v>
      </c>
      <c r="G2684" s="741" t="s">
        <v>17176</v>
      </c>
      <c r="H2684" s="739" t="s">
        <v>17897</v>
      </c>
    </row>
    <row r="2685" spans="1:8">
      <c r="A2685" s="739" t="s">
        <v>17898</v>
      </c>
      <c r="E2685" s="739">
        <v>264</v>
      </c>
      <c r="F2685" s="741">
        <v>4662</v>
      </c>
      <c r="G2685" s="739" t="s">
        <v>6972</v>
      </c>
      <c r="H2685" s="739" t="s">
        <v>17899</v>
      </c>
    </row>
    <row r="2686" spans="1:8">
      <c r="A2686" s="739" t="s">
        <v>17900</v>
      </c>
      <c r="E2686" s="741">
        <v>35</v>
      </c>
      <c r="F2686" s="741">
        <v>4627</v>
      </c>
      <c r="G2686" s="739" t="s">
        <v>17098</v>
      </c>
      <c r="H2686" s="739" t="s">
        <v>17901</v>
      </c>
    </row>
    <row r="2687" spans="1:8">
      <c r="A2687" s="739" t="s">
        <v>8014</v>
      </c>
      <c r="C2687" s="739">
        <v>17000</v>
      </c>
      <c r="H2687" s="739" t="s">
        <v>17902</v>
      </c>
    </row>
    <row r="2688" spans="1:8">
      <c r="A2688" s="739" t="s">
        <v>8016</v>
      </c>
      <c r="E2688" s="741">
        <v>250</v>
      </c>
      <c r="F2688" s="741">
        <v>4377</v>
      </c>
      <c r="G2688" s="739" t="s">
        <v>17040</v>
      </c>
      <c r="H2688" s="739" t="s">
        <v>17327</v>
      </c>
    </row>
    <row r="2689" spans="1:8">
      <c r="A2689" s="739" t="s">
        <v>17903</v>
      </c>
      <c r="E2689" s="741">
        <v>25</v>
      </c>
      <c r="F2689" s="741">
        <v>4352</v>
      </c>
      <c r="G2689" s="739" t="s">
        <v>17040</v>
      </c>
      <c r="H2689" s="739" t="s">
        <v>8018</v>
      </c>
    </row>
    <row r="2690" spans="1:8">
      <c r="A2690" s="739" t="s">
        <v>8019</v>
      </c>
      <c r="C2690" s="739">
        <v>25318</v>
      </c>
      <c r="H2690" s="739" t="s">
        <v>17904</v>
      </c>
    </row>
    <row r="2691" spans="1:8">
      <c r="A2691" s="739" t="s">
        <v>17905</v>
      </c>
      <c r="C2691" s="739">
        <v>61326</v>
      </c>
      <c r="H2691" s="739" t="s">
        <v>17906</v>
      </c>
    </row>
    <row r="2692" spans="1:8">
      <c r="A2692" s="739" t="s">
        <v>17905</v>
      </c>
      <c r="C2692" s="739">
        <v>34800</v>
      </c>
      <c r="H2692" s="739" t="s">
        <v>8022</v>
      </c>
    </row>
    <row r="2693" spans="1:8">
      <c r="A2693" s="739" t="s">
        <v>17905</v>
      </c>
      <c r="C2693" s="739">
        <v>2412</v>
      </c>
      <c r="H2693" s="739" t="s">
        <v>17907</v>
      </c>
    </row>
    <row r="2694" spans="1:8">
      <c r="A2694" s="739" t="s">
        <v>17905</v>
      </c>
      <c r="C2694" s="739">
        <v>10047</v>
      </c>
      <c r="H2694" s="739" t="s">
        <v>17908</v>
      </c>
    </row>
    <row r="2695" spans="1:8">
      <c r="A2695" s="739" t="s">
        <v>17909</v>
      </c>
      <c r="E2695" s="741">
        <v>32</v>
      </c>
      <c r="F2695" s="741">
        <v>4320</v>
      </c>
      <c r="G2695" s="739" t="s">
        <v>17040</v>
      </c>
      <c r="H2695" s="739" t="s">
        <v>17910</v>
      </c>
    </row>
    <row r="2696" spans="1:8">
      <c r="A2696" s="739" t="s">
        <v>17909</v>
      </c>
      <c r="E2696" s="741">
        <v>187</v>
      </c>
      <c r="F2696" s="741">
        <v>4133</v>
      </c>
      <c r="G2696" s="739" t="s">
        <v>17331</v>
      </c>
      <c r="H2696" s="739" t="s">
        <v>17911</v>
      </c>
    </row>
    <row r="2697" spans="1:8">
      <c r="A2697" s="739" t="s">
        <v>17909</v>
      </c>
      <c r="E2697" s="741">
        <v>155</v>
      </c>
      <c r="F2697" s="741">
        <v>3978</v>
      </c>
      <c r="G2697" s="739" t="s">
        <v>17331</v>
      </c>
      <c r="H2697" s="739" t="s">
        <v>17912</v>
      </c>
    </row>
    <row r="2698" spans="1:8">
      <c r="A2698" s="739" t="s">
        <v>17913</v>
      </c>
      <c r="E2698" s="741">
        <v>65</v>
      </c>
      <c r="F2698" s="741">
        <v>3913</v>
      </c>
      <c r="G2698" s="739" t="s">
        <v>17331</v>
      </c>
      <c r="H2698" s="739" t="s">
        <v>8028</v>
      </c>
    </row>
    <row r="2699" spans="1:8">
      <c r="A2699" s="739" t="s">
        <v>17913</v>
      </c>
      <c r="E2699" s="741">
        <v>100</v>
      </c>
      <c r="F2699" s="741">
        <v>3813</v>
      </c>
      <c r="G2699" s="739" t="s">
        <v>17040</v>
      </c>
      <c r="H2699" s="739" t="s">
        <v>17914</v>
      </c>
    </row>
    <row r="2700" spans="1:8">
      <c r="A2700" s="739" t="s">
        <v>17915</v>
      </c>
      <c r="C2700" s="739">
        <v>9250</v>
      </c>
      <c r="H2700" s="739" t="s">
        <v>17916</v>
      </c>
    </row>
    <row r="2701" spans="1:8">
      <c r="A2701" s="739" t="s">
        <v>8033</v>
      </c>
      <c r="E2701" s="741">
        <v>200</v>
      </c>
      <c r="F2701" s="741">
        <v>3613</v>
      </c>
      <c r="G2701" s="739" t="s">
        <v>17040</v>
      </c>
      <c r="H2701" s="739" t="s">
        <v>17917</v>
      </c>
    </row>
    <row r="2702" spans="1:8">
      <c r="A2702" s="739" t="s">
        <v>17918</v>
      </c>
      <c r="E2702" s="741">
        <v>195</v>
      </c>
      <c r="F2702" s="741">
        <v>3418</v>
      </c>
      <c r="G2702" s="739" t="s">
        <v>7776</v>
      </c>
      <c r="H2702" s="739" t="s">
        <v>17917</v>
      </c>
    </row>
    <row r="2703" spans="1:8">
      <c r="A2703" s="739" t="s">
        <v>17919</v>
      </c>
      <c r="E2703" s="741">
        <v>1205</v>
      </c>
      <c r="F2703" s="741">
        <v>2213</v>
      </c>
      <c r="G2703" s="739" t="s">
        <v>17113</v>
      </c>
      <c r="H2703" s="739" t="s">
        <v>17920</v>
      </c>
    </row>
    <row r="2704" spans="1:8">
      <c r="A2704" s="739" t="s">
        <v>17921</v>
      </c>
      <c r="C2704" s="739">
        <v>200030</v>
      </c>
      <c r="E2704" s="834"/>
      <c r="F2704" s="834"/>
      <c r="G2704" s="834"/>
      <c r="H2704" s="741" t="s">
        <v>17527</v>
      </c>
    </row>
    <row r="2705" spans="1:8">
      <c r="A2705" s="739" t="s">
        <v>17921</v>
      </c>
      <c r="E2705" s="741">
        <v>18</v>
      </c>
      <c r="F2705" s="741">
        <v>2195</v>
      </c>
      <c r="G2705" s="739" t="s">
        <v>17204</v>
      </c>
      <c r="H2705" s="739" t="s">
        <v>17922</v>
      </c>
    </row>
    <row r="2706" spans="1:8">
      <c r="A2706" s="739" t="s">
        <v>17921</v>
      </c>
      <c r="E2706" s="741">
        <v>200</v>
      </c>
      <c r="F2706" s="741">
        <v>1995</v>
      </c>
      <c r="G2706" s="739" t="s">
        <v>17040</v>
      </c>
      <c r="H2706" s="739" t="s">
        <v>8040</v>
      </c>
    </row>
    <row r="2707" spans="1:8">
      <c r="A2707" s="739" t="s">
        <v>17923</v>
      </c>
      <c r="C2707" s="739">
        <v>17000</v>
      </c>
      <c r="H2707" s="739" t="s">
        <v>17924</v>
      </c>
    </row>
    <row r="2708" spans="1:8">
      <c r="A2708" s="739" t="s">
        <v>17923</v>
      </c>
      <c r="E2708" s="741">
        <v>10</v>
      </c>
      <c r="F2708" s="741">
        <v>1985</v>
      </c>
      <c r="G2708" s="739" t="s">
        <v>6943</v>
      </c>
      <c r="H2708" s="739" t="s">
        <v>8043</v>
      </c>
    </row>
    <row r="2709" spans="1:8">
      <c r="A2709" s="739" t="s">
        <v>8044</v>
      </c>
      <c r="E2709" s="741">
        <v>305</v>
      </c>
      <c r="F2709" s="741">
        <v>1680</v>
      </c>
      <c r="G2709" s="739" t="s">
        <v>17257</v>
      </c>
      <c r="H2709" s="739" t="s">
        <v>17925</v>
      </c>
    </row>
    <row r="2710" spans="1:8">
      <c r="A2710" s="739" t="s">
        <v>8044</v>
      </c>
      <c r="E2710" s="741">
        <v>295</v>
      </c>
      <c r="F2710" s="741">
        <v>1385</v>
      </c>
      <c r="G2710" s="739" t="s">
        <v>7776</v>
      </c>
      <c r="H2710" s="739" t="s">
        <v>17925</v>
      </c>
    </row>
    <row r="2711" spans="1:8">
      <c r="A2711" s="739" t="s">
        <v>8046</v>
      </c>
      <c r="C2711" s="739">
        <v>25318</v>
      </c>
      <c r="H2711" s="739" t="s">
        <v>17926</v>
      </c>
    </row>
    <row r="2712" spans="1:8">
      <c r="A2712" s="739" t="s">
        <v>17927</v>
      </c>
      <c r="C2712" s="739">
        <v>61326</v>
      </c>
      <c r="H2712" s="739" t="s">
        <v>17928</v>
      </c>
    </row>
    <row r="2713" spans="1:8">
      <c r="A2713" s="739" t="s">
        <v>17929</v>
      </c>
      <c r="C2713" s="739">
        <v>8556</v>
      </c>
      <c r="H2713" s="739" t="s">
        <v>17930</v>
      </c>
    </row>
    <row r="2714" spans="1:8">
      <c r="A2714" s="739" t="s">
        <v>17931</v>
      </c>
      <c r="C2714" s="739">
        <v>33182</v>
      </c>
      <c r="H2714" s="739" t="s">
        <v>17932</v>
      </c>
    </row>
    <row r="2715" spans="1:8">
      <c r="A2715" s="739" t="s">
        <v>17931</v>
      </c>
      <c r="E2715" s="741">
        <v>50</v>
      </c>
      <c r="F2715" s="741">
        <v>1335</v>
      </c>
      <c r="G2715" s="739" t="s">
        <v>17098</v>
      </c>
      <c r="H2715" s="739" t="s">
        <v>17933</v>
      </c>
    </row>
    <row r="2716" spans="1:8" ht="82.5">
      <c r="A2716" s="739" t="s">
        <v>3970</v>
      </c>
      <c r="C2716" s="739">
        <v>20000</v>
      </c>
      <c r="E2716" s="741"/>
      <c r="F2716" s="741"/>
      <c r="H2716" s="847" t="s">
        <v>8055</v>
      </c>
    </row>
    <row r="2717" spans="1:8">
      <c r="A2717" s="739" t="s">
        <v>17934</v>
      </c>
      <c r="D2717" s="739">
        <v>5000</v>
      </c>
      <c r="E2717" s="741"/>
      <c r="F2717" s="741">
        <v>6335</v>
      </c>
      <c r="H2717" s="739" t="s">
        <v>463</v>
      </c>
    </row>
    <row r="2718" spans="1:8">
      <c r="A2718" s="739" t="s">
        <v>17935</v>
      </c>
      <c r="E2718" s="741">
        <v>192</v>
      </c>
      <c r="F2718" s="741">
        <v>6143</v>
      </c>
      <c r="G2718" s="741" t="s">
        <v>17176</v>
      </c>
      <c r="H2718" s="739" t="s">
        <v>17936</v>
      </c>
    </row>
    <row r="2719" spans="1:8">
      <c r="A2719" s="739" t="s">
        <v>3986</v>
      </c>
      <c r="E2719" s="741">
        <v>1205</v>
      </c>
      <c r="F2719" s="741">
        <v>4938</v>
      </c>
      <c r="G2719" s="739" t="s">
        <v>17113</v>
      </c>
      <c r="H2719" s="739" t="s">
        <v>17937</v>
      </c>
    </row>
    <row r="2720" spans="1:8">
      <c r="A2720" s="739" t="s">
        <v>17938</v>
      </c>
      <c r="E2720" s="741">
        <v>330</v>
      </c>
      <c r="F2720" s="741">
        <v>4608</v>
      </c>
      <c r="G2720" s="739" t="s">
        <v>17040</v>
      </c>
      <c r="H2720" s="739" t="s">
        <v>17939</v>
      </c>
    </row>
    <row r="2721" spans="1:8">
      <c r="A2721" s="739" t="s">
        <v>17938</v>
      </c>
      <c r="E2721" s="741">
        <v>345</v>
      </c>
      <c r="F2721" s="741">
        <v>4263</v>
      </c>
      <c r="G2721" s="739" t="s">
        <v>17040</v>
      </c>
      <c r="H2721" s="739" t="s">
        <v>17940</v>
      </c>
    </row>
    <row r="2722" spans="1:8">
      <c r="A2722" s="739" t="s">
        <v>17941</v>
      </c>
      <c r="C2722" s="739">
        <v>1560</v>
      </c>
      <c r="H2722" s="739" t="s">
        <v>17942</v>
      </c>
    </row>
    <row r="2723" spans="1:8">
      <c r="A2723" s="739" t="s">
        <v>17941</v>
      </c>
      <c r="C2723" s="739">
        <v>12390</v>
      </c>
      <c r="H2723" s="739" t="s">
        <v>17943</v>
      </c>
    </row>
    <row r="2724" spans="1:8">
      <c r="A2724" s="739" t="s">
        <v>17944</v>
      </c>
      <c r="E2724" s="741">
        <v>36</v>
      </c>
      <c r="F2724" s="741">
        <v>4227</v>
      </c>
      <c r="G2724" s="739" t="s">
        <v>17076</v>
      </c>
      <c r="H2724" s="739" t="s">
        <v>17945</v>
      </c>
    </row>
    <row r="2725" spans="1:8">
      <c r="A2725" s="739" t="s">
        <v>17946</v>
      </c>
      <c r="E2725" s="739">
        <v>72</v>
      </c>
      <c r="F2725" s="739">
        <v>4155</v>
      </c>
      <c r="G2725" s="739" t="s">
        <v>17098</v>
      </c>
      <c r="H2725" s="739" t="s">
        <v>17947</v>
      </c>
    </row>
    <row r="2726" spans="1:8">
      <c r="A2726" s="739" t="s">
        <v>17909</v>
      </c>
      <c r="E2726" s="741">
        <v>840</v>
      </c>
      <c r="F2726" s="741">
        <v>3315</v>
      </c>
      <c r="G2726" s="739" t="s">
        <v>17331</v>
      </c>
      <c r="H2726" s="739" t="s">
        <v>17948</v>
      </c>
    </row>
    <row r="2727" spans="1:8">
      <c r="A2727" s="739" t="s">
        <v>8071</v>
      </c>
      <c r="E2727" s="739">
        <v>30</v>
      </c>
      <c r="F2727" s="741">
        <v>3285</v>
      </c>
      <c r="G2727" s="739" t="s">
        <v>17098</v>
      </c>
      <c r="H2727" s="739" t="s">
        <v>17949</v>
      </c>
    </row>
    <row r="2728" spans="1:8">
      <c r="A2728" s="739" t="s">
        <v>8073</v>
      </c>
      <c r="E2728" s="741">
        <v>1205</v>
      </c>
      <c r="F2728" s="741">
        <v>2080</v>
      </c>
      <c r="G2728" s="739" t="s">
        <v>7763</v>
      </c>
      <c r="H2728" s="739" t="s">
        <v>17950</v>
      </c>
    </row>
    <row r="2729" spans="1:8">
      <c r="A2729" s="739" t="s">
        <v>17951</v>
      </c>
      <c r="E2729" s="741">
        <v>57</v>
      </c>
      <c r="F2729" s="741">
        <v>2023</v>
      </c>
      <c r="G2729" s="739" t="s">
        <v>17141</v>
      </c>
      <c r="H2729" s="739" t="s">
        <v>8076</v>
      </c>
    </row>
    <row r="2730" spans="1:8">
      <c r="A2730" s="739" t="s">
        <v>17952</v>
      </c>
      <c r="E2730" s="739">
        <v>52</v>
      </c>
      <c r="F2730" s="741">
        <v>1971</v>
      </c>
      <c r="G2730" s="739" t="s">
        <v>17098</v>
      </c>
      <c r="H2730" s="739" t="s">
        <v>17953</v>
      </c>
    </row>
    <row r="2731" spans="1:8">
      <c r="A2731" s="739" t="s">
        <v>3965</v>
      </c>
      <c r="E2731" s="739">
        <v>250</v>
      </c>
      <c r="F2731" s="741">
        <v>1721</v>
      </c>
      <c r="G2731" s="739" t="s">
        <v>17098</v>
      </c>
      <c r="H2731" s="739" t="s">
        <v>17954</v>
      </c>
    </row>
    <row r="2732" spans="1:8">
      <c r="A2732" s="739" t="s">
        <v>17955</v>
      </c>
      <c r="E2732" s="739">
        <v>30</v>
      </c>
      <c r="F2732" s="741">
        <v>1691</v>
      </c>
      <c r="G2732" s="739" t="s">
        <v>17098</v>
      </c>
      <c r="H2732" s="739" t="s">
        <v>8080</v>
      </c>
    </row>
    <row r="2733" spans="1:8">
      <c r="A2733" s="739" t="s">
        <v>17955</v>
      </c>
      <c r="E2733" s="741">
        <v>18</v>
      </c>
      <c r="F2733" s="741">
        <v>1673</v>
      </c>
      <c r="G2733" s="739" t="s">
        <v>6913</v>
      </c>
      <c r="H2733" s="739" t="s">
        <v>17956</v>
      </c>
    </row>
    <row r="2734" spans="1:8">
      <c r="A2734" s="739" t="s">
        <v>17957</v>
      </c>
      <c r="C2734" s="739">
        <v>17000</v>
      </c>
      <c r="H2734" s="739" t="s">
        <v>17958</v>
      </c>
    </row>
    <row r="2735" spans="1:8">
      <c r="A2735" s="739" t="s">
        <v>17959</v>
      </c>
      <c r="C2735" s="739">
        <v>24508</v>
      </c>
      <c r="H2735" s="739" t="s">
        <v>17960</v>
      </c>
    </row>
    <row r="2736" spans="1:8">
      <c r="A2736" s="739" t="s">
        <v>17957</v>
      </c>
      <c r="E2736" s="739">
        <v>35</v>
      </c>
      <c r="F2736" s="741">
        <v>1638</v>
      </c>
      <c r="G2736" s="739" t="s">
        <v>6943</v>
      </c>
      <c r="H2736" s="739" t="s">
        <v>8086</v>
      </c>
    </row>
    <row r="2737" spans="1:8">
      <c r="A2737" s="739" t="s">
        <v>4214</v>
      </c>
      <c r="C2737" s="739">
        <v>11734</v>
      </c>
      <c r="H2737" s="739" t="s">
        <v>17961</v>
      </c>
    </row>
    <row r="2738" spans="1:8">
      <c r="A2738" s="739" t="s">
        <v>17962</v>
      </c>
      <c r="E2738" s="741">
        <v>270</v>
      </c>
      <c r="F2738" s="741">
        <v>1368</v>
      </c>
      <c r="G2738" s="739" t="s">
        <v>7776</v>
      </c>
      <c r="H2738" s="739" t="s">
        <v>17963</v>
      </c>
    </row>
    <row r="2739" spans="1:8">
      <c r="A2739" s="739" t="s">
        <v>17962</v>
      </c>
      <c r="E2739" s="741">
        <v>255</v>
      </c>
      <c r="F2739" s="741">
        <v>1113</v>
      </c>
      <c r="G2739" s="739" t="s">
        <v>17040</v>
      </c>
      <c r="H2739" s="739" t="s">
        <v>17963</v>
      </c>
    </row>
    <row r="2740" spans="1:8">
      <c r="A2740" s="739" t="s">
        <v>17964</v>
      </c>
      <c r="C2740" s="739">
        <v>30000</v>
      </c>
      <c r="E2740" s="741"/>
      <c r="F2740" s="741"/>
      <c r="H2740" s="739" t="s">
        <v>17965</v>
      </c>
    </row>
    <row r="2741" spans="1:8">
      <c r="A2741" s="739" t="s">
        <v>8091</v>
      </c>
      <c r="E2741" s="741">
        <v>410</v>
      </c>
      <c r="F2741" s="741">
        <v>703</v>
      </c>
      <c r="G2741" s="739" t="s">
        <v>6943</v>
      </c>
      <c r="H2741" s="739" t="s">
        <v>17966</v>
      </c>
    </row>
    <row r="2742" spans="1:8">
      <c r="A2742" s="739" t="s">
        <v>17967</v>
      </c>
      <c r="D2742" s="739">
        <v>5000</v>
      </c>
      <c r="E2742" s="741"/>
      <c r="F2742" s="741">
        <v>5703</v>
      </c>
      <c r="H2742" s="739" t="s">
        <v>16884</v>
      </c>
    </row>
    <row r="2743" spans="1:8">
      <c r="A2743" s="739" t="s">
        <v>17968</v>
      </c>
      <c r="E2743" s="741">
        <v>1205</v>
      </c>
      <c r="F2743" s="741">
        <v>4498</v>
      </c>
      <c r="G2743" s="739" t="s">
        <v>17113</v>
      </c>
      <c r="H2743" s="739" t="s">
        <v>8096</v>
      </c>
    </row>
    <row r="2744" spans="1:8">
      <c r="A2744" s="739" t="s">
        <v>4100</v>
      </c>
      <c r="E2744" s="741">
        <v>199</v>
      </c>
      <c r="F2744" s="741">
        <v>4299</v>
      </c>
      <c r="G2744" s="741" t="s">
        <v>6937</v>
      </c>
      <c r="H2744" s="739" t="s">
        <v>17969</v>
      </c>
    </row>
    <row r="2745" spans="1:8">
      <c r="A2745" s="739" t="s">
        <v>17970</v>
      </c>
      <c r="E2745" s="741">
        <v>255</v>
      </c>
      <c r="F2745" s="741">
        <v>4044</v>
      </c>
      <c r="G2745" s="739" t="s">
        <v>17040</v>
      </c>
      <c r="H2745" s="739" t="s">
        <v>17963</v>
      </c>
    </row>
    <row r="2746" spans="1:8">
      <c r="A2746" s="739" t="s">
        <v>17970</v>
      </c>
      <c r="E2746" s="741">
        <v>250</v>
      </c>
      <c r="F2746" s="741">
        <v>3794</v>
      </c>
      <c r="G2746" s="739" t="s">
        <v>17040</v>
      </c>
      <c r="H2746" s="739" t="s">
        <v>17963</v>
      </c>
    </row>
    <row r="2747" spans="1:8">
      <c r="A2747" s="739" t="s">
        <v>3957</v>
      </c>
      <c r="C2747" s="739">
        <v>17000</v>
      </c>
      <c r="H2747" s="739" t="s">
        <v>17971</v>
      </c>
    </row>
    <row r="2748" spans="1:8">
      <c r="A2748" s="739" t="s">
        <v>3958</v>
      </c>
      <c r="C2748" s="739">
        <v>230030</v>
      </c>
      <c r="E2748" s="834"/>
      <c r="F2748" s="834"/>
      <c r="G2748" s="834"/>
      <c r="H2748" s="741" t="s">
        <v>7569</v>
      </c>
    </row>
    <row r="2749" spans="1:8">
      <c r="A2749" s="739" t="s">
        <v>17972</v>
      </c>
      <c r="E2749" s="739">
        <v>300</v>
      </c>
      <c r="F2749" s="739">
        <v>3494</v>
      </c>
      <c r="G2749" s="739" t="s">
        <v>7163</v>
      </c>
      <c r="H2749" s="739" t="s">
        <v>7861</v>
      </c>
    </row>
    <row r="2750" spans="1:8">
      <c r="A2750" s="739" t="s">
        <v>8103</v>
      </c>
      <c r="C2750" s="739">
        <v>2221</v>
      </c>
      <c r="H2750" s="739" t="s">
        <v>17973</v>
      </c>
    </row>
    <row r="2751" spans="1:8">
      <c r="A2751" s="739" t="s">
        <v>8103</v>
      </c>
      <c r="C2751" s="739">
        <v>8886</v>
      </c>
      <c r="H2751" s="739" t="s">
        <v>17974</v>
      </c>
    </row>
    <row r="2752" spans="1:8">
      <c r="A2752" s="739" t="s">
        <v>17975</v>
      </c>
      <c r="C2752" s="739">
        <v>25318</v>
      </c>
      <c r="H2752" s="739" t="s">
        <v>8106</v>
      </c>
    </row>
    <row r="2753" spans="1:8">
      <c r="A2753" s="739" t="s">
        <v>17975</v>
      </c>
      <c r="C2753" s="739">
        <v>61326</v>
      </c>
      <c r="H2753" s="739" t="s">
        <v>17976</v>
      </c>
    </row>
    <row r="2754" spans="1:8">
      <c r="A2754" s="739" t="s">
        <v>17975</v>
      </c>
      <c r="C2754" s="739">
        <v>19000</v>
      </c>
      <c r="H2754" s="739" t="s">
        <v>17977</v>
      </c>
    </row>
    <row r="2755" spans="1:8">
      <c r="A2755" s="739" t="s">
        <v>4254</v>
      </c>
      <c r="E2755" s="741">
        <v>210</v>
      </c>
      <c r="F2755" s="741">
        <v>3284</v>
      </c>
      <c r="G2755" s="739" t="s">
        <v>17040</v>
      </c>
      <c r="H2755" s="739" t="s">
        <v>17978</v>
      </c>
    </row>
    <row r="2756" spans="1:8">
      <c r="A2756" s="739" t="s">
        <v>17979</v>
      </c>
      <c r="E2756" s="741">
        <v>190</v>
      </c>
      <c r="F2756" s="741">
        <v>3094</v>
      </c>
      <c r="G2756" s="739" t="s">
        <v>7776</v>
      </c>
      <c r="H2756" s="739" t="s">
        <v>17978</v>
      </c>
    </row>
    <row r="2757" spans="1:8">
      <c r="A2757" s="739" t="s">
        <v>17980</v>
      </c>
      <c r="E2757" s="739">
        <v>45</v>
      </c>
      <c r="F2757" s="741">
        <v>3049</v>
      </c>
      <c r="G2757" s="739" t="s">
        <v>17098</v>
      </c>
      <c r="H2757" s="739" t="s">
        <v>17981</v>
      </c>
    </row>
    <row r="2758" spans="1:8">
      <c r="A2758" s="739" t="s">
        <v>17982</v>
      </c>
      <c r="E2758" s="741">
        <v>145</v>
      </c>
      <c r="F2758" s="741">
        <v>2904</v>
      </c>
      <c r="G2758" s="739" t="s">
        <v>17257</v>
      </c>
      <c r="H2758" s="739" t="s">
        <v>8114</v>
      </c>
    </row>
    <row r="2759" spans="1:8">
      <c r="A2759" s="739" t="s">
        <v>17982</v>
      </c>
      <c r="E2759" s="741">
        <v>155</v>
      </c>
      <c r="F2759" s="741">
        <v>2749</v>
      </c>
      <c r="G2759" s="739" t="s">
        <v>17040</v>
      </c>
      <c r="H2759" s="739" t="s">
        <v>17983</v>
      </c>
    </row>
    <row r="2760" spans="1:8">
      <c r="A2760" s="739" t="s">
        <v>3963</v>
      </c>
      <c r="E2760" s="739">
        <v>25</v>
      </c>
      <c r="F2760" s="741">
        <v>2724</v>
      </c>
      <c r="G2760" s="739" t="s">
        <v>6943</v>
      </c>
      <c r="H2760" s="739" t="s">
        <v>8116</v>
      </c>
    </row>
    <row r="2761" spans="1:8">
      <c r="A2761" s="739" t="s">
        <v>17984</v>
      </c>
      <c r="E2761" s="739">
        <v>32</v>
      </c>
      <c r="F2761" s="741">
        <v>2692</v>
      </c>
      <c r="G2761" s="739" t="s">
        <v>17098</v>
      </c>
      <c r="H2761" s="739" t="s">
        <v>8117</v>
      </c>
    </row>
    <row r="2762" spans="1:8">
      <c r="A2762" s="739" t="s">
        <v>17985</v>
      </c>
      <c r="B2762" s="739">
        <v>50000</v>
      </c>
      <c r="F2762" s="741"/>
      <c r="H2762" s="739" t="s">
        <v>17986</v>
      </c>
    </row>
    <row r="2763" spans="1:8">
      <c r="A2763" s="739" t="s">
        <v>17985</v>
      </c>
      <c r="C2763" s="739">
        <v>130030</v>
      </c>
      <c r="E2763" s="834"/>
      <c r="F2763" s="834"/>
      <c r="G2763" s="834"/>
      <c r="H2763" s="741" t="s">
        <v>17987</v>
      </c>
    </row>
    <row r="2764" spans="1:8">
      <c r="A2764" s="739" t="s">
        <v>17988</v>
      </c>
      <c r="B2764" s="739">
        <v>130000</v>
      </c>
      <c r="E2764" s="834"/>
      <c r="F2764" s="834"/>
      <c r="G2764" s="834"/>
      <c r="H2764" s="741" t="s">
        <v>17989</v>
      </c>
    </row>
    <row r="2765" spans="1:8">
      <c r="A2765" s="739" t="s">
        <v>8123</v>
      </c>
      <c r="E2765" s="741">
        <v>1205</v>
      </c>
      <c r="F2765" s="741">
        <v>1487</v>
      </c>
      <c r="G2765" s="739" t="s">
        <v>17113</v>
      </c>
      <c r="H2765" s="739" t="s">
        <v>17990</v>
      </c>
    </row>
    <row r="2766" spans="1:8" s="842" customFormat="1" ht="6.75" customHeight="1">
      <c r="E2766" s="849"/>
      <c r="F2766" s="849"/>
      <c r="G2766" s="849"/>
      <c r="H2766" s="848"/>
    </row>
    <row r="2767" spans="1:8">
      <c r="A2767" s="739" t="s">
        <v>17991</v>
      </c>
      <c r="C2767" s="739">
        <v>17000</v>
      </c>
      <c r="H2767" s="739" t="s">
        <v>17992</v>
      </c>
    </row>
    <row r="2768" spans="1:8">
      <c r="A2768" s="739" t="s">
        <v>3235</v>
      </c>
      <c r="C2768" s="739">
        <v>25318</v>
      </c>
      <c r="H2768" s="739" t="s">
        <v>17993</v>
      </c>
    </row>
    <row r="2769" spans="1:8">
      <c r="A2769" s="739" t="s">
        <v>3235</v>
      </c>
      <c r="C2769" s="739">
        <v>61326</v>
      </c>
      <c r="H2769" s="739" t="s">
        <v>17994</v>
      </c>
    </row>
    <row r="2770" spans="1:8">
      <c r="A2770" s="739" t="s">
        <v>3235</v>
      </c>
      <c r="C2770" s="739">
        <v>54000</v>
      </c>
      <c r="H2770" s="739" t="s">
        <v>17995</v>
      </c>
    </row>
    <row r="2771" spans="1:8">
      <c r="A2771" s="739" t="s">
        <v>3235</v>
      </c>
      <c r="C2771" s="739">
        <v>50000</v>
      </c>
      <c r="F2771" s="741"/>
      <c r="H2771" s="739" t="s">
        <v>17996</v>
      </c>
    </row>
    <row r="2772" spans="1:8">
      <c r="A2772" s="739" t="s">
        <v>3235</v>
      </c>
      <c r="C2772" s="739">
        <v>3400</v>
      </c>
      <c r="H2772" s="739" t="s">
        <v>17997</v>
      </c>
    </row>
    <row r="2773" spans="1:8">
      <c r="A2773" s="739" t="s">
        <v>3235</v>
      </c>
      <c r="C2773" s="739">
        <v>5976</v>
      </c>
      <c r="H2773" s="739" t="s">
        <v>17998</v>
      </c>
    </row>
    <row r="2774" spans="1:8">
      <c r="A2774" s="739" t="s">
        <v>4432</v>
      </c>
      <c r="E2774" s="741">
        <v>18</v>
      </c>
      <c r="F2774" s="741">
        <v>1469</v>
      </c>
      <c r="G2774" s="739" t="s">
        <v>17204</v>
      </c>
      <c r="H2774" s="739" t="s">
        <v>17999</v>
      </c>
    </row>
    <row r="2775" spans="1:8">
      <c r="A2775" s="739" t="s">
        <v>18000</v>
      </c>
      <c r="C2775" s="739">
        <v>32615</v>
      </c>
      <c r="H2775" s="739" t="s">
        <v>18001</v>
      </c>
    </row>
    <row r="2776" spans="1:8">
      <c r="A2776" s="739" t="s">
        <v>18000</v>
      </c>
      <c r="C2776" s="739">
        <v>38571</v>
      </c>
      <c r="H2776" s="739" t="s">
        <v>18002</v>
      </c>
    </row>
    <row r="2777" spans="1:8">
      <c r="A2777" s="739" t="s">
        <v>18003</v>
      </c>
      <c r="E2777" s="739">
        <v>92</v>
      </c>
      <c r="F2777" s="739">
        <v>1377</v>
      </c>
      <c r="G2777" s="739" t="s">
        <v>17040</v>
      </c>
      <c r="H2777" s="739" t="s">
        <v>17180</v>
      </c>
    </row>
    <row r="2778" spans="1:8">
      <c r="A2778" s="739" t="s">
        <v>8138</v>
      </c>
      <c r="E2778" s="739">
        <v>70</v>
      </c>
      <c r="F2778" s="741">
        <v>1307</v>
      </c>
      <c r="G2778" s="739" t="s">
        <v>17098</v>
      </c>
      <c r="H2778" s="739" t="s">
        <v>8139</v>
      </c>
    </row>
    <row r="2779" spans="1:8">
      <c r="A2779" s="739" t="s">
        <v>8138</v>
      </c>
      <c r="E2779" s="739">
        <v>115</v>
      </c>
      <c r="F2779" s="741">
        <v>1192</v>
      </c>
      <c r="G2779" s="739" t="s">
        <v>17331</v>
      </c>
      <c r="H2779" s="739" t="s">
        <v>18004</v>
      </c>
    </row>
    <row r="2780" spans="1:8">
      <c r="A2780" s="739" t="s">
        <v>18005</v>
      </c>
      <c r="D2780" s="739">
        <v>5000</v>
      </c>
      <c r="E2780" s="741"/>
      <c r="F2780" s="741">
        <v>6192</v>
      </c>
      <c r="H2780" s="739" t="s">
        <v>16884</v>
      </c>
    </row>
    <row r="2781" spans="1:8">
      <c r="A2781" s="739" t="s">
        <v>18006</v>
      </c>
      <c r="E2781" s="741">
        <v>1205</v>
      </c>
      <c r="F2781" s="741">
        <v>4987</v>
      </c>
      <c r="G2781" s="739" t="s">
        <v>7763</v>
      </c>
      <c r="H2781" s="739" t="s">
        <v>18007</v>
      </c>
    </row>
    <row r="2782" spans="1:8">
      <c r="A2782" s="739" t="s">
        <v>18006</v>
      </c>
      <c r="E2782" s="739">
        <v>74</v>
      </c>
      <c r="F2782" s="741">
        <v>4913</v>
      </c>
      <c r="G2782" s="739" t="s">
        <v>17098</v>
      </c>
      <c r="H2782" s="739" t="s">
        <v>18008</v>
      </c>
    </row>
    <row r="2783" spans="1:8">
      <c r="A2783" s="739" t="s">
        <v>18009</v>
      </c>
      <c r="E2783" s="741">
        <v>199</v>
      </c>
      <c r="F2783" s="741">
        <v>4714</v>
      </c>
      <c r="G2783" s="741" t="s">
        <v>6937</v>
      </c>
      <c r="H2783" s="739" t="s">
        <v>17969</v>
      </c>
    </row>
    <row r="2784" spans="1:8">
      <c r="E2784" s="741"/>
      <c r="F2784" s="741"/>
      <c r="H2784" s="846" t="s">
        <v>17627</v>
      </c>
    </row>
    <row r="2785" spans="1:8">
      <c r="A2785" s="739" t="s">
        <v>18010</v>
      </c>
      <c r="E2785" s="739">
        <v>1960</v>
      </c>
      <c r="F2785" s="741">
        <v>2754</v>
      </c>
      <c r="G2785" s="739" t="s">
        <v>7774</v>
      </c>
      <c r="H2785" s="739" t="s">
        <v>8148</v>
      </c>
    </row>
    <row r="2786" spans="1:8">
      <c r="A2786" s="739" t="s">
        <v>18010</v>
      </c>
      <c r="E2786" s="741">
        <v>15</v>
      </c>
      <c r="F2786" s="741">
        <v>2739</v>
      </c>
      <c r="G2786" s="739" t="s">
        <v>17204</v>
      </c>
      <c r="H2786" s="739" t="s">
        <v>18011</v>
      </c>
    </row>
    <row r="2787" spans="1:8">
      <c r="A2787" s="739" t="s">
        <v>8150</v>
      </c>
      <c r="C2787" s="739">
        <v>25318</v>
      </c>
      <c r="H2787" s="739" t="s">
        <v>8151</v>
      </c>
    </row>
    <row r="2788" spans="1:8">
      <c r="A2788" s="739" t="s">
        <v>18012</v>
      </c>
      <c r="C2788" s="739">
        <v>61326</v>
      </c>
      <c r="H2788" s="739" t="s">
        <v>18013</v>
      </c>
    </row>
    <row r="2789" spans="1:8">
      <c r="A2789" s="739" t="s">
        <v>18014</v>
      </c>
      <c r="C2789" s="739">
        <v>40000</v>
      </c>
      <c r="H2789" s="739" t="s">
        <v>18015</v>
      </c>
    </row>
    <row r="2790" spans="1:8">
      <c r="A2790" s="739" t="s">
        <v>18012</v>
      </c>
      <c r="C2790" s="739">
        <v>423</v>
      </c>
      <c r="H2790" s="739" t="s">
        <v>8154</v>
      </c>
    </row>
    <row r="2791" spans="1:8" ht="49.5">
      <c r="A2791" s="739" t="s">
        <v>18016</v>
      </c>
      <c r="C2791" s="739">
        <v>18000</v>
      </c>
      <c r="E2791" s="741"/>
      <c r="F2791" s="741"/>
      <c r="H2791" s="836" t="s">
        <v>18017</v>
      </c>
    </row>
    <row r="2792" spans="1:8">
      <c r="A2792" s="739" t="s">
        <v>18018</v>
      </c>
      <c r="E2792" s="741">
        <v>18</v>
      </c>
      <c r="F2792" s="741">
        <v>2721</v>
      </c>
      <c r="G2792" s="739" t="s">
        <v>17204</v>
      </c>
      <c r="H2792" s="739" t="s">
        <v>18019</v>
      </c>
    </row>
    <row r="2793" spans="1:8">
      <c r="A2793" s="739" t="s">
        <v>18018</v>
      </c>
      <c r="E2793" s="741">
        <v>1205</v>
      </c>
      <c r="F2793" s="741">
        <v>1516</v>
      </c>
      <c r="G2793" s="739" t="s">
        <v>17113</v>
      </c>
      <c r="H2793" s="739" t="s">
        <v>18020</v>
      </c>
    </row>
    <row r="2794" spans="1:8">
      <c r="A2794" s="739" t="s">
        <v>4434</v>
      </c>
      <c r="E2794" s="741">
        <v>200</v>
      </c>
      <c r="F2794" s="741">
        <v>1316</v>
      </c>
      <c r="G2794" s="739" t="s">
        <v>7776</v>
      </c>
      <c r="H2794" s="739" t="s">
        <v>18021</v>
      </c>
    </row>
    <row r="2795" spans="1:8">
      <c r="A2795" s="739" t="s">
        <v>4435</v>
      </c>
      <c r="D2795" s="739">
        <v>5000</v>
      </c>
      <c r="E2795" s="741"/>
      <c r="F2795" s="741">
        <v>6316</v>
      </c>
      <c r="H2795" s="739" t="s">
        <v>16884</v>
      </c>
    </row>
    <row r="2796" spans="1:8">
      <c r="A2796" s="739" t="s">
        <v>18022</v>
      </c>
      <c r="E2796" s="739">
        <v>128</v>
      </c>
      <c r="F2796" s="741">
        <v>6188</v>
      </c>
      <c r="G2796" s="739" t="s">
        <v>17098</v>
      </c>
      <c r="H2796" s="739" t="s">
        <v>18023</v>
      </c>
    </row>
    <row r="2797" spans="1:8">
      <c r="A2797" s="739" t="s">
        <v>18022</v>
      </c>
      <c r="E2797" s="739">
        <v>520</v>
      </c>
      <c r="F2797" s="741">
        <v>5668</v>
      </c>
      <c r="G2797" s="739" t="s">
        <v>17098</v>
      </c>
      <c r="H2797" s="739" t="s">
        <v>18024</v>
      </c>
    </row>
    <row r="2798" spans="1:8">
      <c r="A2798" s="739" t="s">
        <v>18025</v>
      </c>
      <c r="C2798" s="739">
        <v>17000</v>
      </c>
      <c r="H2798" s="739" t="s">
        <v>8164</v>
      </c>
    </row>
    <row r="2799" spans="1:8">
      <c r="A2799" s="739" t="s">
        <v>18026</v>
      </c>
      <c r="C2799" s="739">
        <v>25318</v>
      </c>
      <c r="H2799" s="739" t="s">
        <v>18027</v>
      </c>
    </row>
    <row r="2800" spans="1:8">
      <c r="A2800" s="739" t="s">
        <v>18026</v>
      </c>
      <c r="C2800" s="739">
        <v>61326</v>
      </c>
      <c r="H2800" s="739" t="s">
        <v>18028</v>
      </c>
    </row>
    <row r="2801" spans="1:8">
      <c r="A2801" s="739" t="s">
        <v>18029</v>
      </c>
      <c r="C2801" s="739">
        <v>11328</v>
      </c>
      <c r="H2801" s="739" t="s">
        <v>18030</v>
      </c>
    </row>
    <row r="2802" spans="1:8">
      <c r="A2802" s="739" t="s">
        <v>18029</v>
      </c>
      <c r="C2802" s="739">
        <v>4080</v>
      </c>
      <c r="H2802" s="739" t="s">
        <v>8170</v>
      </c>
    </row>
    <row r="2803" spans="1:8">
      <c r="A2803" s="739" t="s">
        <v>18031</v>
      </c>
      <c r="C2803" s="739">
        <v>5059</v>
      </c>
      <c r="H2803" s="739" t="s">
        <v>18032</v>
      </c>
    </row>
    <row r="2804" spans="1:8">
      <c r="A2804" s="739" t="s">
        <v>18029</v>
      </c>
      <c r="E2804" s="741">
        <v>400</v>
      </c>
      <c r="F2804" s="741">
        <v>5268</v>
      </c>
      <c r="G2804" s="739" t="s">
        <v>17040</v>
      </c>
      <c r="H2804" s="739" t="s">
        <v>18033</v>
      </c>
    </row>
    <row r="2805" spans="1:8">
      <c r="A2805" s="739" t="s">
        <v>18029</v>
      </c>
      <c r="E2805" s="741">
        <v>430</v>
      </c>
      <c r="F2805" s="741">
        <v>4838</v>
      </c>
      <c r="G2805" s="739" t="s">
        <v>7776</v>
      </c>
      <c r="H2805" s="739" t="s">
        <v>8173</v>
      </c>
    </row>
    <row r="2806" spans="1:8">
      <c r="A2806" s="739" t="s">
        <v>18034</v>
      </c>
      <c r="E2806" s="741">
        <v>193</v>
      </c>
      <c r="F2806" s="741">
        <v>4645</v>
      </c>
      <c r="G2806" s="739" t="s">
        <v>17204</v>
      </c>
      <c r="H2806" s="739" t="s">
        <v>18035</v>
      </c>
    </row>
    <row r="2807" spans="1:8">
      <c r="A2807" s="739" t="s">
        <v>18036</v>
      </c>
      <c r="E2807" s="741">
        <v>265</v>
      </c>
      <c r="F2807" s="741">
        <v>4380</v>
      </c>
      <c r="G2807" s="739" t="s">
        <v>17040</v>
      </c>
      <c r="H2807" s="739" t="s">
        <v>18037</v>
      </c>
    </row>
    <row r="2808" spans="1:8">
      <c r="A2808" s="739" t="s">
        <v>8176</v>
      </c>
      <c r="E2808" s="741">
        <v>335</v>
      </c>
      <c r="F2808" s="741">
        <v>4045</v>
      </c>
      <c r="G2808" s="739" t="s">
        <v>7776</v>
      </c>
      <c r="H2808" s="739" t="s">
        <v>18037</v>
      </c>
    </row>
    <row r="2809" spans="1:8">
      <c r="A2809" s="739" t="s">
        <v>18038</v>
      </c>
      <c r="E2809" s="741">
        <v>1205</v>
      </c>
      <c r="F2809" s="741">
        <v>2840</v>
      </c>
      <c r="G2809" s="739" t="s">
        <v>17113</v>
      </c>
      <c r="H2809" s="739" t="s">
        <v>18020</v>
      </c>
    </row>
    <row r="2810" spans="1:8">
      <c r="A2810" s="739" t="s">
        <v>18038</v>
      </c>
      <c r="B2810" s="739">
        <v>70000</v>
      </c>
      <c r="E2810" s="834"/>
      <c r="F2810" s="834"/>
      <c r="G2810" s="834"/>
      <c r="H2810" s="741" t="s">
        <v>17989</v>
      </c>
    </row>
    <row r="2811" spans="1:8">
      <c r="A2811" s="739" t="s">
        <v>18039</v>
      </c>
      <c r="C2811" s="739">
        <v>17000</v>
      </c>
      <c r="H2811" s="739" t="s">
        <v>18040</v>
      </c>
    </row>
    <row r="2812" spans="1:8">
      <c r="A2812" s="739" t="s">
        <v>18039</v>
      </c>
      <c r="C2812" s="739">
        <v>25318</v>
      </c>
      <c r="H2812" s="739" t="s">
        <v>18041</v>
      </c>
    </row>
    <row r="2813" spans="1:8">
      <c r="A2813" s="739" t="s">
        <v>18039</v>
      </c>
      <c r="C2813" s="739">
        <v>61326</v>
      </c>
      <c r="H2813" s="739" t="s">
        <v>8182</v>
      </c>
    </row>
    <row r="2814" spans="1:8">
      <c r="A2814" s="739" t="s">
        <v>8179</v>
      </c>
      <c r="C2814" s="739">
        <v>15000</v>
      </c>
      <c r="H2814" s="739" t="s">
        <v>8183</v>
      </c>
    </row>
    <row r="2815" spans="1:8">
      <c r="A2815" s="739" t="s">
        <v>8184</v>
      </c>
      <c r="C2815" s="739">
        <v>19161</v>
      </c>
      <c r="H2815" s="739" t="s">
        <v>8185</v>
      </c>
    </row>
    <row r="2816" spans="1:8">
      <c r="A2816" s="739" t="s">
        <v>8184</v>
      </c>
      <c r="E2816" s="741">
        <v>209</v>
      </c>
      <c r="F2816" s="741">
        <v>2631</v>
      </c>
      <c r="G2816" s="741" t="s">
        <v>6937</v>
      </c>
      <c r="H2816" s="739" t="s">
        <v>8186</v>
      </c>
    </row>
    <row r="2817" spans="1:8">
      <c r="A2817" s="739" t="s">
        <v>8187</v>
      </c>
      <c r="C2817" s="739">
        <v>1000</v>
      </c>
      <c r="H2817" s="739" t="s">
        <v>8188</v>
      </c>
    </row>
    <row r="2818" spans="1:8" ht="66">
      <c r="A2818" s="739" t="s">
        <v>18042</v>
      </c>
      <c r="C2818" s="739">
        <v>18000</v>
      </c>
      <c r="E2818" s="741"/>
      <c r="F2818" s="741"/>
      <c r="H2818" s="836" t="s">
        <v>8190</v>
      </c>
    </row>
    <row r="2819" spans="1:8">
      <c r="A2819" s="739" t="s">
        <v>8191</v>
      </c>
      <c r="E2819" s="741">
        <v>340</v>
      </c>
      <c r="F2819" s="741">
        <v>2291</v>
      </c>
      <c r="G2819" s="739" t="s">
        <v>18043</v>
      </c>
      <c r="H2819" s="739" t="s">
        <v>8192</v>
      </c>
    </row>
    <row r="2820" spans="1:8">
      <c r="A2820" s="739" t="s">
        <v>8191</v>
      </c>
      <c r="E2820" s="741">
        <v>350</v>
      </c>
      <c r="F2820" s="741">
        <v>1941</v>
      </c>
      <c r="G2820" s="739" t="s">
        <v>7776</v>
      </c>
      <c r="H2820" s="739" t="s">
        <v>18044</v>
      </c>
    </row>
    <row r="2821" spans="1:8">
      <c r="A2821" s="739" t="s">
        <v>18045</v>
      </c>
      <c r="E2821" s="741">
        <v>415</v>
      </c>
      <c r="F2821" s="741">
        <v>1526</v>
      </c>
      <c r="G2821" s="739" t="s">
        <v>18043</v>
      </c>
      <c r="H2821" s="739" t="s">
        <v>8194</v>
      </c>
    </row>
    <row r="2822" spans="1:8">
      <c r="A2822" s="739" t="s">
        <v>18046</v>
      </c>
      <c r="E2822" s="741">
        <v>380</v>
      </c>
      <c r="F2822" s="741">
        <v>1146</v>
      </c>
      <c r="G2822" s="739" t="s">
        <v>7776</v>
      </c>
      <c r="H2822" s="739" t="s">
        <v>18047</v>
      </c>
    </row>
    <row r="2823" spans="1:8">
      <c r="A2823" s="739" t="s">
        <v>4438</v>
      </c>
      <c r="E2823" s="741">
        <v>18</v>
      </c>
      <c r="F2823" s="741">
        <v>1128</v>
      </c>
      <c r="G2823" s="739" t="s">
        <v>18048</v>
      </c>
      <c r="H2823" s="739" t="s">
        <v>8196</v>
      </c>
    </row>
    <row r="2824" spans="1:8">
      <c r="A2824" s="739" t="s">
        <v>18049</v>
      </c>
      <c r="D2824" s="739">
        <v>5000</v>
      </c>
      <c r="E2824" s="741"/>
      <c r="F2824" s="741">
        <v>6128</v>
      </c>
      <c r="H2824" s="739" t="s">
        <v>18050</v>
      </c>
    </row>
    <row r="2825" spans="1:8">
      <c r="A2825" s="739" t="s">
        <v>8197</v>
      </c>
      <c r="E2825" s="741">
        <v>121</v>
      </c>
      <c r="F2825" s="741">
        <v>6007</v>
      </c>
      <c r="G2825" s="739" t="s">
        <v>18051</v>
      </c>
      <c r="H2825" s="739" t="s">
        <v>18052</v>
      </c>
    </row>
    <row r="2826" spans="1:8">
      <c r="A2826" s="739" t="s">
        <v>18049</v>
      </c>
      <c r="E2826" s="741">
        <v>1205</v>
      </c>
      <c r="F2826" s="741">
        <v>4802</v>
      </c>
      <c r="G2826" s="739" t="s">
        <v>7763</v>
      </c>
      <c r="H2826" s="739" t="s">
        <v>8198</v>
      </c>
    </row>
    <row r="2827" spans="1:8">
      <c r="A2827" s="739" t="s">
        <v>4439</v>
      </c>
      <c r="C2827" s="739">
        <v>17000</v>
      </c>
      <c r="H2827" s="739" t="s">
        <v>18053</v>
      </c>
    </row>
    <row r="2828" spans="1:8">
      <c r="A2828" s="739" t="s">
        <v>4439</v>
      </c>
      <c r="C2828" s="739">
        <v>9913</v>
      </c>
      <c r="H2828" s="739" t="s">
        <v>18054</v>
      </c>
    </row>
    <row r="2829" spans="1:8">
      <c r="A2829" s="739" t="s">
        <v>8202</v>
      </c>
      <c r="E2829" s="741">
        <v>120</v>
      </c>
      <c r="F2829" s="741">
        <v>4682</v>
      </c>
      <c r="G2829" s="739" t="s">
        <v>18055</v>
      </c>
      <c r="H2829" s="739" t="s">
        <v>8203</v>
      </c>
    </row>
    <row r="2830" spans="1:8">
      <c r="A2830" s="739" t="s">
        <v>18056</v>
      </c>
      <c r="E2830" s="741">
        <v>192</v>
      </c>
      <c r="F2830" s="741">
        <v>4490</v>
      </c>
      <c r="G2830" s="739" t="s">
        <v>6972</v>
      </c>
      <c r="H2830" s="739" t="s">
        <v>18057</v>
      </c>
    </row>
    <row r="2831" spans="1:8">
      <c r="H2831" s="846" t="s">
        <v>8205</v>
      </c>
    </row>
    <row r="2832" spans="1:8">
      <c r="A2832" s="739" t="s">
        <v>8206</v>
      </c>
      <c r="C2832" s="739">
        <v>16288</v>
      </c>
      <c r="H2832" s="739" t="s">
        <v>8207</v>
      </c>
    </row>
    <row r="2833" spans="1:8">
      <c r="A2833" s="739" t="s">
        <v>8206</v>
      </c>
      <c r="C2833" s="739">
        <v>25318</v>
      </c>
      <c r="H2833" s="739" t="s">
        <v>8208</v>
      </c>
    </row>
    <row r="2834" spans="1:8">
      <c r="A2834" s="739" t="s">
        <v>8206</v>
      </c>
      <c r="C2834" s="739">
        <v>61326</v>
      </c>
      <c r="H2834" s="739" t="s">
        <v>8209</v>
      </c>
    </row>
    <row r="2835" spans="1:8">
      <c r="A2835" s="739" t="s">
        <v>8206</v>
      </c>
      <c r="C2835" s="739">
        <v>20300</v>
      </c>
      <c r="H2835" s="739" t="s">
        <v>8210</v>
      </c>
    </row>
    <row r="2836" spans="1:8">
      <c r="A2836" s="739" t="s">
        <v>8211</v>
      </c>
      <c r="E2836" s="741">
        <v>35</v>
      </c>
      <c r="F2836" s="741">
        <v>4455</v>
      </c>
      <c r="G2836" s="739" t="s">
        <v>18058</v>
      </c>
      <c r="H2836" s="739" t="s">
        <v>8212</v>
      </c>
    </row>
    <row r="2837" spans="1:8">
      <c r="A2837" s="739" t="s">
        <v>4758</v>
      </c>
      <c r="E2837" s="741">
        <v>200</v>
      </c>
      <c r="F2837" s="741">
        <v>4255</v>
      </c>
      <c r="G2837" s="739" t="s">
        <v>7776</v>
      </c>
      <c r="H2837" s="739" t="s">
        <v>18059</v>
      </c>
    </row>
    <row r="2838" spans="1:8">
      <c r="A2838" s="739" t="s">
        <v>4588</v>
      </c>
      <c r="C2838" s="739">
        <v>250030</v>
      </c>
      <c r="H2838" s="739" t="s">
        <v>18060</v>
      </c>
    </row>
    <row r="2839" spans="1:8">
      <c r="A2839" s="739" t="s">
        <v>8217</v>
      </c>
      <c r="E2839" s="741">
        <v>145</v>
      </c>
      <c r="F2839" s="741">
        <v>4110</v>
      </c>
      <c r="G2839" s="739" t="s">
        <v>7776</v>
      </c>
      <c r="H2839" s="739" t="s">
        <v>8218</v>
      </c>
    </row>
    <row r="2840" spans="1:8">
      <c r="A2840" s="739" t="s">
        <v>8217</v>
      </c>
      <c r="E2840" s="741">
        <v>25</v>
      </c>
      <c r="F2840" s="741">
        <v>4085</v>
      </c>
      <c r="G2840" s="739" t="s">
        <v>7776</v>
      </c>
      <c r="H2840" s="739" t="s">
        <v>8218</v>
      </c>
    </row>
    <row r="2841" spans="1:8">
      <c r="A2841" s="739" t="s">
        <v>8219</v>
      </c>
      <c r="E2841" s="741">
        <v>140</v>
      </c>
      <c r="F2841" s="741">
        <v>3945</v>
      </c>
      <c r="G2841" s="739" t="s">
        <v>7776</v>
      </c>
      <c r="H2841" s="739" t="s">
        <v>8220</v>
      </c>
    </row>
    <row r="2842" spans="1:8">
      <c r="A2842" s="739" t="s">
        <v>4588</v>
      </c>
      <c r="E2842" s="741">
        <v>1205</v>
      </c>
      <c r="F2842" s="741">
        <v>2740</v>
      </c>
      <c r="G2842" s="739" t="s">
        <v>7763</v>
      </c>
      <c r="H2842" s="739" t="s">
        <v>18061</v>
      </c>
    </row>
    <row r="2843" spans="1:8">
      <c r="A2843" s="739" t="s">
        <v>8222</v>
      </c>
      <c r="E2843" s="739">
        <v>173</v>
      </c>
      <c r="F2843" s="741">
        <v>2567</v>
      </c>
      <c r="G2843" s="739" t="s">
        <v>18055</v>
      </c>
      <c r="H2843" s="739" t="s">
        <v>8223</v>
      </c>
    </row>
    <row r="2844" spans="1:8">
      <c r="A2844" s="739" t="s">
        <v>8224</v>
      </c>
      <c r="E2844" s="741">
        <v>231</v>
      </c>
      <c r="F2844" s="741">
        <v>2336</v>
      </c>
      <c r="G2844" s="741" t="s">
        <v>18062</v>
      </c>
      <c r="H2844" s="739" t="s">
        <v>18063</v>
      </c>
    </row>
    <row r="2845" spans="1:8">
      <c r="A2845" s="739" t="s">
        <v>4029</v>
      </c>
      <c r="C2845" s="739">
        <v>17000</v>
      </c>
      <c r="H2845" s="739" t="s">
        <v>8227</v>
      </c>
    </row>
    <row r="2846" spans="1:8">
      <c r="A2846" s="739" t="s">
        <v>8228</v>
      </c>
      <c r="E2846" s="741">
        <v>245</v>
      </c>
      <c r="F2846" s="741">
        <v>2091</v>
      </c>
      <c r="G2846" s="739" t="s">
        <v>7776</v>
      </c>
      <c r="H2846" s="739" t="s">
        <v>18064</v>
      </c>
    </row>
    <row r="2847" spans="1:8">
      <c r="A2847" s="739" t="s">
        <v>18065</v>
      </c>
      <c r="C2847" s="739">
        <v>25318</v>
      </c>
      <c r="H2847" s="739" t="s">
        <v>18066</v>
      </c>
    </row>
    <row r="2848" spans="1:8">
      <c r="A2848" s="739" t="s">
        <v>8230</v>
      </c>
      <c r="C2848" s="739">
        <v>61326</v>
      </c>
      <c r="H2848" s="739" t="s">
        <v>8232</v>
      </c>
    </row>
    <row r="2849" spans="1:8">
      <c r="A2849" s="739" t="s">
        <v>8230</v>
      </c>
      <c r="C2849" s="739">
        <v>13500</v>
      </c>
      <c r="H2849" s="739" t="s">
        <v>18067</v>
      </c>
    </row>
    <row r="2850" spans="1:8">
      <c r="A2850" s="739" t="s">
        <v>18068</v>
      </c>
      <c r="C2850" s="739">
        <v>30365</v>
      </c>
      <c r="H2850" s="739" t="s">
        <v>18069</v>
      </c>
    </row>
    <row r="2851" spans="1:8">
      <c r="A2851" s="739" t="s">
        <v>18068</v>
      </c>
      <c r="C2851" s="739">
        <v>6120</v>
      </c>
      <c r="H2851" s="739" t="s">
        <v>8235</v>
      </c>
    </row>
    <row r="2852" spans="1:8" ht="66">
      <c r="A2852" s="739" t="s">
        <v>18070</v>
      </c>
      <c r="C2852" s="739">
        <v>15000</v>
      </c>
      <c r="H2852" s="836" t="s">
        <v>18071</v>
      </c>
    </row>
    <row r="2853" spans="1:8">
      <c r="A2853" s="739" t="s">
        <v>4782</v>
      </c>
      <c r="E2853" s="741">
        <v>100</v>
      </c>
      <c r="F2853" s="741">
        <v>1991</v>
      </c>
      <c r="G2853" s="739" t="s">
        <v>18043</v>
      </c>
      <c r="H2853" s="739" t="s">
        <v>8239</v>
      </c>
    </row>
    <row r="2854" spans="1:8">
      <c r="A2854" s="739" t="s">
        <v>18072</v>
      </c>
      <c r="E2854" s="741">
        <v>1205</v>
      </c>
      <c r="F2854" s="741">
        <v>786</v>
      </c>
      <c r="G2854" s="739" t="s">
        <v>7763</v>
      </c>
      <c r="H2854" s="739" t="s">
        <v>18073</v>
      </c>
    </row>
    <row r="2855" spans="1:8">
      <c r="A2855" s="739" t="s">
        <v>18074</v>
      </c>
      <c r="E2855" s="741">
        <v>600</v>
      </c>
      <c r="F2855" s="741">
        <v>186</v>
      </c>
      <c r="G2855" s="739" t="s">
        <v>7776</v>
      </c>
      <c r="H2855" s="739" t="s">
        <v>8243</v>
      </c>
    </row>
    <row r="2856" spans="1:8">
      <c r="A2856" s="739" t="s">
        <v>8242</v>
      </c>
      <c r="D2856" s="739">
        <v>5000</v>
      </c>
      <c r="E2856" s="741"/>
      <c r="F2856" s="741">
        <v>5186</v>
      </c>
      <c r="H2856" s="739" t="s">
        <v>463</v>
      </c>
    </row>
    <row r="2857" spans="1:8">
      <c r="A2857" s="739" t="s">
        <v>4086</v>
      </c>
      <c r="E2857" s="741">
        <v>115</v>
      </c>
      <c r="F2857" s="741">
        <v>5071</v>
      </c>
      <c r="G2857" s="739" t="s">
        <v>7776</v>
      </c>
      <c r="H2857" s="739" t="s">
        <v>8245</v>
      </c>
    </row>
    <row r="2858" spans="1:8">
      <c r="A2858" s="739" t="s">
        <v>4086</v>
      </c>
      <c r="E2858" s="741">
        <v>185</v>
      </c>
      <c r="F2858" s="741">
        <v>4886</v>
      </c>
      <c r="G2858" s="739" t="s">
        <v>18043</v>
      </c>
      <c r="H2858" s="739" t="s">
        <v>8245</v>
      </c>
    </row>
    <row r="2859" spans="1:8">
      <c r="A2859" s="739" t="s">
        <v>8246</v>
      </c>
      <c r="C2859" s="739">
        <v>17000</v>
      </c>
      <c r="H2859" s="739" t="s">
        <v>8247</v>
      </c>
    </row>
    <row r="2860" spans="1:8">
      <c r="A2860" s="739" t="s">
        <v>18075</v>
      </c>
      <c r="C2860" s="739">
        <v>25318</v>
      </c>
      <c r="H2860" s="739" t="s">
        <v>8249</v>
      </c>
    </row>
    <row r="2861" spans="1:8">
      <c r="A2861" s="739" t="s">
        <v>4068</v>
      </c>
      <c r="C2861" s="739">
        <v>61326</v>
      </c>
      <c r="H2861" s="739" t="s">
        <v>8250</v>
      </c>
    </row>
    <row r="2862" spans="1:8">
      <c r="A2862" s="739" t="s">
        <v>18075</v>
      </c>
      <c r="C2862" s="739">
        <v>46500</v>
      </c>
      <c r="H2862" s="739" t="s">
        <v>8251</v>
      </c>
    </row>
    <row r="2863" spans="1:8">
      <c r="A2863" s="739" t="s">
        <v>4768</v>
      </c>
      <c r="E2863" s="741">
        <v>230</v>
      </c>
      <c r="F2863" s="741">
        <v>4656</v>
      </c>
      <c r="G2863" s="739" t="s">
        <v>7776</v>
      </c>
      <c r="H2863" s="739" t="s">
        <v>8253</v>
      </c>
    </row>
    <row r="2864" spans="1:8">
      <c r="A2864" s="739" t="s">
        <v>18076</v>
      </c>
      <c r="E2864" s="739">
        <v>200</v>
      </c>
      <c r="F2864" s="741">
        <v>4456</v>
      </c>
      <c r="G2864" s="739" t="s">
        <v>7776</v>
      </c>
      <c r="H2864" s="739" t="s">
        <v>8255</v>
      </c>
    </row>
    <row r="2865" spans="1:8">
      <c r="A2865" s="739" t="s">
        <v>18076</v>
      </c>
      <c r="E2865" s="741">
        <v>255</v>
      </c>
      <c r="F2865" s="741">
        <v>4201</v>
      </c>
      <c r="G2865" s="739" t="s">
        <v>18077</v>
      </c>
      <c r="H2865" s="739" t="s">
        <v>8256</v>
      </c>
    </row>
    <row r="2866" spans="1:8">
      <c r="A2866" s="739" t="s">
        <v>8254</v>
      </c>
      <c r="E2866" s="741">
        <v>140</v>
      </c>
      <c r="F2866" s="741">
        <v>4061</v>
      </c>
      <c r="G2866" s="739" t="s">
        <v>18078</v>
      </c>
      <c r="H2866" s="739" t="s">
        <v>18079</v>
      </c>
    </row>
    <row r="2867" spans="1:8">
      <c r="A2867" s="739" t="s">
        <v>18080</v>
      </c>
      <c r="C2867" s="739">
        <v>42883</v>
      </c>
      <c r="H2867" s="739" t="s">
        <v>8258</v>
      </c>
    </row>
    <row r="2868" spans="1:8">
      <c r="A2868" s="739" t="s">
        <v>18081</v>
      </c>
      <c r="C2868" s="739">
        <v>33926</v>
      </c>
      <c r="H2868" s="739" t="s">
        <v>8259</v>
      </c>
    </row>
    <row r="2869" spans="1:8">
      <c r="A2869" s="739" t="s">
        <v>18082</v>
      </c>
      <c r="E2869" s="741">
        <v>199</v>
      </c>
      <c r="F2869" s="741">
        <v>3862</v>
      </c>
      <c r="G2869" s="741" t="s">
        <v>18062</v>
      </c>
      <c r="H2869" s="739" t="s">
        <v>8261</v>
      </c>
    </row>
    <row r="2870" spans="1:8">
      <c r="A2870" s="739" t="s">
        <v>8260</v>
      </c>
      <c r="E2870" s="741">
        <v>1205</v>
      </c>
      <c r="F2870" s="741">
        <v>2657</v>
      </c>
      <c r="G2870" s="739" t="s">
        <v>18083</v>
      </c>
      <c r="H2870" s="739" t="s">
        <v>8262</v>
      </c>
    </row>
    <row r="2871" spans="1:8">
      <c r="A2871" s="739" t="s">
        <v>4770</v>
      </c>
      <c r="C2871" s="739">
        <v>17000</v>
      </c>
      <c r="H2871" s="739" t="s">
        <v>8264</v>
      </c>
    </row>
    <row r="2872" spans="1:8">
      <c r="A2872" s="739" t="s">
        <v>4770</v>
      </c>
      <c r="C2872" s="739">
        <v>4896</v>
      </c>
      <c r="H2872" s="739" t="s">
        <v>8265</v>
      </c>
    </row>
    <row r="2873" spans="1:8">
      <c r="A2873" s="739" t="s">
        <v>18084</v>
      </c>
      <c r="E2873" s="741">
        <v>835</v>
      </c>
      <c r="F2873" s="741">
        <v>1822</v>
      </c>
      <c r="G2873" s="739" t="s">
        <v>18051</v>
      </c>
      <c r="H2873" s="739" t="s">
        <v>8267</v>
      </c>
    </row>
    <row r="2874" spans="1:8">
      <c r="A2874" s="739" t="s">
        <v>4680</v>
      </c>
      <c r="C2874" s="739">
        <v>25318</v>
      </c>
      <c r="H2874" s="739" t="s">
        <v>18085</v>
      </c>
    </row>
    <row r="2875" spans="1:8">
      <c r="A2875" s="739" t="s">
        <v>4680</v>
      </c>
      <c r="C2875" s="739">
        <v>31326</v>
      </c>
      <c r="H2875" s="739" t="s">
        <v>18086</v>
      </c>
    </row>
    <row r="2876" spans="1:8">
      <c r="A2876" s="739" t="s">
        <v>4680</v>
      </c>
      <c r="C2876" s="739">
        <v>30000</v>
      </c>
      <c r="H2876" s="739" t="s">
        <v>18087</v>
      </c>
    </row>
    <row r="2877" spans="1:8">
      <c r="A2877" s="739" t="s">
        <v>18088</v>
      </c>
      <c r="C2877" s="739">
        <v>33500</v>
      </c>
      <c r="H2877" s="739" t="s">
        <v>8272</v>
      </c>
    </row>
    <row r="2878" spans="1:8">
      <c r="A2878" s="739" t="s">
        <v>4680</v>
      </c>
      <c r="C2878" s="739">
        <v>2516</v>
      </c>
      <c r="H2878" s="739" t="s">
        <v>8273</v>
      </c>
    </row>
    <row r="2879" spans="1:8">
      <c r="A2879" s="739" t="s">
        <v>18089</v>
      </c>
      <c r="E2879" s="741">
        <v>45</v>
      </c>
      <c r="F2879" s="741">
        <v>1777</v>
      </c>
      <c r="G2879" s="739" t="s">
        <v>18051</v>
      </c>
      <c r="H2879" s="739" t="s">
        <v>8274</v>
      </c>
    </row>
    <row r="2880" spans="1:8">
      <c r="A2880" s="739" t="s">
        <v>4175</v>
      </c>
      <c r="C2880" s="739">
        <v>12854</v>
      </c>
      <c r="H2880" s="739" t="s">
        <v>18090</v>
      </c>
    </row>
    <row r="2881" spans="1:8">
      <c r="A2881" s="739" t="s">
        <v>4175</v>
      </c>
      <c r="E2881" s="741">
        <v>35</v>
      </c>
      <c r="F2881" s="741">
        <v>1742</v>
      </c>
      <c r="G2881" s="739" t="s">
        <v>18058</v>
      </c>
      <c r="H2881" s="739" t="s">
        <v>8277</v>
      </c>
    </row>
    <row r="2882" spans="1:8">
      <c r="A2882" s="739" t="s">
        <v>8278</v>
      </c>
      <c r="E2882" s="739">
        <v>173</v>
      </c>
      <c r="F2882" s="741">
        <v>1569</v>
      </c>
      <c r="G2882" s="739" t="s">
        <v>6913</v>
      </c>
      <c r="H2882" s="739" t="s">
        <v>7126</v>
      </c>
    </row>
    <row r="2883" spans="1:8">
      <c r="A2883" s="739" t="s">
        <v>8279</v>
      </c>
      <c r="E2883" s="741">
        <v>50</v>
      </c>
      <c r="F2883" s="741">
        <v>1519</v>
      </c>
      <c r="G2883" s="739" t="s">
        <v>18048</v>
      </c>
      <c r="H2883" s="739" t="s">
        <v>8280</v>
      </c>
    </row>
    <row r="2884" spans="1:8">
      <c r="A2884" s="739" t="s">
        <v>18091</v>
      </c>
      <c r="E2884" s="741">
        <v>1205</v>
      </c>
      <c r="F2884" s="741">
        <v>314</v>
      </c>
      <c r="G2884" s="739" t="s">
        <v>18092</v>
      </c>
      <c r="H2884" s="739" t="s">
        <v>8282</v>
      </c>
    </row>
    <row r="2885" spans="1:8">
      <c r="A2885" s="739" t="s">
        <v>18093</v>
      </c>
      <c r="D2885" s="739">
        <v>5000</v>
      </c>
      <c r="E2885" s="741"/>
      <c r="F2885" s="741"/>
      <c r="H2885" s="739" t="s">
        <v>18094</v>
      </c>
    </row>
    <row r="2886" spans="1:8">
      <c r="A2886" s="739" t="s">
        <v>4031</v>
      </c>
      <c r="E2886" s="741">
        <v>320</v>
      </c>
      <c r="F2886" s="741">
        <v>4994</v>
      </c>
      <c r="G2886" s="739" t="s">
        <v>18095</v>
      </c>
      <c r="H2886" s="739" t="s">
        <v>8285</v>
      </c>
    </row>
    <row r="2887" spans="1:8">
      <c r="A2887" s="739" t="s">
        <v>18096</v>
      </c>
      <c r="E2887" s="741">
        <v>300</v>
      </c>
      <c r="F2887" s="741">
        <v>4694</v>
      </c>
      <c r="G2887" s="739" t="s">
        <v>7776</v>
      </c>
      <c r="H2887" s="739" t="s">
        <v>18097</v>
      </c>
    </row>
    <row r="2888" spans="1:8">
      <c r="A2888" s="739" t="s">
        <v>18098</v>
      </c>
      <c r="C2888" s="739">
        <v>17000</v>
      </c>
      <c r="H2888" s="739" t="s">
        <v>18099</v>
      </c>
    </row>
    <row r="2889" spans="1:8">
      <c r="A2889" s="739" t="s">
        <v>18100</v>
      </c>
      <c r="C2889" s="739">
        <v>12000</v>
      </c>
      <c r="E2889" s="741"/>
      <c r="F2889" s="741"/>
      <c r="H2889" s="741" t="s">
        <v>8288</v>
      </c>
    </row>
    <row r="2890" spans="1:8">
      <c r="A2890" s="739" t="s">
        <v>4715</v>
      </c>
      <c r="C2890" s="739">
        <v>25318</v>
      </c>
      <c r="H2890" s="739" t="s">
        <v>18101</v>
      </c>
    </row>
    <row r="2891" spans="1:8">
      <c r="A2891" s="739" t="s">
        <v>4715</v>
      </c>
      <c r="C2891" s="739">
        <v>61326</v>
      </c>
      <c r="H2891" s="739" t="s">
        <v>8291</v>
      </c>
    </row>
    <row r="2892" spans="1:8">
      <c r="A2892" s="739" t="s">
        <v>4715</v>
      </c>
      <c r="C2892" s="739">
        <v>24500</v>
      </c>
      <c r="H2892" s="739" t="s">
        <v>8292</v>
      </c>
    </row>
    <row r="2893" spans="1:8">
      <c r="A2893" s="739" t="s">
        <v>8293</v>
      </c>
      <c r="C2893" s="739">
        <v>11158</v>
      </c>
      <c r="H2893" s="739" t="s">
        <v>8294</v>
      </c>
    </row>
    <row r="2894" spans="1:8" s="741" customFormat="1" ht="82.5">
      <c r="A2894" s="739" t="s">
        <v>18102</v>
      </c>
      <c r="C2894" s="741">
        <v>34000</v>
      </c>
      <c r="H2894" s="847" t="s">
        <v>8296</v>
      </c>
    </row>
    <row r="2895" spans="1:8">
      <c r="A2895" s="739" t="s">
        <v>8297</v>
      </c>
      <c r="E2895" s="741">
        <v>1205</v>
      </c>
      <c r="F2895" s="741">
        <v>3489</v>
      </c>
      <c r="G2895" s="739" t="s">
        <v>18103</v>
      </c>
      <c r="H2895" s="739" t="s">
        <v>18104</v>
      </c>
    </row>
    <row r="2896" spans="1:8">
      <c r="A2896" s="739" t="s">
        <v>18105</v>
      </c>
      <c r="E2896" s="741">
        <v>199</v>
      </c>
      <c r="F2896" s="741">
        <v>3290</v>
      </c>
      <c r="G2896" s="741" t="s">
        <v>18106</v>
      </c>
      <c r="H2896" s="739" t="s">
        <v>18107</v>
      </c>
    </row>
    <row r="2897" spans="1:8">
      <c r="A2897" s="739" t="s">
        <v>4070</v>
      </c>
      <c r="C2897" s="739">
        <v>25318</v>
      </c>
      <c r="H2897" s="739" t="s">
        <v>8302</v>
      </c>
    </row>
    <row r="2898" spans="1:8">
      <c r="A2898" s="739" t="s">
        <v>18108</v>
      </c>
      <c r="C2898" s="739">
        <v>61326</v>
      </c>
      <c r="H2898" s="739" t="s">
        <v>18109</v>
      </c>
    </row>
    <row r="2899" spans="1:8">
      <c r="A2899" s="739" t="s">
        <v>18110</v>
      </c>
      <c r="C2899" s="739">
        <v>12000</v>
      </c>
      <c r="H2899" s="739" t="s">
        <v>18111</v>
      </c>
    </row>
    <row r="2900" spans="1:8">
      <c r="A2900" s="739" t="s">
        <v>4070</v>
      </c>
      <c r="C2900" s="739">
        <v>1219</v>
      </c>
      <c r="H2900" s="739" t="s">
        <v>8305</v>
      </c>
    </row>
    <row r="2901" spans="1:8">
      <c r="A2901" s="739" t="s">
        <v>18112</v>
      </c>
      <c r="E2901" s="741">
        <v>109</v>
      </c>
      <c r="F2901" s="741">
        <v>3181</v>
      </c>
      <c r="G2901" s="739" t="s">
        <v>6913</v>
      </c>
      <c r="H2901" s="739" t="s">
        <v>18113</v>
      </c>
    </row>
    <row r="2902" spans="1:8">
      <c r="A2902" s="739" t="s">
        <v>18114</v>
      </c>
      <c r="E2902" s="741">
        <v>64</v>
      </c>
      <c r="F2902" s="741">
        <v>3117</v>
      </c>
      <c r="G2902" s="739" t="s">
        <v>18115</v>
      </c>
      <c r="H2902" s="739" t="s">
        <v>8309</v>
      </c>
    </row>
    <row r="2903" spans="1:8">
      <c r="A2903" s="739" t="s">
        <v>8310</v>
      </c>
      <c r="E2903" s="741">
        <v>50</v>
      </c>
      <c r="F2903" s="741">
        <v>3067</v>
      </c>
      <c r="G2903" s="739" t="s">
        <v>18116</v>
      </c>
      <c r="H2903" s="739" t="s">
        <v>8311</v>
      </c>
    </row>
    <row r="2904" spans="1:8">
      <c r="A2904" s="739" t="s">
        <v>18117</v>
      </c>
      <c r="E2904" s="741">
        <v>1205</v>
      </c>
      <c r="F2904" s="741">
        <v>1862</v>
      </c>
      <c r="G2904" s="739" t="s">
        <v>7763</v>
      </c>
      <c r="H2904" s="739" t="s">
        <v>18118</v>
      </c>
    </row>
    <row r="2905" spans="1:8">
      <c r="A2905" s="739" t="s">
        <v>8313</v>
      </c>
      <c r="E2905" s="741">
        <v>124</v>
      </c>
      <c r="F2905" s="741">
        <v>1738</v>
      </c>
      <c r="G2905" s="739" t="s">
        <v>6943</v>
      </c>
      <c r="H2905" s="739" t="s">
        <v>8314</v>
      </c>
    </row>
    <row r="2906" spans="1:8">
      <c r="E2906" s="741"/>
      <c r="F2906" s="741"/>
      <c r="H2906" s="846" t="s">
        <v>18119</v>
      </c>
    </row>
    <row r="2907" spans="1:8">
      <c r="A2907" s="739" t="s">
        <v>8315</v>
      </c>
      <c r="C2907" s="739">
        <v>17000</v>
      </c>
      <c r="H2907" s="739" t="s">
        <v>8316</v>
      </c>
    </row>
    <row r="2908" spans="1:8">
      <c r="A2908" s="739" t="s">
        <v>8317</v>
      </c>
      <c r="C2908" s="739">
        <v>25318</v>
      </c>
      <c r="H2908" s="739" t="s">
        <v>8318</v>
      </c>
    </row>
    <row r="2909" spans="1:8">
      <c r="A2909" s="739" t="s">
        <v>18120</v>
      </c>
      <c r="C2909" s="739">
        <v>61326</v>
      </c>
      <c r="H2909" s="739" t="s">
        <v>18121</v>
      </c>
    </row>
    <row r="2910" spans="1:8">
      <c r="A2910" s="739" t="s">
        <v>4177</v>
      </c>
      <c r="C2910" s="739">
        <v>6299</v>
      </c>
      <c r="H2910" s="739" t="s">
        <v>8321</v>
      </c>
    </row>
    <row r="2911" spans="1:8">
      <c r="A2911" s="739" t="s">
        <v>18122</v>
      </c>
      <c r="E2911" s="741">
        <v>94</v>
      </c>
      <c r="F2911" s="741">
        <v>1644</v>
      </c>
      <c r="G2911" s="739" t="s">
        <v>18123</v>
      </c>
      <c r="H2911" s="739" t="s">
        <v>8323</v>
      </c>
    </row>
    <row r="2912" spans="1:8">
      <c r="A2912" s="739" t="s">
        <v>18124</v>
      </c>
      <c r="E2912" s="739">
        <v>100</v>
      </c>
      <c r="F2912" s="741">
        <v>1544</v>
      </c>
      <c r="G2912" s="739" t="s">
        <v>18095</v>
      </c>
      <c r="H2912" s="739" t="s">
        <v>18125</v>
      </c>
    </row>
    <row r="2913" spans="1:8">
      <c r="A2913" s="739" t="s">
        <v>18126</v>
      </c>
      <c r="E2913" s="741">
        <v>40</v>
      </c>
      <c r="F2913" s="741">
        <v>1504</v>
      </c>
      <c r="G2913" s="739" t="s">
        <v>18127</v>
      </c>
      <c r="H2913" s="739" t="s">
        <v>18128</v>
      </c>
    </row>
    <row r="2914" spans="1:8">
      <c r="A2914" s="739" t="s">
        <v>18129</v>
      </c>
      <c r="E2914" s="741">
        <v>2</v>
      </c>
      <c r="F2914" s="741">
        <v>1502</v>
      </c>
      <c r="G2914" s="739" t="s">
        <v>6943</v>
      </c>
      <c r="H2914" s="739" t="s">
        <v>8327</v>
      </c>
    </row>
    <row r="2915" spans="1:8">
      <c r="A2915" s="739" t="s">
        <v>18130</v>
      </c>
      <c r="E2915" s="741">
        <v>800</v>
      </c>
      <c r="F2915" s="741">
        <v>702</v>
      </c>
      <c r="G2915" s="739" t="s">
        <v>18115</v>
      </c>
      <c r="H2915" s="739" t="s">
        <v>8329</v>
      </c>
    </row>
    <row r="2916" spans="1:8">
      <c r="A2916" s="739" t="s">
        <v>4777</v>
      </c>
      <c r="E2916" s="741">
        <v>15</v>
      </c>
      <c r="F2916" s="741">
        <v>687</v>
      </c>
      <c r="G2916" s="739" t="s">
        <v>6913</v>
      </c>
      <c r="H2916" s="739" t="s">
        <v>8331</v>
      </c>
    </row>
    <row r="2917" spans="1:8">
      <c r="A2917" s="739" t="s">
        <v>18131</v>
      </c>
      <c r="D2917" s="739">
        <v>5000</v>
      </c>
      <c r="E2917" s="741"/>
      <c r="F2917" s="741"/>
      <c r="H2917" s="739" t="s">
        <v>18132</v>
      </c>
    </row>
    <row r="2918" spans="1:8">
      <c r="A2918" s="739" t="s">
        <v>4714</v>
      </c>
      <c r="E2918" s="741">
        <v>1205</v>
      </c>
      <c r="F2918" s="741">
        <v>4482</v>
      </c>
      <c r="G2918" s="739" t="s">
        <v>7763</v>
      </c>
      <c r="H2918" s="739" t="s">
        <v>18133</v>
      </c>
    </row>
    <row r="2919" spans="1:8">
      <c r="A2919" s="739" t="s">
        <v>18131</v>
      </c>
      <c r="E2919" s="741">
        <v>64</v>
      </c>
      <c r="F2919" s="741">
        <v>4418</v>
      </c>
      <c r="G2919" s="739" t="s">
        <v>18123</v>
      </c>
      <c r="H2919" s="739" t="s">
        <v>8334</v>
      </c>
    </row>
    <row r="2920" spans="1:8">
      <c r="A2920" s="739" t="s">
        <v>18134</v>
      </c>
      <c r="E2920" s="741">
        <v>210</v>
      </c>
      <c r="F2920" s="741">
        <v>4208</v>
      </c>
      <c r="G2920" s="741" t="s">
        <v>6937</v>
      </c>
      <c r="H2920" s="739" t="s">
        <v>18135</v>
      </c>
    </row>
    <row r="2921" spans="1:8" s="741" customFormat="1">
      <c r="A2921" s="741" t="s">
        <v>4033</v>
      </c>
      <c r="C2921" s="741">
        <v>20000</v>
      </c>
      <c r="H2921" s="847" t="s">
        <v>18136</v>
      </c>
    </row>
    <row r="2922" spans="1:8" s="741" customFormat="1">
      <c r="A2922" s="741" t="s">
        <v>18137</v>
      </c>
      <c r="C2922" s="741">
        <v>230030</v>
      </c>
      <c r="H2922" s="847" t="s">
        <v>7569</v>
      </c>
    </row>
    <row r="2923" spans="1:8">
      <c r="A2923" s="739" t="s">
        <v>18138</v>
      </c>
      <c r="C2923" s="739">
        <v>17000</v>
      </c>
      <c r="H2923" s="739" t="s">
        <v>18139</v>
      </c>
    </row>
    <row r="2924" spans="1:8">
      <c r="A2924" s="739" t="s">
        <v>18138</v>
      </c>
      <c r="C2924" s="739">
        <v>25318</v>
      </c>
      <c r="H2924" s="739" t="s">
        <v>18140</v>
      </c>
    </row>
    <row r="2925" spans="1:8">
      <c r="A2925" s="739" t="s">
        <v>8339</v>
      </c>
      <c r="C2925" s="739">
        <v>61326</v>
      </c>
      <c r="H2925" s="739" t="s">
        <v>8342</v>
      </c>
    </row>
    <row r="2926" spans="1:8">
      <c r="A2926" s="739" t="s">
        <v>18141</v>
      </c>
      <c r="C2926" s="739">
        <v>9500</v>
      </c>
      <c r="H2926" s="739" t="s">
        <v>8343</v>
      </c>
    </row>
    <row r="2927" spans="1:8">
      <c r="A2927" s="739" t="s">
        <v>8344</v>
      </c>
      <c r="C2927" s="739">
        <v>31260</v>
      </c>
      <c r="H2927" s="739" t="s">
        <v>18142</v>
      </c>
    </row>
    <row r="2928" spans="1:8">
      <c r="A2928" s="739" t="s">
        <v>8344</v>
      </c>
      <c r="E2928" s="741">
        <v>75</v>
      </c>
      <c r="F2928" s="741">
        <v>4133</v>
      </c>
      <c r="G2928" s="739" t="s">
        <v>6943</v>
      </c>
      <c r="H2928" s="739" t="s">
        <v>18143</v>
      </c>
    </row>
    <row r="2929" spans="1:8">
      <c r="A2929" s="739" t="s">
        <v>18144</v>
      </c>
      <c r="E2929" s="739">
        <v>405</v>
      </c>
      <c r="F2929" s="741">
        <v>3728</v>
      </c>
      <c r="G2929" s="739" t="s">
        <v>18127</v>
      </c>
      <c r="H2929" s="739" t="s">
        <v>18145</v>
      </c>
    </row>
    <row r="2930" spans="1:8">
      <c r="A2930" s="739" t="s">
        <v>18144</v>
      </c>
      <c r="E2930" s="739">
        <v>15</v>
      </c>
      <c r="F2930" s="741">
        <v>3713</v>
      </c>
      <c r="G2930" s="739" t="s">
        <v>6972</v>
      </c>
      <c r="H2930" s="739" t="s">
        <v>6244</v>
      </c>
    </row>
    <row r="2931" spans="1:8">
      <c r="A2931" s="739" t="s">
        <v>18146</v>
      </c>
      <c r="B2931" s="739">
        <v>80000</v>
      </c>
      <c r="F2931" s="741"/>
      <c r="H2931" s="739" t="s">
        <v>18147</v>
      </c>
    </row>
    <row r="2932" spans="1:8">
      <c r="A2932" s="739" t="s">
        <v>8351</v>
      </c>
      <c r="E2932" s="739">
        <v>5</v>
      </c>
      <c r="F2932" s="741">
        <v>3708</v>
      </c>
      <c r="G2932" s="739" t="s">
        <v>6943</v>
      </c>
      <c r="H2932" s="739" t="s">
        <v>18148</v>
      </c>
    </row>
    <row r="2933" spans="1:8" s="741" customFormat="1" ht="231">
      <c r="A2933" s="739" t="s">
        <v>18149</v>
      </c>
      <c r="C2933" s="741">
        <v>40030</v>
      </c>
      <c r="H2933" s="847" t="s">
        <v>8352</v>
      </c>
    </row>
    <row r="2934" spans="1:8">
      <c r="A2934" s="739" t="s">
        <v>8353</v>
      </c>
      <c r="E2934" s="741">
        <v>1205</v>
      </c>
      <c r="F2934" s="741">
        <v>2503</v>
      </c>
      <c r="G2934" s="739" t="s">
        <v>7763</v>
      </c>
      <c r="H2934" s="739" t="s">
        <v>18150</v>
      </c>
    </row>
    <row r="2935" spans="1:8">
      <c r="A2935" s="739" t="s">
        <v>8353</v>
      </c>
      <c r="E2935" s="741">
        <v>18</v>
      </c>
      <c r="F2935" s="741">
        <v>2485</v>
      </c>
      <c r="G2935" s="739" t="s">
        <v>6913</v>
      </c>
      <c r="H2935" s="739" t="s">
        <v>18151</v>
      </c>
    </row>
    <row r="2936" spans="1:8">
      <c r="A2936" s="739" t="s">
        <v>8356</v>
      </c>
      <c r="C2936" s="739">
        <v>17000</v>
      </c>
      <c r="H2936" s="739" t="s">
        <v>18152</v>
      </c>
    </row>
    <row r="2937" spans="1:8">
      <c r="A2937" s="739" t="s">
        <v>18153</v>
      </c>
      <c r="E2937" s="741">
        <v>75</v>
      </c>
      <c r="F2937" s="741">
        <v>2410</v>
      </c>
      <c r="G2937" s="739" t="s">
        <v>18115</v>
      </c>
      <c r="H2937" s="739" t="s">
        <v>18154</v>
      </c>
    </row>
    <row r="2938" spans="1:8">
      <c r="A2938" s="739" t="s">
        <v>18155</v>
      </c>
      <c r="E2938" s="741">
        <v>70</v>
      </c>
      <c r="F2938" s="741">
        <v>2340</v>
      </c>
      <c r="G2938" s="739" t="s">
        <v>18115</v>
      </c>
      <c r="H2938" s="739" t="s">
        <v>8359</v>
      </c>
    </row>
    <row r="2939" spans="1:8">
      <c r="A2939" s="739" t="s">
        <v>18156</v>
      </c>
      <c r="E2939" s="741">
        <v>35</v>
      </c>
      <c r="F2939" s="741">
        <v>2305</v>
      </c>
      <c r="G2939" s="739" t="s">
        <v>18123</v>
      </c>
      <c r="H2939" s="739" t="s">
        <v>18157</v>
      </c>
    </row>
    <row r="2940" spans="1:8">
      <c r="A2940" s="739" t="s">
        <v>4072</v>
      </c>
      <c r="C2940" s="739">
        <v>25318</v>
      </c>
      <c r="H2940" s="739" t="s">
        <v>8362</v>
      </c>
    </row>
    <row r="2941" spans="1:8">
      <c r="A2941" s="739" t="s">
        <v>4072</v>
      </c>
      <c r="C2941" s="739">
        <v>9000</v>
      </c>
      <c r="H2941" s="739" t="s">
        <v>8363</v>
      </c>
    </row>
    <row r="2942" spans="1:8">
      <c r="A2942" s="739" t="s">
        <v>8364</v>
      </c>
      <c r="C2942" s="741">
        <v>32326</v>
      </c>
      <c r="H2942" s="739" t="s">
        <v>18158</v>
      </c>
    </row>
    <row r="2943" spans="1:8">
      <c r="A2943" s="739" t="s">
        <v>18159</v>
      </c>
      <c r="C2943" s="741">
        <v>20000</v>
      </c>
      <c r="H2943" s="739" t="s">
        <v>18160</v>
      </c>
    </row>
    <row r="2944" spans="1:8">
      <c r="A2944" s="739" t="s">
        <v>4072</v>
      </c>
      <c r="C2944" s="739">
        <v>36000</v>
      </c>
      <c r="H2944" s="739" t="s">
        <v>8367</v>
      </c>
    </row>
    <row r="2945" spans="1:8">
      <c r="A2945" s="739" t="s">
        <v>18156</v>
      </c>
      <c r="C2945" s="739">
        <v>9821</v>
      </c>
      <c r="H2945" s="739" t="s">
        <v>18161</v>
      </c>
    </row>
    <row r="2946" spans="1:8">
      <c r="A2946" s="739" t="s">
        <v>4072</v>
      </c>
      <c r="C2946" s="739">
        <v>20696</v>
      </c>
      <c r="H2946" s="739" t="s">
        <v>18162</v>
      </c>
    </row>
    <row r="2947" spans="1:8">
      <c r="A2947" s="739" t="s">
        <v>18163</v>
      </c>
      <c r="C2947" s="739">
        <v>20000</v>
      </c>
      <c r="E2947" s="741"/>
      <c r="F2947" s="741"/>
      <c r="H2947" s="846" t="s">
        <v>8371</v>
      </c>
    </row>
    <row r="2948" spans="1:8">
      <c r="A2948" s="739" t="s">
        <v>4790</v>
      </c>
      <c r="C2948" s="739">
        <v>25318</v>
      </c>
      <c r="E2948" s="741"/>
      <c r="F2948" s="741"/>
      <c r="H2948" s="739" t="s">
        <v>18164</v>
      </c>
    </row>
    <row r="2949" spans="1:8">
      <c r="A2949" s="739" t="s">
        <v>8373</v>
      </c>
      <c r="C2949" s="739">
        <v>1900</v>
      </c>
      <c r="E2949" s="741"/>
      <c r="F2949" s="741"/>
      <c r="H2949" s="739" t="s">
        <v>8372</v>
      </c>
    </row>
    <row r="2950" spans="1:8">
      <c r="A2950" s="739" t="s">
        <v>4791</v>
      </c>
      <c r="E2950" s="741">
        <v>210</v>
      </c>
      <c r="F2950" s="741">
        <v>2095</v>
      </c>
      <c r="G2950" s="741" t="s">
        <v>6937</v>
      </c>
      <c r="H2950" s="739" t="s">
        <v>18165</v>
      </c>
    </row>
    <row r="2951" spans="1:8">
      <c r="A2951" s="739" t="s">
        <v>4791</v>
      </c>
      <c r="E2951" s="741">
        <v>1205</v>
      </c>
      <c r="F2951" s="741">
        <v>890</v>
      </c>
      <c r="G2951" s="739" t="s">
        <v>7763</v>
      </c>
      <c r="H2951" s="739" t="s">
        <v>18166</v>
      </c>
    </row>
    <row r="2952" spans="1:8">
      <c r="A2952" s="739" t="s">
        <v>18159</v>
      </c>
      <c r="D2952" s="739">
        <v>5000</v>
      </c>
      <c r="E2952" s="741"/>
      <c r="F2952" s="741"/>
      <c r="H2952" s="739" t="s">
        <v>463</v>
      </c>
    </row>
    <row r="2953" spans="1:8">
      <c r="A2953" s="739" t="s">
        <v>4789</v>
      </c>
      <c r="E2953" s="739">
        <v>500</v>
      </c>
      <c r="F2953" s="741">
        <v>5390</v>
      </c>
      <c r="G2953" s="739" t="s">
        <v>6943</v>
      </c>
      <c r="H2953" s="739" t="s">
        <v>8377</v>
      </c>
    </row>
    <row r="2954" spans="1:8">
      <c r="A2954" s="739" t="s">
        <v>18159</v>
      </c>
      <c r="C2954" s="739">
        <v>400</v>
      </c>
      <c r="H2954" s="739" t="s">
        <v>18167</v>
      </c>
    </row>
    <row r="2955" spans="1:8">
      <c r="A2955" s="739" t="s">
        <v>4789</v>
      </c>
      <c r="C2955" s="739">
        <v>600</v>
      </c>
      <c r="H2955" s="739" t="s">
        <v>18168</v>
      </c>
    </row>
    <row r="2956" spans="1:8">
      <c r="A2956" s="739" t="s">
        <v>8380</v>
      </c>
      <c r="C2956" s="741">
        <v>61326</v>
      </c>
      <c r="H2956" s="739" t="s">
        <v>18169</v>
      </c>
    </row>
    <row r="2957" spans="1:8">
      <c r="A2957" s="739" t="s">
        <v>8380</v>
      </c>
      <c r="E2957" s="739">
        <v>150</v>
      </c>
      <c r="F2957" s="741">
        <v>5240</v>
      </c>
      <c r="G2957" s="739" t="s">
        <v>18170</v>
      </c>
      <c r="H2957" s="739" t="s">
        <v>8382</v>
      </c>
    </row>
    <row r="2958" spans="1:8">
      <c r="A2958" s="739" t="s">
        <v>8383</v>
      </c>
      <c r="E2958" s="741">
        <v>1480</v>
      </c>
      <c r="F2958" s="741">
        <v>3760</v>
      </c>
      <c r="H2958" s="739" t="s">
        <v>8384</v>
      </c>
    </row>
    <row r="2959" spans="1:8">
      <c r="A2959" s="739" t="s">
        <v>8383</v>
      </c>
      <c r="E2959" s="739">
        <v>35</v>
      </c>
      <c r="F2959" s="741">
        <v>3725</v>
      </c>
      <c r="G2959" s="739" t="s">
        <v>18123</v>
      </c>
      <c r="H2959" s="739" t="s">
        <v>18171</v>
      </c>
    </row>
    <row r="2960" spans="1:8">
      <c r="A2960" s="739" t="s">
        <v>18172</v>
      </c>
      <c r="E2960" s="741">
        <v>214</v>
      </c>
      <c r="F2960" s="741">
        <v>3511</v>
      </c>
      <c r="G2960" s="739" t="s">
        <v>6943</v>
      </c>
      <c r="H2960" s="739" t="s">
        <v>18173</v>
      </c>
    </row>
    <row r="2961" spans="1:8">
      <c r="A2961" s="739" t="s">
        <v>8387</v>
      </c>
      <c r="E2961" s="739">
        <v>82</v>
      </c>
      <c r="F2961" s="741">
        <v>3429</v>
      </c>
      <c r="G2961" s="739" t="s">
        <v>6943</v>
      </c>
      <c r="H2961" s="739" t="s">
        <v>18174</v>
      </c>
    </row>
    <row r="2962" spans="1:8">
      <c r="A2962" s="739" t="s">
        <v>18175</v>
      </c>
      <c r="E2962" s="739">
        <v>164</v>
      </c>
      <c r="F2962" s="741">
        <v>3265</v>
      </c>
      <c r="G2962" s="739" t="s">
        <v>18116</v>
      </c>
      <c r="H2962" s="739" t="s">
        <v>7126</v>
      </c>
    </row>
    <row r="2963" spans="1:8">
      <c r="A2963" s="739" t="s">
        <v>8389</v>
      </c>
      <c r="E2963" s="741">
        <v>18</v>
      </c>
      <c r="F2963" s="741">
        <v>3247</v>
      </c>
      <c r="G2963" s="739" t="s">
        <v>18116</v>
      </c>
      <c r="H2963" s="739" t="s">
        <v>18176</v>
      </c>
    </row>
    <row r="2964" spans="1:8">
      <c r="A2964" s="739" t="s">
        <v>8389</v>
      </c>
      <c r="E2964" s="739">
        <v>100</v>
      </c>
      <c r="F2964" s="741">
        <v>3147</v>
      </c>
      <c r="G2964" s="739" t="s">
        <v>7776</v>
      </c>
      <c r="H2964" s="739" t="s">
        <v>6175</v>
      </c>
    </row>
    <row r="2965" spans="1:8">
      <c r="A2965" s="739" t="s">
        <v>4792</v>
      </c>
      <c r="E2965" s="741">
        <v>185</v>
      </c>
      <c r="F2965" s="741">
        <v>2962</v>
      </c>
      <c r="G2965" s="739" t="s">
        <v>18095</v>
      </c>
      <c r="H2965" s="739" t="s">
        <v>18177</v>
      </c>
    </row>
    <row r="2966" spans="1:8">
      <c r="A2966" s="739" t="s">
        <v>4792</v>
      </c>
      <c r="E2966" s="741">
        <v>185</v>
      </c>
      <c r="F2966" s="741">
        <v>2777</v>
      </c>
      <c r="G2966" s="739" t="s">
        <v>18115</v>
      </c>
      <c r="H2966" s="739" t="s">
        <v>8391</v>
      </c>
    </row>
    <row r="2967" spans="1:8">
      <c r="A2967" s="739" t="s">
        <v>4192</v>
      </c>
      <c r="E2967" s="741">
        <v>1205</v>
      </c>
      <c r="F2967" s="741">
        <v>1572</v>
      </c>
      <c r="G2967" s="739" t="s">
        <v>18103</v>
      </c>
      <c r="H2967" s="739" t="s">
        <v>8376</v>
      </c>
    </row>
    <row r="2968" spans="1:8">
      <c r="A2968" s="739" t="s">
        <v>4651</v>
      </c>
      <c r="E2968" s="739">
        <v>70</v>
      </c>
      <c r="F2968" s="741">
        <v>1502</v>
      </c>
      <c r="G2968" s="739" t="s">
        <v>18123</v>
      </c>
      <c r="H2968" s="739" t="s">
        <v>18178</v>
      </c>
    </row>
    <row r="2969" spans="1:8">
      <c r="A2969" s="739" t="s">
        <v>4793</v>
      </c>
      <c r="E2969" s="741">
        <v>225</v>
      </c>
      <c r="F2969" s="741">
        <v>1277</v>
      </c>
      <c r="G2969" s="739" t="s">
        <v>18115</v>
      </c>
      <c r="H2969" s="739" t="s">
        <v>18179</v>
      </c>
    </row>
    <row r="2970" spans="1:8">
      <c r="A2970" s="739" t="s">
        <v>18180</v>
      </c>
      <c r="E2970" s="741">
        <v>235</v>
      </c>
      <c r="F2970" s="741">
        <v>1042</v>
      </c>
      <c r="G2970" s="739" t="s">
        <v>7776</v>
      </c>
      <c r="H2970" s="739" t="s">
        <v>8396</v>
      </c>
    </row>
    <row r="2971" spans="1:8">
      <c r="A2971" s="739" t="s">
        <v>8397</v>
      </c>
      <c r="E2971" s="741">
        <v>235</v>
      </c>
      <c r="F2971" s="741">
        <v>807</v>
      </c>
      <c r="G2971" s="739" t="s">
        <v>7776</v>
      </c>
      <c r="H2971" s="739" t="s">
        <v>8398</v>
      </c>
    </row>
    <row r="2972" spans="1:8">
      <c r="A2972" s="739" t="s">
        <v>18181</v>
      </c>
      <c r="E2972" s="741">
        <v>320</v>
      </c>
      <c r="F2972" s="741">
        <v>487</v>
      </c>
      <c r="G2972" s="739" t="s">
        <v>7776</v>
      </c>
      <c r="H2972" s="739" t="s">
        <v>18182</v>
      </c>
    </row>
    <row r="2973" spans="1:8">
      <c r="A2973" s="739" t="s">
        <v>18181</v>
      </c>
      <c r="E2973" s="739">
        <v>2</v>
      </c>
      <c r="F2973" s="741">
        <v>485</v>
      </c>
      <c r="G2973" s="739" t="s">
        <v>6943</v>
      </c>
      <c r="H2973" s="739" t="s">
        <v>18183</v>
      </c>
    </row>
    <row r="2974" spans="1:8">
      <c r="A2974" s="739" t="s">
        <v>8397</v>
      </c>
      <c r="C2974" s="739">
        <v>10158</v>
      </c>
      <c r="H2974" s="739" t="s">
        <v>18184</v>
      </c>
    </row>
    <row r="2975" spans="1:8">
      <c r="A2975" s="739" t="s">
        <v>18185</v>
      </c>
      <c r="C2975" s="739">
        <v>14567</v>
      </c>
      <c r="H2975" s="739" t="s">
        <v>18186</v>
      </c>
    </row>
    <row r="2976" spans="1:8">
      <c r="A2976" s="739" t="s">
        <v>8401</v>
      </c>
      <c r="D2976" s="739">
        <v>5000</v>
      </c>
      <c r="E2976" s="741"/>
      <c r="F2976" s="741">
        <v>5485</v>
      </c>
      <c r="H2976" s="739" t="s">
        <v>463</v>
      </c>
    </row>
    <row r="2977" spans="1:8">
      <c r="A2977" s="739" t="s">
        <v>8403</v>
      </c>
      <c r="E2977" s="741">
        <v>225</v>
      </c>
      <c r="F2977" s="741">
        <v>5260</v>
      </c>
      <c r="G2977" s="739" t="s">
        <v>7776</v>
      </c>
      <c r="H2977" s="739" t="s">
        <v>18179</v>
      </c>
    </row>
    <row r="2978" spans="1:8">
      <c r="A2978" s="739" t="s">
        <v>8403</v>
      </c>
      <c r="E2978" s="741">
        <v>235</v>
      </c>
      <c r="F2978" s="741">
        <v>5025</v>
      </c>
      <c r="G2978" s="739" t="s">
        <v>7776</v>
      </c>
      <c r="H2978" s="739" t="s">
        <v>8396</v>
      </c>
    </row>
    <row r="2979" spans="1:8" ht="33">
      <c r="A2979" s="739" t="s">
        <v>18187</v>
      </c>
      <c r="C2979" s="739">
        <v>30000</v>
      </c>
      <c r="E2979" s="741"/>
      <c r="F2979" s="741"/>
      <c r="H2979" s="836" t="s">
        <v>18188</v>
      </c>
    </row>
    <row r="2980" spans="1:8">
      <c r="A2980" s="739" t="s">
        <v>4794</v>
      </c>
      <c r="E2980" s="741">
        <v>100</v>
      </c>
      <c r="F2980" s="741">
        <v>4925</v>
      </c>
      <c r="G2980" s="739" t="s">
        <v>18077</v>
      </c>
      <c r="H2980" s="739" t="s">
        <v>18189</v>
      </c>
    </row>
    <row r="2981" spans="1:8">
      <c r="A2981" s="739" t="s">
        <v>4794</v>
      </c>
      <c r="E2981" s="741">
        <v>1205</v>
      </c>
      <c r="F2981" s="741">
        <v>3720</v>
      </c>
      <c r="G2981" s="739" t="s">
        <v>7763</v>
      </c>
      <c r="H2981" s="739" t="s">
        <v>8407</v>
      </c>
    </row>
    <row r="2982" spans="1:8">
      <c r="A2982" s="739" t="s">
        <v>8408</v>
      </c>
      <c r="E2982" s="739">
        <v>52</v>
      </c>
      <c r="F2982" s="741">
        <v>3668</v>
      </c>
      <c r="G2982" s="739" t="s">
        <v>6943</v>
      </c>
      <c r="H2982" s="739" t="s">
        <v>18190</v>
      </c>
    </row>
    <row r="2983" spans="1:8">
      <c r="A2983" s="739" t="s">
        <v>18191</v>
      </c>
      <c r="E2983" s="741">
        <v>85</v>
      </c>
      <c r="F2983" s="741">
        <v>3583</v>
      </c>
      <c r="G2983" s="739" t="s">
        <v>18115</v>
      </c>
      <c r="H2983" s="739" t="s">
        <v>18192</v>
      </c>
    </row>
    <row r="2984" spans="1:8">
      <c r="A2984" s="739" t="s">
        <v>18193</v>
      </c>
      <c r="E2984" s="741">
        <v>85</v>
      </c>
      <c r="F2984" s="741">
        <v>3498</v>
      </c>
      <c r="G2984" s="739" t="s">
        <v>7776</v>
      </c>
      <c r="H2984" s="739" t="s">
        <v>18194</v>
      </c>
    </row>
    <row r="2985" spans="1:8">
      <c r="A2985" s="739" t="s">
        <v>4795</v>
      </c>
      <c r="E2985" s="741">
        <v>80</v>
      </c>
      <c r="F2985" s="741">
        <v>3418</v>
      </c>
      <c r="G2985" s="739" t="s">
        <v>18170</v>
      </c>
      <c r="H2985" s="739" t="s">
        <v>18128</v>
      </c>
    </row>
    <row r="2986" spans="1:8">
      <c r="A2986" s="739" t="s">
        <v>8413</v>
      </c>
      <c r="C2986" s="739">
        <v>17000</v>
      </c>
      <c r="H2986" s="739" t="s">
        <v>18195</v>
      </c>
    </row>
    <row r="2987" spans="1:8">
      <c r="A2987" s="739" t="s">
        <v>8415</v>
      </c>
      <c r="C2987" s="846">
        <v>20000</v>
      </c>
      <c r="H2987" s="739" t="s">
        <v>18196</v>
      </c>
    </row>
    <row r="2988" spans="1:8">
      <c r="A2988" s="739" t="s">
        <v>8415</v>
      </c>
      <c r="C2988" s="739">
        <v>27218</v>
      </c>
      <c r="H2988" s="739" t="s">
        <v>8417</v>
      </c>
    </row>
    <row r="2989" spans="1:8">
      <c r="A2989" s="739" t="s">
        <v>18197</v>
      </c>
      <c r="C2989" s="739">
        <v>30800</v>
      </c>
      <c r="H2989" s="739" t="s">
        <v>18198</v>
      </c>
    </row>
    <row r="2990" spans="1:8">
      <c r="A2990" s="739" t="s">
        <v>18197</v>
      </c>
      <c r="E2990" s="741">
        <v>178</v>
      </c>
      <c r="F2990" s="741">
        <v>3240</v>
      </c>
      <c r="G2990" s="741" t="s">
        <v>18199</v>
      </c>
      <c r="H2990" s="739" t="s">
        <v>18200</v>
      </c>
    </row>
    <row r="2991" spans="1:8">
      <c r="A2991" s="739" t="s">
        <v>8420</v>
      </c>
      <c r="E2991" s="741">
        <v>80</v>
      </c>
      <c r="F2991" s="741">
        <v>3160</v>
      </c>
      <c r="G2991" s="739" t="s">
        <v>7776</v>
      </c>
      <c r="H2991" s="739" t="s">
        <v>8421</v>
      </c>
    </row>
    <row r="2992" spans="1:8">
      <c r="A2992" s="739" t="s">
        <v>8420</v>
      </c>
      <c r="E2992" s="741">
        <v>80</v>
      </c>
      <c r="F2992" s="741">
        <v>3080</v>
      </c>
      <c r="G2992" s="739" t="s">
        <v>18115</v>
      </c>
      <c r="H2992" s="739" t="s">
        <v>8421</v>
      </c>
    </row>
    <row r="2993" spans="1:8">
      <c r="A2993" s="739" t="s">
        <v>4796</v>
      </c>
      <c r="E2993" s="741">
        <v>1000</v>
      </c>
      <c r="F2993" s="741">
        <v>2080</v>
      </c>
      <c r="G2993" s="739" t="s">
        <v>7776</v>
      </c>
      <c r="H2993" s="739" t="s">
        <v>18201</v>
      </c>
    </row>
    <row r="2994" spans="1:8">
      <c r="A2994" s="739" t="s">
        <v>18202</v>
      </c>
      <c r="C2994" s="846">
        <v>11326</v>
      </c>
      <c r="H2994" s="739" t="s">
        <v>8425</v>
      </c>
    </row>
    <row r="2995" spans="1:8">
      <c r="A2995" s="739" t="s">
        <v>8410</v>
      </c>
      <c r="E2995" s="741">
        <v>115</v>
      </c>
      <c r="F2995" s="741">
        <v>1965</v>
      </c>
      <c r="G2995" s="739" t="s">
        <v>18115</v>
      </c>
      <c r="H2995" s="739" t="s">
        <v>8426</v>
      </c>
    </row>
    <row r="2996" spans="1:8">
      <c r="A2996" s="739" t="s">
        <v>18191</v>
      </c>
      <c r="E2996" s="741">
        <v>150</v>
      </c>
      <c r="F2996" s="741">
        <v>1815</v>
      </c>
      <c r="G2996" s="739" t="s">
        <v>7776</v>
      </c>
      <c r="H2996" s="739" t="s">
        <v>18203</v>
      </c>
    </row>
    <row r="2997" spans="1:8">
      <c r="A2997" s="739" t="s">
        <v>18204</v>
      </c>
      <c r="D2997" s="739">
        <v>4320</v>
      </c>
      <c r="E2997" s="741"/>
      <c r="F2997" s="741"/>
      <c r="H2997" s="739" t="s">
        <v>8427</v>
      </c>
    </row>
    <row r="2998" spans="1:8">
      <c r="A2998" s="739" t="s">
        <v>4798</v>
      </c>
      <c r="C2998" s="846">
        <v>20000</v>
      </c>
      <c r="D2998" s="739" t="s">
        <v>8429</v>
      </c>
      <c r="H2998" s="739" t="s">
        <v>18205</v>
      </c>
    </row>
    <row r="2999" spans="1:8">
      <c r="A2999" s="739" t="s">
        <v>18206</v>
      </c>
      <c r="C2999" s="739">
        <v>40580</v>
      </c>
      <c r="H2999" s="739" t="s">
        <v>8431</v>
      </c>
    </row>
    <row r="3000" spans="1:8">
      <c r="A3000" s="739" t="s">
        <v>4799</v>
      </c>
      <c r="E3000" s="741">
        <v>299</v>
      </c>
      <c r="F3000" s="741">
        <v>5836</v>
      </c>
      <c r="G3000" s="739" t="s">
        <v>18077</v>
      </c>
      <c r="H3000" s="739" t="s">
        <v>18189</v>
      </c>
    </row>
    <row r="3001" spans="1:8">
      <c r="A3001" s="739" t="s">
        <v>4800</v>
      </c>
      <c r="E3001" s="741">
        <v>290</v>
      </c>
      <c r="F3001" s="741">
        <v>5546</v>
      </c>
      <c r="G3001" s="739" t="s">
        <v>18115</v>
      </c>
      <c r="H3001" s="739" t="s">
        <v>8432</v>
      </c>
    </row>
    <row r="3002" spans="1:8">
      <c r="A3002" s="739" t="s">
        <v>4800</v>
      </c>
      <c r="E3002" s="741">
        <v>335</v>
      </c>
      <c r="F3002" s="741">
        <v>5211</v>
      </c>
      <c r="G3002" s="739" t="s">
        <v>7776</v>
      </c>
      <c r="H3002" s="739" t="s">
        <v>18207</v>
      </c>
    </row>
    <row r="3003" spans="1:8">
      <c r="A3003" s="739" t="s">
        <v>4801</v>
      </c>
      <c r="E3003" s="741">
        <v>125</v>
      </c>
      <c r="F3003" s="741">
        <v>5086</v>
      </c>
      <c r="G3003" s="739" t="s">
        <v>7776</v>
      </c>
      <c r="H3003" s="739" t="s">
        <v>8434</v>
      </c>
    </row>
    <row r="3004" spans="1:8">
      <c r="A3004" s="739" t="s">
        <v>18208</v>
      </c>
      <c r="E3004" s="741">
        <v>120</v>
      </c>
      <c r="F3004" s="741">
        <v>4966</v>
      </c>
      <c r="G3004" s="739" t="s">
        <v>7776</v>
      </c>
      <c r="H3004" s="739" t="s">
        <v>18209</v>
      </c>
    </row>
    <row r="3005" spans="1:8">
      <c r="A3005" s="739" t="s">
        <v>8435</v>
      </c>
      <c r="E3005" s="741">
        <v>18</v>
      </c>
      <c r="F3005" s="741">
        <v>4948</v>
      </c>
      <c r="G3005" s="739" t="s">
        <v>6913</v>
      </c>
      <c r="H3005" s="739" t="s">
        <v>18210</v>
      </c>
    </row>
    <row r="3006" spans="1:8">
      <c r="A3006" s="739" t="s">
        <v>18211</v>
      </c>
      <c r="E3006" s="739">
        <v>90</v>
      </c>
      <c r="F3006" s="741">
        <v>4858</v>
      </c>
      <c r="G3006" s="739" t="s">
        <v>18115</v>
      </c>
      <c r="H3006" s="739" t="s">
        <v>6175</v>
      </c>
    </row>
    <row r="3007" spans="1:8">
      <c r="A3007" s="739" t="s">
        <v>4802</v>
      </c>
      <c r="E3007" s="741">
        <v>1205</v>
      </c>
      <c r="F3007" s="741">
        <v>3653</v>
      </c>
      <c r="G3007" s="739" t="s">
        <v>18212</v>
      </c>
      <c r="H3007" s="739" t="s">
        <v>18213</v>
      </c>
    </row>
    <row r="3008" spans="1:8">
      <c r="A3008" s="739" t="s">
        <v>18214</v>
      </c>
      <c r="C3008" s="846">
        <v>10000</v>
      </c>
      <c r="H3008" s="739" t="s">
        <v>18215</v>
      </c>
    </row>
    <row r="3009" spans="1:8">
      <c r="A3009" s="739" t="s">
        <v>18216</v>
      </c>
      <c r="D3009" s="739">
        <v>29400</v>
      </c>
      <c r="E3009" s="741"/>
      <c r="F3009" s="741"/>
      <c r="H3009" s="739" t="s">
        <v>8441</v>
      </c>
    </row>
    <row r="3010" spans="1:8">
      <c r="A3010" s="739" t="s">
        <v>18216</v>
      </c>
      <c r="E3010" s="741">
        <v>600</v>
      </c>
      <c r="F3010" s="741">
        <v>3053</v>
      </c>
      <c r="G3010" s="739" t="s">
        <v>7776</v>
      </c>
      <c r="H3010" s="739" t="s">
        <v>18217</v>
      </c>
    </row>
    <row r="3011" spans="1:8">
      <c r="A3011" s="739" t="s">
        <v>18218</v>
      </c>
      <c r="E3011" s="741">
        <v>100</v>
      </c>
      <c r="F3011" s="741">
        <v>2953</v>
      </c>
      <c r="G3011" s="739" t="s">
        <v>18115</v>
      </c>
      <c r="H3011" s="739" t="s">
        <v>8442</v>
      </c>
    </row>
    <row r="3012" spans="1:8">
      <c r="A3012" s="739" t="s">
        <v>4804</v>
      </c>
      <c r="E3012" s="739">
        <v>100</v>
      </c>
      <c r="F3012" s="741">
        <v>2853</v>
      </c>
      <c r="G3012" s="739" t="s">
        <v>18115</v>
      </c>
      <c r="H3012" s="739" t="s">
        <v>18219</v>
      </c>
    </row>
    <row r="3013" spans="1:8">
      <c r="A3013" s="739" t="s">
        <v>4805</v>
      </c>
      <c r="E3013" s="741">
        <v>800</v>
      </c>
      <c r="F3013" s="741">
        <v>2053</v>
      </c>
      <c r="G3013" s="739" t="s">
        <v>7776</v>
      </c>
      <c r="H3013" s="739" t="s">
        <v>8445</v>
      </c>
    </row>
    <row r="3014" spans="1:8">
      <c r="A3014" s="739" t="s">
        <v>4689</v>
      </c>
      <c r="C3014" s="739">
        <v>27218</v>
      </c>
      <c r="H3014" s="739" t="s">
        <v>18220</v>
      </c>
    </row>
    <row r="3015" spans="1:8">
      <c r="A3015" s="739" t="s">
        <v>4689</v>
      </c>
      <c r="C3015" s="739">
        <v>30250</v>
      </c>
      <c r="D3015" s="846" t="s">
        <v>18221</v>
      </c>
      <c r="H3015" s="739" t="s">
        <v>18222</v>
      </c>
    </row>
    <row r="3016" spans="1:8">
      <c r="A3016" s="739" t="s">
        <v>4689</v>
      </c>
      <c r="D3016" s="846" t="s">
        <v>8450</v>
      </c>
      <c r="H3016" s="739" t="s">
        <v>8451</v>
      </c>
    </row>
    <row r="3017" spans="1:8">
      <c r="A3017" s="739" t="s">
        <v>4689</v>
      </c>
      <c r="C3017" s="739">
        <v>7303</v>
      </c>
      <c r="E3017" s="739">
        <v>29400</v>
      </c>
      <c r="H3017" s="739" t="s">
        <v>18223</v>
      </c>
    </row>
    <row r="3018" spans="1:8">
      <c r="A3018" s="739" t="s">
        <v>18224</v>
      </c>
      <c r="E3018" s="739">
        <v>100</v>
      </c>
      <c r="F3018" s="741">
        <v>1953</v>
      </c>
      <c r="G3018" s="739" t="s">
        <v>18123</v>
      </c>
      <c r="H3018" s="739" t="s">
        <v>18225</v>
      </c>
    </row>
    <row r="3019" spans="1:8">
      <c r="A3019" s="739" t="s">
        <v>18226</v>
      </c>
      <c r="E3019" s="741">
        <v>84</v>
      </c>
      <c r="F3019" s="741">
        <v>1869</v>
      </c>
      <c r="G3019" s="739" t="s">
        <v>6913</v>
      </c>
      <c r="H3019" s="739" t="s">
        <v>8455</v>
      </c>
    </row>
    <row r="3020" spans="1:8">
      <c r="A3020" s="739" t="s">
        <v>4807</v>
      </c>
      <c r="C3020" s="739">
        <v>1196</v>
      </c>
      <c r="H3020" s="739" t="s">
        <v>18227</v>
      </c>
    </row>
    <row r="3021" spans="1:8">
      <c r="A3021" s="739" t="s">
        <v>4808</v>
      </c>
      <c r="D3021" s="739">
        <v>3150</v>
      </c>
      <c r="F3021" s="739">
        <v>5019</v>
      </c>
      <c r="H3021" s="739" t="s">
        <v>8459</v>
      </c>
    </row>
    <row r="3022" spans="1:8">
      <c r="A3022" s="739" t="s">
        <v>4268</v>
      </c>
      <c r="C3022" s="739">
        <v>69000</v>
      </c>
      <c r="H3022" s="739" t="s">
        <v>18228</v>
      </c>
    </row>
    <row r="3023" spans="1:8">
      <c r="A3023" s="739" t="s">
        <v>18229</v>
      </c>
      <c r="C3023" s="739">
        <v>3658</v>
      </c>
      <c r="H3023" s="739" t="s">
        <v>18230</v>
      </c>
    </row>
    <row r="3024" spans="1:8">
      <c r="A3024" s="739" t="s">
        <v>18231</v>
      </c>
      <c r="E3024" s="739">
        <v>35</v>
      </c>
      <c r="F3024" s="741">
        <v>4984</v>
      </c>
      <c r="G3024" s="739" t="s">
        <v>18051</v>
      </c>
      <c r="H3024" s="739" t="s">
        <v>8464</v>
      </c>
    </row>
    <row r="3025" spans="1:8">
      <c r="A3025" s="739" t="s">
        <v>18232</v>
      </c>
      <c r="E3025" s="741">
        <v>1205</v>
      </c>
      <c r="F3025" s="741">
        <v>3779</v>
      </c>
      <c r="G3025" s="739" t="s">
        <v>18103</v>
      </c>
      <c r="H3025" s="739" t="s">
        <v>8466</v>
      </c>
    </row>
    <row r="3026" spans="1:8">
      <c r="A3026" s="739" t="s">
        <v>8467</v>
      </c>
      <c r="E3026" s="741">
        <v>70</v>
      </c>
      <c r="F3026" s="741">
        <v>3709</v>
      </c>
      <c r="G3026" s="739" t="s">
        <v>18115</v>
      </c>
      <c r="H3026" s="739" t="s">
        <v>8468</v>
      </c>
    </row>
    <row r="3027" spans="1:8">
      <c r="A3027" s="739" t="s">
        <v>5451</v>
      </c>
      <c r="E3027" s="739">
        <v>70</v>
      </c>
      <c r="F3027" s="741">
        <v>3639</v>
      </c>
      <c r="G3027" s="739" t="s">
        <v>18233</v>
      </c>
      <c r="H3027" s="739" t="s">
        <v>18234</v>
      </c>
    </row>
    <row r="3028" spans="1:8">
      <c r="A3028" s="739" t="s">
        <v>4652</v>
      </c>
      <c r="C3028" s="739">
        <v>17000</v>
      </c>
      <c r="H3028" s="739" t="s">
        <v>18235</v>
      </c>
    </row>
    <row r="3029" spans="1:8">
      <c r="A3029" s="739" t="s">
        <v>18236</v>
      </c>
      <c r="C3029" s="739">
        <v>27218</v>
      </c>
      <c r="H3029" s="739" t="s">
        <v>8473</v>
      </c>
    </row>
    <row r="3030" spans="1:8">
      <c r="A3030" s="739" t="s">
        <v>18237</v>
      </c>
      <c r="C3030" s="739">
        <v>50000</v>
      </c>
      <c r="D3030" s="846"/>
      <c r="H3030" s="739" t="s">
        <v>18238</v>
      </c>
    </row>
    <row r="3031" spans="1:8">
      <c r="A3031" s="739" t="s">
        <v>18236</v>
      </c>
      <c r="D3031" s="846" t="s">
        <v>18239</v>
      </c>
      <c r="H3031" s="739" t="s">
        <v>18240</v>
      </c>
    </row>
    <row r="3032" spans="1:8">
      <c r="A3032" s="739" t="s">
        <v>18236</v>
      </c>
      <c r="C3032" s="739">
        <v>41454</v>
      </c>
      <c r="D3032" s="846" t="s">
        <v>8477</v>
      </c>
      <c r="E3032" s="846"/>
      <c r="H3032" s="739" t="s">
        <v>8478</v>
      </c>
    </row>
    <row r="3033" spans="1:8">
      <c r="A3033" s="739" t="s">
        <v>18236</v>
      </c>
      <c r="D3033" s="846" t="s">
        <v>18241</v>
      </c>
      <c r="E3033" s="846" t="s">
        <v>18242</v>
      </c>
      <c r="H3033" s="739" t="s">
        <v>8481</v>
      </c>
    </row>
    <row r="3034" spans="1:8">
      <c r="A3034" s="739" t="s">
        <v>18237</v>
      </c>
      <c r="C3034" s="739">
        <v>32275</v>
      </c>
      <c r="H3034" s="739" t="s">
        <v>18243</v>
      </c>
    </row>
    <row r="3035" spans="1:8">
      <c r="A3035" s="739" t="s">
        <v>18236</v>
      </c>
      <c r="C3035" s="739">
        <v>2167</v>
      </c>
      <c r="H3035" s="739" t="s">
        <v>8483</v>
      </c>
    </row>
    <row r="3036" spans="1:8">
      <c r="A3036" s="739" t="s">
        <v>8472</v>
      </c>
      <c r="E3036" s="741">
        <v>32</v>
      </c>
      <c r="F3036" s="741">
        <v>3607</v>
      </c>
      <c r="G3036" s="739" t="s">
        <v>18116</v>
      </c>
      <c r="H3036" s="739" t="s">
        <v>8484</v>
      </c>
    </row>
    <row r="3037" spans="1:8">
      <c r="A3037" s="739" t="s">
        <v>18237</v>
      </c>
      <c r="E3037" s="741">
        <v>199</v>
      </c>
      <c r="F3037" s="741">
        <v>3408</v>
      </c>
      <c r="G3037" s="741" t="s">
        <v>6937</v>
      </c>
      <c r="H3037" s="739" t="s">
        <v>18244</v>
      </c>
    </row>
    <row r="3038" spans="1:8">
      <c r="A3038" s="739" t="s">
        <v>18245</v>
      </c>
      <c r="E3038" s="741">
        <v>200</v>
      </c>
      <c r="F3038" s="741">
        <v>3208</v>
      </c>
      <c r="G3038" s="739" t="s">
        <v>7776</v>
      </c>
      <c r="H3038" s="739" t="s">
        <v>8487</v>
      </c>
    </row>
    <row r="3039" spans="1:8" ht="49.5">
      <c r="A3039" s="739" t="s">
        <v>18246</v>
      </c>
      <c r="C3039" s="739">
        <v>20000</v>
      </c>
      <c r="E3039" s="741"/>
      <c r="F3039" s="741"/>
      <c r="H3039" s="844" t="s">
        <v>8489</v>
      </c>
    </row>
    <row r="3040" spans="1:8">
      <c r="A3040" s="739" t="s">
        <v>18246</v>
      </c>
      <c r="C3040" s="739">
        <v>20000</v>
      </c>
      <c r="D3040" s="846"/>
      <c r="E3040" s="846"/>
      <c r="H3040" s="739" t="s">
        <v>8490</v>
      </c>
    </row>
    <row r="3041" spans="1:8">
      <c r="A3041" s="739" t="s">
        <v>8488</v>
      </c>
      <c r="C3041" s="739">
        <v>61454</v>
      </c>
      <c r="D3041" s="846"/>
      <c r="E3041" s="846"/>
      <c r="H3041" s="739" t="s">
        <v>18247</v>
      </c>
    </row>
    <row r="3042" spans="1:8">
      <c r="A3042" s="739" t="s">
        <v>18246</v>
      </c>
      <c r="C3042" s="739">
        <v>33000</v>
      </c>
      <c r="D3042" s="846"/>
      <c r="H3042" s="739" t="s">
        <v>18248</v>
      </c>
    </row>
    <row r="3043" spans="1:8" ht="132">
      <c r="A3043" s="739" t="s">
        <v>18246</v>
      </c>
      <c r="C3043" s="739">
        <v>175830</v>
      </c>
      <c r="H3043" s="836" t="s">
        <v>18249</v>
      </c>
    </row>
    <row r="3044" spans="1:8" ht="231">
      <c r="A3044" s="739" t="s">
        <v>8494</v>
      </c>
      <c r="H3044" s="836" t="s">
        <v>8495</v>
      </c>
    </row>
    <row r="3045" spans="1:8">
      <c r="A3045" s="739" t="s">
        <v>18250</v>
      </c>
      <c r="E3045" s="741">
        <v>1205</v>
      </c>
      <c r="F3045" s="741">
        <v>2003</v>
      </c>
      <c r="G3045" s="739" t="s">
        <v>18212</v>
      </c>
      <c r="H3045" s="739" t="s">
        <v>18251</v>
      </c>
    </row>
    <row r="3046" spans="1:8">
      <c r="A3046" s="739" t="s">
        <v>8497</v>
      </c>
      <c r="E3046" s="741">
        <v>18</v>
      </c>
      <c r="F3046" s="741">
        <v>1985</v>
      </c>
      <c r="G3046" s="739" t="s">
        <v>6913</v>
      </c>
      <c r="H3046" s="739" t="s">
        <v>18252</v>
      </c>
    </row>
    <row r="3047" spans="1:8">
      <c r="A3047" s="739" t="s">
        <v>8497</v>
      </c>
      <c r="C3047" s="739">
        <v>17000</v>
      </c>
      <c r="H3047" s="739" t="s">
        <v>18253</v>
      </c>
    </row>
    <row r="3048" spans="1:8">
      <c r="A3048" s="739" t="s">
        <v>18254</v>
      </c>
      <c r="E3048" s="739">
        <v>25</v>
      </c>
      <c r="F3048" s="741">
        <v>1960</v>
      </c>
      <c r="G3048" s="739" t="s">
        <v>18123</v>
      </c>
      <c r="H3048" s="739" t="s">
        <v>8501</v>
      </c>
    </row>
    <row r="3049" spans="1:8">
      <c r="A3049" s="739" t="s">
        <v>8502</v>
      </c>
      <c r="C3049" s="739">
        <v>27218</v>
      </c>
      <c r="H3049" s="739" t="s">
        <v>18255</v>
      </c>
    </row>
    <row r="3050" spans="1:8">
      <c r="A3050" s="739" t="s">
        <v>18256</v>
      </c>
      <c r="C3050" s="739">
        <v>18000</v>
      </c>
      <c r="D3050" s="846"/>
      <c r="H3050" s="739" t="s">
        <v>18257</v>
      </c>
    </row>
    <row r="3051" spans="1:8">
      <c r="A3051" s="739" t="s">
        <v>8505</v>
      </c>
      <c r="C3051" s="739">
        <v>15000</v>
      </c>
      <c r="D3051" s="846" t="s">
        <v>8506</v>
      </c>
      <c r="E3051" s="846"/>
      <c r="H3051" s="739" t="s">
        <v>8507</v>
      </c>
    </row>
    <row r="3052" spans="1:8">
      <c r="A3052" s="739" t="s">
        <v>8505</v>
      </c>
      <c r="C3052" s="739">
        <v>2650</v>
      </c>
      <c r="H3052" s="739" t="s">
        <v>18258</v>
      </c>
    </row>
    <row r="3053" spans="1:8">
      <c r="A3053" s="739" t="s">
        <v>8509</v>
      </c>
      <c r="C3053" s="739">
        <v>31264</v>
      </c>
      <c r="H3053" s="739" t="s">
        <v>18259</v>
      </c>
    </row>
    <row r="3054" spans="1:8">
      <c r="A3054" s="739" t="s">
        <v>5361</v>
      </c>
      <c r="E3054" s="741">
        <v>28</v>
      </c>
      <c r="F3054" s="741">
        <v>1932</v>
      </c>
      <c r="G3054" s="739" t="s">
        <v>6972</v>
      </c>
      <c r="H3054" s="739" t="s">
        <v>8512</v>
      </c>
    </row>
    <row r="3055" spans="1:8">
      <c r="A3055" s="739" t="s">
        <v>18260</v>
      </c>
      <c r="E3055" s="741">
        <v>1205</v>
      </c>
      <c r="F3055" s="741">
        <v>727</v>
      </c>
      <c r="G3055" s="739" t="s">
        <v>7763</v>
      </c>
      <c r="H3055" s="739" t="s">
        <v>8514</v>
      </c>
    </row>
    <row r="3056" spans="1:8">
      <c r="A3056" s="739" t="s">
        <v>8515</v>
      </c>
      <c r="E3056" s="739">
        <v>169</v>
      </c>
      <c r="F3056" s="741">
        <v>558</v>
      </c>
      <c r="G3056" s="739" t="s">
        <v>6913</v>
      </c>
      <c r="H3056" s="739" t="s">
        <v>18261</v>
      </c>
    </row>
    <row r="3057" spans="1:8">
      <c r="A3057" s="739" t="s">
        <v>18262</v>
      </c>
      <c r="E3057" s="741">
        <v>189</v>
      </c>
      <c r="F3057" s="741">
        <v>369</v>
      </c>
      <c r="G3057" s="741" t="s">
        <v>6937</v>
      </c>
      <c r="H3057" s="739" t="s">
        <v>18263</v>
      </c>
    </row>
    <row r="3058" spans="1:8">
      <c r="A3058" s="739" t="s">
        <v>18264</v>
      </c>
      <c r="D3058" s="739">
        <v>5000</v>
      </c>
      <c r="E3058" s="741"/>
      <c r="F3058" s="741">
        <v>5369</v>
      </c>
      <c r="H3058" s="739" t="s">
        <v>18132</v>
      </c>
    </row>
    <row r="3059" spans="1:8">
      <c r="A3059" s="739" t="s">
        <v>8516</v>
      </c>
      <c r="E3059" s="739">
        <v>535</v>
      </c>
      <c r="F3059" s="741">
        <v>4834</v>
      </c>
      <c r="G3059" s="739" t="s">
        <v>18123</v>
      </c>
      <c r="H3059" s="739" t="s">
        <v>8518</v>
      </c>
    </row>
    <row r="3060" spans="1:8">
      <c r="A3060" s="739" t="s">
        <v>8516</v>
      </c>
      <c r="E3060" s="741">
        <v>352</v>
      </c>
      <c r="F3060" s="741">
        <v>4482</v>
      </c>
      <c r="G3060" s="739" t="s">
        <v>6972</v>
      </c>
      <c r="H3060" s="739" t="s">
        <v>8519</v>
      </c>
    </row>
    <row r="3061" spans="1:8">
      <c r="A3061" s="739" t="s">
        <v>8520</v>
      </c>
      <c r="C3061" s="739">
        <v>17000</v>
      </c>
      <c r="H3061" s="739" t="s">
        <v>18265</v>
      </c>
    </row>
    <row r="3062" spans="1:8">
      <c r="A3062" s="739" t="s">
        <v>18266</v>
      </c>
      <c r="E3062" s="739">
        <v>196</v>
      </c>
      <c r="F3062" s="741">
        <v>4286</v>
      </c>
      <c r="G3062" s="739" t="s">
        <v>6943</v>
      </c>
      <c r="H3062" s="739" t="s">
        <v>8523</v>
      </c>
    </row>
    <row r="3063" spans="1:8">
      <c r="A3063" s="739" t="s">
        <v>5499</v>
      </c>
      <c r="C3063" s="739">
        <v>26897</v>
      </c>
      <c r="H3063" s="739" t="s">
        <v>18267</v>
      </c>
    </row>
    <row r="3064" spans="1:8">
      <c r="A3064" s="739" t="s">
        <v>18266</v>
      </c>
      <c r="C3064" s="739">
        <v>26000</v>
      </c>
      <c r="D3064" s="846"/>
      <c r="H3064" s="739" t="s">
        <v>18268</v>
      </c>
    </row>
    <row r="3065" spans="1:8">
      <c r="A3065" s="739" t="s">
        <v>8526</v>
      </c>
      <c r="C3065" s="739">
        <v>46454</v>
      </c>
      <c r="D3065" s="846"/>
      <c r="E3065" s="846"/>
      <c r="H3065" s="739" t="s">
        <v>18269</v>
      </c>
    </row>
    <row r="3066" spans="1:8">
      <c r="A3066" s="739" t="s">
        <v>8526</v>
      </c>
      <c r="C3066" s="739">
        <v>2516</v>
      </c>
      <c r="H3066" s="739" t="s">
        <v>8528</v>
      </c>
    </row>
    <row r="3067" spans="1:8">
      <c r="A3067" s="739" t="s">
        <v>18270</v>
      </c>
      <c r="C3067" s="739">
        <v>25003</v>
      </c>
      <c r="H3067" s="739" t="s">
        <v>18271</v>
      </c>
    </row>
    <row r="3068" spans="1:8">
      <c r="A3068" s="739" t="s">
        <v>8526</v>
      </c>
      <c r="E3068" s="739">
        <v>28</v>
      </c>
      <c r="F3068" s="741">
        <v>4258</v>
      </c>
      <c r="G3068" s="739" t="s">
        <v>18123</v>
      </c>
      <c r="H3068" s="739" t="s">
        <v>8530</v>
      </c>
    </row>
    <row r="3069" spans="1:8">
      <c r="A3069" s="739" t="s">
        <v>18272</v>
      </c>
      <c r="E3069" s="741">
        <v>430</v>
      </c>
      <c r="F3069" s="741">
        <v>3828</v>
      </c>
      <c r="G3069" s="739" t="s">
        <v>18095</v>
      </c>
      <c r="H3069" s="739" t="s">
        <v>8532</v>
      </c>
    </row>
    <row r="3070" spans="1:8">
      <c r="A3070" s="739" t="s">
        <v>5375</v>
      </c>
      <c r="E3070" s="741">
        <v>355</v>
      </c>
      <c r="F3070" s="741">
        <v>3473</v>
      </c>
      <c r="G3070" s="739" t="s">
        <v>7776</v>
      </c>
      <c r="H3070" s="739" t="s">
        <v>8532</v>
      </c>
    </row>
    <row r="3071" spans="1:8">
      <c r="A3071" s="739" t="s">
        <v>18273</v>
      </c>
      <c r="E3071" s="739">
        <v>28</v>
      </c>
      <c r="F3071" s="741">
        <v>3445</v>
      </c>
      <c r="G3071" s="739" t="s">
        <v>6943</v>
      </c>
      <c r="H3071" s="739" t="s">
        <v>8534</v>
      </c>
    </row>
    <row r="3072" spans="1:8">
      <c r="A3072" s="739" t="s">
        <v>18274</v>
      </c>
      <c r="E3072" s="741">
        <v>121</v>
      </c>
      <c r="F3072" s="741">
        <v>3324</v>
      </c>
      <c r="G3072" s="739" t="s">
        <v>6943</v>
      </c>
      <c r="H3072" s="739" t="s">
        <v>8536</v>
      </c>
    </row>
    <row r="3073" spans="1:8">
      <c r="A3073" s="739" t="s">
        <v>8537</v>
      </c>
      <c r="E3073" s="741">
        <v>50</v>
      </c>
      <c r="F3073" s="741">
        <v>3274</v>
      </c>
      <c r="G3073" s="739" t="s">
        <v>18116</v>
      </c>
      <c r="H3073" s="739" t="s">
        <v>18275</v>
      </c>
    </row>
    <row r="3074" spans="1:8">
      <c r="A3074" s="739" t="s">
        <v>8537</v>
      </c>
      <c r="E3074" s="741">
        <v>1458</v>
      </c>
      <c r="F3074" s="741">
        <v>1816</v>
      </c>
      <c r="G3074" s="739" t="s">
        <v>18103</v>
      </c>
      <c r="H3074" s="739" t="s">
        <v>8539</v>
      </c>
    </row>
    <row r="3075" spans="1:8">
      <c r="A3075" s="739" t="s">
        <v>4735</v>
      </c>
      <c r="E3075" s="741">
        <v>28</v>
      </c>
      <c r="F3075" s="741">
        <v>1788</v>
      </c>
      <c r="G3075" s="739" t="s">
        <v>6943</v>
      </c>
      <c r="H3075" s="739" t="s">
        <v>8541</v>
      </c>
    </row>
    <row r="3076" spans="1:8">
      <c r="A3076" s="739" t="s">
        <v>8542</v>
      </c>
      <c r="C3076" s="739">
        <v>61454</v>
      </c>
      <c r="D3076" s="846"/>
      <c r="E3076" s="846"/>
      <c r="H3076" s="739" t="s">
        <v>8543</v>
      </c>
    </row>
    <row r="3077" spans="1:8">
      <c r="A3077" s="739" t="s">
        <v>18276</v>
      </c>
      <c r="E3077" s="741">
        <v>140</v>
      </c>
      <c r="F3077" s="741">
        <v>1648</v>
      </c>
      <c r="G3077" s="739" t="s">
        <v>18115</v>
      </c>
      <c r="H3077" s="739" t="s">
        <v>18277</v>
      </c>
    </row>
    <row r="3078" spans="1:8">
      <c r="A3078" s="739" t="s">
        <v>4653</v>
      </c>
      <c r="C3078" s="739">
        <v>17000</v>
      </c>
      <c r="H3078" s="739" t="s">
        <v>18278</v>
      </c>
    </row>
    <row r="3079" spans="1:8" ht="66">
      <c r="A3079" s="739" t="s">
        <v>5281</v>
      </c>
      <c r="E3079" s="741"/>
      <c r="F3079" s="741"/>
      <c r="H3079" s="836" t="s">
        <v>8549</v>
      </c>
    </row>
    <row r="3080" spans="1:8">
      <c r="A3080" s="739" t="s">
        <v>5281</v>
      </c>
      <c r="C3080" s="739">
        <v>26897</v>
      </c>
      <c r="H3080" s="739" t="s">
        <v>18279</v>
      </c>
    </row>
    <row r="3081" spans="1:8">
      <c r="A3081" s="739" t="s">
        <v>5281</v>
      </c>
      <c r="C3081" s="739">
        <v>37500</v>
      </c>
      <c r="D3081" s="846"/>
      <c r="H3081" s="739" t="s">
        <v>18280</v>
      </c>
    </row>
    <row r="3082" spans="1:8">
      <c r="A3082" s="739" t="s">
        <v>18281</v>
      </c>
      <c r="C3082" s="739">
        <v>10057</v>
      </c>
      <c r="H3082" s="739" t="s">
        <v>18282</v>
      </c>
    </row>
    <row r="3083" spans="1:8">
      <c r="A3083" s="739" t="s">
        <v>18283</v>
      </c>
      <c r="E3083" s="739">
        <v>60</v>
      </c>
      <c r="F3083" s="741">
        <v>1588</v>
      </c>
      <c r="G3083" s="739" t="s">
        <v>6943</v>
      </c>
      <c r="H3083" s="739" t="s">
        <v>18284</v>
      </c>
    </row>
    <row r="3084" spans="1:8" ht="297">
      <c r="A3084" s="739" t="s">
        <v>18285</v>
      </c>
      <c r="C3084" s="739">
        <v>62750</v>
      </c>
      <c r="D3084" s="739" t="s">
        <v>18286</v>
      </c>
      <c r="H3084" s="836" t="s">
        <v>18287</v>
      </c>
    </row>
    <row r="3085" spans="1:8">
      <c r="A3085" s="739" t="s">
        <v>5533</v>
      </c>
      <c r="C3085" s="739">
        <v>16458</v>
      </c>
      <c r="H3085" s="739" t="s">
        <v>8560</v>
      </c>
    </row>
    <row r="3086" spans="1:8">
      <c r="A3086" s="739" t="s">
        <v>18288</v>
      </c>
      <c r="E3086" s="741">
        <v>100</v>
      </c>
      <c r="F3086" s="741">
        <v>1488</v>
      </c>
      <c r="G3086" s="739" t="s">
        <v>7776</v>
      </c>
      <c r="H3086" s="739" t="s">
        <v>8545</v>
      </c>
    </row>
    <row r="3087" spans="1:8">
      <c r="A3087" s="739" t="s">
        <v>8561</v>
      </c>
      <c r="E3087" s="739">
        <v>44</v>
      </c>
      <c r="F3087" s="741">
        <v>1444</v>
      </c>
      <c r="G3087" s="739" t="s">
        <v>6943</v>
      </c>
      <c r="H3087" s="739" t="s">
        <v>18289</v>
      </c>
    </row>
    <row r="3088" spans="1:8">
      <c r="A3088" s="739" t="s">
        <v>18290</v>
      </c>
      <c r="E3088" s="739">
        <v>28</v>
      </c>
      <c r="F3088" s="741">
        <v>1416</v>
      </c>
      <c r="G3088" s="739" t="s">
        <v>18123</v>
      </c>
      <c r="H3088" s="739" t="s">
        <v>18291</v>
      </c>
    </row>
    <row r="3089" spans="1:8">
      <c r="A3089" s="739" t="s">
        <v>4669</v>
      </c>
      <c r="E3089" s="739">
        <v>100</v>
      </c>
      <c r="F3089" s="741">
        <v>1316</v>
      </c>
      <c r="G3089" s="739" t="s">
        <v>18095</v>
      </c>
      <c r="H3089" s="739" t="s">
        <v>8566</v>
      </c>
    </row>
    <row r="3090" spans="1:8">
      <c r="A3090" s="739" t="s">
        <v>8567</v>
      </c>
      <c r="C3090" s="739">
        <v>61454</v>
      </c>
      <c r="D3090" s="846"/>
      <c r="E3090" s="846"/>
      <c r="H3090" s="739" t="s">
        <v>8568</v>
      </c>
    </row>
    <row r="3091" spans="1:8">
      <c r="A3091" s="739" t="s">
        <v>18292</v>
      </c>
      <c r="E3091" s="741">
        <v>199</v>
      </c>
      <c r="F3091" s="741">
        <v>1117</v>
      </c>
      <c r="G3091" s="741" t="s">
        <v>18106</v>
      </c>
      <c r="H3091" s="739" t="s">
        <v>8570</v>
      </c>
    </row>
    <row r="3092" spans="1:8" ht="49.5">
      <c r="A3092" s="739" t="s">
        <v>18293</v>
      </c>
      <c r="C3092" s="739">
        <v>12000</v>
      </c>
      <c r="E3092" s="741"/>
      <c r="F3092" s="741"/>
      <c r="H3092" s="836" t="s">
        <v>8572</v>
      </c>
    </row>
    <row r="3093" spans="1:8">
      <c r="A3093" s="739" t="s">
        <v>8571</v>
      </c>
      <c r="C3093" s="739">
        <v>25330</v>
      </c>
      <c r="H3093" s="739" t="s">
        <v>8573</v>
      </c>
    </row>
    <row r="3094" spans="1:8">
      <c r="A3094" s="739" t="s">
        <v>18293</v>
      </c>
      <c r="D3094" s="739">
        <v>5000</v>
      </c>
      <c r="E3094" s="741"/>
      <c r="F3094" s="741">
        <v>6117</v>
      </c>
      <c r="H3094" s="739" t="s">
        <v>463</v>
      </c>
    </row>
    <row r="3095" spans="1:8">
      <c r="A3095" s="739" t="s">
        <v>8571</v>
      </c>
      <c r="E3095" s="741">
        <v>1458</v>
      </c>
      <c r="F3095" s="741">
        <v>4659</v>
      </c>
      <c r="G3095" s="739" t="s">
        <v>18103</v>
      </c>
      <c r="H3095" s="739" t="s">
        <v>18294</v>
      </c>
    </row>
    <row r="3096" spans="1:8">
      <c r="A3096" s="739" t="s">
        <v>8571</v>
      </c>
      <c r="E3096" s="739">
        <v>28</v>
      </c>
      <c r="F3096" s="741">
        <v>4631</v>
      </c>
      <c r="G3096" s="739" t="s">
        <v>18123</v>
      </c>
      <c r="H3096" s="739" t="s">
        <v>8575</v>
      </c>
    </row>
    <row r="3097" spans="1:8">
      <c r="A3097" s="739" t="s">
        <v>18295</v>
      </c>
      <c r="E3097" s="739">
        <v>100</v>
      </c>
      <c r="F3097" s="741">
        <v>4531</v>
      </c>
      <c r="G3097" s="739" t="s">
        <v>18095</v>
      </c>
      <c r="H3097" s="739" t="s">
        <v>18296</v>
      </c>
    </row>
    <row r="3098" spans="1:8">
      <c r="A3098" s="739" t="s">
        <v>18295</v>
      </c>
      <c r="C3098" s="739">
        <v>26897</v>
      </c>
      <c r="H3098" s="739" t="s">
        <v>18297</v>
      </c>
    </row>
    <row r="3099" spans="1:8">
      <c r="A3099" s="739" t="s">
        <v>18295</v>
      </c>
      <c r="C3099" s="739">
        <v>12800</v>
      </c>
      <c r="D3099" s="846"/>
      <c r="H3099" s="739" t="s">
        <v>8579</v>
      </c>
    </row>
    <row r="3100" spans="1:8">
      <c r="A3100" s="739" t="s">
        <v>8580</v>
      </c>
      <c r="E3100" s="741">
        <v>280</v>
      </c>
      <c r="F3100" s="741">
        <v>4251</v>
      </c>
      <c r="G3100" s="739" t="s">
        <v>7774</v>
      </c>
      <c r="H3100" s="739" t="s">
        <v>8581</v>
      </c>
    </row>
    <row r="3101" spans="1:8">
      <c r="A3101" s="739" t="s">
        <v>18298</v>
      </c>
      <c r="E3101" s="741">
        <v>18</v>
      </c>
      <c r="F3101" s="741">
        <v>4233</v>
      </c>
      <c r="G3101" s="739" t="s">
        <v>18116</v>
      </c>
      <c r="H3101" s="739" t="s">
        <v>8583</v>
      </c>
    </row>
    <row r="3102" spans="1:8">
      <c r="A3102" s="739" t="s">
        <v>18299</v>
      </c>
      <c r="E3102" s="741">
        <v>285</v>
      </c>
      <c r="F3102" s="741">
        <v>3948</v>
      </c>
      <c r="G3102" s="739" t="s">
        <v>18115</v>
      </c>
      <c r="H3102" s="739" t="s">
        <v>18300</v>
      </c>
    </row>
    <row r="3103" spans="1:8">
      <c r="A3103" s="739" t="s">
        <v>18298</v>
      </c>
      <c r="E3103" s="741">
        <v>300</v>
      </c>
      <c r="F3103" s="741">
        <v>3648</v>
      </c>
      <c r="G3103" s="739" t="s">
        <v>18115</v>
      </c>
      <c r="H3103" s="739" t="s">
        <v>18300</v>
      </c>
    </row>
    <row r="3104" spans="1:8">
      <c r="A3104" s="739" t="s">
        <v>18299</v>
      </c>
      <c r="E3104" s="741">
        <v>95</v>
      </c>
      <c r="F3104" s="741">
        <v>3553</v>
      </c>
      <c r="G3104" s="739" t="s">
        <v>7776</v>
      </c>
      <c r="H3104" s="739" t="s">
        <v>8585</v>
      </c>
    </row>
    <row r="3105" spans="1:8">
      <c r="A3105" s="739" t="s">
        <v>18299</v>
      </c>
      <c r="E3105" s="741">
        <v>245</v>
      </c>
      <c r="F3105" s="741">
        <v>3308</v>
      </c>
      <c r="G3105" s="739" t="s">
        <v>18115</v>
      </c>
      <c r="H3105" s="739" t="s">
        <v>18301</v>
      </c>
    </row>
    <row r="3106" spans="1:8">
      <c r="A3106" s="739" t="s">
        <v>8587</v>
      </c>
      <c r="E3106" s="741">
        <v>1458</v>
      </c>
      <c r="F3106" s="741">
        <v>1850</v>
      </c>
      <c r="G3106" s="739" t="s">
        <v>7763</v>
      </c>
      <c r="H3106" s="739" t="s">
        <v>18302</v>
      </c>
    </row>
    <row r="3107" spans="1:8">
      <c r="A3107" s="739" t="s">
        <v>4293</v>
      </c>
      <c r="E3107" s="741">
        <v>92</v>
      </c>
      <c r="F3107" s="741">
        <v>1758</v>
      </c>
      <c r="G3107" s="739" t="s">
        <v>18123</v>
      </c>
      <c r="H3107" s="739" t="s">
        <v>8590</v>
      </c>
    </row>
    <row r="3108" spans="1:8">
      <c r="A3108" s="739" t="s">
        <v>4293</v>
      </c>
      <c r="E3108" s="739">
        <v>84</v>
      </c>
      <c r="F3108" s="741">
        <v>1674</v>
      </c>
      <c r="G3108" s="739" t="s">
        <v>18051</v>
      </c>
      <c r="H3108" s="739" t="s">
        <v>8591</v>
      </c>
    </row>
    <row r="3109" spans="1:8">
      <c r="A3109" s="739" t="s">
        <v>18303</v>
      </c>
      <c r="C3109" s="739">
        <v>17000</v>
      </c>
      <c r="H3109" s="739" t="s">
        <v>18304</v>
      </c>
    </row>
    <row r="3110" spans="1:8">
      <c r="A3110" s="739" t="s">
        <v>5603</v>
      </c>
      <c r="C3110" s="739">
        <v>61454</v>
      </c>
      <c r="D3110" s="846"/>
      <c r="E3110" s="846"/>
      <c r="H3110" s="739" t="s">
        <v>18305</v>
      </c>
    </row>
    <row r="3111" spans="1:8">
      <c r="A3111" s="739" t="s">
        <v>5550</v>
      </c>
      <c r="C3111" s="739">
        <v>15000</v>
      </c>
      <c r="D3111" s="846"/>
      <c r="H3111" s="739" t="s">
        <v>18306</v>
      </c>
    </row>
    <row r="3112" spans="1:8">
      <c r="A3112" s="739" t="s">
        <v>18307</v>
      </c>
      <c r="C3112" s="739">
        <v>26897</v>
      </c>
      <c r="H3112" s="739" t="s">
        <v>8597</v>
      </c>
    </row>
    <row r="3113" spans="1:8">
      <c r="A3113" s="739" t="s">
        <v>8598</v>
      </c>
      <c r="E3113" s="741">
        <v>48</v>
      </c>
      <c r="F3113" s="741">
        <v>1626</v>
      </c>
      <c r="G3113" s="739" t="s">
        <v>7776</v>
      </c>
      <c r="H3113" s="739" t="s">
        <v>8599</v>
      </c>
    </row>
    <row r="3114" spans="1:8">
      <c r="A3114" s="739" t="s">
        <v>18308</v>
      </c>
      <c r="C3114" s="739">
        <v>12314</v>
      </c>
      <c r="H3114" s="739" t="s">
        <v>18309</v>
      </c>
    </row>
    <row r="3115" spans="1:8">
      <c r="A3115" s="739" t="s">
        <v>8600</v>
      </c>
      <c r="C3115" s="739">
        <v>61454</v>
      </c>
      <c r="D3115" s="846"/>
      <c r="E3115" s="846"/>
      <c r="H3115" s="739" t="s">
        <v>8602</v>
      </c>
    </row>
    <row r="3116" spans="1:8">
      <c r="A3116" s="739" t="s">
        <v>5604</v>
      </c>
      <c r="E3116" s="739">
        <v>476</v>
      </c>
      <c r="F3116" s="741">
        <v>1150</v>
      </c>
      <c r="G3116" s="739" t="s">
        <v>6943</v>
      </c>
      <c r="H3116" s="739" t="s">
        <v>8603</v>
      </c>
    </row>
    <row r="3117" spans="1:8">
      <c r="A3117" s="739" t="s">
        <v>5552</v>
      </c>
      <c r="E3117" s="741">
        <v>199</v>
      </c>
      <c r="F3117" s="741">
        <v>951</v>
      </c>
      <c r="G3117" s="741" t="s">
        <v>18106</v>
      </c>
      <c r="H3117" s="739" t="s">
        <v>18310</v>
      </c>
    </row>
    <row r="3118" spans="1:8">
      <c r="A3118" s="739" t="s">
        <v>8606</v>
      </c>
      <c r="D3118" s="739">
        <v>5000</v>
      </c>
      <c r="E3118" s="741"/>
      <c r="F3118" s="741">
        <v>5951</v>
      </c>
      <c r="H3118" s="739" t="s">
        <v>463</v>
      </c>
    </row>
    <row r="3119" spans="1:8">
      <c r="A3119" s="739" t="s">
        <v>8606</v>
      </c>
      <c r="E3119" s="741">
        <v>1458</v>
      </c>
      <c r="F3119" s="741">
        <v>4493</v>
      </c>
      <c r="G3119" s="739" t="s">
        <v>18103</v>
      </c>
      <c r="H3119" s="739" t="s">
        <v>8588</v>
      </c>
    </row>
    <row r="3120" spans="1:8">
      <c r="A3120" s="739" t="s">
        <v>18311</v>
      </c>
      <c r="E3120" s="741">
        <v>115</v>
      </c>
      <c r="F3120" s="741">
        <v>4378</v>
      </c>
      <c r="G3120" s="739" t="s">
        <v>7776</v>
      </c>
      <c r="H3120" s="739" t="s">
        <v>8608</v>
      </c>
    </row>
    <row r="3121" spans="1:8">
      <c r="A3121" s="739" t="s">
        <v>4624</v>
      </c>
      <c r="E3121" s="741">
        <v>135</v>
      </c>
      <c r="F3121" s="741">
        <v>4243</v>
      </c>
      <c r="G3121" s="739" t="s">
        <v>7776</v>
      </c>
      <c r="H3121" s="739" t="s">
        <v>18312</v>
      </c>
    </row>
    <row r="3122" spans="1:8">
      <c r="A3122" s="739" t="s">
        <v>18313</v>
      </c>
      <c r="C3122" s="739">
        <v>17000</v>
      </c>
      <c r="H3122" s="739" t="s">
        <v>8610</v>
      </c>
    </row>
    <row r="3123" spans="1:8">
      <c r="A3123" s="739" t="s">
        <v>18314</v>
      </c>
      <c r="C3123" s="739">
        <v>61454</v>
      </c>
      <c r="D3123" s="846"/>
      <c r="E3123" s="846"/>
      <c r="H3123" s="739" t="s">
        <v>18315</v>
      </c>
    </row>
    <row r="3124" spans="1:8">
      <c r="A3124" s="739" t="s">
        <v>18314</v>
      </c>
      <c r="C3124" s="739">
        <v>14000</v>
      </c>
      <c r="D3124" s="846"/>
      <c r="H3124" s="739" t="s">
        <v>8613</v>
      </c>
    </row>
    <row r="3125" spans="1:8">
      <c r="A3125" s="739" t="s">
        <v>8611</v>
      </c>
      <c r="C3125" s="739">
        <v>26897</v>
      </c>
      <c r="H3125" s="739" t="s">
        <v>18316</v>
      </c>
    </row>
    <row r="3126" spans="1:8">
      <c r="A3126" s="739" t="s">
        <v>8615</v>
      </c>
      <c r="C3126" s="739">
        <v>8534</v>
      </c>
      <c r="H3126" s="739" t="s">
        <v>8616</v>
      </c>
    </row>
    <row r="3127" spans="1:8" ht="330">
      <c r="A3127" s="739" t="s">
        <v>18317</v>
      </c>
      <c r="C3127" s="739">
        <v>196030</v>
      </c>
      <c r="H3127" s="836" t="s">
        <v>8618</v>
      </c>
    </row>
    <row r="3128" spans="1:8">
      <c r="A3128" s="739" t="s">
        <v>18318</v>
      </c>
      <c r="E3128" s="741">
        <v>250</v>
      </c>
      <c r="F3128" s="741">
        <v>3993</v>
      </c>
      <c r="G3128" s="739" t="s">
        <v>18115</v>
      </c>
      <c r="H3128" s="739" t="s">
        <v>18319</v>
      </c>
    </row>
    <row r="3129" spans="1:8">
      <c r="A3129" s="739" t="s">
        <v>18318</v>
      </c>
      <c r="E3129" s="741">
        <v>255</v>
      </c>
      <c r="F3129" s="741">
        <v>3738</v>
      </c>
      <c r="G3129" s="739" t="s">
        <v>18115</v>
      </c>
      <c r="H3129" s="739" t="s">
        <v>8620</v>
      </c>
    </row>
    <row r="3130" spans="1:8">
      <c r="A3130" s="739" t="s">
        <v>18320</v>
      </c>
      <c r="E3130" s="739">
        <v>35</v>
      </c>
      <c r="F3130" s="741">
        <v>3703</v>
      </c>
      <c r="G3130" s="739" t="s">
        <v>6943</v>
      </c>
      <c r="H3130" s="739" t="s">
        <v>18321</v>
      </c>
    </row>
    <row r="3131" spans="1:8">
      <c r="A3131" s="739" t="s">
        <v>5565</v>
      </c>
      <c r="E3131" s="741">
        <v>1458</v>
      </c>
      <c r="F3131" s="741">
        <v>2245</v>
      </c>
      <c r="G3131" s="739" t="s">
        <v>7763</v>
      </c>
      <c r="H3131" s="739" t="s">
        <v>8623</v>
      </c>
    </row>
    <row r="3132" spans="1:8">
      <c r="A3132" s="739" t="s">
        <v>8624</v>
      </c>
      <c r="C3132" s="739">
        <v>18000</v>
      </c>
      <c r="D3132" s="846"/>
      <c r="H3132" s="739" t="s">
        <v>18322</v>
      </c>
    </row>
    <row r="3133" spans="1:8">
      <c r="A3133" s="739" t="s">
        <v>18323</v>
      </c>
      <c r="C3133" s="739">
        <v>26897</v>
      </c>
      <c r="H3133" s="739" t="s">
        <v>8626</v>
      </c>
    </row>
    <row r="3134" spans="1:8">
      <c r="A3134" s="739" t="s">
        <v>8624</v>
      </c>
      <c r="C3134" s="739">
        <v>22362</v>
      </c>
      <c r="H3134" s="739" t="s">
        <v>8627</v>
      </c>
    </row>
    <row r="3135" spans="1:8" ht="49.5">
      <c r="A3135" s="739" t="s">
        <v>8624</v>
      </c>
      <c r="C3135" s="739">
        <v>30000</v>
      </c>
      <c r="E3135" s="741"/>
      <c r="F3135" s="741"/>
      <c r="H3135" s="836" t="s">
        <v>18324</v>
      </c>
    </row>
    <row r="3136" spans="1:8">
      <c r="A3136" s="739" t="s">
        <v>18325</v>
      </c>
      <c r="E3136" s="741">
        <v>18</v>
      </c>
      <c r="F3136" s="741">
        <v>2227</v>
      </c>
      <c r="G3136" s="739" t="s">
        <v>18048</v>
      </c>
      <c r="H3136" s="739" t="s">
        <v>8630</v>
      </c>
    </row>
    <row r="3137" spans="1:8">
      <c r="A3137" s="739" t="s">
        <v>18325</v>
      </c>
      <c r="E3137" s="739">
        <v>32</v>
      </c>
      <c r="F3137" s="741">
        <v>2195</v>
      </c>
      <c r="G3137" s="739" t="s">
        <v>18115</v>
      </c>
      <c r="H3137" s="739" t="s">
        <v>8631</v>
      </c>
    </row>
    <row r="3138" spans="1:8">
      <c r="A3138" s="739" t="s">
        <v>8632</v>
      </c>
      <c r="E3138" s="739">
        <v>84</v>
      </c>
      <c r="F3138" s="741">
        <v>2111</v>
      </c>
      <c r="G3138" s="739" t="s">
        <v>6943</v>
      </c>
      <c r="H3138" s="739" t="s">
        <v>8633</v>
      </c>
    </row>
    <row r="3139" spans="1:8">
      <c r="A3139" s="739" t="s">
        <v>18326</v>
      </c>
      <c r="C3139" s="739">
        <v>61454</v>
      </c>
      <c r="D3139" s="846"/>
      <c r="E3139" s="846"/>
      <c r="H3139" s="739" t="s">
        <v>8635</v>
      </c>
    </row>
    <row r="3140" spans="1:8">
      <c r="A3140" s="739" t="s">
        <v>8634</v>
      </c>
      <c r="E3140" s="739">
        <v>60</v>
      </c>
      <c r="F3140" s="741">
        <v>2051</v>
      </c>
      <c r="G3140" s="739" t="s">
        <v>6943</v>
      </c>
      <c r="H3140" s="739" t="s">
        <v>8636</v>
      </c>
    </row>
    <row r="3141" spans="1:8">
      <c r="A3141" s="739" t="s">
        <v>8637</v>
      </c>
      <c r="E3141" s="739">
        <v>60</v>
      </c>
      <c r="F3141" s="741">
        <v>1991</v>
      </c>
      <c r="G3141" s="739" t="s">
        <v>6943</v>
      </c>
      <c r="H3141" s="739" t="s">
        <v>8638</v>
      </c>
    </row>
    <row r="3142" spans="1:8">
      <c r="A3142" s="739" t="s">
        <v>8637</v>
      </c>
      <c r="E3142" s="741">
        <v>366</v>
      </c>
      <c r="F3142" s="741">
        <v>1625</v>
      </c>
      <c r="G3142" s="739" t="s">
        <v>6972</v>
      </c>
      <c r="H3142" s="739" t="s">
        <v>8639</v>
      </c>
    </row>
    <row r="3143" spans="1:8">
      <c r="A3143" s="739" t="s">
        <v>18327</v>
      </c>
      <c r="C3143" s="739">
        <v>10000</v>
      </c>
      <c r="D3143" s="846"/>
      <c r="E3143" s="846"/>
      <c r="H3143" s="739" t="s">
        <v>18328</v>
      </c>
    </row>
    <row r="3144" spans="1:8">
      <c r="A3144" s="739" t="s">
        <v>5606</v>
      </c>
      <c r="E3144" s="741">
        <v>1458</v>
      </c>
      <c r="F3144" s="741">
        <v>167</v>
      </c>
      <c r="G3144" s="739" t="s">
        <v>7763</v>
      </c>
      <c r="H3144" s="739" t="s">
        <v>8642</v>
      </c>
    </row>
    <row r="3145" spans="1:8">
      <c r="A3145" s="739" t="s">
        <v>5606</v>
      </c>
      <c r="D3145" s="739">
        <v>5000</v>
      </c>
      <c r="E3145" s="741"/>
      <c r="F3145" s="741">
        <v>5167</v>
      </c>
      <c r="H3145" s="739" t="s">
        <v>463</v>
      </c>
    </row>
    <row r="3146" spans="1:8">
      <c r="A3146" s="739" t="s">
        <v>5606</v>
      </c>
      <c r="E3146" s="739">
        <v>74</v>
      </c>
      <c r="F3146" s="741">
        <v>5093</v>
      </c>
      <c r="G3146" s="739" t="s">
        <v>18123</v>
      </c>
      <c r="H3146" s="739" t="s">
        <v>18329</v>
      </c>
    </row>
    <row r="3147" spans="1:8">
      <c r="A3147" s="739" t="s">
        <v>18330</v>
      </c>
      <c r="E3147" s="741">
        <v>135</v>
      </c>
      <c r="F3147" s="741">
        <v>4958</v>
      </c>
      <c r="G3147" s="739" t="s">
        <v>7776</v>
      </c>
      <c r="H3147" s="739" t="s">
        <v>18331</v>
      </c>
    </row>
    <row r="3148" spans="1:8">
      <c r="A3148" s="739" t="s">
        <v>8643</v>
      </c>
      <c r="E3148" s="741">
        <v>210</v>
      </c>
      <c r="F3148" s="741">
        <v>4748</v>
      </c>
      <c r="G3148" s="739" t="s">
        <v>7776</v>
      </c>
      <c r="H3148" s="739" t="s">
        <v>8644</v>
      </c>
    </row>
    <row r="3149" spans="1:8">
      <c r="A3149" s="739" t="s">
        <v>18332</v>
      </c>
      <c r="E3149" s="741">
        <v>189</v>
      </c>
      <c r="F3149" s="741">
        <v>4559</v>
      </c>
      <c r="G3149" s="741" t="s">
        <v>6937</v>
      </c>
      <c r="H3149" s="739" t="s">
        <v>8646</v>
      </c>
    </row>
    <row r="3150" spans="1:8">
      <c r="A3150" s="739" t="s">
        <v>5430</v>
      </c>
      <c r="C3150" s="739">
        <v>17000</v>
      </c>
      <c r="H3150" s="739" t="s">
        <v>18333</v>
      </c>
    </row>
    <row r="3151" spans="1:8">
      <c r="A3151" s="739" t="s">
        <v>18334</v>
      </c>
      <c r="E3151" s="739">
        <v>28</v>
      </c>
      <c r="F3151" s="741">
        <v>4531</v>
      </c>
      <c r="G3151" s="739" t="s">
        <v>18051</v>
      </c>
      <c r="H3151" s="739" t="s">
        <v>8651</v>
      </c>
    </row>
    <row r="3152" spans="1:8">
      <c r="A3152" s="739" t="s">
        <v>18335</v>
      </c>
      <c r="C3152" s="739">
        <v>18000</v>
      </c>
      <c r="D3152" s="846"/>
      <c r="H3152" s="739" t="s">
        <v>18336</v>
      </c>
    </row>
    <row r="3153" spans="1:8">
      <c r="A3153" s="739" t="s">
        <v>18337</v>
      </c>
      <c r="C3153" s="739">
        <v>29647</v>
      </c>
      <c r="H3153" s="739" t="s">
        <v>18338</v>
      </c>
    </row>
    <row r="3154" spans="1:8">
      <c r="A3154" s="739" t="s">
        <v>18339</v>
      </c>
      <c r="C3154" s="739">
        <v>31556</v>
      </c>
      <c r="H3154" s="739" t="s">
        <v>8656</v>
      </c>
    </row>
    <row r="3155" spans="1:8" ht="198">
      <c r="A3155" s="739" t="s">
        <v>8657</v>
      </c>
      <c r="C3155" s="739">
        <v>20030</v>
      </c>
      <c r="H3155" s="836" t="s">
        <v>8658</v>
      </c>
    </row>
    <row r="3156" spans="1:8">
      <c r="A3156" s="739" t="s">
        <v>18340</v>
      </c>
      <c r="E3156" s="739">
        <v>196</v>
      </c>
      <c r="F3156" s="741">
        <v>4335</v>
      </c>
      <c r="G3156" s="739" t="s">
        <v>6943</v>
      </c>
      <c r="H3156" s="739" t="s">
        <v>18341</v>
      </c>
    </row>
    <row r="3157" spans="1:8">
      <c r="A3157" s="739" t="s">
        <v>5610</v>
      </c>
      <c r="E3157" s="739">
        <v>89</v>
      </c>
      <c r="F3157" s="741">
        <v>4246</v>
      </c>
      <c r="G3157" s="739" t="s">
        <v>6913</v>
      </c>
      <c r="H3157" s="739" t="s">
        <v>7126</v>
      </c>
    </row>
    <row r="3158" spans="1:8">
      <c r="A3158" s="739" t="s">
        <v>8663</v>
      </c>
      <c r="C3158" s="739">
        <v>10000</v>
      </c>
      <c r="D3158" s="846">
        <v>10000</v>
      </c>
      <c r="E3158" s="846"/>
      <c r="H3158" s="739" t="s">
        <v>18342</v>
      </c>
    </row>
    <row r="3159" spans="1:8">
      <c r="A3159" s="739" t="s">
        <v>5611</v>
      </c>
      <c r="E3159" s="741">
        <v>364</v>
      </c>
      <c r="F3159" s="741">
        <v>3882</v>
      </c>
      <c r="G3159" s="739" t="s">
        <v>18233</v>
      </c>
      <c r="H3159" s="739" t="s">
        <v>8667</v>
      </c>
    </row>
    <row r="3160" spans="1:8">
      <c r="A3160" s="739" t="s">
        <v>18343</v>
      </c>
      <c r="C3160" s="739">
        <v>8000</v>
      </c>
      <c r="D3160" s="846">
        <v>2000</v>
      </c>
      <c r="E3160" s="846"/>
      <c r="H3160" s="739" t="s">
        <v>18344</v>
      </c>
    </row>
    <row r="3161" spans="1:8" ht="49.5">
      <c r="A3161" s="739" t="s">
        <v>18345</v>
      </c>
      <c r="C3161" s="739">
        <v>16000</v>
      </c>
      <c r="E3161" s="741"/>
      <c r="F3161" s="741"/>
      <c r="H3161" s="836" t="s">
        <v>18346</v>
      </c>
    </row>
    <row r="3162" spans="1:8">
      <c r="A3162" s="739" t="s">
        <v>8672</v>
      </c>
      <c r="E3162" s="741">
        <v>1458</v>
      </c>
      <c r="F3162" s="741">
        <v>2424</v>
      </c>
      <c r="G3162" s="739" t="s">
        <v>7763</v>
      </c>
      <c r="H3162" s="739" t="s">
        <v>18347</v>
      </c>
    </row>
    <row r="3163" spans="1:8" ht="264">
      <c r="A3163" s="739" t="s">
        <v>5612</v>
      </c>
      <c r="C3163" s="739">
        <v>277060</v>
      </c>
      <c r="H3163" s="836" t="s">
        <v>8676</v>
      </c>
    </row>
    <row r="3164" spans="1:8">
      <c r="A3164" s="739" t="s">
        <v>5613</v>
      </c>
      <c r="E3164" s="741">
        <v>18</v>
      </c>
      <c r="F3164" s="741">
        <v>2406</v>
      </c>
      <c r="G3164" s="739" t="s">
        <v>6913</v>
      </c>
      <c r="H3164" s="739" t="s">
        <v>8677</v>
      </c>
    </row>
    <row r="3165" spans="1:8">
      <c r="A3165" s="739" t="s">
        <v>5613</v>
      </c>
      <c r="E3165" s="739">
        <v>32</v>
      </c>
      <c r="F3165" s="741">
        <v>2374</v>
      </c>
      <c r="G3165" s="739" t="s">
        <v>18095</v>
      </c>
      <c r="H3165" s="739" t="s">
        <v>18348</v>
      </c>
    </row>
    <row r="3166" spans="1:8">
      <c r="A3166" s="739" t="s">
        <v>5613</v>
      </c>
      <c r="E3166" s="741">
        <v>115</v>
      </c>
      <c r="F3166" s="741">
        <v>2259</v>
      </c>
      <c r="G3166" s="739" t="s">
        <v>18116</v>
      </c>
      <c r="H3166" s="739" t="s">
        <v>18349</v>
      </c>
    </row>
    <row r="3167" spans="1:8">
      <c r="A3167" s="739" t="s">
        <v>5613</v>
      </c>
      <c r="C3167" s="739">
        <v>2000</v>
      </c>
      <c r="D3167" s="846"/>
      <c r="E3167" s="846"/>
      <c r="H3167" s="739" t="s">
        <v>8681</v>
      </c>
    </row>
    <row r="3168" spans="1:8">
      <c r="A3168" s="739" t="s">
        <v>5613</v>
      </c>
      <c r="C3168" s="739">
        <v>61454</v>
      </c>
      <c r="D3168" s="846"/>
      <c r="E3168" s="846"/>
      <c r="H3168" s="739" t="s">
        <v>8682</v>
      </c>
    </row>
    <row r="3169" spans="1:8">
      <c r="A3169" s="739" t="s">
        <v>18350</v>
      </c>
      <c r="E3169" s="739">
        <v>200</v>
      </c>
      <c r="F3169" s="741">
        <v>2059</v>
      </c>
      <c r="G3169" s="739" t="s">
        <v>7776</v>
      </c>
      <c r="H3169" s="739" t="s">
        <v>18351</v>
      </c>
    </row>
    <row r="3170" spans="1:8">
      <c r="A3170" s="739" t="s">
        <v>18352</v>
      </c>
      <c r="C3170" s="739">
        <v>17000</v>
      </c>
      <c r="H3170" s="739" t="s">
        <v>8685</v>
      </c>
    </row>
    <row r="3171" spans="1:8">
      <c r="A3171" s="739" t="s">
        <v>8686</v>
      </c>
      <c r="C3171" s="739">
        <v>19000</v>
      </c>
      <c r="D3171" s="846"/>
      <c r="H3171" s="739" t="s">
        <v>8687</v>
      </c>
    </row>
    <row r="3172" spans="1:8">
      <c r="A3172" s="739" t="s">
        <v>18353</v>
      </c>
      <c r="C3172" s="739">
        <v>29647</v>
      </c>
      <c r="H3172" s="739" t="s">
        <v>8688</v>
      </c>
    </row>
    <row r="3173" spans="1:8">
      <c r="A3173" s="739" t="s">
        <v>18353</v>
      </c>
      <c r="E3173" s="741">
        <v>1507</v>
      </c>
      <c r="F3173" s="741">
        <v>552</v>
      </c>
      <c r="G3173" s="741" t="s">
        <v>8689</v>
      </c>
      <c r="H3173" s="739" t="s">
        <v>18354</v>
      </c>
    </row>
    <row r="3174" spans="1:8">
      <c r="A3174" s="739" t="s">
        <v>8691</v>
      </c>
      <c r="C3174" s="739">
        <v>28440</v>
      </c>
      <c r="H3174" s="739" t="s">
        <v>18355</v>
      </c>
    </row>
    <row r="3175" spans="1:8">
      <c r="A3175" s="739" t="s">
        <v>5615</v>
      </c>
      <c r="C3175" s="739">
        <v>61454</v>
      </c>
      <c r="D3175" s="846"/>
      <c r="E3175" s="846"/>
      <c r="H3175" s="739" t="s">
        <v>18356</v>
      </c>
    </row>
    <row r="3176" spans="1:8">
      <c r="A3176" s="739" t="s">
        <v>18357</v>
      </c>
      <c r="D3176" s="739">
        <v>5000</v>
      </c>
      <c r="E3176" s="741"/>
      <c r="F3176" s="741">
        <v>5552</v>
      </c>
      <c r="H3176" s="739" t="s">
        <v>463</v>
      </c>
    </row>
    <row r="3177" spans="1:8">
      <c r="A3177" s="739" t="s">
        <v>5616</v>
      </c>
      <c r="E3177" s="741">
        <v>220</v>
      </c>
      <c r="F3177" s="741">
        <v>5332</v>
      </c>
      <c r="G3177" s="739" t="s">
        <v>18115</v>
      </c>
      <c r="H3177" s="739" t="s">
        <v>18358</v>
      </c>
    </row>
    <row r="3178" spans="1:8">
      <c r="A3178" s="739" t="s">
        <v>18357</v>
      </c>
      <c r="E3178" s="741">
        <v>190</v>
      </c>
      <c r="F3178" s="741">
        <v>5142</v>
      </c>
      <c r="G3178" s="739" t="s">
        <v>7776</v>
      </c>
      <c r="H3178" s="739" t="s">
        <v>8697</v>
      </c>
    </row>
    <row r="3179" spans="1:8">
      <c r="A3179" s="739" t="s">
        <v>18359</v>
      </c>
      <c r="E3179" s="741">
        <v>1458</v>
      </c>
      <c r="F3179" s="741">
        <v>3684</v>
      </c>
      <c r="G3179" s="739" t="s">
        <v>18103</v>
      </c>
      <c r="H3179" s="739" t="s">
        <v>18360</v>
      </c>
    </row>
    <row r="3180" spans="1:8" ht="33">
      <c r="A3180" s="739" t="s">
        <v>18361</v>
      </c>
      <c r="C3180" s="739">
        <v>6000</v>
      </c>
      <c r="F3180" s="741"/>
      <c r="H3180" s="836" t="s">
        <v>18362</v>
      </c>
    </row>
    <row r="3181" spans="1:8">
      <c r="A3181" s="739" t="s">
        <v>8702</v>
      </c>
      <c r="E3181" s="741">
        <v>79</v>
      </c>
      <c r="F3181" s="741">
        <v>3605</v>
      </c>
      <c r="G3181" s="739" t="s">
        <v>6913</v>
      </c>
      <c r="H3181" s="739" t="s">
        <v>8703</v>
      </c>
    </row>
    <row r="3182" spans="1:8">
      <c r="A3182" s="739" t="s">
        <v>5508</v>
      </c>
      <c r="C3182" s="739">
        <v>17000</v>
      </c>
      <c r="H3182" s="739" t="s">
        <v>18363</v>
      </c>
    </row>
    <row r="3183" spans="1:8">
      <c r="A3183" s="739" t="s">
        <v>8706</v>
      </c>
      <c r="C3183" s="739">
        <v>53000</v>
      </c>
      <c r="D3183" s="846"/>
      <c r="H3183" s="739" t="s">
        <v>8707</v>
      </c>
    </row>
    <row r="3184" spans="1:8">
      <c r="A3184" s="739" t="s">
        <v>8706</v>
      </c>
      <c r="C3184" s="739">
        <v>29647</v>
      </c>
      <c r="H3184" s="739" t="s">
        <v>8708</v>
      </c>
    </row>
    <row r="3185" spans="1:8">
      <c r="A3185" s="739" t="s">
        <v>8706</v>
      </c>
      <c r="C3185" s="739">
        <v>61454</v>
      </c>
      <c r="D3185" s="846"/>
      <c r="E3185" s="846"/>
      <c r="H3185" s="739" t="s">
        <v>18364</v>
      </c>
    </row>
    <row r="3186" spans="1:8">
      <c r="A3186" s="739" t="s">
        <v>18365</v>
      </c>
      <c r="E3186" s="741">
        <v>189</v>
      </c>
      <c r="F3186" s="741">
        <v>3416</v>
      </c>
      <c r="G3186" s="741" t="s">
        <v>18199</v>
      </c>
      <c r="H3186" s="739" t="s">
        <v>8711</v>
      </c>
    </row>
    <row r="3187" spans="1:8">
      <c r="A3187" s="739" t="s">
        <v>18366</v>
      </c>
      <c r="E3187" s="741">
        <v>265</v>
      </c>
      <c r="F3187" s="741">
        <v>3151</v>
      </c>
      <c r="G3187" s="739" t="s">
        <v>18115</v>
      </c>
      <c r="H3187" s="739" t="s">
        <v>8713</v>
      </c>
    </row>
    <row r="3188" spans="1:8">
      <c r="A3188" s="739" t="s">
        <v>18366</v>
      </c>
      <c r="E3188" s="741">
        <v>320</v>
      </c>
      <c r="F3188" s="741">
        <v>2831</v>
      </c>
      <c r="G3188" s="739" t="s">
        <v>7776</v>
      </c>
      <c r="H3188" s="739" t="s">
        <v>8713</v>
      </c>
    </row>
    <row r="3189" spans="1:8">
      <c r="A3189" s="739" t="s">
        <v>18367</v>
      </c>
      <c r="E3189" s="741">
        <v>1458</v>
      </c>
      <c r="F3189" s="741">
        <v>1373</v>
      </c>
      <c r="G3189" s="739" t="s">
        <v>18103</v>
      </c>
      <c r="H3189" s="739" t="s">
        <v>18368</v>
      </c>
    </row>
    <row r="3190" spans="1:8">
      <c r="A3190" s="739" t="s">
        <v>5431</v>
      </c>
      <c r="C3190" s="739">
        <v>17000</v>
      </c>
      <c r="H3190" s="739" t="s">
        <v>8717</v>
      </c>
    </row>
    <row r="3191" spans="1:8">
      <c r="A3191" s="739" t="s">
        <v>8718</v>
      </c>
      <c r="E3191" s="741">
        <v>18</v>
      </c>
      <c r="F3191" s="741">
        <v>1355</v>
      </c>
      <c r="G3191" s="739" t="s">
        <v>18116</v>
      </c>
      <c r="H3191" s="739" t="s">
        <v>18369</v>
      </c>
    </row>
    <row r="3192" spans="1:8">
      <c r="A3192" s="739" t="s">
        <v>5617</v>
      </c>
      <c r="C3192" s="739">
        <v>29647</v>
      </c>
      <c r="H3192" s="739" t="s">
        <v>8721</v>
      </c>
    </row>
    <row r="3193" spans="1:8">
      <c r="A3193" s="739" t="s">
        <v>5617</v>
      </c>
      <c r="C3193" s="739">
        <v>17624</v>
      </c>
      <c r="H3193" s="739" t="s">
        <v>8722</v>
      </c>
    </row>
    <row r="3194" spans="1:8">
      <c r="A3194" s="739" t="s">
        <v>18370</v>
      </c>
      <c r="E3194" s="739">
        <v>196</v>
      </c>
      <c r="F3194" s="741">
        <v>1159</v>
      </c>
      <c r="G3194" s="739" t="s">
        <v>18123</v>
      </c>
      <c r="H3194" s="739" t="s">
        <v>8660</v>
      </c>
    </row>
    <row r="3195" spans="1:8">
      <c r="A3195" s="739" t="s">
        <v>8723</v>
      </c>
      <c r="C3195" s="739">
        <v>61454</v>
      </c>
      <c r="D3195" s="846"/>
      <c r="E3195" s="846"/>
      <c r="H3195" s="739" t="s">
        <v>8724</v>
      </c>
    </row>
    <row r="3196" spans="1:8">
      <c r="A3196" s="739" t="s">
        <v>18371</v>
      </c>
      <c r="C3196" s="739">
        <v>4515</v>
      </c>
      <c r="H3196" s="739" t="s">
        <v>8725</v>
      </c>
    </row>
    <row r="3197" spans="1:8">
      <c r="A3197" s="739" t="s">
        <v>18372</v>
      </c>
      <c r="E3197" s="741">
        <v>195</v>
      </c>
      <c r="F3197" s="741">
        <v>964</v>
      </c>
      <c r="G3197" s="739" t="s">
        <v>7776</v>
      </c>
      <c r="H3197" s="739" t="s">
        <v>8218</v>
      </c>
    </row>
    <row r="3198" spans="1:8">
      <c r="A3198" s="739" t="s">
        <v>8726</v>
      </c>
      <c r="E3198" s="741">
        <v>20</v>
      </c>
      <c r="F3198" s="741">
        <v>944</v>
      </c>
      <c r="G3198" s="739" t="s">
        <v>7776</v>
      </c>
      <c r="H3198" s="739" t="s">
        <v>8218</v>
      </c>
    </row>
    <row r="3199" spans="1:8">
      <c r="A3199" s="739" t="s">
        <v>8728</v>
      </c>
      <c r="D3199" s="739">
        <v>5000</v>
      </c>
      <c r="E3199" s="741"/>
      <c r="F3199" s="741">
        <v>5944</v>
      </c>
      <c r="H3199" s="739" t="s">
        <v>18132</v>
      </c>
    </row>
    <row r="3200" spans="1:8">
      <c r="A3200" s="739" t="s">
        <v>18373</v>
      </c>
      <c r="E3200" s="741">
        <v>1458</v>
      </c>
      <c r="F3200" s="741">
        <v>4486</v>
      </c>
      <c r="G3200" s="739" t="s">
        <v>7763</v>
      </c>
      <c r="H3200" s="739" t="s">
        <v>8729</v>
      </c>
    </row>
    <row r="3201" spans="1:8">
      <c r="A3201" s="739" t="s">
        <v>8730</v>
      </c>
      <c r="E3201" s="739">
        <v>179</v>
      </c>
      <c r="F3201" s="741">
        <v>4307</v>
      </c>
      <c r="G3201" s="739" t="s">
        <v>6913</v>
      </c>
      <c r="H3201" s="739" t="s">
        <v>7126</v>
      </c>
    </row>
    <row r="3202" spans="1:8">
      <c r="A3202" s="739" t="s">
        <v>18374</v>
      </c>
      <c r="E3202" s="739">
        <v>44</v>
      </c>
      <c r="F3202" s="741">
        <v>4263</v>
      </c>
      <c r="G3202" s="739" t="s">
        <v>18123</v>
      </c>
      <c r="H3202" s="739" t="s">
        <v>18375</v>
      </c>
    </row>
    <row r="3203" spans="1:8">
      <c r="A3203" s="739" t="s">
        <v>18376</v>
      </c>
      <c r="C3203" s="739">
        <v>17000</v>
      </c>
      <c r="H3203" s="739" t="s">
        <v>18377</v>
      </c>
    </row>
    <row r="3204" spans="1:8">
      <c r="A3204" s="739" t="s">
        <v>8735</v>
      </c>
      <c r="C3204" s="739">
        <v>29647</v>
      </c>
      <c r="H3204" s="739" t="s">
        <v>8736</v>
      </c>
    </row>
    <row r="3205" spans="1:8">
      <c r="A3205" s="739" t="s">
        <v>18378</v>
      </c>
      <c r="C3205" s="739">
        <v>61454</v>
      </c>
      <c r="D3205" s="846"/>
      <c r="E3205" s="846"/>
      <c r="H3205" s="739" t="s">
        <v>18379</v>
      </c>
    </row>
    <row r="3206" spans="1:8">
      <c r="A3206" s="739" t="s">
        <v>8735</v>
      </c>
      <c r="C3206" s="739">
        <v>21491</v>
      </c>
      <c r="H3206" s="739" t="s">
        <v>18380</v>
      </c>
    </row>
    <row r="3207" spans="1:8">
      <c r="A3207" s="739" t="s">
        <v>8739</v>
      </c>
      <c r="E3207" s="741">
        <v>189</v>
      </c>
      <c r="F3207" s="741">
        <v>4074</v>
      </c>
      <c r="G3207" s="741" t="s">
        <v>6937</v>
      </c>
      <c r="H3207" s="739" t="s">
        <v>18381</v>
      </c>
    </row>
    <row r="3208" spans="1:8">
      <c r="A3208" s="739" t="s">
        <v>18382</v>
      </c>
      <c r="E3208" s="739">
        <v>56</v>
      </c>
      <c r="F3208" s="741">
        <v>4018</v>
      </c>
      <c r="G3208" s="739" t="s">
        <v>18123</v>
      </c>
      <c r="H3208" s="739" t="s">
        <v>18383</v>
      </c>
    </row>
    <row r="3209" spans="1:8">
      <c r="A3209" s="739" t="s">
        <v>18384</v>
      </c>
      <c r="E3209" s="741">
        <v>1458</v>
      </c>
      <c r="F3209" s="741">
        <v>2560</v>
      </c>
      <c r="G3209" s="739" t="s">
        <v>7763</v>
      </c>
      <c r="H3209" s="739" t="s">
        <v>18385</v>
      </c>
    </row>
    <row r="3210" spans="1:8">
      <c r="A3210" s="739" t="s">
        <v>18386</v>
      </c>
      <c r="E3210" s="741">
        <v>18</v>
      </c>
      <c r="F3210" s="741">
        <v>2542</v>
      </c>
      <c r="G3210" s="739" t="s">
        <v>18116</v>
      </c>
      <c r="H3210" s="739" t="s">
        <v>8745</v>
      </c>
    </row>
    <row r="3211" spans="1:8">
      <c r="A3211" s="739" t="s">
        <v>8746</v>
      </c>
      <c r="E3211" s="739">
        <v>60</v>
      </c>
      <c r="F3211" s="741">
        <v>2482</v>
      </c>
      <c r="G3211" s="739" t="s">
        <v>18123</v>
      </c>
      <c r="H3211" s="739" t="s">
        <v>18387</v>
      </c>
    </row>
    <row r="3212" spans="1:8">
      <c r="A3212" s="739" t="s">
        <v>18388</v>
      </c>
      <c r="E3212" s="741">
        <v>200</v>
      </c>
      <c r="F3212" s="741">
        <v>2282</v>
      </c>
      <c r="G3212" s="739" t="s">
        <v>7776</v>
      </c>
      <c r="H3212" s="739" t="s">
        <v>8245</v>
      </c>
    </row>
    <row r="3213" spans="1:8">
      <c r="A3213" s="739" t="s">
        <v>8748</v>
      </c>
      <c r="C3213" s="739">
        <v>18000</v>
      </c>
      <c r="D3213" s="846"/>
      <c r="H3213" s="739" t="s">
        <v>8750</v>
      </c>
    </row>
    <row r="3214" spans="1:8">
      <c r="A3214" s="739" t="s">
        <v>18388</v>
      </c>
      <c r="C3214" s="739">
        <v>29647</v>
      </c>
      <c r="H3214" s="739" t="s">
        <v>8751</v>
      </c>
    </row>
    <row r="3215" spans="1:8">
      <c r="A3215" s="739" t="s">
        <v>18389</v>
      </c>
      <c r="E3215" s="739">
        <v>28</v>
      </c>
      <c r="F3215" s="741">
        <v>2254</v>
      </c>
      <c r="G3215" s="739" t="s">
        <v>6943</v>
      </c>
      <c r="H3215" s="739" t="s">
        <v>8530</v>
      </c>
    </row>
    <row r="3216" spans="1:8" ht="49.5">
      <c r="A3216" s="739" t="s">
        <v>18390</v>
      </c>
      <c r="C3216" s="739">
        <v>30000</v>
      </c>
      <c r="H3216" s="836" t="s">
        <v>18391</v>
      </c>
    </row>
    <row r="3217" spans="1:8">
      <c r="A3217" s="739" t="s">
        <v>18392</v>
      </c>
      <c r="E3217" s="739">
        <v>44</v>
      </c>
      <c r="F3217" s="741">
        <v>2210</v>
      </c>
      <c r="G3217" s="739" t="s">
        <v>6943</v>
      </c>
      <c r="H3217" s="739" t="s">
        <v>8757</v>
      </c>
    </row>
    <row r="3218" spans="1:8">
      <c r="A3218" s="739" t="s">
        <v>8758</v>
      </c>
      <c r="E3218" s="741">
        <v>250</v>
      </c>
      <c r="F3218" s="741">
        <v>1960</v>
      </c>
      <c r="G3218" s="739" t="s">
        <v>18115</v>
      </c>
      <c r="H3218" s="739" t="s">
        <v>8759</v>
      </c>
    </row>
    <row r="3219" spans="1:8">
      <c r="A3219" s="739" t="s">
        <v>8758</v>
      </c>
      <c r="E3219" s="741">
        <v>55</v>
      </c>
      <c r="F3219" s="741">
        <v>1905</v>
      </c>
      <c r="G3219" s="739" t="s">
        <v>7776</v>
      </c>
      <c r="H3219" s="739" t="s">
        <v>18393</v>
      </c>
    </row>
    <row r="3220" spans="1:8">
      <c r="A3220" s="739" t="s">
        <v>18394</v>
      </c>
      <c r="E3220" s="741">
        <v>70</v>
      </c>
      <c r="F3220" s="741">
        <v>1835</v>
      </c>
      <c r="G3220" s="739" t="s">
        <v>18115</v>
      </c>
      <c r="H3220" s="739" t="s">
        <v>8760</v>
      </c>
    </row>
    <row r="3221" spans="1:8">
      <c r="A3221" s="739" t="s">
        <v>18394</v>
      </c>
      <c r="E3221" s="741">
        <v>235</v>
      </c>
      <c r="F3221" s="741">
        <v>1600</v>
      </c>
      <c r="G3221" s="739" t="s">
        <v>7776</v>
      </c>
      <c r="H3221" s="739" t="s">
        <v>8760</v>
      </c>
    </row>
    <row r="3222" spans="1:8">
      <c r="A3222" s="739" t="s">
        <v>18395</v>
      </c>
      <c r="E3222" s="741">
        <v>225</v>
      </c>
      <c r="F3222" s="741">
        <v>1375</v>
      </c>
      <c r="G3222" s="739" t="s">
        <v>7776</v>
      </c>
      <c r="H3222" s="739" t="s">
        <v>18396</v>
      </c>
    </row>
    <row r="3223" spans="1:8">
      <c r="A3223" s="739" t="s">
        <v>8761</v>
      </c>
      <c r="E3223" s="741">
        <v>245</v>
      </c>
      <c r="F3223" s="741">
        <v>1130</v>
      </c>
      <c r="G3223" s="739" t="s">
        <v>7776</v>
      </c>
      <c r="H3223" s="739" t="s">
        <v>8762</v>
      </c>
    </row>
    <row r="3224" spans="1:8">
      <c r="A3224" s="739" t="s">
        <v>18397</v>
      </c>
      <c r="D3224" s="739">
        <v>5000</v>
      </c>
      <c r="E3224" s="741"/>
      <c r="F3224" s="741">
        <v>6130</v>
      </c>
      <c r="H3224" s="739" t="s">
        <v>463</v>
      </c>
    </row>
    <row r="3225" spans="1:8">
      <c r="A3225" s="739" t="s">
        <v>18397</v>
      </c>
      <c r="E3225" s="741">
        <v>1458</v>
      </c>
      <c r="F3225" s="741">
        <v>4672</v>
      </c>
      <c r="G3225" s="739" t="s">
        <v>18103</v>
      </c>
      <c r="H3225" s="739" t="s">
        <v>18398</v>
      </c>
    </row>
    <row r="3226" spans="1:8">
      <c r="A3226" s="739" t="s">
        <v>8763</v>
      </c>
      <c r="E3226" s="741">
        <v>178</v>
      </c>
      <c r="F3226" s="741">
        <v>4494</v>
      </c>
      <c r="G3226" s="741" t="s">
        <v>6937</v>
      </c>
      <c r="H3226" s="739" t="s">
        <v>18399</v>
      </c>
    </row>
    <row r="3227" spans="1:8">
      <c r="A3227" s="739" t="s">
        <v>8766</v>
      </c>
      <c r="E3227" s="741">
        <v>300</v>
      </c>
      <c r="F3227" s="741">
        <v>4184</v>
      </c>
      <c r="G3227" s="739" t="s">
        <v>7776</v>
      </c>
      <c r="H3227" s="739" t="s">
        <v>8759</v>
      </c>
    </row>
    <row r="3228" spans="1:8">
      <c r="A3228" s="739" t="s">
        <v>8766</v>
      </c>
      <c r="E3228" s="741">
        <v>290</v>
      </c>
      <c r="F3228" s="741">
        <v>3894</v>
      </c>
      <c r="G3228" s="739" t="s">
        <v>18115</v>
      </c>
      <c r="H3228" s="739" t="s">
        <v>18393</v>
      </c>
    </row>
    <row r="3229" spans="1:8">
      <c r="E3229" s="741"/>
      <c r="F3229" s="741"/>
      <c r="H3229" s="846" t="s">
        <v>8146</v>
      </c>
    </row>
    <row r="3230" spans="1:8">
      <c r="A3230" s="739" t="s">
        <v>18400</v>
      </c>
      <c r="C3230" s="739">
        <v>17000</v>
      </c>
      <c r="H3230" s="739" t="s">
        <v>18401</v>
      </c>
    </row>
    <row r="3231" spans="1:8">
      <c r="A3231" s="739" t="s">
        <v>18402</v>
      </c>
      <c r="E3231" s="739">
        <v>756</v>
      </c>
      <c r="F3231" s="741">
        <v>3138</v>
      </c>
      <c r="G3231" s="739" t="s">
        <v>6943</v>
      </c>
      <c r="H3231" s="739" t="s">
        <v>8771</v>
      </c>
    </row>
    <row r="3232" spans="1:8">
      <c r="A3232" s="739" t="s">
        <v>8772</v>
      </c>
      <c r="E3232" s="739">
        <v>44</v>
      </c>
      <c r="F3232" s="741">
        <v>3094</v>
      </c>
      <c r="G3232" s="739" t="s">
        <v>18051</v>
      </c>
      <c r="H3232" s="739" t="s">
        <v>8773</v>
      </c>
    </row>
    <row r="3233" spans="1:8">
      <c r="A3233" s="739" t="s">
        <v>18403</v>
      </c>
      <c r="E3233" s="741">
        <v>1458</v>
      </c>
      <c r="F3233" s="741">
        <v>1636</v>
      </c>
      <c r="G3233" s="739" t="s">
        <v>18103</v>
      </c>
      <c r="H3233" s="739" t="s">
        <v>8775</v>
      </c>
    </row>
    <row r="3234" spans="1:8">
      <c r="A3234" s="739" t="s">
        <v>18404</v>
      </c>
      <c r="E3234" s="741">
        <v>18</v>
      </c>
      <c r="F3234" s="741">
        <v>1618</v>
      </c>
      <c r="G3234" s="739" t="s">
        <v>6913</v>
      </c>
      <c r="H3234" s="739" t="s">
        <v>18405</v>
      </c>
    </row>
    <row r="3235" spans="1:8">
      <c r="A3235" s="739" t="s">
        <v>8776</v>
      </c>
      <c r="E3235" s="739">
        <v>32</v>
      </c>
      <c r="F3235" s="741">
        <v>1586</v>
      </c>
      <c r="G3235" s="739" t="s">
        <v>7776</v>
      </c>
      <c r="H3235" s="739" t="s">
        <v>8684</v>
      </c>
    </row>
    <row r="3236" spans="1:8">
      <c r="E3236" s="741"/>
      <c r="F3236" s="741"/>
      <c r="H3236" s="846" t="s">
        <v>8146</v>
      </c>
    </row>
    <row r="3237" spans="1:8">
      <c r="A3237" s="739" t="s">
        <v>18406</v>
      </c>
      <c r="C3237" s="739">
        <v>17000</v>
      </c>
      <c r="H3237" s="739" t="s">
        <v>18407</v>
      </c>
    </row>
    <row r="3238" spans="1:8">
      <c r="A3238" s="739" t="s">
        <v>8780</v>
      </c>
      <c r="E3238" s="741">
        <v>390</v>
      </c>
      <c r="F3238" s="741">
        <v>1196</v>
      </c>
      <c r="G3238" s="739" t="s">
        <v>7776</v>
      </c>
      <c r="H3238" s="739" t="s">
        <v>18408</v>
      </c>
    </row>
    <row r="3239" spans="1:8">
      <c r="A3239" s="739" t="s">
        <v>8780</v>
      </c>
      <c r="E3239" s="741">
        <v>395</v>
      </c>
      <c r="F3239" s="741">
        <v>801</v>
      </c>
      <c r="G3239" s="739" t="s">
        <v>18115</v>
      </c>
      <c r="H3239" s="739" t="s">
        <v>18408</v>
      </c>
    </row>
    <row r="3240" spans="1:8">
      <c r="A3240" s="739" t="s">
        <v>18409</v>
      </c>
      <c r="D3240" s="739">
        <v>5000</v>
      </c>
      <c r="E3240" s="741"/>
      <c r="F3240" s="741">
        <v>5801</v>
      </c>
      <c r="H3240" s="739" t="s">
        <v>18132</v>
      </c>
    </row>
    <row r="3241" spans="1:8">
      <c r="A3241" s="739" t="s">
        <v>8780</v>
      </c>
      <c r="E3241" s="741">
        <v>410</v>
      </c>
      <c r="F3241" s="741">
        <v>5391</v>
      </c>
      <c r="G3241" s="739" t="s">
        <v>7776</v>
      </c>
      <c r="H3241" s="739" t="s">
        <v>18410</v>
      </c>
    </row>
    <row r="3242" spans="1:8">
      <c r="A3242" s="739" t="s">
        <v>18411</v>
      </c>
      <c r="E3242" s="741">
        <v>405</v>
      </c>
      <c r="F3242" s="741">
        <v>4986</v>
      </c>
      <c r="G3242" s="739" t="s">
        <v>18115</v>
      </c>
      <c r="H3242" s="739" t="s">
        <v>18410</v>
      </c>
    </row>
    <row r="3243" spans="1:8">
      <c r="A3243" s="739" t="s">
        <v>8783</v>
      </c>
      <c r="C3243" s="739">
        <v>516</v>
      </c>
      <c r="F3243" s="741"/>
      <c r="H3243" s="739" t="s">
        <v>8784</v>
      </c>
    </row>
    <row r="3244" spans="1:8">
      <c r="A3244" s="739" t="s">
        <v>8783</v>
      </c>
      <c r="C3244" s="739">
        <v>41154</v>
      </c>
      <c r="H3244" s="739" t="s">
        <v>18412</v>
      </c>
    </row>
    <row r="3245" spans="1:8">
      <c r="A3245" s="739" t="s">
        <v>18413</v>
      </c>
      <c r="C3245" s="739">
        <v>43500</v>
      </c>
      <c r="D3245" s="846"/>
      <c r="H3245" s="739" t="s">
        <v>18414</v>
      </c>
    </row>
    <row r="3246" spans="1:8">
      <c r="A3246" s="739" t="s">
        <v>18415</v>
      </c>
      <c r="C3246" s="739">
        <v>29647</v>
      </c>
      <c r="H3246" s="739" t="s">
        <v>8787</v>
      </c>
    </row>
    <row r="3247" spans="1:8">
      <c r="A3247" s="739" t="s">
        <v>8788</v>
      </c>
      <c r="E3247" s="741">
        <v>390</v>
      </c>
      <c r="F3247" s="741">
        <v>4596</v>
      </c>
      <c r="G3247" s="739" t="s">
        <v>18115</v>
      </c>
      <c r="H3247" s="739" t="s">
        <v>18416</v>
      </c>
    </row>
    <row r="3248" spans="1:8">
      <c r="A3248" s="739" t="s">
        <v>8788</v>
      </c>
      <c r="E3248" s="741">
        <v>420</v>
      </c>
      <c r="F3248" s="741">
        <v>4176</v>
      </c>
      <c r="G3248" s="739" t="s">
        <v>7776</v>
      </c>
      <c r="H3248" s="739" t="s">
        <v>8789</v>
      </c>
    </row>
    <row r="3249" spans="1:9">
      <c r="A3249" s="739" t="s">
        <v>18417</v>
      </c>
      <c r="C3249" s="739">
        <v>41454</v>
      </c>
      <c r="D3249" s="846"/>
      <c r="H3249" s="739" t="s">
        <v>8790</v>
      </c>
    </row>
    <row r="3250" spans="1:9">
      <c r="A3250" s="739" t="s">
        <v>8791</v>
      </c>
      <c r="E3250" s="739">
        <v>244</v>
      </c>
      <c r="F3250" s="741">
        <v>3932</v>
      </c>
      <c r="G3250" s="739" t="s">
        <v>6943</v>
      </c>
      <c r="H3250" s="739" t="s">
        <v>8792</v>
      </c>
    </row>
    <row r="3251" spans="1:9">
      <c r="A3251" s="739" t="s">
        <v>18418</v>
      </c>
      <c r="C3251" s="739">
        <v>22824</v>
      </c>
      <c r="H3251" s="739" t="s">
        <v>18419</v>
      </c>
    </row>
    <row r="3252" spans="1:9">
      <c r="E3252" s="741"/>
      <c r="F3252" s="741"/>
      <c r="H3252" s="846" t="s">
        <v>8146</v>
      </c>
    </row>
    <row r="3253" spans="1:9">
      <c r="A3253" s="739" t="s">
        <v>18420</v>
      </c>
      <c r="E3253" s="739">
        <v>28</v>
      </c>
      <c r="F3253" s="741">
        <v>3904</v>
      </c>
      <c r="G3253" s="739" t="s">
        <v>6943</v>
      </c>
      <c r="H3253" s="739" t="s">
        <v>8795</v>
      </c>
    </row>
    <row r="3254" spans="1:9">
      <c r="A3254" s="739" t="s">
        <v>18421</v>
      </c>
      <c r="E3254" s="739">
        <v>144</v>
      </c>
      <c r="F3254" s="741">
        <v>3760</v>
      </c>
      <c r="G3254" s="739" t="s">
        <v>18123</v>
      </c>
      <c r="H3254" s="739" t="s">
        <v>18422</v>
      </c>
    </row>
    <row r="3255" spans="1:9">
      <c r="A3255" s="739" t="s">
        <v>18423</v>
      </c>
      <c r="E3255" s="741">
        <v>15</v>
      </c>
      <c r="F3255" s="741">
        <v>3745</v>
      </c>
      <c r="G3255" s="739" t="s">
        <v>18170</v>
      </c>
      <c r="H3255" s="739" t="s">
        <v>6244</v>
      </c>
    </row>
    <row r="3256" spans="1:9">
      <c r="A3256" s="739" t="s">
        <v>8796</v>
      </c>
      <c r="E3256" s="741">
        <v>459</v>
      </c>
      <c r="F3256" s="741">
        <v>3286</v>
      </c>
      <c r="G3256" s="739" t="s">
        <v>6972</v>
      </c>
      <c r="H3256" s="739" t="s">
        <v>8800</v>
      </c>
    </row>
    <row r="3257" spans="1:9">
      <c r="A3257" s="739" t="s">
        <v>8801</v>
      </c>
      <c r="E3257" s="739">
        <v>44</v>
      </c>
      <c r="F3257" s="741">
        <v>3242</v>
      </c>
      <c r="G3257" s="739" t="s">
        <v>18123</v>
      </c>
      <c r="H3257" s="739" t="s">
        <v>18424</v>
      </c>
    </row>
    <row r="3258" spans="1:9">
      <c r="A3258" s="739" t="s">
        <v>8803</v>
      </c>
      <c r="C3258" s="739">
        <v>20000</v>
      </c>
      <c r="D3258" s="846"/>
      <c r="H3258" s="739" t="s">
        <v>8790</v>
      </c>
    </row>
    <row r="3259" spans="1:9">
      <c r="E3259" s="741"/>
      <c r="F3259" s="741"/>
      <c r="H3259" s="846" t="s">
        <v>8146</v>
      </c>
    </row>
    <row r="3260" spans="1:9">
      <c r="A3260" s="739" t="s">
        <v>18425</v>
      </c>
      <c r="E3260" s="741">
        <v>1458</v>
      </c>
      <c r="F3260" s="741">
        <v>1784</v>
      </c>
      <c r="G3260" s="739" t="s">
        <v>7763</v>
      </c>
      <c r="H3260" s="739" t="s">
        <v>18426</v>
      </c>
    </row>
    <row r="3261" spans="1:9">
      <c r="A3261" s="739" t="s">
        <v>8804</v>
      </c>
      <c r="E3261" s="741">
        <v>168</v>
      </c>
      <c r="F3261" s="741">
        <v>1616</v>
      </c>
      <c r="G3261" s="741" t="s">
        <v>6937</v>
      </c>
      <c r="H3261" s="739" t="s">
        <v>18427</v>
      </c>
    </row>
    <row r="3262" spans="1:9">
      <c r="A3262" s="739" t="s">
        <v>5547</v>
      </c>
      <c r="C3262" s="739">
        <v>19994</v>
      </c>
      <c r="H3262" s="739" t="s">
        <v>8808</v>
      </c>
    </row>
    <row r="3263" spans="1:9">
      <c r="E3263" s="741"/>
      <c r="F3263" s="741"/>
      <c r="H3263" s="846" t="s">
        <v>18119</v>
      </c>
    </row>
    <row r="3264" spans="1:9">
      <c r="A3264" s="739" t="s">
        <v>8809</v>
      </c>
      <c r="C3264" s="739">
        <v>17000</v>
      </c>
      <c r="H3264" s="739" t="s">
        <v>8810</v>
      </c>
      <c r="I3264" s="739" t="s">
        <v>8811</v>
      </c>
    </row>
    <row r="3265" spans="1:8">
      <c r="A3265" s="739" t="s">
        <v>18428</v>
      </c>
      <c r="C3265" s="739">
        <v>39800</v>
      </c>
      <c r="D3265" s="846"/>
      <c r="H3265" s="739" t="s">
        <v>18414</v>
      </c>
    </row>
    <row r="3266" spans="1:8">
      <c r="A3266" s="739" t="s">
        <v>8812</v>
      </c>
      <c r="C3266" s="739">
        <v>29647</v>
      </c>
      <c r="H3266" s="739" t="s">
        <v>8813</v>
      </c>
    </row>
    <row r="3267" spans="1:8">
      <c r="A3267" s="739" t="s">
        <v>8814</v>
      </c>
      <c r="C3267" s="739">
        <v>18907</v>
      </c>
      <c r="H3267" s="739" t="s">
        <v>18429</v>
      </c>
    </row>
    <row r="3268" spans="1:8">
      <c r="A3268" s="739" t="s">
        <v>18430</v>
      </c>
      <c r="C3268" s="739">
        <v>50000</v>
      </c>
      <c r="D3268" s="846"/>
      <c r="H3268" s="739" t="s">
        <v>8816</v>
      </c>
    </row>
    <row r="3269" spans="1:8">
      <c r="A3269" s="739" t="s">
        <v>8817</v>
      </c>
      <c r="C3269" s="739">
        <v>61454</v>
      </c>
      <c r="D3269" s="846"/>
      <c r="H3269" s="739" t="s">
        <v>8818</v>
      </c>
    </row>
    <row r="3270" spans="1:8">
      <c r="A3270" s="739" t="s">
        <v>18431</v>
      </c>
      <c r="E3270" s="741">
        <v>110</v>
      </c>
      <c r="F3270" s="741">
        <v>1506</v>
      </c>
      <c r="G3270" s="739" t="s">
        <v>18233</v>
      </c>
      <c r="H3270" s="739" t="s">
        <v>8667</v>
      </c>
    </row>
    <row r="3271" spans="1:8">
      <c r="A3271" s="739" t="s">
        <v>18432</v>
      </c>
      <c r="E3271" s="741">
        <v>1458</v>
      </c>
      <c r="F3271" s="741">
        <v>48</v>
      </c>
      <c r="G3271" s="739" t="s">
        <v>18103</v>
      </c>
      <c r="H3271" s="739" t="s">
        <v>8821</v>
      </c>
    </row>
    <row r="3272" spans="1:8">
      <c r="A3272" s="739" t="s">
        <v>8822</v>
      </c>
      <c r="E3272" s="741">
        <v>18</v>
      </c>
      <c r="F3272" s="741">
        <v>30</v>
      </c>
      <c r="G3272" s="739" t="s">
        <v>18048</v>
      </c>
      <c r="H3272" s="739" t="s">
        <v>8823</v>
      </c>
    </row>
    <row r="3273" spans="1:8">
      <c r="A3273" s="739" t="s">
        <v>18433</v>
      </c>
      <c r="D3273" s="739">
        <v>5000</v>
      </c>
      <c r="E3273" s="741"/>
      <c r="F3273" s="741">
        <v>5030</v>
      </c>
      <c r="H3273" s="739" t="s">
        <v>463</v>
      </c>
    </row>
    <row r="3274" spans="1:8">
      <c r="A3274" s="739" t="s">
        <v>18433</v>
      </c>
      <c r="E3274" s="739">
        <v>324</v>
      </c>
      <c r="F3274" s="741">
        <v>4706</v>
      </c>
      <c r="G3274" s="739" t="s">
        <v>6943</v>
      </c>
      <c r="H3274" s="739" t="s">
        <v>18434</v>
      </c>
    </row>
    <row r="3275" spans="1:8">
      <c r="E3275" s="741"/>
      <c r="F3275" s="741"/>
      <c r="H3275" s="846" t="s">
        <v>8146</v>
      </c>
    </row>
    <row r="3276" spans="1:8">
      <c r="A3276" s="739" t="s">
        <v>18435</v>
      </c>
      <c r="C3276" s="739">
        <v>20000</v>
      </c>
      <c r="H3276" s="739" t="s">
        <v>8827</v>
      </c>
    </row>
    <row r="3277" spans="1:8">
      <c r="A3277" s="739" t="s">
        <v>18436</v>
      </c>
      <c r="C3277" s="739">
        <v>7500</v>
      </c>
      <c r="D3277" s="846"/>
      <c r="H3277" s="739" t="s">
        <v>8829</v>
      </c>
    </row>
    <row r="3278" spans="1:8">
      <c r="A3278" s="739" t="s">
        <v>8828</v>
      </c>
      <c r="C3278" s="739">
        <v>29647</v>
      </c>
      <c r="H3278" s="739" t="s">
        <v>18437</v>
      </c>
    </row>
    <row r="3279" spans="1:8">
      <c r="A3279" s="739" t="s">
        <v>18438</v>
      </c>
      <c r="C3279" s="739">
        <v>8137</v>
      </c>
      <c r="H3279" s="739" t="s">
        <v>18429</v>
      </c>
    </row>
    <row r="3280" spans="1:8">
      <c r="A3280" s="739" t="s">
        <v>18439</v>
      </c>
      <c r="C3280" s="739">
        <v>10670</v>
      </c>
      <c r="H3280" s="739" t="s">
        <v>8833</v>
      </c>
    </row>
    <row r="3281" spans="1:8">
      <c r="A3281" s="739" t="s">
        <v>18440</v>
      </c>
      <c r="C3281" s="739">
        <v>60000</v>
      </c>
      <c r="D3281" s="846"/>
      <c r="H3281" s="739" t="s">
        <v>18441</v>
      </c>
    </row>
    <row r="3282" spans="1:8">
      <c r="A3282" s="739" t="s">
        <v>8835</v>
      </c>
      <c r="E3282" s="739">
        <v>28</v>
      </c>
      <c r="F3282" s="741">
        <v>4678</v>
      </c>
      <c r="G3282" s="739" t="s">
        <v>18123</v>
      </c>
      <c r="H3282" s="739" t="s">
        <v>8836</v>
      </c>
    </row>
    <row r="3283" spans="1:8">
      <c r="A3283" s="739" t="s">
        <v>18442</v>
      </c>
      <c r="E3283" s="741">
        <v>105</v>
      </c>
      <c r="F3283" s="741">
        <v>4573</v>
      </c>
      <c r="G3283" s="739" t="s">
        <v>6913</v>
      </c>
      <c r="H3283" s="739" t="s">
        <v>8838</v>
      </c>
    </row>
    <row r="3284" spans="1:8" ht="231">
      <c r="A3284" s="739" t="s">
        <v>18443</v>
      </c>
      <c r="C3284" s="739">
        <v>104030</v>
      </c>
      <c r="H3284" s="836" t="s">
        <v>18444</v>
      </c>
    </row>
    <row r="3285" spans="1:8">
      <c r="A3285" s="739" t="s">
        <v>8839</v>
      </c>
      <c r="C3285" s="739">
        <v>31454</v>
      </c>
      <c r="D3285" s="846" t="s">
        <v>18445</v>
      </c>
      <c r="H3285" s="739" t="s">
        <v>8842</v>
      </c>
    </row>
    <row r="3286" spans="1:8">
      <c r="A3286" s="739" t="s">
        <v>8839</v>
      </c>
      <c r="E3286" s="741">
        <v>178</v>
      </c>
      <c r="F3286" s="741">
        <v>4395</v>
      </c>
      <c r="G3286" s="741" t="s">
        <v>6937</v>
      </c>
      <c r="H3286" s="739" t="s">
        <v>18446</v>
      </c>
    </row>
    <row r="3287" spans="1:8">
      <c r="A3287" s="739" t="s">
        <v>18443</v>
      </c>
      <c r="E3287" s="741">
        <v>1458</v>
      </c>
      <c r="F3287" s="741">
        <v>2937</v>
      </c>
      <c r="G3287" s="739" t="s">
        <v>18103</v>
      </c>
      <c r="H3287" s="739" t="s">
        <v>18447</v>
      </c>
    </row>
    <row r="3288" spans="1:8">
      <c r="E3288" s="741"/>
      <c r="F3288" s="741"/>
      <c r="H3288" s="846" t="s">
        <v>8146</v>
      </c>
    </row>
    <row r="3289" spans="1:8">
      <c r="A3289" s="739" t="s">
        <v>8845</v>
      </c>
      <c r="C3289" s="846">
        <v>20030</v>
      </c>
      <c r="H3289" s="739" t="s">
        <v>18448</v>
      </c>
    </row>
    <row r="3290" spans="1:8">
      <c r="A3290" s="739" t="s">
        <v>8847</v>
      </c>
      <c r="E3290" s="741">
        <v>50</v>
      </c>
      <c r="F3290" s="741">
        <v>2887</v>
      </c>
      <c r="G3290" s="842"/>
      <c r="H3290" s="739" t="s">
        <v>8848</v>
      </c>
    </row>
    <row r="3291" spans="1:8">
      <c r="A3291" s="739" t="s">
        <v>8847</v>
      </c>
      <c r="C3291" s="739">
        <v>29647</v>
      </c>
      <c r="H3291" s="739" t="s">
        <v>18449</v>
      </c>
    </row>
    <row r="3292" spans="1:8">
      <c r="A3292" s="739" t="s">
        <v>18450</v>
      </c>
      <c r="C3292" s="739">
        <v>30000</v>
      </c>
      <c r="D3292" s="846"/>
      <c r="H3292" s="739" t="s">
        <v>8850</v>
      </c>
    </row>
    <row r="3293" spans="1:8" ht="148.5">
      <c r="A3293" s="739" t="s">
        <v>8847</v>
      </c>
      <c r="C3293" s="739">
        <v>114521</v>
      </c>
      <c r="H3293" s="836" t="s">
        <v>8851</v>
      </c>
    </row>
    <row r="3294" spans="1:8">
      <c r="A3294" s="739" t="s">
        <v>18451</v>
      </c>
      <c r="E3294" s="739">
        <v>36</v>
      </c>
      <c r="F3294" s="741">
        <v>2851</v>
      </c>
      <c r="G3294" s="739" t="s">
        <v>6943</v>
      </c>
      <c r="H3294" s="739" t="s">
        <v>18452</v>
      </c>
    </row>
    <row r="3295" spans="1:8">
      <c r="A3295" s="739" t="s">
        <v>18450</v>
      </c>
      <c r="C3295" s="739">
        <v>29647</v>
      </c>
      <c r="H3295" s="739" t="s">
        <v>18449</v>
      </c>
    </row>
    <row r="3296" spans="1:8">
      <c r="A3296" s="739" t="s">
        <v>8847</v>
      </c>
      <c r="C3296" s="739">
        <v>61454</v>
      </c>
      <c r="D3296" s="846"/>
      <c r="H3296" s="739" t="s">
        <v>18453</v>
      </c>
    </row>
    <row r="3297" spans="1:8">
      <c r="A3297" s="739" t="s">
        <v>8847</v>
      </c>
      <c r="C3297" s="739">
        <v>3832</v>
      </c>
      <c r="D3297" s="846"/>
      <c r="H3297" s="739" t="s">
        <v>18454</v>
      </c>
    </row>
    <row r="3298" spans="1:8">
      <c r="A3298" s="739" t="s">
        <v>8855</v>
      </c>
      <c r="C3298" s="739">
        <v>44648</v>
      </c>
      <c r="H3298" s="739" t="s">
        <v>8856</v>
      </c>
    </row>
    <row r="3299" spans="1:8">
      <c r="A3299" s="739" t="s">
        <v>8857</v>
      </c>
      <c r="E3299" s="741">
        <v>250</v>
      </c>
      <c r="F3299" s="741">
        <v>2601</v>
      </c>
      <c r="G3299" s="739" t="s">
        <v>7776</v>
      </c>
      <c r="H3299" s="739" t="s">
        <v>18182</v>
      </c>
    </row>
    <row r="3300" spans="1:8">
      <c r="A3300" s="739" t="s">
        <v>8857</v>
      </c>
      <c r="E3300" s="741">
        <v>280</v>
      </c>
      <c r="F3300" s="741">
        <v>2321</v>
      </c>
      <c r="G3300" s="739" t="s">
        <v>18115</v>
      </c>
      <c r="H3300" s="739" t="s">
        <v>8398</v>
      </c>
    </row>
    <row r="3301" spans="1:8">
      <c r="A3301" s="739" t="s">
        <v>8859</v>
      </c>
      <c r="E3301" s="739">
        <v>84</v>
      </c>
      <c r="F3301" s="741">
        <v>2237</v>
      </c>
      <c r="G3301" s="739" t="s">
        <v>6943</v>
      </c>
      <c r="H3301" s="739" t="s">
        <v>18455</v>
      </c>
    </row>
    <row r="3302" spans="1:8">
      <c r="E3302" s="741"/>
      <c r="F3302" s="741"/>
      <c r="H3302" s="846" t="s">
        <v>18119</v>
      </c>
    </row>
    <row r="3303" spans="1:8">
      <c r="A3303" s="739" t="s">
        <v>18456</v>
      </c>
      <c r="E3303" s="741">
        <v>200</v>
      </c>
      <c r="F3303" s="741">
        <v>2037</v>
      </c>
      <c r="G3303" s="739" t="s">
        <v>18095</v>
      </c>
      <c r="H3303" s="739" t="s">
        <v>8862</v>
      </c>
    </row>
    <row r="3304" spans="1:8">
      <c r="A3304" s="739" t="s">
        <v>8861</v>
      </c>
      <c r="E3304" s="741">
        <v>200</v>
      </c>
      <c r="F3304" s="741">
        <v>1837</v>
      </c>
      <c r="G3304" s="739" t="s">
        <v>18095</v>
      </c>
      <c r="H3304" s="739" t="s">
        <v>18457</v>
      </c>
    </row>
    <row r="3305" spans="1:8">
      <c r="A3305" s="739" t="s">
        <v>18458</v>
      </c>
      <c r="E3305" s="741">
        <v>235</v>
      </c>
      <c r="F3305" s="741">
        <v>1602</v>
      </c>
      <c r="G3305" s="739" t="s">
        <v>7776</v>
      </c>
      <c r="H3305" s="739" t="s">
        <v>18459</v>
      </c>
    </row>
    <row r="3306" spans="1:8">
      <c r="A3306" s="739" t="s">
        <v>18458</v>
      </c>
      <c r="E3306" s="741">
        <v>240</v>
      </c>
      <c r="F3306" s="741">
        <v>1362</v>
      </c>
      <c r="G3306" s="739" t="s">
        <v>18095</v>
      </c>
      <c r="H3306" s="739" t="s">
        <v>8864</v>
      </c>
    </row>
    <row r="3307" spans="1:8">
      <c r="A3307" s="739" t="s">
        <v>18458</v>
      </c>
      <c r="D3307" s="739">
        <v>2900</v>
      </c>
      <c r="E3307" s="741"/>
      <c r="F3307" s="741">
        <v>4262</v>
      </c>
      <c r="H3307" s="739" t="s">
        <v>8865</v>
      </c>
    </row>
    <row r="3308" spans="1:8">
      <c r="A3308" s="739" t="s">
        <v>8863</v>
      </c>
      <c r="E3308" s="741">
        <v>255</v>
      </c>
      <c r="F3308" s="741">
        <v>4007</v>
      </c>
      <c r="G3308" s="739" t="s">
        <v>18048</v>
      </c>
      <c r="H3308" s="739" t="s">
        <v>8866</v>
      </c>
    </row>
    <row r="3309" spans="1:8">
      <c r="A3309" s="739" t="s">
        <v>5576</v>
      </c>
      <c r="E3309" s="741">
        <v>18</v>
      </c>
      <c r="F3309" s="741">
        <v>3989</v>
      </c>
      <c r="G3309" s="739" t="s">
        <v>18116</v>
      </c>
      <c r="H3309" s="739" t="s">
        <v>8868</v>
      </c>
    </row>
    <row r="3310" spans="1:8">
      <c r="A3310" s="739" t="s">
        <v>8869</v>
      </c>
      <c r="D3310" s="739">
        <v>5000</v>
      </c>
      <c r="E3310" s="741"/>
      <c r="F3310" s="741">
        <v>8989</v>
      </c>
      <c r="H3310" s="739" t="s">
        <v>18132</v>
      </c>
    </row>
    <row r="3311" spans="1:8">
      <c r="A3311" s="739" t="s">
        <v>18460</v>
      </c>
      <c r="E3311" s="741">
        <v>1458</v>
      </c>
      <c r="F3311" s="741">
        <v>7531</v>
      </c>
      <c r="G3311" s="739" t="s">
        <v>18212</v>
      </c>
      <c r="H3311" s="739" t="s">
        <v>18461</v>
      </c>
    </row>
    <row r="3312" spans="1:8" s="842" customFormat="1" ht="6.6" customHeight="1">
      <c r="E3312" s="848"/>
      <c r="F3312" s="848"/>
    </row>
    <row r="3313" spans="1:11">
      <c r="A3313" s="739" t="s">
        <v>18462</v>
      </c>
      <c r="C3313" s="739">
        <v>20000</v>
      </c>
      <c r="H3313" s="739" t="s">
        <v>8872</v>
      </c>
      <c r="K3313" s="739" t="s">
        <v>18463</v>
      </c>
    </row>
    <row r="3314" spans="1:11">
      <c r="A3314" s="739" t="s">
        <v>8874</v>
      </c>
      <c r="E3314" s="741">
        <v>70</v>
      </c>
      <c r="F3314" s="741">
        <v>7461</v>
      </c>
      <c r="G3314" s="739" t="s">
        <v>18115</v>
      </c>
      <c r="H3314" s="739" t="s">
        <v>8359</v>
      </c>
    </row>
    <row r="3315" spans="1:11">
      <c r="A3315" s="739" t="s">
        <v>8874</v>
      </c>
      <c r="E3315" s="741">
        <v>70</v>
      </c>
      <c r="F3315" s="741">
        <v>7391</v>
      </c>
      <c r="G3315" s="739" t="s">
        <v>18115</v>
      </c>
      <c r="H3315" s="739" t="s">
        <v>8359</v>
      </c>
    </row>
    <row r="3316" spans="1:11">
      <c r="A3316" s="739" t="s">
        <v>8874</v>
      </c>
      <c r="E3316" s="741">
        <v>195</v>
      </c>
      <c r="F3316" s="741">
        <v>7196</v>
      </c>
      <c r="G3316" s="739" t="s">
        <v>7776</v>
      </c>
      <c r="H3316" s="739" t="s">
        <v>18464</v>
      </c>
    </row>
    <row r="3317" spans="1:11">
      <c r="A3317" s="739" t="s">
        <v>8874</v>
      </c>
      <c r="E3317" s="741">
        <v>190</v>
      </c>
      <c r="F3317" s="741">
        <v>7006</v>
      </c>
      <c r="G3317" s="739" t="s">
        <v>18115</v>
      </c>
      <c r="H3317" s="739" t="s">
        <v>18464</v>
      </c>
    </row>
    <row r="3318" spans="1:11">
      <c r="A3318" s="739" t="s">
        <v>8877</v>
      </c>
      <c r="C3318" s="739">
        <v>16800</v>
      </c>
      <c r="H3318" s="850" t="s">
        <v>8878</v>
      </c>
    </row>
    <row r="3319" spans="1:11">
      <c r="A3319" s="739" t="s">
        <v>8879</v>
      </c>
      <c r="C3319" s="739">
        <v>29647</v>
      </c>
      <c r="H3319" s="739" t="s">
        <v>8880</v>
      </c>
    </row>
    <row r="3320" spans="1:11">
      <c r="A3320" s="739" t="s">
        <v>8879</v>
      </c>
      <c r="C3320" s="739">
        <v>61454</v>
      </c>
      <c r="D3320" s="846"/>
      <c r="H3320" s="739" t="s">
        <v>18465</v>
      </c>
    </row>
    <row r="3321" spans="1:11">
      <c r="A3321" s="739" t="s">
        <v>8879</v>
      </c>
      <c r="C3321" s="739">
        <v>18000</v>
      </c>
      <c r="D3321" s="846"/>
      <c r="H3321" s="739" t="s">
        <v>18466</v>
      </c>
    </row>
    <row r="3322" spans="1:11">
      <c r="A3322" s="739" t="s">
        <v>18467</v>
      </c>
      <c r="C3322" s="739">
        <v>34335</v>
      </c>
      <c r="H3322" s="739" t="s">
        <v>18468</v>
      </c>
    </row>
    <row r="3323" spans="1:11">
      <c r="E3323" s="741"/>
      <c r="F3323" s="741"/>
      <c r="H3323" s="846" t="s">
        <v>18119</v>
      </c>
    </row>
    <row r="3324" spans="1:11">
      <c r="A3324" s="739" t="s">
        <v>8885</v>
      </c>
      <c r="C3324" s="741">
        <v>15000</v>
      </c>
      <c r="D3324" s="846"/>
      <c r="E3324" s="846"/>
      <c r="H3324" s="741" t="s">
        <v>18469</v>
      </c>
    </row>
    <row r="3325" spans="1:11">
      <c r="A3325" s="739" t="s">
        <v>18470</v>
      </c>
      <c r="E3325" s="741">
        <v>100</v>
      </c>
      <c r="F3325" s="741">
        <v>6906</v>
      </c>
      <c r="G3325" s="739" t="s">
        <v>6913</v>
      </c>
      <c r="H3325" s="739" t="s">
        <v>8887</v>
      </c>
    </row>
    <row r="3326" spans="1:11">
      <c r="A3326" s="739" t="s">
        <v>8888</v>
      </c>
      <c r="E3326" s="741">
        <v>365</v>
      </c>
      <c r="F3326" s="741">
        <v>6541</v>
      </c>
      <c r="G3326" s="739" t="s">
        <v>7776</v>
      </c>
      <c r="H3326" s="739" t="s">
        <v>18471</v>
      </c>
    </row>
    <row r="3327" spans="1:11">
      <c r="A3327" s="739" t="s">
        <v>8888</v>
      </c>
      <c r="E3327" s="741">
        <v>110</v>
      </c>
      <c r="F3327" s="741">
        <v>6431</v>
      </c>
      <c r="G3327" s="739" t="s">
        <v>18115</v>
      </c>
      <c r="H3327" s="739" t="s">
        <v>18471</v>
      </c>
    </row>
    <row r="3328" spans="1:11">
      <c r="A3328" s="739" t="s">
        <v>8890</v>
      </c>
      <c r="E3328" s="739">
        <v>60</v>
      </c>
      <c r="F3328" s="741">
        <v>6371</v>
      </c>
      <c r="G3328" s="739" t="s">
        <v>6943</v>
      </c>
      <c r="H3328" s="739" t="s">
        <v>8891</v>
      </c>
    </row>
    <row r="3329" spans="1:11" ht="49.5">
      <c r="A3329" s="739" t="s">
        <v>18472</v>
      </c>
      <c r="E3329" s="739">
        <v>1800</v>
      </c>
      <c r="F3329" s="741">
        <v>4571</v>
      </c>
      <c r="G3329" s="851"/>
      <c r="H3329" s="836" t="s">
        <v>18473</v>
      </c>
    </row>
    <row r="3330" spans="1:11">
      <c r="A3330" s="739" t="s">
        <v>18474</v>
      </c>
      <c r="E3330" s="741">
        <v>1458</v>
      </c>
      <c r="F3330" s="741">
        <v>3113</v>
      </c>
      <c r="G3330" s="739" t="s">
        <v>18212</v>
      </c>
      <c r="H3330" s="739" t="s">
        <v>8895</v>
      </c>
    </row>
    <row r="3331" spans="1:11">
      <c r="A3331" s="739" t="s">
        <v>5434</v>
      </c>
      <c r="C3331" s="739">
        <v>20000</v>
      </c>
      <c r="H3331" s="739" t="s">
        <v>8897</v>
      </c>
      <c r="K3331" s="739" t="s">
        <v>8873</v>
      </c>
    </row>
    <row r="3332" spans="1:11">
      <c r="A3332" s="739" t="s">
        <v>5434</v>
      </c>
      <c r="E3332" s="741">
        <v>189</v>
      </c>
      <c r="F3332" s="741">
        <v>2924</v>
      </c>
      <c r="G3332" s="741" t="s">
        <v>18106</v>
      </c>
      <c r="H3332" s="739" t="s">
        <v>18475</v>
      </c>
    </row>
    <row r="3333" spans="1:11">
      <c r="A3333" s="739" t="s">
        <v>18476</v>
      </c>
      <c r="C3333" s="739">
        <v>29647</v>
      </c>
      <c r="H3333" s="739" t="s">
        <v>18477</v>
      </c>
    </row>
    <row r="3334" spans="1:11">
      <c r="A3334" s="739" t="s">
        <v>18476</v>
      </c>
      <c r="C3334" s="739">
        <v>12000</v>
      </c>
      <c r="D3334" s="846"/>
      <c r="H3334" s="739" t="s">
        <v>18478</v>
      </c>
    </row>
    <row r="3335" spans="1:11">
      <c r="A3335" s="739" t="s">
        <v>8901</v>
      </c>
      <c r="C3335" s="739">
        <v>15090</v>
      </c>
      <c r="H3335" s="739" t="s">
        <v>18479</v>
      </c>
    </row>
    <row r="3336" spans="1:11">
      <c r="A3336" s="739" t="s">
        <v>8901</v>
      </c>
      <c r="C3336" s="739">
        <v>61454</v>
      </c>
      <c r="D3336" s="846"/>
      <c r="H3336" s="739" t="s">
        <v>8903</v>
      </c>
    </row>
    <row r="3337" spans="1:11">
      <c r="A3337" s="739" t="s">
        <v>8904</v>
      </c>
      <c r="E3337" s="739">
        <v>228</v>
      </c>
      <c r="F3337" s="741">
        <v>2696</v>
      </c>
      <c r="G3337" s="739" t="s">
        <v>6943</v>
      </c>
      <c r="H3337" s="739" t="s">
        <v>18480</v>
      </c>
    </row>
    <row r="3338" spans="1:11">
      <c r="A3338" s="739" t="s">
        <v>18481</v>
      </c>
      <c r="E3338" s="739">
        <v>360</v>
      </c>
      <c r="F3338" s="741">
        <v>2336</v>
      </c>
      <c r="G3338" s="739" t="s">
        <v>6943</v>
      </c>
      <c r="H3338" s="739" t="s">
        <v>18482</v>
      </c>
    </row>
    <row r="3339" spans="1:11">
      <c r="A3339" s="739" t="s">
        <v>18483</v>
      </c>
      <c r="E3339" s="739">
        <v>28</v>
      </c>
      <c r="F3339" s="741">
        <v>2308</v>
      </c>
      <c r="G3339" s="739" t="s">
        <v>18051</v>
      </c>
      <c r="H3339" s="739" t="s">
        <v>8908</v>
      </c>
    </row>
    <row r="3340" spans="1:11">
      <c r="A3340" s="739" t="s">
        <v>18484</v>
      </c>
      <c r="E3340" s="739">
        <v>44</v>
      </c>
      <c r="F3340" s="741">
        <v>2264</v>
      </c>
      <c r="G3340" s="739" t="s">
        <v>18123</v>
      </c>
      <c r="H3340" s="739" t="s">
        <v>18485</v>
      </c>
    </row>
    <row r="3341" spans="1:11">
      <c r="A3341" s="739" t="s">
        <v>8907</v>
      </c>
      <c r="E3341" s="741">
        <v>120</v>
      </c>
      <c r="F3341" s="741">
        <v>2144</v>
      </c>
      <c r="G3341" s="739" t="s">
        <v>6972</v>
      </c>
      <c r="H3341" s="739" t="s">
        <v>8910</v>
      </c>
    </row>
    <row r="3342" spans="1:11">
      <c r="A3342" s="739" t="s">
        <v>18486</v>
      </c>
      <c r="E3342" s="739">
        <v>44</v>
      </c>
      <c r="F3342" s="741">
        <v>2100</v>
      </c>
      <c r="G3342" s="739" t="s">
        <v>18123</v>
      </c>
      <c r="H3342" s="739" t="s">
        <v>8912</v>
      </c>
    </row>
    <row r="3343" spans="1:11">
      <c r="A3343" s="739" t="s">
        <v>8913</v>
      </c>
      <c r="E3343" s="739">
        <v>125</v>
      </c>
      <c r="F3343" s="741">
        <v>1975</v>
      </c>
      <c r="G3343" s="739" t="s">
        <v>7774</v>
      </c>
      <c r="H3343" s="739" t="s">
        <v>18487</v>
      </c>
    </row>
    <row r="3344" spans="1:11">
      <c r="E3344" s="741"/>
      <c r="F3344" s="741"/>
      <c r="H3344" s="846" t="s">
        <v>18119</v>
      </c>
    </row>
    <row r="3345" spans="1:11">
      <c r="A3345" s="739" t="s">
        <v>8915</v>
      </c>
      <c r="E3345" s="741">
        <v>1458</v>
      </c>
      <c r="F3345" s="741">
        <v>517</v>
      </c>
      <c r="G3345" s="739" t="s">
        <v>7763</v>
      </c>
      <c r="H3345" s="739" t="s">
        <v>18488</v>
      </c>
    </row>
    <row r="3346" spans="1:11">
      <c r="A3346" s="739" t="s">
        <v>8915</v>
      </c>
      <c r="E3346" s="741">
        <v>18</v>
      </c>
      <c r="F3346" s="741">
        <v>499</v>
      </c>
      <c r="G3346" s="739" t="s">
        <v>18048</v>
      </c>
      <c r="H3346" s="739" t="s">
        <v>18489</v>
      </c>
    </row>
    <row r="3347" spans="1:11">
      <c r="A3347" s="739" t="s">
        <v>18490</v>
      </c>
      <c r="E3347" s="739">
        <v>32</v>
      </c>
      <c r="F3347" s="741">
        <v>467</v>
      </c>
      <c r="G3347" s="739" t="s">
        <v>18115</v>
      </c>
      <c r="H3347" s="739" t="s">
        <v>8631</v>
      </c>
    </row>
    <row r="3348" spans="1:11">
      <c r="A3348" s="739" t="s">
        <v>18491</v>
      </c>
      <c r="C3348" s="739">
        <v>20000</v>
      </c>
      <c r="H3348" s="739" t="s">
        <v>18492</v>
      </c>
      <c r="K3348" s="739" t="s">
        <v>18463</v>
      </c>
    </row>
    <row r="3349" spans="1:11">
      <c r="A3349" s="739" t="s">
        <v>8920</v>
      </c>
      <c r="C3349" s="739">
        <v>29647</v>
      </c>
      <c r="H3349" s="739" t="s">
        <v>8921</v>
      </c>
    </row>
    <row r="3350" spans="1:11">
      <c r="A3350" s="739" t="s">
        <v>8920</v>
      </c>
      <c r="C3350" s="739">
        <v>61454</v>
      </c>
      <c r="D3350" s="846"/>
      <c r="H3350" s="739" t="s">
        <v>8922</v>
      </c>
    </row>
    <row r="3351" spans="1:11">
      <c r="A3351" s="739" t="s">
        <v>8920</v>
      </c>
      <c r="E3351" s="739">
        <v>100</v>
      </c>
      <c r="F3351" s="741">
        <v>367</v>
      </c>
      <c r="G3351" s="739" t="s">
        <v>6943</v>
      </c>
      <c r="H3351" s="739" t="s">
        <v>18493</v>
      </c>
    </row>
    <row r="3352" spans="1:11">
      <c r="A3352" s="739" t="s">
        <v>18494</v>
      </c>
      <c r="C3352" s="739">
        <v>400</v>
      </c>
      <c r="H3352" s="739" t="s">
        <v>18495</v>
      </c>
    </row>
    <row r="3353" spans="1:11">
      <c r="A3353" s="739" t="s">
        <v>18496</v>
      </c>
      <c r="C3353" s="739">
        <v>17387</v>
      </c>
      <c r="H3353" s="739" t="s">
        <v>8927</v>
      </c>
    </row>
    <row r="3354" spans="1:11">
      <c r="A3354" s="739" t="s">
        <v>8928</v>
      </c>
      <c r="C3354" s="741">
        <v>25000</v>
      </c>
      <c r="D3354" s="846"/>
      <c r="E3354" s="846"/>
      <c r="H3354" s="741" t="s">
        <v>8929</v>
      </c>
    </row>
    <row r="3355" spans="1:11">
      <c r="A3355" s="739" t="s">
        <v>8930</v>
      </c>
      <c r="D3355" s="739">
        <v>5000</v>
      </c>
      <c r="E3355" s="741"/>
      <c r="F3355" s="741">
        <v>5367</v>
      </c>
      <c r="H3355" s="739" t="s">
        <v>463</v>
      </c>
    </row>
    <row r="3356" spans="1:11">
      <c r="A3356" s="739" t="s">
        <v>8930</v>
      </c>
      <c r="E3356" s="741">
        <v>130</v>
      </c>
      <c r="F3356" s="741">
        <v>5237</v>
      </c>
      <c r="G3356" s="739" t="s">
        <v>18115</v>
      </c>
      <c r="H3356" s="739" t="s">
        <v>8253</v>
      </c>
    </row>
    <row r="3357" spans="1:11">
      <c r="A3357" s="739" t="s">
        <v>8930</v>
      </c>
      <c r="E3357" s="741">
        <v>115</v>
      </c>
      <c r="F3357" s="741">
        <v>5122</v>
      </c>
      <c r="G3357" s="739" t="s">
        <v>18115</v>
      </c>
      <c r="H3357" s="739" t="s">
        <v>8253</v>
      </c>
    </row>
    <row r="3358" spans="1:11">
      <c r="A3358" s="739" t="s">
        <v>8932</v>
      </c>
      <c r="E3358" s="741">
        <v>120</v>
      </c>
      <c r="F3358" s="741">
        <v>5002</v>
      </c>
      <c r="G3358" s="739" t="s">
        <v>18115</v>
      </c>
      <c r="H3358" s="739" t="s">
        <v>18497</v>
      </c>
    </row>
    <row r="3359" spans="1:11">
      <c r="A3359" s="739" t="s">
        <v>8932</v>
      </c>
      <c r="E3359" s="741">
        <v>16</v>
      </c>
      <c r="F3359" s="741">
        <v>4986</v>
      </c>
      <c r="G3359" s="739" t="s">
        <v>7776</v>
      </c>
      <c r="H3359" s="739" t="s">
        <v>8253</v>
      </c>
    </row>
    <row r="3360" spans="1:11" ht="181.15" customHeight="1">
      <c r="A3360" s="739" t="s">
        <v>8933</v>
      </c>
      <c r="C3360" s="852">
        <v>92120</v>
      </c>
      <c r="E3360" s="741"/>
      <c r="F3360" s="741"/>
      <c r="H3360" s="836" t="s">
        <v>8934</v>
      </c>
    </row>
    <row r="3361" spans="1:11">
      <c r="A3361" s="739" t="s">
        <v>18498</v>
      </c>
      <c r="E3361" s="741">
        <v>1458</v>
      </c>
      <c r="F3361" s="741">
        <v>3528</v>
      </c>
      <c r="G3361" s="739" t="s">
        <v>18103</v>
      </c>
      <c r="H3361" s="739" t="s">
        <v>18499</v>
      </c>
    </row>
    <row r="3362" spans="1:11">
      <c r="A3362" s="739" t="s">
        <v>8937</v>
      </c>
      <c r="E3362" s="741">
        <v>87</v>
      </c>
      <c r="F3362" s="741">
        <v>3441</v>
      </c>
      <c r="G3362" s="739" t="s">
        <v>18170</v>
      </c>
      <c r="H3362" s="739" t="s">
        <v>8938</v>
      </c>
    </row>
    <row r="3363" spans="1:11">
      <c r="A3363" s="739" t="s">
        <v>18500</v>
      </c>
      <c r="C3363" s="739">
        <v>20000</v>
      </c>
      <c r="H3363" s="739" t="s">
        <v>18501</v>
      </c>
      <c r="K3363" s="739" t="s">
        <v>8873</v>
      </c>
    </row>
    <row r="3364" spans="1:11">
      <c r="A3364" s="739" t="s">
        <v>8941</v>
      </c>
      <c r="E3364" s="741">
        <v>168</v>
      </c>
      <c r="F3364" s="741">
        <v>3273</v>
      </c>
      <c r="G3364" s="741" t="s">
        <v>6937</v>
      </c>
      <c r="H3364" s="739" t="s">
        <v>8942</v>
      </c>
    </row>
    <row r="3365" spans="1:11">
      <c r="A3365" s="739" t="s">
        <v>18502</v>
      </c>
      <c r="C3365" s="739">
        <v>29647</v>
      </c>
      <c r="H3365" s="739" t="s">
        <v>8944</v>
      </c>
    </row>
    <row r="3366" spans="1:11">
      <c r="A3366" s="739" t="s">
        <v>18502</v>
      </c>
      <c r="C3366" s="739">
        <v>61454</v>
      </c>
      <c r="D3366" s="846"/>
      <c r="H3366" s="739" t="s">
        <v>8945</v>
      </c>
    </row>
    <row r="3367" spans="1:11">
      <c r="A3367" s="739" t="s">
        <v>8943</v>
      </c>
      <c r="C3367" s="739">
        <v>12000</v>
      </c>
      <c r="D3367" s="846"/>
      <c r="H3367" s="739" t="s">
        <v>18503</v>
      </c>
    </row>
    <row r="3368" spans="1:11">
      <c r="A3368" s="739" t="s">
        <v>8947</v>
      </c>
      <c r="C3368" s="739">
        <v>9375</v>
      </c>
      <c r="H3368" s="739" t="s">
        <v>8948</v>
      </c>
    </row>
    <row r="3369" spans="1:11">
      <c r="A3369" s="739" t="s">
        <v>8949</v>
      </c>
      <c r="E3369" s="741">
        <v>208</v>
      </c>
      <c r="F3369" s="741">
        <v>3065</v>
      </c>
      <c r="G3369" s="739" t="s">
        <v>18116</v>
      </c>
      <c r="H3369" s="739" t="s">
        <v>8950</v>
      </c>
    </row>
    <row r="3370" spans="1:11">
      <c r="A3370" s="739" t="s">
        <v>8951</v>
      </c>
      <c r="E3370" s="739">
        <v>60</v>
      </c>
      <c r="F3370" s="741">
        <v>3005</v>
      </c>
      <c r="G3370" s="739" t="s">
        <v>18051</v>
      </c>
      <c r="H3370" s="739" t="s">
        <v>8952</v>
      </c>
    </row>
    <row r="3371" spans="1:11" ht="33">
      <c r="A3371" s="739" t="s">
        <v>18504</v>
      </c>
      <c r="C3371" s="739">
        <v>6600</v>
      </c>
      <c r="H3371" s="847" t="s">
        <v>18505</v>
      </c>
    </row>
    <row r="3372" spans="1:11" ht="49.5">
      <c r="A3372" s="739" t="s">
        <v>8955</v>
      </c>
      <c r="C3372" s="741">
        <v>1468</v>
      </c>
      <c r="F3372" s="741"/>
      <c r="G3372" s="739" t="s">
        <v>18103</v>
      </c>
      <c r="H3372" s="836" t="s">
        <v>18506</v>
      </c>
    </row>
    <row r="3373" spans="1:11">
      <c r="A3373" s="739" t="s">
        <v>8955</v>
      </c>
      <c r="E3373" s="741">
        <v>140</v>
      </c>
      <c r="F3373" s="741">
        <v>2865</v>
      </c>
      <c r="G3373" s="739" t="s">
        <v>7774</v>
      </c>
      <c r="H3373" s="739" t="s">
        <v>18507</v>
      </c>
    </row>
    <row r="3374" spans="1:11">
      <c r="A3374" s="739" t="s">
        <v>8958</v>
      </c>
      <c r="E3374" s="741">
        <v>18</v>
      </c>
      <c r="F3374" s="741">
        <v>2847</v>
      </c>
      <c r="G3374" s="739" t="s">
        <v>6913</v>
      </c>
      <c r="H3374" s="739" t="s">
        <v>18508</v>
      </c>
    </row>
    <row r="3375" spans="1:11">
      <c r="A3375" s="739" t="s">
        <v>8958</v>
      </c>
      <c r="E3375" s="739">
        <v>100</v>
      </c>
      <c r="F3375" s="741">
        <v>2747</v>
      </c>
      <c r="G3375" s="739" t="s">
        <v>18115</v>
      </c>
      <c r="H3375" s="739" t="s">
        <v>6175</v>
      </c>
    </row>
    <row r="3376" spans="1:11">
      <c r="A3376" s="739" t="s">
        <v>8958</v>
      </c>
      <c r="E3376" s="741">
        <v>243</v>
      </c>
      <c r="F3376" s="741">
        <v>2504</v>
      </c>
      <c r="G3376" s="739" t="s">
        <v>6913</v>
      </c>
      <c r="H3376" s="739" t="s">
        <v>18509</v>
      </c>
    </row>
    <row r="3377" spans="1:11">
      <c r="A3377" s="739" t="s">
        <v>18510</v>
      </c>
      <c r="E3377" s="739">
        <v>60</v>
      </c>
      <c r="F3377" s="741">
        <v>2444</v>
      </c>
      <c r="G3377" s="739" t="s">
        <v>18123</v>
      </c>
      <c r="H3377" s="739" t="s">
        <v>18511</v>
      </c>
    </row>
    <row r="3378" spans="1:11">
      <c r="A3378" s="739" t="s">
        <v>8964</v>
      </c>
      <c r="C3378" s="739">
        <v>20010</v>
      </c>
      <c r="H3378" s="739" t="s">
        <v>8965</v>
      </c>
      <c r="K3378" s="739" t="s">
        <v>8873</v>
      </c>
    </row>
    <row r="3379" spans="1:11">
      <c r="E3379" s="741"/>
      <c r="F3379" s="741"/>
      <c r="H3379" s="846" t="s">
        <v>8146</v>
      </c>
    </row>
    <row r="3380" spans="1:11">
      <c r="A3380" s="739" t="s">
        <v>18512</v>
      </c>
      <c r="C3380" s="739">
        <v>29647</v>
      </c>
      <c r="H3380" s="739" t="s">
        <v>8967</v>
      </c>
    </row>
    <row r="3381" spans="1:11">
      <c r="A3381" s="739" t="s">
        <v>8966</v>
      </c>
      <c r="C3381" s="739">
        <v>61454</v>
      </c>
      <c r="D3381" s="846"/>
      <c r="H3381" s="739" t="s">
        <v>8968</v>
      </c>
    </row>
    <row r="3382" spans="1:11">
      <c r="A3382" s="739" t="s">
        <v>8966</v>
      </c>
      <c r="C3382" s="739">
        <v>5569</v>
      </c>
      <c r="H3382" s="739" t="s">
        <v>18513</v>
      </c>
    </row>
    <row r="3383" spans="1:11">
      <c r="H3383" s="844" t="s">
        <v>18514</v>
      </c>
    </row>
    <row r="3384" spans="1:11">
      <c r="H3384" s="834"/>
    </row>
    <row r="3385" spans="1:11">
      <c r="A3385" s="741" t="s">
        <v>8973</v>
      </c>
      <c r="E3385" s="739">
        <v>120</v>
      </c>
      <c r="F3385" s="741">
        <v>2324</v>
      </c>
      <c r="G3385" s="739" t="s">
        <v>18123</v>
      </c>
      <c r="H3385" s="741" t="s">
        <v>8974</v>
      </c>
    </row>
    <row r="3386" spans="1:11">
      <c r="A3386" s="741" t="s">
        <v>8973</v>
      </c>
      <c r="E3386" s="739">
        <v>44</v>
      </c>
      <c r="F3386" s="741">
        <v>2280</v>
      </c>
      <c r="G3386" s="739" t="s">
        <v>6943</v>
      </c>
      <c r="H3386" s="741" t="s">
        <v>18515</v>
      </c>
    </row>
    <row r="3387" spans="1:11">
      <c r="A3387" s="741" t="s">
        <v>10765</v>
      </c>
      <c r="E3387" s="739">
        <v>572</v>
      </c>
      <c r="F3387" s="741">
        <v>1708</v>
      </c>
      <c r="G3387" s="739" t="s">
        <v>18516</v>
      </c>
      <c r="H3387" s="741" t="s">
        <v>14258</v>
      </c>
    </row>
    <row r="3388" spans="1:11">
      <c r="A3388" s="739" t="s">
        <v>11091</v>
      </c>
      <c r="E3388" s="741">
        <v>110</v>
      </c>
      <c r="F3388" s="853">
        <v>1598</v>
      </c>
      <c r="G3388" s="739" t="s">
        <v>18095</v>
      </c>
      <c r="H3388" s="739" t="s">
        <v>18203</v>
      </c>
    </row>
    <row r="3389" spans="1:11">
      <c r="A3389" s="739" t="s">
        <v>18517</v>
      </c>
      <c r="E3389" s="741">
        <v>140</v>
      </c>
      <c r="F3389" s="853">
        <v>1458</v>
      </c>
      <c r="G3389" s="739" t="s">
        <v>7776</v>
      </c>
      <c r="H3389" s="739" t="s">
        <v>8426</v>
      </c>
    </row>
    <row r="3390" spans="1:11">
      <c r="A3390" s="741" t="s">
        <v>11092</v>
      </c>
      <c r="E3390" s="739">
        <v>44</v>
      </c>
      <c r="F3390" s="741">
        <v>1414</v>
      </c>
      <c r="G3390" s="739" t="s">
        <v>6943</v>
      </c>
      <c r="H3390" s="741" t="s">
        <v>18518</v>
      </c>
    </row>
    <row r="3391" spans="1:11" ht="49.5">
      <c r="A3391" s="741" t="s">
        <v>18519</v>
      </c>
      <c r="C3391" s="741">
        <v>1468</v>
      </c>
      <c r="F3391" s="741"/>
      <c r="G3391" s="739" t="s">
        <v>18103</v>
      </c>
      <c r="H3391" s="836" t="s">
        <v>18520</v>
      </c>
    </row>
    <row r="3392" spans="1:11">
      <c r="A3392" s="739" t="s">
        <v>18521</v>
      </c>
      <c r="E3392" s="741">
        <v>500</v>
      </c>
      <c r="F3392" s="741">
        <v>914</v>
      </c>
      <c r="G3392" s="739" t="s">
        <v>7776</v>
      </c>
      <c r="H3392" s="739" t="s">
        <v>11095</v>
      </c>
    </row>
    <row r="3393" spans="1:11">
      <c r="A3393" s="739" t="s">
        <v>14264</v>
      </c>
      <c r="E3393" s="741">
        <v>500</v>
      </c>
      <c r="F3393" s="741">
        <v>414</v>
      </c>
      <c r="G3393" s="739" t="s">
        <v>18115</v>
      </c>
      <c r="H3393" s="739" t="s">
        <v>18522</v>
      </c>
    </row>
    <row r="3394" spans="1:11">
      <c r="A3394" s="739" t="s">
        <v>18523</v>
      </c>
      <c r="E3394" s="741">
        <v>200</v>
      </c>
      <c r="F3394" s="741">
        <v>214</v>
      </c>
      <c r="G3394" s="851"/>
      <c r="H3394" s="739" t="s">
        <v>14268</v>
      </c>
    </row>
    <row r="3395" spans="1:11" ht="66">
      <c r="A3395" s="739" t="s">
        <v>18524</v>
      </c>
      <c r="C3395" s="846" t="s">
        <v>14270</v>
      </c>
      <c r="D3395" s="846"/>
      <c r="H3395" s="836" t="s">
        <v>11096</v>
      </c>
    </row>
    <row r="3396" spans="1:11">
      <c r="A3396" s="739" t="s">
        <v>10875</v>
      </c>
      <c r="C3396" s="846">
        <v>61454</v>
      </c>
      <c r="H3396" s="739" t="s">
        <v>14271</v>
      </c>
    </row>
    <row r="3397" spans="1:11">
      <c r="A3397" s="739" t="s">
        <v>8930</v>
      </c>
      <c r="D3397" s="846">
        <v>556</v>
      </c>
      <c r="E3397" s="741"/>
      <c r="F3397" s="741">
        <v>770</v>
      </c>
      <c r="H3397" s="739" t="s">
        <v>18525</v>
      </c>
    </row>
    <row r="3398" spans="1:11">
      <c r="A3398" s="739" t="s">
        <v>18526</v>
      </c>
      <c r="C3398" s="739">
        <v>20010</v>
      </c>
      <c r="H3398" s="739" t="s">
        <v>18527</v>
      </c>
      <c r="K3398" s="739" t="s">
        <v>18528</v>
      </c>
    </row>
    <row r="3399" spans="1:11">
      <c r="A3399" s="739" t="s">
        <v>18526</v>
      </c>
      <c r="E3399" s="741">
        <v>168</v>
      </c>
      <c r="F3399" s="741">
        <v>602</v>
      </c>
      <c r="G3399" s="741" t="s">
        <v>18106</v>
      </c>
      <c r="H3399" s="739" t="s">
        <v>18529</v>
      </c>
    </row>
    <row r="3400" spans="1:11">
      <c r="A3400" s="739" t="s">
        <v>9702</v>
      </c>
      <c r="C3400" s="739">
        <v>29647</v>
      </c>
      <c r="H3400" s="739" t="s">
        <v>18530</v>
      </c>
    </row>
    <row r="3401" spans="1:11">
      <c r="A3401" s="739" t="s">
        <v>18531</v>
      </c>
      <c r="C3401" s="739">
        <v>39500</v>
      </c>
      <c r="D3401" s="846"/>
      <c r="H3401" s="739" t="s">
        <v>11098</v>
      </c>
    </row>
    <row r="3402" spans="1:11">
      <c r="A3402" s="739" t="s">
        <v>9702</v>
      </c>
      <c r="C3402" s="739">
        <v>36441</v>
      </c>
      <c r="H3402" s="739" t="s">
        <v>14280</v>
      </c>
    </row>
    <row r="3403" spans="1:11">
      <c r="A3403" s="739" t="s">
        <v>9702</v>
      </c>
      <c r="D3403" s="739">
        <v>5000</v>
      </c>
      <c r="E3403" s="741"/>
      <c r="F3403" s="741">
        <v>5602</v>
      </c>
      <c r="H3403" s="739" t="s">
        <v>463</v>
      </c>
    </row>
    <row r="3404" spans="1:11">
      <c r="A3404" s="739" t="s">
        <v>18532</v>
      </c>
      <c r="E3404" s="739">
        <v>112</v>
      </c>
      <c r="F3404" s="741">
        <v>5490</v>
      </c>
      <c r="G3404" s="739" t="s">
        <v>6943</v>
      </c>
      <c r="H3404" s="739" t="s">
        <v>14281</v>
      </c>
    </row>
    <row r="3405" spans="1:11">
      <c r="A3405" s="739" t="s">
        <v>9702</v>
      </c>
      <c r="E3405" s="741">
        <v>120</v>
      </c>
      <c r="F3405" s="741">
        <v>5370</v>
      </c>
      <c r="G3405" s="739" t="s">
        <v>6972</v>
      </c>
      <c r="H3405" s="739" t="s">
        <v>8910</v>
      </c>
    </row>
    <row r="3406" spans="1:11">
      <c r="A3406" s="739" t="s">
        <v>9702</v>
      </c>
      <c r="E3406" s="739">
        <v>32</v>
      </c>
      <c r="F3406" s="741">
        <v>5338</v>
      </c>
      <c r="G3406" s="739" t="s">
        <v>7776</v>
      </c>
      <c r="H3406" s="739" t="s">
        <v>18533</v>
      </c>
    </row>
    <row r="3407" spans="1:11">
      <c r="E3407" s="741"/>
      <c r="F3407" s="741"/>
      <c r="H3407" s="846" t="s">
        <v>18534</v>
      </c>
    </row>
    <row r="3408" spans="1:11">
      <c r="A3408" s="739" t="s">
        <v>14284</v>
      </c>
      <c r="E3408" s="739">
        <v>28</v>
      </c>
      <c r="F3408" s="741">
        <v>5310</v>
      </c>
      <c r="G3408" s="739" t="s">
        <v>6943</v>
      </c>
      <c r="H3408" s="739" t="s">
        <v>18535</v>
      </c>
    </row>
    <row r="3409" spans="1:8" ht="49.5">
      <c r="A3409" s="739" t="s">
        <v>18536</v>
      </c>
      <c r="C3409" s="741">
        <v>1468</v>
      </c>
      <c r="F3409" s="741"/>
      <c r="G3409" s="739" t="s">
        <v>7763</v>
      </c>
      <c r="H3409" s="836" t="s">
        <v>18537</v>
      </c>
    </row>
    <row r="3410" spans="1:8">
      <c r="A3410" s="739" t="s">
        <v>10772</v>
      </c>
      <c r="E3410" s="741">
        <v>18</v>
      </c>
      <c r="F3410" s="741">
        <v>5292</v>
      </c>
      <c r="G3410" s="739" t="s">
        <v>18116</v>
      </c>
      <c r="H3410" s="739" t="s">
        <v>18538</v>
      </c>
    </row>
    <row r="3411" spans="1:8">
      <c r="A3411" s="739" t="s">
        <v>10772</v>
      </c>
      <c r="E3411" s="739">
        <v>100</v>
      </c>
      <c r="F3411" s="741">
        <v>5192</v>
      </c>
      <c r="G3411" s="739" t="s">
        <v>18115</v>
      </c>
      <c r="H3411" s="739" t="s">
        <v>6175</v>
      </c>
    </row>
    <row r="3412" spans="1:8">
      <c r="A3412" s="739" t="s">
        <v>11102</v>
      </c>
      <c r="E3412" s="741">
        <v>275</v>
      </c>
      <c r="F3412" s="741">
        <v>4917</v>
      </c>
      <c r="G3412" s="739" t="s">
        <v>18095</v>
      </c>
      <c r="H3412" s="739" t="s">
        <v>18539</v>
      </c>
    </row>
    <row r="3413" spans="1:8">
      <c r="A3413" s="739" t="s">
        <v>18540</v>
      </c>
      <c r="E3413" s="741">
        <v>275</v>
      </c>
      <c r="F3413" s="741">
        <v>4642</v>
      </c>
      <c r="G3413" s="739" t="s">
        <v>18541</v>
      </c>
      <c r="H3413" s="739" t="s">
        <v>18539</v>
      </c>
    </row>
    <row r="3414" spans="1:8">
      <c r="A3414" s="739" t="s">
        <v>18542</v>
      </c>
      <c r="C3414" s="739">
        <v>29647</v>
      </c>
      <c r="H3414" s="739" t="s">
        <v>18543</v>
      </c>
    </row>
    <row r="3415" spans="1:8">
      <c r="A3415" s="739" t="s">
        <v>11103</v>
      </c>
      <c r="C3415" s="739">
        <v>22500</v>
      </c>
      <c r="D3415" s="846"/>
      <c r="H3415" s="739" t="s">
        <v>18544</v>
      </c>
    </row>
    <row r="3416" spans="1:8">
      <c r="A3416" s="739" t="s">
        <v>18545</v>
      </c>
      <c r="C3416" s="741">
        <v>61454</v>
      </c>
      <c r="H3416" s="739" t="s">
        <v>18546</v>
      </c>
    </row>
    <row r="3417" spans="1:8">
      <c r="A3417" s="739" t="s">
        <v>11103</v>
      </c>
      <c r="C3417" s="739">
        <v>800</v>
      </c>
      <c r="H3417" s="739" t="s">
        <v>18547</v>
      </c>
    </row>
    <row r="3418" spans="1:8">
      <c r="A3418" s="739" t="s">
        <v>18542</v>
      </c>
      <c r="C3418" s="739">
        <v>16602</v>
      </c>
      <c r="H3418" s="739" t="s">
        <v>14294</v>
      </c>
    </row>
    <row r="3419" spans="1:8">
      <c r="A3419" s="739" t="s">
        <v>10775</v>
      </c>
      <c r="C3419" s="739">
        <v>23835</v>
      </c>
      <c r="H3419" s="739" t="s">
        <v>18548</v>
      </c>
    </row>
    <row r="3420" spans="1:8">
      <c r="A3420" s="739" t="s">
        <v>10936</v>
      </c>
      <c r="C3420" s="739">
        <v>26000</v>
      </c>
      <c r="H3420" s="739" t="s">
        <v>11106</v>
      </c>
    </row>
    <row r="3421" spans="1:8">
      <c r="A3421" s="739" t="s">
        <v>18549</v>
      </c>
      <c r="B3421" s="739">
        <v>26000</v>
      </c>
      <c r="H3421" s="739" t="s">
        <v>11106</v>
      </c>
    </row>
    <row r="3422" spans="1:8">
      <c r="A3422" s="739" t="s">
        <v>14300</v>
      </c>
      <c r="E3422" s="741">
        <v>325</v>
      </c>
      <c r="F3422" s="741">
        <v>4317</v>
      </c>
      <c r="G3422" s="739" t="s">
        <v>18115</v>
      </c>
      <c r="H3422" s="739" t="s">
        <v>8432</v>
      </c>
    </row>
    <row r="3423" spans="1:8">
      <c r="A3423" s="739" t="s">
        <v>14300</v>
      </c>
      <c r="E3423" s="741">
        <v>285</v>
      </c>
      <c r="F3423" s="741">
        <v>4032</v>
      </c>
      <c r="G3423" s="739" t="s">
        <v>18115</v>
      </c>
      <c r="H3423" s="739" t="s">
        <v>8432</v>
      </c>
    </row>
    <row r="3424" spans="1:8" ht="49.5">
      <c r="A3424" s="739" t="s">
        <v>18550</v>
      </c>
      <c r="C3424" s="741">
        <v>1468</v>
      </c>
      <c r="F3424" s="741"/>
      <c r="G3424" s="739" t="s">
        <v>7763</v>
      </c>
      <c r="H3424" s="836" t="s">
        <v>18551</v>
      </c>
    </row>
    <row r="3425" spans="1:11">
      <c r="A3425" s="739" t="s">
        <v>11107</v>
      </c>
      <c r="E3425" s="741">
        <v>178</v>
      </c>
      <c r="F3425" s="741">
        <v>3854</v>
      </c>
      <c r="G3425" s="741" t="s">
        <v>6937</v>
      </c>
      <c r="H3425" s="739" t="s">
        <v>14305</v>
      </c>
    </row>
    <row r="3426" spans="1:11">
      <c r="A3426" s="739" t="s">
        <v>18550</v>
      </c>
      <c r="E3426" s="739">
        <v>44</v>
      </c>
      <c r="F3426" s="741">
        <v>3810</v>
      </c>
      <c r="G3426" s="739" t="s">
        <v>18123</v>
      </c>
      <c r="H3426" s="739" t="s">
        <v>11108</v>
      </c>
    </row>
    <row r="3427" spans="1:11">
      <c r="E3427" s="741"/>
      <c r="F3427" s="741"/>
      <c r="H3427" s="846" t="s">
        <v>8146</v>
      </c>
    </row>
    <row r="3428" spans="1:11">
      <c r="A3428" s="739" t="s">
        <v>14307</v>
      </c>
      <c r="E3428" s="739">
        <v>60</v>
      </c>
      <c r="F3428" s="741">
        <v>3750</v>
      </c>
      <c r="G3428" s="739" t="s">
        <v>6943</v>
      </c>
      <c r="H3428" s="739" t="s">
        <v>18552</v>
      </c>
    </row>
    <row r="3429" spans="1:11">
      <c r="A3429" s="739" t="s">
        <v>18553</v>
      </c>
      <c r="C3429" s="739">
        <v>20000</v>
      </c>
      <c r="H3429" s="739" t="s">
        <v>18554</v>
      </c>
    </row>
    <row r="3430" spans="1:11">
      <c r="A3430" s="739" t="s">
        <v>18555</v>
      </c>
      <c r="C3430" s="739">
        <v>20010</v>
      </c>
      <c r="H3430" s="739" t="s">
        <v>18556</v>
      </c>
      <c r="K3430" s="739" t="s">
        <v>8873</v>
      </c>
    </row>
    <row r="3431" spans="1:11">
      <c r="A3431" s="739" t="s">
        <v>18557</v>
      </c>
      <c r="C3431" s="739">
        <v>29647</v>
      </c>
      <c r="H3431" s="739" t="s">
        <v>18558</v>
      </c>
    </row>
    <row r="3432" spans="1:11">
      <c r="A3432" s="739" t="s">
        <v>11109</v>
      </c>
      <c r="C3432" s="739">
        <v>18000</v>
      </c>
      <c r="D3432" s="846"/>
      <c r="H3432" s="739" t="s">
        <v>14292</v>
      </c>
    </row>
    <row r="3433" spans="1:11">
      <c r="A3433" s="739" t="s">
        <v>14315</v>
      </c>
      <c r="C3433" s="741">
        <v>1000</v>
      </c>
      <c r="H3433" s="739" t="s">
        <v>18559</v>
      </c>
    </row>
    <row r="3434" spans="1:11">
      <c r="A3434" s="739" t="s">
        <v>18560</v>
      </c>
      <c r="C3434" s="741">
        <v>60454</v>
      </c>
      <c r="H3434" s="739" t="s">
        <v>18559</v>
      </c>
    </row>
    <row r="3435" spans="1:11">
      <c r="A3435" s="739" t="s">
        <v>11109</v>
      </c>
      <c r="C3435" s="739">
        <v>11285</v>
      </c>
      <c r="H3435" s="739" t="s">
        <v>18561</v>
      </c>
    </row>
    <row r="3436" spans="1:11">
      <c r="A3436" s="739" t="s">
        <v>11109</v>
      </c>
      <c r="E3436" s="739">
        <v>112</v>
      </c>
      <c r="F3436" s="741">
        <v>3638</v>
      </c>
      <c r="G3436" s="739" t="s">
        <v>18123</v>
      </c>
      <c r="H3436" s="739" t="s">
        <v>14318</v>
      </c>
    </row>
    <row r="3437" spans="1:11">
      <c r="A3437" s="739" t="s">
        <v>18562</v>
      </c>
      <c r="E3437" s="739">
        <v>60</v>
      </c>
      <c r="F3437" s="741">
        <v>3578</v>
      </c>
      <c r="G3437" s="739" t="s">
        <v>6943</v>
      </c>
      <c r="H3437" s="739" t="s">
        <v>14320</v>
      </c>
    </row>
    <row r="3438" spans="1:11">
      <c r="A3438" s="739" t="s">
        <v>18563</v>
      </c>
      <c r="E3438" s="739">
        <v>75</v>
      </c>
      <c r="F3438" s="741">
        <v>3503</v>
      </c>
      <c r="G3438" s="739" t="s">
        <v>18077</v>
      </c>
      <c r="H3438" s="739" t="s">
        <v>18487</v>
      </c>
    </row>
    <row r="3439" spans="1:11">
      <c r="E3439" s="741"/>
      <c r="F3439" s="741"/>
      <c r="H3439" s="846" t="s">
        <v>18119</v>
      </c>
    </row>
    <row r="3440" spans="1:11" ht="49.5">
      <c r="A3440" s="739" t="s">
        <v>18564</v>
      </c>
      <c r="C3440" s="741">
        <v>1468</v>
      </c>
      <c r="F3440" s="741"/>
      <c r="G3440" s="739" t="s">
        <v>18212</v>
      </c>
      <c r="H3440" s="836" t="s">
        <v>14324</v>
      </c>
    </row>
    <row r="3441" spans="1:11">
      <c r="A3441" s="739" t="s">
        <v>18565</v>
      </c>
      <c r="C3441" s="739">
        <v>10000</v>
      </c>
      <c r="H3441" s="739" t="s">
        <v>18566</v>
      </c>
    </row>
    <row r="3442" spans="1:11">
      <c r="A3442" s="739" t="s">
        <v>18567</v>
      </c>
      <c r="E3442" s="739">
        <v>230</v>
      </c>
      <c r="F3442" s="741">
        <v>3273</v>
      </c>
      <c r="G3442" s="739" t="s">
        <v>7774</v>
      </c>
      <c r="H3442" s="739" t="s">
        <v>14327</v>
      </c>
    </row>
    <row r="3443" spans="1:11">
      <c r="A3443" s="739" t="s">
        <v>18568</v>
      </c>
      <c r="E3443" s="739">
        <v>100</v>
      </c>
      <c r="F3443" s="741">
        <v>3173</v>
      </c>
      <c r="G3443" s="739" t="s">
        <v>7776</v>
      </c>
      <c r="H3443" s="739" t="s">
        <v>18219</v>
      </c>
    </row>
    <row r="3444" spans="1:11">
      <c r="A3444" s="739" t="s">
        <v>10983</v>
      </c>
      <c r="E3444" s="741">
        <v>18</v>
      </c>
      <c r="F3444" s="741">
        <v>3155</v>
      </c>
      <c r="G3444" s="739" t="s">
        <v>18116</v>
      </c>
      <c r="H3444" s="739" t="s">
        <v>18569</v>
      </c>
    </row>
    <row r="3445" spans="1:11">
      <c r="A3445" s="739" t="s">
        <v>11114</v>
      </c>
      <c r="C3445" s="739">
        <v>20010</v>
      </c>
      <c r="H3445" s="739" t="s">
        <v>11115</v>
      </c>
      <c r="K3445" s="739" t="s">
        <v>8873</v>
      </c>
    </row>
    <row r="3446" spans="1:11">
      <c r="A3446" s="739" t="s">
        <v>11116</v>
      </c>
      <c r="E3446" s="741">
        <v>2700</v>
      </c>
      <c r="F3446" s="741">
        <v>455</v>
      </c>
      <c r="G3446" s="739" t="s">
        <v>6913</v>
      </c>
      <c r="H3446" s="739" t="s">
        <v>18570</v>
      </c>
    </row>
    <row r="3447" spans="1:11">
      <c r="A3447" s="739" t="s">
        <v>18571</v>
      </c>
      <c r="D3447" s="739">
        <v>5000</v>
      </c>
      <c r="E3447" s="741"/>
      <c r="F3447" s="741">
        <v>5455</v>
      </c>
      <c r="H3447" s="739" t="s">
        <v>463</v>
      </c>
    </row>
    <row r="3448" spans="1:11">
      <c r="A3448" s="739" t="s">
        <v>18571</v>
      </c>
      <c r="E3448" s="739">
        <v>60</v>
      </c>
      <c r="F3448" s="741">
        <v>5395</v>
      </c>
      <c r="G3448" s="739" t="s">
        <v>18123</v>
      </c>
      <c r="H3448" s="739" t="s">
        <v>18572</v>
      </c>
    </row>
    <row r="3449" spans="1:11">
      <c r="A3449" s="739" t="s">
        <v>18573</v>
      </c>
      <c r="C3449" s="739">
        <v>29647</v>
      </c>
      <c r="H3449" s="739" t="s">
        <v>18574</v>
      </c>
    </row>
    <row r="3450" spans="1:11">
      <c r="A3450" s="739" t="s">
        <v>18573</v>
      </c>
      <c r="C3450" s="741">
        <v>61454</v>
      </c>
      <c r="H3450" s="739" t="s">
        <v>14334</v>
      </c>
    </row>
    <row r="3451" spans="1:11">
      <c r="A3451" s="739" t="s">
        <v>11120</v>
      </c>
      <c r="C3451" s="739">
        <v>2148</v>
      </c>
      <c r="H3451" s="739" t="s">
        <v>14335</v>
      </c>
    </row>
    <row r="3452" spans="1:11">
      <c r="A3452" s="739" t="s">
        <v>11121</v>
      </c>
      <c r="E3452" s="739">
        <v>60</v>
      </c>
      <c r="F3452" s="741">
        <v>5335</v>
      </c>
      <c r="G3452" s="739" t="s">
        <v>6943</v>
      </c>
      <c r="H3452" s="739" t="s">
        <v>14336</v>
      </c>
    </row>
    <row r="3453" spans="1:11">
      <c r="A3453" s="739" t="s">
        <v>11122</v>
      </c>
      <c r="E3453" s="739">
        <v>30</v>
      </c>
      <c r="F3453" s="741">
        <v>5305</v>
      </c>
      <c r="G3453" s="739" t="s">
        <v>18077</v>
      </c>
      <c r="H3453" s="739" t="s">
        <v>18487</v>
      </c>
    </row>
    <row r="3454" spans="1:11" ht="49.5">
      <c r="A3454" s="739" t="s">
        <v>18575</v>
      </c>
      <c r="C3454" s="741">
        <v>1468</v>
      </c>
      <c r="F3454" s="741"/>
      <c r="G3454" s="739" t="s">
        <v>18212</v>
      </c>
      <c r="H3454" s="836" t="s">
        <v>14338</v>
      </c>
    </row>
    <row r="3455" spans="1:11">
      <c r="A3455" s="739" t="s">
        <v>10784</v>
      </c>
      <c r="C3455" s="739">
        <v>24674</v>
      </c>
      <c r="H3455" s="739" t="s">
        <v>14340</v>
      </c>
    </row>
    <row r="3456" spans="1:11">
      <c r="A3456" s="739" t="s">
        <v>10784</v>
      </c>
      <c r="E3456" s="741">
        <v>189</v>
      </c>
      <c r="F3456" s="741">
        <v>5116</v>
      </c>
      <c r="G3456" s="741" t="s">
        <v>6937</v>
      </c>
      <c r="H3456" s="739" t="s">
        <v>18576</v>
      </c>
    </row>
    <row r="3457" spans="1:11">
      <c r="A3457" s="739" t="s">
        <v>10784</v>
      </c>
      <c r="E3457" s="741">
        <v>138</v>
      </c>
      <c r="F3457" s="741">
        <v>4978</v>
      </c>
      <c r="G3457" s="739" t="s">
        <v>18116</v>
      </c>
      <c r="H3457" s="739" t="s">
        <v>18577</v>
      </c>
    </row>
    <row r="3458" spans="1:11">
      <c r="A3458" s="739" t="s">
        <v>18578</v>
      </c>
      <c r="E3458" s="739">
        <v>44</v>
      </c>
      <c r="F3458" s="741">
        <v>4934</v>
      </c>
      <c r="G3458" s="739" t="s">
        <v>6943</v>
      </c>
      <c r="H3458" s="739" t="s">
        <v>18579</v>
      </c>
    </row>
    <row r="3459" spans="1:11">
      <c r="A3459" s="739" t="s">
        <v>5579</v>
      </c>
      <c r="E3459" s="741">
        <v>100</v>
      </c>
      <c r="F3459" s="741">
        <v>4834</v>
      </c>
      <c r="G3459" s="739" t="s">
        <v>18115</v>
      </c>
      <c r="H3459" s="739" t="s">
        <v>18580</v>
      </c>
    </row>
    <row r="3460" spans="1:11" ht="33">
      <c r="A3460" s="739" t="s">
        <v>11124</v>
      </c>
      <c r="C3460" s="739">
        <v>12000</v>
      </c>
      <c r="E3460" s="741"/>
      <c r="F3460" s="741"/>
      <c r="H3460" s="836" t="s">
        <v>14349</v>
      </c>
    </row>
    <row r="3461" spans="1:11">
      <c r="A3461" s="739" t="s">
        <v>9825</v>
      </c>
      <c r="C3461" s="739">
        <v>20010</v>
      </c>
      <c r="H3461" s="739" t="s">
        <v>14351</v>
      </c>
      <c r="K3461" s="739" t="s">
        <v>18463</v>
      </c>
    </row>
    <row r="3462" spans="1:11" ht="49.5">
      <c r="A3462" s="739" t="s">
        <v>18581</v>
      </c>
      <c r="C3462" s="741">
        <v>130010</v>
      </c>
      <c r="D3462" s="846"/>
      <c r="H3462" s="836" t="s">
        <v>18582</v>
      </c>
    </row>
    <row r="3463" spans="1:11">
      <c r="A3463" s="739" t="s">
        <v>11012</v>
      </c>
      <c r="E3463" s="739">
        <v>250</v>
      </c>
      <c r="F3463" s="739">
        <v>4584</v>
      </c>
      <c r="H3463" s="739" t="s">
        <v>18583</v>
      </c>
    </row>
    <row r="3464" spans="1:11">
      <c r="A3464" s="739" t="s">
        <v>11127</v>
      </c>
      <c r="C3464" s="741">
        <v>19800</v>
      </c>
      <c r="H3464" s="739" t="s">
        <v>18584</v>
      </c>
    </row>
    <row r="3465" spans="1:11">
      <c r="A3465" s="739" t="s">
        <v>18585</v>
      </c>
      <c r="C3465" s="739">
        <v>29575</v>
      </c>
      <c r="H3465" s="739" t="s">
        <v>18586</v>
      </c>
    </row>
    <row r="3466" spans="1:11">
      <c r="A3466" s="739" t="s">
        <v>11127</v>
      </c>
      <c r="C3466" s="741">
        <v>61280</v>
      </c>
      <c r="H3466" s="739" t="s">
        <v>14357</v>
      </c>
    </row>
    <row r="3467" spans="1:11">
      <c r="A3467" s="739" t="s">
        <v>11127</v>
      </c>
      <c r="C3467" s="739">
        <v>317</v>
      </c>
      <c r="H3467" s="739" t="s">
        <v>18587</v>
      </c>
    </row>
    <row r="3468" spans="1:11">
      <c r="A3468" s="739" t="s">
        <v>18588</v>
      </c>
      <c r="C3468" s="739">
        <v>283</v>
      </c>
      <c r="H3468" s="739" t="s">
        <v>18589</v>
      </c>
    </row>
    <row r="3469" spans="1:11">
      <c r="A3469" s="739" t="s">
        <v>18590</v>
      </c>
      <c r="E3469" s="741">
        <v>18</v>
      </c>
      <c r="F3469" s="741">
        <v>4566</v>
      </c>
      <c r="G3469" s="739" t="s">
        <v>18116</v>
      </c>
      <c r="H3469" s="739" t="s">
        <v>18591</v>
      </c>
    </row>
    <row r="3470" spans="1:11">
      <c r="A3470" s="739" t="s">
        <v>11129</v>
      </c>
      <c r="E3470" s="846">
        <v>260</v>
      </c>
      <c r="F3470" s="741">
        <v>4306</v>
      </c>
      <c r="G3470" s="739" t="s">
        <v>7776</v>
      </c>
      <c r="H3470" s="739" t="s">
        <v>18592</v>
      </c>
    </row>
    <row r="3471" spans="1:11">
      <c r="A3471" s="739" t="s">
        <v>11129</v>
      </c>
      <c r="E3471" s="846">
        <v>270</v>
      </c>
      <c r="F3471" s="741">
        <v>4036</v>
      </c>
      <c r="G3471" s="739" t="s">
        <v>7776</v>
      </c>
      <c r="H3471" s="739" t="s">
        <v>18593</v>
      </c>
    </row>
    <row r="3472" spans="1:11">
      <c r="A3472" s="739" t="s">
        <v>18594</v>
      </c>
      <c r="E3472" s="741">
        <v>235</v>
      </c>
      <c r="F3472" s="741">
        <v>3801</v>
      </c>
      <c r="G3472" s="739" t="s">
        <v>6972</v>
      </c>
      <c r="H3472" s="739" t="s">
        <v>14365</v>
      </c>
    </row>
    <row r="3473" spans="1:11">
      <c r="A3473" s="739" t="s">
        <v>11129</v>
      </c>
      <c r="E3473" s="739">
        <v>720</v>
      </c>
      <c r="F3473" s="741">
        <v>3081</v>
      </c>
      <c r="G3473" s="739" t="s">
        <v>6943</v>
      </c>
      <c r="H3473" s="739" t="s">
        <v>18595</v>
      </c>
    </row>
    <row r="3474" spans="1:11">
      <c r="A3474" s="739" t="s">
        <v>18596</v>
      </c>
      <c r="E3474" s="739">
        <v>88</v>
      </c>
      <c r="F3474" s="741">
        <v>2993</v>
      </c>
      <c r="G3474" s="739" t="s">
        <v>6943</v>
      </c>
      <c r="H3474" s="739" t="s">
        <v>14368</v>
      </c>
    </row>
    <row r="3475" spans="1:11" ht="99">
      <c r="A3475" s="739" t="s">
        <v>18597</v>
      </c>
      <c r="C3475" s="741">
        <v>150010</v>
      </c>
      <c r="D3475" s="846"/>
      <c r="H3475" s="836" t="s">
        <v>18598</v>
      </c>
    </row>
    <row r="3476" spans="1:11" ht="49.5">
      <c r="A3476" s="739" t="s">
        <v>18599</v>
      </c>
      <c r="C3476" s="741">
        <v>1468</v>
      </c>
      <c r="F3476" s="741"/>
      <c r="G3476" s="739" t="s">
        <v>7763</v>
      </c>
      <c r="H3476" s="836" t="s">
        <v>14371</v>
      </c>
    </row>
    <row r="3477" spans="1:11">
      <c r="A3477" s="739" t="s">
        <v>18600</v>
      </c>
      <c r="E3477" s="739">
        <v>92</v>
      </c>
      <c r="F3477" s="741">
        <v>2901</v>
      </c>
      <c r="G3477" s="739" t="s">
        <v>18123</v>
      </c>
      <c r="H3477" s="739" t="s">
        <v>11134</v>
      </c>
    </row>
    <row r="3478" spans="1:11">
      <c r="A3478" s="739" t="s">
        <v>18601</v>
      </c>
      <c r="C3478" s="739">
        <v>20010</v>
      </c>
      <c r="H3478" s="739" t="s">
        <v>18602</v>
      </c>
      <c r="K3478" s="739" t="s">
        <v>8873</v>
      </c>
    </row>
    <row r="3479" spans="1:11" ht="132">
      <c r="A3479" s="739" t="s">
        <v>18603</v>
      </c>
      <c r="C3479" s="846">
        <v>4010</v>
      </c>
      <c r="D3479" s="846" t="s">
        <v>14376</v>
      </c>
      <c r="H3479" s="847" t="s">
        <v>14377</v>
      </c>
    </row>
    <row r="3480" spans="1:11">
      <c r="A3480" s="739" t="s">
        <v>18604</v>
      </c>
      <c r="E3480" s="739">
        <v>28</v>
      </c>
      <c r="F3480" s="741">
        <v>2873</v>
      </c>
      <c r="G3480" s="739" t="s">
        <v>6943</v>
      </c>
      <c r="H3480" s="739" t="s">
        <v>18605</v>
      </c>
    </row>
    <row r="3481" spans="1:11">
      <c r="A3481" s="739" t="s">
        <v>11052</v>
      </c>
      <c r="C3481" s="741">
        <v>21000</v>
      </c>
      <c r="H3481" s="739" t="s">
        <v>18606</v>
      </c>
    </row>
    <row r="3482" spans="1:11">
      <c r="A3482" s="739" t="s">
        <v>11052</v>
      </c>
      <c r="C3482" s="739">
        <v>29575</v>
      </c>
      <c r="H3482" s="739" t="s">
        <v>18607</v>
      </c>
    </row>
    <row r="3483" spans="1:11">
      <c r="A3483" s="739" t="s">
        <v>18608</v>
      </c>
      <c r="C3483" s="741">
        <v>31280</v>
      </c>
      <c r="D3483" s="741"/>
      <c r="H3483" s="739" t="s">
        <v>14382</v>
      </c>
    </row>
    <row r="3484" spans="1:11">
      <c r="A3484" s="739" t="s">
        <v>10792</v>
      </c>
      <c r="C3484" s="741">
        <v>11000</v>
      </c>
      <c r="D3484" s="741"/>
      <c r="H3484" s="739" t="s">
        <v>18609</v>
      </c>
    </row>
    <row r="3485" spans="1:11">
      <c r="A3485" s="739" t="s">
        <v>18610</v>
      </c>
      <c r="E3485" s="741">
        <v>430</v>
      </c>
      <c r="F3485" s="741">
        <v>2443</v>
      </c>
      <c r="G3485" s="739" t="s">
        <v>18095</v>
      </c>
      <c r="H3485" s="739" t="s">
        <v>18611</v>
      </c>
    </row>
    <row r="3486" spans="1:11">
      <c r="A3486" s="739" t="s">
        <v>18612</v>
      </c>
      <c r="E3486" s="741">
        <v>410</v>
      </c>
      <c r="F3486" s="741">
        <v>2033</v>
      </c>
      <c r="G3486" s="739" t="s">
        <v>7776</v>
      </c>
      <c r="H3486" s="739" t="s">
        <v>8532</v>
      </c>
    </row>
    <row r="3487" spans="1:11">
      <c r="A3487" s="739" t="s">
        <v>11139</v>
      </c>
      <c r="C3487" s="739">
        <v>10725</v>
      </c>
      <c r="H3487" s="739" t="s">
        <v>18613</v>
      </c>
    </row>
    <row r="3488" spans="1:11" ht="165">
      <c r="A3488" s="739" t="s">
        <v>11139</v>
      </c>
      <c r="C3488" s="741">
        <v>7004</v>
      </c>
      <c r="D3488" s="846"/>
      <c r="H3488" s="836" t="s">
        <v>14388</v>
      </c>
      <c r="J3488" s="836"/>
    </row>
    <row r="3489" spans="1:11">
      <c r="A3489" s="739" t="s">
        <v>11139</v>
      </c>
      <c r="D3489" s="739">
        <v>5000</v>
      </c>
      <c r="E3489" s="741"/>
      <c r="F3489" s="741">
        <v>7033</v>
      </c>
      <c r="H3489" s="739" t="s">
        <v>18132</v>
      </c>
    </row>
    <row r="3490" spans="1:11">
      <c r="A3490" s="739" t="s">
        <v>18614</v>
      </c>
      <c r="E3490" s="739">
        <v>28</v>
      </c>
      <c r="F3490" s="741">
        <v>7005</v>
      </c>
      <c r="G3490" s="739" t="s">
        <v>18123</v>
      </c>
      <c r="H3490" s="739" t="s">
        <v>18615</v>
      </c>
    </row>
    <row r="3491" spans="1:11" ht="99">
      <c r="A3491" s="739" t="s">
        <v>18616</v>
      </c>
      <c r="C3491" s="741">
        <v>7510</v>
      </c>
      <c r="D3491" s="846"/>
      <c r="H3491" s="847" t="s">
        <v>14392</v>
      </c>
    </row>
    <row r="3492" spans="1:11">
      <c r="A3492" s="739" t="s">
        <v>11019</v>
      </c>
      <c r="C3492" s="741">
        <v>23342</v>
      </c>
      <c r="D3492" s="741"/>
      <c r="H3492" s="739" t="s">
        <v>18617</v>
      </c>
    </row>
    <row r="3493" spans="1:11">
      <c r="A3493" s="739" t="s">
        <v>11019</v>
      </c>
      <c r="C3493" s="741">
        <v>19000</v>
      </c>
      <c r="D3493" s="846"/>
      <c r="H3493" s="739" t="s">
        <v>14396</v>
      </c>
    </row>
    <row r="3494" spans="1:11">
      <c r="A3494" s="739" t="s">
        <v>10797</v>
      </c>
      <c r="E3494" s="739">
        <v>56</v>
      </c>
      <c r="F3494" s="741">
        <v>6949</v>
      </c>
      <c r="G3494" s="739" t="s">
        <v>18123</v>
      </c>
      <c r="H3494" s="739" t="s">
        <v>18618</v>
      </c>
    </row>
    <row r="3495" spans="1:11" ht="115.5">
      <c r="A3495" s="739" t="s">
        <v>18619</v>
      </c>
      <c r="C3495" s="741">
        <v>18171</v>
      </c>
      <c r="D3495" s="846"/>
      <c r="H3495" s="836" t="s">
        <v>18620</v>
      </c>
      <c r="J3495" s="836"/>
    </row>
    <row r="3496" spans="1:11">
      <c r="A3496" s="739" t="s">
        <v>18621</v>
      </c>
      <c r="E3496" s="739">
        <v>112</v>
      </c>
      <c r="F3496" s="741">
        <v>6837</v>
      </c>
      <c r="G3496" s="739" t="s">
        <v>18123</v>
      </c>
      <c r="H3496" s="739" t="s">
        <v>11142</v>
      </c>
    </row>
    <row r="3497" spans="1:11" ht="49.5">
      <c r="A3497" s="739" t="s">
        <v>10867</v>
      </c>
      <c r="C3497" s="741">
        <v>1468</v>
      </c>
      <c r="F3497" s="741"/>
      <c r="G3497" s="739" t="s">
        <v>18622</v>
      </c>
      <c r="H3497" s="836" t="s">
        <v>11143</v>
      </c>
    </row>
    <row r="3498" spans="1:11">
      <c r="A3498" s="739" t="s">
        <v>14402</v>
      </c>
      <c r="E3498" s="739">
        <v>44</v>
      </c>
      <c r="F3498" s="741">
        <v>6793</v>
      </c>
      <c r="G3498" s="739" t="s">
        <v>18516</v>
      </c>
      <c r="H3498" s="739" t="s">
        <v>18623</v>
      </c>
    </row>
    <row r="3499" spans="1:11">
      <c r="A3499" s="739" t="s">
        <v>14402</v>
      </c>
      <c r="E3499" s="741">
        <v>178</v>
      </c>
      <c r="F3499" s="741">
        <v>6615</v>
      </c>
      <c r="G3499" s="741" t="s">
        <v>18106</v>
      </c>
      <c r="H3499" s="739" t="s">
        <v>18624</v>
      </c>
    </row>
    <row r="3500" spans="1:11">
      <c r="A3500" s="739" t="s">
        <v>18625</v>
      </c>
      <c r="C3500" s="739">
        <v>20010</v>
      </c>
      <c r="H3500" s="739" t="s">
        <v>18626</v>
      </c>
      <c r="K3500" s="739" t="s">
        <v>8873</v>
      </c>
    </row>
    <row r="3501" spans="1:11">
      <c r="A3501" s="739" t="s">
        <v>18627</v>
      </c>
      <c r="E3501" s="739">
        <v>56</v>
      </c>
      <c r="F3501" s="741">
        <v>6559</v>
      </c>
      <c r="G3501" s="739" t="s">
        <v>18516</v>
      </c>
      <c r="H3501" s="739" t="s">
        <v>14410</v>
      </c>
    </row>
    <row r="3502" spans="1:11">
      <c r="A3502" s="739" t="s">
        <v>14409</v>
      </c>
      <c r="E3502" s="739">
        <v>28</v>
      </c>
      <c r="F3502" s="741">
        <v>6531</v>
      </c>
      <c r="G3502" s="739" t="s">
        <v>6943</v>
      </c>
      <c r="H3502" s="739" t="s">
        <v>14412</v>
      </c>
    </row>
    <row r="3503" spans="1:11">
      <c r="A3503" s="739" t="s">
        <v>10817</v>
      </c>
      <c r="C3503" s="741">
        <v>18000</v>
      </c>
      <c r="H3503" s="739" t="s">
        <v>14413</v>
      </c>
    </row>
    <row r="3504" spans="1:11">
      <c r="A3504" s="739" t="s">
        <v>10817</v>
      </c>
      <c r="C3504" s="739">
        <v>29575</v>
      </c>
      <c r="H3504" s="739" t="s">
        <v>18628</v>
      </c>
    </row>
    <row r="3505" spans="1:11">
      <c r="A3505" s="739" t="s">
        <v>10817</v>
      </c>
      <c r="C3505" s="741">
        <v>61280</v>
      </c>
      <c r="D3505" s="741"/>
      <c r="H3505" s="739" t="s">
        <v>18629</v>
      </c>
    </row>
    <row r="3506" spans="1:11">
      <c r="A3506" s="739" t="s">
        <v>18630</v>
      </c>
      <c r="C3506" s="739">
        <v>4988</v>
      </c>
      <c r="H3506" s="739" t="s">
        <v>14417</v>
      </c>
    </row>
    <row r="3507" spans="1:11">
      <c r="A3507" s="739" t="s">
        <v>18631</v>
      </c>
      <c r="E3507" s="739">
        <v>28</v>
      </c>
      <c r="F3507" s="741">
        <v>6503</v>
      </c>
      <c r="G3507" s="739" t="s">
        <v>18632</v>
      </c>
      <c r="H3507" s="739" t="s">
        <v>11144</v>
      </c>
    </row>
    <row r="3508" spans="1:11" ht="132">
      <c r="A3508" s="739" t="s">
        <v>14418</v>
      </c>
      <c r="C3508" s="741">
        <v>160000</v>
      </c>
      <c r="D3508" s="846"/>
      <c r="H3508" s="836" t="s">
        <v>18633</v>
      </c>
      <c r="J3508" s="836"/>
    </row>
    <row r="3509" spans="1:11">
      <c r="A3509" s="739" t="s">
        <v>11145</v>
      </c>
      <c r="E3509" s="741">
        <v>680</v>
      </c>
      <c r="F3509" s="741">
        <v>5823</v>
      </c>
      <c r="G3509" s="739" t="s">
        <v>7776</v>
      </c>
      <c r="H3509" s="739" t="s">
        <v>18634</v>
      </c>
    </row>
    <row r="3510" spans="1:11">
      <c r="A3510" s="739" t="s">
        <v>11145</v>
      </c>
      <c r="E3510" s="741">
        <v>620</v>
      </c>
      <c r="F3510" s="741">
        <v>5203</v>
      </c>
      <c r="G3510" s="739" t="s">
        <v>7776</v>
      </c>
      <c r="H3510" s="739" t="s">
        <v>18635</v>
      </c>
    </row>
    <row r="3511" spans="1:11" ht="49.5">
      <c r="A3511" s="739" t="s">
        <v>18636</v>
      </c>
      <c r="C3511" s="741">
        <v>1468</v>
      </c>
      <c r="F3511" s="741"/>
      <c r="G3511" s="739" t="s">
        <v>7763</v>
      </c>
      <c r="H3511" s="836" t="s">
        <v>14423</v>
      </c>
    </row>
    <row r="3512" spans="1:11">
      <c r="A3512" s="739" t="s">
        <v>10938</v>
      </c>
      <c r="E3512" s="741">
        <v>18</v>
      </c>
      <c r="F3512" s="854">
        <v>5185</v>
      </c>
      <c r="G3512" s="739" t="s">
        <v>18116</v>
      </c>
      <c r="H3512" s="739" t="s">
        <v>18637</v>
      </c>
    </row>
    <row r="3513" spans="1:11">
      <c r="A3513" s="739" t="s">
        <v>10938</v>
      </c>
      <c r="E3513" s="741">
        <v>100</v>
      </c>
      <c r="F3513" s="741">
        <v>5085</v>
      </c>
      <c r="G3513" s="739" t="s">
        <v>18115</v>
      </c>
      <c r="H3513" s="739" t="s">
        <v>8421</v>
      </c>
    </row>
    <row r="3514" spans="1:11" s="842" customFormat="1" ht="3.6" customHeight="1">
      <c r="E3514" s="848"/>
      <c r="F3514" s="848"/>
    </row>
    <row r="3515" spans="1:11">
      <c r="A3515" s="739" t="s">
        <v>14426</v>
      </c>
      <c r="C3515" s="739">
        <v>20010</v>
      </c>
      <c r="H3515" s="739" t="s">
        <v>18638</v>
      </c>
      <c r="K3515" s="739" t="s">
        <v>18463</v>
      </c>
    </row>
    <row r="3516" spans="1:11">
      <c r="A3516" s="739" t="s">
        <v>18639</v>
      </c>
      <c r="C3516" s="741">
        <v>31000</v>
      </c>
      <c r="H3516" s="739" t="s">
        <v>18640</v>
      </c>
    </row>
    <row r="3517" spans="1:11">
      <c r="A3517" s="739" t="s">
        <v>14428</v>
      </c>
      <c r="C3517" s="739">
        <v>29575</v>
      </c>
      <c r="H3517" s="739" t="s">
        <v>14431</v>
      </c>
    </row>
    <row r="3518" spans="1:11">
      <c r="A3518" s="739" t="s">
        <v>16535</v>
      </c>
      <c r="C3518" s="739">
        <v>15830</v>
      </c>
      <c r="H3518" s="739" t="s">
        <v>18641</v>
      </c>
    </row>
    <row r="3519" spans="1:11">
      <c r="A3519" s="739" t="s">
        <v>16535</v>
      </c>
      <c r="C3519" s="741">
        <v>41280</v>
      </c>
      <c r="D3519" s="741"/>
      <c r="E3519" s="846"/>
      <c r="H3519" s="741" t="s">
        <v>18642</v>
      </c>
    </row>
    <row r="3520" spans="1:11">
      <c r="A3520" s="739" t="s">
        <v>14436</v>
      </c>
      <c r="C3520" s="741">
        <v>20000</v>
      </c>
      <c r="D3520" s="741"/>
      <c r="E3520" s="846"/>
      <c r="H3520" s="741" t="s">
        <v>14437</v>
      </c>
    </row>
    <row r="3521" spans="1:11">
      <c r="A3521" s="739" t="s">
        <v>18643</v>
      </c>
      <c r="C3521" s="739">
        <v>16930</v>
      </c>
      <c r="H3521" s="739" t="s">
        <v>18644</v>
      </c>
    </row>
    <row r="3522" spans="1:11">
      <c r="A3522" s="739" t="s">
        <v>14436</v>
      </c>
      <c r="C3522" s="739">
        <v>43064</v>
      </c>
      <c r="H3522" s="739" t="s">
        <v>18645</v>
      </c>
    </row>
    <row r="3523" spans="1:11" ht="33">
      <c r="A3523" s="739" t="s">
        <v>18646</v>
      </c>
      <c r="C3523" s="739">
        <v>8888</v>
      </c>
      <c r="H3523" s="836" t="s">
        <v>14442</v>
      </c>
    </row>
    <row r="3524" spans="1:11" ht="113.45" customHeight="1">
      <c r="A3524" s="739" t="s">
        <v>18647</v>
      </c>
      <c r="C3524" s="741">
        <v>62100</v>
      </c>
      <c r="D3524" s="846"/>
      <c r="H3524" s="836" t="s">
        <v>18648</v>
      </c>
      <c r="J3524" s="836"/>
    </row>
    <row r="3525" spans="1:11" ht="49.5">
      <c r="A3525" s="739" t="s">
        <v>18649</v>
      </c>
      <c r="C3525" s="741">
        <v>1468</v>
      </c>
      <c r="F3525" s="741"/>
      <c r="G3525" s="739" t="s">
        <v>7763</v>
      </c>
      <c r="H3525" s="836" t="s">
        <v>18650</v>
      </c>
    </row>
    <row r="3526" spans="1:11">
      <c r="A3526" s="739" t="s">
        <v>10963</v>
      </c>
      <c r="E3526" s="741">
        <v>199</v>
      </c>
      <c r="F3526" s="741">
        <v>4886</v>
      </c>
      <c r="G3526" s="741" t="s">
        <v>6937</v>
      </c>
      <c r="H3526" s="739" t="s">
        <v>14448</v>
      </c>
    </row>
    <row r="3527" spans="1:11">
      <c r="A3527" s="739" t="s">
        <v>18651</v>
      </c>
      <c r="C3527" s="739">
        <v>20010</v>
      </c>
      <c r="H3527" s="739" t="s">
        <v>18652</v>
      </c>
      <c r="K3527" s="739" t="s">
        <v>18463</v>
      </c>
    </row>
    <row r="3528" spans="1:11">
      <c r="A3528" s="739" t="s">
        <v>14451</v>
      </c>
      <c r="E3528" s="739">
        <v>384</v>
      </c>
      <c r="F3528" s="741">
        <v>4502</v>
      </c>
      <c r="G3528" s="739" t="s">
        <v>6943</v>
      </c>
      <c r="H3528" s="739" t="s">
        <v>14452</v>
      </c>
    </row>
    <row r="3529" spans="1:11" ht="33">
      <c r="A3529" s="739" t="s">
        <v>14453</v>
      </c>
      <c r="C3529" s="739">
        <v>26000</v>
      </c>
      <c r="H3529" s="836" t="s">
        <v>18653</v>
      </c>
    </row>
    <row r="3530" spans="1:11" ht="33">
      <c r="A3530" s="739" t="s">
        <v>14453</v>
      </c>
      <c r="E3530" s="855">
        <v>3575</v>
      </c>
      <c r="F3530" s="846">
        <v>927</v>
      </c>
      <c r="H3530" s="844" t="s">
        <v>18654</v>
      </c>
    </row>
    <row r="3531" spans="1:11">
      <c r="A3531" s="739" t="s">
        <v>14456</v>
      </c>
      <c r="E3531" s="739">
        <v>88</v>
      </c>
      <c r="F3531" s="741">
        <v>839</v>
      </c>
      <c r="G3531" s="739" t="s">
        <v>6943</v>
      </c>
      <c r="H3531" s="739" t="s">
        <v>18655</v>
      </c>
    </row>
    <row r="3532" spans="1:11">
      <c r="A3532" s="739" t="s">
        <v>18656</v>
      </c>
      <c r="E3532" s="741">
        <v>175</v>
      </c>
      <c r="F3532" s="741">
        <v>664</v>
      </c>
      <c r="G3532" s="739" t="s">
        <v>18095</v>
      </c>
      <c r="H3532" s="739" t="s">
        <v>18331</v>
      </c>
    </row>
    <row r="3533" spans="1:11">
      <c r="A3533" s="739" t="s">
        <v>14458</v>
      </c>
      <c r="E3533" s="741">
        <v>135</v>
      </c>
      <c r="F3533" s="741">
        <v>529</v>
      </c>
      <c r="G3533" s="739" t="s">
        <v>18095</v>
      </c>
      <c r="H3533" s="739" t="s">
        <v>18657</v>
      </c>
    </row>
    <row r="3534" spans="1:11">
      <c r="A3534" s="739" t="s">
        <v>14461</v>
      </c>
      <c r="C3534" s="741">
        <v>31280</v>
      </c>
      <c r="D3534" s="846"/>
      <c r="E3534" s="846"/>
      <c r="H3534" s="741" t="s">
        <v>14462</v>
      </c>
    </row>
    <row r="3535" spans="1:11" ht="49.5">
      <c r="A3535" s="739" t="s">
        <v>14463</v>
      </c>
      <c r="C3535" s="741">
        <v>1468</v>
      </c>
      <c r="F3535" s="741"/>
      <c r="G3535" s="739" t="s">
        <v>7763</v>
      </c>
      <c r="H3535" s="836" t="s">
        <v>14464</v>
      </c>
    </row>
    <row r="3536" spans="1:11">
      <c r="A3536" s="739" t="s">
        <v>10868</v>
      </c>
      <c r="E3536" s="741">
        <v>18</v>
      </c>
      <c r="F3536" s="856">
        <v>511</v>
      </c>
      <c r="G3536" s="739" t="s">
        <v>6913</v>
      </c>
      <c r="H3536" s="739" t="s">
        <v>14465</v>
      </c>
    </row>
    <row r="3537" spans="1:11">
      <c r="A3537" s="739" t="s">
        <v>10868</v>
      </c>
      <c r="E3537" s="739">
        <v>40</v>
      </c>
      <c r="F3537" s="741">
        <v>471</v>
      </c>
      <c r="G3537" s="739" t="s">
        <v>7776</v>
      </c>
      <c r="H3537" s="739" t="s">
        <v>18658</v>
      </c>
    </row>
    <row r="3538" spans="1:11">
      <c r="A3538" s="739" t="s">
        <v>18659</v>
      </c>
      <c r="C3538" s="739">
        <v>20010</v>
      </c>
      <c r="H3538" s="739" t="s">
        <v>18660</v>
      </c>
      <c r="K3538" s="739" t="s">
        <v>18661</v>
      </c>
    </row>
    <row r="3539" spans="1:11">
      <c r="A3539" s="739" t="s">
        <v>14467</v>
      </c>
      <c r="E3539" s="741">
        <v>324</v>
      </c>
      <c r="F3539" s="739">
        <v>147</v>
      </c>
      <c r="H3539" s="739" t="s">
        <v>14470</v>
      </c>
      <c r="K3539" s="739" t="s">
        <v>18661</v>
      </c>
    </row>
    <row r="3540" spans="1:11">
      <c r="A3540" s="739" t="s">
        <v>18662</v>
      </c>
      <c r="C3540" s="741">
        <v>30000</v>
      </c>
      <c r="D3540" s="846"/>
      <c r="E3540" s="846"/>
      <c r="H3540" s="741" t="s">
        <v>18663</v>
      </c>
    </row>
    <row r="3541" spans="1:11">
      <c r="A3541" s="739" t="s">
        <v>18662</v>
      </c>
      <c r="C3541" s="739">
        <v>760</v>
      </c>
      <c r="H3541" s="739" t="s">
        <v>14474</v>
      </c>
    </row>
    <row r="3542" spans="1:11">
      <c r="A3542" s="739" t="s">
        <v>14471</v>
      </c>
      <c r="C3542" s="739">
        <v>18010</v>
      </c>
      <c r="H3542" s="739" t="s">
        <v>18664</v>
      </c>
    </row>
    <row r="3543" spans="1:11">
      <c r="A3543" s="739" t="s">
        <v>14471</v>
      </c>
      <c r="D3543" s="739">
        <v>5000</v>
      </c>
      <c r="E3543" s="741"/>
      <c r="F3543" s="741">
        <v>5147</v>
      </c>
      <c r="H3543" s="739" t="s">
        <v>463</v>
      </c>
    </row>
    <row r="3544" spans="1:11">
      <c r="A3544" s="739" t="s">
        <v>14471</v>
      </c>
      <c r="E3544" s="739">
        <v>72</v>
      </c>
      <c r="F3544" s="741">
        <v>5075</v>
      </c>
      <c r="G3544" s="739" t="s">
        <v>18632</v>
      </c>
      <c r="H3544" s="739" t="s">
        <v>18665</v>
      </c>
    </row>
    <row r="3545" spans="1:11">
      <c r="A3545" s="739" t="s">
        <v>18666</v>
      </c>
      <c r="C3545" s="741">
        <v>18000</v>
      </c>
      <c r="H3545" s="739" t="s">
        <v>18667</v>
      </c>
    </row>
    <row r="3546" spans="1:11">
      <c r="A3546" s="739" t="s">
        <v>18668</v>
      </c>
      <c r="C3546" s="739">
        <v>29575</v>
      </c>
      <c r="H3546" s="739" t="s">
        <v>18669</v>
      </c>
    </row>
    <row r="3547" spans="1:11">
      <c r="A3547" s="739" t="s">
        <v>9708</v>
      </c>
      <c r="C3547" s="856">
        <v>18000</v>
      </c>
      <c r="D3547" s="741"/>
      <c r="H3547" s="739" t="s">
        <v>14482</v>
      </c>
    </row>
    <row r="3548" spans="1:11">
      <c r="A3548" s="739" t="s">
        <v>14483</v>
      </c>
      <c r="C3548" s="856">
        <v>33280</v>
      </c>
      <c r="H3548" s="739" t="s">
        <v>14484</v>
      </c>
    </row>
    <row r="3549" spans="1:11">
      <c r="A3549" s="739" t="s">
        <v>18670</v>
      </c>
      <c r="E3549" s="741">
        <v>120</v>
      </c>
      <c r="F3549" s="741">
        <v>4955</v>
      </c>
      <c r="G3549" s="739" t="s">
        <v>18671</v>
      </c>
      <c r="H3549" s="739" t="s">
        <v>18672</v>
      </c>
    </row>
    <row r="3550" spans="1:11">
      <c r="A3550" s="739" t="s">
        <v>18673</v>
      </c>
      <c r="E3550" s="741">
        <v>275</v>
      </c>
      <c r="F3550" s="741">
        <v>4680</v>
      </c>
      <c r="G3550" s="739" t="s">
        <v>18541</v>
      </c>
      <c r="H3550" s="739" t="s">
        <v>18674</v>
      </c>
    </row>
    <row r="3551" spans="1:11">
      <c r="A3551" s="739" t="s">
        <v>18675</v>
      </c>
      <c r="E3551" s="846">
        <v>290</v>
      </c>
      <c r="F3551" s="741">
        <v>4390</v>
      </c>
      <c r="G3551" s="739" t="s">
        <v>7776</v>
      </c>
      <c r="H3551" s="739" t="s">
        <v>8713</v>
      </c>
    </row>
    <row r="3552" spans="1:11">
      <c r="A3552" s="739" t="s">
        <v>18676</v>
      </c>
      <c r="E3552" s="739">
        <v>74</v>
      </c>
      <c r="F3552" s="741">
        <v>4316</v>
      </c>
      <c r="G3552" s="739" t="s">
        <v>18123</v>
      </c>
      <c r="H3552" s="739" t="s">
        <v>18677</v>
      </c>
    </row>
    <row r="3553" spans="1:11">
      <c r="A3553" s="739" t="s">
        <v>14493</v>
      </c>
      <c r="E3553" s="741">
        <v>120</v>
      </c>
      <c r="F3553" s="741">
        <v>4196</v>
      </c>
      <c r="G3553" s="739" t="s">
        <v>18116</v>
      </c>
      <c r="H3553" s="739" t="s">
        <v>18261</v>
      </c>
    </row>
    <row r="3554" spans="1:11">
      <c r="A3554" s="739" t="s">
        <v>14494</v>
      </c>
      <c r="C3554" s="739">
        <v>19416</v>
      </c>
      <c r="H3554" s="739" t="s">
        <v>18678</v>
      </c>
    </row>
    <row r="3555" spans="1:11" ht="49.5">
      <c r="A3555" s="739" t="s">
        <v>18679</v>
      </c>
      <c r="C3555" s="741">
        <v>1468</v>
      </c>
      <c r="F3555" s="741"/>
      <c r="G3555" s="739" t="s">
        <v>18212</v>
      </c>
      <c r="H3555" s="836" t="s">
        <v>18680</v>
      </c>
    </row>
    <row r="3556" spans="1:11">
      <c r="A3556" s="739" t="s">
        <v>18679</v>
      </c>
      <c r="C3556" s="856">
        <v>10000</v>
      </c>
      <c r="H3556" s="739" t="s">
        <v>18681</v>
      </c>
    </row>
    <row r="3557" spans="1:11">
      <c r="A3557" s="739" t="s">
        <v>18682</v>
      </c>
      <c r="C3557" s="739">
        <v>20010</v>
      </c>
      <c r="H3557" s="739" t="s">
        <v>14501</v>
      </c>
      <c r="K3557" s="739" t="s">
        <v>8873</v>
      </c>
    </row>
    <row r="3558" spans="1:11">
      <c r="A3558" s="739" t="s">
        <v>14502</v>
      </c>
      <c r="C3558" s="741">
        <v>12000</v>
      </c>
      <c r="H3558" s="739" t="s">
        <v>18683</v>
      </c>
    </row>
    <row r="3559" spans="1:11">
      <c r="A3559" s="739" t="s">
        <v>18684</v>
      </c>
      <c r="C3559" s="739">
        <v>29575</v>
      </c>
      <c r="H3559" s="739" t="s">
        <v>18685</v>
      </c>
    </row>
    <row r="3560" spans="1:11">
      <c r="A3560" s="739" t="s">
        <v>18684</v>
      </c>
      <c r="C3560" s="856">
        <v>31280</v>
      </c>
      <c r="D3560" s="857">
        <v>30000</v>
      </c>
      <c r="H3560" s="739" t="s">
        <v>14507</v>
      </c>
    </row>
    <row r="3561" spans="1:11">
      <c r="A3561" s="739" t="s">
        <v>14508</v>
      </c>
      <c r="E3561" s="741">
        <v>199</v>
      </c>
      <c r="F3561" s="741">
        <v>3997</v>
      </c>
      <c r="G3561" s="741" t="s">
        <v>6937</v>
      </c>
      <c r="H3561" s="739" t="s">
        <v>14509</v>
      </c>
    </row>
    <row r="3562" spans="1:11">
      <c r="A3562" s="739" t="s">
        <v>14508</v>
      </c>
      <c r="E3562" s="739">
        <v>60</v>
      </c>
      <c r="F3562" s="741">
        <v>3937</v>
      </c>
      <c r="G3562" s="739" t="s">
        <v>18123</v>
      </c>
      <c r="H3562" s="739" t="s">
        <v>14510</v>
      </c>
    </row>
    <row r="3563" spans="1:11">
      <c r="A3563" s="739" t="s">
        <v>14511</v>
      </c>
      <c r="C3563" s="856">
        <v>30000</v>
      </c>
      <c r="D3563" s="858"/>
      <c r="H3563" s="739" t="s">
        <v>18686</v>
      </c>
    </row>
    <row r="3564" spans="1:11">
      <c r="A3564" s="739" t="s">
        <v>14513</v>
      </c>
      <c r="E3564" s="741">
        <v>18</v>
      </c>
      <c r="F3564" s="741">
        <v>3919</v>
      </c>
      <c r="G3564" s="739" t="s">
        <v>18687</v>
      </c>
      <c r="H3564" s="739" t="s">
        <v>14465</v>
      </c>
    </row>
    <row r="3565" spans="1:11">
      <c r="A3565" s="739" t="s">
        <v>18688</v>
      </c>
      <c r="E3565" s="739">
        <v>40</v>
      </c>
      <c r="F3565" s="741">
        <v>3879</v>
      </c>
      <c r="G3565" s="739" t="s">
        <v>18115</v>
      </c>
      <c r="H3565" s="739" t="s">
        <v>18658</v>
      </c>
    </row>
    <row r="3566" spans="1:11">
      <c r="A3566" s="739" t="s">
        <v>18689</v>
      </c>
      <c r="C3566" s="739">
        <v>557</v>
      </c>
      <c r="H3566" s="739" t="s">
        <v>14518</v>
      </c>
    </row>
    <row r="3567" spans="1:11" ht="49.5">
      <c r="A3567" s="739" t="s">
        <v>18690</v>
      </c>
      <c r="C3567" s="741">
        <v>1468</v>
      </c>
      <c r="F3567" s="741"/>
      <c r="G3567" s="739" t="s">
        <v>7763</v>
      </c>
      <c r="H3567" s="836" t="s">
        <v>18691</v>
      </c>
    </row>
    <row r="3568" spans="1:11">
      <c r="A3568" s="739" t="s">
        <v>18692</v>
      </c>
      <c r="B3568" s="846">
        <v>100000</v>
      </c>
    </row>
    <row r="3569" spans="1:11">
      <c r="A3569" s="739" t="s">
        <v>14522</v>
      </c>
      <c r="C3569" s="846">
        <v>20010</v>
      </c>
      <c r="H3569" s="739" t="s">
        <v>18693</v>
      </c>
      <c r="K3569" s="739" t="s">
        <v>18661</v>
      </c>
    </row>
    <row r="3570" spans="1:11">
      <c r="A3570" s="739" t="s">
        <v>14524</v>
      </c>
      <c r="C3570" s="846">
        <v>29575</v>
      </c>
      <c r="H3570" s="739" t="s">
        <v>18694</v>
      </c>
    </row>
    <row r="3571" spans="1:11">
      <c r="A3571" s="739" t="s">
        <v>14524</v>
      </c>
      <c r="C3571" s="846">
        <v>26000</v>
      </c>
      <c r="H3571" s="739" t="s">
        <v>18695</v>
      </c>
    </row>
    <row r="3572" spans="1:11">
      <c r="A3572" s="739" t="s">
        <v>14524</v>
      </c>
      <c r="C3572" s="855">
        <v>24415</v>
      </c>
      <c r="D3572" s="858">
        <v>36865</v>
      </c>
      <c r="E3572" s="846"/>
      <c r="H3572" s="739" t="s">
        <v>18696</v>
      </c>
    </row>
    <row r="3573" spans="1:11">
      <c r="A3573" s="739" t="s">
        <v>18697</v>
      </c>
      <c r="E3573" s="739">
        <v>70</v>
      </c>
      <c r="F3573" s="741">
        <v>3809</v>
      </c>
      <c r="G3573" s="739" t="s">
        <v>18115</v>
      </c>
      <c r="H3573" s="739" t="s">
        <v>18698</v>
      </c>
    </row>
    <row r="3574" spans="1:11" ht="66">
      <c r="A3574" s="739" t="s">
        <v>14530</v>
      </c>
      <c r="E3574" s="741">
        <v>551</v>
      </c>
      <c r="F3574" s="741">
        <v>3258</v>
      </c>
      <c r="G3574" s="739" t="s">
        <v>6943</v>
      </c>
      <c r="H3574" s="836" t="s">
        <v>18699</v>
      </c>
    </row>
    <row r="3575" spans="1:11">
      <c r="A3575" s="739" t="s">
        <v>18700</v>
      </c>
      <c r="C3575" s="739">
        <v>11206</v>
      </c>
      <c r="H3575" s="739" t="s">
        <v>14533</v>
      </c>
    </row>
    <row r="3576" spans="1:11">
      <c r="A3576" s="739" t="s">
        <v>14532</v>
      </c>
      <c r="E3576" s="741">
        <v>69</v>
      </c>
      <c r="F3576" s="741">
        <v>3189</v>
      </c>
      <c r="G3576" s="739" t="s">
        <v>18127</v>
      </c>
      <c r="H3576" s="739" t="s">
        <v>18701</v>
      </c>
    </row>
    <row r="3577" spans="1:11">
      <c r="A3577" s="739" t="s">
        <v>18702</v>
      </c>
      <c r="E3577" s="739">
        <v>196</v>
      </c>
      <c r="F3577" s="741">
        <v>2993</v>
      </c>
      <c r="G3577" s="739" t="s">
        <v>18516</v>
      </c>
      <c r="H3577" s="739" t="s">
        <v>18703</v>
      </c>
    </row>
    <row r="3578" spans="1:11" ht="49.5">
      <c r="A3578" s="739" t="s">
        <v>9743</v>
      </c>
      <c r="C3578" s="741">
        <v>1468</v>
      </c>
      <c r="F3578" s="741"/>
      <c r="G3578" s="739" t="s">
        <v>7763</v>
      </c>
      <c r="H3578" s="836" t="s">
        <v>14538</v>
      </c>
    </row>
    <row r="3579" spans="1:11">
      <c r="A3579" s="739" t="s">
        <v>14539</v>
      </c>
      <c r="C3579" s="739">
        <v>3366</v>
      </c>
      <c r="H3579" s="739" t="s">
        <v>18704</v>
      </c>
    </row>
    <row r="3580" spans="1:11">
      <c r="A3580" s="739" t="s">
        <v>14541</v>
      </c>
      <c r="C3580" s="739">
        <v>40030</v>
      </c>
      <c r="H3580" s="739" t="s">
        <v>14542</v>
      </c>
    </row>
    <row r="3581" spans="1:11">
      <c r="A3581" s="739" t="s">
        <v>18705</v>
      </c>
      <c r="E3581" s="739">
        <v>588</v>
      </c>
      <c r="F3581" s="741">
        <v>2405</v>
      </c>
      <c r="G3581" s="739" t="s">
        <v>6943</v>
      </c>
      <c r="H3581" s="739" t="s">
        <v>14544</v>
      </c>
    </row>
    <row r="3582" spans="1:11">
      <c r="E3582" s="741"/>
      <c r="F3582" s="741"/>
      <c r="H3582" s="846" t="s">
        <v>18119</v>
      </c>
    </row>
    <row r="3583" spans="1:11">
      <c r="A3583" s="739" t="s">
        <v>18706</v>
      </c>
      <c r="C3583" s="741">
        <v>20010</v>
      </c>
      <c r="H3583" s="739" t="s">
        <v>18707</v>
      </c>
      <c r="K3583" s="739" t="s">
        <v>18661</v>
      </c>
    </row>
    <row r="3584" spans="1:11">
      <c r="A3584" s="739" t="s">
        <v>18706</v>
      </c>
      <c r="E3584" s="741">
        <v>185</v>
      </c>
      <c r="F3584" s="741">
        <v>2220</v>
      </c>
      <c r="G3584" s="741" t="s">
        <v>18106</v>
      </c>
      <c r="H3584" s="739" t="s">
        <v>18708</v>
      </c>
    </row>
    <row r="3585" spans="1:8">
      <c r="A3585" s="739" t="s">
        <v>18709</v>
      </c>
      <c r="E3585" s="739">
        <v>44</v>
      </c>
      <c r="F3585" s="741">
        <v>2176</v>
      </c>
      <c r="G3585" s="739" t="s">
        <v>6943</v>
      </c>
      <c r="H3585" s="739" t="s">
        <v>18710</v>
      </c>
    </row>
    <row r="3586" spans="1:8">
      <c r="E3586" s="741"/>
      <c r="F3586" s="741"/>
      <c r="H3586" s="846" t="s">
        <v>8146</v>
      </c>
    </row>
    <row r="3587" spans="1:8">
      <c r="A3587" s="739" t="s">
        <v>14552</v>
      </c>
      <c r="E3587" s="739">
        <v>120</v>
      </c>
      <c r="F3587" s="741">
        <v>2056</v>
      </c>
      <c r="G3587" s="739" t="s">
        <v>7776</v>
      </c>
      <c r="H3587" s="739" t="s">
        <v>18711</v>
      </c>
    </row>
    <row r="3588" spans="1:8">
      <c r="A3588" s="739" t="s">
        <v>16556</v>
      </c>
      <c r="E3588" s="739">
        <v>110</v>
      </c>
      <c r="F3588" s="741">
        <v>1946</v>
      </c>
      <c r="G3588" s="739" t="s">
        <v>7776</v>
      </c>
      <c r="H3588" s="739" t="s">
        <v>18712</v>
      </c>
    </row>
    <row r="3589" spans="1:8">
      <c r="A3589" s="739" t="s">
        <v>14554</v>
      </c>
      <c r="E3589" s="739">
        <v>215</v>
      </c>
      <c r="F3589" s="741">
        <v>1731</v>
      </c>
      <c r="G3589" s="739" t="s">
        <v>7776</v>
      </c>
      <c r="H3589" s="739" t="s">
        <v>18713</v>
      </c>
    </row>
    <row r="3590" spans="1:8">
      <c r="A3590" s="739" t="s">
        <v>14554</v>
      </c>
      <c r="E3590" s="739">
        <v>220</v>
      </c>
      <c r="F3590" s="741">
        <v>1511</v>
      </c>
      <c r="G3590" s="739" t="s">
        <v>18541</v>
      </c>
      <c r="H3590" s="739" t="s">
        <v>18714</v>
      </c>
    </row>
    <row r="3591" spans="1:8">
      <c r="A3591" s="739" t="s">
        <v>9710</v>
      </c>
      <c r="C3591" s="741">
        <v>36000</v>
      </c>
      <c r="H3591" s="739" t="s">
        <v>14558</v>
      </c>
    </row>
    <row r="3592" spans="1:8">
      <c r="A3592" s="739" t="s">
        <v>18715</v>
      </c>
      <c r="C3592" s="739">
        <v>29575</v>
      </c>
      <c r="H3592" s="739" t="s">
        <v>14560</v>
      </c>
    </row>
    <row r="3593" spans="1:8">
      <c r="A3593" s="739" t="s">
        <v>18715</v>
      </c>
      <c r="C3593" s="856">
        <v>36865</v>
      </c>
      <c r="D3593" s="858"/>
      <c r="E3593" s="846"/>
      <c r="H3593" s="739" t="s">
        <v>18716</v>
      </c>
    </row>
    <row r="3594" spans="1:8">
      <c r="A3594" s="739" t="s">
        <v>18715</v>
      </c>
      <c r="C3594" s="739">
        <v>400</v>
      </c>
      <c r="H3594" s="739" t="s">
        <v>18717</v>
      </c>
    </row>
    <row r="3595" spans="1:8">
      <c r="A3595" s="739" t="s">
        <v>18718</v>
      </c>
      <c r="C3595" s="739">
        <v>16957</v>
      </c>
      <c r="H3595" s="739" t="s">
        <v>18719</v>
      </c>
    </row>
    <row r="3596" spans="1:8">
      <c r="A3596" s="739" t="s">
        <v>14565</v>
      </c>
      <c r="C3596" s="739">
        <v>101010</v>
      </c>
      <c r="H3596" s="739" t="s">
        <v>18720</v>
      </c>
    </row>
    <row r="3597" spans="1:8">
      <c r="A3597" s="739" t="s">
        <v>14567</v>
      </c>
      <c r="E3597" s="739">
        <v>160</v>
      </c>
      <c r="F3597" s="741">
        <v>1351</v>
      </c>
      <c r="G3597" s="739" t="s">
        <v>6943</v>
      </c>
      <c r="H3597" s="739" t="s">
        <v>18721</v>
      </c>
    </row>
    <row r="3598" spans="1:8">
      <c r="A3598" s="739" t="s">
        <v>18722</v>
      </c>
      <c r="C3598" s="856"/>
      <c r="D3598" s="857"/>
      <c r="E3598" s="739">
        <v>610</v>
      </c>
      <c r="F3598" s="739">
        <v>741</v>
      </c>
      <c r="H3598" s="739" t="s">
        <v>18723</v>
      </c>
    </row>
    <row r="3599" spans="1:8">
      <c r="E3599" s="741"/>
      <c r="F3599" s="741"/>
      <c r="H3599" s="846" t="s">
        <v>8146</v>
      </c>
    </row>
    <row r="3600" spans="1:8">
      <c r="A3600" s="739" t="s">
        <v>18724</v>
      </c>
      <c r="C3600" s="856">
        <v>13230</v>
      </c>
      <c r="D3600" s="857"/>
      <c r="E3600" s="741"/>
      <c r="F3600" s="741"/>
      <c r="G3600" s="741"/>
      <c r="H3600" s="741" t="s">
        <v>18725</v>
      </c>
    </row>
    <row r="3601" spans="1:11">
      <c r="A3601" s="739" t="s">
        <v>18726</v>
      </c>
      <c r="C3601" s="856">
        <v>48050</v>
      </c>
      <c r="D3601" s="857"/>
      <c r="E3601" s="741"/>
      <c r="F3601" s="741"/>
      <c r="G3601" s="741"/>
      <c r="H3601" s="741" t="s">
        <v>18727</v>
      </c>
    </row>
    <row r="3602" spans="1:11">
      <c r="A3602" s="739" t="s">
        <v>16281</v>
      </c>
      <c r="E3602" s="739">
        <v>195</v>
      </c>
      <c r="F3602" s="741">
        <v>546</v>
      </c>
      <c r="G3602" s="739" t="s">
        <v>7776</v>
      </c>
      <c r="H3602" s="739" t="s">
        <v>18728</v>
      </c>
    </row>
    <row r="3603" spans="1:11">
      <c r="A3603" s="739" t="s">
        <v>18729</v>
      </c>
      <c r="E3603" s="739">
        <v>200</v>
      </c>
      <c r="F3603" s="741">
        <v>346</v>
      </c>
      <c r="G3603" s="739" t="s">
        <v>18541</v>
      </c>
      <c r="H3603" s="739" t="s">
        <v>8218</v>
      </c>
    </row>
    <row r="3604" spans="1:11">
      <c r="E3604" s="741"/>
      <c r="F3604" s="741"/>
      <c r="H3604" s="846" t="s">
        <v>18534</v>
      </c>
    </row>
    <row r="3605" spans="1:11" ht="49.5">
      <c r="A3605" s="739" t="s">
        <v>9928</v>
      </c>
      <c r="C3605" s="741">
        <v>1468</v>
      </c>
      <c r="F3605" s="741"/>
      <c r="G3605" s="739" t="s">
        <v>18103</v>
      </c>
      <c r="H3605" s="836" t="s">
        <v>18730</v>
      </c>
    </row>
    <row r="3606" spans="1:11">
      <c r="A3606" s="739" t="s">
        <v>9928</v>
      </c>
      <c r="E3606" s="741">
        <v>18</v>
      </c>
      <c r="F3606" s="741">
        <v>328</v>
      </c>
      <c r="G3606" s="739" t="s">
        <v>18116</v>
      </c>
      <c r="H3606" s="739" t="s">
        <v>18731</v>
      </c>
    </row>
    <row r="3607" spans="1:11">
      <c r="A3607" s="739" t="s">
        <v>9928</v>
      </c>
      <c r="F3607" s="741"/>
      <c r="G3607" s="739" t="s">
        <v>7776</v>
      </c>
      <c r="H3607" s="739" t="s">
        <v>14466</v>
      </c>
    </row>
    <row r="3608" spans="1:11">
      <c r="A3608" s="739" t="s">
        <v>18732</v>
      </c>
      <c r="C3608" s="741">
        <v>20010</v>
      </c>
      <c r="H3608" s="739" t="s">
        <v>18733</v>
      </c>
      <c r="K3608" s="739" t="s">
        <v>18661</v>
      </c>
    </row>
    <row r="3609" spans="1:11">
      <c r="A3609" s="739" t="s">
        <v>18734</v>
      </c>
      <c r="C3609" s="741">
        <v>29575</v>
      </c>
      <c r="H3609" s="739" t="s">
        <v>18735</v>
      </c>
    </row>
    <row r="3610" spans="1:11">
      <c r="A3610" s="739" t="s">
        <v>16078</v>
      </c>
      <c r="C3610" s="741">
        <v>27800</v>
      </c>
      <c r="D3610" s="741">
        <v>36000</v>
      </c>
      <c r="H3610" s="846" t="s">
        <v>18736</v>
      </c>
    </row>
    <row r="3611" spans="1:11">
      <c r="A3611" s="739" t="s">
        <v>18737</v>
      </c>
      <c r="C3611" s="856">
        <v>31280</v>
      </c>
      <c r="D3611" s="859">
        <v>30000</v>
      </c>
      <c r="E3611" s="846"/>
      <c r="H3611" s="846" t="s">
        <v>18738</v>
      </c>
    </row>
    <row r="3612" spans="1:11">
      <c r="A3612" s="739" t="s">
        <v>18739</v>
      </c>
      <c r="E3612" s="739">
        <v>40</v>
      </c>
      <c r="F3612" s="741">
        <v>288</v>
      </c>
      <c r="G3612" s="739" t="s">
        <v>7776</v>
      </c>
      <c r="H3612" s="739" t="s">
        <v>18740</v>
      </c>
    </row>
    <row r="3613" spans="1:11">
      <c r="A3613" s="739" t="s">
        <v>15089</v>
      </c>
      <c r="C3613" s="739">
        <v>40059</v>
      </c>
      <c r="H3613" s="739" t="s">
        <v>18741</v>
      </c>
    </row>
    <row r="3614" spans="1:11">
      <c r="A3614" s="739" t="s">
        <v>18742</v>
      </c>
      <c r="D3614" s="739">
        <v>3000</v>
      </c>
      <c r="E3614" s="741"/>
      <c r="F3614" s="741">
        <v>3288</v>
      </c>
      <c r="H3614" s="739" t="s">
        <v>463</v>
      </c>
    </row>
    <row r="3615" spans="1:11">
      <c r="A3615" s="739" t="s">
        <v>18743</v>
      </c>
      <c r="E3615" s="739">
        <v>1000</v>
      </c>
      <c r="F3615" s="741">
        <v>2288</v>
      </c>
      <c r="H3615" s="739" t="s">
        <v>18744</v>
      </c>
    </row>
    <row r="3616" spans="1:11">
      <c r="E3616" s="741"/>
      <c r="F3616" s="741"/>
      <c r="H3616" s="846" t="s">
        <v>18119</v>
      </c>
    </row>
    <row r="3617" spans="1:8">
      <c r="A3617" s="739" t="s">
        <v>18745</v>
      </c>
      <c r="E3617" s="741">
        <v>194</v>
      </c>
      <c r="F3617" s="741">
        <v>2094</v>
      </c>
      <c r="G3617" s="741" t="s">
        <v>18746</v>
      </c>
      <c r="H3617" s="739" t="s">
        <v>18747</v>
      </c>
    </row>
    <row r="3618" spans="1:8" ht="49.5">
      <c r="A3618" s="739" t="s">
        <v>18748</v>
      </c>
      <c r="C3618" s="741">
        <v>1468</v>
      </c>
      <c r="F3618" s="741"/>
      <c r="G3618" s="739" t="s">
        <v>7763</v>
      </c>
      <c r="H3618" s="836" t="s">
        <v>18749</v>
      </c>
    </row>
    <row r="3619" spans="1:8">
      <c r="A3619" s="739" t="s">
        <v>18750</v>
      </c>
      <c r="E3619" s="739">
        <v>84</v>
      </c>
      <c r="F3619" s="741">
        <v>2010</v>
      </c>
      <c r="G3619" s="739" t="s">
        <v>18123</v>
      </c>
      <c r="H3619" s="739" t="s">
        <v>18751</v>
      </c>
    </row>
    <row r="3620" spans="1:8">
      <c r="A3620" s="739" t="s">
        <v>18752</v>
      </c>
      <c r="E3620" s="739">
        <v>60</v>
      </c>
      <c r="F3620" s="741">
        <v>1950</v>
      </c>
      <c r="G3620" s="739" t="s">
        <v>6943</v>
      </c>
      <c r="H3620" s="739" t="s">
        <v>18753</v>
      </c>
    </row>
    <row r="3621" spans="1:8">
      <c r="A3621" s="739" t="s">
        <v>18754</v>
      </c>
      <c r="C3621" s="741">
        <v>29575</v>
      </c>
      <c r="H3621" s="739" t="s">
        <v>18755</v>
      </c>
    </row>
    <row r="3622" spans="1:8">
      <c r="C3622" s="846">
        <v>5013</v>
      </c>
      <c r="H3622" s="739" t="s">
        <v>18756</v>
      </c>
    </row>
    <row r="3623" spans="1:8">
      <c r="A3623" s="739" t="s">
        <v>18757</v>
      </c>
      <c r="C3623" s="741"/>
      <c r="D3623" s="741">
        <v>33500</v>
      </c>
      <c r="H3623" s="846" t="s">
        <v>18758</v>
      </c>
    </row>
    <row r="3624" spans="1:8">
      <c r="A3624" s="739" t="s">
        <v>18759</v>
      </c>
      <c r="C3624" s="856"/>
      <c r="D3624" s="859">
        <v>61280</v>
      </c>
      <c r="E3624" s="846"/>
      <c r="H3624" s="846" t="s">
        <v>18760</v>
      </c>
    </row>
    <row r="3625" spans="1:8">
      <c r="A3625" s="739" t="s">
        <v>18761</v>
      </c>
      <c r="E3625" s="739">
        <v>28</v>
      </c>
      <c r="F3625" s="741">
        <v>1922</v>
      </c>
      <c r="G3625" s="739" t="s">
        <v>18516</v>
      </c>
      <c r="H3625" s="739" t="s">
        <v>18762</v>
      </c>
    </row>
    <row r="3626" spans="1:8">
      <c r="A3626" s="739" t="s">
        <v>18763</v>
      </c>
      <c r="E3626" s="739">
        <v>125</v>
      </c>
      <c r="F3626" s="741">
        <v>1797</v>
      </c>
      <c r="G3626" s="739" t="s">
        <v>18115</v>
      </c>
      <c r="H3626" s="739" t="s">
        <v>18764</v>
      </c>
    </row>
    <row r="3627" spans="1:8">
      <c r="A3627" s="739" t="s">
        <v>18765</v>
      </c>
      <c r="E3627" s="739">
        <v>135</v>
      </c>
      <c r="F3627" s="741">
        <v>1662</v>
      </c>
      <c r="G3627" s="739" t="s">
        <v>7776</v>
      </c>
      <c r="H3627" s="739" t="s">
        <v>18764</v>
      </c>
    </row>
    <row r="3628" spans="1:8">
      <c r="A3628" s="739" t="s">
        <v>18766</v>
      </c>
      <c r="E3628" s="739">
        <v>112</v>
      </c>
      <c r="F3628" s="741">
        <v>1550</v>
      </c>
      <c r="G3628" s="739" t="s">
        <v>6943</v>
      </c>
      <c r="H3628" s="739" t="s">
        <v>18767</v>
      </c>
    </row>
    <row r="3629" spans="1:8">
      <c r="A3629" s="739" t="s">
        <v>18768</v>
      </c>
      <c r="E3629" s="739">
        <v>60</v>
      </c>
      <c r="F3629" s="741">
        <v>1490</v>
      </c>
      <c r="G3629" s="739" t="s">
        <v>18123</v>
      </c>
      <c r="H3629" s="739" t="s">
        <v>18769</v>
      </c>
    </row>
    <row r="3630" spans="1:8">
      <c r="A3630" s="739" t="s">
        <v>18770</v>
      </c>
      <c r="E3630" s="739">
        <v>44</v>
      </c>
      <c r="F3630" s="741">
        <v>1446</v>
      </c>
      <c r="G3630" s="739" t="s">
        <v>6943</v>
      </c>
      <c r="H3630" s="739" t="s">
        <v>18771</v>
      </c>
    </row>
    <row r="3631" spans="1:8" ht="49.5">
      <c r="A3631" s="739" t="s">
        <v>18772</v>
      </c>
      <c r="C3631" s="741">
        <v>1468</v>
      </c>
      <c r="F3631" s="741"/>
      <c r="G3631" s="739" t="s">
        <v>18212</v>
      </c>
      <c r="H3631" s="836" t="s">
        <v>18773</v>
      </c>
    </row>
    <row r="3632" spans="1:8">
      <c r="A3632" s="739" t="s">
        <v>18774</v>
      </c>
      <c r="E3632" s="741">
        <v>18</v>
      </c>
      <c r="F3632" s="741">
        <v>1428</v>
      </c>
      <c r="G3632" s="739" t="s">
        <v>18048</v>
      </c>
      <c r="H3632" s="739" t="s">
        <v>18775</v>
      </c>
    </row>
    <row r="3633" spans="1:11">
      <c r="A3633" s="739" t="s">
        <v>18774</v>
      </c>
      <c r="E3633" s="741">
        <v>40</v>
      </c>
      <c r="F3633" s="741">
        <v>1388</v>
      </c>
      <c r="H3633" s="739" t="s">
        <v>14466</v>
      </c>
    </row>
    <row r="3634" spans="1:11" ht="49.5">
      <c r="A3634" s="739" t="s">
        <v>18776</v>
      </c>
      <c r="C3634" s="741">
        <v>52920</v>
      </c>
      <c r="D3634" s="846"/>
      <c r="H3634" s="836" t="s">
        <v>18777</v>
      </c>
    </row>
    <row r="3635" spans="1:11">
      <c r="A3635" s="739" t="s">
        <v>18778</v>
      </c>
      <c r="E3635" s="739">
        <v>125</v>
      </c>
      <c r="F3635" s="741">
        <v>1263</v>
      </c>
      <c r="G3635" s="739" t="s">
        <v>7776</v>
      </c>
      <c r="H3635" s="739" t="s">
        <v>8545</v>
      </c>
    </row>
    <row r="3636" spans="1:11">
      <c r="A3636" s="739" t="s">
        <v>18778</v>
      </c>
      <c r="E3636" s="739">
        <v>140</v>
      </c>
      <c r="F3636" s="741">
        <v>1123</v>
      </c>
      <c r="G3636" s="739" t="s">
        <v>7776</v>
      </c>
      <c r="H3636" s="739" t="s">
        <v>18277</v>
      </c>
    </row>
    <row r="3637" spans="1:11">
      <c r="A3637" s="739" t="s">
        <v>18779</v>
      </c>
      <c r="C3637" s="741">
        <v>20010</v>
      </c>
      <c r="H3637" s="739" t="s">
        <v>18780</v>
      </c>
      <c r="K3637" s="739" t="s">
        <v>8873</v>
      </c>
    </row>
    <row r="3638" spans="1:11">
      <c r="A3638" s="739" t="s">
        <v>10889</v>
      </c>
      <c r="E3638" s="739">
        <v>56</v>
      </c>
      <c r="F3638" s="741">
        <v>1067</v>
      </c>
      <c r="G3638" s="739" t="s">
        <v>18123</v>
      </c>
      <c r="H3638" s="739" t="s">
        <v>18781</v>
      </c>
    </row>
    <row r="3639" spans="1:11">
      <c r="A3639" s="739" t="s">
        <v>18779</v>
      </c>
      <c r="E3639" s="741">
        <v>350</v>
      </c>
      <c r="F3639" s="741">
        <v>717</v>
      </c>
      <c r="G3639" s="739" t="s">
        <v>18116</v>
      </c>
      <c r="H3639" s="739" t="s">
        <v>18782</v>
      </c>
    </row>
    <row r="3640" spans="1:11">
      <c r="A3640" s="739" t="s">
        <v>18783</v>
      </c>
      <c r="C3640" s="741">
        <v>29575</v>
      </c>
      <c r="H3640" s="739" t="s">
        <v>18784</v>
      </c>
    </row>
    <row r="3641" spans="1:11">
      <c r="A3641" s="739" t="s">
        <v>18785</v>
      </c>
      <c r="C3641" s="741">
        <f>36000+13500</f>
        <v>49500</v>
      </c>
      <c r="D3641" s="846"/>
      <c r="H3641" s="846" t="s">
        <v>18786</v>
      </c>
    </row>
    <row r="3642" spans="1:11">
      <c r="A3642" s="739" t="s">
        <v>18785</v>
      </c>
      <c r="C3642" s="856">
        <v>51280</v>
      </c>
      <c r="D3642" s="860">
        <v>10000</v>
      </c>
      <c r="E3642" s="846"/>
      <c r="H3642" s="846" t="s">
        <v>18787</v>
      </c>
    </row>
    <row r="3643" spans="1:11">
      <c r="A3643" s="739" t="s">
        <v>18788</v>
      </c>
      <c r="C3643" s="739">
        <v>408</v>
      </c>
      <c r="H3643" s="739" t="s">
        <v>18789</v>
      </c>
    </row>
    <row r="3644" spans="1:11">
      <c r="A3644" s="739" t="s">
        <v>18790</v>
      </c>
      <c r="C3644" s="739">
        <v>9324</v>
      </c>
      <c r="H3644" s="739" t="s">
        <v>18791</v>
      </c>
    </row>
    <row r="3645" spans="1:11">
      <c r="A3645" s="739" t="s">
        <v>18792</v>
      </c>
      <c r="E3645" s="741">
        <v>110</v>
      </c>
      <c r="F3645" s="741">
        <v>607</v>
      </c>
      <c r="G3645" s="739" t="s">
        <v>18687</v>
      </c>
      <c r="H3645" s="739" t="s">
        <v>7126</v>
      </c>
    </row>
    <row r="3646" spans="1:11">
      <c r="A3646" s="739" t="s">
        <v>18793</v>
      </c>
      <c r="C3646" s="739">
        <v>29089</v>
      </c>
      <c r="H3646" s="739" t="s">
        <v>18794</v>
      </c>
    </row>
    <row r="3647" spans="1:11">
      <c r="A3647" s="739" t="s">
        <v>18795</v>
      </c>
      <c r="E3647" s="739">
        <v>28</v>
      </c>
      <c r="F3647" s="741">
        <v>579</v>
      </c>
      <c r="G3647" s="739" t="s">
        <v>6943</v>
      </c>
      <c r="H3647" s="739" t="s">
        <v>18796</v>
      </c>
    </row>
    <row r="3648" spans="1:11">
      <c r="A3648" s="739" t="s">
        <v>18797</v>
      </c>
      <c r="E3648" s="741">
        <v>185</v>
      </c>
      <c r="F3648" s="741">
        <v>394</v>
      </c>
      <c r="G3648" s="741" t="s">
        <v>18746</v>
      </c>
      <c r="H3648" s="739" t="s">
        <v>18747</v>
      </c>
    </row>
    <row r="3649" spans="1:11" ht="49.5">
      <c r="A3649" s="739" t="s">
        <v>18798</v>
      </c>
      <c r="C3649" s="741">
        <v>1468</v>
      </c>
      <c r="F3649" s="741"/>
      <c r="G3649" s="739" t="s">
        <v>18103</v>
      </c>
      <c r="H3649" s="836" t="s">
        <v>18799</v>
      </c>
    </row>
    <row r="3650" spans="1:11">
      <c r="A3650" s="739" t="s">
        <v>16049</v>
      </c>
      <c r="C3650" s="741">
        <v>20010</v>
      </c>
      <c r="H3650" s="739" t="s">
        <v>18800</v>
      </c>
      <c r="K3650" s="739" t="s">
        <v>8873</v>
      </c>
    </row>
    <row r="3651" spans="1:11">
      <c r="A3651" s="739" t="s">
        <v>18801</v>
      </c>
      <c r="C3651" s="741">
        <v>29575</v>
      </c>
      <c r="H3651" s="739" t="s">
        <v>18802</v>
      </c>
    </row>
    <row r="3652" spans="1:11">
      <c r="A3652" s="739" t="s">
        <v>16049</v>
      </c>
      <c r="C3652" s="741">
        <f>13500+4000+800</f>
        <v>18300</v>
      </c>
      <c r="D3652" s="846"/>
      <c r="H3652" s="741" t="s">
        <v>18803</v>
      </c>
    </row>
    <row r="3653" spans="1:11" ht="49.5">
      <c r="A3653" s="739" t="s">
        <v>18804</v>
      </c>
      <c r="C3653" s="741">
        <v>111740</v>
      </c>
      <c r="D3653" s="846"/>
      <c r="H3653" s="836" t="s">
        <v>18805</v>
      </c>
    </row>
    <row r="3654" spans="1:11">
      <c r="A3654" s="739" t="s">
        <v>18806</v>
      </c>
      <c r="D3654" s="739">
        <v>3000</v>
      </c>
      <c r="E3654" s="741"/>
      <c r="F3654" s="741">
        <v>3394</v>
      </c>
      <c r="H3654" s="739" t="s">
        <v>18132</v>
      </c>
    </row>
    <row r="3655" spans="1:11">
      <c r="A3655" s="739" t="s">
        <v>18806</v>
      </c>
      <c r="E3655" s="741">
        <v>195</v>
      </c>
      <c r="F3655" s="741">
        <v>3199</v>
      </c>
      <c r="G3655" s="739" t="s">
        <v>18170</v>
      </c>
      <c r="H3655" s="739" t="s">
        <v>18807</v>
      </c>
    </row>
    <row r="3656" spans="1:11">
      <c r="A3656" s="739" t="s">
        <v>18808</v>
      </c>
      <c r="E3656" s="739">
        <v>558</v>
      </c>
      <c r="F3656" s="741">
        <v>2641</v>
      </c>
      <c r="G3656" s="739" t="s">
        <v>6943</v>
      </c>
      <c r="H3656" s="739" t="s">
        <v>18809</v>
      </c>
    </row>
    <row r="3657" spans="1:11">
      <c r="E3657" s="741"/>
      <c r="F3657" s="741"/>
      <c r="H3657" s="846" t="s">
        <v>18119</v>
      </c>
    </row>
    <row r="3658" spans="1:11" ht="49.5">
      <c r="A3658" s="739" t="s">
        <v>18810</v>
      </c>
      <c r="C3658" s="741">
        <v>1468</v>
      </c>
      <c r="F3658" s="741"/>
      <c r="G3658" s="739" t="s">
        <v>7763</v>
      </c>
      <c r="H3658" s="836" t="s">
        <v>18811</v>
      </c>
    </row>
    <row r="3659" spans="1:11">
      <c r="A3659" s="739" t="s">
        <v>18812</v>
      </c>
      <c r="E3659" s="741">
        <v>18</v>
      </c>
      <c r="F3659" s="741">
        <v>2623</v>
      </c>
      <c r="G3659" s="739" t="s">
        <v>6913</v>
      </c>
      <c r="H3659" s="739" t="s">
        <v>18813</v>
      </c>
    </row>
    <row r="3660" spans="1:11">
      <c r="A3660" s="739" t="s">
        <v>18812</v>
      </c>
      <c r="E3660" s="741">
        <v>40</v>
      </c>
      <c r="F3660" s="741">
        <v>2583</v>
      </c>
      <c r="H3660" s="739" t="s">
        <v>18814</v>
      </c>
    </row>
    <row r="3661" spans="1:11">
      <c r="A3661" s="739" t="s">
        <v>18815</v>
      </c>
      <c r="E3661" s="741">
        <v>263</v>
      </c>
      <c r="F3661" s="741">
        <v>2320</v>
      </c>
      <c r="G3661" s="739" t="s">
        <v>6972</v>
      </c>
      <c r="H3661" s="739" t="s">
        <v>18816</v>
      </c>
    </row>
    <row r="3662" spans="1:11">
      <c r="A3662" s="739" t="s">
        <v>18817</v>
      </c>
      <c r="E3662" s="739">
        <v>51</v>
      </c>
      <c r="F3662" s="741">
        <v>2269</v>
      </c>
      <c r="G3662" s="739" t="s">
        <v>6943</v>
      </c>
      <c r="H3662" s="739" t="s">
        <v>18818</v>
      </c>
    </row>
    <row r="3663" spans="1:11">
      <c r="E3663" s="741"/>
      <c r="F3663" s="741"/>
      <c r="H3663" s="846" t="s">
        <v>18534</v>
      </c>
    </row>
    <row r="3664" spans="1:11">
      <c r="A3664" s="739" t="s">
        <v>18819</v>
      </c>
      <c r="C3664" s="741">
        <v>20010</v>
      </c>
      <c r="H3664" s="739" t="s">
        <v>18820</v>
      </c>
      <c r="K3664" s="739" t="s">
        <v>8873</v>
      </c>
    </row>
    <row r="3665" spans="1:8">
      <c r="A3665" s="739" t="s">
        <v>18821</v>
      </c>
      <c r="E3665" s="739">
        <v>112</v>
      </c>
      <c r="F3665" s="741">
        <v>2157</v>
      </c>
      <c r="G3665" s="739" t="s">
        <v>6943</v>
      </c>
      <c r="H3665" s="739" t="s">
        <v>18822</v>
      </c>
    </row>
    <row r="3666" spans="1:8">
      <c r="A3666" s="739" t="s">
        <v>16317</v>
      </c>
      <c r="C3666" s="741">
        <v>29575</v>
      </c>
      <c r="H3666" s="739" t="s">
        <v>18823</v>
      </c>
    </row>
    <row r="3667" spans="1:8">
      <c r="A3667" s="739" t="s">
        <v>18824</v>
      </c>
      <c r="C3667" s="741">
        <v>20000</v>
      </c>
      <c r="D3667" s="846">
        <v>12800</v>
      </c>
      <c r="H3667" s="846" t="s">
        <v>18825</v>
      </c>
    </row>
    <row r="3668" spans="1:8">
      <c r="A3668" s="739" t="s">
        <v>18826</v>
      </c>
      <c r="C3668" s="856">
        <v>31280</v>
      </c>
      <c r="D3668" s="860"/>
      <c r="E3668" s="846"/>
      <c r="H3668" s="741" t="s">
        <v>18827</v>
      </c>
    </row>
    <row r="3669" spans="1:8">
      <c r="A3669" s="739" t="s">
        <v>18824</v>
      </c>
      <c r="C3669" s="739">
        <v>8584</v>
      </c>
      <c r="H3669" s="739" t="s">
        <v>18828</v>
      </c>
    </row>
    <row r="3670" spans="1:8">
      <c r="A3670" s="739" t="s">
        <v>18821</v>
      </c>
      <c r="C3670" s="739">
        <v>2474</v>
      </c>
      <c r="H3670" s="739" t="s">
        <v>18829</v>
      </c>
    </row>
    <row r="3671" spans="1:8">
      <c r="A3671" s="739" t="s">
        <v>18830</v>
      </c>
      <c r="C3671" s="739">
        <v>1738</v>
      </c>
      <c r="H3671" s="739" t="s">
        <v>18831</v>
      </c>
    </row>
    <row r="3672" spans="1:8">
      <c r="A3672" s="739" t="s">
        <v>18832</v>
      </c>
      <c r="C3672" s="739">
        <v>17544</v>
      </c>
      <c r="H3672" s="739" t="s">
        <v>18833</v>
      </c>
    </row>
    <row r="3673" spans="1:8">
      <c r="A3673" s="739" t="s">
        <v>16449</v>
      </c>
      <c r="E3673" s="741">
        <v>105</v>
      </c>
      <c r="F3673" s="741">
        <v>2052</v>
      </c>
      <c r="G3673" s="739" t="s">
        <v>18116</v>
      </c>
      <c r="H3673" s="739" t="s">
        <v>18834</v>
      </c>
    </row>
    <row r="3674" spans="1:8">
      <c r="A3674" s="739" t="s">
        <v>18835</v>
      </c>
      <c r="E3674" s="739">
        <v>36</v>
      </c>
      <c r="F3674" s="741">
        <v>2016</v>
      </c>
      <c r="G3674" s="739" t="s">
        <v>18123</v>
      </c>
      <c r="H3674" s="739" t="s">
        <v>18836</v>
      </c>
    </row>
    <row r="3675" spans="1:8">
      <c r="A3675" s="739" t="s">
        <v>18837</v>
      </c>
      <c r="E3675" s="739">
        <v>229</v>
      </c>
      <c r="F3675" s="741">
        <v>1787</v>
      </c>
      <c r="G3675" s="739" t="s">
        <v>18095</v>
      </c>
      <c r="H3675" s="739" t="s">
        <v>18182</v>
      </c>
    </row>
    <row r="3676" spans="1:8">
      <c r="A3676" s="739" t="s">
        <v>18837</v>
      </c>
      <c r="E3676" s="739">
        <v>256</v>
      </c>
      <c r="F3676" s="741">
        <v>1531</v>
      </c>
      <c r="G3676" s="739" t="s">
        <v>18541</v>
      </c>
      <c r="H3676" s="739" t="s">
        <v>18182</v>
      </c>
    </row>
    <row r="3677" spans="1:8">
      <c r="E3677" s="741"/>
      <c r="F3677" s="741"/>
      <c r="H3677" s="846" t="s">
        <v>18119</v>
      </c>
    </row>
    <row r="3678" spans="1:8">
      <c r="A3678" s="739" t="s">
        <v>18838</v>
      </c>
      <c r="E3678" s="739">
        <v>44</v>
      </c>
      <c r="F3678" s="741">
        <v>1487</v>
      </c>
      <c r="G3678" s="739" t="s">
        <v>18051</v>
      </c>
      <c r="H3678" s="739" t="s">
        <v>18839</v>
      </c>
    </row>
    <row r="3679" spans="1:8">
      <c r="A3679" s="739" t="s">
        <v>18840</v>
      </c>
      <c r="C3679" s="739">
        <v>8584</v>
      </c>
      <c r="H3679" s="739" t="s">
        <v>18841</v>
      </c>
    </row>
    <row r="3680" spans="1:8">
      <c r="A3680" s="739" t="s">
        <v>18840</v>
      </c>
      <c r="C3680" s="856">
        <v>30000</v>
      </c>
      <c r="D3680" s="860"/>
      <c r="E3680" s="846"/>
      <c r="H3680" s="741" t="s">
        <v>18842</v>
      </c>
    </row>
    <row r="3681" spans="1:8">
      <c r="A3681" s="739" t="s">
        <v>16476</v>
      </c>
      <c r="E3681" s="741">
        <v>225</v>
      </c>
      <c r="F3681" s="741">
        <v>1262</v>
      </c>
      <c r="G3681" s="739" t="s">
        <v>18541</v>
      </c>
      <c r="H3681" s="739" t="s">
        <v>18843</v>
      </c>
    </row>
    <row r="3682" spans="1:8">
      <c r="A3682" s="739" t="s">
        <v>16476</v>
      </c>
      <c r="E3682" s="741">
        <v>239</v>
      </c>
      <c r="F3682" s="741">
        <v>1023</v>
      </c>
      <c r="G3682" s="739" t="s">
        <v>7776</v>
      </c>
      <c r="H3682" s="739" t="s">
        <v>18843</v>
      </c>
    </row>
    <row r="3683" spans="1:8">
      <c r="A3683" s="739" t="s">
        <v>18844</v>
      </c>
      <c r="D3683" s="739">
        <v>3000</v>
      </c>
      <c r="E3683" s="741"/>
      <c r="F3683" s="741">
        <v>4023</v>
      </c>
      <c r="H3683" s="739" t="s">
        <v>18132</v>
      </c>
    </row>
    <row r="3684" spans="1:8">
      <c r="A3684" s="739" t="s">
        <v>18844</v>
      </c>
      <c r="E3684" s="739">
        <v>88</v>
      </c>
      <c r="F3684" s="741">
        <v>3935</v>
      </c>
      <c r="G3684" s="739" t="s">
        <v>6943</v>
      </c>
      <c r="H3684" s="739" t="s">
        <v>18845</v>
      </c>
    </row>
    <row r="3685" spans="1:8">
      <c r="A3685" s="739" t="s">
        <v>18844</v>
      </c>
      <c r="E3685" s="741">
        <v>178</v>
      </c>
      <c r="F3685" s="741">
        <v>3757</v>
      </c>
      <c r="G3685" s="741" t="s">
        <v>6937</v>
      </c>
      <c r="H3685" s="739" t="s">
        <v>18846</v>
      </c>
    </row>
    <row r="3686" spans="1:8" ht="49.5">
      <c r="A3686" s="739" t="s">
        <v>18844</v>
      </c>
      <c r="C3686" s="741">
        <v>1468</v>
      </c>
      <c r="F3686" s="741"/>
      <c r="G3686" s="739" t="s">
        <v>18103</v>
      </c>
      <c r="H3686" s="836" t="s">
        <v>18847</v>
      </c>
    </row>
    <row r="3687" spans="1:8">
      <c r="E3687" s="741"/>
      <c r="F3687" s="741"/>
      <c r="H3687" s="846" t="s">
        <v>18848</v>
      </c>
    </row>
    <row r="3688" spans="1:8">
      <c r="A3688" s="739" t="s">
        <v>16509</v>
      </c>
      <c r="E3688" s="741">
        <v>340</v>
      </c>
      <c r="F3688" s="741">
        <v>3417</v>
      </c>
      <c r="G3688" s="739" t="s">
        <v>18115</v>
      </c>
      <c r="H3688" s="739" t="s">
        <v>18849</v>
      </c>
    </row>
    <row r="3689" spans="1:8">
      <c r="A3689" s="739" t="s">
        <v>18850</v>
      </c>
      <c r="E3689" s="741">
        <v>275</v>
      </c>
      <c r="F3689" s="741">
        <v>3142</v>
      </c>
      <c r="G3689" s="739" t="s">
        <v>18115</v>
      </c>
      <c r="H3689" s="739" t="s">
        <v>18851</v>
      </c>
    </row>
    <row r="3690" spans="1:8">
      <c r="A3690" s="739" t="s">
        <v>18852</v>
      </c>
      <c r="E3690" s="739">
        <v>28</v>
      </c>
      <c r="F3690" s="741">
        <v>3114</v>
      </c>
      <c r="G3690" s="739" t="s">
        <v>6943</v>
      </c>
      <c r="H3690" s="739" t="s">
        <v>18853</v>
      </c>
    </row>
    <row r="3691" spans="1:8" ht="148.5">
      <c r="A3691" s="739" t="s">
        <v>16053</v>
      </c>
      <c r="C3691" s="741">
        <v>170000</v>
      </c>
      <c r="D3691" s="846"/>
      <c r="H3691" s="836" t="s">
        <v>18854</v>
      </c>
    </row>
    <row r="3692" spans="1:8" ht="148.5">
      <c r="A3692" s="739" t="s">
        <v>18855</v>
      </c>
      <c r="C3692" s="741">
        <v>73040</v>
      </c>
      <c r="D3692" s="846"/>
      <c r="H3692" s="836" t="s">
        <v>18856</v>
      </c>
    </row>
    <row r="3693" spans="1:8" ht="165">
      <c r="A3693" s="739" t="s">
        <v>18857</v>
      </c>
      <c r="C3693" s="741">
        <v>96960</v>
      </c>
      <c r="D3693" s="846"/>
      <c r="H3693" s="836" t="s">
        <v>18858</v>
      </c>
    </row>
    <row r="3694" spans="1:8">
      <c r="A3694" s="739" t="s">
        <v>18859</v>
      </c>
      <c r="E3694" s="741">
        <v>235</v>
      </c>
      <c r="F3694" s="741">
        <v>2879</v>
      </c>
      <c r="G3694" s="739" t="s">
        <v>18541</v>
      </c>
      <c r="H3694" s="739" t="s">
        <v>18319</v>
      </c>
    </row>
    <row r="3695" spans="1:8">
      <c r="A3695" s="739" t="s">
        <v>18859</v>
      </c>
      <c r="E3695" s="741">
        <v>285</v>
      </c>
      <c r="F3695" s="741">
        <v>2594</v>
      </c>
      <c r="G3695" s="739" t="s">
        <v>18541</v>
      </c>
      <c r="H3695" s="739" t="s">
        <v>18860</v>
      </c>
    </row>
    <row r="3696" spans="1:8">
      <c r="A3696" s="739" t="s">
        <v>18861</v>
      </c>
      <c r="E3696" s="741">
        <v>245</v>
      </c>
      <c r="F3696" s="741">
        <v>2349</v>
      </c>
      <c r="G3696" s="739" t="s">
        <v>18115</v>
      </c>
      <c r="H3696" s="739" t="s">
        <v>8396</v>
      </c>
    </row>
    <row r="3697" spans="1:8">
      <c r="A3697" s="739" t="s">
        <v>18862</v>
      </c>
      <c r="E3697" s="741">
        <v>235</v>
      </c>
      <c r="F3697" s="741">
        <v>2114</v>
      </c>
      <c r="G3697" s="739" t="s">
        <v>18541</v>
      </c>
      <c r="H3697" s="739" t="s">
        <v>8396</v>
      </c>
    </row>
    <row r="3698" spans="1:8">
      <c r="A3698" s="739" t="s">
        <v>18863</v>
      </c>
      <c r="C3698" s="739">
        <v>1738</v>
      </c>
      <c r="H3698" s="739" t="s">
        <v>18864</v>
      </c>
    </row>
    <row r="3699" spans="1:8">
      <c r="A3699" s="739" t="s">
        <v>18865</v>
      </c>
      <c r="E3699" s="741">
        <v>18</v>
      </c>
      <c r="F3699" s="741">
        <v>2096</v>
      </c>
      <c r="G3699" s="739" t="s">
        <v>6913</v>
      </c>
      <c r="H3699" s="739" t="s">
        <v>18866</v>
      </c>
    </row>
    <row r="3700" spans="1:8">
      <c r="A3700" s="739" t="s">
        <v>18867</v>
      </c>
      <c r="E3700" s="741">
        <v>40</v>
      </c>
      <c r="F3700" s="741">
        <v>2056</v>
      </c>
      <c r="H3700" s="739" t="s">
        <v>18868</v>
      </c>
    </row>
    <row r="3701" spans="1:8" ht="49.5">
      <c r="A3701" s="739" t="s">
        <v>10942</v>
      </c>
      <c r="C3701" s="741">
        <v>1468</v>
      </c>
      <c r="F3701" s="741"/>
      <c r="G3701" s="739" t="s">
        <v>18103</v>
      </c>
      <c r="H3701" s="836" t="s">
        <v>18869</v>
      </c>
    </row>
    <row r="3702" spans="1:8">
      <c r="A3702" s="739" t="s">
        <v>18870</v>
      </c>
      <c r="E3702" s="739">
        <v>120</v>
      </c>
      <c r="F3702" s="741">
        <v>1936</v>
      </c>
      <c r="G3702" s="739" t="s">
        <v>18123</v>
      </c>
      <c r="H3702" s="739" t="s">
        <v>18871</v>
      </c>
    </row>
    <row r="3703" spans="1:8">
      <c r="A3703" s="739" t="s">
        <v>16079</v>
      </c>
      <c r="E3703" s="739">
        <v>404</v>
      </c>
      <c r="F3703" s="741">
        <v>1532</v>
      </c>
      <c r="G3703" s="739" t="s">
        <v>18123</v>
      </c>
      <c r="H3703" s="739" t="s">
        <v>18872</v>
      </c>
    </row>
    <row r="3704" spans="1:8">
      <c r="A3704" s="739" t="s">
        <v>18873</v>
      </c>
      <c r="E3704" s="741">
        <v>45</v>
      </c>
      <c r="F3704" s="741">
        <v>1487</v>
      </c>
      <c r="G3704" s="739" t="s">
        <v>6972</v>
      </c>
      <c r="H3704" s="739" t="s">
        <v>18874</v>
      </c>
    </row>
    <row r="3705" spans="1:8">
      <c r="A3705" s="739" t="s">
        <v>16079</v>
      </c>
      <c r="C3705" s="739">
        <v>13867</v>
      </c>
      <c r="H3705" s="739" t="s">
        <v>18875</v>
      </c>
    </row>
    <row r="3706" spans="1:8">
      <c r="A3706" s="739" t="s">
        <v>18873</v>
      </c>
      <c r="C3706" s="739">
        <v>400</v>
      </c>
      <c r="H3706" s="739" t="s">
        <v>18876</v>
      </c>
    </row>
    <row r="3707" spans="1:8">
      <c r="A3707" s="739" t="s">
        <v>18877</v>
      </c>
      <c r="C3707" s="741">
        <v>29575</v>
      </c>
      <c r="H3707" s="739" t="s">
        <v>18878</v>
      </c>
    </row>
    <row r="3708" spans="1:8">
      <c r="A3708" s="739" t="s">
        <v>18879</v>
      </c>
      <c r="C3708" s="856">
        <v>61280</v>
      </c>
      <c r="D3708" s="860"/>
      <c r="E3708" s="846"/>
      <c r="H3708" s="741" t="s">
        <v>18880</v>
      </c>
    </row>
    <row r="3709" spans="1:8">
      <c r="A3709" s="739" t="s">
        <v>18881</v>
      </c>
      <c r="E3709" s="741">
        <v>500</v>
      </c>
      <c r="F3709" s="741">
        <v>987</v>
      </c>
      <c r="G3709" s="739" t="s">
        <v>18095</v>
      </c>
      <c r="H3709" s="739" t="s">
        <v>18882</v>
      </c>
    </row>
    <row r="3710" spans="1:8">
      <c r="A3710" s="739" t="s">
        <v>18883</v>
      </c>
      <c r="E3710" s="741">
        <v>500</v>
      </c>
      <c r="F3710" s="741">
        <v>487</v>
      </c>
      <c r="G3710" s="739" t="s">
        <v>18115</v>
      </c>
      <c r="H3710" s="739" t="s">
        <v>18884</v>
      </c>
    </row>
    <row r="3711" spans="1:8">
      <c r="A3711" s="739" t="s">
        <v>18885</v>
      </c>
      <c r="C3711" s="856"/>
      <c r="D3711" s="860"/>
      <c r="E3711" s="741">
        <v>160</v>
      </c>
      <c r="F3711" s="739">
        <v>327</v>
      </c>
      <c r="H3711" s="741" t="s">
        <v>18886</v>
      </c>
    </row>
    <row r="3712" spans="1:8">
      <c r="A3712" s="739" t="s">
        <v>18887</v>
      </c>
      <c r="C3712" s="739">
        <v>9906</v>
      </c>
      <c r="H3712" s="739" t="s">
        <v>18888</v>
      </c>
    </row>
    <row r="3713" spans="1:14">
      <c r="A3713" s="739" t="s">
        <v>18889</v>
      </c>
      <c r="E3713" s="741">
        <v>80</v>
      </c>
      <c r="F3713" s="741">
        <v>247</v>
      </c>
      <c r="G3713" s="739" t="s">
        <v>18115</v>
      </c>
      <c r="H3713" s="739" t="s">
        <v>8359</v>
      </c>
    </row>
    <row r="3714" spans="1:14">
      <c r="A3714" s="739" t="s">
        <v>18889</v>
      </c>
      <c r="E3714" s="741">
        <v>80</v>
      </c>
      <c r="F3714" s="741">
        <v>167</v>
      </c>
      <c r="G3714" s="739" t="s">
        <v>18890</v>
      </c>
      <c r="H3714" s="739" t="s">
        <v>8359</v>
      </c>
    </row>
    <row r="3715" spans="1:14">
      <c r="E3715" s="741"/>
      <c r="F3715" s="741"/>
      <c r="H3715" s="846" t="s">
        <v>8146</v>
      </c>
    </row>
    <row r="3716" spans="1:14" ht="49.5">
      <c r="A3716" s="739" t="s">
        <v>18891</v>
      </c>
      <c r="C3716" s="741">
        <v>1468</v>
      </c>
      <c r="F3716" s="741"/>
      <c r="G3716" s="739" t="s">
        <v>18622</v>
      </c>
      <c r="H3716" s="836" t="s">
        <v>18892</v>
      </c>
    </row>
    <row r="3717" spans="1:14">
      <c r="A3717" s="739" t="s">
        <v>18893</v>
      </c>
      <c r="C3717" s="741">
        <v>20010</v>
      </c>
      <c r="H3717" s="739" t="s">
        <v>18894</v>
      </c>
      <c r="K3717" s="739" t="s">
        <v>8873</v>
      </c>
    </row>
    <row r="3718" spans="1:14">
      <c r="A3718" s="739" t="s">
        <v>18895</v>
      </c>
      <c r="D3718" s="739">
        <v>3000</v>
      </c>
      <c r="E3718" s="741"/>
      <c r="F3718" s="741">
        <v>3167</v>
      </c>
      <c r="H3718" s="739" t="s">
        <v>463</v>
      </c>
    </row>
    <row r="3719" spans="1:14">
      <c r="A3719" s="739" t="s">
        <v>18896</v>
      </c>
      <c r="E3719" s="741">
        <v>189</v>
      </c>
      <c r="F3719" s="741">
        <v>2978</v>
      </c>
      <c r="G3719" s="741" t="s">
        <v>18897</v>
      </c>
      <c r="H3719" s="739" t="s">
        <v>18898</v>
      </c>
    </row>
    <row r="3720" spans="1:14">
      <c r="A3720" s="739" t="s">
        <v>18899</v>
      </c>
      <c r="E3720" s="739">
        <v>168</v>
      </c>
      <c r="F3720" s="741">
        <v>2810</v>
      </c>
      <c r="G3720" s="739" t="s">
        <v>18123</v>
      </c>
      <c r="H3720" s="739" t="s">
        <v>18900</v>
      </c>
    </row>
    <row r="3721" spans="1:14">
      <c r="A3721" s="739" t="s">
        <v>18901</v>
      </c>
      <c r="C3721" s="856">
        <v>18000</v>
      </c>
      <c r="D3721" s="860"/>
      <c r="E3721" s="846"/>
      <c r="H3721" s="741" t="s">
        <v>18902</v>
      </c>
    </row>
    <row r="3722" spans="1:14">
      <c r="A3722" s="739" t="s">
        <v>18903</v>
      </c>
      <c r="C3722" s="741">
        <v>29575</v>
      </c>
      <c r="H3722" s="739" t="s">
        <v>18904</v>
      </c>
    </row>
    <row r="3723" spans="1:14">
      <c r="A3723" s="739" t="s">
        <v>16318</v>
      </c>
      <c r="C3723" s="856">
        <v>61280</v>
      </c>
      <c r="D3723" s="860"/>
      <c r="E3723" s="846"/>
      <c r="H3723" s="741" t="s">
        <v>18905</v>
      </c>
    </row>
    <row r="3724" spans="1:14">
      <c r="A3724" s="739" t="s">
        <v>18906</v>
      </c>
      <c r="C3724" s="739">
        <v>16806</v>
      </c>
      <c r="H3724" s="739" t="s">
        <v>18907</v>
      </c>
      <c r="N3724" s="739">
        <v>2600</v>
      </c>
    </row>
    <row r="3725" spans="1:14">
      <c r="A3725" s="739" t="s">
        <v>18901</v>
      </c>
      <c r="C3725" s="739">
        <v>1655</v>
      </c>
      <c r="H3725" s="739" t="s">
        <v>18908</v>
      </c>
      <c r="N3725" s="739">
        <v>84</v>
      </c>
    </row>
    <row r="3726" spans="1:14">
      <c r="A3726" s="739" t="s">
        <v>18909</v>
      </c>
      <c r="E3726" s="739">
        <v>36</v>
      </c>
      <c r="F3726" s="741">
        <v>2774</v>
      </c>
      <c r="G3726" s="739" t="s">
        <v>6943</v>
      </c>
      <c r="H3726" s="739" t="s">
        <v>18910</v>
      </c>
    </row>
    <row r="3727" spans="1:14">
      <c r="A3727" s="739" t="s">
        <v>18911</v>
      </c>
      <c r="E3727" s="741">
        <v>40</v>
      </c>
      <c r="F3727" s="741">
        <v>2734</v>
      </c>
      <c r="H3727" s="739" t="s">
        <v>18912</v>
      </c>
    </row>
    <row r="3728" spans="1:14">
      <c r="A3728" s="739" t="s">
        <v>18913</v>
      </c>
      <c r="E3728" s="741">
        <v>18</v>
      </c>
      <c r="F3728" s="741">
        <v>2716</v>
      </c>
      <c r="G3728" s="739" t="s">
        <v>6913</v>
      </c>
      <c r="H3728" s="739" t="s">
        <v>18914</v>
      </c>
    </row>
    <row r="3729" spans="1:14">
      <c r="A3729" s="739" t="s">
        <v>18915</v>
      </c>
      <c r="E3729" s="741">
        <v>40</v>
      </c>
      <c r="F3729" s="741">
        <v>2676</v>
      </c>
      <c r="H3729" s="739" t="s">
        <v>18916</v>
      </c>
    </row>
    <row r="3730" spans="1:14">
      <c r="A3730" s="739" t="s">
        <v>18917</v>
      </c>
      <c r="E3730" s="739">
        <v>72</v>
      </c>
      <c r="F3730" s="741">
        <v>2604</v>
      </c>
      <c r="G3730" s="739" t="s">
        <v>18051</v>
      </c>
      <c r="H3730" s="739" t="s">
        <v>18918</v>
      </c>
    </row>
    <row r="3731" spans="1:14">
      <c r="E3731" s="741"/>
      <c r="F3731" s="741"/>
      <c r="H3731" s="846" t="s">
        <v>18534</v>
      </c>
    </row>
    <row r="3732" spans="1:14" ht="49.5">
      <c r="A3732" s="739" t="s">
        <v>18919</v>
      </c>
      <c r="C3732" s="741">
        <v>1468</v>
      </c>
      <c r="F3732" s="741"/>
      <c r="G3732" s="739" t="s">
        <v>18622</v>
      </c>
      <c r="H3732" s="836" t="s">
        <v>18920</v>
      </c>
    </row>
    <row r="3733" spans="1:14">
      <c r="A3733" s="739" t="s">
        <v>18921</v>
      </c>
      <c r="C3733" s="741">
        <v>20010</v>
      </c>
      <c r="H3733" s="739" t="s">
        <v>18922</v>
      </c>
      <c r="K3733" s="739" t="s">
        <v>18463</v>
      </c>
    </row>
    <row r="3734" spans="1:14">
      <c r="A3734" s="739" t="s">
        <v>18923</v>
      </c>
      <c r="E3734" s="739">
        <v>44</v>
      </c>
      <c r="F3734" s="741"/>
      <c r="G3734" s="739" t="s">
        <v>6943</v>
      </c>
      <c r="H3734" s="739" t="s">
        <v>18924</v>
      </c>
    </row>
    <row r="3735" spans="1:14">
      <c r="A3735" s="739" t="s">
        <v>18925</v>
      </c>
      <c r="C3735" s="739">
        <v>19861</v>
      </c>
      <c r="H3735" s="739" t="s">
        <v>18926</v>
      </c>
    </row>
    <row r="3736" spans="1:14">
      <c r="A3736" s="739" t="s">
        <v>18927</v>
      </c>
      <c r="E3736" s="739">
        <v>44</v>
      </c>
      <c r="F3736" s="741"/>
      <c r="G3736" s="739" t="s">
        <v>18516</v>
      </c>
      <c r="H3736" s="739" t="s">
        <v>18928</v>
      </c>
    </row>
    <row r="3737" spans="1:14">
      <c r="A3737" s="739" t="s">
        <v>18929</v>
      </c>
      <c r="E3737" s="741">
        <v>111</v>
      </c>
      <c r="F3737" s="741"/>
      <c r="G3737" s="739" t="s">
        <v>18048</v>
      </c>
      <c r="H3737" s="739" t="s">
        <v>18261</v>
      </c>
    </row>
    <row r="3738" spans="1:14" ht="297">
      <c r="A3738" s="739" t="s">
        <v>18930</v>
      </c>
      <c r="C3738" s="741">
        <v>70560</v>
      </c>
      <c r="D3738" s="846"/>
      <c r="H3738" s="836" t="s">
        <v>18931</v>
      </c>
    </row>
    <row r="3739" spans="1:14">
      <c r="A3739" s="739" t="s">
        <v>18932</v>
      </c>
      <c r="E3739" s="741">
        <v>420</v>
      </c>
      <c r="F3739" s="741"/>
      <c r="G3739" s="739" t="s">
        <v>18115</v>
      </c>
      <c r="H3739" s="739" t="s">
        <v>18933</v>
      </c>
    </row>
    <row r="3740" spans="1:14">
      <c r="A3740" s="739" t="s">
        <v>18932</v>
      </c>
      <c r="E3740" s="741">
        <v>420</v>
      </c>
      <c r="F3740" s="741"/>
      <c r="G3740" s="739" t="s">
        <v>18115</v>
      </c>
      <c r="H3740" s="739" t="s">
        <v>18934</v>
      </c>
    </row>
    <row r="3741" spans="1:14" ht="49.5">
      <c r="A3741" s="739" t="s">
        <v>16266</v>
      </c>
      <c r="C3741" s="741">
        <v>1468</v>
      </c>
      <c r="F3741" s="741"/>
      <c r="G3741" s="739" t="s">
        <v>18622</v>
      </c>
      <c r="H3741" s="836" t="s">
        <v>18935</v>
      </c>
    </row>
    <row r="3742" spans="1:14">
      <c r="A3742" s="739" t="s">
        <v>18936</v>
      </c>
      <c r="C3742" s="739">
        <v>2054</v>
      </c>
      <c r="H3742" s="739" t="s">
        <v>18908</v>
      </c>
      <c r="N3742" s="739">
        <v>84</v>
      </c>
    </row>
    <row r="3743" spans="1:14">
      <c r="A3743" s="739" t="s">
        <v>16097</v>
      </c>
      <c r="E3743" s="741">
        <v>157</v>
      </c>
      <c r="F3743" s="741"/>
      <c r="G3743" s="741" t="s">
        <v>18106</v>
      </c>
      <c r="H3743" s="739" t="s">
        <v>18937</v>
      </c>
    </row>
    <row r="3744" spans="1:14">
      <c r="A3744" s="739" t="s">
        <v>18938</v>
      </c>
      <c r="E3744" s="739">
        <v>28</v>
      </c>
      <c r="F3744" s="741"/>
      <c r="G3744" s="739" t="s">
        <v>6943</v>
      </c>
      <c r="H3744" s="739" t="s">
        <v>18939</v>
      </c>
    </row>
    <row r="3745" spans="1:11" ht="33">
      <c r="A3745" s="739" t="s">
        <v>18940</v>
      </c>
      <c r="C3745" s="739">
        <v>8888</v>
      </c>
      <c r="H3745" s="836" t="s">
        <v>18941</v>
      </c>
    </row>
    <row r="3746" spans="1:11">
      <c r="A3746" s="739" t="s">
        <v>18942</v>
      </c>
      <c r="E3746" s="741">
        <v>18</v>
      </c>
      <c r="F3746" s="741"/>
      <c r="G3746" s="739" t="s">
        <v>18943</v>
      </c>
      <c r="H3746" s="739" t="s">
        <v>18944</v>
      </c>
    </row>
    <row r="3747" spans="1:11">
      <c r="A3747" s="739" t="s">
        <v>18942</v>
      </c>
      <c r="E3747" s="741">
        <v>50</v>
      </c>
      <c r="F3747" s="741"/>
      <c r="H3747" s="739" t="s">
        <v>18945</v>
      </c>
    </row>
    <row r="3748" spans="1:11">
      <c r="A3748" s="739" t="s">
        <v>18946</v>
      </c>
      <c r="E3748" s="741">
        <v>40</v>
      </c>
      <c r="F3748" s="741"/>
      <c r="G3748" s="739" t="s">
        <v>18541</v>
      </c>
      <c r="H3748" s="739" t="s">
        <v>18947</v>
      </c>
    </row>
    <row r="3749" spans="1:11">
      <c r="A3749" s="739" t="s">
        <v>18948</v>
      </c>
      <c r="C3749" s="741">
        <v>20010</v>
      </c>
      <c r="H3749" s="739" t="s">
        <v>18949</v>
      </c>
      <c r="K3749" s="739" t="s">
        <v>18661</v>
      </c>
    </row>
    <row r="3750" spans="1:11">
      <c r="A3750" s="739" t="s">
        <v>18950</v>
      </c>
      <c r="E3750" s="739">
        <v>196</v>
      </c>
      <c r="F3750" s="741"/>
      <c r="G3750" s="739" t="s">
        <v>18051</v>
      </c>
      <c r="H3750" s="739" t="s">
        <v>18951</v>
      </c>
    </row>
    <row r="3752" spans="1:11">
      <c r="E3752" s="741"/>
      <c r="F3752" s="741"/>
    </row>
    <row r="3753" spans="1:11">
      <c r="E3753" s="836"/>
      <c r="H3753" s="844" t="s">
        <v>18952</v>
      </c>
    </row>
    <row r="3755" spans="1:11">
      <c r="H3755" s="836"/>
    </row>
  </sheetData>
  <phoneticPr fontId="3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1"/>
  <sheetViews>
    <sheetView workbookViewId="0">
      <selection activeCell="B86" sqref="B86"/>
    </sheetView>
  </sheetViews>
  <sheetFormatPr defaultColWidth="8.75" defaultRowHeight="15" customHeight="1"/>
  <cols>
    <col min="1" max="1" width="12.25" style="739" customWidth="1"/>
    <col min="2" max="3" width="8.75" style="739"/>
    <col min="4" max="4" width="47.25" style="739" customWidth="1"/>
    <col min="5" max="5" width="8.75" style="739"/>
    <col min="6" max="6" width="16.5" style="739" bestFit="1" customWidth="1"/>
    <col min="7" max="16384" width="8.75" style="739"/>
  </cols>
  <sheetData>
    <row r="1" spans="1:4" s="480" customFormat="1" ht="12.75" customHeight="1">
      <c r="A1" s="480" t="s">
        <v>241</v>
      </c>
      <c r="B1" s="480" t="s">
        <v>1455</v>
      </c>
      <c r="C1" s="480" t="s">
        <v>2384</v>
      </c>
      <c r="D1" s="480" t="s">
        <v>2437</v>
      </c>
    </row>
    <row r="2" spans="1:4" s="867" customFormat="1" ht="15" customHeight="1">
      <c r="A2" s="867" t="s">
        <v>18656</v>
      </c>
      <c r="B2" s="867">
        <v>175</v>
      </c>
      <c r="C2" s="867" t="s">
        <v>18095</v>
      </c>
      <c r="D2" s="867" t="s">
        <v>18331</v>
      </c>
    </row>
    <row r="3" spans="1:4" s="867" customFormat="1" ht="15" customHeight="1">
      <c r="A3" s="867" t="s">
        <v>14458</v>
      </c>
      <c r="B3" s="867">
        <v>135</v>
      </c>
      <c r="C3" s="867" t="s">
        <v>18095</v>
      </c>
      <c r="D3" s="867" t="s">
        <v>18657</v>
      </c>
    </row>
    <row r="4" spans="1:4" s="867" customFormat="1" ht="15" customHeight="1">
      <c r="A4" s="867" t="s">
        <v>10868</v>
      </c>
      <c r="B4" s="867">
        <v>40</v>
      </c>
      <c r="C4" s="867" t="s">
        <v>7776</v>
      </c>
      <c r="D4" s="867" t="s">
        <v>18658</v>
      </c>
    </row>
    <row r="5" spans="1:4" s="867" customFormat="1" ht="15" customHeight="1">
      <c r="A5" s="867" t="s">
        <v>18673</v>
      </c>
      <c r="B5" s="867">
        <v>275</v>
      </c>
      <c r="C5" s="867" t="s">
        <v>18541</v>
      </c>
      <c r="D5" s="867" t="s">
        <v>18674</v>
      </c>
    </row>
    <row r="6" spans="1:4" s="867" customFormat="1" ht="15" customHeight="1">
      <c r="A6" s="867" t="s">
        <v>18675</v>
      </c>
      <c r="B6" s="867">
        <v>290</v>
      </c>
      <c r="C6" s="867" t="s">
        <v>7776</v>
      </c>
      <c r="D6" s="867" t="s">
        <v>8713</v>
      </c>
    </row>
    <row r="7" spans="1:4" s="867" customFormat="1" ht="15" customHeight="1">
      <c r="A7" s="867" t="s">
        <v>18688</v>
      </c>
      <c r="B7" s="867">
        <v>40</v>
      </c>
      <c r="C7" s="867" t="s">
        <v>7776</v>
      </c>
      <c r="D7" s="867" t="s">
        <v>18658</v>
      </c>
    </row>
    <row r="8" spans="1:4" s="867" customFormat="1" ht="15" customHeight="1">
      <c r="A8" s="867" t="s">
        <v>18697</v>
      </c>
      <c r="B8" s="867">
        <v>70</v>
      </c>
      <c r="C8" s="867" t="s">
        <v>18115</v>
      </c>
      <c r="D8" s="867" t="s">
        <v>18698</v>
      </c>
    </row>
    <row r="9" spans="1:4" s="867" customFormat="1" ht="15" customHeight="1">
      <c r="A9" s="867" t="s">
        <v>14552</v>
      </c>
      <c r="B9" s="867">
        <v>120</v>
      </c>
      <c r="C9" s="867" t="s">
        <v>7776</v>
      </c>
      <c r="D9" s="867" t="s">
        <v>18711</v>
      </c>
    </row>
    <row r="10" spans="1:4" s="867" customFormat="1" ht="15" customHeight="1">
      <c r="A10" s="867" t="s">
        <v>16556</v>
      </c>
      <c r="B10" s="867">
        <v>110</v>
      </c>
      <c r="C10" s="867" t="s">
        <v>7776</v>
      </c>
      <c r="D10" s="867" t="s">
        <v>18712</v>
      </c>
    </row>
    <row r="11" spans="1:4" s="867" customFormat="1" ht="15" customHeight="1">
      <c r="A11" s="867" t="s">
        <v>14554</v>
      </c>
      <c r="B11" s="867">
        <v>215</v>
      </c>
      <c r="C11" s="867" t="s">
        <v>7776</v>
      </c>
      <c r="D11" s="867" t="s">
        <v>18713</v>
      </c>
    </row>
    <row r="12" spans="1:4" s="867" customFormat="1" ht="15" customHeight="1">
      <c r="A12" s="867" t="s">
        <v>14554</v>
      </c>
      <c r="B12" s="867">
        <v>220</v>
      </c>
      <c r="C12" s="867" t="s">
        <v>18541</v>
      </c>
      <c r="D12" s="867" t="s">
        <v>18714</v>
      </c>
    </row>
    <row r="13" spans="1:4" s="867" customFormat="1" ht="15" customHeight="1">
      <c r="A13" s="867" t="s">
        <v>18722</v>
      </c>
      <c r="B13" s="867">
        <v>610</v>
      </c>
      <c r="C13" s="867" t="s">
        <v>18115</v>
      </c>
      <c r="D13" s="867" t="s">
        <v>18723</v>
      </c>
    </row>
    <row r="14" spans="1:4" s="867" customFormat="1" ht="15" customHeight="1">
      <c r="A14" s="867" t="s">
        <v>16281</v>
      </c>
      <c r="B14" s="867">
        <v>195</v>
      </c>
      <c r="C14" s="867" t="s">
        <v>7776</v>
      </c>
      <c r="D14" s="867" t="s">
        <v>18728</v>
      </c>
    </row>
    <row r="15" spans="1:4" s="867" customFormat="1" ht="15" customHeight="1">
      <c r="A15" s="867" t="s">
        <v>18729</v>
      </c>
      <c r="B15" s="867">
        <v>200</v>
      </c>
      <c r="C15" s="867" t="s">
        <v>18541</v>
      </c>
      <c r="D15" s="867" t="s">
        <v>8218</v>
      </c>
    </row>
    <row r="16" spans="1:4" s="867" customFormat="1" ht="15" customHeight="1">
      <c r="A16" s="867" t="s">
        <v>18739</v>
      </c>
      <c r="B16" s="867">
        <v>40</v>
      </c>
      <c r="C16" s="867" t="s">
        <v>19004</v>
      </c>
      <c r="D16" s="867" t="s">
        <v>18740</v>
      </c>
    </row>
    <row r="17" spans="1:4" s="867" customFormat="1" ht="15" customHeight="1">
      <c r="A17" s="867" t="s">
        <v>18763</v>
      </c>
      <c r="B17" s="867">
        <v>125</v>
      </c>
      <c r="C17" s="867" t="s">
        <v>18115</v>
      </c>
      <c r="D17" s="867" t="s">
        <v>18764</v>
      </c>
    </row>
    <row r="18" spans="1:4" s="867" customFormat="1" ht="15" customHeight="1">
      <c r="A18" s="867" t="s">
        <v>18765</v>
      </c>
      <c r="B18" s="867">
        <v>135</v>
      </c>
      <c r="C18" s="867" t="s">
        <v>7776</v>
      </c>
      <c r="D18" s="867" t="s">
        <v>18764</v>
      </c>
    </row>
    <row r="19" spans="1:4" s="867" customFormat="1" ht="15" customHeight="1">
      <c r="A19" s="867" t="s">
        <v>18774</v>
      </c>
      <c r="B19" s="867">
        <v>40</v>
      </c>
      <c r="C19" s="867" t="s">
        <v>7776</v>
      </c>
      <c r="D19" s="867" t="s">
        <v>14466</v>
      </c>
    </row>
    <row r="20" spans="1:4" s="867" customFormat="1" ht="15" customHeight="1">
      <c r="A20" s="867" t="s">
        <v>18778</v>
      </c>
      <c r="B20" s="867">
        <v>125</v>
      </c>
      <c r="C20" s="867" t="s">
        <v>7776</v>
      </c>
      <c r="D20" s="867" t="s">
        <v>8545</v>
      </c>
    </row>
    <row r="21" spans="1:4" s="867" customFormat="1" ht="15" customHeight="1">
      <c r="A21" s="867" t="s">
        <v>18778</v>
      </c>
      <c r="B21" s="867">
        <v>140</v>
      </c>
      <c r="C21" s="867" t="s">
        <v>7776</v>
      </c>
      <c r="D21" s="867" t="s">
        <v>18277</v>
      </c>
    </row>
    <row r="22" spans="1:4" s="867" customFormat="1" ht="15" customHeight="1">
      <c r="A22" s="867" t="s">
        <v>18812</v>
      </c>
      <c r="B22" s="867">
        <v>40</v>
      </c>
      <c r="C22" s="867" t="s">
        <v>7776</v>
      </c>
      <c r="D22" s="867" t="s">
        <v>18814</v>
      </c>
    </row>
    <row r="23" spans="1:4" s="867" customFormat="1" ht="15" customHeight="1">
      <c r="A23" s="867" t="s">
        <v>18837</v>
      </c>
      <c r="B23" s="867">
        <v>229</v>
      </c>
      <c r="C23" s="867" t="s">
        <v>18095</v>
      </c>
      <c r="D23" s="867" t="s">
        <v>18182</v>
      </c>
    </row>
    <row r="24" spans="1:4" s="867" customFormat="1" ht="15" customHeight="1">
      <c r="A24" s="867" t="s">
        <v>18837</v>
      </c>
      <c r="B24" s="867">
        <v>256</v>
      </c>
      <c r="C24" s="867" t="s">
        <v>18541</v>
      </c>
      <c r="D24" s="867" t="s">
        <v>18182</v>
      </c>
    </row>
    <row r="25" spans="1:4" s="867" customFormat="1" ht="15" customHeight="1">
      <c r="A25" s="867" t="s">
        <v>16476</v>
      </c>
      <c r="B25" s="867">
        <v>225</v>
      </c>
      <c r="C25" s="867" t="s">
        <v>18541</v>
      </c>
      <c r="D25" s="867" t="s">
        <v>18843</v>
      </c>
    </row>
    <row r="26" spans="1:4" s="867" customFormat="1" ht="15" customHeight="1">
      <c r="A26" s="867" t="s">
        <v>16476</v>
      </c>
      <c r="B26" s="867">
        <v>239</v>
      </c>
      <c r="C26" s="867" t="s">
        <v>7776</v>
      </c>
      <c r="D26" s="867" t="s">
        <v>18843</v>
      </c>
    </row>
    <row r="27" spans="1:4" s="867" customFormat="1" ht="15" customHeight="1">
      <c r="A27" s="867" t="s">
        <v>16509</v>
      </c>
      <c r="B27" s="867">
        <v>340</v>
      </c>
      <c r="C27" s="867" t="s">
        <v>18115</v>
      </c>
      <c r="D27" s="867" t="s">
        <v>18849</v>
      </c>
    </row>
    <row r="28" spans="1:4" s="867" customFormat="1" ht="15" customHeight="1">
      <c r="A28" s="867" t="s">
        <v>18850</v>
      </c>
      <c r="B28" s="867">
        <v>275</v>
      </c>
      <c r="C28" s="867" t="s">
        <v>18115</v>
      </c>
      <c r="D28" s="867" t="s">
        <v>18851</v>
      </c>
    </row>
    <row r="29" spans="1:4" s="867" customFormat="1" ht="15" customHeight="1">
      <c r="A29" s="867" t="s">
        <v>18859</v>
      </c>
      <c r="B29" s="867">
        <v>235</v>
      </c>
      <c r="C29" s="867" t="s">
        <v>18541</v>
      </c>
      <c r="D29" s="867" t="s">
        <v>18319</v>
      </c>
    </row>
    <row r="30" spans="1:4" s="867" customFormat="1" ht="15" customHeight="1">
      <c r="A30" s="867" t="s">
        <v>18859</v>
      </c>
      <c r="B30" s="867">
        <v>285</v>
      </c>
      <c r="C30" s="867" t="s">
        <v>18541</v>
      </c>
      <c r="D30" s="867" t="s">
        <v>18860</v>
      </c>
    </row>
    <row r="31" spans="1:4" s="867" customFormat="1" ht="15" customHeight="1">
      <c r="A31" s="867" t="s">
        <v>18861</v>
      </c>
      <c r="B31" s="867">
        <v>245</v>
      </c>
      <c r="C31" s="867" t="s">
        <v>18115</v>
      </c>
      <c r="D31" s="867" t="s">
        <v>8396</v>
      </c>
    </row>
    <row r="32" spans="1:4" s="867" customFormat="1" ht="15" customHeight="1">
      <c r="A32" s="867" t="s">
        <v>18862</v>
      </c>
      <c r="B32" s="867">
        <v>235</v>
      </c>
      <c r="C32" s="867" t="s">
        <v>18541</v>
      </c>
      <c r="D32" s="867" t="s">
        <v>8396</v>
      </c>
    </row>
    <row r="33" spans="1:4" s="867" customFormat="1" ht="15" customHeight="1">
      <c r="A33" s="867" t="s">
        <v>18867</v>
      </c>
      <c r="B33" s="867">
        <v>40</v>
      </c>
      <c r="C33" s="867" t="s">
        <v>7776</v>
      </c>
      <c r="D33" s="867" t="s">
        <v>18868</v>
      </c>
    </row>
    <row r="34" spans="1:4" s="480" customFormat="1" ht="12.75" customHeight="1">
      <c r="B34" s="567">
        <f>SUM(B2:B33)</f>
        <v>5944</v>
      </c>
    </row>
    <row r="35" spans="1:4" s="867" customFormat="1" ht="15" customHeight="1">
      <c r="A35" s="867" t="s">
        <v>18649</v>
      </c>
      <c r="C35" s="867" t="s">
        <v>7763</v>
      </c>
      <c r="D35" s="868" t="s">
        <v>18650</v>
      </c>
    </row>
    <row r="36" spans="1:4" s="867" customFormat="1" ht="15" customHeight="1">
      <c r="A36" s="867" t="s">
        <v>14463</v>
      </c>
      <c r="C36" s="867" t="s">
        <v>7763</v>
      </c>
      <c r="D36" s="868" t="s">
        <v>14464</v>
      </c>
    </row>
    <row r="37" spans="1:4" s="867" customFormat="1" ht="15" customHeight="1">
      <c r="A37" s="867" t="s">
        <v>18679</v>
      </c>
      <c r="C37" s="867" t="s">
        <v>18212</v>
      </c>
      <c r="D37" s="868" t="s">
        <v>18680</v>
      </c>
    </row>
    <row r="38" spans="1:4" s="867" customFormat="1" ht="15" customHeight="1">
      <c r="A38" s="867" t="s">
        <v>18690</v>
      </c>
      <c r="C38" s="867" t="s">
        <v>7763</v>
      </c>
      <c r="D38" s="868" t="s">
        <v>18691</v>
      </c>
    </row>
    <row r="39" spans="1:4" s="867" customFormat="1" ht="15" customHeight="1">
      <c r="A39" s="867" t="s">
        <v>9743</v>
      </c>
      <c r="C39" s="867" t="s">
        <v>7763</v>
      </c>
      <c r="D39" s="868" t="s">
        <v>14538</v>
      </c>
    </row>
    <row r="40" spans="1:4" s="867" customFormat="1" ht="15" customHeight="1">
      <c r="A40" s="867" t="s">
        <v>9928</v>
      </c>
      <c r="C40" s="867" t="s">
        <v>18103</v>
      </c>
      <c r="D40" s="868" t="s">
        <v>18730</v>
      </c>
    </row>
    <row r="41" spans="1:4" s="867" customFormat="1" ht="15" customHeight="1">
      <c r="A41" s="867" t="s">
        <v>18748</v>
      </c>
      <c r="C41" s="867" t="s">
        <v>7763</v>
      </c>
      <c r="D41" s="868" t="s">
        <v>18749</v>
      </c>
    </row>
    <row r="42" spans="1:4" s="867" customFormat="1" ht="15" customHeight="1">
      <c r="A42" s="867" t="s">
        <v>18772</v>
      </c>
      <c r="C42" s="867" t="s">
        <v>18212</v>
      </c>
      <c r="D42" s="868" t="s">
        <v>18773</v>
      </c>
    </row>
    <row r="43" spans="1:4" s="867" customFormat="1" ht="15" customHeight="1">
      <c r="A43" s="867" t="s">
        <v>18798</v>
      </c>
      <c r="C43" s="867" t="s">
        <v>18103</v>
      </c>
      <c r="D43" s="868" t="s">
        <v>18799</v>
      </c>
    </row>
    <row r="44" spans="1:4" s="867" customFormat="1" ht="15" customHeight="1">
      <c r="A44" s="867" t="s">
        <v>18810</v>
      </c>
      <c r="C44" s="867" t="s">
        <v>7763</v>
      </c>
      <c r="D44" s="868" t="s">
        <v>18811</v>
      </c>
    </row>
    <row r="45" spans="1:4" s="867" customFormat="1" ht="15" customHeight="1">
      <c r="A45" s="867" t="s">
        <v>18844</v>
      </c>
      <c r="C45" s="867" t="s">
        <v>18103</v>
      </c>
      <c r="D45" s="868" t="s">
        <v>18847</v>
      </c>
    </row>
    <row r="46" spans="1:4" s="867" customFormat="1" ht="15" customHeight="1">
      <c r="A46" s="867" t="s">
        <v>10942</v>
      </c>
      <c r="C46" s="867" t="s">
        <v>18103</v>
      </c>
      <c r="D46" s="868" t="s">
        <v>18869</v>
      </c>
    </row>
    <row r="47" spans="1:4" s="480" customFormat="1" ht="12.75" customHeight="1">
      <c r="B47" s="567">
        <f>SUM(B35:B46)</f>
        <v>0</v>
      </c>
    </row>
    <row r="48" spans="1:4" s="867" customFormat="1" ht="15" customHeight="1">
      <c r="A48" s="867" t="s">
        <v>10963</v>
      </c>
      <c r="B48" s="867">
        <v>199</v>
      </c>
      <c r="C48" s="867" t="s">
        <v>6937</v>
      </c>
      <c r="D48" s="867" t="s">
        <v>14448</v>
      </c>
    </row>
    <row r="49" spans="1:4" s="867" customFormat="1" ht="15" customHeight="1">
      <c r="A49" s="867" t="s">
        <v>14508</v>
      </c>
      <c r="B49" s="867">
        <v>199</v>
      </c>
      <c r="C49" s="867" t="s">
        <v>6937</v>
      </c>
      <c r="D49" s="867" t="s">
        <v>14509</v>
      </c>
    </row>
    <row r="50" spans="1:4" s="867" customFormat="1" ht="15" customHeight="1">
      <c r="A50" s="867" t="s">
        <v>18706</v>
      </c>
      <c r="B50" s="867">
        <v>185</v>
      </c>
      <c r="C50" s="867" t="s">
        <v>18106</v>
      </c>
      <c r="D50" s="867" t="s">
        <v>18708</v>
      </c>
    </row>
    <row r="51" spans="1:4" s="867" customFormat="1" ht="15" customHeight="1">
      <c r="A51" s="867" t="s">
        <v>18745</v>
      </c>
      <c r="B51" s="867">
        <v>194</v>
      </c>
      <c r="C51" s="867" t="s">
        <v>18746</v>
      </c>
      <c r="D51" s="867" t="s">
        <v>18747</v>
      </c>
    </row>
    <row r="52" spans="1:4" s="867" customFormat="1" ht="15" customHeight="1">
      <c r="A52" s="867" t="s">
        <v>18797</v>
      </c>
      <c r="B52" s="867">
        <v>185</v>
      </c>
      <c r="C52" s="867" t="s">
        <v>18746</v>
      </c>
      <c r="D52" s="867" t="s">
        <v>18747</v>
      </c>
    </row>
    <row r="53" spans="1:4" s="867" customFormat="1" ht="15" customHeight="1">
      <c r="A53" s="867" t="s">
        <v>18844</v>
      </c>
      <c r="B53" s="867">
        <v>178</v>
      </c>
      <c r="C53" s="867" t="s">
        <v>6937</v>
      </c>
      <c r="D53" s="867" t="s">
        <v>18846</v>
      </c>
    </row>
    <row r="54" spans="1:4" s="480" customFormat="1" ht="12.75" customHeight="1">
      <c r="B54" s="567">
        <f>SUM(B48:B53)</f>
        <v>1140</v>
      </c>
    </row>
    <row r="55" spans="1:4" s="867" customFormat="1" ht="11.25">
      <c r="A55" s="867" t="s">
        <v>14467</v>
      </c>
      <c r="B55" s="867">
        <v>324</v>
      </c>
      <c r="C55" s="867" t="s">
        <v>19005</v>
      </c>
      <c r="D55" s="867" t="s">
        <v>19003</v>
      </c>
    </row>
    <row r="56" spans="1:4" s="480" customFormat="1" ht="12.75" customHeight="1">
      <c r="B56" s="567">
        <f>SUM(B55:B55)</f>
        <v>324</v>
      </c>
    </row>
    <row r="57" spans="1:4" s="867" customFormat="1" ht="15" customHeight="1">
      <c r="A57" s="867" t="s">
        <v>10868</v>
      </c>
      <c r="B57" s="867">
        <v>18</v>
      </c>
      <c r="C57" s="867" t="s">
        <v>6913</v>
      </c>
      <c r="D57" s="867" t="s">
        <v>14465</v>
      </c>
    </row>
    <row r="58" spans="1:4" s="867" customFormat="1" ht="15" customHeight="1">
      <c r="A58" s="867" t="s">
        <v>14493</v>
      </c>
      <c r="B58" s="867">
        <v>120</v>
      </c>
      <c r="C58" s="867" t="s">
        <v>18116</v>
      </c>
      <c r="D58" s="867" t="s">
        <v>18261</v>
      </c>
    </row>
    <row r="59" spans="1:4" s="867" customFormat="1" ht="15" customHeight="1">
      <c r="A59" s="867" t="s">
        <v>14513</v>
      </c>
      <c r="B59" s="867">
        <v>18</v>
      </c>
      <c r="C59" s="867" t="s">
        <v>18687</v>
      </c>
      <c r="D59" s="867" t="s">
        <v>14465</v>
      </c>
    </row>
    <row r="60" spans="1:4" s="867" customFormat="1" ht="15" customHeight="1">
      <c r="A60" s="867" t="s">
        <v>9928</v>
      </c>
      <c r="B60" s="867">
        <v>18</v>
      </c>
      <c r="C60" s="867" t="s">
        <v>18116</v>
      </c>
      <c r="D60" s="867" t="s">
        <v>18731</v>
      </c>
    </row>
    <row r="61" spans="1:4" s="867" customFormat="1" ht="15" customHeight="1">
      <c r="A61" s="867" t="s">
        <v>18774</v>
      </c>
      <c r="B61" s="867">
        <v>18</v>
      </c>
      <c r="C61" s="867" t="s">
        <v>18048</v>
      </c>
      <c r="D61" s="867" t="s">
        <v>18775</v>
      </c>
    </row>
    <row r="62" spans="1:4" s="867" customFormat="1" ht="15" customHeight="1">
      <c r="A62" s="867" t="s">
        <v>18779</v>
      </c>
      <c r="B62" s="867">
        <v>350</v>
      </c>
      <c r="C62" s="867" t="s">
        <v>18116</v>
      </c>
      <c r="D62" s="867" t="s">
        <v>18782</v>
      </c>
    </row>
    <row r="63" spans="1:4" s="867" customFormat="1" ht="15" customHeight="1">
      <c r="A63" s="867" t="s">
        <v>18792</v>
      </c>
      <c r="B63" s="867">
        <v>110</v>
      </c>
      <c r="C63" s="867" t="s">
        <v>18687</v>
      </c>
      <c r="D63" s="867" t="s">
        <v>7126</v>
      </c>
    </row>
    <row r="64" spans="1:4" s="867" customFormat="1" ht="15" customHeight="1">
      <c r="A64" s="867" t="s">
        <v>18812</v>
      </c>
      <c r="B64" s="867">
        <v>18</v>
      </c>
      <c r="C64" s="867" t="s">
        <v>6913</v>
      </c>
      <c r="D64" s="867" t="s">
        <v>18813</v>
      </c>
    </row>
    <row r="65" spans="1:16" s="867" customFormat="1" ht="15" customHeight="1">
      <c r="A65" s="867" t="s">
        <v>16449</v>
      </c>
      <c r="B65" s="867">
        <v>105</v>
      </c>
      <c r="C65" s="867" t="s">
        <v>18116</v>
      </c>
      <c r="D65" s="867" t="s">
        <v>18834</v>
      </c>
    </row>
    <row r="66" spans="1:16" s="867" customFormat="1" ht="15" customHeight="1">
      <c r="A66" s="867" t="s">
        <v>18865</v>
      </c>
      <c r="B66" s="867">
        <v>18</v>
      </c>
      <c r="C66" s="867" t="s">
        <v>6913</v>
      </c>
      <c r="D66" s="867" t="s">
        <v>18866</v>
      </c>
    </row>
    <row r="67" spans="1:16" s="480" customFormat="1" ht="12.75" customHeight="1">
      <c r="B67" s="567">
        <f>SUM(B57:B66)</f>
        <v>793</v>
      </c>
    </row>
    <row r="68" spans="1:16" s="867" customFormat="1" ht="15" customHeight="1">
      <c r="A68" s="867" t="s">
        <v>18670</v>
      </c>
      <c r="B68" s="867">
        <v>120</v>
      </c>
      <c r="C68" s="867" t="s">
        <v>18671</v>
      </c>
      <c r="D68" s="867" t="s">
        <v>18672</v>
      </c>
    </row>
    <row r="69" spans="1:16" s="869" customFormat="1" ht="15.95" customHeight="1">
      <c r="A69" s="867" t="s">
        <v>14532</v>
      </c>
      <c r="B69" s="867">
        <v>69</v>
      </c>
      <c r="C69" s="867" t="s">
        <v>18127</v>
      </c>
      <c r="D69" s="867" t="s">
        <v>18701</v>
      </c>
      <c r="E69" s="867"/>
      <c r="F69" s="867"/>
      <c r="G69" s="867"/>
      <c r="H69" s="867"/>
      <c r="I69" s="867"/>
      <c r="J69" s="867"/>
      <c r="K69" s="867"/>
      <c r="L69" s="867"/>
      <c r="M69" s="867"/>
      <c r="N69" s="867"/>
      <c r="O69" s="867"/>
      <c r="P69" s="867"/>
    </row>
    <row r="70" spans="1:16" s="867" customFormat="1" ht="15" customHeight="1">
      <c r="A70" s="867" t="s">
        <v>18806</v>
      </c>
      <c r="B70" s="867">
        <v>195</v>
      </c>
      <c r="C70" s="867" t="s">
        <v>18170</v>
      </c>
      <c r="D70" s="867" t="s">
        <v>18807</v>
      </c>
    </row>
    <row r="71" spans="1:16" s="867" customFormat="1" ht="15" customHeight="1">
      <c r="A71" s="867" t="s">
        <v>18815</v>
      </c>
      <c r="B71" s="867">
        <v>263</v>
      </c>
      <c r="C71" s="867" t="s">
        <v>6972</v>
      </c>
      <c r="D71" s="867" t="s">
        <v>18816</v>
      </c>
    </row>
    <row r="72" spans="1:16" s="480" customFormat="1" ht="12.75" customHeight="1">
      <c r="B72" s="567">
        <f>SUM(B68:B71)</f>
        <v>647</v>
      </c>
    </row>
    <row r="73" spans="1:16" s="867" customFormat="1" ht="15" customHeight="1">
      <c r="A73" s="867" t="s">
        <v>14451</v>
      </c>
      <c r="B73" s="867">
        <v>384</v>
      </c>
      <c r="C73" s="867" t="s">
        <v>6943</v>
      </c>
      <c r="D73" s="867" t="s">
        <v>14452</v>
      </c>
    </row>
    <row r="74" spans="1:16" s="867" customFormat="1" ht="15" customHeight="1">
      <c r="A74" s="867" t="s">
        <v>14456</v>
      </c>
      <c r="B74" s="867">
        <v>88</v>
      </c>
      <c r="C74" s="867" t="s">
        <v>6943</v>
      </c>
      <c r="D74" s="867" t="s">
        <v>18655</v>
      </c>
    </row>
    <row r="75" spans="1:16" s="867" customFormat="1" ht="15" customHeight="1">
      <c r="A75" s="867" t="s">
        <v>14471</v>
      </c>
      <c r="B75" s="867">
        <v>72</v>
      </c>
      <c r="C75" s="867" t="s">
        <v>18632</v>
      </c>
      <c r="D75" s="867" t="s">
        <v>18665</v>
      </c>
    </row>
    <row r="76" spans="1:16" s="867" customFormat="1" ht="15" customHeight="1">
      <c r="A76" s="867" t="s">
        <v>18676</v>
      </c>
      <c r="B76" s="867">
        <v>74</v>
      </c>
      <c r="C76" s="867" t="s">
        <v>18123</v>
      </c>
      <c r="D76" s="867" t="s">
        <v>18677</v>
      </c>
    </row>
    <row r="77" spans="1:16" s="867" customFormat="1" ht="15" customHeight="1">
      <c r="A77" s="867" t="s">
        <v>14508</v>
      </c>
      <c r="B77" s="867">
        <v>60</v>
      </c>
      <c r="C77" s="867" t="s">
        <v>18123</v>
      </c>
      <c r="D77" s="867" t="s">
        <v>14510</v>
      </c>
    </row>
    <row r="78" spans="1:16" s="867" customFormat="1" ht="15" customHeight="1">
      <c r="A78" s="867" t="s">
        <v>14530</v>
      </c>
      <c r="B78" s="867">
        <v>551</v>
      </c>
      <c r="C78" s="867" t="s">
        <v>6943</v>
      </c>
      <c r="D78" s="868" t="s">
        <v>18699</v>
      </c>
    </row>
    <row r="79" spans="1:16" s="867" customFormat="1" ht="15" customHeight="1">
      <c r="A79" s="867" t="s">
        <v>18702</v>
      </c>
      <c r="B79" s="867">
        <v>196</v>
      </c>
      <c r="C79" s="867" t="s">
        <v>18516</v>
      </c>
      <c r="D79" s="867" t="s">
        <v>18703</v>
      </c>
    </row>
    <row r="80" spans="1:16" s="867" customFormat="1" ht="15" customHeight="1">
      <c r="A80" s="867" t="s">
        <v>18705</v>
      </c>
      <c r="B80" s="867">
        <v>588</v>
      </c>
      <c r="C80" s="867" t="s">
        <v>6943</v>
      </c>
      <c r="D80" s="867" t="s">
        <v>14544</v>
      </c>
    </row>
    <row r="81" spans="1:4" s="867" customFormat="1" ht="15" customHeight="1">
      <c r="A81" s="867" t="s">
        <v>18709</v>
      </c>
      <c r="B81" s="867">
        <v>44</v>
      </c>
      <c r="C81" s="867" t="s">
        <v>6943</v>
      </c>
      <c r="D81" s="867" t="s">
        <v>18710</v>
      </c>
    </row>
    <row r="82" spans="1:4" s="867" customFormat="1" ht="15" customHeight="1">
      <c r="A82" s="867" t="s">
        <v>14567</v>
      </c>
      <c r="B82" s="867">
        <v>160</v>
      </c>
      <c r="C82" s="867" t="s">
        <v>6943</v>
      </c>
      <c r="D82" s="867" t="s">
        <v>18721</v>
      </c>
    </row>
    <row r="83" spans="1:4" s="867" customFormat="1" ht="15" customHeight="1">
      <c r="A83" s="867" t="s">
        <v>18750</v>
      </c>
      <c r="B83" s="867">
        <v>84</v>
      </c>
      <c r="C83" s="867" t="s">
        <v>18123</v>
      </c>
      <c r="D83" s="867" t="s">
        <v>18751</v>
      </c>
    </row>
    <row r="84" spans="1:4" s="867" customFormat="1" ht="15" customHeight="1">
      <c r="A84" s="867" t="s">
        <v>18752</v>
      </c>
      <c r="B84" s="867">
        <v>60</v>
      </c>
      <c r="C84" s="867" t="s">
        <v>6943</v>
      </c>
      <c r="D84" s="867" t="s">
        <v>18753</v>
      </c>
    </row>
    <row r="85" spans="1:4" s="867" customFormat="1" ht="15" customHeight="1">
      <c r="A85" s="867" t="s">
        <v>18761</v>
      </c>
      <c r="B85" s="867">
        <v>28</v>
      </c>
      <c r="C85" s="867" t="s">
        <v>18516</v>
      </c>
      <c r="D85" s="867" t="s">
        <v>18762</v>
      </c>
    </row>
    <row r="86" spans="1:4" s="867" customFormat="1" ht="15" customHeight="1">
      <c r="A86" s="867" t="s">
        <v>18766</v>
      </c>
      <c r="B86" s="867">
        <v>112</v>
      </c>
      <c r="C86" s="867" t="s">
        <v>6943</v>
      </c>
      <c r="D86" s="867" t="s">
        <v>18767</v>
      </c>
    </row>
    <row r="87" spans="1:4" s="867" customFormat="1" ht="15" customHeight="1">
      <c r="A87" s="867" t="s">
        <v>18768</v>
      </c>
      <c r="B87" s="867">
        <v>60</v>
      </c>
      <c r="C87" s="867" t="s">
        <v>18123</v>
      </c>
      <c r="D87" s="867" t="s">
        <v>18769</v>
      </c>
    </row>
    <row r="88" spans="1:4" s="867" customFormat="1" ht="15" customHeight="1">
      <c r="A88" s="867" t="s">
        <v>18770</v>
      </c>
      <c r="B88" s="867">
        <v>44</v>
      </c>
      <c r="C88" s="867" t="s">
        <v>6943</v>
      </c>
      <c r="D88" s="867" t="s">
        <v>18771</v>
      </c>
    </row>
    <row r="89" spans="1:4" s="867" customFormat="1" ht="15" customHeight="1">
      <c r="A89" s="867" t="s">
        <v>10889</v>
      </c>
      <c r="B89" s="867">
        <v>56</v>
      </c>
      <c r="C89" s="867" t="s">
        <v>18123</v>
      </c>
      <c r="D89" s="867" t="s">
        <v>18781</v>
      </c>
    </row>
    <row r="90" spans="1:4" s="867" customFormat="1" ht="15" customHeight="1">
      <c r="A90" s="867" t="s">
        <v>18795</v>
      </c>
      <c r="B90" s="867">
        <v>28</v>
      </c>
      <c r="C90" s="867" t="s">
        <v>6943</v>
      </c>
      <c r="D90" s="867" t="s">
        <v>18796</v>
      </c>
    </row>
    <row r="91" spans="1:4" s="867" customFormat="1" ht="15" customHeight="1">
      <c r="A91" s="867" t="s">
        <v>18808</v>
      </c>
      <c r="B91" s="867">
        <v>558</v>
      </c>
      <c r="C91" s="867" t="s">
        <v>6943</v>
      </c>
      <c r="D91" s="867" t="s">
        <v>18809</v>
      </c>
    </row>
    <row r="92" spans="1:4" s="867" customFormat="1" ht="15" customHeight="1">
      <c r="A92" s="867" t="s">
        <v>18817</v>
      </c>
      <c r="B92" s="867">
        <v>51</v>
      </c>
      <c r="C92" s="867" t="s">
        <v>6943</v>
      </c>
      <c r="D92" s="867" t="s">
        <v>18818</v>
      </c>
    </row>
    <row r="93" spans="1:4" s="867" customFormat="1" ht="15" customHeight="1">
      <c r="A93" s="867" t="s">
        <v>18821</v>
      </c>
      <c r="B93" s="867">
        <v>112</v>
      </c>
      <c r="C93" s="867" t="s">
        <v>6943</v>
      </c>
      <c r="D93" s="867" t="s">
        <v>18822</v>
      </c>
    </row>
    <row r="94" spans="1:4" s="867" customFormat="1" ht="15" customHeight="1">
      <c r="A94" s="867" t="s">
        <v>18835</v>
      </c>
      <c r="B94" s="867">
        <v>36</v>
      </c>
      <c r="C94" s="867" t="s">
        <v>18123</v>
      </c>
      <c r="D94" s="867" t="s">
        <v>18836</v>
      </c>
    </row>
    <row r="95" spans="1:4" s="867" customFormat="1" ht="15" customHeight="1">
      <c r="A95" s="867" t="s">
        <v>18838</v>
      </c>
      <c r="B95" s="867">
        <v>44</v>
      </c>
      <c r="C95" s="867" t="s">
        <v>18051</v>
      </c>
      <c r="D95" s="867" t="s">
        <v>18839</v>
      </c>
    </row>
    <row r="96" spans="1:4" s="867" customFormat="1" ht="15" customHeight="1">
      <c r="A96" s="867" t="s">
        <v>18844</v>
      </c>
      <c r="B96" s="867">
        <v>88</v>
      </c>
      <c r="C96" s="867" t="s">
        <v>6943</v>
      </c>
      <c r="D96" s="867" t="s">
        <v>18845</v>
      </c>
    </row>
    <row r="97" spans="1:16" s="867" customFormat="1" ht="15" customHeight="1">
      <c r="A97" s="867" t="s">
        <v>18852</v>
      </c>
      <c r="B97" s="867">
        <v>28</v>
      </c>
      <c r="C97" s="867" t="s">
        <v>6943</v>
      </c>
      <c r="D97" s="867" t="s">
        <v>18853</v>
      </c>
    </row>
    <row r="98" spans="1:16" s="480" customFormat="1" ht="12.75" customHeight="1">
      <c r="B98" s="567">
        <f>SUM(B73:B97)</f>
        <v>3606</v>
      </c>
    </row>
    <row r="99" spans="1:16" s="480" customFormat="1" ht="12.75" customHeight="1"/>
    <row r="100" spans="1:16" s="867" customFormat="1" ht="15" customHeight="1">
      <c r="A100" s="867" t="s">
        <v>18743</v>
      </c>
      <c r="B100" s="867">
        <v>1000</v>
      </c>
      <c r="D100" s="867" t="s">
        <v>18744</v>
      </c>
    </row>
    <row r="101" spans="1:16" s="480" customFormat="1" ht="12.75" customHeight="1"/>
    <row r="102" spans="1:16" s="480" customFormat="1" ht="12.75" customHeight="1"/>
    <row r="103" spans="1:16" s="480" customFormat="1" ht="12.75" customHeight="1"/>
    <row r="104" spans="1:16" s="480" customFormat="1" ht="12.75" customHeight="1"/>
    <row r="105" spans="1:16" s="480" customFormat="1" ht="12.75" customHeight="1"/>
    <row r="106" spans="1:16" s="480" customFormat="1" ht="12.75" customHeight="1"/>
    <row r="107" spans="1:16" s="480" customFormat="1" ht="12.75" customHeight="1"/>
    <row r="108" spans="1:16" s="480" customFormat="1" ht="12.75" customHeight="1"/>
    <row r="109" spans="1:16" ht="15" customHeight="1">
      <c r="A109" s="739" t="s">
        <v>16593</v>
      </c>
      <c r="B109" s="739" t="s">
        <v>16595</v>
      </c>
      <c r="C109" s="739" t="s">
        <v>16596</v>
      </c>
      <c r="D109" s="739" t="s">
        <v>16597</v>
      </c>
    </row>
    <row r="110" spans="1:16" ht="4.5" customHeight="1">
      <c r="A110" s="842"/>
      <c r="B110" s="848"/>
      <c r="C110" s="842"/>
      <c r="D110" s="842"/>
      <c r="E110" s="842"/>
      <c r="F110" s="842"/>
      <c r="G110" s="842"/>
      <c r="H110" s="842"/>
      <c r="I110" s="842"/>
      <c r="J110" s="842"/>
      <c r="K110" s="842"/>
      <c r="L110" s="842"/>
      <c r="M110" s="842"/>
      <c r="N110" s="842"/>
      <c r="O110" s="842"/>
      <c r="P110" s="842"/>
    </row>
    <row r="111" spans="1:16" ht="15" customHeight="1">
      <c r="A111" s="739" t="s">
        <v>18670</v>
      </c>
      <c r="B111" s="741">
        <v>120</v>
      </c>
      <c r="C111" s="739" t="s">
        <v>18671</v>
      </c>
      <c r="D111" s="739" t="s">
        <v>18672</v>
      </c>
    </row>
    <row r="112" spans="1:16" s="842" customFormat="1" ht="15.95" customHeight="1">
      <c r="A112" s="739" t="s">
        <v>14532</v>
      </c>
      <c r="B112" s="741">
        <v>69</v>
      </c>
      <c r="C112" s="739" t="s">
        <v>18127</v>
      </c>
      <c r="D112" s="739" t="s">
        <v>18701</v>
      </c>
      <c r="E112" s="739"/>
      <c r="F112" s="739"/>
      <c r="G112" s="739"/>
      <c r="H112" s="739"/>
      <c r="I112" s="739"/>
      <c r="J112" s="739"/>
      <c r="K112" s="739"/>
      <c r="L112" s="739"/>
      <c r="M112" s="739"/>
      <c r="N112" s="739"/>
      <c r="O112" s="739"/>
      <c r="P112" s="739"/>
    </row>
    <row r="113" spans="1:4" ht="15" customHeight="1">
      <c r="A113" s="739" t="s">
        <v>18806</v>
      </c>
      <c r="B113" s="741">
        <v>195</v>
      </c>
      <c r="C113" s="739" t="s">
        <v>18170</v>
      </c>
      <c r="D113" s="739" t="s">
        <v>18807</v>
      </c>
    </row>
    <row r="114" spans="1:4" ht="15" customHeight="1">
      <c r="A114" s="739" t="s">
        <v>18815</v>
      </c>
      <c r="B114" s="741">
        <v>263</v>
      </c>
      <c r="C114" s="739" t="s">
        <v>6972</v>
      </c>
      <c r="D114" s="739" t="s">
        <v>18816</v>
      </c>
    </row>
    <row r="115" spans="1:4" ht="15" customHeight="1">
      <c r="A115" s="739" t="s">
        <v>10963</v>
      </c>
      <c r="B115" s="741">
        <v>199</v>
      </c>
      <c r="C115" s="741" t="s">
        <v>6937</v>
      </c>
      <c r="D115" s="739" t="s">
        <v>14448</v>
      </c>
    </row>
    <row r="116" spans="1:4" ht="15" customHeight="1">
      <c r="A116" s="739" t="s">
        <v>14508</v>
      </c>
      <c r="B116" s="741">
        <v>199</v>
      </c>
      <c r="C116" s="741" t="s">
        <v>6937</v>
      </c>
      <c r="D116" s="739" t="s">
        <v>14509</v>
      </c>
    </row>
    <row r="117" spans="1:4" ht="15" customHeight="1">
      <c r="A117" s="739" t="s">
        <v>18706</v>
      </c>
      <c r="B117" s="741">
        <v>185</v>
      </c>
      <c r="C117" s="741" t="s">
        <v>18106</v>
      </c>
      <c r="D117" s="739" t="s">
        <v>18708</v>
      </c>
    </row>
    <row r="118" spans="1:4" ht="15" customHeight="1">
      <c r="A118" s="739" t="s">
        <v>18745</v>
      </c>
      <c r="B118" s="741">
        <v>194</v>
      </c>
      <c r="C118" s="741" t="s">
        <v>18746</v>
      </c>
      <c r="D118" s="739" t="s">
        <v>18747</v>
      </c>
    </row>
    <row r="119" spans="1:4" ht="15" customHeight="1">
      <c r="A119" s="739" t="s">
        <v>18797</v>
      </c>
      <c r="B119" s="741">
        <v>185</v>
      </c>
      <c r="C119" s="741" t="s">
        <v>18746</v>
      </c>
      <c r="D119" s="739" t="s">
        <v>18747</v>
      </c>
    </row>
    <row r="120" spans="1:4" ht="15" customHeight="1">
      <c r="A120" s="739" t="s">
        <v>18844</v>
      </c>
      <c r="B120" s="741">
        <v>178</v>
      </c>
      <c r="C120" s="741" t="s">
        <v>6937</v>
      </c>
      <c r="D120" s="739" t="s">
        <v>18846</v>
      </c>
    </row>
    <row r="121" spans="1:4" ht="15" customHeight="1">
      <c r="A121" s="739" t="s">
        <v>18656</v>
      </c>
      <c r="B121" s="741">
        <v>175</v>
      </c>
      <c r="C121" s="739" t="s">
        <v>18095</v>
      </c>
      <c r="D121" s="739" t="s">
        <v>18331</v>
      </c>
    </row>
    <row r="122" spans="1:4" ht="15" customHeight="1">
      <c r="A122" s="739" t="s">
        <v>14458</v>
      </c>
      <c r="B122" s="741">
        <v>135</v>
      </c>
      <c r="C122" s="739" t="s">
        <v>18095</v>
      </c>
      <c r="D122" s="739" t="s">
        <v>18657</v>
      </c>
    </row>
    <row r="123" spans="1:4" ht="15" customHeight="1">
      <c r="A123" s="739" t="s">
        <v>10868</v>
      </c>
      <c r="B123" s="739">
        <v>40</v>
      </c>
      <c r="C123" s="739" t="s">
        <v>7776</v>
      </c>
      <c r="D123" s="739" t="s">
        <v>18658</v>
      </c>
    </row>
    <row r="124" spans="1:4" ht="15" customHeight="1">
      <c r="A124" s="739" t="s">
        <v>18673</v>
      </c>
      <c r="B124" s="741">
        <v>275</v>
      </c>
      <c r="C124" s="739" t="s">
        <v>18541</v>
      </c>
      <c r="D124" s="739" t="s">
        <v>18674</v>
      </c>
    </row>
    <row r="125" spans="1:4" ht="15" customHeight="1">
      <c r="A125" s="739" t="s">
        <v>18675</v>
      </c>
      <c r="B125" s="846">
        <v>290</v>
      </c>
      <c r="C125" s="739" t="s">
        <v>7776</v>
      </c>
      <c r="D125" s="739" t="s">
        <v>8713</v>
      </c>
    </row>
    <row r="126" spans="1:4" ht="15" customHeight="1">
      <c r="A126" s="739" t="s">
        <v>18688</v>
      </c>
      <c r="B126" s="739">
        <v>40</v>
      </c>
      <c r="C126" s="741" t="s">
        <v>7776</v>
      </c>
      <c r="D126" s="739" t="s">
        <v>18658</v>
      </c>
    </row>
    <row r="127" spans="1:4" ht="15" customHeight="1">
      <c r="A127" s="739" t="s">
        <v>18697</v>
      </c>
      <c r="B127" s="739">
        <v>70</v>
      </c>
      <c r="C127" s="739" t="s">
        <v>18115</v>
      </c>
      <c r="D127" s="739" t="s">
        <v>18698</v>
      </c>
    </row>
    <row r="128" spans="1:4" ht="15" customHeight="1">
      <c r="A128" s="739" t="s">
        <v>14552</v>
      </c>
      <c r="B128" s="739">
        <v>120</v>
      </c>
      <c r="C128" s="739" t="s">
        <v>7776</v>
      </c>
      <c r="D128" s="739" t="s">
        <v>18711</v>
      </c>
    </row>
    <row r="129" spans="1:4" ht="15" customHeight="1">
      <c r="A129" s="739" t="s">
        <v>16556</v>
      </c>
      <c r="B129" s="739">
        <v>110</v>
      </c>
      <c r="C129" s="739" t="s">
        <v>7776</v>
      </c>
      <c r="D129" s="739" t="s">
        <v>18712</v>
      </c>
    </row>
    <row r="130" spans="1:4" ht="15" customHeight="1">
      <c r="A130" s="739" t="s">
        <v>14554</v>
      </c>
      <c r="B130" s="739">
        <v>215</v>
      </c>
      <c r="C130" s="739" t="s">
        <v>7776</v>
      </c>
      <c r="D130" s="739" t="s">
        <v>18713</v>
      </c>
    </row>
    <row r="131" spans="1:4" ht="15" customHeight="1">
      <c r="A131" s="739" t="s">
        <v>14554</v>
      </c>
      <c r="B131" s="739">
        <v>220</v>
      </c>
      <c r="C131" s="739" t="s">
        <v>18541</v>
      </c>
      <c r="D131" s="739" t="s">
        <v>18714</v>
      </c>
    </row>
    <row r="132" spans="1:4" ht="15" customHeight="1">
      <c r="A132" s="739" t="s">
        <v>18722</v>
      </c>
      <c r="B132" s="739">
        <v>610</v>
      </c>
      <c r="C132" s="741" t="s">
        <v>18115</v>
      </c>
      <c r="D132" s="739" t="s">
        <v>18723</v>
      </c>
    </row>
    <row r="133" spans="1:4" ht="15" customHeight="1">
      <c r="A133" s="739" t="s">
        <v>16281</v>
      </c>
      <c r="B133" s="739">
        <v>195</v>
      </c>
      <c r="C133" s="739" t="s">
        <v>7776</v>
      </c>
      <c r="D133" s="739" t="s">
        <v>18728</v>
      </c>
    </row>
    <row r="134" spans="1:4" ht="15" customHeight="1">
      <c r="A134" s="739" t="s">
        <v>18729</v>
      </c>
      <c r="B134" s="739">
        <v>200</v>
      </c>
      <c r="C134" s="739" t="s">
        <v>18541</v>
      </c>
      <c r="D134" s="739" t="s">
        <v>8218</v>
      </c>
    </row>
    <row r="135" spans="1:4" ht="15" customHeight="1">
      <c r="A135" s="739" t="s">
        <v>18739</v>
      </c>
      <c r="B135" s="739">
        <v>40</v>
      </c>
      <c r="C135" s="741" t="s">
        <v>19004</v>
      </c>
      <c r="D135" s="739" t="s">
        <v>18740</v>
      </c>
    </row>
    <row r="136" spans="1:4" ht="15" customHeight="1">
      <c r="A136" s="739" t="s">
        <v>18763</v>
      </c>
      <c r="B136" s="739">
        <v>125</v>
      </c>
      <c r="C136" s="739" t="s">
        <v>18115</v>
      </c>
      <c r="D136" s="739" t="s">
        <v>18764</v>
      </c>
    </row>
    <row r="137" spans="1:4" ht="15" customHeight="1">
      <c r="A137" s="739" t="s">
        <v>18765</v>
      </c>
      <c r="B137" s="739">
        <v>135</v>
      </c>
      <c r="C137" s="739" t="s">
        <v>7776</v>
      </c>
      <c r="D137" s="739" t="s">
        <v>18764</v>
      </c>
    </row>
    <row r="138" spans="1:4" ht="15" customHeight="1">
      <c r="A138" s="739" t="s">
        <v>18774</v>
      </c>
      <c r="B138" s="741">
        <v>40</v>
      </c>
      <c r="C138" s="741" t="s">
        <v>7776</v>
      </c>
      <c r="D138" s="739" t="s">
        <v>14466</v>
      </c>
    </row>
    <row r="139" spans="1:4" ht="15" customHeight="1">
      <c r="A139" s="739" t="s">
        <v>18778</v>
      </c>
      <c r="B139" s="739">
        <v>125</v>
      </c>
      <c r="C139" s="739" t="s">
        <v>7776</v>
      </c>
      <c r="D139" s="739" t="s">
        <v>8545</v>
      </c>
    </row>
    <row r="140" spans="1:4" ht="15" customHeight="1">
      <c r="A140" s="739" t="s">
        <v>18778</v>
      </c>
      <c r="B140" s="739">
        <v>140</v>
      </c>
      <c r="C140" s="739" t="s">
        <v>7776</v>
      </c>
      <c r="D140" s="739" t="s">
        <v>18277</v>
      </c>
    </row>
    <row r="141" spans="1:4" ht="15" customHeight="1">
      <c r="A141" s="739" t="s">
        <v>18812</v>
      </c>
      <c r="B141" s="741">
        <v>40</v>
      </c>
      <c r="C141" s="741" t="s">
        <v>7776</v>
      </c>
      <c r="D141" s="739" t="s">
        <v>18814</v>
      </c>
    </row>
    <row r="142" spans="1:4" ht="15" customHeight="1">
      <c r="A142" s="739" t="s">
        <v>18837</v>
      </c>
      <c r="B142" s="739">
        <v>229</v>
      </c>
      <c r="C142" s="739" t="s">
        <v>18095</v>
      </c>
      <c r="D142" s="739" t="s">
        <v>18182</v>
      </c>
    </row>
    <row r="143" spans="1:4" ht="15" customHeight="1">
      <c r="A143" s="739" t="s">
        <v>18837</v>
      </c>
      <c r="B143" s="739">
        <v>256</v>
      </c>
      <c r="C143" s="739" t="s">
        <v>18541</v>
      </c>
      <c r="D143" s="739" t="s">
        <v>18182</v>
      </c>
    </row>
    <row r="144" spans="1:4" ht="15" customHeight="1">
      <c r="A144" s="739" t="s">
        <v>16476</v>
      </c>
      <c r="B144" s="741">
        <v>225</v>
      </c>
      <c r="C144" s="739" t="s">
        <v>18541</v>
      </c>
      <c r="D144" s="739" t="s">
        <v>18843</v>
      </c>
    </row>
    <row r="145" spans="1:4" ht="15" customHeight="1">
      <c r="A145" s="739" t="s">
        <v>16476</v>
      </c>
      <c r="B145" s="741">
        <v>239</v>
      </c>
      <c r="C145" s="739" t="s">
        <v>7776</v>
      </c>
      <c r="D145" s="739" t="s">
        <v>18843</v>
      </c>
    </row>
    <row r="146" spans="1:4" ht="15" customHeight="1">
      <c r="A146" s="739" t="s">
        <v>16509</v>
      </c>
      <c r="B146" s="741">
        <v>340</v>
      </c>
      <c r="C146" s="739" t="s">
        <v>18115</v>
      </c>
      <c r="D146" s="739" t="s">
        <v>18849</v>
      </c>
    </row>
    <row r="147" spans="1:4" ht="15" customHeight="1">
      <c r="A147" s="739" t="s">
        <v>18850</v>
      </c>
      <c r="B147" s="741">
        <v>275</v>
      </c>
      <c r="C147" s="739" t="s">
        <v>18115</v>
      </c>
      <c r="D147" s="739" t="s">
        <v>18851</v>
      </c>
    </row>
    <row r="148" spans="1:4" ht="15" customHeight="1">
      <c r="A148" s="739" t="s">
        <v>18859</v>
      </c>
      <c r="B148" s="741">
        <v>235</v>
      </c>
      <c r="C148" s="739" t="s">
        <v>18541</v>
      </c>
      <c r="D148" s="739" t="s">
        <v>18319</v>
      </c>
    </row>
    <row r="149" spans="1:4" ht="15" customHeight="1">
      <c r="A149" s="739" t="s">
        <v>18859</v>
      </c>
      <c r="B149" s="741">
        <v>285</v>
      </c>
      <c r="C149" s="739" t="s">
        <v>18541</v>
      </c>
      <c r="D149" s="739" t="s">
        <v>18860</v>
      </c>
    </row>
    <row r="150" spans="1:4" ht="15" customHeight="1">
      <c r="A150" s="739" t="s">
        <v>18861</v>
      </c>
      <c r="B150" s="741">
        <v>245</v>
      </c>
      <c r="C150" s="739" t="s">
        <v>18115</v>
      </c>
      <c r="D150" s="739" t="s">
        <v>8396</v>
      </c>
    </row>
    <row r="151" spans="1:4" ht="15" customHeight="1">
      <c r="A151" s="739" t="s">
        <v>18862</v>
      </c>
      <c r="B151" s="741">
        <v>235</v>
      </c>
      <c r="C151" s="739" t="s">
        <v>18541</v>
      </c>
      <c r="D151" s="739" t="s">
        <v>8396</v>
      </c>
    </row>
    <row r="152" spans="1:4" ht="15" customHeight="1">
      <c r="A152" s="739" t="s">
        <v>18867</v>
      </c>
      <c r="B152" s="741">
        <v>40</v>
      </c>
      <c r="C152" s="741" t="s">
        <v>7776</v>
      </c>
      <c r="D152" s="739" t="s">
        <v>18868</v>
      </c>
    </row>
    <row r="153" spans="1:4" ht="15" customHeight="1">
      <c r="A153" s="739" t="s">
        <v>14451</v>
      </c>
      <c r="B153" s="739">
        <v>384</v>
      </c>
      <c r="C153" s="739" t="s">
        <v>6943</v>
      </c>
      <c r="D153" s="739" t="s">
        <v>14452</v>
      </c>
    </row>
    <row r="154" spans="1:4" ht="15" customHeight="1">
      <c r="A154" s="739" t="s">
        <v>14456</v>
      </c>
      <c r="B154" s="739">
        <v>88</v>
      </c>
      <c r="C154" s="739" t="s">
        <v>6943</v>
      </c>
      <c r="D154" s="739" t="s">
        <v>18655</v>
      </c>
    </row>
    <row r="155" spans="1:4" ht="15" customHeight="1">
      <c r="A155" s="739" t="s">
        <v>14471</v>
      </c>
      <c r="B155" s="739">
        <v>72</v>
      </c>
      <c r="C155" s="739" t="s">
        <v>18632</v>
      </c>
      <c r="D155" s="739" t="s">
        <v>18665</v>
      </c>
    </row>
    <row r="156" spans="1:4" ht="15" customHeight="1">
      <c r="A156" s="739" t="s">
        <v>18676</v>
      </c>
      <c r="B156" s="739">
        <v>74</v>
      </c>
      <c r="C156" s="739" t="s">
        <v>18123</v>
      </c>
      <c r="D156" s="739" t="s">
        <v>18677</v>
      </c>
    </row>
    <row r="157" spans="1:4" ht="15" customHeight="1">
      <c r="A157" s="739" t="s">
        <v>14508</v>
      </c>
      <c r="B157" s="739">
        <v>60</v>
      </c>
      <c r="C157" s="739" t="s">
        <v>18123</v>
      </c>
      <c r="D157" s="739" t="s">
        <v>14510</v>
      </c>
    </row>
    <row r="158" spans="1:4" ht="15" customHeight="1">
      <c r="A158" s="739" t="s">
        <v>14530</v>
      </c>
      <c r="B158" s="741">
        <v>551</v>
      </c>
      <c r="C158" s="739" t="s">
        <v>6943</v>
      </c>
      <c r="D158" s="836" t="s">
        <v>18699</v>
      </c>
    </row>
    <row r="159" spans="1:4" ht="15" customHeight="1">
      <c r="A159" s="739" t="s">
        <v>18702</v>
      </c>
      <c r="B159" s="739">
        <v>196</v>
      </c>
      <c r="C159" s="739" t="s">
        <v>18516</v>
      </c>
      <c r="D159" s="739" t="s">
        <v>18703</v>
      </c>
    </row>
    <row r="160" spans="1:4" ht="15" customHeight="1">
      <c r="A160" s="739" t="s">
        <v>18705</v>
      </c>
      <c r="B160" s="739">
        <v>588</v>
      </c>
      <c r="C160" s="739" t="s">
        <v>6943</v>
      </c>
      <c r="D160" s="739" t="s">
        <v>14544</v>
      </c>
    </row>
    <row r="161" spans="1:4" ht="15" customHeight="1">
      <c r="A161" s="739" t="s">
        <v>18709</v>
      </c>
      <c r="B161" s="739">
        <v>44</v>
      </c>
      <c r="C161" s="739" t="s">
        <v>6943</v>
      </c>
      <c r="D161" s="739" t="s">
        <v>18710</v>
      </c>
    </row>
    <row r="162" spans="1:4" ht="15" customHeight="1">
      <c r="A162" s="739" t="s">
        <v>14567</v>
      </c>
      <c r="B162" s="739">
        <v>160</v>
      </c>
      <c r="C162" s="739" t="s">
        <v>6943</v>
      </c>
      <c r="D162" s="739" t="s">
        <v>18721</v>
      </c>
    </row>
    <row r="163" spans="1:4" ht="15" customHeight="1">
      <c r="A163" s="739" t="s">
        <v>18750</v>
      </c>
      <c r="B163" s="739">
        <v>84</v>
      </c>
      <c r="C163" s="739" t="s">
        <v>18123</v>
      </c>
      <c r="D163" s="739" t="s">
        <v>18751</v>
      </c>
    </row>
    <row r="164" spans="1:4" ht="15" customHeight="1">
      <c r="A164" s="739" t="s">
        <v>18752</v>
      </c>
      <c r="B164" s="739">
        <v>60</v>
      </c>
      <c r="C164" s="739" t="s">
        <v>6943</v>
      </c>
      <c r="D164" s="739" t="s">
        <v>18753</v>
      </c>
    </row>
    <row r="165" spans="1:4" ht="15" customHeight="1">
      <c r="A165" s="739" t="s">
        <v>18761</v>
      </c>
      <c r="B165" s="739">
        <v>28</v>
      </c>
      <c r="C165" s="739" t="s">
        <v>18516</v>
      </c>
      <c r="D165" s="739" t="s">
        <v>18762</v>
      </c>
    </row>
    <row r="166" spans="1:4" ht="15" customHeight="1">
      <c r="A166" s="739" t="s">
        <v>18766</v>
      </c>
      <c r="B166" s="739">
        <v>112</v>
      </c>
      <c r="C166" s="739" t="s">
        <v>6943</v>
      </c>
      <c r="D166" s="739" t="s">
        <v>18767</v>
      </c>
    </row>
    <row r="167" spans="1:4" ht="15" customHeight="1">
      <c r="A167" s="739" t="s">
        <v>18768</v>
      </c>
      <c r="B167" s="739">
        <v>60</v>
      </c>
      <c r="C167" s="739" t="s">
        <v>18123</v>
      </c>
      <c r="D167" s="739" t="s">
        <v>18769</v>
      </c>
    </row>
    <row r="168" spans="1:4" ht="15" customHeight="1">
      <c r="A168" s="739" t="s">
        <v>18770</v>
      </c>
      <c r="B168" s="739">
        <v>44</v>
      </c>
      <c r="C168" s="739" t="s">
        <v>6943</v>
      </c>
      <c r="D168" s="739" t="s">
        <v>18771</v>
      </c>
    </row>
    <row r="169" spans="1:4" ht="15" customHeight="1">
      <c r="A169" s="739" t="s">
        <v>10889</v>
      </c>
      <c r="B169" s="739">
        <v>56</v>
      </c>
      <c r="C169" s="739" t="s">
        <v>18123</v>
      </c>
      <c r="D169" s="739" t="s">
        <v>18781</v>
      </c>
    </row>
    <row r="170" spans="1:4" ht="15" customHeight="1">
      <c r="A170" s="739" t="s">
        <v>18795</v>
      </c>
      <c r="B170" s="739">
        <v>28</v>
      </c>
      <c r="C170" s="739" t="s">
        <v>6943</v>
      </c>
      <c r="D170" s="739" t="s">
        <v>18796</v>
      </c>
    </row>
    <row r="171" spans="1:4" ht="15" customHeight="1">
      <c r="A171" s="739" t="s">
        <v>18808</v>
      </c>
      <c r="B171" s="739">
        <v>558</v>
      </c>
      <c r="C171" s="739" t="s">
        <v>6943</v>
      </c>
      <c r="D171" s="739" t="s">
        <v>18809</v>
      </c>
    </row>
    <row r="172" spans="1:4" ht="15" customHeight="1">
      <c r="A172" s="739" t="s">
        <v>18817</v>
      </c>
      <c r="B172" s="739">
        <v>51</v>
      </c>
      <c r="C172" s="739" t="s">
        <v>6943</v>
      </c>
      <c r="D172" s="739" t="s">
        <v>18818</v>
      </c>
    </row>
    <row r="173" spans="1:4" ht="15" customHeight="1">
      <c r="A173" s="739" t="s">
        <v>18821</v>
      </c>
      <c r="B173" s="739">
        <v>112</v>
      </c>
      <c r="C173" s="739" t="s">
        <v>6943</v>
      </c>
      <c r="D173" s="739" t="s">
        <v>18822</v>
      </c>
    </row>
    <row r="174" spans="1:4" ht="15" customHeight="1">
      <c r="A174" s="739" t="s">
        <v>18835</v>
      </c>
      <c r="B174" s="739">
        <v>36</v>
      </c>
      <c r="C174" s="739" t="s">
        <v>18123</v>
      </c>
      <c r="D174" s="739" t="s">
        <v>18836</v>
      </c>
    </row>
    <row r="175" spans="1:4" ht="15" customHeight="1">
      <c r="A175" s="739" t="s">
        <v>18838</v>
      </c>
      <c r="B175" s="739">
        <v>44</v>
      </c>
      <c r="C175" s="739" t="s">
        <v>18051</v>
      </c>
      <c r="D175" s="739" t="s">
        <v>18839</v>
      </c>
    </row>
    <row r="176" spans="1:4" ht="15" customHeight="1">
      <c r="A176" s="739" t="s">
        <v>18844</v>
      </c>
      <c r="B176" s="739">
        <v>88</v>
      </c>
      <c r="C176" s="739" t="s">
        <v>6943</v>
      </c>
      <c r="D176" s="739" t="s">
        <v>18845</v>
      </c>
    </row>
    <row r="177" spans="1:4" ht="15" customHeight="1">
      <c r="A177" s="739" t="s">
        <v>18852</v>
      </c>
      <c r="B177" s="739">
        <v>28</v>
      </c>
      <c r="C177" s="739" t="s">
        <v>6943</v>
      </c>
      <c r="D177" s="739" t="s">
        <v>18853</v>
      </c>
    </row>
    <row r="178" spans="1:4" ht="15" customHeight="1">
      <c r="A178" s="739" t="s">
        <v>18649</v>
      </c>
      <c r="C178" s="739" t="s">
        <v>7763</v>
      </c>
      <c r="D178" s="836" t="s">
        <v>18650</v>
      </c>
    </row>
    <row r="179" spans="1:4" ht="15" customHeight="1">
      <c r="A179" s="739" t="s">
        <v>14463</v>
      </c>
      <c r="C179" s="739" t="s">
        <v>7763</v>
      </c>
      <c r="D179" s="836" t="s">
        <v>14464</v>
      </c>
    </row>
    <row r="180" spans="1:4" ht="15" customHeight="1">
      <c r="A180" s="739" t="s">
        <v>18679</v>
      </c>
      <c r="C180" s="739" t="s">
        <v>18212</v>
      </c>
      <c r="D180" s="836" t="s">
        <v>18680</v>
      </c>
    </row>
    <row r="181" spans="1:4" ht="15" customHeight="1">
      <c r="A181" s="739" t="s">
        <v>18690</v>
      </c>
      <c r="C181" s="739" t="s">
        <v>7763</v>
      </c>
      <c r="D181" s="836" t="s">
        <v>18691</v>
      </c>
    </row>
    <row r="182" spans="1:4" ht="15" customHeight="1">
      <c r="A182" s="739" t="s">
        <v>9743</v>
      </c>
      <c r="C182" s="739" t="s">
        <v>7763</v>
      </c>
      <c r="D182" s="836" t="s">
        <v>14538</v>
      </c>
    </row>
    <row r="183" spans="1:4" ht="15" customHeight="1">
      <c r="A183" s="739" t="s">
        <v>9928</v>
      </c>
      <c r="C183" s="739" t="s">
        <v>18103</v>
      </c>
      <c r="D183" s="836" t="s">
        <v>18730</v>
      </c>
    </row>
    <row r="184" spans="1:4" ht="15" customHeight="1">
      <c r="A184" s="739" t="s">
        <v>18748</v>
      </c>
      <c r="C184" s="739" t="s">
        <v>7763</v>
      </c>
      <c r="D184" s="836" t="s">
        <v>18749</v>
      </c>
    </row>
    <row r="185" spans="1:4" ht="15" customHeight="1">
      <c r="A185" s="739" t="s">
        <v>18772</v>
      </c>
      <c r="C185" s="739" t="s">
        <v>18212</v>
      </c>
      <c r="D185" s="836" t="s">
        <v>18773</v>
      </c>
    </row>
    <row r="186" spans="1:4" ht="15" customHeight="1">
      <c r="A186" s="739" t="s">
        <v>18798</v>
      </c>
      <c r="C186" s="739" t="s">
        <v>18103</v>
      </c>
      <c r="D186" s="836" t="s">
        <v>18799</v>
      </c>
    </row>
    <row r="187" spans="1:4" ht="15" customHeight="1">
      <c r="A187" s="739" t="s">
        <v>18810</v>
      </c>
      <c r="C187" s="739" t="s">
        <v>7763</v>
      </c>
      <c r="D187" s="836" t="s">
        <v>18811</v>
      </c>
    </row>
    <row r="188" spans="1:4" ht="15" customHeight="1">
      <c r="A188" s="739" t="s">
        <v>18844</v>
      </c>
      <c r="C188" s="739" t="s">
        <v>18103</v>
      </c>
      <c r="D188" s="836" t="s">
        <v>18847</v>
      </c>
    </row>
    <row r="189" spans="1:4" ht="15" customHeight="1">
      <c r="A189" s="739" t="s">
        <v>10942</v>
      </c>
      <c r="C189" s="739" t="s">
        <v>18103</v>
      </c>
      <c r="D189" s="836" t="s">
        <v>18869</v>
      </c>
    </row>
    <row r="190" spans="1:4" ht="15" customHeight="1">
      <c r="A190" s="739" t="s">
        <v>10868</v>
      </c>
      <c r="B190" s="741">
        <v>18</v>
      </c>
      <c r="C190" s="739" t="s">
        <v>6913</v>
      </c>
      <c r="D190" s="739" t="s">
        <v>14465</v>
      </c>
    </row>
    <row r="191" spans="1:4" ht="15" customHeight="1">
      <c r="A191" s="739" t="s">
        <v>14493</v>
      </c>
      <c r="B191" s="741">
        <v>120</v>
      </c>
      <c r="C191" s="739" t="s">
        <v>18116</v>
      </c>
      <c r="D191" s="739" t="s">
        <v>18261</v>
      </c>
    </row>
    <row r="192" spans="1:4" ht="15" customHeight="1">
      <c r="A192" s="739" t="s">
        <v>14513</v>
      </c>
      <c r="B192" s="741">
        <v>18</v>
      </c>
      <c r="C192" s="739" t="s">
        <v>18687</v>
      </c>
      <c r="D192" s="739" t="s">
        <v>14465</v>
      </c>
    </row>
    <row r="193" spans="1:8" ht="15" customHeight="1">
      <c r="A193" s="739" t="s">
        <v>9928</v>
      </c>
      <c r="B193" s="741">
        <v>18</v>
      </c>
      <c r="C193" s="739" t="s">
        <v>18116</v>
      </c>
      <c r="D193" s="739" t="s">
        <v>18731</v>
      </c>
    </row>
    <row r="194" spans="1:8" ht="15" customHeight="1">
      <c r="A194" s="739" t="s">
        <v>18774</v>
      </c>
      <c r="B194" s="741">
        <v>18</v>
      </c>
      <c r="C194" s="739" t="s">
        <v>18048</v>
      </c>
      <c r="D194" s="739" t="s">
        <v>18775</v>
      </c>
    </row>
    <row r="195" spans="1:8" ht="15" customHeight="1">
      <c r="A195" s="739" t="s">
        <v>18779</v>
      </c>
      <c r="B195" s="741">
        <v>350</v>
      </c>
      <c r="C195" s="739" t="s">
        <v>18116</v>
      </c>
      <c r="D195" s="739" t="s">
        <v>18782</v>
      </c>
    </row>
    <row r="196" spans="1:8" ht="15" customHeight="1">
      <c r="A196" s="739" t="s">
        <v>18792</v>
      </c>
      <c r="B196" s="741">
        <v>110</v>
      </c>
      <c r="C196" s="739" t="s">
        <v>18687</v>
      </c>
      <c r="D196" s="739" t="s">
        <v>7126</v>
      </c>
    </row>
    <row r="197" spans="1:8" ht="15" customHeight="1">
      <c r="A197" s="739" t="s">
        <v>18812</v>
      </c>
      <c r="B197" s="741">
        <v>18</v>
      </c>
      <c r="C197" s="739" t="s">
        <v>6913</v>
      </c>
      <c r="D197" s="739" t="s">
        <v>18813</v>
      </c>
    </row>
    <row r="198" spans="1:8" ht="15" customHeight="1">
      <c r="A198" s="739" t="s">
        <v>16449</v>
      </c>
      <c r="B198" s="741">
        <v>105</v>
      </c>
      <c r="C198" s="739" t="s">
        <v>18116</v>
      </c>
      <c r="D198" s="739" t="s">
        <v>18834</v>
      </c>
    </row>
    <row r="199" spans="1:8" ht="15" customHeight="1">
      <c r="A199" s="739" t="s">
        <v>18865</v>
      </c>
      <c r="B199" s="741">
        <v>18</v>
      </c>
      <c r="C199" s="739" t="s">
        <v>6913</v>
      </c>
      <c r="D199" s="739" t="s">
        <v>18866</v>
      </c>
    </row>
    <row r="200" spans="1:8" ht="16.5">
      <c r="A200" s="739" t="s">
        <v>14467</v>
      </c>
      <c r="B200" s="739">
        <v>324</v>
      </c>
      <c r="C200" s="741" t="s">
        <v>19005</v>
      </c>
      <c r="D200" s="741" t="s">
        <v>19003</v>
      </c>
      <c r="E200" s="741"/>
      <c r="H200" s="741"/>
    </row>
    <row r="201" spans="1:8" ht="15" customHeight="1">
      <c r="A201" s="739" t="s">
        <v>18743</v>
      </c>
      <c r="B201" s="739">
        <v>1000</v>
      </c>
      <c r="D201" s="739" t="s">
        <v>18744</v>
      </c>
    </row>
  </sheetData>
  <sortState ref="A1:P3756">
    <sortCondition ref="C1:C3756"/>
  </sortState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4"/>
  <sheetViews>
    <sheetView zoomScale="75" workbookViewId="0">
      <pane ySplit="2" topLeftCell="A35" activePane="bottomLeft" state="frozen"/>
      <selection activeCell="K41" sqref="K41:K48"/>
      <selection pane="bottomLeft" activeCell="C36" sqref="C36:C38"/>
    </sheetView>
  </sheetViews>
  <sheetFormatPr defaultColWidth="9" defaultRowHeight="16.5"/>
  <cols>
    <col min="1" max="1" width="15" style="315" customWidth="1"/>
    <col min="2" max="2" width="10.25" style="315" customWidth="1"/>
    <col min="3" max="7" width="9" style="317"/>
    <col min="8" max="8" width="10.75" style="317" customWidth="1"/>
    <col min="9" max="9" width="9" style="317"/>
    <col min="10" max="10" width="3.875" style="317" customWidth="1"/>
    <col min="11" max="11" width="9" style="315"/>
    <col min="12" max="12" width="9.125" style="317" bestFit="1" customWidth="1"/>
    <col min="13" max="16384" width="9" style="317"/>
  </cols>
  <sheetData>
    <row r="1" spans="1:10">
      <c r="B1" s="316" t="s">
        <v>813</v>
      </c>
      <c r="C1" s="317">
        <f t="shared" ref="C1:I1" si="0">SUM(C3:C40)</f>
        <v>1366550</v>
      </c>
      <c r="D1" s="317">
        <f t="shared" si="0"/>
        <v>57600</v>
      </c>
      <c r="E1" s="317">
        <f t="shared" si="0"/>
        <v>12192</v>
      </c>
      <c r="F1" s="317">
        <f t="shared" si="0"/>
        <v>34854</v>
      </c>
      <c r="G1" s="317">
        <f t="shared" si="0"/>
        <v>0</v>
      </c>
      <c r="H1" s="317">
        <f t="shared" si="0"/>
        <v>1377104</v>
      </c>
      <c r="I1" s="317">
        <f t="shared" si="0"/>
        <v>1377104</v>
      </c>
    </row>
    <row r="2" spans="1:10">
      <c r="A2" s="315" t="s">
        <v>19</v>
      </c>
      <c r="B2" s="315" t="s">
        <v>20</v>
      </c>
      <c r="C2" s="315" t="s">
        <v>2919</v>
      </c>
      <c r="D2" s="315" t="s">
        <v>2920</v>
      </c>
      <c r="E2" s="315" t="s">
        <v>22</v>
      </c>
      <c r="F2" s="315" t="s">
        <v>23</v>
      </c>
      <c r="G2" s="315" t="s">
        <v>25</v>
      </c>
      <c r="H2" s="315" t="s">
        <v>1214</v>
      </c>
      <c r="I2" s="315"/>
      <c r="J2" s="315"/>
    </row>
    <row r="3" spans="1:10">
      <c r="A3" s="318" t="s">
        <v>4979</v>
      </c>
      <c r="B3" s="315" t="s">
        <v>21</v>
      </c>
      <c r="C3" s="319">
        <v>62600</v>
      </c>
      <c r="D3" s="319">
        <v>2400</v>
      </c>
      <c r="E3" s="319">
        <v>834</v>
      </c>
      <c r="F3" s="319">
        <v>2840</v>
      </c>
      <c r="G3" s="319"/>
      <c r="H3" s="319">
        <f t="shared" ref="H3:H40" si="1">C3+D3-E3-F3-G3</f>
        <v>61326</v>
      </c>
      <c r="I3" s="319"/>
      <c r="J3" s="319"/>
    </row>
    <row r="4" spans="1:10">
      <c r="A4" s="318"/>
      <c r="B4" s="315" t="s">
        <v>24</v>
      </c>
      <c r="C4" s="319">
        <v>0</v>
      </c>
      <c r="D4" s="319"/>
      <c r="E4" s="319"/>
      <c r="F4" s="319"/>
      <c r="G4" s="319"/>
      <c r="H4" s="319">
        <f t="shared" si="1"/>
        <v>0</v>
      </c>
      <c r="I4" s="319"/>
      <c r="J4" s="319"/>
    </row>
    <row r="5" spans="1:10">
      <c r="A5" s="318"/>
      <c r="B5" s="315" t="s">
        <v>4497</v>
      </c>
      <c r="C5" s="319">
        <v>25000</v>
      </c>
      <c r="D5" s="319">
        <v>2400</v>
      </c>
      <c r="E5" s="319">
        <v>182</v>
      </c>
      <c r="F5" s="319">
        <v>0</v>
      </c>
      <c r="G5" s="319"/>
      <c r="H5" s="319">
        <f t="shared" si="1"/>
        <v>27218</v>
      </c>
      <c r="I5" s="319">
        <f>SUM(H3:H5)</f>
        <v>88544</v>
      </c>
      <c r="J5" s="319"/>
    </row>
    <row r="6" spans="1:10">
      <c r="A6" s="318" t="s">
        <v>4980</v>
      </c>
      <c r="B6" s="315" t="s">
        <v>21</v>
      </c>
      <c r="C6" s="319">
        <v>62600</v>
      </c>
      <c r="D6" s="319">
        <v>2400</v>
      </c>
      <c r="E6" s="319">
        <v>834</v>
      </c>
      <c r="F6" s="319">
        <v>2840</v>
      </c>
      <c r="G6" s="319"/>
      <c r="H6" s="319">
        <f t="shared" si="1"/>
        <v>61326</v>
      </c>
      <c r="I6" s="319"/>
      <c r="J6" s="319"/>
    </row>
    <row r="7" spans="1:10">
      <c r="A7" s="318"/>
      <c r="B7" s="315" t="s">
        <v>24</v>
      </c>
      <c r="C7" s="319">
        <v>0</v>
      </c>
      <c r="D7" s="319"/>
      <c r="E7" s="319"/>
      <c r="F7" s="319"/>
      <c r="G7" s="319"/>
      <c r="H7" s="319">
        <f t="shared" si="1"/>
        <v>0</v>
      </c>
      <c r="I7" s="319"/>
      <c r="J7" s="319"/>
    </row>
    <row r="8" spans="1:10">
      <c r="A8" s="318"/>
      <c r="B8" s="315" t="s">
        <v>4497</v>
      </c>
      <c r="C8" s="319">
        <v>25000</v>
      </c>
      <c r="D8" s="319">
        <v>2400</v>
      </c>
      <c r="E8" s="319">
        <v>182</v>
      </c>
      <c r="F8" s="319">
        <v>0</v>
      </c>
      <c r="G8" s="319"/>
      <c r="H8" s="319">
        <f t="shared" si="1"/>
        <v>27218</v>
      </c>
      <c r="I8" s="319">
        <f>SUM(H6:H8)</f>
        <v>88544</v>
      </c>
      <c r="J8" s="319"/>
    </row>
    <row r="9" spans="1:10">
      <c r="A9" s="318" t="s">
        <v>4981</v>
      </c>
      <c r="B9" s="315" t="s">
        <v>21</v>
      </c>
      <c r="C9" s="319">
        <v>62600</v>
      </c>
      <c r="D9" s="319">
        <v>2400</v>
      </c>
      <c r="E9" s="319">
        <v>834</v>
      </c>
      <c r="F9" s="319">
        <v>2840</v>
      </c>
      <c r="G9" s="319"/>
      <c r="H9" s="319">
        <f t="shared" si="1"/>
        <v>61326</v>
      </c>
      <c r="I9" s="319"/>
      <c r="J9" s="319"/>
    </row>
    <row r="10" spans="1:10">
      <c r="A10" s="318"/>
      <c r="B10" s="315" t="s">
        <v>24</v>
      </c>
      <c r="C10" s="319">
        <v>30800</v>
      </c>
      <c r="D10" s="319"/>
      <c r="E10" s="319"/>
      <c r="F10" s="319"/>
      <c r="G10" s="319"/>
      <c r="H10" s="319">
        <f t="shared" si="1"/>
        <v>30800</v>
      </c>
      <c r="I10" s="319"/>
      <c r="J10" s="319"/>
    </row>
    <row r="11" spans="1:10">
      <c r="A11" s="318"/>
      <c r="B11" s="315" t="s">
        <v>4497</v>
      </c>
      <c r="C11" s="319">
        <v>25000</v>
      </c>
      <c r="D11" s="319">
        <v>2400</v>
      </c>
      <c r="E11" s="319">
        <v>182</v>
      </c>
      <c r="F11" s="319">
        <v>0</v>
      </c>
      <c r="G11" s="319"/>
      <c r="H11" s="319">
        <f t="shared" si="1"/>
        <v>27218</v>
      </c>
      <c r="I11" s="319">
        <f>SUM(H9:H11)</f>
        <v>119344</v>
      </c>
      <c r="J11" s="319"/>
    </row>
    <row r="12" spans="1:10">
      <c r="A12" s="318" t="s">
        <v>4982</v>
      </c>
      <c r="B12" s="315" t="s">
        <v>21</v>
      </c>
      <c r="C12" s="319">
        <v>62600</v>
      </c>
      <c r="D12" s="319">
        <v>2400</v>
      </c>
      <c r="E12" s="319">
        <v>834</v>
      </c>
      <c r="F12" s="319">
        <v>2712</v>
      </c>
      <c r="G12" s="319"/>
      <c r="H12" s="319">
        <f t="shared" si="1"/>
        <v>61454</v>
      </c>
      <c r="I12" s="319"/>
      <c r="J12" s="319"/>
    </row>
    <row r="13" spans="1:10">
      <c r="A13" s="318"/>
      <c r="B13" s="315" t="s">
        <v>24</v>
      </c>
      <c r="C13" s="319">
        <v>80250</v>
      </c>
      <c r="D13" s="319"/>
      <c r="E13" s="319"/>
      <c r="F13" s="319"/>
      <c r="G13" s="319"/>
      <c r="H13" s="319">
        <f t="shared" si="1"/>
        <v>80250</v>
      </c>
      <c r="I13" s="319"/>
      <c r="J13" s="319"/>
    </row>
    <row r="14" spans="1:10">
      <c r="A14" s="318"/>
      <c r="B14" s="315" t="s">
        <v>4497</v>
      </c>
      <c r="C14" s="319">
        <v>25000</v>
      </c>
      <c r="D14" s="319">
        <v>2400</v>
      </c>
      <c r="E14" s="319">
        <v>182</v>
      </c>
      <c r="F14" s="319">
        <v>0</v>
      </c>
      <c r="G14" s="319"/>
      <c r="H14" s="319">
        <f t="shared" si="1"/>
        <v>27218</v>
      </c>
      <c r="I14" s="319">
        <f>SUM(H12:H14)</f>
        <v>168922</v>
      </c>
      <c r="J14" s="319"/>
    </row>
    <row r="15" spans="1:10">
      <c r="A15" s="318" t="s">
        <v>4983</v>
      </c>
      <c r="B15" s="315" t="s">
        <v>21</v>
      </c>
      <c r="C15" s="319">
        <v>62600</v>
      </c>
      <c r="D15" s="319">
        <v>2400</v>
      </c>
      <c r="E15" s="319">
        <v>834</v>
      </c>
      <c r="F15" s="319">
        <v>2712</v>
      </c>
      <c r="G15" s="319"/>
      <c r="H15" s="319">
        <f t="shared" si="1"/>
        <v>61454</v>
      </c>
      <c r="I15" s="319"/>
      <c r="J15" s="319"/>
    </row>
    <row r="16" spans="1:10">
      <c r="A16" s="318"/>
      <c r="B16" s="315" t="s">
        <v>24</v>
      </c>
      <c r="C16" s="319">
        <v>33000</v>
      </c>
      <c r="D16" s="319"/>
      <c r="E16" s="319"/>
      <c r="F16" s="319"/>
      <c r="G16" s="319"/>
      <c r="H16" s="319">
        <f t="shared" si="1"/>
        <v>33000</v>
      </c>
      <c r="I16" s="319"/>
      <c r="J16" s="319"/>
    </row>
    <row r="17" spans="1:10">
      <c r="A17" s="318"/>
      <c r="B17" s="315" t="s">
        <v>4497</v>
      </c>
      <c r="C17" s="319">
        <v>25000</v>
      </c>
      <c r="D17" s="319">
        <v>2400</v>
      </c>
      <c r="E17" s="319">
        <v>182</v>
      </c>
      <c r="F17" s="319">
        <v>0</v>
      </c>
      <c r="G17" s="319"/>
      <c r="H17" s="319">
        <f t="shared" si="1"/>
        <v>27218</v>
      </c>
      <c r="I17" s="319">
        <f>SUM(H15:H17)</f>
        <v>121672</v>
      </c>
      <c r="J17" s="319"/>
    </row>
    <row r="18" spans="1:10">
      <c r="A18" s="318" t="s">
        <v>4984</v>
      </c>
      <c r="B18" s="315" t="s">
        <v>21</v>
      </c>
      <c r="C18" s="319">
        <v>62600</v>
      </c>
      <c r="D18" s="319">
        <v>2400</v>
      </c>
      <c r="E18" s="319">
        <v>834</v>
      </c>
      <c r="F18" s="319">
        <v>2712</v>
      </c>
      <c r="G18" s="319"/>
      <c r="H18" s="319">
        <f t="shared" si="1"/>
        <v>61454</v>
      </c>
      <c r="I18" s="319"/>
      <c r="J18" s="319"/>
    </row>
    <row r="19" spans="1:10">
      <c r="A19" s="318"/>
      <c r="B19" s="315" t="s">
        <v>24</v>
      </c>
      <c r="C19" s="319">
        <v>18000</v>
      </c>
      <c r="D19" s="319"/>
      <c r="E19" s="319"/>
      <c r="F19" s="319"/>
      <c r="G19" s="319"/>
      <c r="H19" s="319">
        <f t="shared" si="1"/>
        <v>18000</v>
      </c>
      <c r="I19" s="319"/>
      <c r="J19" s="319"/>
    </row>
    <row r="20" spans="1:10">
      <c r="A20" s="318"/>
      <c r="B20" s="315" t="s">
        <v>4497</v>
      </c>
      <c r="C20" s="319">
        <v>25000</v>
      </c>
      <c r="D20" s="319">
        <v>2400</v>
      </c>
      <c r="E20" s="319">
        <v>182</v>
      </c>
      <c r="F20" s="319">
        <v>0</v>
      </c>
      <c r="G20" s="319"/>
      <c r="H20" s="319">
        <f t="shared" si="1"/>
        <v>27218</v>
      </c>
      <c r="I20" s="319">
        <f>SUM(H18:H20)</f>
        <v>106672</v>
      </c>
      <c r="J20" s="319"/>
    </row>
    <row r="21" spans="1:10">
      <c r="A21" s="318" t="s">
        <v>4985</v>
      </c>
      <c r="B21" s="315" t="s">
        <v>21</v>
      </c>
      <c r="C21" s="319">
        <v>62600</v>
      </c>
      <c r="D21" s="319">
        <v>2400</v>
      </c>
      <c r="E21" s="319">
        <v>834</v>
      </c>
      <c r="F21" s="319">
        <v>2712</v>
      </c>
      <c r="G21" s="319"/>
      <c r="H21" s="319">
        <f t="shared" si="1"/>
        <v>61454</v>
      </c>
      <c r="I21" s="319"/>
      <c r="J21" s="319"/>
    </row>
    <row r="22" spans="1:10">
      <c r="A22" s="318"/>
      <c r="B22" s="315" t="s">
        <v>24</v>
      </c>
      <c r="C22" s="319">
        <v>26000</v>
      </c>
      <c r="D22" s="319"/>
      <c r="E22" s="319"/>
      <c r="F22" s="319"/>
      <c r="G22" s="319"/>
      <c r="H22" s="319">
        <f t="shared" si="1"/>
        <v>26000</v>
      </c>
      <c r="I22" s="319"/>
      <c r="J22" s="319"/>
    </row>
    <row r="23" spans="1:10">
      <c r="A23" s="318"/>
      <c r="B23" s="315" t="s">
        <v>4497</v>
      </c>
      <c r="C23" s="319">
        <v>25000</v>
      </c>
      <c r="D23" s="319">
        <v>2400</v>
      </c>
      <c r="E23" s="319">
        <v>182</v>
      </c>
      <c r="F23" s="319">
        <v>321</v>
      </c>
      <c r="G23" s="319"/>
      <c r="H23" s="319">
        <f t="shared" si="1"/>
        <v>26897</v>
      </c>
      <c r="I23" s="319">
        <f>SUM(H21:H23)</f>
        <v>114351</v>
      </c>
      <c r="J23" s="319"/>
    </row>
    <row r="24" spans="1:10">
      <c r="A24" s="318" t="s">
        <v>4986</v>
      </c>
      <c r="B24" s="315" t="s">
        <v>21</v>
      </c>
      <c r="C24" s="319">
        <v>62600</v>
      </c>
      <c r="D24" s="319">
        <v>2400</v>
      </c>
      <c r="E24" s="319">
        <v>834</v>
      </c>
      <c r="F24" s="319">
        <v>2712</v>
      </c>
      <c r="G24" s="319"/>
      <c r="H24" s="319">
        <f t="shared" si="1"/>
        <v>61454</v>
      </c>
      <c r="I24" s="319"/>
      <c r="J24" s="319"/>
    </row>
    <row r="25" spans="1:10">
      <c r="A25" s="318"/>
      <c r="B25" s="315" t="s">
        <v>24</v>
      </c>
      <c r="C25" s="319">
        <v>37500</v>
      </c>
      <c r="D25" s="319"/>
      <c r="E25" s="319"/>
      <c r="F25" s="319"/>
      <c r="G25" s="319"/>
      <c r="H25" s="319">
        <f t="shared" si="1"/>
        <v>37500</v>
      </c>
      <c r="I25" s="319"/>
      <c r="J25" s="319"/>
    </row>
    <row r="26" spans="1:10">
      <c r="A26" s="318"/>
      <c r="B26" s="315" t="s">
        <v>4497</v>
      </c>
      <c r="C26" s="319">
        <v>25000</v>
      </c>
      <c r="D26" s="319">
        <v>2400</v>
      </c>
      <c r="E26" s="319">
        <v>182</v>
      </c>
      <c r="F26" s="319">
        <v>321</v>
      </c>
      <c r="G26" s="319"/>
      <c r="H26" s="319">
        <f t="shared" si="1"/>
        <v>26897</v>
      </c>
      <c r="I26" s="319">
        <f>SUM(H24:H26)</f>
        <v>125851</v>
      </c>
      <c r="J26" s="319"/>
    </row>
    <row r="27" spans="1:10">
      <c r="A27" s="318" t="s">
        <v>4987</v>
      </c>
      <c r="B27" s="315" t="s">
        <v>21</v>
      </c>
      <c r="C27" s="319">
        <v>62600</v>
      </c>
      <c r="D27" s="319">
        <v>2400</v>
      </c>
      <c r="E27" s="319">
        <v>834</v>
      </c>
      <c r="F27" s="319">
        <v>2712</v>
      </c>
      <c r="G27" s="319"/>
      <c r="H27" s="319">
        <f t="shared" si="1"/>
        <v>61454</v>
      </c>
      <c r="I27" s="319"/>
      <c r="J27" s="319"/>
    </row>
    <row r="28" spans="1:10">
      <c r="A28" s="318"/>
      <c r="B28" s="315" t="s">
        <v>24</v>
      </c>
      <c r="C28" s="319">
        <v>12800</v>
      </c>
      <c r="D28" s="319"/>
      <c r="E28" s="319"/>
      <c r="F28" s="319"/>
      <c r="G28" s="319"/>
      <c r="H28" s="319">
        <f t="shared" si="1"/>
        <v>12800</v>
      </c>
      <c r="I28" s="319"/>
      <c r="J28" s="319"/>
    </row>
    <row r="29" spans="1:10">
      <c r="A29" s="318"/>
      <c r="B29" s="315" t="s">
        <v>4988</v>
      </c>
      <c r="C29" s="319">
        <v>25000</v>
      </c>
      <c r="D29" s="319">
        <v>2400</v>
      </c>
      <c r="E29" s="319">
        <v>182</v>
      </c>
      <c r="F29" s="319">
        <v>321</v>
      </c>
      <c r="G29" s="319"/>
      <c r="H29" s="319">
        <f t="shared" si="1"/>
        <v>26897</v>
      </c>
      <c r="I29" s="319">
        <f>SUM(H27:H29)</f>
        <v>101151</v>
      </c>
      <c r="J29" s="319"/>
    </row>
    <row r="30" spans="1:10">
      <c r="A30" s="318" t="s">
        <v>4989</v>
      </c>
      <c r="B30" s="315" t="s">
        <v>21</v>
      </c>
      <c r="C30" s="319">
        <v>62600</v>
      </c>
      <c r="D30" s="319">
        <v>2400</v>
      </c>
      <c r="E30" s="319">
        <v>834</v>
      </c>
      <c r="F30" s="319">
        <v>2712</v>
      </c>
      <c r="G30" s="319"/>
      <c r="H30" s="319">
        <f t="shared" si="1"/>
        <v>61454</v>
      </c>
      <c r="I30" s="319"/>
      <c r="J30" s="319"/>
    </row>
    <row r="31" spans="1:10">
      <c r="A31" s="318"/>
      <c r="B31" s="315" t="s">
        <v>24</v>
      </c>
      <c r="C31" s="319">
        <v>15000</v>
      </c>
      <c r="D31" s="319"/>
      <c r="E31" s="319"/>
      <c r="F31" s="319"/>
      <c r="G31" s="319"/>
      <c r="H31" s="319">
        <f t="shared" si="1"/>
        <v>15000</v>
      </c>
      <c r="I31" s="319"/>
      <c r="J31" s="319"/>
    </row>
    <row r="32" spans="1:10">
      <c r="A32" s="318"/>
      <c r="B32" s="315" t="s">
        <v>4988</v>
      </c>
      <c r="C32" s="319">
        <v>25000</v>
      </c>
      <c r="D32" s="319">
        <v>2400</v>
      </c>
      <c r="E32" s="319">
        <v>182</v>
      </c>
      <c r="F32" s="319">
        <v>321</v>
      </c>
      <c r="G32" s="319"/>
      <c r="H32" s="319">
        <f t="shared" si="1"/>
        <v>26897</v>
      </c>
      <c r="I32" s="319">
        <f>SUM(H30:H32)</f>
        <v>103351</v>
      </c>
      <c r="J32" s="319"/>
    </row>
    <row r="33" spans="1:11">
      <c r="A33" s="318" t="s">
        <v>4990</v>
      </c>
      <c r="B33" s="315" t="s">
        <v>21</v>
      </c>
      <c r="C33" s="319">
        <v>62600</v>
      </c>
      <c r="D33" s="319">
        <v>2400</v>
      </c>
      <c r="E33" s="319">
        <v>834</v>
      </c>
      <c r="F33" s="319">
        <v>2712</v>
      </c>
      <c r="G33" s="319"/>
      <c r="H33" s="319">
        <f t="shared" si="1"/>
        <v>61454</v>
      </c>
      <c r="I33" s="319"/>
      <c r="J33" s="319"/>
    </row>
    <row r="34" spans="1:11">
      <c r="A34" s="318"/>
      <c r="B34" s="315" t="s">
        <v>24</v>
      </c>
      <c r="C34" s="319">
        <v>14000</v>
      </c>
      <c r="D34" s="319"/>
      <c r="E34" s="319"/>
      <c r="F34" s="319"/>
      <c r="G34" s="319"/>
      <c r="H34" s="319">
        <f t="shared" si="1"/>
        <v>14000</v>
      </c>
      <c r="I34" s="319"/>
      <c r="J34" s="319"/>
    </row>
    <row r="35" spans="1:11">
      <c r="A35" s="318"/>
      <c r="B35" s="315" t="s">
        <v>4988</v>
      </c>
      <c r="C35" s="319">
        <v>25000</v>
      </c>
      <c r="D35" s="319">
        <v>2400</v>
      </c>
      <c r="E35" s="319">
        <v>182</v>
      </c>
      <c r="F35" s="319">
        <v>321</v>
      </c>
      <c r="G35" s="319"/>
      <c r="H35" s="319">
        <f t="shared" si="1"/>
        <v>26897</v>
      </c>
      <c r="I35" s="319">
        <f>SUM(H33:H35)</f>
        <v>102351</v>
      </c>
      <c r="J35" s="319"/>
    </row>
    <row r="36" spans="1:11">
      <c r="A36" s="318" t="s">
        <v>4991</v>
      </c>
      <c r="B36" s="315" t="s">
        <v>21</v>
      </c>
      <c r="C36" s="319">
        <v>62600</v>
      </c>
      <c r="D36" s="319">
        <v>2400</v>
      </c>
      <c r="E36" s="319">
        <v>834</v>
      </c>
      <c r="F36" s="319">
        <v>2712</v>
      </c>
      <c r="G36" s="319"/>
      <c r="H36" s="319">
        <f t="shared" si="1"/>
        <v>61454</v>
      </c>
    </row>
    <row r="37" spans="1:11">
      <c r="A37" s="318"/>
      <c r="B37" s="315" t="s">
        <v>24</v>
      </c>
      <c r="C37" s="320">
        <v>18000</v>
      </c>
      <c r="D37" s="319"/>
      <c r="E37" s="319"/>
      <c r="F37" s="319"/>
      <c r="G37" s="319"/>
      <c r="H37" s="319">
        <f t="shared" si="1"/>
        <v>18000</v>
      </c>
    </row>
    <row r="38" spans="1:11">
      <c r="A38" s="318"/>
      <c r="B38" s="315" t="s">
        <v>4988</v>
      </c>
      <c r="C38" s="319">
        <v>25000</v>
      </c>
      <c r="D38" s="319">
        <v>2400</v>
      </c>
      <c r="E38" s="319">
        <v>182</v>
      </c>
      <c r="F38" s="319">
        <v>321</v>
      </c>
      <c r="G38" s="319"/>
      <c r="H38" s="319">
        <f t="shared" si="1"/>
        <v>26897</v>
      </c>
      <c r="I38" s="317">
        <f>SUM(H36:H38)</f>
        <v>106351</v>
      </c>
    </row>
    <row r="39" spans="1:11">
      <c r="A39" s="315" t="s">
        <v>4992</v>
      </c>
      <c r="B39" s="315" t="s">
        <v>21</v>
      </c>
      <c r="C39" s="319">
        <v>30000</v>
      </c>
      <c r="D39" s="319"/>
      <c r="E39" s="319"/>
      <c r="F39" s="319"/>
      <c r="G39" s="319"/>
      <c r="H39" s="319">
        <f t="shared" si="1"/>
        <v>30000</v>
      </c>
      <c r="I39" s="317">
        <f>SUM(H39:H39)</f>
        <v>30000</v>
      </c>
    </row>
    <row r="40" spans="1:11">
      <c r="A40" s="315" t="s">
        <v>4992</v>
      </c>
      <c r="B40" s="315" t="s">
        <v>4988</v>
      </c>
      <c r="C40" s="319"/>
      <c r="D40" s="319"/>
      <c r="E40" s="319"/>
      <c r="F40" s="319"/>
      <c r="G40" s="319"/>
      <c r="H40" s="319">
        <f t="shared" si="1"/>
        <v>0</v>
      </c>
      <c r="I40" s="317">
        <f>SUM(H40:H40)</f>
        <v>0</v>
      </c>
    </row>
    <row r="41" spans="1:11" s="321" customFormat="1">
      <c r="A41" s="321" t="s">
        <v>4993</v>
      </c>
      <c r="C41" s="321">
        <f t="shared" ref="C41:H41" si="2">SUM(C42:C44)</f>
        <v>1366550</v>
      </c>
      <c r="D41" s="321">
        <f t="shared" si="2"/>
        <v>57600</v>
      </c>
      <c r="E41" s="321">
        <f t="shared" si="2"/>
        <v>12192</v>
      </c>
      <c r="F41" s="321">
        <f t="shared" si="2"/>
        <v>34854</v>
      </c>
      <c r="G41" s="321">
        <f t="shared" si="2"/>
        <v>0</v>
      </c>
      <c r="H41" s="321">
        <f t="shared" si="2"/>
        <v>1377104</v>
      </c>
    </row>
    <row r="42" spans="1:11">
      <c r="A42" s="318" t="s">
        <v>4994</v>
      </c>
      <c r="B42" s="315" t="s">
        <v>21</v>
      </c>
      <c r="C42" s="319">
        <f>C3+C6+C9+C12+C15+C18+C21+C24+C27+C30+C33+C36+C39</f>
        <v>781200</v>
      </c>
      <c r="D42" s="319">
        <f t="shared" ref="D42:F43" si="3">D3+D6+D9+D12+D15+D18+D21+D24+D27+D30+D33+D36</f>
        <v>28800</v>
      </c>
      <c r="E42" s="319">
        <f t="shared" si="3"/>
        <v>10008</v>
      </c>
      <c r="F42" s="319">
        <f t="shared" si="3"/>
        <v>32928</v>
      </c>
      <c r="G42" s="319"/>
      <c r="H42" s="319">
        <f>C42+D42-E42-F42-G42</f>
        <v>767064</v>
      </c>
    </row>
    <row r="43" spans="1:11">
      <c r="A43" s="318" t="s">
        <v>4994</v>
      </c>
      <c r="B43" s="315" t="s">
        <v>24</v>
      </c>
      <c r="C43" s="319">
        <f>C4+C7+C10+C13+C16+C19+C22+C25+C28+C31+C34+C37</f>
        <v>285350</v>
      </c>
      <c r="D43" s="319">
        <f t="shared" si="3"/>
        <v>0</v>
      </c>
      <c r="E43" s="319">
        <f t="shared" si="3"/>
        <v>0</v>
      </c>
      <c r="F43" s="319">
        <f t="shared" si="3"/>
        <v>0</v>
      </c>
      <c r="G43" s="319"/>
      <c r="H43" s="319">
        <f>C43+D43-E43-F43-G43</f>
        <v>285350</v>
      </c>
    </row>
    <row r="44" spans="1:11">
      <c r="A44" s="318" t="s">
        <v>4994</v>
      </c>
      <c r="B44" s="315" t="s">
        <v>4988</v>
      </c>
      <c r="C44" s="319">
        <f>C5+C8+C11+C14+C17+C20+C23+C26+C29+C32+C35+C38+C40</f>
        <v>300000</v>
      </c>
      <c r="D44" s="319">
        <f>D5+D8+D11+D14+D17++D20+D23+D26+D29+D32+D35+D38</f>
        <v>28800</v>
      </c>
      <c r="E44" s="319">
        <f>E5+E8+E11+E14+E17+E20+E23+E26+E29+E32+E35+E38</f>
        <v>2184</v>
      </c>
      <c r="F44" s="319">
        <f>F5+F8+F11+F14+F17+F20+F23+F26+F29+F32+F35+F38</f>
        <v>1926</v>
      </c>
      <c r="G44" s="319"/>
      <c r="H44" s="319">
        <f>C44+D44-E44-F44-G44</f>
        <v>324690</v>
      </c>
    </row>
    <row r="45" spans="1:11" s="322" customFormat="1">
      <c r="A45" s="322" t="s">
        <v>4995</v>
      </c>
      <c r="C45" s="322">
        <f>SUM(C46:C46)</f>
        <v>648000</v>
      </c>
    </row>
    <row r="46" spans="1:11">
      <c r="A46" s="315" t="s">
        <v>4996</v>
      </c>
      <c r="B46" s="315" t="s">
        <v>263</v>
      </c>
      <c r="C46" s="607">
        <f>54000*12</f>
        <v>648000</v>
      </c>
      <c r="D46" s="319"/>
      <c r="E46" s="319"/>
      <c r="F46" s="319"/>
      <c r="G46" s="319"/>
      <c r="H46" s="319">
        <f>C46+D46-E46-F46-G46</f>
        <v>648000</v>
      </c>
      <c r="K46" s="315">
        <f>54*12</f>
        <v>648</v>
      </c>
    </row>
    <row r="47" spans="1:11" s="322" customFormat="1">
      <c r="A47" s="322" t="s">
        <v>4997</v>
      </c>
      <c r="C47" s="322">
        <f>SUM(C48:C52)</f>
        <v>49900</v>
      </c>
    </row>
    <row r="48" spans="1:11">
      <c r="A48" s="318" t="s">
        <v>4499</v>
      </c>
      <c r="B48" s="315" t="s">
        <v>21</v>
      </c>
      <c r="C48" s="319">
        <v>63200</v>
      </c>
      <c r="D48" s="319"/>
      <c r="E48" s="319"/>
      <c r="F48" s="319"/>
      <c r="G48" s="319"/>
      <c r="H48" s="319">
        <f>C48+D48-E48-F48-G48</f>
        <v>63200</v>
      </c>
    </row>
    <row r="49" spans="1:11">
      <c r="A49" s="318" t="s">
        <v>4499</v>
      </c>
      <c r="B49" s="315" t="s">
        <v>24</v>
      </c>
      <c r="C49" s="319">
        <v>36000</v>
      </c>
      <c r="D49" s="319"/>
      <c r="E49" s="319"/>
      <c r="F49" s="319"/>
      <c r="G49" s="319"/>
      <c r="H49" s="319">
        <f>C49+D49-E49-F49-G49</f>
        <v>36000</v>
      </c>
    </row>
    <row r="50" spans="1:11">
      <c r="A50" s="318" t="s">
        <v>4499</v>
      </c>
      <c r="B50" s="315" t="s">
        <v>4497</v>
      </c>
      <c r="C50" s="319">
        <v>23700</v>
      </c>
      <c r="D50" s="319"/>
      <c r="E50" s="319"/>
      <c r="F50" s="319"/>
      <c r="G50" s="319"/>
      <c r="H50" s="319">
        <f>C50+D50-E50-F50-G50</f>
        <v>23700</v>
      </c>
    </row>
    <row r="51" spans="1:11">
      <c r="A51" s="318" t="s">
        <v>4499</v>
      </c>
      <c r="B51" s="315" t="s">
        <v>263</v>
      </c>
      <c r="C51" s="607">
        <f>59200</f>
        <v>59200</v>
      </c>
      <c r="D51" s="319"/>
      <c r="E51" s="319"/>
      <c r="F51" s="319"/>
      <c r="G51" s="319"/>
      <c r="H51" s="319">
        <f>C51+D51-E51-F51-G51</f>
        <v>59200</v>
      </c>
    </row>
    <row r="52" spans="1:11">
      <c r="A52" s="318" t="s">
        <v>4998</v>
      </c>
      <c r="B52" s="315" t="s">
        <v>4498</v>
      </c>
      <c r="C52" s="607">
        <v>-132200</v>
      </c>
      <c r="D52" s="319"/>
      <c r="E52" s="319"/>
      <c r="F52" s="319"/>
      <c r="G52" s="319"/>
      <c r="H52" s="319"/>
    </row>
    <row r="53" spans="1:11" s="323" customFormat="1">
      <c r="A53" s="323" t="s">
        <v>4999</v>
      </c>
      <c r="C53" s="608">
        <f>SUM(C54:C58)</f>
        <v>-57400</v>
      </c>
    </row>
    <row r="54" spans="1:11">
      <c r="A54" s="318" t="s">
        <v>5000</v>
      </c>
      <c r="B54" s="315" t="s">
        <v>21</v>
      </c>
      <c r="C54" s="319">
        <f>-62600-30000</f>
        <v>-92600</v>
      </c>
      <c r="D54" s="319"/>
      <c r="E54" s="319"/>
      <c r="F54" s="319"/>
      <c r="G54" s="319"/>
      <c r="H54" s="319">
        <f>C54+D54-E54-F54-G54</f>
        <v>-92600</v>
      </c>
    </row>
    <row r="55" spans="1:11">
      <c r="A55" s="318" t="s">
        <v>5000</v>
      </c>
      <c r="B55" s="315" t="s">
        <v>24</v>
      </c>
      <c r="C55" s="319">
        <v>-18000</v>
      </c>
      <c r="D55" s="319"/>
      <c r="E55" s="319"/>
      <c r="F55" s="319"/>
      <c r="G55" s="319"/>
      <c r="H55" s="319">
        <f>C55+D55-E55-F55-G55</f>
        <v>-18000</v>
      </c>
    </row>
    <row r="56" spans="1:11">
      <c r="A56" s="318" t="s">
        <v>5000</v>
      </c>
      <c r="B56" s="315" t="s">
        <v>4497</v>
      </c>
      <c r="C56" s="319">
        <v>-25000</v>
      </c>
      <c r="D56" s="319"/>
      <c r="E56" s="319"/>
      <c r="F56" s="319"/>
      <c r="G56" s="319"/>
      <c r="H56" s="319">
        <f>C56+D56-E56-F56-G56</f>
        <v>-25000</v>
      </c>
    </row>
    <row r="57" spans="1:11">
      <c r="A57" s="318" t="s">
        <v>5000</v>
      </c>
      <c r="B57" s="315" t="s">
        <v>263</v>
      </c>
      <c r="C57" s="607">
        <v>-54000</v>
      </c>
      <c r="D57" s="319"/>
      <c r="E57" s="319"/>
      <c r="F57" s="319"/>
      <c r="G57" s="319"/>
      <c r="H57" s="319">
        <f>C57+D57-E57-F57-G57</f>
        <v>-54000</v>
      </c>
    </row>
    <row r="58" spans="1:11">
      <c r="A58" s="318" t="s">
        <v>5001</v>
      </c>
      <c r="B58" s="315" t="s">
        <v>4498</v>
      </c>
      <c r="C58" s="607">
        <v>132200</v>
      </c>
      <c r="D58" s="320"/>
      <c r="E58" s="319"/>
      <c r="F58" s="319"/>
      <c r="G58" s="319"/>
      <c r="H58" s="319">
        <f>C58+D58-E58-F58-G58</f>
        <v>132200</v>
      </c>
    </row>
    <row r="59" spans="1:11" s="323" customFormat="1">
      <c r="A59" s="323" t="s">
        <v>5002</v>
      </c>
      <c r="C59" s="323">
        <f>SUM(C60)</f>
        <v>0</v>
      </c>
    </row>
    <row r="60" spans="1:11">
      <c r="A60" s="315" t="s">
        <v>5003</v>
      </c>
      <c r="B60" s="315" t="s">
        <v>21</v>
      </c>
      <c r="C60" s="607">
        <v>0</v>
      </c>
      <c r="D60" s="319"/>
      <c r="E60" s="319"/>
      <c r="F60" s="319"/>
      <c r="G60" s="319"/>
      <c r="H60" s="319">
        <f>C60+D60-E60-F60-G60</f>
        <v>0</v>
      </c>
    </row>
    <row r="61" spans="1:11" s="324" customFormat="1">
      <c r="A61" s="324" t="s">
        <v>5004</v>
      </c>
      <c r="C61" s="324">
        <f>C41+C47+C45+C53+C59</f>
        <v>2007050</v>
      </c>
      <c r="D61" s="325"/>
      <c r="E61" s="325"/>
    </row>
    <row r="62" spans="1:11">
      <c r="A62" s="318"/>
      <c r="B62" s="315" t="s">
        <v>21</v>
      </c>
      <c r="C62" s="319">
        <f>C42+C48+C54+C60</f>
        <v>751800</v>
      </c>
      <c r="D62" s="319"/>
      <c r="E62" s="319"/>
      <c r="F62" s="319"/>
      <c r="G62" s="319"/>
      <c r="H62" s="319"/>
    </row>
    <row r="63" spans="1:11">
      <c r="A63" s="318"/>
      <c r="B63" s="315" t="s">
        <v>24</v>
      </c>
      <c r="C63" s="319">
        <f>C43+C49+C55</f>
        <v>303350</v>
      </c>
      <c r="D63" s="319"/>
      <c r="E63" s="319"/>
      <c r="F63" s="319"/>
      <c r="G63" s="319"/>
      <c r="H63" s="319"/>
    </row>
    <row r="64" spans="1:11">
      <c r="A64" s="318"/>
      <c r="B64" s="315" t="s">
        <v>4497</v>
      </c>
      <c r="C64" s="319">
        <f>C44+C50+C56</f>
        <v>298700</v>
      </c>
      <c r="D64" s="319"/>
      <c r="E64" s="319"/>
      <c r="F64" s="319"/>
      <c r="G64" s="319"/>
      <c r="H64" s="326"/>
      <c r="K64" s="327"/>
    </row>
    <row r="65" spans="2:6">
      <c r="B65" s="315" t="s">
        <v>263</v>
      </c>
      <c r="C65" s="609">
        <f>C51+C46+C57</f>
        <v>653200</v>
      </c>
      <c r="D65" s="319"/>
      <c r="E65" s="319"/>
    </row>
    <row r="66" spans="2:6">
      <c r="B66" s="315" t="s">
        <v>5005</v>
      </c>
      <c r="C66" s="609">
        <f>C52+C58</f>
        <v>0</v>
      </c>
      <c r="D66" s="319"/>
      <c r="E66" s="319"/>
    </row>
    <row r="67" spans="2:6">
      <c r="C67" s="317">
        <f>SUM(C62:C66)</f>
        <v>2007050</v>
      </c>
    </row>
    <row r="68" spans="2:6">
      <c r="C68" s="328"/>
    </row>
    <row r="69" spans="2:6" s="483" customFormat="1">
      <c r="B69" s="561" t="s">
        <v>2611</v>
      </c>
      <c r="C69" s="483" t="s">
        <v>4496</v>
      </c>
      <c r="D69" s="317"/>
      <c r="E69" s="329" t="s">
        <v>5006</v>
      </c>
      <c r="F69" s="317"/>
    </row>
    <row r="70" spans="2:6" s="483" customFormat="1">
      <c r="B70" s="483">
        <f>88000*4</f>
        <v>352000</v>
      </c>
      <c r="C70" s="329" t="s">
        <v>5007</v>
      </c>
      <c r="D70" s="317"/>
      <c r="F70" s="317"/>
    </row>
    <row r="71" spans="2:6" s="483" customFormat="1">
      <c r="B71" s="483">
        <v>180000</v>
      </c>
      <c r="C71" s="483" t="s">
        <v>4495</v>
      </c>
      <c r="D71" s="317"/>
      <c r="F71" s="317"/>
    </row>
    <row r="72" spans="2:6" s="483" customFormat="1">
      <c r="B72" s="483">
        <v>128000</v>
      </c>
      <c r="C72" s="329" t="s">
        <v>5008</v>
      </c>
      <c r="D72" s="317"/>
    </row>
    <row r="73" spans="2:6" s="483" customFormat="1">
      <c r="B73" s="483">
        <f>SUM(B70:B72)</f>
        <v>660000</v>
      </c>
      <c r="C73" s="483" t="s">
        <v>2377</v>
      </c>
      <c r="D73" s="317"/>
    </row>
    <row r="76" spans="2:6">
      <c r="B76" s="317" t="s">
        <v>5009</v>
      </c>
      <c r="D76" s="610" t="s">
        <v>5010</v>
      </c>
    </row>
    <row r="78" spans="2:6">
      <c r="C78" s="317" t="s">
        <v>4493</v>
      </c>
    </row>
    <row r="80" spans="2:6">
      <c r="C80" s="317" t="s">
        <v>4492</v>
      </c>
    </row>
    <row r="81" spans="3:3">
      <c r="C81" s="317" t="s">
        <v>4491</v>
      </c>
    </row>
    <row r="82" spans="3:3">
      <c r="C82" s="317" t="s">
        <v>4490</v>
      </c>
    </row>
    <row r="83" spans="3:3">
      <c r="C83" s="317" t="s">
        <v>4489</v>
      </c>
    </row>
    <row r="85" spans="3:3">
      <c r="C85" s="317" t="s">
        <v>4488</v>
      </c>
    </row>
    <row r="86" spans="3:3">
      <c r="C86" s="317" t="s">
        <v>4487</v>
      </c>
    </row>
    <row r="87" spans="3:3">
      <c r="C87" s="317" t="s">
        <v>4486</v>
      </c>
    </row>
    <row r="88" spans="3:3">
      <c r="C88" s="317" t="s">
        <v>4485</v>
      </c>
    </row>
    <row r="89" spans="3:3">
      <c r="C89" s="317" t="s">
        <v>4484</v>
      </c>
    </row>
    <row r="90" spans="3:3">
      <c r="C90" s="317" t="s">
        <v>4483</v>
      </c>
    </row>
    <row r="91" spans="3:3">
      <c r="C91" s="317" t="s">
        <v>4482</v>
      </c>
    </row>
    <row r="92" spans="3:3">
      <c r="C92" s="317" t="s">
        <v>4481</v>
      </c>
    </row>
    <row r="93" spans="3:3">
      <c r="C93" s="317" t="s">
        <v>4480</v>
      </c>
    </row>
    <row r="94" spans="3:3">
      <c r="C94" s="317" t="s">
        <v>4479</v>
      </c>
    </row>
  </sheetData>
  <phoneticPr fontId="3" type="noConversion"/>
  <hyperlinks>
    <hyperlink ref="D76" r:id="rId1"/>
  </hyperlinks>
  <pageMargins left="0.75" right="0.75" top="1" bottom="1" header="0.5" footer="0.5"/>
  <pageSetup paperSize="9" orientation="portrait" r:id="rId2"/>
  <headerFooter alignWithMargins="0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4"/>
  <sheetViews>
    <sheetView zoomScale="75" workbookViewId="0">
      <pane ySplit="2" topLeftCell="A37" activePane="bottomLeft" state="frozen"/>
      <selection activeCell="K41" sqref="K41:K48"/>
      <selection pane="bottomLeft" activeCell="C54" sqref="C54"/>
    </sheetView>
  </sheetViews>
  <sheetFormatPr defaultColWidth="9" defaultRowHeight="16.5"/>
  <cols>
    <col min="1" max="1" width="15" style="315" customWidth="1"/>
    <col min="2" max="2" width="10.25" style="315" customWidth="1"/>
    <col min="3" max="7" width="9" style="317"/>
    <col min="8" max="8" width="10.75" style="317" customWidth="1"/>
    <col min="9" max="9" width="9" style="317"/>
    <col min="10" max="10" width="3.875" style="317" customWidth="1"/>
    <col min="11" max="11" width="9" style="315"/>
    <col min="12" max="12" width="9.125" style="317" bestFit="1" customWidth="1"/>
    <col min="13" max="16384" width="9" style="317"/>
  </cols>
  <sheetData>
    <row r="1" spans="1:10">
      <c r="B1" s="316" t="s">
        <v>813</v>
      </c>
      <c r="C1" s="317">
        <f t="shared" ref="C1:I1" si="0">SUM(C3:C40)</f>
        <v>1321500</v>
      </c>
      <c r="D1" s="317">
        <f t="shared" si="0"/>
        <v>57600</v>
      </c>
      <c r="E1" s="317">
        <f t="shared" si="0"/>
        <v>12192</v>
      </c>
      <c r="F1" s="317">
        <f t="shared" si="0"/>
        <v>36396</v>
      </c>
      <c r="G1" s="317">
        <f t="shared" si="0"/>
        <v>0</v>
      </c>
      <c r="H1" s="317">
        <f t="shared" si="0"/>
        <v>1330512</v>
      </c>
      <c r="I1" s="317">
        <f t="shared" si="0"/>
        <v>1330512</v>
      </c>
    </row>
    <row r="2" spans="1:10">
      <c r="A2" s="315" t="s">
        <v>19</v>
      </c>
      <c r="B2" s="315" t="s">
        <v>20</v>
      </c>
      <c r="C2" s="315" t="s">
        <v>2919</v>
      </c>
      <c r="D2" s="315" t="s">
        <v>2920</v>
      </c>
      <c r="E2" s="315" t="s">
        <v>22</v>
      </c>
      <c r="F2" s="315" t="s">
        <v>23</v>
      </c>
      <c r="G2" s="315" t="s">
        <v>25</v>
      </c>
      <c r="H2" s="315" t="s">
        <v>1214</v>
      </c>
      <c r="I2" s="315"/>
      <c r="J2" s="315"/>
    </row>
    <row r="3" spans="1:10">
      <c r="A3" s="318" t="s">
        <v>5975</v>
      </c>
      <c r="B3" s="315" t="s">
        <v>21</v>
      </c>
      <c r="C3" s="319">
        <v>62600</v>
      </c>
      <c r="D3" s="319">
        <v>2400</v>
      </c>
      <c r="E3" s="319">
        <v>834</v>
      </c>
      <c r="F3" s="319">
        <v>2712</v>
      </c>
      <c r="G3" s="319"/>
      <c r="H3" s="319">
        <f t="shared" ref="H3:H40" si="1">C3+D3-E3-F3-G3</f>
        <v>61454</v>
      </c>
      <c r="I3" s="319"/>
      <c r="J3" s="319"/>
    </row>
    <row r="4" spans="1:10">
      <c r="A4" s="318"/>
      <c r="B4" s="315" t="s">
        <v>24</v>
      </c>
      <c r="C4" s="319">
        <v>18000</v>
      </c>
      <c r="D4" s="319"/>
      <c r="E4" s="319"/>
      <c r="F4" s="319"/>
      <c r="G4" s="319"/>
      <c r="H4" s="319">
        <f t="shared" si="1"/>
        <v>18000</v>
      </c>
      <c r="I4" s="319"/>
      <c r="J4" s="319"/>
    </row>
    <row r="5" spans="1:10">
      <c r="A5" s="318"/>
      <c r="B5" s="315" t="s">
        <v>5976</v>
      </c>
      <c r="C5" s="319">
        <v>25000</v>
      </c>
      <c r="D5" s="319">
        <v>2400</v>
      </c>
      <c r="E5" s="319">
        <v>182</v>
      </c>
      <c r="F5" s="319">
        <v>321</v>
      </c>
      <c r="G5" s="319"/>
      <c r="H5" s="319">
        <f t="shared" si="1"/>
        <v>26897</v>
      </c>
      <c r="I5" s="319">
        <f>SUM(H3:H5)</f>
        <v>106351</v>
      </c>
      <c r="J5" s="319"/>
    </row>
    <row r="6" spans="1:10">
      <c r="A6" s="318" t="s">
        <v>5977</v>
      </c>
      <c r="B6" s="315" t="s">
        <v>21</v>
      </c>
      <c r="C6" s="319">
        <v>62600</v>
      </c>
      <c r="D6" s="319">
        <v>2400</v>
      </c>
      <c r="E6" s="319">
        <v>834</v>
      </c>
      <c r="F6" s="319">
        <v>2712</v>
      </c>
      <c r="G6" s="319"/>
      <c r="H6" s="319">
        <f t="shared" si="1"/>
        <v>61454</v>
      </c>
      <c r="I6" s="319"/>
      <c r="J6" s="319"/>
    </row>
    <row r="7" spans="1:10">
      <c r="A7" s="318"/>
      <c r="B7" s="315" t="s">
        <v>24</v>
      </c>
      <c r="C7" s="319">
        <v>19000</v>
      </c>
      <c r="D7" s="319"/>
      <c r="E7" s="319"/>
      <c r="F7" s="319"/>
      <c r="G7" s="319"/>
      <c r="H7" s="319">
        <f t="shared" si="1"/>
        <v>19000</v>
      </c>
      <c r="I7" s="319"/>
      <c r="J7" s="319"/>
    </row>
    <row r="8" spans="1:10">
      <c r="A8" s="318"/>
      <c r="B8" s="315" t="s">
        <v>5976</v>
      </c>
      <c r="C8" s="319">
        <v>25000</v>
      </c>
      <c r="D8" s="319">
        <v>2400</v>
      </c>
      <c r="E8" s="319">
        <v>182</v>
      </c>
      <c r="F8" s="319">
        <v>321</v>
      </c>
      <c r="G8" s="319"/>
      <c r="H8" s="319">
        <f t="shared" si="1"/>
        <v>26897</v>
      </c>
      <c r="I8" s="319">
        <f>SUM(H6:H8)</f>
        <v>107351</v>
      </c>
      <c r="J8" s="319"/>
    </row>
    <row r="9" spans="1:10">
      <c r="A9" s="318" t="s">
        <v>5978</v>
      </c>
      <c r="B9" s="315" t="s">
        <v>21</v>
      </c>
      <c r="C9" s="319">
        <v>62600</v>
      </c>
      <c r="D9" s="319">
        <v>2400</v>
      </c>
      <c r="E9" s="319">
        <v>834</v>
      </c>
      <c r="F9" s="319">
        <v>2712</v>
      </c>
      <c r="G9" s="319"/>
      <c r="H9" s="319">
        <f t="shared" si="1"/>
        <v>61454</v>
      </c>
      <c r="I9" s="319"/>
      <c r="J9" s="319"/>
    </row>
    <row r="10" spans="1:10">
      <c r="A10" s="318"/>
      <c r="B10" s="315" t="s">
        <v>24</v>
      </c>
      <c r="C10" s="319">
        <v>53000</v>
      </c>
      <c r="D10" s="319"/>
      <c r="E10" s="319"/>
      <c r="F10" s="319"/>
      <c r="G10" s="319"/>
      <c r="H10" s="319">
        <f t="shared" si="1"/>
        <v>53000</v>
      </c>
      <c r="I10" s="319"/>
      <c r="J10" s="319"/>
    </row>
    <row r="11" spans="1:10">
      <c r="A11" s="318"/>
      <c r="B11" s="315" t="s">
        <v>5976</v>
      </c>
      <c r="C11" s="319">
        <v>25000</v>
      </c>
      <c r="D11" s="319">
        <v>2400</v>
      </c>
      <c r="E11" s="319">
        <v>182</v>
      </c>
      <c r="F11" s="319">
        <v>321</v>
      </c>
      <c r="G11" s="319"/>
      <c r="H11" s="319">
        <f t="shared" si="1"/>
        <v>26897</v>
      </c>
      <c r="I11" s="319">
        <f>SUM(H9:H11)</f>
        <v>141351</v>
      </c>
      <c r="J11" s="319"/>
    </row>
    <row r="12" spans="1:10">
      <c r="A12" s="318" t="s">
        <v>5979</v>
      </c>
      <c r="B12" s="315" t="s">
        <v>21</v>
      </c>
      <c r="C12" s="319">
        <v>62600</v>
      </c>
      <c r="D12" s="319">
        <v>2400</v>
      </c>
      <c r="E12" s="319">
        <v>834</v>
      </c>
      <c r="F12" s="319">
        <v>2712</v>
      </c>
      <c r="G12" s="319"/>
      <c r="H12" s="319">
        <f t="shared" si="1"/>
        <v>61454</v>
      </c>
      <c r="I12" s="319"/>
      <c r="J12" s="319"/>
    </row>
    <row r="13" spans="1:10">
      <c r="A13" s="318"/>
      <c r="B13" s="315" t="s">
        <v>24</v>
      </c>
      <c r="C13" s="319"/>
      <c r="D13" s="319"/>
      <c r="E13" s="319"/>
      <c r="F13" s="319"/>
      <c r="G13" s="319"/>
      <c r="H13" s="319">
        <f t="shared" si="1"/>
        <v>0</v>
      </c>
      <c r="I13" s="319"/>
      <c r="J13" s="319"/>
    </row>
    <row r="14" spans="1:10">
      <c r="A14" s="318"/>
      <c r="B14" s="315" t="s">
        <v>5976</v>
      </c>
      <c r="C14" s="319">
        <v>25000</v>
      </c>
      <c r="D14" s="319">
        <v>2400</v>
      </c>
      <c r="E14" s="319">
        <v>182</v>
      </c>
      <c r="F14" s="319">
        <v>321</v>
      </c>
      <c r="G14" s="319"/>
      <c r="H14" s="319">
        <f t="shared" si="1"/>
        <v>26897</v>
      </c>
      <c r="I14" s="319">
        <f>SUM(H12:H14)</f>
        <v>88351</v>
      </c>
      <c r="J14" s="319"/>
    </row>
    <row r="15" spans="1:10">
      <c r="A15" s="318" t="s">
        <v>5980</v>
      </c>
      <c r="B15" s="315" t="s">
        <v>21</v>
      </c>
      <c r="C15" s="319">
        <v>62600</v>
      </c>
      <c r="D15" s="319">
        <v>2400</v>
      </c>
      <c r="E15" s="319">
        <v>834</v>
      </c>
      <c r="F15" s="319">
        <v>2712</v>
      </c>
      <c r="G15" s="319"/>
      <c r="H15" s="319">
        <f t="shared" si="1"/>
        <v>61454</v>
      </c>
      <c r="I15" s="319"/>
      <c r="J15" s="319"/>
    </row>
    <row r="16" spans="1:10">
      <c r="A16" s="318"/>
      <c r="B16" s="315" t="s">
        <v>24</v>
      </c>
      <c r="C16" s="319"/>
      <c r="D16" s="319"/>
      <c r="E16" s="319"/>
      <c r="F16" s="319"/>
      <c r="G16" s="319"/>
      <c r="H16" s="319">
        <f t="shared" si="1"/>
        <v>0</v>
      </c>
      <c r="I16" s="319"/>
      <c r="J16" s="319"/>
    </row>
    <row r="17" spans="1:10">
      <c r="A17" s="318"/>
      <c r="B17" s="315" t="s">
        <v>5976</v>
      </c>
      <c r="C17" s="319">
        <v>25000</v>
      </c>
      <c r="D17" s="319">
        <v>2400</v>
      </c>
      <c r="E17" s="319">
        <v>182</v>
      </c>
      <c r="F17" s="319">
        <v>321</v>
      </c>
      <c r="G17" s="319"/>
      <c r="H17" s="319">
        <f t="shared" si="1"/>
        <v>26897</v>
      </c>
      <c r="I17" s="319">
        <f>SUM(H15:H17)</f>
        <v>88351</v>
      </c>
      <c r="J17" s="319"/>
    </row>
    <row r="18" spans="1:10">
      <c r="A18" s="318" t="s">
        <v>5981</v>
      </c>
      <c r="B18" s="315" t="s">
        <v>21</v>
      </c>
      <c r="C18" s="319">
        <v>62600</v>
      </c>
      <c r="D18" s="319">
        <v>2400</v>
      </c>
      <c r="E18" s="319">
        <v>834</v>
      </c>
      <c r="F18" s="319">
        <v>2712</v>
      </c>
      <c r="G18" s="319"/>
      <c r="H18" s="319">
        <f t="shared" si="1"/>
        <v>61454</v>
      </c>
      <c r="I18" s="319"/>
      <c r="J18" s="319"/>
    </row>
    <row r="19" spans="1:10">
      <c r="A19" s="318"/>
      <c r="B19" s="315" t="s">
        <v>24</v>
      </c>
      <c r="C19" s="319">
        <v>18000</v>
      </c>
      <c r="D19" s="319"/>
      <c r="E19" s="319"/>
      <c r="F19" s="319"/>
      <c r="G19" s="319"/>
      <c r="H19" s="319">
        <f t="shared" si="1"/>
        <v>18000</v>
      </c>
      <c r="I19" s="319"/>
      <c r="J19" s="319"/>
    </row>
    <row r="20" spans="1:10">
      <c r="A20" s="318"/>
      <c r="B20" s="315" t="s">
        <v>5976</v>
      </c>
      <c r="C20" s="319">
        <v>25000</v>
      </c>
      <c r="D20" s="319">
        <v>2400</v>
      </c>
      <c r="E20" s="319">
        <v>182</v>
      </c>
      <c r="F20" s="319">
        <v>321</v>
      </c>
      <c r="G20" s="319"/>
      <c r="H20" s="319">
        <f t="shared" si="1"/>
        <v>26897</v>
      </c>
      <c r="I20" s="319">
        <f>SUM(H18:H20)</f>
        <v>106351</v>
      </c>
      <c r="J20" s="319"/>
    </row>
    <row r="21" spans="1:10">
      <c r="A21" s="318" t="s">
        <v>5982</v>
      </c>
      <c r="B21" s="315" t="s">
        <v>21</v>
      </c>
      <c r="C21" s="319">
        <v>62600</v>
      </c>
      <c r="D21" s="319">
        <v>2400</v>
      </c>
      <c r="E21" s="319">
        <v>834</v>
      </c>
      <c r="F21" s="319">
        <v>2712</v>
      </c>
      <c r="G21" s="319"/>
      <c r="H21" s="319">
        <f t="shared" si="1"/>
        <v>61454</v>
      </c>
      <c r="I21" s="319"/>
      <c r="J21" s="319"/>
    </row>
    <row r="22" spans="1:10">
      <c r="A22" s="318"/>
      <c r="B22" s="315" t="s">
        <v>24</v>
      </c>
      <c r="C22" s="319">
        <v>13500</v>
      </c>
      <c r="D22" s="319"/>
      <c r="E22" s="319"/>
      <c r="F22" s="319"/>
      <c r="G22" s="319"/>
      <c r="H22" s="319">
        <f t="shared" si="1"/>
        <v>13500</v>
      </c>
      <c r="I22" s="319"/>
      <c r="J22" s="319"/>
    </row>
    <row r="23" spans="1:10">
      <c r="A23" s="318"/>
      <c r="B23" s="315" t="s">
        <v>5976</v>
      </c>
      <c r="C23" s="319">
        <v>25000</v>
      </c>
      <c r="D23" s="319">
        <v>2400</v>
      </c>
      <c r="E23" s="319">
        <v>182</v>
      </c>
      <c r="F23" s="319">
        <v>321</v>
      </c>
      <c r="G23" s="319"/>
      <c r="H23" s="319">
        <f t="shared" si="1"/>
        <v>26897</v>
      </c>
      <c r="I23" s="319">
        <f>SUM(H21:H23)</f>
        <v>101851</v>
      </c>
      <c r="J23" s="319"/>
    </row>
    <row r="24" spans="1:10">
      <c r="A24" s="318" t="s">
        <v>5983</v>
      </c>
      <c r="B24" s="315" t="s">
        <v>21</v>
      </c>
      <c r="C24" s="319">
        <v>62600</v>
      </c>
      <c r="D24" s="319">
        <v>2400</v>
      </c>
      <c r="E24" s="319">
        <v>834</v>
      </c>
      <c r="F24" s="319">
        <v>2712</v>
      </c>
      <c r="G24" s="319"/>
      <c r="H24" s="319">
        <f t="shared" si="1"/>
        <v>61454</v>
      </c>
      <c r="I24" s="319"/>
      <c r="J24" s="319"/>
    </row>
    <row r="25" spans="1:10">
      <c r="A25" s="318"/>
      <c r="B25" s="315" t="s">
        <v>24</v>
      </c>
      <c r="C25" s="319">
        <v>43500</v>
      </c>
      <c r="D25" s="319"/>
      <c r="E25" s="319"/>
      <c r="F25" s="319"/>
      <c r="G25" s="319"/>
      <c r="H25" s="319">
        <f t="shared" si="1"/>
        <v>43500</v>
      </c>
      <c r="I25" s="319"/>
      <c r="J25" s="319"/>
    </row>
    <row r="26" spans="1:10">
      <c r="A26" s="318"/>
      <c r="B26" s="315" t="s">
        <v>4497</v>
      </c>
      <c r="C26" s="319">
        <v>25000</v>
      </c>
      <c r="D26" s="319">
        <v>2400</v>
      </c>
      <c r="E26" s="319">
        <v>182</v>
      </c>
      <c r="F26" s="319">
        <v>321</v>
      </c>
      <c r="G26" s="319"/>
      <c r="H26" s="319">
        <f t="shared" si="1"/>
        <v>26897</v>
      </c>
      <c r="I26" s="319">
        <f>SUM(H24:H26)</f>
        <v>131851</v>
      </c>
      <c r="J26" s="319"/>
    </row>
    <row r="27" spans="1:10">
      <c r="A27" s="318" t="s">
        <v>5984</v>
      </c>
      <c r="B27" s="315" t="s">
        <v>21</v>
      </c>
      <c r="C27" s="319">
        <v>62600</v>
      </c>
      <c r="D27" s="319">
        <v>2400</v>
      </c>
      <c r="E27" s="319">
        <v>834</v>
      </c>
      <c r="F27" s="319">
        <v>2712</v>
      </c>
      <c r="G27" s="319"/>
      <c r="H27" s="319">
        <f t="shared" si="1"/>
        <v>61454</v>
      </c>
      <c r="I27" s="319"/>
      <c r="J27" s="319"/>
    </row>
    <row r="28" spans="1:10">
      <c r="A28" s="318"/>
      <c r="B28" s="315" t="s">
        <v>24</v>
      </c>
      <c r="C28" s="319">
        <v>39800</v>
      </c>
      <c r="D28" s="319"/>
      <c r="E28" s="319"/>
      <c r="F28" s="319"/>
      <c r="G28" s="319"/>
      <c r="H28" s="319">
        <f t="shared" si="1"/>
        <v>39800</v>
      </c>
      <c r="I28" s="319"/>
      <c r="J28" s="319"/>
    </row>
    <row r="29" spans="1:10">
      <c r="A29" s="318"/>
      <c r="B29" s="315" t="s">
        <v>5985</v>
      </c>
      <c r="C29" s="319">
        <v>25000</v>
      </c>
      <c r="D29" s="319">
        <v>2400</v>
      </c>
      <c r="E29" s="319">
        <v>182</v>
      </c>
      <c r="F29" s="319">
        <v>321</v>
      </c>
      <c r="G29" s="319"/>
      <c r="H29" s="319">
        <f t="shared" si="1"/>
        <v>26897</v>
      </c>
      <c r="I29" s="319">
        <f>SUM(H27:H29)</f>
        <v>128151</v>
      </c>
      <c r="J29" s="319"/>
    </row>
    <row r="30" spans="1:10">
      <c r="A30" s="318" t="s">
        <v>5986</v>
      </c>
      <c r="B30" s="315" t="s">
        <v>21</v>
      </c>
      <c r="C30" s="319">
        <v>62600</v>
      </c>
      <c r="D30" s="319">
        <v>2400</v>
      </c>
      <c r="E30" s="319">
        <v>834</v>
      </c>
      <c r="F30" s="319">
        <v>2712</v>
      </c>
      <c r="G30" s="319"/>
      <c r="H30" s="319">
        <f t="shared" si="1"/>
        <v>61454</v>
      </c>
      <c r="I30" s="319"/>
      <c r="J30" s="319"/>
    </row>
    <row r="31" spans="1:10">
      <c r="A31" s="318"/>
      <c r="B31" s="315" t="s">
        <v>24</v>
      </c>
      <c r="C31" s="319">
        <v>7500</v>
      </c>
      <c r="D31" s="319"/>
      <c r="E31" s="319"/>
      <c r="F31" s="319"/>
      <c r="G31" s="319"/>
      <c r="H31" s="319">
        <f t="shared" si="1"/>
        <v>7500</v>
      </c>
      <c r="I31" s="319"/>
      <c r="J31" s="319"/>
    </row>
    <row r="32" spans="1:10">
      <c r="A32" s="318"/>
      <c r="B32" s="315" t="s">
        <v>5985</v>
      </c>
      <c r="C32" s="319">
        <v>25000</v>
      </c>
      <c r="D32" s="319">
        <v>2400</v>
      </c>
      <c r="E32" s="319">
        <v>182</v>
      </c>
      <c r="F32" s="319">
        <v>321</v>
      </c>
      <c r="G32" s="319"/>
      <c r="H32" s="319">
        <f t="shared" si="1"/>
        <v>26897</v>
      </c>
      <c r="I32" s="319">
        <f>SUM(H30:H32)</f>
        <v>95851</v>
      </c>
      <c r="J32" s="319"/>
    </row>
    <row r="33" spans="1:11">
      <c r="A33" s="318" t="s">
        <v>5987</v>
      </c>
      <c r="B33" s="315" t="s">
        <v>21</v>
      </c>
      <c r="C33" s="319">
        <v>62600</v>
      </c>
      <c r="D33" s="319">
        <v>2400</v>
      </c>
      <c r="E33" s="319">
        <v>834</v>
      </c>
      <c r="F33" s="319">
        <v>2712</v>
      </c>
      <c r="G33" s="319"/>
      <c r="H33" s="319">
        <f t="shared" si="1"/>
        <v>61454</v>
      </c>
      <c r="I33" s="319"/>
      <c r="J33" s="319"/>
    </row>
    <row r="34" spans="1:11">
      <c r="A34" s="318"/>
      <c r="B34" s="315" t="s">
        <v>24</v>
      </c>
      <c r="C34" s="319"/>
      <c r="D34" s="319"/>
      <c r="E34" s="319"/>
      <c r="F34" s="319"/>
      <c r="G34" s="319"/>
      <c r="H34" s="319">
        <f t="shared" si="1"/>
        <v>0</v>
      </c>
      <c r="I34" s="319"/>
      <c r="J34" s="319"/>
    </row>
    <row r="35" spans="1:11">
      <c r="A35" s="318"/>
      <c r="B35" s="315" t="s">
        <v>5985</v>
      </c>
      <c r="C35" s="319">
        <v>25000</v>
      </c>
      <c r="D35" s="319">
        <v>2400</v>
      </c>
      <c r="E35" s="319">
        <v>182</v>
      </c>
      <c r="F35" s="319">
        <v>321</v>
      </c>
      <c r="G35" s="319"/>
      <c r="H35" s="319">
        <f t="shared" si="1"/>
        <v>26897</v>
      </c>
      <c r="I35" s="319">
        <f>SUM(H33:H35)</f>
        <v>88351</v>
      </c>
      <c r="J35" s="319"/>
    </row>
    <row r="36" spans="1:11">
      <c r="A36" s="318" t="s">
        <v>5988</v>
      </c>
      <c r="B36" s="315" t="s">
        <v>21</v>
      </c>
      <c r="C36" s="319">
        <v>62600</v>
      </c>
      <c r="D36" s="319">
        <v>2400</v>
      </c>
      <c r="E36" s="319">
        <v>834</v>
      </c>
      <c r="F36" s="319">
        <v>2712</v>
      </c>
      <c r="G36" s="319"/>
      <c r="H36" s="319">
        <f t="shared" si="1"/>
        <v>61454</v>
      </c>
    </row>
    <row r="37" spans="1:11">
      <c r="A37" s="318"/>
      <c r="B37" s="315" t="s">
        <v>24</v>
      </c>
      <c r="C37" s="320">
        <v>18000</v>
      </c>
      <c r="D37" s="319"/>
      <c r="E37" s="319"/>
      <c r="F37" s="319"/>
      <c r="G37" s="319"/>
      <c r="H37" s="319">
        <f t="shared" si="1"/>
        <v>18000</v>
      </c>
    </row>
    <row r="38" spans="1:11">
      <c r="A38" s="318"/>
      <c r="B38" s="315" t="s">
        <v>5985</v>
      </c>
      <c r="C38" s="319">
        <v>25000</v>
      </c>
      <c r="D38" s="319">
        <v>2400</v>
      </c>
      <c r="E38" s="319">
        <v>182</v>
      </c>
      <c r="F38" s="319">
        <v>321</v>
      </c>
      <c r="G38" s="319"/>
      <c r="H38" s="319">
        <f t="shared" si="1"/>
        <v>26897</v>
      </c>
      <c r="I38" s="317">
        <f>SUM(H36:H38)</f>
        <v>106351</v>
      </c>
    </row>
    <row r="39" spans="1:11">
      <c r="A39" s="315" t="s">
        <v>5989</v>
      </c>
      <c r="B39" s="315" t="s">
        <v>21</v>
      </c>
      <c r="C39" s="319">
        <v>40000</v>
      </c>
      <c r="D39" s="319"/>
      <c r="E39" s="319"/>
      <c r="F39" s="319"/>
      <c r="G39" s="319"/>
      <c r="H39" s="319">
        <f t="shared" si="1"/>
        <v>40000</v>
      </c>
      <c r="I39" s="317">
        <f>SUM(H39:H39)</f>
        <v>40000</v>
      </c>
    </row>
    <row r="40" spans="1:11">
      <c r="A40" s="315" t="s">
        <v>5989</v>
      </c>
      <c r="B40" s="315" t="s">
        <v>5985</v>
      </c>
      <c r="C40" s="319"/>
      <c r="D40" s="319"/>
      <c r="E40" s="319"/>
      <c r="F40" s="319"/>
      <c r="G40" s="319"/>
      <c r="H40" s="319">
        <f t="shared" si="1"/>
        <v>0</v>
      </c>
      <c r="I40" s="317">
        <f>SUM(H40:H40)</f>
        <v>0</v>
      </c>
    </row>
    <row r="41" spans="1:11" s="321" customFormat="1">
      <c r="A41" s="321" t="s">
        <v>5990</v>
      </c>
      <c r="C41" s="321">
        <f t="shared" ref="C41:H41" si="2">SUM(C42:C44)</f>
        <v>1321500</v>
      </c>
      <c r="D41" s="321">
        <f t="shared" si="2"/>
        <v>57600</v>
      </c>
      <c r="E41" s="321">
        <f t="shared" si="2"/>
        <v>12192</v>
      </c>
      <c r="F41" s="321">
        <f t="shared" si="2"/>
        <v>36396</v>
      </c>
      <c r="G41" s="321">
        <f t="shared" si="2"/>
        <v>0</v>
      </c>
      <c r="H41" s="321">
        <f t="shared" si="2"/>
        <v>1330512</v>
      </c>
    </row>
    <row r="42" spans="1:11">
      <c r="A42" s="318" t="s">
        <v>5991</v>
      </c>
      <c r="B42" s="315" t="s">
        <v>21</v>
      </c>
      <c r="C42" s="319">
        <f>C3+C6+C9+C12+C15+C18+C21+C24+C27+C30+C33+C36+C39</f>
        <v>791200</v>
      </c>
      <c r="D42" s="319">
        <f t="shared" ref="D42:F43" si="3">D3+D6+D9+D12+D15+D18+D21+D24+D27+D30+D33+D36</f>
        <v>28800</v>
      </c>
      <c r="E42" s="319">
        <f t="shared" si="3"/>
        <v>10008</v>
      </c>
      <c r="F42" s="319">
        <f t="shared" si="3"/>
        <v>32544</v>
      </c>
      <c r="G42" s="319"/>
      <c r="H42" s="319">
        <f>C42+D42-E42-F42-G42</f>
        <v>777448</v>
      </c>
    </row>
    <row r="43" spans="1:11">
      <c r="A43" s="318" t="s">
        <v>5991</v>
      </c>
      <c r="B43" s="315" t="s">
        <v>24</v>
      </c>
      <c r="C43" s="319">
        <f>C4+C7+C10+C13+C16+C19+C22+C25+C28+C31+C34+C37</f>
        <v>230300</v>
      </c>
      <c r="D43" s="319">
        <f t="shared" si="3"/>
        <v>0</v>
      </c>
      <c r="E43" s="319">
        <f t="shared" si="3"/>
        <v>0</v>
      </c>
      <c r="F43" s="319">
        <f t="shared" si="3"/>
        <v>0</v>
      </c>
      <c r="G43" s="319"/>
      <c r="H43" s="319">
        <f>C43+D43-E43-F43-G43</f>
        <v>230300</v>
      </c>
    </row>
    <row r="44" spans="1:11">
      <c r="A44" s="318" t="s">
        <v>5991</v>
      </c>
      <c r="B44" s="315" t="s">
        <v>5985</v>
      </c>
      <c r="C44" s="319">
        <f>C5+C8+C11+C14+C17+C20+C23+C26+C29+C32+C35+C38+C40</f>
        <v>300000</v>
      </c>
      <c r="D44" s="319">
        <f>D5+D8+D11+D14+D17++D20+D23+D26+D29+D32+D35+D38</f>
        <v>28800</v>
      </c>
      <c r="E44" s="319">
        <f>E5+E8+E11+E14+E17+E20+E23+E26+E29+E32+E35+E38</f>
        <v>2184</v>
      </c>
      <c r="F44" s="319">
        <f>F5+F8+F11+F14+F17+F20+F23+F26+F29+F32+F35+F38</f>
        <v>3852</v>
      </c>
      <c r="G44" s="319"/>
      <c r="H44" s="319">
        <f>C44+D44-E44-F44-G44</f>
        <v>322764</v>
      </c>
    </row>
    <row r="45" spans="1:11" s="322" customFormat="1">
      <c r="A45" s="322" t="s">
        <v>5992</v>
      </c>
      <c r="C45" s="322">
        <f>SUM(C46:C46)</f>
        <v>696000</v>
      </c>
    </row>
    <row r="46" spans="1:11">
      <c r="A46" s="315" t="s">
        <v>5993</v>
      </c>
      <c r="B46" s="315" t="s">
        <v>263</v>
      </c>
      <c r="C46" s="607">
        <f>58000*12</f>
        <v>696000</v>
      </c>
      <c r="D46" s="319"/>
      <c r="E46" s="319"/>
      <c r="F46" s="319"/>
      <c r="G46" s="319"/>
      <c r="H46" s="319">
        <f>C46+D46-E46-F46-G46</f>
        <v>696000</v>
      </c>
      <c r="K46" s="315">
        <f>54*12</f>
        <v>648</v>
      </c>
    </row>
    <row r="47" spans="1:11" s="322" customFormat="1">
      <c r="A47" s="322" t="s">
        <v>5994</v>
      </c>
      <c r="C47" s="322">
        <f>SUM(C48:C52)</f>
        <v>57400</v>
      </c>
    </row>
    <row r="48" spans="1:11">
      <c r="A48" s="318" t="s">
        <v>4991</v>
      </c>
      <c r="B48" s="315" t="s">
        <v>21</v>
      </c>
      <c r="C48" s="319">
        <v>92600</v>
      </c>
      <c r="D48" s="319"/>
      <c r="E48" s="319"/>
      <c r="F48" s="319"/>
      <c r="G48" s="319"/>
      <c r="H48" s="319">
        <f>C48+D48-E48-F48-G48</f>
        <v>92600</v>
      </c>
    </row>
    <row r="49" spans="1:11">
      <c r="A49" s="318" t="s">
        <v>5995</v>
      </c>
      <c r="B49" s="315" t="s">
        <v>24</v>
      </c>
      <c r="C49" s="319">
        <v>18000</v>
      </c>
      <c r="D49" s="319"/>
      <c r="E49" s="319"/>
      <c r="F49" s="319"/>
      <c r="G49" s="319"/>
      <c r="H49" s="319">
        <f>C49+D49-E49-F49-G49</f>
        <v>18000</v>
      </c>
    </row>
    <row r="50" spans="1:11">
      <c r="A50" s="318" t="s">
        <v>4991</v>
      </c>
      <c r="B50" s="315" t="s">
        <v>4497</v>
      </c>
      <c r="C50" s="319">
        <v>25000</v>
      </c>
      <c r="D50" s="319"/>
      <c r="E50" s="319"/>
      <c r="F50" s="319"/>
      <c r="G50" s="319"/>
      <c r="H50" s="319">
        <f>C50+D50-E50-F50-G50</f>
        <v>25000</v>
      </c>
    </row>
    <row r="51" spans="1:11">
      <c r="A51" s="318" t="s">
        <v>4991</v>
      </c>
      <c r="B51" s="315" t="s">
        <v>263</v>
      </c>
      <c r="C51" s="607">
        <v>54000</v>
      </c>
      <c r="D51" s="319"/>
      <c r="E51" s="319"/>
      <c r="F51" s="319"/>
      <c r="G51" s="319"/>
      <c r="H51" s="319">
        <f>C51+D51-E51-F51-G51</f>
        <v>54000</v>
      </c>
    </row>
    <row r="52" spans="1:11">
      <c r="A52" s="318" t="s">
        <v>5001</v>
      </c>
      <c r="B52" s="315" t="s">
        <v>5996</v>
      </c>
      <c r="C52" s="607">
        <v>-132200</v>
      </c>
      <c r="D52" s="319"/>
      <c r="E52" s="319"/>
      <c r="F52" s="319"/>
      <c r="G52" s="319"/>
      <c r="H52" s="319"/>
    </row>
    <row r="53" spans="1:11" s="323" customFormat="1">
      <c r="A53" s="323" t="s">
        <v>5997</v>
      </c>
      <c r="C53" s="608">
        <f>SUM(C54:C58)</f>
        <v>-71400</v>
      </c>
    </row>
    <row r="54" spans="1:11">
      <c r="A54" s="318" t="s">
        <v>5998</v>
      </c>
      <c r="B54" s="315" t="s">
        <v>21</v>
      </c>
      <c r="C54" s="319">
        <f>-C36-C39</f>
        <v>-102600</v>
      </c>
      <c r="D54" s="319"/>
      <c r="E54" s="319"/>
      <c r="F54" s="319"/>
      <c r="G54" s="319"/>
      <c r="H54" s="319">
        <f>C54+D54-E54-F54-G54</f>
        <v>-102600</v>
      </c>
    </row>
    <row r="55" spans="1:11">
      <c r="A55" s="318" t="s">
        <v>5998</v>
      </c>
      <c r="B55" s="315" t="s">
        <v>24</v>
      </c>
      <c r="C55" s="319">
        <f>-C37</f>
        <v>-18000</v>
      </c>
      <c r="D55" s="319"/>
      <c r="E55" s="319"/>
      <c r="F55" s="319"/>
      <c r="G55" s="319"/>
      <c r="H55" s="319">
        <f>C55+D55-E55-F55-G55</f>
        <v>-18000</v>
      </c>
    </row>
    <row r="56" spans="1:11">
      <c r="A56" s="318" t="s">
        <v>5998</v>
      </c>
      <c r="B56" s="315" t="s">
        <v>4497</v>
      </c>
      <c r="C56" s="319">
        <f>-C38-C40</f>
        <v>-25000</v>
      </c>
      <c r="D56" s="319"/>
      <c r="E56" s="319"/>
      <c r="F56" s="319"/>
      <c r="G56" s="319"/>
      <c r="H56" s="319">
        <f>C56+D56-E56-F56-G56</f>
        <v>-25000</v>
      </c>
    </row>
    <row r="57" spans="1:11">
      <c r="A57" s="318" t="s">
        <v>5998</v>
      </c>
      <c r="B57" s="315" t="s">
        <v>263</v>
      </c>
      <c r="C57" s="607">
        <v>-58000</v>
      </c>
      <c r="D57" s="319"/>
      <c r="E57" s="319"/>
      <c r="F57" s="319"/>
      <c r="G57" s="319"/>
      <c r="H57" s="319">
        <f>C57+D57-E57-F57-G57</f>
        <v>-58000</v>
      </c>
    </row>
    <row r="58" spans="1:11">
      <c r="A58" s="318" t="s">
        <v>5999</v>
      </c>
      <c r="B58" s="315" t="s">
        <v>4498</v>
      </c>
      <c r="C58" s="607">
        <v>132200</v>
      </c>
      <c r="D58" s="320"/>
      <c r="E58" s="319"/>
      <c r="F58" s="319"/>
      <c r="G58" s="319"/>
      <c r="H58" s="319">
        <f>C58+D58-E58-F58-G58</f>
        <v>132200</v>
      </c>
    </row>
    <row r="59" spans="1:11" s="323" customFormat="1">
      <c r="A59" s="323" t="s">
        <v>6000</v>
      </c>
      <c r="C59" s="323">
        <f>SUM(C60)</f>
        <v>-200000</v>
      </c>
    </row>
    <row r="60" spans="1:11">
      <c r="A60" s="315" t="s">
        <v>6001</v>
      </c>
      <c r="B60" s="315" t="s">
        <v>21</v>
      </c>
      <c r="C60" s="607">
        <v>-200000</v>
      </c>
      <c r="D60" s="319"/>
      <c r="E60" s="319"/>
      <c r="F60" s="319"/>
      <c r="G60" s="319"/>
      <c r="H60" s="319">
        <f>C60+D60-E60-F60-G60</f>
        <v>-200000</v>
      </c>
    </row>
    <row r="61" spans="1:11" s="324" customFormat="1">
      <c r="A61" s="324" t="s">
        <v>6002</v>
      </c>
      <c r="C61" s="324">
        <f>C41+C47+C45+C53+C59</f>
        <v>1803500</v>
      </c>
      <c r="D61" s="325"/>
      <c r="E61" s="325"/>
    </row>
    <row r="62" spans="1:11">
      <c r="A62" s="318"/>
      <c r="B62" s="315" t="s">
        <v>21</v>
      </c>
      <c r="C62" s="319">
        <f>C42+C48+C54+C60</f>
        <v>581200</v>
      </c>
      <c r="D62" s="319"/>
      <c r="E62" s="319"/>
      <c r="F62" s="319"/>
      <c r="G62" s="319"/>
      <c r="H62" s="319"/>
    </row>
    <row r="63" spans="1:11">
      <c r="A63" s="318"/>
      <c r="B63" s="315" t="s">
        <v>24</v>
      </c>
      <c r="C63" s="319">
        <f>C43+C49+C55</f>
        <v>230300</v>
      </c>
      <c r="D63" s="319"/>
      <c r="E63" s="319"/>
      <c r="F63" s="319"/>
      <c r="G63" s="319"/>
      <c r="H63" s="319"/>
    </row>
    <row r="64" spans="1:11">
      <c r="A64" s="318"/>
      <c r="B64" s="315" t="s">
        <v>6003</v>
      </c>
      <c r="C64" s="319">
        <f>C44+C50+C56</f>
        <v>300000</v>
      </c>
      <c r="D64" s="319"/>
      <c r="E64" s="319"/>
      <c r="F64" s="319"/>
      <c r="G64" s="319"/>
      <c r="H64" s="326"/>
      <c r="K64" s="327"/>
    </row>
    <row r="65" spans="1:6">
      <c r="B65" s="315" t="s">
        <v>263</v>
      </c>
      <c r="C65" s="609">
        <f>C51+C46+C57</f>
        <v>692000</v>
      </c>
      <c r="D65" s="319"/>
      <c r="E65" s="319"/>
    </row>
    <row r="66" spans="1:6">
      <c r="B66" s="315" t="s">
        <v>5005</v>
      </c>
      <c r="C66" s="609">
        <f>C52+C58</f>
        <v>0</v>
      </c>
      <c r="D66" s="319"/>
      <c r="E66" s="319"/>
    </row>
    <row r="67" spans="1:6">
      <c r="C67" s="317">
        <f>SUM(C62:C66)</f>
        <v>1803500</v>
      </c>
    </row>
    <row r="68" spans="1:6">
      <c r="C68" s="328"/>
    </row>
    <row r="69" spans="1:6" s="483" customFormat="1">
      <c r="B69" s="561" t="s">
        <v>2611</v>
      </c>
      <c r="C69" s="329" t="s">
        <v>6004</v>
      </c>
      <c r="D69" s="317"/>
      <c r="E69" s="610" t="s">
        <v>6005</v>
      </c>
    </row>
    <row r="70" spans="1:6" s="483" customFormat="1">
      <c r="A70" s="329" t="s">
        <v>6006</v>
      </c>
      <c r="B70" s="483">
        <f>88000*3</f>
        <v>264000</v>
      </c>
      <c r="C70" s="329" t="s">
        <v>6007</v>
      </c>
      <c r="D70" s="317"/>
      <c r="F70" s="317"/>
    </row>
    <row r="71" spans="1:6" s="483" customFormat="1">
      <c r="A71" s="329" t="s">
        <v>6008</v>
      </c>
      <c r="B71" s="483">
        <v>240000</v>
      </c>
      <c r="C71" s="329" t="s">
        <v>6009</v>
      </c>
      <c r="D71" s="317"/>
      <c r="F71" s="317"/>
    </row>
    <row r="72" spans="1:6" s="483" customFormat="1">
      <c r="A72" s="329" t="s">
        <v>6010</v>
      </c>
      <c r="B72" s="483">
        <v>200000</v>
      </c>
      <c r="C72" s="329" t="s">
        <v>6011</v>
      </c>
      <c r="D72" s="317"/>
    </row>
    <row r="73" spans="1:6" s="483" customFormat="1">
      <c r="B73" s="483">
        <f>SUM(B70:B72)</f>
        <v>704000</v>
      </c>
      <c r="C73" s="483" t="s">
        <v>2377</v>
      </c>
      <c r="D73" s="317"/>
    </row>
    <row r="76" spans="1:6">
      <c r="B76" s="317" t="s">
        <v>6012</v>
      </c>
      <c r="D76" s="610" t="s">
        <v>6013</v>
      </c>
    </row>
    <row r="78" spans="1:6">
      <c r="C78" s="317" t="s">
        <v>4493</v>
      </c>
    </row>
    <row r="80" spans="1:6">
      <c r="C80" s="317" t="s">
        <v>4492</v>
      </c>
    </row>
    <row r="81" spans="3:3">
      <c r="C81" s="317" t="s">
        <v>4491</v>
      </c>
    </row>
    <row r="82" spans="3:3">
      <c r="C82" s="317" t="s">
        <v>4490</v>
      </c>
    </row>
    <row r="83" spans="3:3">
      <c r="C83" s="317" t="s">
        <v>4489</v>
      </c>
    </row>
    <row r="85" spans="3:3">
      <c r="C85" s="317" t="s">
        <v>4488</v>
      </c>
    </row>
    <row r="86" spans="3:3">
      <c r="C86" s="317" t="s">
        <v>4487</v>
      </c>
    </row>
    <row r="87" spans="3:3">
      <c r="C87" s="317" t="s">
        <v>4486</v>
      </c>
    </row>
    <row r="88" spans="3:3">
      <c r="C88" s="317" t="s">
        <v>4485</v>
      </c>
    </row>
    <row r="89" spans="3:3">
      <c r="C89" s="317" t="s">
        <v>4484</v>
      </c>
    </row>
    <row r="90" spans="3:3">
      <c r="C90" s="317" t="s">
        <v>4483</v>
      </c>
    </row>
    <row r="91" spans="3:3">
      <c r="C91" s="317" t="s">
        <v>4482</v>
      </c>
    </row>
    <row r="92" spans="3:3">
      <c r="C92" s="317" t="s">
        <v>4481</v>
      </c>
    </row>
    <row r="93" spans="3:3">
      <c r="C93" s="317" t="s">
        <v>4480</v>
      </c>
    </row>
    <row r="94" spans="3:3">
      <c r="C94" s="317" t="s">
        <v>4479</v>
      </c>
    </row>
  </sheetData>
  <phoneticPr fontId="3" type="noConversion"/>
  <hyperlinks>
    <hyperlink ref="D76" r:id="rId1"/>
    <hyperlink ref="E69" r:id="rId2"/>
  </hyperlinks>
  <pageMargins left="0.75" right="0.75" top="1" bottom="1" header="0.5" footer="0.5"/>
  <pageSetup paperSize="9" orientation="portrait" r:id="rId3"/>
  <headerFooter alignWithMargins="0"/>
  <drawing r:id="rId4"/>
  <legacyDrawing r:id="rId5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9"/>
  <sheetViews>
    <sheetView zoomScale="75" workbookViewId="0">
      <pane ySplit="2" topLeftCell="A45" activePane="bottomLeft" state="frozen"/>
      <selection activeCell="K41" sqref="K41:K48"/>
      <selection pane="bottomLeft" activeCell="C52" sqref="C52"/>
    </sheetView>
  </sheetViews>
  <sheetFormatPr defaultColWidth="9" defaultRowHeight="16.5"/>
  <cols>
    <col min="1" max="1" width="15" style="721" customWidth="1"/>
    <col min="2" max="2" width="10.25" style="721" customWidth="1"/>
    <col min="3" max="7" width="9" style="723"/>
    <col min="8" max="8" width="10.75" style="723" customWidth="1"/>
    <col min="9" max="9" width="9" style="723"/>
    <col min="10" max="10" width="3.875" style="723" customWidth="1"/>
    <col min="11" max="11" width="9" style="721"/>
    <col min="12" max="12" width="9.125" style="723" bestFit="1" customWidth="1"/>
    <col min="13" max="16384" width="9" style="723"/>
  </cols>
  <sheetData>
    <row r="1" spans="1:10">
      <c r="B1" s="722" t="s">
        <v>813</v>
      </c>
      <c r="C1" s="723">
        <f t="shared" ref="C1:I1" si="0">SUM(C3:C40)</f>
        <v>1279500</v>
      </c>
      <c r="D1" s="723">
        <f t="shared" si="0"/>
        <v>57600</v>
      </c>
      <c r="E1" s="723">
        <f t="shared" si="0"/>
        <v>13176</v>
      </c>
      <c r="F1" s="723">
        <f t="shared" si="0"/>
        <v>36396</v>
      </c>
      <c r="G1" s="723">
        <f t="shared" si="0"/>
        <v>0</v>
      </c>
      <c r="H1" s="723">
        <f t="shared" si="0"/>
        <v>1287528</v>
      </c>
      <c r="I1" s="723">
        <f t="shared" si="0"/>
        <v>1287528</v>
      </c>
    </row>
    <row r="2" spans="1:10">
      <c r="A2" s="721" t="s">
        <v>19</v>
      </c>
      <c r="B2" s="721" t="s">
        <v>20</v>
      </c>
      <c r="C2" s="721" t="s">
        <v>2919</v>
      </c>
      <c r="D2" s="721" t="s">
        <v>2920</v>
      </c>
      <c r="E2" s="721" t="s">
        <v>22</v>
      </c>
      <c r="F2" s="721" t="s">
        <v>23</v>
      </c>
      <c r="G2" s="721" t="s">
        <v>25</v>
      </c>
      <c r="H2" s="721" t="s">
        <v>1214</v>
      </c>
      <c r="I2" s="721"/>
      <c r="J2" s="721"/>
    </row>
    <row r="3" spans="1:10">
      <c r="A3" s="724" t="s">
        <v>14680</v>
      </c>
      <c r="B3" s="721" t="s">
        <v>21</v>
      </c>
      <c r="C3" s="725">
        <v>62600</v>
      </c>
      <c r="D3" s="725">
        <v>2400</v>
      </c>
      <c r="E3" s="725">
        <v>834</v>
      </c>
      <c r="F3" s="725">
        <v>2712</v>
      </c>
      <c r="G3" s="725"/>
      <c r="H3" s="725">
        <f t="shared" ref="H3:H40" si="1">C3+D3-E3-F3-G3</f>
        <v>61454</v>
      </c>
      <c r="I3" s="725"/>
      <c r="J3" s="725"/>
    </row>
    <row r="4" spans="1:10">
      <c r="A4" s="724"/>
      <c r="B4" s="721" t="s">
        <v>24</v>
      </c>
      <c r="C4" s="725">
        <v>12000</v>
      </c>
      <c r="D4" s="725"/>
      <c r="E4" s="725"/>
      <c r="F4" s="725"/>
      <c r="G4" s="725"/>
      <c r="H4" s="725">
        <f t="shared" si="1"/>
        <v>12000</v>
      </c>
      <c r="I4" s="725"/>
      <c r="J4" s="725"/>
    </row>
    <row r="5" spans="1:10">
      <c r="A5" s="724"/>
      <c r="B5" s="721" t="s">
        <v>14681</v>
      </c>
      <c r="C5" s="725">
        <v>27750</v>
      </c>
      <c r="D5" s="725">
        <v>2400</v>
      </c>
      <c r="E5" s="725">
        <v>182</v>
      </c>
      <c r="F5" s="725">
        <v>321</v>
      </c>
      <c r="G5" s="725"/>
      <c r="H5" s="725">
        <f t="shared" si="1"/>
        <v>29647</v>
      </c>
      <c r="I5" s="725">
        <f>SUM(H3:H5)</f>
        <v>103101</v>
      </c>
      <c r="J5" s="725"/>
    </row>
    <row r="6" spans="1:10">
      <c r="A6" s="724" t="s">
        <v>14682</v>
      </c>
      <c r="B6" s="721" t="s">
        <v>21</v>
      </c>
      <c r="C6" s="725">
        <v>62600</v>
      </c>
      <c r="D6" s="725">
        <v>2400</v>
      </c>
      <c r="E6" s="725">
        <v>834</v>
      </c>
      <c r="F6" s="725">
        <v>2712</v>
      </c>
      <c r="G6" s="725"/>
      <c r="H6" s="725">
        <f t="shared" si="1"/>
        <v>61454</v>
      </c>
      <c r="I6" s="725"/>
      <c r="J6" s="725"/>
    </row>
    <row r="7" spans="1:10">
      <c r="A7" s="724"/>
      <c r="B7" s="721" t="s">
        <v>24</v>
      </c>
      <c r="C7" s="725"/>
      <c r="D7" s="725"/>
      <c r="E7" s="725"/>
      <c r="F7" s="725"/>
      <c r="G7" s="725"/>
      <c r="H7" s="725">
        <f t="shared" si="1"/>
        <v>0</v>
      </c>
      <c r="I7" s="725"/>
      <c r="J7" s="725"/>
    </row>
    <row r="8" spans="1:10">
      <c r="A8" s="724"/>
      <c r="B8" s="721" t="s">
        <v>14681</v>
      </c>
      <c r="C8" s="725">
        <v>27750</v>
      </c>
      <c r="D8" s="725">
        <v>2400</v>
      </c>
      <c r="E8" s="725">
        <v>182</v>
      </c>
      <c r="F8" s="725">
        <v>321</v>
      </c>
      <c r="G8" s="725"/>
      <c r="H8" s="725">
        <f t="shared" si="1"/>
        <v>29647</v>
      </c>
      <c r="I8" s="725">
        <f>SUM(H6:H8)</f>
        <v>91101</v>
      </c>
      <c r="J8" s="725"/>
    </row>
    <row r="9" spans="1:10">
      <c r="A9" s="724" t="s">
        <v>14683</v>
      </c>
      <c r="B9" s="721" t="s">
        <v>21</v>
      </c>
      <c r="C9" s="725">
        <v>62600</v>
      </c>
      <c r="D9" s="725">
        <v>2400</v>
      </c>
      <c r="E9" s="725">
        <v>834</v>
      </c>
      <c r="F9" s="725">
        <v>2712</v>
      </c>
      <c r="G9" s="725"/>
      <c r="H9" s="725">
        <f t="shared" si="1"/>
        <v>61454</v>
      </c>
      <c r="I9" s="725"/>
      <c r="J9" s="725"/>
    </row>
    <row r="10" spans="1:10">
      <c r="A10" s="724"/>
      <c r="B10" s="721" t="s">
        <v>24</v>
      </c>
      <c r="C10" s="725">
        <v>13500</v>
      </c>
      <c r="D10" s="725"/>
      <c r="E10" s="725"/>
      <c r="F10" s="725"/>
      <c r="G10" s="725"/>
      <c r="H10" s="725">
        <f t="shared" si="1"/>
        <v>13500</v>
      </c>
      <c r="I10" s="725"/>
      <c r="J10" s="725"/>
    </row>
    <row r="11" spans="1:10">
      <c r="A11" s="724"/>
      <c r="B11" s="721" t="s">
        <v>14681</v>
      </c>
      <c r="C11" s="725">
        <v>27750</v>
      </c>
      <c r="D11" s="725">
        <v>2400</v>
      </c>
      <c r="E11" s="725">
        <v>182</v>
      </c>
      <c r="F11" s="725">
        <v>321</v>
      </c>
      <c r="G11" s="725"/>
      <c r="H11" s="725">
        <f t="shared" si="1"/>
        <v>29647</v>
      </c>
      <c r="I11" s="725">
        <f>SUM(H9:H11)</f>
        <v>104601</v>
      </c>
      <c r="J11" s="725"/>
    </row>
    <row r="12" spans="1:10">
      <c r="A12" s="724" t="s">
        <v>14684</v>
      </c>
      <c r="B12" s="721" t="s">
        <v>21</v>
      </c>
      <c r="C12" s="725">
        <v>62600</v>
      </c>
      <c r="D12" s="725">
        <v>2400</v>
      </c>
      <c r="E12" s="725">
        <v>834</v>
      </c>
      <c r="F12" s="725">
        <v>2712</v>
      </c>
      <c r="G12" s="725"/>
      <c r="H12" s="725">
        <f t="shared" si="1"/>
        <v>61454</v>
      </c>
      <c r="I12" s="725"/>
      <c r="J12" s="725"/>
    </row>
    <row r="13" spans="1:10">
      <c r="A13" s="724"/>
      <c r="B13" s="721" t="s">
        <v>24</v>
      </c>
      <c r="C13" s="725"/>
      <c r="D13" s="725"/>
      <c r="E13" s="725"/>
      <c r="F13" s="725"/>
      <c r="G13" s="725"/>
      <c r="H13" s="725">
        <f t="shared" si="1"/>
        <v>0</v>
      </c>
      <c r="I13" s="725"/>
      <c r="J13" s="725"/>
    </row>
    <row r="14" spans="1:10">
      <c r="A14" s="724"/>
      <c r="B14" s="721" t="s">
        <v>14685</v>
      </c>
      <c r="C14" s="725">
        <v>27750</v>
      </c>
      <c r="D14" s="725">
        <v>2400</v>
      </c>
      <c r="E14" s="725">
        <v>182</v>
      </c>
      <c r="F14" s="725">
        <v>321</v>
      </c>
      <c r="G14" s="725"/>
      <c r="H14" s="725">
        <f t="shared" si="1"/>
        <v>29647</v>
      </c>
      <c r="I14" s="725">
        <f>SUM(H12:H14)</f>
        <v>91101</v>
      </c>
      <c r="J14" s="725"/>
    </row>
    <row r="15" spans="1:10">
      <c r="A15" s="724" t="s">
        <v>14686</v>
      </c>
      <c r="B15" s="721" t="s">
        <v>21</v>
      </c>
      <c r="C15" s="725">
        <v>62600</v>
      </c>
      <c r="D15" s="725">
        <v>2400</v>
      </c>
      <c r="E15" s="725">
        <v>834</v>
      </c>
      <c r="F15" s="725">
        <v>2712</v>
      </c>
      <c r="G15" s="725"/>
      <c r="H15" s="725">
        <f t="shared" si="1"/>
        <v>61454</v>
      </c>
      <c r="I15" s="725"/>
      <c r="J15" s="725"/>
    </row>
    <row r="16" spans="1:10">
      <c r="A16" s="724"/>
      <c r="B16" s="721" t="s">
        <v>24</v>
      </c>
      <c r="C16" s="725">
        <v>39500</v>
      </c>
      <c r="D16" s="725"/>
      <c r="E16" s="725"/>
      <c r="F16" s="725"/>
      <c r="G16" s="725"/>
      <c r="H16" s="725">
        <f t="shared" si="1"/>
        <v>39500</v>
      </c>
      <c r="I16" s="725"/>
      <c r="J16" s="725"/>
    </row>
    <row r="17" spans="1:10">
      <c r="A17" s="724"/>
      <c r="B17" s="721" t="s">
        <v>14681</v>
      </c>
      <c r="C17" s="725">
        <v>27750</v>
      </c>
      <c r="D17" s="725">
        <v>2400</v>
      </c>
      <c r="E17" s="725">
        <v>182</v>
      </c>
      <c r="F17" s="725">
        <v>321</v>
      </c>
      <c r="G17" s="725"/>
      <c r="H17" s="725">
        <f t="shared" si="1"/>
        <v>29647</v>
      </c>
      <c r="I17" s="725">
        <f>SUM(H15:H17)</f>
        <v>130601</v>
      </c>
      <c r="J17" s="725"/>
    </row>
    <row r="18" spans="1:10">
      <c r="A18" s="724" t="s">
        <v>14687</v>
      </c>
      <c r="B18" s="721" t="s">
        <v>21</v>
      </c>
      <c r="C18" s="725">
        <v>62600</v>
      </c>
      <c r="D18" s="725">
        <v>2400</v>
      </c>
      <c r="E18" s="725">
        <v>834</v>
      </c>
      <c r="F18" s="725">
        <v>2712</v>
      </c>
      <c r="G18" s="725"/>
      <c r="H18" s="725">
        <f t="shared" si="1"/>
        <v>61454</v>
      </c>
      <c r="I18" s="725"/>
      <c r="J18" s="725"/>
    </row>
    <row r="19" spans="1:10">
      <c r="A19" s="724"/>
      <c r="B19" s="721" t="s">
        <v>24</v>
      </c>
      <c r="C19" s="725">
        <v>22500</v>
      </c>
      <c r="D19" s="725"/>
      <c r="E19" s="725"/>
      <c r="F19" s="725"/>
      <c r="G19" s="725"/>
      <c r="H19" s="725">
        <f t="shared" si="1"/>
        <v>22500</v>
      </c>
      <c r="I19" s="725"/>
      <c r="J19" s="725"/>
    </row>
    <row r="20" spans="1:10">
      <c r="A20" s="724"/>
      <c r="B20" s="721" t="s">
        <v>14681</v>
      </c>
      <c r="C20" s="725">
        <v>27750</v>
      </c>
      <c r="D20" s="725">
        <v>2400</v>
      </c>
      <c r="E20" s="725">
        <v>182</v>
      </c>
      <c r="F20" s="725">
        <v>321</v>
      </c>
      <c r="G20" s="725"/>
      <c r="H20" s="725">
        <f t="shared" si="1"/>
        <v>29647</v>
      </c>
      <c r="I20" s="725">
        <f>SUM(H18:H20)</f>
        <v>113601</v>
      </c>
      <c r="J20" s="725"/>
    </row>
    <row r="21" spans="1:10">
      <c r="A21" s="724" t="s">
        <v>14688</v>
      </c>
      <c r="B21" s="721" t="s">
        <v>21</v>
      </c>
      <c r="C21" s="725">
        <v>62600</v>
      </c>
      <c r="D21" s="725">
        <v>2400</v>
      </c>
      <c r="E21" s="725">
        <v>834</v>
      </c>
      <c r="F21" s="725">
        <v>2712</v>
      </c>
      <c r="G21" s="725"/>
      <c r="H21" s="725">
        <f t="shared" si="1"/>
        <v>61454</v>
      </c>
      <c r="I21" s="725"/>
      <c r="J21" s="725"/>
    </row>
    <row r="22" spans="1:10">
      <c r="A22" s="724"/>
      <c r="B22" s="721" t="s">
        <v>24</v>
      </c>
      <c r="C22" s="725">
        <v>18000</v>
      </c>
      <c r="D22" s="725"/>
      <c r="E22" s="725"/>
      <c r="F22" s="725"/>
      <c r="G22" s="725"/>
      <c r="H22" s="725">
        <f t="shared" si="1"/>
        <v>18000</v>
      </c>
      <c r="I22" s="725"/>
      <c r="J22" s="725"/>
    </row>
    <row r="23" spans="1:10">
      <c r="A23" s="724"/>
      <c r="B23" s="721" t="s">
        <v>4497</v>
      </c>
      <c r="C23" s="725">
        <v>27750</v>
      </c>
      <c r="D23" s="725">
        <v>2400</v>
      </c>
      <c r="E23" s="725">
        <v>182</v>
      </c>
      <c r="F23" s="725">
        <v>321</v>
      </c>
      <c r="G23" s="725"/>
      <c r="H23" s="725">
        <f t="shared" si="1"/>
        <v>29647</v>
      </c>
      <c r="I23" s="725">
        <f>SUM(H21:H23)</f>
        <v>109101</v>
      </c>
      <c r="J23" s="725"/>
    </row>
    <row r="24" spans="1:10">
      <c r="A24" s="724" t="s">
        <v>14689</v>
      </c>
      <c r="B24" s="721" t="s">
        <v>21</v>
      </c>
      <c r="C24" s="725">
        <v>62600</v>
      </c>
      <c r="D24" s="725">
        <v>2400</v>
      </c>
      <c r="E24" s="725">
        <v>834</v>
      </c>
      <c r="F24" s="725">
        <v>2712</v>
      </c>
      <c r="G24" s="725"/>
      <c r="H24" s="725">
        <f t="shared" si="1"/>
        <v>61454</v>
      </c>
      <c r="I24" s="725"/>
      <c r="J24" s="725"/>
    </row>
    <row r="25" spans="1:10">
      <c r="A25" s="724"/>
      <c r="B25" s="721" t="s">
        <v>24</v>
      </c>
      <c r="C25" s="725"/>
      <c r="D25" s="725"/>
      <c r="E25" s="725"/>
      <c r="F25" s="725"/>
      <c r="G25" s="725"/>
      <c r="H25" s="725">
        <f t="shared" si="1"/>
        <v>0</v>
      </c>
      <c r="I25" s="725"/>
      <c r="J25" s="725"/>
    </row>
    <row r="26" spans="1:10">
      <c r="A26" s="724"/>
      <c r="B26" s="721" t="s">
        <v>14690</v>
      </c>
      <c r="C26" s="725">
        <v>27750</v>
      </c>
      <c r="D26" s="725">
        <v>2400</v>
      </c>
      <c r="E26" s="725">
        <v>182</v>
      </c>
      <c r="F26" s="725">
        <v>321</v>
      </c>
      <c r="G26" s="725"/>
      <c r="H26" s="725">
        <f t="shared" si="1"/>
        <v>29647</v>
      </c>
      <c r="I26" s="725">
        <f>SUM(H24:H26)</f>
        <v>91101</v>
      </c>
      <c r="J26" s="725"/>
    </row>
    <row r="27" spans="1:10">
      <c r="A27" s="724" t="s">
        <v>14691</v>
      </c>
      <c r="B27" s="721" t="s">
        <v>21</v>
      </c>
      <c r="C27" s="725">
        <v>62600</v>
      </c>
      <c r="D27" s="725">
        <v>2400</v>
      </c>
      <c r="E27" s="725">
        <v>1008</v>
      </c>
      <c r="F27" s="725">
        <v>2712</v>
      </c>
      <c r="G27" s="725"/>
      <c r="H27" s="725">
        <f t="shared" si="1"/>
        <v>61280</v>
      </c>
      <c r="I27" s="725"/>
      <c r="J27" s="725"/>
    </row>
    <row r="28" spans="1:10">
      <c r="A28" s="724"/>
      <c r="B28" s="721" t="s">
        <v>24</v>
      </c>
      <c r="C28" s="725">
        <v>19800</v>
      </c>
      <c r="D28" s="725"/>
      <c r="E28" s="725"/>
      <c r="F28" s="725"/>
      <c r="G28" s="725"/>
      <c r="H28" s="725">
        <f t="shared" si="1"/>
        <v>19800</v>
      </c>
      <c r="I28" s="725"/>
      <c r="J28" s="725"/>
    </row>
    <row r="29" spans="1:10">
      <c r="A29" s="724"/>
      <c r="B29" s="721" t="s">
        <v>4497</v>
      </c>
      <c r="C29" s="725">
        <v>27750</v>
      </c>
      <c r="D29" s="725">
        <v>2400</v>
      </c>
      <c r="E29" s="725">
        <v>254</v>
      </c>
      <c r="F29" s="725">
        <v>321</v>
      </c>
      <c r="G29" s="725"/>
      <c r="H29" s="725">
        <f t="shared" si="1"/>
        <v>29575</v>
      </c>
      <c r="I29" s="725">
        <f>SUM(H27:H29)</f>
        <v>110655</v>
      </c>
      <c r="J29" s="725"/>
    </row>
    <row r="30" spans="1:10">
      <c r="A30" s="724" t="s">
        <v>14692</v>
      </c>
      <c r="B30" s="721" t="s">
        <v>21</v>
      </c>
      <c r="C30" s="725">
        <v>62600</v>
      </c>
      <c r="D30" s="725">
        <v>2400</v>
      </c>
      <c r="E30" s="725">
        <v>1008</v>
      </c>
      <c r="F30" s="725">
        <v>2712</v>
      </c>
      <c r="G30" s="725"/>
      <c r="H30" s="725">
        <f t="shared" si="1"/>
        <v>61280</v>
      </c>
      <c r="I30" s="725"/>
      <c r="J30" s="725"/>
    </row>
    <row r="31" spans="1:10">
      <c r="A31" s="724"/>
      <c r="B31" s="721" t="s">
        <v>24</v>
      </c>
      <c r="C31" s="725">
        <v>21000</v>
      </c>
      <c r="D31" s="725"/>
      <c r="E31" s="725"/>
      <c r="F31" s="725"/>
      <c r="G31" s="725"/>
      <c r="H31" s="725">
        <f t="shared" si="1"/>
        <v>21000</v>
      </c>
      <c r="I31" s="725"/>
      <c r="J31" s="725"/>
    </row>
    <row r="32" spans="1:10">
      <c r="A32" s="724"/>
      <c r="B32" s="721" t="s">
        <v>4497</v>
      </c>
      <c r="C32" s="725">
        <v>27750</v>
      </c>
      <c r="D32" s="725">
        <v>2400</v>
      </c>
      <c r="E32" s="725">
        <v>254</v>
      </c>
      <c r="F32" s="725">
        <v>321</v>
      </c>
      <c r="G32" s="725"/>
      <c r="H32" s="725">
        <f t="shared" si="1"/>
        <v>29575</v>
      </c>
      <c r="I32" s="725">
        <f>SUM(H30:H32)</f>
        <v>111855</v>
      </c>
      <c r="J32" s="725"/>
    </row>
    <row r="33" spans="1:11">
      <c r="A33" s="724" t="s">
        <v>14693</v>
      </c>
      <c r="B33" s="721" t="s">
        <v>21</v>
      </c>
      <c r="C33" s="725">
        <v>62600</v>
      </c>
      <c r="D33" s="725">
        <v>2400</v>
      </c>
      <c r="E33" s="725">
        <v>1008</v>
      </c>
      <c r="F33" s="725">
        <v>2712</v>
      </c>
      <c r="G33" s="725"/>
      <c r="H33" s="725">
        <f t="shared" si="1"/>
        <v>61280</v>
      </c>
      <c r="I33" s="725"/>
      <c r="J33" s="725"/>
    </row>
    <row r="34" spans="1:11">
      <c r="A34" s="724"/>
      <c r="B34" s="721" t="s">
        <v>24</v>
      </c>
      <c r="C34" s="725">
        <v>18000</v>
      </c>
      <c r="D34" s="725"/>
      <c r="E34" s="725"/>
      <c r="F34" s="725"/>
      <c r="G34" s="725"/>
      <c r="H34" s="725">
        <f t="shared" si="1"/>
        <v>18000</v>
      </c>
      <c r="I34" s="725"/>
      <c r="J34" s="725"/>
    </row>
    <row r="35" spans="1:11">
      <c r="A35" s="724"/>
      <c r="B35" s="721" t="s">
        <v>14694</v>
      </c>
      <c r="C35" s="725">
        <v>27750</v>
      </c>
      <c r="D35" s="725">
        <v>2400</v>
      </c>
      <c r="E35" s="725">
        <v>254</v>
      </c>
      <c r="F35" s="725">
        <v>321</v>
      </c>
      <c r="G35" s="725"/>
      <c r="H35" s="725">
        <f t="shared" si="1"/>
        <v>29575</v>
      </c>
      <c r="I35" s="725">
        <f>SUM(H33:H35)</f>
        <v>108855</v>
      </c>
      <c r="J35" s="725"/>
    </row>
    <row r="36" spans="1:11">
      <c r="A36" s="724" t="s">
        <v>14695</v>
      </c>
      <c r="B36" s="721" t="s">
        <v>21</v>
      </c>
      <c r="C36" s="725">
        <v>62600</v>
      </c>
      <c r="D36" s="725">
        <v>2400</v>
      </c>
      <c r="E36" s="725">
        <v>1008</v>
      </c>
      <c r="F36" s="725">
        <v>2712</v>
      </c>
      <c r="G36" s="725"/>
      <c r="H36" s="725">
        <f t="shared" si="1"/>
        <v>61280</v>
      </c>
    </row>
    <row r="37" spans="1:11">
      <c r="A37" s="724"/>
      <c r="B37" s="721" t="s">
        <v>24</v>
      </c>
      <c r="C37" s="726">
        <v>31000</v>
      </c>
      <c r="D37" s="725"/>
      <c r="E37" s="725"/>
      <c r="F37" s="725"/>
      <c r="G37" s="725"/>
      <c r="H37" s="725">
        <f t="shared" si="1"/>
        <v>31000</v>
      </c>
    </row>
    <row r="38" spans="1:11">
      <c r="A38" s="724"/>
      <c r="B38" s="721" t="s">
        <v>14690</v>
      </c>
      <c r="C38" s="725">
        <v>27750</v>
      </c>
      <c r="D38" s="725">
        <v>2400</v>
      </c>
      <c r="E38" s="725">
        <v>254</v>
      </c>
      <c r="F38" s="725">
        <v>321</v>
      </c>
      <c r="G38" s="725"/>
      <c r="H38" s="725">
        <f t="shared" si="1"/>
        <v>29575</v>
      </c>
      <c r="I38" s="723">
        <f>SUM(H36:H38)</f>
        <v>121855</v>
      </c>
    </row>
    <row r="39" spans="1:11">
      <c r="A39" s="721" t="s">
        <v>14696</v>
      </c>
      <c r="B39" s="721" t="s">
        <v>21</v>
      </c>
      <c r="C39" s="725"/>
      <c r="D39" s="725"/>
      <c r="E39" s="725"/>
      <c r="F39" s="725"/>
      <c r="G39" s="725"/>
      <c r="H39" s="725">
        <f t="shared" si="1"/>
        <v>0</v>
      </c>
      <c r="I39" s="723">
        <f>SUM(H39:H39)</f>
        <v>0</v>
      </c>
    </row>
    <row r="40" spans="1:11">
      <c r="A40" s="721" t="s">
        <v>14697</v>
      </c>
      <c r="B40" s="721" t="s">
        <v>14698</v>
      </c>
      <c r="C40" s="725"/>
      <c r="D40" s="725"/>
      <c r="E40" s="725"/>
      <c r="F40" s="725"/>
      <c r="G40" s="725"/>
      <c r="H40" s="725">
        <f t="shared" si="1"/>
        <v>0</v>
      </c>
      <c r="I40" s="723">
        <f>SUM(H40:H40)</f>
        <v>0</v>
      </c>
    </row>
    <row r="41" spans="1:11" s="727" customFormat="1">
      <c r="A41" s="727" t="s">
        <v>14699</v>
      </c>
      <c r="C41" s="727">
        <f t="shared" ref="C41:H41" si="2">SUM(C42:C44)</f>
        <v>1279500</v>
      </c>
      <c r="D41" s="727">
        <f t="shared" si="2"/>
        <v>57600</v>
      </c>
      <c r="E41" s="727">
        <f t="shared" si="2"/>
        <v>13176</v>
      </c>
      <c r="F41" s="727">
        <f t="shared" si="2"/>
        <v>36396</v>
      </c>
      <c r="G41" s="727">
        <f t="shared" si="2"/>
        <v>0</v>
      </c>
      <c r="H41" s="727">
        <f t="shared" si="2"/>
        <v>1287528</v>
      </c>
    </row>
    <row r="42" spans="1:11">
      <c r="A42" s="724" t="s">
        <v>14700</v>
      </c>
      <c r="B42" s="721" t="s">
        <v>21</v>
      </c>
      <c r="C42" s="725">
        <f>C3+C6+C9+C12+C15+C18+C21+C24+C27+C30+C33+C36+C39</f>
        <v>751200</v>
      </c>
      <c r="D42" s="725">
        <f t="shared" ref="D42:F43" si="3">D3+D6+D9+D12+D15+D18+D21+D24+D27+D30+D33+D36</f>
        <v>28800</v>
      </c>
      <c r="E42" s="725">
        <f t="shared" si="3"/>
        <v>10704</v>
      </c>
      <c r="F42" s="725">
        <f t="shared" si="3"/>
        <v>32544</v>
      </c>
      <c r="G42" s="725"/>
      <c r="H42" s="725">
        <f>C42+D42-E42-F42-G42</f>
        <v>736752</v>
      </c>
    </row>
    <row r="43" spans="1:11">
      <c r="A43" s="724" t="s">
        <v>14700</v>
      </c>
      <c r="B43" s="721" t="s">
        <v>24</v>
      </c>
      <c r="C43" s="725">
        <f>C4+C7+C10+C13+C16+C19+C22+C25+C28+C31+C34+C37</f>
        <v>195300</v>
      </c>
      <c r="D43" s="725">
        <f t="shared" si="3"/>
        <v>0</v>
      </c>
      <c r="E43" s="725">
        <f t="shared" si="3"/>
        <v>0</v>
      </c>
      <c r="F43" s="725">
        <f t="shared" si="3"/>
        <v>0</v>
      </c>
      <c r="G43" s="725"/>
      <c r="H43" s="725">
        <f>C43+D43-E43-F43-G43</f>
        <v>195300</v>
      </c>
    </row>
    <row r="44" spans="1:11">
      <c r="A44" s="724" t="s">
        <v>14701</v>
      </c>
      <c r="B44" s="721" t="s">
        <v>14698</v>
      </c>
      <c r="C44" s="725">
        <f>C5+C8+C11+C14+C17+C20+C23+C26+C29+C32+C35+C38+C40</f>
        <v>333000</v>
      </c>
      <c r="D44" s="725">
        <f>D5+D8+D11+D14+D17++D20+D23+D26+D29+D32+D35+D38</f>
        <v>28800</v>
      </c>
      <c r="E44" s="725">
        <f>E5+E8+E11+E14+E17+E20+E23+E26+E29+E32+E35+E38</f>
        <v>2472</v>
      </c>
      <c r="F44" s="725">
        <f>F5+F8+F11+F14+F17+F20+F23+F26+F29+F32+F35+F38</f>
        <v>3852</v>
      </c>
      <c r="G44" s="725"/>
      <c r="H44" s="725">
        <f>C44+D44-E44-F44-G44</f>
        <v>355476</v>
      </c>
    </row>
    <row r="45" spans="1:11" s="728" customFormat="1">
      <c r="A45" s="728" t="s">
        <v>14702</v>
      </c>
      <c r="C45" s="728">
        <f>SUM(C46:C46)</f>
        <v>696000</v>
      </c>
    </row>
    <row r="46" spans="1:11">
      <c r="A46" s="721" t="s">
        <v>14703</v>
      </c>
      <c r="B46" s="721" t="s">
        <v>263</v>
      </c>
      <c r="C46" s="729">
        <f>58000*12</f>
        <v>696000</v>
      </c>
      <c r="D46" s="725"/>
      <c r="E46" s="725"/>
      <c r="F46" s="725"/>
      <c r="G46" s="725"/>
      <c r="H46" s="725">
        <f>C46+D46-E46-F46-G46</f>
        <v>696000</v>
      </c>
      <c r="K46" s="721">
        <f>54*12</f>
        <v>648</v>
      </c>
    </row>
    <row r="47" spans="1:11" s="728" customFormat="1">
      <c r="A47" s="728" t="s">
        <v>14704</v>
      </c>
      <c r="C47" s="728">
        <f>SUM(C48:C52)</f>
        <v>71400</v>
      </c>
    </row>
    <row r="48" spans="1:11">
      <c r="A48" s="724" t="s">
        <v>14705</v>
      </c>
      <c r="B48" s="721" t="s">
        <v>21</v>
      </c>
      <c r="C48" s="725">
        <v>102600</v>
      </c>
      <c r="D48" s="725"/>
      <c r="E48" s="725"/>
      <c r="F48" s="725"/>
      <c r="G48" s="725"/>
      <c r="H48" s="725">
        <f>C48+D48-E48-F48-G48</f>
        <v>102600</v>
      </c>
    </row>
    <row r="49" spans="1:11">
      <c r="A49" s="724" t="s">
        <v>14706</v>
      </c>
      <c r="B49" s="721" t="s">
        <v>24</v>
      </c>
      <c r="C49" s="725">
        <v>18000</v>
      </c>
      <c r="D49" s="725"/>
      <c r="E49" s="725"/>
      <c r="F49" s="725"/>
      <c r="G49" s="725"/>
      <c r="H49" s="725">
        <f>C49+D49-E49-F49-G49</f>
        <v>18000</v>
      </c>
    </row>
    <row r="50" spans="1:11">
      <c r="A50" s="724" t="s">
        <v>5988</v>
      </c>
      <c r="B50" s="721" t="s">
        <v>14707</v>
      </c>
      <c r="C50" s="725">
        <v>25000</v>
      </c>
      <c r="D50" s="725"/>
      <c r="E50" s="725"/>
      <c r="F50" s="725"/>
      <c r="G50" s="725"/>
      <c r="H50" s="725">
        <f>C50+D50-E50-F50-G50</f>
        <v>25000</v>
      </c>
    </row>
    <row r="51" spans="1:11">
      <c r="A51" s="724" t="s">
        <v>14708</v>
      </c>
      <c r="B51" s="721" t="s">
        <v>263</v>
      </c>
      <c r="C51" s="729">
        <v>58000</v>
      </c>
      <c r="D51" s="725"/>
      <c r="E51" s="725"/>
      <c r="F51" s="725"/>
      <c r="G51" s="725"/>
      <c r="H51" s="725">
        <f>C51+D51-E51-F51-G51</f>
        <v>58000</v>
      </c>
    </row>
    <row r="52" spans="1:11">
      <c r="A52" s="724" t="s">
        <v>14709</v>
      </c>
      <c r="B52" s="721" t="s">
        <v>14710</v>
      </c>
      <c r="C52" s="729">
        <v>-132200</v>
      </c>
      <c r="D52" s="725"/>
      <c r="E52" s="725"/>
      <c r="F52" s="725"/>
      <c r="G52" s="725"/>
      <c r="H52" s="725"/>
    </row>
    <row r="53" spans="1:11" s="730" customFormat="1">
      <c r="A53" s="730" t="s">
        <v>14711</v>
      </c>
      <c r="C53" s="731">
        <f>SUM(C54:C58)</f>
        <v>-47150</v>
      </c>
    </row>
    <row r="54" spans="1:11">
      <c r="A54" s="724" t="s">
        <v>14712</v>
      </c>
      <c r="B54" s="721" t="s">
        <v>21</v>
      </c>
      <c r="C54" s="725">
        <f>-C36-C39</f>
        <v>-62600</v>
      </c>
      <c r="D54" s="725"/>
      <c r="E54" s="725"/>
      <c r="F54" s="725"/>
      <c r="G54" s="725"/>
      <c r="H54" s="725">
        <f>C54+D54-E54-F54-G54</f>
        <v>-62600</v>
      </c>
    </row>
    <row r="55" spans="1:11">
      <c r="A55" s="724" t="s">
        <v>14713</v>
      </c>
      <c r="B55" s="721" t="s">
        <v>24</v>
      </c>
      <c r="C55" s="725">
        <f>-C37</f>
        <v>-31000</v>
      </c>
      <c r="D55" s="725"/>
      <c r="E55" s="725"/>
      <c r="F55" s="725"/>
      <c r="G55" s="725"/>
      <c r="H55" s="725">
        <f>C55+D55-E55-F55-G55</f>
        <v>-31000</v>
      </c>
    </row>
    <row r="56" spans="1:11">
      <c r="A56" s="724" t="s">
        <v>14695</v>
      </c>
      <c r="B56" s="721" t="s">
        <v>4497</v>
      </c>
      <c r="C56" s="725">
        <f>-C38-C40</f>
        <v>-27750</v>
      </c>
      <c r="D56" s="725"/>
      <c r="E56" s="725"/>
      <c r="F56" s="725"/>
      <c r="G56" s="725"/>
      <c r="H56" s="725">
        <f>C56+D56-E56-F56-G56</f>
        <v>-27750</v>
      </c>
    </row>
    <row r="57" spans="1:11">
      <c r="A57" s="724" t="s">
        <v>14713</v>
      </c>
      <c r="B57" s="721" t="s">
        <v>263</v>
      </c>
      <c r="C57" s="729">
        <v>-58000</v>
      </c>
      <c r="D57" s="725"/>
      <c r="E57" s="725"/>
      <c r="F57" s="725"/>
      <c r="G57" s="725"/>
      <c r="H57" s="725">
        <f>C57+D57-E57-F57-G57</f>
        <v>-58000</v>
      </c>
    </row>
    <row r="58" spans="1:11">
      <c r="A58" s="724" t="s">
        <v>14714</v>
      </c>
      <c r="B58" s="721" t="s">
        <v>4498</v>
      </c>
      <c r="C58" s="729">
        <v>132200</v>
      </c>
      <c r="D58" s="726"/>
      <c r="E58" s="725"/>
      <c r="F58" s="725"/>
      <c r="G58" s="725"/>
      <c r="H58" s="725">
        <f>C58+D58-E58-F58-G58</f>
        <v>132200</v>
      </c>
    </row>
    <row r="59" spans="1:11" s="730" customFormat="1">
      <c r="A59" s="730" t="s">
        <v>14715</v>
      </c>
      <c r="C59" s="730">
        <f>SUM(C60)</f>
        <v>-200000</v>
      </c>
    </row>
    <row r="60" spans="1:11">
      <c r="A60" s="721" t="s">
        <v>14716</v>
      </c>
      <c r="B60" s="721" t="s">
        <v>21</v>
      </c>
      <c r="C60" s="729">
        <v>-200000</v>
      </c>
      <c r="D60" s="725"/>
      <c r="E60" s="725"/>
      <c r="F60" s="725"/>
      <c r="G60" s="725"/>
      <c r="H60" s="725">
        <f>C60+D60-E60-F60-G60</f>
        <v>-200000</v>
      </c>
    </row>
    <row r="61" spans="1:11" s="732" customFormat="1">
      <c r="A61" s="732" t="s">
        <v>14717</v>
      </c>
      <c r="C61" s="732">
        <f>C41+C47+C45+C53+C59</f>
        <v>1799750</v>
      </c>
      <c r="D61" s="733"/>
      <c r="E61" s="733"/>
    </row>
    <row r="62" spans="1:11">
      <c r="A62" s="724"/>
      <c r="B62" s="721" t="s">
        <v>21</v>
      </c>
      <c r="C62" s="725">
        <f>C42+C48+C54+C60</f>
        <v>591200</v>
      </c>
      <c r="D62" s="725"/>
      <c r="E62" s="725"/>
      <c r="F62" s="725"/>
      <c r="G62" s="725"/>
      <c r="H62" s="725"/>
    </row>
    <row r="63" spans="1:11">
      <c r="A63" s="724"/>
      <c r="B63" s="721" t="s">
        <v>24</v>
      </c>
      <c r="C63" s="725">
        <f>C43+C49+C55</f>
        <v>182300</v>
      </c>
      <c r="D63" s="725"/>
      <c r="E63" s="725"/>
      <c r="F63" s="725"/>
      <c r="G63" s="725"/>
      <c r="H63" s="725"/>
    </row>
    <row r="64" spans="1:11">
      <c r="A64" s="724"/>
      <c r="B64" s="721" t="s">
        <v>14718</v>
      </c>
      <c r="C64" s="725">
        <f>C44+C50+C56</f>
        <v>330250</v>
      </c>
      <c r="D64" s="725"/>
      <c r="E64" s="725"/>
      <c r="F64" s="725"/>
      <c r="G64" s="725"/>
      <c r="H64" s="734"/>
      <c r="K64" s="735"/>
    </row>
    <row r="65" spans="1:6">
      <c r="B65" s="721" t="s">
        <v>263</v>
      </c>
      <c r="C65" s="736">
        <f>C51+C46+C57</f>
        <v>696000</v>
      </c>
      <c r="D65" s="725"/>
      <c r="E65" s="725"/>
    </row>
    <row r="66" spans="1:6">
      <c r="B66" s="721" t="s">
        <v>5005</v>
      </c>
      <c r="C66" s="736">
        <f>C52+C58</f>
        <v>0</v>
      </c>
      <c r="D66" s="725"/>
      <c r="E66" s="725"/>
    </row>
    <row r="67" spans="1:6">
      <c r="C67" s="723">
        <f>SUM(C62:C66)</f>
        <v>1799750</v>
      </c>
    </row>
    <row r="69" spans="1:6">
      <c r="B69" s="737" t="s">
        <v>14719</v>
      </c>
    </row>
    <row r="70" spans="1:6">
      <c r="B70" s="737" t="s">
        <v>14720</v>
      </c>
    </row>
    <row r="71" spans="1:6">
      <c r="B71" s="737" t="s">
        <v>14721</v>
      </c>
    </row>
    <row r="72" spans="1:6">
      <c r="B72" s="737" t="s">
        <v>14722</v>
      </c>
    </row>
    <row r="73" spans="1:6" s="723" customFormat="1">
      <c r="A73" s="721"/>
      <c r="B73" s="721"/>
      <c r="C73" s="738"/>
    </row>
    <row r="74" spans="1:6" s="739" customFormat="1">
      <c r="B74" s="740" t="s">
        <v>2611</v>
      </c>
      <c r="C74" s="741" t="s">
        <v>14723</v>
      </c>
      <c r="D74" s="723"/>
      <c r="E74" s="742" t="s">
        <v>14724</v>
      </c>
    </row>
    <row r="75" spans="1:6" s="739" customFormat="1">
      <c r="A75" s="741" t="s">
        <v>14725</v>
      </c>
      <c r="B75" s="739">
        <f>88000*3</f>
        <v>264000</v>
      </c>
      <c r="C75" s="741" t="s">
        <v>14726</v>
      </c>
      <c r="D75" s="723"/>
      <c r="F75" s="723"/>
    </row>
    <row r="76" spans="1:6" s="739" customFormat="1">
      <c r="A76" s="741" t="s">
        <v>14727</v>
      </c>
      <c r="B76" s="739">
        <v>240000</v>
      </c>
      <c r="C76" s="741" t="s">
        <v>14728</v>
      </c>
      <c r="D76" s="723"/>
      <c r="F76" s="723"/>
    </row>
    <row r="77" spans="1:6" s="739" customFormat="1">
      <c r="A77" s="741" t="s">
        <v>14729</v>
      </c>
      <c r="B77" s="739">
        <v>200000</v>
      </c>
      <c r="C77" s="741" t="s">
        <v>14730</v>
      </c>
      <c r="D77" s="723"/>
    </row>
    <row r="78" spans="1:6" s="739" customFormat="1">
      <c r="B78" s="743">
        <f>SUM(B75:B77)</f>
        <v>704000</v>
      </c>
      <c r="C78" s="739" t="s">
        <v>2377</v>
      </c>
      <c r="D78" s="723"/>
    </row>
    <row r="79" spans="1:6" s="723" customFormat="1">
      <c r="A79" s="721"/>
      <c r="B79" s="744">
        <f>B78/12</f>
        <v>58666.666666666664</v>
      </c>
    </row>
    <row r="81" spans="2:4" s="723" customFormat="1">
      <c r="B81" s="723" t="s">
        <v>4494</v>
      </c>
      <c r="D81" s="610" t="s">
        <v>14731</v>
      </c>
    </row>
    <row r="83" spans="2:4" s="723" customFormat="1">
      <c r="B83" s="721"/>
      <c r="C83" s="723" t="s">
        <v>4493</v>
      </c>
    </row>
    <row r="85" spans="2:4" s="723" customFormat="1">
      <c r="B85" s="721"/>
      <c r="C85" s="723" t="s">
        <v>4492</v>
      </c>
    </row>
    <row r="86" spans="2:4" s="723" customFormat="1">
      <c r="B86" s="721"/>
      <c r="C86" s="723" t="s">
        <v>4491</v>
      </c>
    </row>
    <row r="87" spans="2:4" s="723" customFormat="1">
      <c r="B87" s="721"/>
      <c r="C87" s="723" t="s">
        <v>4490</v>
      </c>
    </row>
    <row r="88" spans="2:4" s="723" customFormat="1">
      <c r="B88" s="721"/>
      <c r="C88" s="723" t="s">
        <v>4489</v>
      </c>
    </row>
    <row r="90" spans="2:4" s="723" customFormat="1">
      <c r="B90" s="721"/>
      <c r="C90" s="723" t="s">
        <v>4488</v>
      </c>
    </row>
    <row r="91" spans="2:4" s="723" customFormat="1">
      <c r="B91" s="721"/>
      <c r="C91" s="723" t="s">
        <v>4487</v>
      </c>
    </row>
    <row r="92" spans="2:4" s="723" customFormat="1">
      <c r="B92" s="721"/>
      <c r="C92" s="723" t="s">
        <v>4486</v>
      </c>
    </row>
    <row r="93" spans="2:4" s="723" customFormat="1">
      <c r="B93" s="721"/>
      <c r="C93" s="723" t="s">
        <v>4485</v>
      </c>
    </row>
    <row r="94" spans="2:4" s="723" customFormat="1">
      <c r="B94" s="721"/>
      <c r="C94" s="723" t="s">
        <v>4484</v>
      </c>
    </row>
    <row r="95" spans="2:4" s="723" customFormat="1">
      <c r="B95" s="721"/>
      <c r="C95" s="723" t="s">
        <v>4483</v>
      </c>
    </row>
    <row r="96" spans="2:4" s="723" customFormat="1">
      <c r="B96" s="721"/>
      <c r="C96" s="723" t="s">
        <v>4482</v>
      </c>
    </row>
    <row r="97" spans="3:3" s="723" customFormat="1">
      <c r="C97" s="723" t="s">
        <v>4481</v>
      </c>
    </row>
    <row r="98" spans="3:3" s="723" customFormat="1">
      <c r="C98" s="723" t="s">
        <v>4480</v>
      </c>
    </row>
    <row r="99" spans="3:3" s="723" customFormat="1">
      <c r="C99" s="723" t="s">
        <v>4479</v>
      </c>
    </row>
  </sheetData>
  <phoneticPr fontId="3" type="noConversion"/>
  <hyperlinks>
    <hyperlink ref="D81" r:id="rId1"/>
  </hyperlinks>
  <pageMargins left="0.75" right="0.75" top="1" bottom="1" header="0.5" footer="0.5"/>
  <pageSetup paperSize="9" orientation="portrait" r:id="rId2"/>
  <headerFooter alignWithMargins="0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9"/>
  <sheetViews>
    <sheetView zoomScale="75" workbookViewId="0">
      <pane ySplit="2" topLeftCell="A46" activePane="bottomLeft" state="frozen"/>
      <selection activeCell="K41" sqref="K41:K48"/>
      <selection pane="bottomLeft" activeCell="C54" sqref="C54"/>
    </sheetView>
  </sheetViews>
  <sheetFormatPr defaultColWidth="9" defaultRowHeight="16.5"/>
  <cols>
    <col min="1" max="1" width="15" style="721" customWidth="1"/>
    <col min="2" max="2" width="10.25" style="721" customWidth="1"/>
    <col min="3" max="7" width="9" style="723"/>
    <col min="8" max="8" width="10.75" style="723" customWidth="1"/>
    <col min="9" max="9" width="9" style="723"/>
    <col min="10" max="10" width="3.875" style="723" customWidth="1"/>
    <col min="11" max="11" width="9" style="721"/>
    <col min="12" max="12" width="9.125" style="723" bestFit="1" customWidth="1"/>
    <col min="13" max="16384" width="9" style="723"/>
  </cols>
  <sheetData>
    <row r="1" spans="1:10">
      <c r="B1" s="722" t="s">
        <v>813</v>
      </c>
      <c r="C1" s="723">
        <f t="shared" ref="C1:I1" si="0">SUM(C3:C40)</f>
        <v>1304600</v>
      </c>
      <c r="D1" s="723">
        <f t="shared" si="0"/>
        <v>57600</v>
      </c>
      <c r="E1" s="723">
        <f t="shared" si="0"/>
        <v>15144</v>
      </c>
      <c r="F1" s="723">
        <f t="shared" si="0"/>
        <v>36396</v>
      </c>
      <c r="G1" s="723">
        <f t="shared" si="0"/>
        <v>0</v>
      </c>
      <c r="H1" s="723">
        <f t="shared" si="0"/>
        <v>1310660</v>
      </c>
      <c r="I1" s="723">
        <f t="shared" si="0"/>
        <v>1310660</v>
      </c>
    </row>
    <row r="2" spans="1:10">
      <c r="A2" s="721" t="s">
        <v>19</v>
      </c>
      <c r="B2" s="721" t="s">
        <v>20</v>
      </c>
      <c r="C2" s="721" t="s">
        <v>2919</v>
      </c>
      <c r="D2" s="721" t="s">
        <v>2920</v>
      </c>
      <c r="E2" s="721" t="s">
        <v>22</v>
      </c>
      <c r="F2" s="721" t="s">
        <v>23</v>
      </c>
      <c r="G2" s="721" t="s">
        <v>25</v>
      </c>
      <c r="H2" s="721" t="s">
        <v>1214</v>
      </c>
      <c r="I2" s="721"/>
      <c r="J2" s="721"/>
    </row>
    <row r="3" spans="1:10">
      <c r="A3" s="724" t="s">
        <v>18953</v>
      </c>
      <c r="B3" s="721" t="s">
        <v>21</v>
      </c>
      <c r="C3" s="725">
        <v>62600</v>
      </c>
      <c r="D3" s="725">
        <v>2400</v>
      </c>
      <c r="E3" s="725">
        <v>1008</v>
      </c>
      <c r="F3" s="725">
        <v>2712</v>
      </c>
      <c r="G3" s="725"/>
      <c r="H3" s="725">
        <f t="shared" ref="H3:H40" si="1">C3+D3-E3-F3-G3</f>
        <v>61280</v>
      </c>
      <c r="I3" s="725"/>
      <c r="J3" s="725"/>
    </row>
    <row r="4" spans="1:10">
      <c r="A4" s="724"/>
      <c r="B4" s="721" t="s">
        <v>24</v>
      </c>
      <c r="C4" s="725"/>
      <c r="D4" s="725"/>
      <c r="E4" s="725"/>
      <c r="F4" s="725"/>
      <c r="G4" s="725"/>
      <c r="H4" s="725">
        <f t="shared" si="1"/>
        <v>0</v>
      </c>
      <c r="I4" s="725"/>
      <c r="J4" s="725"/>
    </row>
    <row r="5" spans="1:10">
      <c r="A5" s="724"/>
      <c r="B5" s="721" t="s">
        <v>18954</v>
      </c>
      <c r="C5" s="725">
        <v>27750</v>
      </c>
      <c r="D5" s="725">
        <v>2400</v>
      </c>
      <c r="E5" s="725">
        <v>254</v>
      </c>
      <c r="F5" s="725">
        <v>321</v>
      </c>
      <c r="G5" s="725"/>
      <c r="H5" s="725">
        <f t="shared" si="1"/>
        <v>29575</v>
      </c>
      <c r="I5" s="725">
        <f>SUM(H3:H5)</f>
        <v>90855</v>
      </c>
      <c r="J5" s="725"/>
    </row>
    <row r="6" spans="1:10">
      <c r="A6" s="724" t="s">
        <v>18955</v>
      </c>
      <c r="B6" s="721" t="s">
        <v>21</v>
      </c>
      <c r="C6" s="725">
        <v>62600</v>
      </c>
      <c r="D6" s="725">
        <v>2400</v>
      </c>
      <c r="E6" s="725">
        <v>1008</v>
      </c>
      <c r="F6" s="725">
        <v>2712</v>
      </c>
      <c r="G6" s="725"/>
      <c r="H6" s="725">
        <f t="shared" si="1"/>
        <v>61280</v>
      </c>
      <c r="I6" s="725"/>
      <c r="J6" s="725"/>
    </row>
    <row r="7" spans="1:10">
      <c r="A7" s="724"/>
      <c r="B7" s="721" t="s">
        <v>24</v>
      </c>
      <c r="C7" s="725">
        <v>18000</v>
      </c>
      <c r="D7" s="725"/>
      <c r="E7" s="725"/>
      <c r="F7" s="725"/>
      <c r="G7" s="725"/>
      <c r="H7" s="725">
        <f t="shared" si="1"/>
        <v>18000</v>
      </c>
      <c r="I7" s="725"/>
      <c r="J7" s="725"/>
    </row>
    <row r="8" spans="1:10">
      <c r="A8" s="724"/>
      <c r="B8" s="721" t="s">
        <v>4497</v>
      </c>
      <c r="C8" s="725">
        <v>27750</v>
      </c>
      <c r="D8" s="725">
        <v>2400</v>
      </c>
      <c r="E8" s="725">
        <v>254</v>
      </c>
      <c r="F8" s="725">
        <v>321</v>
      </c>
      <c r="G8" s="725"/>
      <c r="H8" s="725">
        <f t="shared" si="1"/>
        <v>29575</v>
      </c>
      <c r="I8" s="725">
        <f>SUM(H6:H8)</f>
        <v>108855</v>
      </c>
      <c r="J8" s="725"/>
    </row>
    <row r="9" spans="1:10">
      <c r="A9" s="724" t="s">
        <v>18956</v>
      </c>
      <c r="B9" s="721" t="s">
        <v>21</v>
      </c>
      <c r="C9" s="725">
        <v>62600</v>
      </c>
      <c r="D9" s="725">
        <v>2400</v>
      </c>
      <c r="E9" s="725">
        <v>1008</v>
      </c>
      <c r="F9" s="725">
        <v>2712</v>
      </c>
      <c r="G9" s="725"/>
      <c r="H9" s="725">
        <f t="shared" si="1"/>
        <v>61280</v>
      </c>
      <c r="I9" s="725"/>
      <c r="J9" s="725"/>
    </row>
    <row r="10" spans="1:10">
      <c r="A10" s="724"/>
      <c r="B10" s="721" t="s">
        <v>24</v>
      </c>
      <c r="C10" s="725">
        <v>12000</v>
      </c>
      <c r="D10" s="725"/>
      <c r="E10" s="725"/>
      <c r="F10" s="725"/>
      <c r="G10" s="725"/>
      <c r="H10" s="725">
        <f t="shared" si="1"/>
        <v>12000</v>
      </c>
      <c r="I10" s="725"/>
      <c r="J10" s="725"/>
    </row>
    <row r="11" spans="1:10">
      <c r="A11" s="724"/>
      <c r="B11" s="721" t="s">
        <v>4497</v>
      </c>
      <c r="C11" s="725">
        <v>27750</v>
      </c>
      <c r="D11" s="725">
        <v>2400</v>
      </c>
      <c r="E11" s="725">
        <v>254</v>
      </c>
      <c r="F11" s="725">
        <v>321</v>
      </c>
      <c r="G11" s="725"/>
      <c r="H11" s="725">
        <f t="shared" si="1"/>
        <v>29575</v>
      </c>
      <c r="I11" s="725">
        <f>SUM(H9:H11)</f>
        <v>102855</v>
      </c>
      <c r="J11" s="725"/>
    </row>
    <row r="12" spans="1:10">
      <c r="A12" s="724" t="s">
        <v>18957</v>
      </c>
      <c r="B12" s="721" t="s">
        <v>21</v>
      </c>
      <c r="C12" s="725">
        <v>62600</v>
      </c>
      <c r="D12" s="725">
        <v>2400</v>
      </c>
      <c r="E12" s="725">
        <v>1008</v>
      </c>
      <c r="F12" s="725">
        <v>2712</v>
      </c>
      <c r="G12" s="725"/>
      <c r="H12" s="725">
        <f t="shared" si="1"/>
        <v>61280</v>
      </c>
      <c r="I12" s="725"/>
      <c r="J12" s="725"/>
    </row>
    <row r="13" spans="1:10">
      <c r="A13" s="724"/>
      <c r="B13" s="721" t="s">
        <v>24</v>
      </c>
      <c r="C13" s="725">
        <v>26000</v>
      </c>
      <c r="D13" s="725"/>
      <c r="E13" s="725"/>
      <c r="F13" s="725"/>
      <c r="G13" s="725"/>
      <c r="H13" s="725">
        <f t="shared" si="1"/>
        <v>26000</v>
      </c>
      <c r="I13" s="725"/>
      <c r="J13" s="725"/>
    </row>
    <row r="14" spans="1:10">
      <c r="A14" s="724"/>
      <c r="B14" s="721" t="s">
        <v>18954</v>
      </c>
      <c r="C14" s="725">
        <v>27750</v>
      </c>
      <c r="D14" s="725">
        <v>2400</v>
      </c>
      <c r="E14" s="725">
        <v>254</v>
      </c>
      <c r="F14" s="725">
        <v>321</v>
      </c>
      <c r="G14" s="725"/>
      <c r="H14" s="725">
        <f t="shared" si="1"/>
        <v>29575</v>
      </c>
      <c r="I14" s="725">
        <f>SUM(H12:H14)</f>
        <v>116855</v>
      </c>
      <c r="J14" s="725"/>
    </row>
    <row r="15" spans="1:10">
      <c r="A15" s="724" t="s">
        <v>18958</v>
      </c>
      <c r="B15" s="721" t="s">
        <v>21</v>
      </c>
      <c r="C15" s="725">
        <v>62600</v>
      </c>
      <c r="D15" s="725">
        <v>2400</v>
      </c>
      <c r="E15" s="725">
        <v>1008</v>
      </c>
      <c r="F15" s="725">
        <v>2712</v>
      </c>
      <c r="G15" s="725"/>
      <c r="H15" s="725">
        <f t="shared" si="1"/>
        <v>61280</v>
      </c>
      <c r="I15" s="725"/>
      <c r="J15" s="725"/>
    </row>
    <row r="16" spans="1:10">
      <c r="A16" s="724"/>
      <c r="B16" s="721" t="s">
        <v>24</v>
      </c>
      <c r="C16" s="725">
        <v>36000</v>
      </c>
      <c r="D16" s="725"/>
      <c r="E16" s="725"/>
      <c r="F16" s="725"/>
      <c r="G16" s="725"/>
      <c r="H16" s="725">
        <f t="shared" si="1"/>
        <v>36000</v>
      </c>
      <c r="I16" s="725"/>
      <c r="J16" s="725"/>
    </row>
    <row r="17" spans="1:10">
      <c r="A17" s="724"/>
      <c r="B17" s="721" t="s">
        <v>18954</v>
      </c>
      <c r="C17" s="725">
        <v>27750</v>
      </c>
      <c r="D17" s="725">
        <v>2400</v>
      </c>
      <c r="E17" s="725">
        <v>254</v>
      </c>
      <c r="F17" s="725">
        <v>321</v>
      </c>
      <c r="G17" s="725"/>
      <c r="H17" s="725">
        <f t="shared" si="1"/>
        <v>29575</v>
      </c>
      <c r="I17" s="725">
        <f>SUM(H15:H17)</f>
        <v>126855</v>
      </c>
      <c r="J17" s="725"/>
    </row>
    <row r="18" spans="1:10">
      <c r="A18" s="724" t="s">
        <v>18959</v>
      </c>
      <c r="B18" s="721" t="s">
        <v>21</v>
      </c>
      <c r="C18" s="725">
        <v>62600</v>
      </c>
      <c r="D18" s="725">
        <v>2400</v>
      </c>
      <c r="E18" s="725">
        <v>1008</v>
      </c>
      <c r="F18" s="725">
        <v>2712</v>
      </c>
      <c r="G18" s="725"/>
      <c r="H18" s="725">
        <f t="shared" si="1"/>
        <v>61280</v>
      </c>
      <c r="I18" s="725"/>
      <c r="J18" s="725"/>
    </row>
    <row r="19" spans="1:10">
      <c r="A19" s="724"/>
      <c r="B19" s="721" t="s">
        <v>24</v>
      </c>
      <c r="C19" s="725">
        <v>63800</v>
      </c>
      <c r="D19" s="725"/>
      <c r="E19" s="725"/>
      <c r="F19" s="725"/>
      <c r="G19" s="725"/>
      <c r="H19" s="725">
        <f t="shared" si="1"/>
        <v>63800</v>
      </c>
      <c r="I19" s="725"/>
      <c r="J19" s="725"/>
    </row>
    <row r="20" spans="1:10">
      <c r="A20" s="724"/>
      <c r="B20" s="721" t="s">
        <v>18960</v>
      </c>
      <c r="C20" s="725">
        <v>27750</v>
      </c>
      <c r="D20" s="725">
        <v>2400</v>
      </c>
      <c r="E20" s="725">
        <v>254</v>
      </c>
      <c r="F20" s="725">
        <v>321</v>
      </c>
      <c r="G20" s="725"/>
      <c r="H20" s="725">
        <f t="shared" si="1"/>
        <v>29575</v>
      </c>
      <c r="I20" s="725">
        <f>SUM(H18:H20)</f>
        <v>154655</v>
      </c>
      <c r="J20" s="725"/>
    </row>
    <row r="21" spans="1:10">
      <c r="A21" s="724" t="s">
        <v>18961</v>
      </c>
      <c r="B21" s="721" t="s">
        <v>21</v>
      </c>
      <c r="C21" s="725">
        <v>62600</v>
      </c>
      <c r="D21" s="725">
        <v>2400</v>
      </c>
      <c r="E21" s="725">
        <v>1008</v>
      </c>
      <c r="F21" s="725">
        <v>2712</v>
      </c>
      <c r="G21" s="725"/>
      <c r="H21" s="725">
        <f t="shared" si="1"/>
        <v>61280</v>
      </c>
      <c r="I21" s="725"/>
      <c r="J21" s="725"/>
    </row>
    <row r="22" spans="1:10">
      <c r="A22" s="724"/>
      <c r="B22" s="721" t="s">
        <v>24</v>
      </c>
      <c r="C22" s="725">
        <v>33500</v>
      </c>
      <c r="D22" s="725"/>
      <c r="E22" s="725"/>
      <c r="F22" s="725"/>
      <c r="G22" s="725"/>
      <c r="H22" s="725">
        <f t="shared" si="1"/>
        <v>33500</v>
      </c>
      <c r="I22" s="725"/>
      <c r="J22" s="725"/>
    </row>
    <row r="23" spans="1:10">
      <c r="A23" s="724"/>
      <c r="B23" s="721" t="s">
        <v>4497</v>
      </c>
      <c r="C23" s="725">
        <v>27750</v>
      </c>
      <c r="D23" s="725">
        <v>2400</v>
      </c>
      <c r="E23" s="725">
        <v>254</v>
      </c>
      <c r="F23" s="725">
        <v>321</v>
      </c>
      <c r="G23" s="725"/>
      <c r="H23" s="725">
        <f t="shared" si="1"/>
        <v>29575</v>
      </c>
      <c r="I23" s="725">
        <f>SUM(H21:H23)</f>
        <v>124355</v>
      </c>
      <c r="J23" s="725"/>
    </row>
    <row r="24" spans="1:10">
      <c r="A24" s="724" t="s">
        <v>18962</v>
      </c>
      <c r="B24" s="721" t="s">
        <v>21</v>
      </c>
      <c r="C24" s="725">
        <v>62600</v>
      </c>
      <c r="D24" s="725">
        <v>2400</v>
      </c>
      <c r="E24" s="725">
        <v>1008</v>
      </c>
      <c r="F24" s="725">
        <v>2712</v>
      </c>
      <c r="G24" s="725"/>
      <c r="H24" s="725">
        <f t="shared" si="1"/>
        <v>61280</v>
      </c>
      <c r="I24" s="725"/>
      <c r="J24" s="725"/>
    </row>
    <row r="25" spans="1:10">
      <c r="A25" s="724"/>
      <c r="B25" s="721" t="s">
        <v>24</v>
      </c>
      <c r="C25" s="725">
        <v>17500</v>
      </c>
      <c r="D25" s="725"/>
      <c r="E25" s="725"/>
      <c r="F25" s="725"/>
      <c r="G25" s="725"/>
      <c r="H25" s="725">
        <f t="shared" si="1"/>
        <v>17500</v>
      </c>
      <c r="I25" s="725"/>
      <c r="J25" s="725"/>
    </row>
    <row r="26" spans="1:10">
      <c r="A26" s="724"/>
      <c r="B26" s="721" t="s">
        <v>18954</v>
      </c>
      <c r="C26" s="725">
        <v>27750</v>
      </c>
      <c r="D26" s="725">
        <v>2400</v>
      </c>
      <c r="E26" s="725">
        <v>254</v>
      </c>
      <c r="F26" s="725">
        <v>321</v>
      </c>
      <c r="G26" s="725"/>
      <c r="H26" s="725">
        <f t="shared" si="1"/>
        <v>29575</v>
      </c>
      <c r="I26" s="725">
        <f>SUM(H24:H26)</f>
        <v>108355</v>
      </c>
      <c r="J26" s="725"/>
    </row>
    <row r="27" spans="1:10">
      <c r="A27" s="724" t="s">
        <v>18963</v>
      </c>
      <c r="B27" s="721" t="s">
        <v>21</v>
      </c>
      <c r="C27" s="725">
        <v>62600</v>
      </c>
      <c r="D27" s="725">
        <v>2400</v>
      </c>
      <c r="E27" s="725">
        <v>1008</v>
      </c>
      <c r="F27" s="725">
        <v>2712</v>
      </c>
      <c r="G27" s="725"/>
      <c r="H27" s="725">
        <f t="shared" si="1"/>
        <v>61280</v>
      </c>
      <c r="I27" s="725"/>
      <c r="J27" s="725"/>
    </row>
    <row r="28" spans="1:10">
      <c r="A28" s="724"/>
      <c r="B28" s="721" t="s">
        <v>24</v>
      </c>
      <c r="C28" s="725">
        <v>800</v>
      </c>
      <c r="D28" s="725"/>
      <c r="E28" s="725"/>
      <c r="F28" s="725"/>
      <c r="G28" s="725"/>
      <c r="H28" s="725">
        <f t="shared" si="1"/>
        <v>800</v>
      </c>
      <c r="I28" s="725"/>
      <c r="J28" s="725"/>
    </row>
    <row r="29" spans="1:10">
      <c r="A29" s="724"/>
      <c r="B29" s="721" t="s">
        <v>4497</v>
      </c>
      <c r="C29" s="725">
        <v>27750</v>
      </c>
      <c r="D29" s="725">
        <v>2400</v>
      </c>
      <c r="E29" s="725">
        <v>254</v>
      </c>
      <c r="F29" s="725">
        <v>321</v>
      </c>
      <c r="G29" s="725"/>
      <c r="H29" s="725">
        <f t="shared" si="1"/>
        <v>29575</v>
      </c>
      <c r="I29" s="725">
        <f>SUM(H27:H29)</f>
        <v>91655</v>
      </c>
      <c r="J29" s="725"/>
    </row>
    <row r="30" spans="1:10">
      <c r="A30" s="724" t="s">
        <v>18964</v>
      </c>
      <c r="B30" s="721" t="s">
        <v>21</v>
      </c>
      <c r="C30" s="725">
        <v>62600</v>
      </c>
      <c r="D30" s="725">
        <v>2400</v>
      </c>
      <c r="E30" s="725">
        <v>1008</v>
      </c>
      <c r="F30" s="725">
        <v>2712</v>
      </c>
      <c r="G30" s="725"/>
      <c r="H30" s="725">
        <f t="shared" si="1"/>
        <v>61280</v>
      </c>
      <c r="I30" s="725"/>
      <c r="J30" s="725"/>
    </row>
    <row r="31" spans="1:10">
      <c r="A31" s="724"/>
      <c r="B31" s="721" t="s">
        <v>24</v>
      </c>
      <c r="C31" s="725">
        <v>12800</v>
      </c>
      <c r="D31" s="725"/>
      <c r="E31" s="725"/>
      <c r="F31" s="725"/>
      <c r="G31" s="725"/>
      <c r="H31" s="725">
        <f t="shared" si="1"/>
        <v>12800</v>
      </c>
      <c r="I31" s="725"/>
      <c r="J31" s="725"/>
    </row>
    <row r="32" spans="1:10">
      <c r="A32" s="724"/>
      <c r="B32" s="721" t="s">
        <v>18954</v>
      </c>
      <c r="C32" s="725">
        <v>27750</v>
      </c>
      <c r="D32" s="725">
        <v>2400</v>
      </c>
      <c r="E32" s="725">
        <v>254</v>
      </c>
      <c r="F32" s="725">
        <v>321</v>
      </c>
      <c r="G32" s="725"/>
      <c r="H32" s="725">
        <f t="shared" si="1"/>
        <v>29575</v>
      </c>
      <c r="I32" s="725">
        <f>SUM(H30:H32)</f>
        <v>103655</v>
      </c>
      <c r="J32" s="725"/>
    </row>
    <row r="33" spans="1:11">
      <c r="A33" s="724" t="s">
        <v>18965</v>
      </c>
      <c r="B33" s="721" t="s">
        <v>21</v>
      </c>
      <c r="C33" s="725">
        <v>62600</v>
      </c>
      <c r="D33" s="725">
        <v>2400</v>
      </c>
      <c r="E33" s="725">
        <v>1008</v>
      </c>
      <c r="F33" s="725">
        <v>2712</v>
      </c>
      <c r="G33" s="725"/>
      <c r="H33" s="725">
        <f t="shared" si="1"/>
        <v>61280</v>
      </c>
      <c r="I33" s="725"/>
      <c r="J33" s="725"/>
    </row>
    <row r="34" spans="1:11">
      <c r="A34" s="724"/>
      <c r="B34" s="721" t="s">
        <v>24</v>
      </c>
      <c r="C34" s="725"/>
      <c r="D34" s="725"/>
      <c r="E34" s="725"/>
      <c r="F34" s="725"/>
      <c r="G34" s="725"/>
      <c r="H34" s="725">
        <f t="shared" si="1"/>
        <v>0</v>
      </c>
      <c r="I34" s="725"/>
      <c r="J34" s="725"/>
    </row>
    <row r="35" spans="1:11">
      <c r="A35" s="724"/>
      <c r="B35" s="721" t="s">
        <v>4497</v>
      </c>
      <c r="C35" s="725">
        <v>27750</v>
      </c>
      <c r="D35" s="725">
        <v>2400</v>
      </c>
      <c r="E35" s="725">
        <v>254</v>
      </c>
      <c r="F35" s="725">
        <v>321</v>
      </c>
      <c r="G35" s="725"/>
      <c r="H35" s="725">
        <f t="shared" si="1"/>
        <v>29575</v>
      </c>
      <c r="I35" s="725">
        <f>SUM(H33:H35)</f>
        <v>90855</v>
      </c>
      <c r="J35" s="725"/>
    </row>
    <row r="36" spans="1:11">
      <c r="A36" s="724" t="s">
        <v>18966</v>
      </c>
      <c r="B36" s="721" t="s">
        <v>21</v>
      </c>
      <c r="C36" s="725">
        <v>62600</v>
      </c>
      <c r="D36" s="725">
        <v>2400</v>
      </c>
      <c r="E36" s="725">
        <v>1008</v>
      </c>
      <c r="F36" s="725">
        <v>2712</v>
      </c>
      <c r="G36" s="725"/>
      <c r="H36" s="725">
        <f t="shared" si="1"/>
        <v>61280</v>
      </c>
    </row>
    <row r="37" spans="1:11">
      <c r="A37" s="724"/>
      <c r="B37" s="721" t="s">
        <v>24</v>
      </c>
      <c r="C37" s="726"/>
      <c r="D37" s="725"/>
      <c r="E37" s="725"/>
      <c r="F37" s="725"/>
      <c r="G37" s="725"/>
      <c r="H37" s="725">
        <f t="shared" si="1"/>
        <v>0</v>
      </c>
    </row>
    <row r="38" spans="1:11">
      <c r="A38" s="724"/>
      <c r="B38" s="721" t="s">
        <v>4497</v>
      </c>
      <c r="C38" s="725">
        <v>27750</v>
      </c>
      <c r="D38" s="725">
        <v>2400</v>
      </c>
      <c r="E38" s="725">
        <v>254</v>
      </c>
      <c r="F38" s="725">
        <v>321</v>
      </c>
      <c r="G38" s="725"/>
      <c r="H38" s="725">
        <f t="shared" si="1"/>
        <v>29575</v>
      </c>
      <c r="I38" s="723">
        <f>SUM(H36:H38)</f>
        <v>90855</v>
      </c>
    </row>
    <row r="39" spans="1:11">
      <c r="A39" s="721" t="s">
        <v>18967</v>
      </c>
      <c r="B39" s="721" t="s">
        <v>21</v>
      </c>
      <c r="C39" s="725"/>
      <c r="D39" s="725"/>
      <c r="E39" s="725"/>
      <c r="F39" s="725"/>
      <c r="G39" s="725"/>
      <c r="H39" s="725">
        <f t="shared" si="1"/>
        <v>0</v>
      </c>
      <c r="I39" s="723">
        <f>SUM(H39:H39)</f>
        <v>0</v>
      </c>
    </row>
    <row r="40" spans="1:11">
      <c r="A40" s="721" t="s">
        <v>18967</v>
      </c>
      <c r="B40" s="721" t="s">
        <v>18954</v>
      </c>
      <c r="C40" s="725"/>
      <c r="D40" s="725"/>
      <c r="E40" s="725"/>
      <c r="F40" s="725"/>
      <c r="G40" s="725"/>
      <c r="H40" s="725">
        <f t="shared" si="1"/>
        <v>0</v>
      </c>
      <c r="I40" s="723">
        <f>SUM(H40:H40)</f>
        <v>0</v>
      </c>
    </row>
    <row r="41" spans="1:11" s="727" customFormat="1">
      <c r="A41" s="727" t="s">
        <v>18968</v>
      </c>
      <c r="C41" s="727">
        <f t="shared" ref="C41:H41" si="2">SUM(C42:C44)</f>
        <v>1304600</v>
      </c>
      <c r="D41" s="727">
        <f t="shared" si="2"/>
        <v>57600</v>
      </c>
      <c r="E41" s="727">
        <f t="shared" si="2"/>
        <v>15144</v>
      </c>
      <c r="F41" s="727">
        <f t="shared" si="2"/>
        <v>36396</v>
      </c>
      <c r="G41" s="727">
        <f t="shared" si="2"/>
        <v>0</v>
      </c>
      <c r="H41" s="727">
        <f t="shared" si="2"/>
        <v>1310660</v>
      </c>
    </row>
    <row r="42" spans="1:11">
      <c r="A42" s="724" t="s">
        <v>18969</v>
      </c>
      <c r="B42" s="721" t="s">
        <v>21</v>
      </c>
      <c r="C42" s="725">
        <f>C3+C6+C9+C12+C15+C18+C21+C24+C27+C30+C33+C36+C39</f>
        <v>751200</v>
      </c>
      <c r="D42" s="725">
        <f t="shared" ref="D42:F43" si="3">D3+D6+D9+D12+D15+D18+D21+D24+D27+D30+D33+D36</f>
        <v>28800</v>
      </c>
      <c r="E42" s="725">
        <f t="shared" si="3"/>
        <v>12096</v>
      </c>
      <c r="F42" s="725">
        <f t="shared" si="3"/>
        <v>32544</v>
      </c>
      <c r="G42" s="725"/>
      <c r="H42" s="725">
        <f>C42+D42-E42-F42-G42</f>
        <v>735360</v>
      </c>
    </row>
    <row r="43" spans="1:11">
      <c r="A43" s="724" t="s">
        <v>18969</v>
      </c>
      <c r="B43" s="721" t="s">
        <v>24</v>
      </c>
      <c r="C43" s="725">
        <f>C4+C7+C10+C13+C16+C19+C22+C25+C28+C31+C34+C37</f>
        <v>220400</v>
      </c>
      <c r="D43" s="725">
        <f t="shared" si="3"/>
        <v>0</v>
      </c>
      <c r="E43" s="725">
        <f t="shared" si="3"/>
        <v>0</v>
      </c>
      <c r="F43" s="725">
        <f t="shared" si="3"/>
        <v>0</v>
      </c>
      <c r="G43" s="725"/>
      <c r="H43" s="725">
        <f>C43+D43-E43-F43-G43</f>
        <v>220400</v>
      </c>
    </row>
    <row r="44" spans="1:11">
      <c r="A44" s="724" t="s">
        <v>18969</v>
      </c>
      <c r="B44" s="721" t="s">
        <v>18960</v>
      </c>
      <c r="C44" s="725">
        <f>C5+C8+C11+C14+C17+C20+C23+C26+C29+C32+C35+C38+C40</f>
        <v>333000</v>
      </c>
      <c r="D44" s="725">
        <f>D5+D8+D11+D14+D17++D20+D23+D26+D29+D32+D35+D38</f>
        <v>28800</v>
      </c>
      <c r="E44" s="725">
        <f>E5+E8+E11+E14+E17+E20+E23+E26+E29+E32+E35+E38</f>
        <v>3048</v>
      </c>
      <c r="F44" s="725">
        <f>F5+F8+F11+F14+F17+F20+F23+F26+F29+F32+F35+F38</f>
        <v>3852</v>
      </c>
      <c r="G44" s="725"/>
      <c r="H44" s="725">
        <f>C44+D44-E44-F44-G44</f>
        <v>354900</v>
      </c>
    </row>
    <row r="45" spans="1:11" s="728" customFormat="1">
      <c r="A45" s="728" t="s">
        <v>18970</v>
      </c>
      <c r="C45" s="728">
        <f>SUM(C46:C46)</f>
        <v>612000</v>
      </c>
    </row>
    <row r="46" spans="1:11">
      <c r="A46" s="721" t="s">
        <v>18971</v>
      </c>
      <c r="B46" s="721" t="s">
        <v>263</v>
      </c>
      <c r="C46" s="861">
        <f>(51000)*12</f>
        <v>612000</v>
      </c>
      <c r="D46" s="725"/>
      <c r="E46" s="725"/>
      <c r="F46" s="725"/>
      <c r="G46" s="725"/>
      <c r="H46" s="725">
        <f>C46+D46-E46-F46-G46</f>
        <v>612000</v>
      </c>
      <c r="K46" s="721">
        <f>54*12</f>
        <v>648</v>
      </c>
    </row>
    <row r="47" spans="1:11" s="728" customFormat="1">
      <c r="A47" s="728" t="s">
        <v>18972</v>
      </c>
      <c r="C47" s="728">
        <f>SUM(C48:C52)</f>
        <v>47150</v>
      </c>
    </row>
    <row r="48" spans="1:11">
      <c r="A48" s="724" t="s">
        <v>18973</v>
      </c>
      <c r="B48" s="721" t="s">
        <v>21</v>
      </c>
      <c r="C48" s="725">
        <v>62600</v>
      </c>
      <c r="D48" s="725"/>
      <c r="E48" s="725"/>
      <c r="F48" s="725"/>
      <c r="G48" s="725"/>
      <c r="H48" s="725">
        <f>C48+D48-E48-F48-G48</f>
        <v>62600</v>
      </c>
    </row>
    <row r="49" spans="1:11">
      <c r="A49" s="724" t="s">
        <v>14695</v>
      </c>
      <c r="B49" s="721" t="s">
        <v>24</v>
      </c>
      <c r="C49" s="725">
        <v>31000</v>
      </c>
      <c r="D49" s="725"/>
      <c r="E49" s="725"/>
      <c r="F49" s="725"/>
      <c r="G49" s="725"/>
      <c r="H49" s="725">
        <f>C49+D49-E49-F49-G49</f>
        <v>31000</v>
      </c>
    </row>
    <row r="50" spans="1:11">
      <c r="A50" s="724" t="s">
        <v>14695</v>
      </c>
      <c r="B50" s="721" t="s">
        <v>4497</v>
      </c>
      <c r="C50" s="725">
        <v>27750</v>
      </c>
      <c r="D50" s="725"/>
      <c r="E50" s="725"/>
      <c r="F50" s="725"/>
      <c r="G50" s="725"/>
      <c r="H50" s="725">
        <f>C50+D50-E50-F50-G50</f>
        <v>27750</v>
      </c>
    </row>
    <row r="51" spans="1:11">
      <c r="A51" s="724" t="s">
        <v>14695</v>
      </c>
      <c r="B51" s="721" t="s">
        <v>263</v>
      </c>
      <c r="C51" s="861">
        <v>58000</v>
      </c>
      <c r="D51" s="725"/>
      <c r="E51" s="725"/>
      <c r="F51" s="725"/>
      <c r="G51" s="725"/>
      <c r="H51" s="725">
        <f>C51+D51-E51-F51-G51</f>
        <v>58000</v>
      </c>
    </row>
    <row r="52" spans="1:11">
      <c r="A52" s="724" t="s">
        <v>14714</v>
      </c>
      <c r="B52" s="721" t="s">
        <v>14710</v>
      </c>
      <c r="C52" s="861">
        <v>-132200</v>
      </c>
      <c r="D52" s="725"/>
      <c r="E52" s="725"/>
      <c r="F52" s="725"/>
      <c r="G52" s="725"/>
      <c r="H52" s="725"/>
    </row>
    <row r="53" spans="1:11" s="730" customFormat="1">
      <c r="A53" s="730" t="s">
        <v>18974</v>
      </c>
      <c r="C53" s="862">
        <f>SUM(C54:C58)</f>
        <v>-9150</v>
      </c>
    </row>
    <row r="54" spans="1:11">
      <c r="A54" s="724" t="s">
        <v>18975</v>
      </c>
      <c r="B54" s="721" t="s">
        <v>21</v>
      </c>
      <c r="C54" s="725">
        <f>-C36-C39</f>
        <v>-62600</v>
      </c>
      <c r="D54" s="725"/>
      <c r="E54" s="725"/>
      <c r="F54" s="725"/>
      <c r="G54" s="725"/>
      <c r="H54" s="725">
        <f>C54+D54-E54-F54-G54</f>
        <v>-62600</v>
      </c>
    </row>
    <row r="55" spans="1:11">
      <c r="A55" s="724" t="s">
        <v>18975</v>
      </c>
      <c r="B55" s="721" t="s">
        <v>24</v>
      </c>
      <c r="C55" s="725">
        <f>-C37</f>
        <v>0</v>
      </c>
      <c r="D55" s="725"/>
      <c r="E55" s="725"/>
      <c r="F55" s="725"/>
      <c r="G55" s="725"/>
      <c r="H55" s="725">
        <f>C55+D55-E55-F55-G55</f>
        <v>0</v>
      </c>
    </row>
    <row r="56" spans="1:11">
      <c r="A56" s="724" t="s">
        <v>18975</v>
      </c>
      <c r="B56" s="721" t="s">
        <v>4497</v>
      </c>
      <c r="C56" s="725">
        <f>-C38-C40</f>
        <v>-27750</v>
      </c>
      <c r="D56" s="725"/>
      <c r="E56" s="725"/>
      <c r="F56" s="725"/>
      <c r="G56" s="725"/>
      <c r="H56" s="725">
        <f>C56+D56-E56-F56-G56</f>
        <v>-27750</v>
      </c>
    </row>
    <row r="57" spans="1:11">
      <c r="A57" s="724" t="s">
        <v>18975</v>
      </c>
      <c r="B57" s="721" t="s">
        <v>263</v>
      </c>
      <c r="C57" s="861">
        <v>-51000</v>
      </c>
      <c r="D57" s="725"/>
      <c r="E57" s="725"/>
      <c r="F57" s="725"/>
      <c r="G57" s="725"/>
      <c r="H57" s="725">
        <f>C57+D57-E57-F57-G57</f>
        <v>-51000</v>
      </c>
    </row>
    <row r="58" spans="1:11">
      <c r="A58" s="724" t="s">
        <v>18976</v>
      </c>
      <c r="B58" s="721" t="s">
        <v>4498</v>
      </c>
      <c r="C58" s="861">
        <v>132200</v>
      </c>
      <c r="D58" s="726"/>
      <c r="E58" s="725"/>
      <c r="F58" s="725"/>
      <c r="G58" s="725"/>
      <c r="H58" s="725">
        <f>C58+D58-E58-F58-G58</f>
        <v>132200</v>
      </c>
    </row>
    <row r="59" spans="1:11" s="730" customFormat="1">
      <c r="A59" s="730" t="s">
        <v>18977</v>
      </c>
      <c r="C59" s="730">
        <f>SUM(C60)</f>
        <v>0</v>
      </c>
    </row>
    <row r="60" spans="1:11">
      <c r="A60" s="721" t="s">
        <v>18978</v>
      </c>
      <c r="B60" s="721" t="s">
        <v>21</v>
      </c>
      <c r="C60" s="861"/>
      <c r="D60" s="725"/>
      <c r="E60" s="725"/>
      <c r="F60" s="725"/>
      <c r="G60" s="725"/>
      <c r="H60" s="725">
        <f>C60+D60-E60-F60-G60</f>
        <v>0</v>
      </c>
    </row>
    <row r="61" spans="1:11" s="732" customFormat="1">
      <c r="A61" s="732" t="s">
        <v>18979</v>
      </c>
      <c r="C61" s="732">
        <f>C41+C47+C45+C53+C59</f>
        <v>1954600</v>
      </c>
      <c r="D61" s="733"/>
      <c r="E61" s="733"/>
    </row>
    <row r="62" spans="1:11">
      <c r="A62" s="724"/>
      <c r="B62" s="721" t="s">
        <v>21</v>
      </c>
      <c r="C62" s="725">
        <f>C42+C48+C54+C60</f>
        <v>751200</v>
      </c>
      <c r="D62" s="725"/>
      <c r="E62" s="725"/>
      <c r="F62" s="725"/>
      <c r="G62" s="725"/>
      <c r="H62" s="725"/>
    </row>
    <row r="63" spans="1:11">
      <c r="A63" s="724"/>
      <c r="B63" s="721" t="s">
        <v>24</v>
      </c>
      <c r="C63" s="725">
        <f>C43+C49+C55</f>
        <v>251400</v>
      </c>
      <c r="D63" s="725"/>
      <c r="E63" s="725"/>
      <c r="F63" s="725"/>
      <c r="G63" s="725"/>
      <c r="H63" s="725"/>
    </row>
    <row r="64" spans="1:11">
      <c r="A64" s="724"/>
      <c r="B64" s="721" t="s">
        <v>4497</v>
      </c>
      <c r="C64" s="725">
        <f>C44+C50+C56</f>
        <v>333000</v>
      </c>
      <c r="D64" s="725"/>
      <c r="E64" s="725"/>
      <c r="F64" s="725"/>
      <c r="G64" s="725"/>
      <c r="H64" s="734"/>
      <c r="K64" s="735"/>
    </row>
    <row r="65" spans="1:6">
      <c r="B65" s="721" t="s">
        <v>263</v>
      </c>
      <c r="C65" s="863">
        <f>C51+C46+C57</f>
        <v>619000</v>
      </c>
      <c r="D65" s="725"/>
      <c r="E65" s="725"/>
    </row>
    <row r="66" spans="1:6">
      <c r="B66" s="721" t="s">
        <v>5005</v>
      </c>
      <c r="C66" s="863">
        <f>C52+C58</f>
        <v>0</v>
      </c>
      <c r="D66" s="725"/>
      <c r="E66" s="725"/>
    </row>
    <row r="67" spans="1:6">
      <c r="C67" s="723">
        <f>SUM(C62:C66)</f>
        <v>1954600</v>
      </c>
    </row>
    <row r="69" spans="1:6">
      <c r="B69" s="864" t="s">
        <v>14719</v>
      </c>
    </row>
    <row r="70" spans="1:6">
      <c r="B70" s="864" t="s">
        <v>14720</v>
      </c>
    </row>
    <row r="71" spans="1:6">
      <c r="B71" s="864" t="s">
        <v>14721</v>
      </c>
    </row>
    <row r="72" spans="1:6">
      <c r="B72" s="864" t="s">
        <v>14722</v>
      </c>
    </row>
    <row r="73" spans="1:6" s="723" customFormat="1">
      <c r="A73" s="721"/>
      <c r="B73" s="721"/>
      <c r="C73" s="738"/>
    </row>
    <row r="74" spans="1:6" s="739" customFormat="1">
      <c r="B74" s="740" t="s">
        <v>2611</v>
      </c>
      <c r="C74" s="741" t="s">
        <v>14723</v>
      </c>
      <c r="D74" s="723"/>
      <c r="E74" s="739" t="s">
        <v>14724</v>
      </c>
    </row>
    <row r="75" spans="1:6" s="739" customFormat="1">
      <c r="A75" s="741" t="s">
        <v>6006</v>
      </c>
      <c r="B75" s="739">
        <f>88000*2</f>
        <v>176000</v>
      </c>
      <c r="C75" s="741" t="s">
        <v>6007</v>
      </c>
      <c r="D75" s="723"/>
      <c r="F75" s="723"/>
    </row>
    <row r="76" spans="1:6" s="739" customFormat="1">
      <c r="A76" s="741" t="s">
        <v>6008</v>
      </c>
      <c r="B76" s="739">
        <v>240000</v>
      </c>
      <c r="C76" s="741" t="s">
        <v>14728</v>
      </c>
      <c r="D76" s="723"/>
      <c r="F76" s="723"/>
    </row>
    <row r="77" spans="1:6" s="739" customFormat="1">
      <c r="A77" s="741" t="s">
        <v>6010</v>
      </c>
      <c r="B77" s="739">
        <v>200000</v>
      </c>
      <c r="C77" s="741" t="s">
        <v>6011</v>
      </c>
      <c r="D77" s="723"/>
    </row>
    <row r="78" spans="1:6" s="739" customFormat="1">
      <c r="A78" s="865" t="s">
        <v>18980</v>
      </c>
      <c r="B78" s="743">
        <f>SUM(B75:B77)</f>
        <v>616000</v>
      </c>
      <c r="C78" s="739" t="s">
        <v>2377</v>
      </c>
      <c r="D78" s="723"/>
    </row>
    <row r="79" spans="1:6" s="723" customFormat="1">
      <c r="A79" s="721" t="s">
        <v>18981</v>
      </c>
      <c r="B79" s="744">
        <f>B78/12</f>
        <v>51333.333333333336</v>
      </c>
    </row>
    <row r="81" spans="2:4" s="723" customFormat="1">
      <c r="B81" s="723" t="s">
        <v>4494</v>
      </c>
      <c r="D81" s="610" t="s">
        <v>5010</v>
      </c>
    </row>
    <row r="83" spans="2:4" s="723" customFormat="1">
      <c r="B83" s="721"/>
      <c r="C83" s="723" t="s">
        <v>4493</v>
      </c>
    </row>
    <row r="85" spans="2:4" s="723" customFormat="1">
      <c r="B85" s="721"/>
      <c r="C85" s="723" t="s">
        <v>4492</v>
      </c>
    </row>
    <row r="86" spans="2:4" s="723" customFormat="1">
      <c r="B86" s="721"/>
      <c r="C86" s="723" t="s">
        <v>4491</v>
      </c>
    </row>
    <row r="87" spans="2:4" s="723" customFormat="1">
      <c r="B87" s="721"/>
      <c r="C87" s="723" t="s">
        <v>4490</v>
      </c>
    </row>
    <row r="88" spans="2:4" s="723" customFormat="1">
      <c r="B88" s="721"/>
      <c r="C88" s="723" t="s">
        <v>4489</v>
      </c>
    </row>
    <row r="90" spans="2:4" s="723" customFormat="1">
      <c r="B90" s="721"/>
      <c r="C90" s="723" t="s">
        <v>4488</v>
      </c>
    </row>
    <row r="91" spans="2:4" s="723" customFormat="1">
      <c r="B91" s="721"/>
      <c r="C91" s="723" t="s">
        <v>4487</v>
      </c>
    </row>
    <row r="92" spans="2:4" s="723" customFormat="1">
      <c r="B92" s="721"/>
      <c r="C92" s="723" t="s">
        <v>4486</v>
      </c>
    </row>
    <row r="93" spans="2:4" s="723" customFormat="1">
      <c r="B93" s="721"/>
      <c r="C93" s="723" t="s">
        <v>4485</v>
      </c>
    </row>
    <row r="94" spans="2:4" s="723" customFormat="1">
      <c r="B94" s="721"/>
      <c r="C94" s="723" t="s">
        <v>4484</v>
      </c>
    </row>
    <row r="95" spans="2:4" s="723" customFormat="1">
      <c r="B95" s="721"/>
      <c r="C95" s="723" t="s">
        <v>4483</v>
      </c>
    </row>
    <row r="96" spans="2:4" s="723" customFormat="1">
      <c r="B96" s="721"/>
      <c r="C96" s="723" t="s">
        <v>4482</v>
      </c>
    </row>
    <row r="97" spans="3:3" s="723" customFormat="1">
      <c r="C97" s="723" t="s">
        <v>4481</v>
      </c>
    </row>
    <row r="98" spans="3:3" s="723" customFormat="1">
      <c r="C98" s="723" t="s">
        <v>4480</v>
      </c>
    </row>
    <row r="99" spans="3:3" s="723" customFormat="1">
      <c r="C99" s="723" t="s">
        <v>4479</v>
      </c>
    </row>
  </sheetData>
  <phoneticPr fontId="3" type="noConversion"/>
  <hyperlinks>
    <hyperlink ref="D81" r:id="rId1"/>
  </hyperlinks>
  <pageMargins left="0.75" right="0.75" top="1" bottom="1" header="0.5" footer="0.5"/>
  <pageSetup paperSize="9" orientation="portrait" r:id="rId2"/>
  <headerFooter alignWithMargins="0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679"/>
  <sheetViews>
    <sheetView zoomScale="90" zoomScaleNormal="90" workbookViewId="0">
      <pane ySplit="2" topLeftCell="A664" activePane="bottomLeft" state="frozen"/>
      <selection pane="bottomLeft" activeCell="H666" sqref="H666"/>
    </sheetView>
  </sheetViews>
  <sheetFormatPr defaultColWidth="9" defaultRowHeight="16.5"/>
  <cols>
    <col min="1" max="1" width="11" style="345" bestFit="1" customWidth="1"/>
    <col min="2" max="2" width="13" style="345" bestFit="1" customWidth="1"/>
    <col min="3" max="3" width="9" style="345"/>
    <col min="4" max="4" width="6.125" style="345" bestFit="1" customWidth="1"/>
    <col min="5" max="5" width="10" style="345" bestFit="1" customWidth="1"/>
    <col min="6" max="6" width="9" style="345"/>
    <col min="7" max="7" width="10" style="345" customWidth="1"/>
    <col min="8" max="8" width="10.875" style="350" customWidth="1"/>
    <col min="9" max="9" width="10" style="350" customWidth="1"/>
    <col min="10" max="10" width="9.75" style="350" bestFit="1" customWidth="1"/>
    <col min="11" max="11" width="9.75" style="350" customWidth="1"/>
    <col min="12" max="12" width="9.125" style="350" customWidth="1"/>
    <col min="13" max="13" width="9.75" style="350" bestFit="1" customWidth="1"/>
    <col min="14" max="14" width="9" style="351"/>
    <col min="15" max="15" width="10" style="351" bestFit="1" customWidth="1"/>
    <col min="16" max="16" width="9.75" style="345" customWidth="1"/>
    <col min="17" max="16384" width="9" style="345"/>
  </cols>
  <sheetData>
    <row r="1" spans="1:16">
      <c r="A1" s="341" t="s">
        <v>241</v>
      </c>
      <c r="B1" s="341" t="s">
        <v>2680</v>
      </c>
      <c r="C1" s="341" t="s">
        <v>2681</v>
      </c>
      <c r="D1" s="341" t="s">
        <v>1373</v>
      </c>
      <c r="E1" s="342" t="s">
        <v>2682</v>
      </c>
      <c r="F1" s="342" t="s">
        <v>2683</v>
      </c>
      <c r="G1" s="341" t="s">
        <v>2684</v>
      </c>
      <c r="H1" s="343" t="s">
        <v>1275</v>
      </c>
      <c r="I1" s="343" t="s">
        <v>2435</v>
      </c>
      <c r="J1" s="343" t="s">
        <v>3740</v>
      </c>
      <c r="K1" s="398" t="s">
        <v>4467</v>
      </c>
      <c r="L1" s="343" t="s">
        <v>3741</v>
      </c>
      <c r="M1" s="343" t="s">
        <v>2436</v>
      </c>
      <c r="N1" s="344" t="s">
        <v>2420</v>
      </c>
      <c r="O1" s="344" t="s">
        <v>2419</v>
      </c>
      <c r="P1" s="344" t="s">
        <v>2437</v>
      </c>
    </row>
    <row r="2" spans="1:16" s="114" customFormat="1" ht="9.75" customHeight="1">
      <c r="A2" s="223"/>
      <c r="B2" s="211"/>
      <c r="C2" s="224"/>
      <c r="D2" s="211"/>
      <c r="F2" s="224"/>
      <c r="G2" s="225"/>
      <c r="H2" s="211"/>
      <c r="I2" s="224"/>
      <c r="J2" s="211"/>
      <c r="K2" s="211"/>
      <c r="M2" s="211"/>
      <c r="O2" s="211"/>
    </row>
    <row r="3" spans="1:16" s="347" customFormat="1">
      <c r="A3" s="346" t="s">
        <v>1387</v>
      </c>
      <c r="D3" s="348" t="s">
        <v>2377</v>
      </c>
      <c r="E3" s="349">
        <f>SUM(E4:E10)</f>
        <v>27000</v>
      </c>
      <c r="F3" s="349">
        <f>SUM(F4:F10)</f>
        <v>1350</v>
      </c>
      <c r="G3" s="349">
        <f>SUM(G4:G10)</f>
        <v>173600</v>
      </c>
      <c r="H3" s="349"/>
      <c r="J3" s="349">
        <f>SUM(J4:J10)</f>
        <v>129750</v>
      </c>
      <c r="K3" s="349"/>
      <c r="L3" s="349">
        <f>SUM(L4:L10)</f>
        <v>35985</v>
      </c>
      <c r="M3" s="349">
        <f>SUM(M4:M10)</f>
        <v>165735</v>
      </c>
      <c r="N3" s="349">
        <f>SUM(N4:N10)</f>
        <v>105</v>
      </c>
      <c r="O3" s="349">
        <f>SUM(O4:O10)</f>
        <v>5700</v>
      </c>
    </row>
    <row r="4" spans="1:16">
      <c r="A4" s="166">
        <v>98032001</v>
      </c>
      <c r="C4" t="s">
        <v>2685</v>
      </c>
      <c r="G4" s="123">
        <v>12915</v>
      </c>
      <c r="H4" s="350">
        <v>8</v>
      </c>
      <c r="I4" s="350">
        <v>54</v>
      </c>
      <c r="L4" s="350">
        <v>12900</v>
      </c>
      <c r="M4" s="350">
        <f t="shared" ref="M4:M10" si="0">J4+L4</f>
        <v>12900</v>
      </c>
      <c r="N4" s="351">
        <v>15</v>
      </c>
      <c r="O4" s="351">
        <f>G4-M4-N4</f>
        <v>0</v>
      </c>
      <c r="P4" s="352" t="s">
        <v>2420</v>
      </c>
    </row>
    <row r="5" spans="1:16">
      <c r="A5" s="166">
        <v>98051901</v>
      </c>
      <c r="B5" t="s">
        <v>1389</v>
      </c>
      <c r="C5" s="352" t="s">
        <v>1390</v>
      </c>
      <c r="G5" s="123">
        <v>2000</v>
      </c>
      <c r="M5" s="350">
        <f t="shared" si="0"/>
        <v>0</v>
      </c>
      <c r="O5" s="353">
        <f>G5-M5-N5-2000</f>
        <v>0</v>
      </c>
      <c r="P5" s="352" t="s">
        <v>318</v>
      </c>
    </row>
    <row r="6" spans="1:16">
      <c r="A6" s="166">
        <v>98111801</v>
      </c>
      <c r="B6" t="s">
        <v>1391</v>
      </c>
      <c r="C6" s="352" t="s">
        <v>3825</v>
      </c>
      <c r="D6" s="352" t="s">
        <v>1233</v>
      </c>
      <c r="E6" s="345">
        <v>13500</v>
      </c>
      <c r="F6" s="345">
        <v>675</v>
      </c>
      <c r="G6" s="123">
        <v>14175</v>
      </c>
      <c r="H6" s="350">
        <v>6</v>
      </c>
      <c r="I6" s="343">
        <v>35</v>
      </c>
      <c r="L6" s="350">
        <v>14145</v>
      </c>
      <c r="M6" s="350">
        <f t="shared" si="0"/>
        <v>14145</v>
      </c>
      <c r="N6" s="351">
        <v>30</v>
      </c>
      <c r="O6" s="351">
        <f>G6-M6-N6</f>
        <v>0</v>
      </c>
      <c r="P6" s="352" t="s">
        <v>2420</v>
      </c>
    </row>
    <row r="7" spans="1:16">
      <c r="A7" s="166">
        <v>98111801</v>
      </c>
      <c r="B7" t="s">
        <v>1392</v>
      </c>
      <c r="C7" s="352" t="s">
        <v>606</v>
      </c>
      <c r="G7" s="123">
        <v>5700</v>
      </c>
      <c r="M7" s="350">
        <f t="shared" si="0"/>
        <v>0</v>
      </c>
      <c r="O7" s="351">
        <f>G7-M7-N7</f>
        <v>5700</v>
      </c>
      <c r="P7" s="352" t="s">
        <v>317</v>
      </c>
    </row>
    <row r="8" spans="1:16">
      <c r="A8" s="166">
        <v>98111801</v>
      </c>
      <c r="B8" s="352" t="s">
        <v>3594</v>
      </c>
      <c r="C8" t="s">
        <v>1237</v>
      </c>
      <c r="D8" s="352" t="s">
        <v>1233</v>
      </c>
      <c r="E8" s="345">
        <v>13500</v>
      </c>
      <c r="F8" s="345">
        <v>675</v>
      </c>
      <c r="G8" s="63">
        <v>9030</v>
      </c>
      <c r="H8" s="343" t="s">
        <v>3595</v>
      </c>
      <c r="I8" s="343" t="s">
        <v>3596</v>
      </c>
      <c r="L8" s="350">
        <v>8940</v>
      </c>
      <c r="M8" s="350">
        <f t="shared" si="0"/>
        <v>8940</v>
      </c>
      <c r="N8" s="351">
        <v>60</v>
      </c>
      <c r="O8" s="353">
        <f>G8-M8-N8-30</f>
        <v>0</v>
      </c>
      <c r="P8" s="352" t="s">
        <v>319</v>
      </c>
    </row>
    <row r="9" spans="1:16">
      <c r="A9" s="166">
        <v>98120101</v>
      </c>
      <c r="B9" t="s">
        <v>1822</v>
      </c>
      <c r="C9" s="352" t="s">
        <v>1232</v>
      </c>
      <c r="G9" s="123">
        <v>16380</v>
      </c>
      <c r="H9" s="350">
        <v>7</v>
      </c>
      <c r="I9" s="350">
        <v>36</v>
      </c>
      <c r="J9" s="350">
        <v>16380</v>
      </c>
      <c r="M9" s="350">
        <f t="shared" si="0"/>
        <v>16380</v>
      </c>
      <c r="N9" s="351">
        <v>0</v>
      </c>
      <c r="O9" s="351">
        <f>G9-M9-N9</f>
        <v>0</v>
      </c>
    </row>
    <row r="10" spans="1:16">
      <c r="A10" s="166">
        <v>98120101</v>
      </c>
      <c r="B10" t="s">
        <v>1393</v>
      </c>
      <c r="C10" s="352" t="s">
        <v>1305</v>
      </c>
      <c r="G10" s="123">
        <v>113400</v>
      </c>
      <c r="H10" s="354" t="s">
        <v>1276</v>
      </c>
      <c r="I10" s="355" t="s">
        <v>1276</v>
      </c>
      <c r="J10" s="350">
        <f>113400-30</f>
        <v>113370</v>
      </c>
      <c r="L10" s="355"/>
      <c r="M10" s="350">
        <f t="shared" si="0"/>
        <v>113370</v>
      </c>
      <c r="N10" s="351">
        <v>0</v>
      </c>
      <c r="O10" s="353">
        <f>G10-M10-N10-30</f>
        <v>0</v>
      </c>
      <c r="P10" s="352" t="s">
        <v>320</v>
      </c>
    </row>
    <row r="11" spans="1:16" s="347" customFormat="1">
      <c r="A11" s="346" t="s">
        <v>1388</v>
      </c>
      <c r="D11" s="348" t="s">
        <v>2377</v>
      </c>
      <c r="E11" s="349">
        <f>SUM(E12:E62)</f>
        <v>2740128</v>
      </c>
      <c r="F11" s="349">
        <f>SUM(F12:F62)</f>
        <v>137007</v>
      </c>
      <c r="G11" s="349">
        <f>SUM(G12:G62)</f>
        <v>2877135</v>
      </c>
      <c r="H11" s="349"/>
      <c r="J11" s="349">
        <f>SUM(J12:J62)</f>
        <v>2774205</v>
      </c>
      <c r="K11" s="349"/>
      <c r="L11" s="349">
        <f>SUM(L12:L62)</f>
        <v>108380</v>
      </c>
      <c r="M11" s="349">
        <f>SUM(M12:M62)</f>
        <v>2882585</v>
      </c>
      <c r="N11" s="349">
        <f>SUM(N12:N62)</f>
        <v>250</v>
      </c>
      <c r="O11" s="349">
        <f>SUM(O12:O62)</f>
        <v>-5700</v>
      </c>
    </row>
    <row r="12" spans="1:16">
      <c r="A12" s="356">
        <v>20100104</v>
      </c>
      <c r="B12" s="356" t="s">
        <v>1225</v>
      </c>
      <c r="C12" s="356" t="s">
        <v>2424</v>
      </c>
      <c r="D12" s="352"/>
      <c r="E12" s="356">
        <v>108000</v>
      </c>
      <c r="F12" s="356">
        <v>5400</v>
      </c>
      <c r="G12" s="345">
        <f>E12+F12</f>
        <v>113400</v>
      </c>
      <c r="H12" s="357" t="s">
        <v>1276</v>
      </c>
      <c r="I12" s="355" t="s">
        <v>1278</v>
      </c>
      <c r="J12" s="343">
        <v>113400</v>
      </c>
      <c r="K12" s="343"/>
      <c r="L12" s="355"/>
      <c r="M12" s="350">
        <f>J12+L12</f>
        <v>113400</v>
      </c>
      <c r="N12" s="351">
        <v>0</v>
      </c>
      <c r="O12" s="351">
        <f t="shared" ref="O12:O62" si="1">G12-M12-N12</f>
        <v>0</v>
      </c>
    </row>
    <row r="13" spans="1:16" s="360" customFormat="1">
      <c r="A13" s="358"/>
      <c r="B13" s="358" t="s">
        <v>1226</v>
      </c>
      <c r="C13" s="358"/>
      <c r="D13" s="359" t="s">
        <v>1235</v>
      </c>
      <c r="E13" s="358"/>
      <c r="F13" s="358"/>
      <c r="H13" s="361"/>
      <c r="I13" s="362"/>
      <c r="J13" s="362"/>
      <c r="K13" s="362"/>
      <c r="L13" s="362"/>
      <c r="M13" s="362"/>
      <c r="N13" s="362"/>
      <c r="O13" s="362">
        <f t="shared" si="1"/>
        <v>0</v>
      </c>
    </row>
    <row r="14" spans="1:16">
      <c r="A14" s="356">
        <v>20100118</v>
      </c>
      <c r="B14" s="356" t="s">
        <v>1227</v>
      </c>
      <c r="C14" s="358" t="s">
        <v>1304</v>
      </c>
      <c r="D14" s="344"/>
      <c r="E14" s="363">
        <v>72000</v>
      </c>
      <c r="F14" s="356">
        <v>3600</v>
      </c>
      <c r="G14" s="345">
        <f>E14+F14</f>
        <v>75600</v>
      </c>
      <c r="H14" s="357" t="s">
        <v>1276</v>
      </c>
      <c r="I14" s="354" t="s">
        <v>1823</v>
      </c>
      <c r="J14" s="343">
        <v>75600</v>
      </c>
      <c r="K14" s="343"/>
      <c r="L14" s="354"/>
      <c r="M14" s="350">
        <f>J14+L14</f>
        <v>75600</v>
      </c>
      <c r="N14" s="351">
        <v>0</v>
      </c>
      <c r="O14" s="351">
        <f t="shared" si="1"/>
        <v>0</v>
      </c>
    </row>
    <row r="15" spans="1:16">
      <c r="A15" s="356">
        <v>20100119</v>
      </c>
      <c r="B15" s="356" t="s">
        <v>1228</v>
      </c>
      <c r="C15" s="358" t="s">
        <v>2690</v>
      </c>
      <c r="D15" s="352"/>
      <c r="E15" s="356">
        <v>108000</v>
      </c>
      <c r="F15" s="356">
        <v>5400</v>
      </c>
      <c r="G15" s="345">
        <f>E15+F15</f>
        <v>113400</v>
      </c>
      <c r="H15" s="357" t="s">
        <v>1276</v>
      </c>
      <c r="I15" s="354" t="s">
        <v>1279</v>
      </c>
      <c r="J15" s="350">
        <v>113400</v>
      </c>
      <c r="L15" s="354"/>
      <c r="M15" s="350">
        <f>J15+L15</f>
        <v>113400</v>
      </c>
      <c r="N15" s="351">
        <v>0</v>
      </c>
      <c r="O15" s="351">
        <f t="shared" si="1"/>
        <v>0</v>
      </c>
    </row>
    <row r="16" spans="1:16">
      <c r="A16" s="356">
        <v>20100126</v>
      </c>
      <c r="B16" s="356" t="s">
        <v>1229</v>
      </c>
      <c r="C16" s="358" t="s">
        <v>1230</v>
      </c>
      <c r="D16" s="352"/>
      <c r="E16" s="363">
        <v>11400</v>
      </c>
      <c r="F16" s="356">
        <v>570</v>
      </c>
      <c r="G16" s="345">
        <f>E16+F16</f>
        <v>11970</v>
      </c>
      <c r="H16" s="357">
        <v>1</v>
      </c>
      <c r="I16" s="350">
        <v>34</v>
      </c>
      <c r="L16" s="350">
        <v>11940</v>
      </c>
      <c r="M16" s="350">
        <f>J16+L16</f>
        <v>11940</v>
      </c>
      <c r="N16" s="351">
        <v>30</v>
      </c>
      <c r="O16" s="351">
        <f t="shared" si="1"/>
        <v>0</v>
      </c>
      <c r="P16" s="364" t="s">
        <v>2420</v>
      </c>
    </row>
    <row r="17" spans="1:16">
      <c r="A17" s="356">
        <v>20100308</v>
      </c>
      <c r="B17" s="352" t="s">
        <v>1231</v>
      </c>
      <c r="C17" s="352" t="s">
        <v>1232</v>
      </c>
      <c r="D17" s="352" t="s">
        <v>1233</v>
      </c>
      <c r="E17" s="365">
        <v>15600</v>
      </c>
      <c r="F17" s="345">
        <v>780</v>
      </c>
      <c r="G17" s="345">
        <f>E17+F17</f>
        <v>16380</v>
      </c>
      <c r="H17" s="357">
        <v>8</v>
      </c>
      <c r="I17" s="350">
        <v>81</v>
      </c>
      <c r="J17" s="350">
        <v>16380</v>
      </c>
      <c r="M17" s="350">
        <f>J17+L17</f>
        <v>16380</v>
      </c>
      <c r="N17" s="351">
        <v>0</v>
      </c>
      <c r="O17" s="351">
        <f t="shared" si="1"/>
        <v>0</v>
      </c>
    </row>
    <row r="18" spans="1:16">
      <c r="A18" s="356">
        <v>20100308</v>
      </c>
      <c r="B18" s="352" t="s">
        <v>1477</v>
      </c>
      <c r="C18" s="352" t="s">
        <v>3825</v>
      </c>
      <c r="D18" s="352" t="s">
        <v>1233</v>
      </c>
      <c r="E18" s="365">
        <v>13500</v>
      </c>
      <c r="F18" s="345">
        <v>675</v>
      </c>
      <c r="G18" s="345">
        <f>E18+F18</f>
        <v>14175</v>
      </c>
      <c r="H18" s="357">
        <v>7</v>
      </c>
      <c r="I18" s="350">
        <v>82</v>
      </c>
      <c r="L18" s="350">
        <v>14145</v>
      </c>
      <c r="M18" s="350">
        <f>J18+L18</f>
        <v>14145</v>
      </c>
      <c r="N18" s="351">
        <v>30</v>
      </c>
      <c r="O18" s="351">
        <f t="shared" si="1"/>
        <v>0</v>
      </c>
      <c r="P18" s="364" t="s">
        <v>2420</v>
      </c>
    </row>
    <row r="19" spans="1:16" s="360" customFormat="1">
      <c r="A19" s="366"/>
      <c r="B19" s="367" t="s">
        <v>1234</v>
      </c>
      <c r="C19" s="367"/>
      <c r="D19" s="359" t="s">
        <v>1235</v>
      </c>
      <c r="H19" s="368"/>
      <c r="I19" s="362"/>
      <c r="J19" s="362"/>
      <c r="K19" s="362"/>
      <c r="L19" s="362"/>
      <c r="M19" s="362"/>
      <c r="N19" s="362"/>
      <c r="O19" s="362">
        <f t="shared" si="1"/>
        <v>0</v>
      </c>
    </row>
    <row r="20" spans="1:16">
      <c r="A20" s="356">
        <v>20100310</v>
      </c>
      <c r="B20" s="352" t="s">
        <v>1236</v>
      </c>
      <c r="C20" s="352" t="s">
        <v>1237</v>
      </c>
      <c r="D20" s="352" t="s">
        <v>1233</v>
      </c>
      <c r="E20" s="365">
        <v>4500</v>
      </c>
      <c r="F20" s="345">
        <v>225</v>
      </c>
      <c r="G20" s="345">
        <f>E20+F20</f>
        <v>4725</v>
      </c>
      <c r="H20" s="357">
        <v>19</v>
      </c>
      <c r="I20" s="350">
        <v>55</v>
      </c>
      <c r="L20" s="350">
        <v>4695</v>
      </c>
      <c r="M20" s="350">
        <f>J20+L20</f>
        <v>4695</v>
      </c>
      <c r="N20" s="351">
        <v>30</v>
      </c>
      <c r="O20" s="351">
        <f t="shared" si="1"/>
        <v>0</v>
      </c>
      <c r="P20" s="364" t="s">
        <v>2420</v>
      </c>
    </row>
    <row r="21" spans="1:16">
      <c r="A21" s="356">
        <v>20100310</v>
      </c>
      <c r="B21" s="352" t="s">
        <v>1238</v>
      </c>
      <c r="C21" s="352" t="s">
        <v>1239</v>
      </c>
      <c r="D21" s="352" t="s">
        <v>1233</v>
      </c>
      <c r="E21" s="365">
        <v>22500</v>
      </c>
      <c r="F21" s="345">
        <v>1125</v>
      </c>
      <c r="G21" s="345">
        <f>E21+F21</f>
        <v>23625</v>
      </c>
      <c r="H21" s="357">
        <v>8</v>
      </c>
      <c r="I21" s="350">
        <v>64</v>
      </c>
      <c r="J21" s="350">
        <v>23625</v>
      </c>
      <c r="M21" s="350">
        <f>J21+L21</f>
        <v>23625</v>
      </c>
      <c r="N21" s="351">
        <v>0</v>
      </c>
      <c r="O21" s="351">
        <f t="shared" si="1"/>
        <v>0</v>
      </c>
    </row>
    <row r="22" spans="1:16" s="360" customFormat="1">
      <c r="A22" s="366"/>
      <c r="B22" s="367" t="s">
        <v>1240</v>
      </c>
      <c r="C22" s="367"/>
      <c r="D22" s="359" t="s">
        <v>1235</v>
      </c>
      <c r="H22" s="368"/>
      <c r="I22" s="362"/>
      <c r="J22" s="362"/>
      <c r="K22" s="362"/>
      <c r="L22" s="362"/>
      <c r="M22" s="362"/>
      <c r="N22" s="362"/>
      <c r="O22" s="362">
        <f t="shared" si="1"/>
        <v>0</v>
      </c>
    </row>
    <row r="23" spans="1:16">
      <c r="A23" s="356">
        <v>20100331</v>
      </c>
      <c r="B23" s="352" t="s">
        <v>1241</v>
      </c>
      <c r="C23" s="352" t="s">
        <v>2688</v>
      </c>
      <c r="D23" s="352" t="s">
        <v>1233</v>
      </c>
      <c r="E23" s="345">
        <v>108000</v>
      </c>
      <c r="F23" s="345">
        <v>5400</v>
      </c>
      <c r="G23" s="345">
        <f t="shared" ref="G23:G62" si="2">E23+F23</f>
        <v>113400</v>
      </c>
      <c r="H23" s="357" t="s">
        <v>1276</v>
      </c>
      <c r="I23" s="354" t="s">
        <v>1478</v>
      </c>
      <c r="J23" s="350">
        <v>113400</v>
      </c>
      <c r="L23" s="354"/>
      <c r="M23" s="350">
        <f t="shared" ref="M23:M29" si="3">J23+L23</f>
        <v>113400</v>
      </c>
      <c r="N23" s="351">
        <v>0</v>
      </c>
      <c r="O23" s="351">
        <f t="shared" si="1"/>
        <v>0</v>
      </c>
    </row>
    <row r="24" spans="1:16">
      <c r="A24" s="356">
        <v>20100331</v>
      </c>
      <c r="B24" s="352" t="s">
        <v>1242</v>
      </c>
      <c r="C24" s="352" t="s">
        <v>1775</v>
      </c>
      <c r="D24" s="352" t="s">
        <v>1233</v>
      </c>
      <c r="E24" s="345">
        <v>82286</v>
      </c>
      <c r="F24" s="345">
        <v>4114</v>
      </c>
      <c r="G24" s="345">
        <f t="shared" si="2"/>
        <v>86400</v>
      </c>
      <c r="H24" s="357" t="s">
        <v>1276</v>
      </c>
      <c r="I24" s="343" t="s">
        <v>1479</v>
      </c>
      <c r="J24" s="350">
        <v>86400</v>
      </c>
      <c r="L24" s="343"/>
      <c r="M24" s="350">
        <f t="shared" si="3"/>
        <v>86400</v>
      </c>
      <c r="N24" s="351">
        <v>0</v>
      </c>
      <c r="O24" s="351">
        <f t="shared" si="1"/>
        <v>0</v>
      </c>
    </row>
    <row r="25" spans="1:16">
      <c r="A25" s="356">
        <v>20100420</v>
      </c>
      <c r="B25" s="352" t="s">
        <v>1243</v>
      </c>
      <c r="C25" s="352" t="s">
        <v>1781</v>
      </c>
      <c r="D25" s="352" t="s">
        <v>1233</v>
      </c>
      <c r="E25" s="345">
        <v>108000</v>
      </c>
      <c r="F25" s="345">
        <v>5400</v>
      </c>
      <c r="G25" s="345">
        <f t="shared" si="2"/>
        <v>113400</v>
      </c>
      <c r="H25" s="357" t="s">
        <v>1276</v>
      </c>
      <c r="I25" s="343" t="s">
        <v>1480</v>
      </c>
      <c r="J25" s="350">
        <v>113400</v>
      </c>
      <c r="L25" s="343"/>
      <c r="M25" s="350">
        <f t="shared" si="3"/>
        <v>113400</v>
      </c>
      <c r="N25" s="351">
        <v>0</v>
      </c>
      <c r="O25" s="351">
        <f t="shared" si="1"/>
        <v>0</v>
      </c>
    </row>
    <row r="26" spans="1:16">
      <c r="A26" s="356">
        <v>20100422</v>
      </c>
      <c r="B26" s="352" t="s">
        <v>1244</v>
      </c>
      <c r="C26" s="352" t="s">
        <v>1301</v>
      </c>
      <c r="D26" s="352" t="s">
        <v>1233</v>
      </c>
      <c r="E26" s="345">
        <v>108000</v>
      </c>
      <c r="F26" s="345">
        <v>5400</v>
      </c>
      <c r="G26" s="345">
        <f t="shared" si="2"/>
        <v>113400</v>
      </c>
      <c r="H26" s="357" t="s">
        <v>1276</v>
      </c>
      <c r="I26" s="343" t="s">
        <v>1481</v>
      </c>
      <c r="J26" s="350">
        <v>113400</v>
      </c>
      <c r="L26" s="343"/>
      <c r="M26" s="350">
        <f t="shared" si="3"/>
        <v>113400</v>
      </c>
      <c r="N26" s="351">
        <v>0</v>
      </c>
      <c r="O26" s="351">
        <f t="shared" si="1"/>
        <v>0</v>
      </c>
    </row>
    <row r="27" spans="1:16">
      <c r="A27" s="356">
        <v>20100501</v>
      </c>
      <c r="B27" s="352" t="s">
        <v>1245</v>
      </c>
      <c r="C27" s="352" t="s">
        <v>1246</v>
      </c>
      <c r="D27" s="352" t="s">
        <v>1233</v>
      </c>
      <c r="E27" s="345">
        <v>102857</v>
      </c>
      <c r="F27" s="345">
        <v>5143</v>
      </c>
      <c r="G27" s="345">
        <f t="shared" si="2"/>
        <v>108000</v>
      </c>
      <c r="H27" s="357" t="s">
        <v>1276</v>
      </c>
      <c r="I27" s="343" t="s">
        <v>1482</v>
      </c>
      <c r="J27" s="350">
        <v>108000</v>
      </c>
      <c r="L27" s="343"/>
      <c r="M27" s="350">
        <f t="shared" si="3"/>
        <v>108000</v>
      </c>
      <c r="N27" s="351">
        <v>0</v>
      </c>
      <c r="O27" s="351">
        <f t="shared" si="1"/>
        <v>0</v>
      </c>
    </row>
    <row r="28" spans="1:16">
      <c r="A28" s="356">
        <v>20100510</v>
      </c>
      <c r="B28" s="352" t="s">
        <v>1247</v>
      </c>
      <c r="C28" s="352" t="s">
        <v>1230</v>
      </c>
      <c r="D28" s="352" t="s">
        <v>1233</v>
      </c>
      <c r="E28" s="365">
        <v>11400</v>
      </c>
      <c r="F28" s="345">
        <v>570</v>
      </c>
      <c r="G28" s="345">
        <f t="shared" si="2"/>
        <v>11970</v>
      </c>
      <c r="H28" s="357">
        <v>2</v>
      </c>
      <c r="I28" s="350">
        <v>111</v>
      </c>
      <c r="L28" s="350">
        <v>11940</v>
      </c>
      <c r="M28" s="350">
        <f t="shared" si="3"/>
        <v>11940</v>
      </c>
      <c r="N28" s="351">
        <v>30</v>
      </c>
      <c r="O28" s="351">
        <f t="shared" si="1"/>
        <v>0</v>
      </c>
      <c r="P28" s="364" t="s">
        <v>2420</v>
      </c>
    </row>
    <row r="29" spans="1:16">
      <c r="A29" s="356">
        <v>20100511</v>
      </c>
      <c r="B29" s="352" t="s">
        <v>1248</v>
      </c>
      <c r="C29" s="352" t="s">
        <v>1249</v>
      </c>
      <c r="D29" s="352" t="s">
        <v>1233</v>
      </c>
      <c r="E29" s="365">
        <v>54000</v>
      </c>
      <c r="F29" s="345">
        <v>2700</v>
      </c>
      <c r="G29" s="345">
        <f t="shared" si="2"/>
        <v>56700</v>
      </c>
      <c r="H29" s="357" t="s">
        <v>1277</v>
      </c>
      <c r="I29" s="343" t="s">
        <v>1483</v>
      </c>
      <c r="J29" s="350">
        <v>56700</v>
      </c>
      <c r="L29" s="343"/>
      <c r="M29" s="350">
        <f t="shared" si="3"/>
        <v>56700</v>
      </c>
      <c r="N29" s="351">
        <v>0</v>
      </c>
      <c r="O29" s="351">
        <f t="shared" si="1"/>
        <v>0</v>
      </c>
    </row>
    <row r="30" spans="1:16">
      <c r="A30" s="369">
        <v>20100514</v>
      </c>
      <c r="B30" s="370" t="s">
        <v>1484</v>
      </c>
      <c r="C30" s="370" t="s">
        <v>606</v>
      </c>
      <c r="D30" s="371" t="s">
        <v>2439</v>
      </c>
      <c r="E30" s="372">
        <v>-5429</v>
      </c>
      <c r="F30" s="372">
        <v>-271</v>
      </c>
      <c r="G30" s="372">
        <f t="shared" si="2"/>
        <v>-5700</v>
      </c>
      <c r="H30" s="373" t="s">
        <v>1276</v>
      </c>
      <c r="I30" s="374"/>
      <c r="J30" s="374"/>
      <c r="K30" s="374"/>
      <c r="L30" s="374"/>
      <c r="M30" s="374"/>
      <c r="N30" s="374"/>
      <c r="O30" s="374">
        <f t="shared" si="1"/>
        <v>-5700</v>
      </c>
      <c r="P30" s="364" t="s">
        <v>1485</v>
      </c>
    </row>
    <row r="31" spans="1:16">
      <c r="A31" s="356">
        <v>20100526</v>
      </c>
      <c r="B31" s="352" t="s">
        <v>1250</v>
      </c>
      <c r="C31" s="352" t="s">
        <v>2</v>
      </c>
      <c r="D31" s="352" t="s">
        <v>1233</v>
      </c>
      <c r="E31" s="345">
        <v>187200</v>
      </c>
      <c r="F31" s="345">
        <v>9360</v>
      </c>
      <c r="G31" s="345">
        <f t="shared" si="2"/>
        <v>196560</v>
      </c>
      <c r="H31" s="357" t="s">
        <v>1276</v>
      </c>
      <c r="I31" s="343" t="s">
        <v>1486</v>
      </c>
      <c r="J31" s="350">
        <v>196560</v>
      </c>
      <c r="L31" s="343"/>
      <c r="M31" s="350">
        <f t="shared" ref="M31:M36" si="4">J31+L31</f>
        <v>196560</v>
      </c>
      <c r="N31" s="351">
        <v>0</v>
      </c>
      <c r="O31" s="351">
        <f t="shared" si="1"/>
        <v>0</v>
      </c>
    </row>
    <row r="32" spans="1:16">
      <c r="A32" s="356">
        <v>20100526</v>
      </c>
      <c r="B32" s="352" t="s">
        <v>1251</v>
      </c>
      <c r="C32" s="352" t="s">
        <v>2</v>
      </c>
      <c r="D32" s="352" t="s">
        <v>1233</v>
      </c>
      <c r="E32" s="345">
        <v>108000</v>
      </c>
      <c r="F32" s="345">
        <v>5400</v>
      </c>
      <c r="G32" s="345">
        <f t="shared" si="2"/>
        <v>113400</v>
      </c>
      <c r="H32" s="357" t="s">
        <v>1276</v>
      </c>
      <c r="I32" s="343" t="s">
        <v>1487</v>
      </c>
      <c r="J32" s="350">
        <v>113400</v>
      </c>
      <c r="L32" s="343"/>
      <c r="M32" s="350">
        <f t="shared" si="4"/>
        <v>113400</v>
      </c>
      <c r="N32" s="351">
        <v>0</v>
      </c>
      <c r="O32" s="351">
        <f t="shared" si="1"/>
        <v>0</v>
      </c>
    </row>
    <row r="33" spans="1:16">
      <c r="A33" s="356">
        <v>20100603</v>
      </c>
      <c r="B33" s="352" t="s">
        <v>1252</v>
      </c>
      <c r="C33" s="352" t="s">
        <v>2687</v>
      </c>
      <c r="D33" s="352" t="s">
        <v>1233</v>
      </c>
      <c r="E33" s="345">
        <v>108000</v>
      </c>
      <c r="F33" s="345">
        <v>5400</v>
      </c>
      <c r="G33" s="345">
        <f t="shared" si="2"/>
        <v>113400</v>
      </c>
      <c r="H33" s="357" t="s">
        <v>1276</v>
      </c>
      <c r="I33" s="343" t="s">
        <v>1488</v>
      </c>
      <c r="J33" s="350">
        <v>113400</v>
      </c>
      <c r="L33" s="343"/>
      <c r="M33" s="350">
        <f t="shared" si="4"/>
        <v>113400</v>
      </c>
      <c r="N33" s="351">
        <v>0</v>
      </c>
      <c r="O33" s="351">
        <f t="shared" si="1"/>
        <v>0</v>
      </c>
    </row>
    <row r="34" spans="1:16">
      <c r="A34" s="356">
        <v>20100610</v>
      </c>
      <c r="B34" s="352" t="s">
        <v>1253</v>
      </c>
      <c r="C34" s="352" t="s">
        <v>1232</v>
      </c>
      <c r="D34" s="352" t="s">
        <v>1233</v>
      </c>
      <c r="E34" s="365">
        <v>15600</v>
      </c>
      <c r="F34" s="345">
        <v>780</v>
      </c>
      <c r="G34" s="345">
        <f t="shared" si="2"/>
        <v>16380</v>
      </c>
      <c r="H34" s="357">
        <v>9</v>
      </c>
      <c r="I34" s="350">
        <v>136</v>
      </c>
      <c r="J34" s="350">
        <v>16380</v>
      </c>
      <c r="M34" s="350">
        <f t="shared" si="4"/>
        <v>16380</v>
      </c>
      <c r="N34" s="351">
        <v>0</v>
      </c>
      <c r="O34" s="351">
        <f t="shared" si="1"/>
        <v>0</v>
      </c>
    </row>
    <row r="35" spans="1:16">
      <c r="A35" s="356">
        <v>20100610</v>
      </c>
      <c r="B35" s="352" t="s">
        <v>1254</v>
      </c>
      <c r="C35" s="352" t="s">
        <v>3825</v>
      </c>
      <c r="D35" s="352" t="s">
        <v>1233</v>
      </c>
      <c r="E35" s="365">
        <v>13500</v>
      </c>
      <c r="F35" s="345">
        <v>675</v>
      </c>
      <c r="G35" s="345">
        <f t="shared" si="2"/>
        <v>14175</v>
      </c>
      <c r="H35" s="357">
        <v>8</v>
      </c>
      <c r="I35" s="350">
        <v>137</v>
      </c>
      <c r="L35" s="350">
        <v>14145</v>
      </c>
      <c r="M35" s="350">
        <f t="shared" si="4"/>
        <v>14145</v>
      </c>
      <c r="N35" s="351">
        <v>30</v>
      </c>
      <c r="O35" s="351">
        <f t="shared" si="1"/>
        <v>0</v>
      </c>
      <c r="P35" s="364" t="s">
        <v>2420</v>
      </c>
    </row>
    <row r="36" spans="1:16">
      <c r="A36" s="356">
        <v>20100615</v>
      </c>
      <c r="B36" s="352" t="s">
        <v>1255</v>
      </c>
      <c r="C36" s="352" t="s">
        <v>1761</v>
      </c>
      <c r="D36" s="352" t="s">
        <v>1233</v>
      </c>
      <c r="E36" s="345">
        <v>96000</v>
      </c>
      <c r="F36" s="345">
        <v>4800</v>
      </c>
      <c r="G36" s="345">
        <f t="shared" si="2"/>
        <v>100800</v>
      </c>
      <c r="H36" s="357" t="s">
        <v>1276</v>
      </c>
      <c r="I36" s="343" t="s">
        <v>1489</v>
      </c>
      <c r="J36" s="350">
        <v>100800</v>
      </c>
      <c r="L36" s="343"/>
      <c r="M36" s="350">
        <f t="shared" si="4"/>
        <v>100800</v>
      </c>
      <c r="N36" s="351">
        <v>0</v>
      </c>
      <c r="O36" s="351">
        <f t="shared" si="1"/>
        <v>0</v>
      </c>
    </row>
    <row r="37" spans="1:16">
      <c r="A37" s="356">
        <v>20100622</v>
      </c>
      <c r="B37" s="352" t="s">
        <v>1256</v>
      </c>
      <c r="C37" s="352" t="s">
        <v>2693</v>
      </c>
      <c r="D37" s="352" t="s">
        <v>1233</v>
      </c>
      <c r="E37" s="345">
        <v>100800</v>
      </c>
      <c r="F37" s="345">
        <v>5040</v>
      </c>
      <c r="G37" s="345">
        <f t="shared" si="2"/>
        <v>105840</v>
      </c>
      <c r="H37" s="357" t="s">
        <v>1276</v>
      </c>
      <c r="O37" s="351">
        <f t="shared" si="1"/>
        <v>105840</v>
      </c>
    </row>
    <row r="38" spans="1:16">
      <c r="A38" s="176">
        <v>20100728</v>
      </c>
      <c r="B38" s="370" t="s">
        <v>1256</v>
      </c>
      <c r="C38" s="370" t="s">
        <v>2693</v>
      </c>
      <c r="D38" s="371" t="s">
        <v>2556</v>
      </c>
      <c r="E38" s="372">
        <v>-100800</v>
      </c>
      <c r="F38" s="372">
        <v>-5040</v>
      </c>
      <c r="G38" s="372">
        <f t="shared" si="2"/>
        <v>-105840</v>
      </c>
      <c r="H38" s="373" t="s">
        <v>1276</v>
      </c>
      <c r="I38" s="374"/>
      <c r="J38" s="374"/>
      <c r="K38" s="374"/>
      <c r="L38" s="374"/>
      <c r="M38" s="374"/>
      <c r="N38" s="374"/>
      <c r="O38" s="374">
        <f t="shared" si="1"/>
        <v>-105840</v>
      </c>
    </row>
    <row r="39" spans="1:16">
      <c r="A39">
        <v>20100728</v>
      </c>
      <c r="B39" t="s">
        <v>1257</v>
      </c>
      <c r="C39" s="352" t="s">
        <v>2693</v>
      </c>
      <c r="D39" s="178"/>
      <c r="E39" s="365">
        <v>33600</v>
      </c>
      <c r="F39" s="345">
        <v>1680</v>
      </c>
      <c r="G39" s="345">
        <f t="shared" si="2"/>
        <v>35280</v>
      </c>
      <c r="H39" s="357" t="s">
        <v>1276</v>
      </c>
      <c r="I39" s="343" t="s">
        <v>1490</v>
      </c>
      <c r="J39" s="350">
        <v>39690</v>
      </c>
      <c r="L39" s="343"/>
      <c r="M39" s="350">
        <f t="shared" ref="M39:M62" si="5">J39+L39</f>
        <v>39690</v>
      </c>
      <c r="N39" s="351">
        <v>-4410</v>
      </c>
      <c r="O39" s="351">
        <f t="shared" si="1"/>
        <v>0</v>
      </c>
      <c r="P39" s="364" t="s">
        <v>1491</v>
      </c>
    </row>
    <row r="40" spans="1:16">
      <c r="A40">
        <v>20100728</v>
      </c>
      <c r="B40" t="s">
        <v>1258</v>
      </c>
      <c r="C40" s="352" t="s">
        <v>2693</v>
      </c>
      <c r="D40" s="178"/>
      <c r="E40" s="365">
        <v>33600</v>
      </c>
      <c r="F40" s="345">
        <v>1680</v>
      </c>
      <c r="G40" s="345">
        <f t="shared" si="2"/>
        <v>35280</v>
      </c>
      <c r="H40" s="357" t="s">
        <v>1278</v>
      </c>
      <c r="I40" s="343" t="s">
        <v>1492</v>
      </c>
      <c r="J40" s="350">
        <v>39690</v>
      </c>
      <c r="L40" s="343"/>
      <c r="M40" s="350">
        <f t="shared" si="5"/>
        <v>39690</v>
      </c>
      <c r="N40" s="351">
        <v>-4410</v>
      </c>
      <c r="O40" s="351">
        <f t="shared" si="1"/>
        <v>0</v>
      </c>
      <c r="P40" s="364" t="s">
        <v>1491</v>
      </c>
    </row>
    <row r="41" spans="1:16">
      <c r="A41">
        <v>20100728</v>
      </c>
      <c r="B41" t="s">
        <v>1259</v>
      </c>
      <c r="C41" s="352" t="s">
        <v>2693</v>
      </c>
      <c r="D41" s="178"/>
      <c r="E41" s="365">
        <v>33600</v>
      </c>
      <c r="F41" s="345">
        <v>1680</v>
      </c>
      <c r="G41" s="345">
        <f t="shared" si="2"/>
        <v>35280</v>
      </c>
      <c r="H41" s="357" t="s">
        <v>1279</v>
      </c>
      <c r="I41" s="343" t="s">
        <v>1493</v>
      </c>
      <c r="J41" s="350">
        <v>26460</v>
      </c>
      <c r="L41" s="343"/>
      <c r="M41" s="350">
        <f t="shared" si="5"/>
        <v>26460</v>
      </c>
      <c r="N41" s="351">
        <v>8820</v>
      </c>
      <c r="O41" s="351">
        <f t="shared" si="1"/>
        <v>0</v>
      </c>
      <c r="P41" s="364" t="s">
        <v>1491</v>
      </c>
    </row>
    <row r="42" spans="1:16">
      <c r="A42">
        <v>20100806</v>
      </c>
      <c r="B42" t="s">
        <v>1260</v>
      </c>
      <c r="C42" s="352" t="s">
        <v>1792</v>
      </c>
      <c r="D42" s="178"/>
      <c r="E42" s="345">
        <v>108000</v>
      </c>
      <c r="F42" s="345">
        <v>5400</v>
      </c>
      <c r="G42" s="345">
        <f t="shared" si="2"/>
        <v>113400</v>
      </c>
      <c r="H42" s="357" t="s">
        <v>1276</v>
      </c>
      <c r="I42" s="343" t="s">
        <v>1494</v>
      </c>
      <c r="J42" s="350">
        <v>113400</v>
      </c>
      <c r="L42" s="343"/>
      <c r="M42" s="350">
        <f t="shared" si="5"/>
        <v>113400</v>
      </c>
      <c r="N42" s="351">
        <v>0</v>
      </c>
      <c r="O42" s="351">
        <f t="shared" si="1"/>
        <v>0</v>
      </c>
    </row>
    <row r="43" spans="1:16">
      <c r="A43">
        <v>20100818</v>
      </c>
      <c r="B43" t="s">
        <v>1261</v>
      </c>
      <c r="C43" t="s">
        <v>1789</v>
      </c>
      <c r="D43" s="352"/>
      <c r="E43">
        <v>108000</v>
      </c>
      <c r="F43">
        <v>5400</v>
      </c>
      <c r="G43" s="345">
        <f t="shared" si="2"/>
        <v>113400</v>
      </c>
      <c r="H43" s="357" t="s">
        <v>1276</v>
      </c>
      <c r="I43" s="343" t="s">
        <v>1495</v>
      </c>
      <c r="J43" s="350">
        <v>113400</v>
      </c>
      <c r="L43" s="343"/>
      <c r="M43" s="350">
        <f t="shared" si="5"/>
        <v>113400</v>
      </c>
      <c r="N43" s="351">
        <v>0</v>
      </c>
      <c r="O43" s="351">
        <f t="shared" si="1"/>
        <v>0</v>
      </c>
    </row>
    <row r="44" spans="1:16">
      <c r="A44">
        <v>20100826</v>
      </c>
      <c r="B44" t="s">
        <v>1262</v>
      </c>
      <c r="C44" t="s">
        <v>1299</v>
      </c>
      <c r="D44" s="352"/>
      <c r="E44">
        <v>86400</v>
      </c>
      <c r="F44">
        <v>4320</v>
      </c>
      <c r="G44" s="345">
        <f t="shared" si="2"/>
        <v>90720</v>
      </c>
      <c r="H44" s="357" t="s">
        <v>1276</v>
      </c>
      <c r="I44" s="343" t="s">
        <v>1496</v>
      </c>
      <c r="J44" s="350">
        <v>90720</v>
      </c>
      <c r="L44" s="343"/>
      <c r="M44" s="350">
        <f t="shared" si="5"/>
        <v>90720</v>
      </c>
      <c r="N44" s="351">
        <v>0</v>
      </c>
      <c r="O44" s="351">
        <f t="shared" si="1"/>
        <v>0</v>
      </c>
    </row>
    <row r="45" spans="1:16">
      <c r="A45">
        <v>20100827</v>
      </c>
      <c r="B45" t="s">
        <v>1263</v>
      </c>
      <c r="C45" t="s">
        <v>1264</v>
      </c>
      <c r="D45" s="352"/>
      <c r="E45">
        <v>86400</v>
      </c>
      <c r="F45">
        <v>4320</v>
      </c>
      <c r="G45" s="345">
        <f t="shared" si="2"/>
        <v>90720</v>
      </c>
      <c r="H45" s="357" t="s">
        <v>1276</v>
      </c>
      <c r="I45" s="343" t="s">
        <v>1067</v>
      </c>
      <c r="J45" s="350">
        <v>90720</v>
      </c>
      <c r="L45" s="343"/>
      <c r="M45" s="350">
        <f t="shared" si="5"/>
        <v>90720</v>
      </c>
      <c r="N45" s="351">
        <v>0</v>
      </c>
      <c r="O45" s="351">
        <f t="shared" si="1"/>
        <v>0</v>
      </c>
      <c r="P45" s="364" t="s">
        <v>1497</v>
      </c>
    </row>
    <row r="46" spans="1:16">
      <c r="A46">
        <v>20100901</v>
      </c>
      <c r="B46" t="s">
        <v>1265</v>
      </c>
      <c r="C46" t="s">
        <v>2689</v>
      </c>
      <c r="D46" s="352"/>
      <c r="E46">
        <v>108000</v>
      </c>
      <c r="F46">
        <v>5400</v>
      </c>
      <c r="G46" s="345">
        <f t="shared" si="2"/>
        <v>113400</v>
      </c>
      <c r="H46" s="357" t="s">
        <v>1276</v>
      </c>
      <c r="I46" s="343" t="s">
        <v>1498</v>
      </c>
      <c r="J46" s="350">
        <v>113400</v>
      </c>
      <c r="L46" s="343"/>
      <c r="M46" s="350">
        <f t="shared" si="5"/>
        <v>113400</v>
      </c>
      <c r="N46" s="351">
        <v>0</v>
      </c>
      <c r="O46" s="351">
        <f t="shared" si="1"/>
        <v>0</v>
      </c>
    </row>
    <row r="47" spans="1:16">
      <c r="A47">
        <v>20100901</v>
      </c>
      <c r="B47" t="s">
        <v>1266</v>
      </c>
      <c r="C47" t="s">
        <v>1232</v>
      </c>
      <c r="D47" s="352"/>
      <c r="E47" s="114">
        <v>15600</v>
      </c>
      <c r="F47">
        <v>780</v>
      </c>
      <c r="G47" s="345">
        <f t="shared" si="2"/>
        <v>16380</v>
      </c>
      <c r="H47" s="357">
        <v>10</v>
      </c>
      <c r="I47" s="350">
        <v>201</v>
      </c>
      <c r="J47" s="350">
        <v>16380</v>
      </c>
      <c r="M47" s="350">
        <f t="shared" si="5"/>
        <v>16380</v>
      </c>
      <c r="N47" s="351">
        <v>0</v>
      </c>
      <c r="O47" s="351">
        <f t="shared" si="1"/>
        <v>0</v>
      </c>
    </row>
    <row r="48" spans="1:16">
      <c r="A48">
        <v>20100901</v>
      </c>
      <c r="B48" t="s">
        <v>1267</v>
      </c>
      <c r="C48" t="s">
        <v>1230</v>
      </c>
      <c r="D48" s="352"/>
      <c r="E48" s="114">
        <v>11400</v>
      </c>
      <c r="F48">
        <v>570</v>
      </c>
      <c r="G48" s="345">
        <f t="shared" si="2"/>
        <v>11970</v>
      </c>
      <c r="H48" s="357">
        <v>3</v>
      </c>
      <c r="I48" s="350">
        <v>200</v>
      </c>
      <c r="L48" s="350">
        <v>11940</v>
      </c>
      <c r="M48" s="350">
        <f t="shared" si="5"/>
        <v>11940</v>
      </c>
      <c r="N48" s="351">
        <v>30</v>
      </c>
      <c r="O48" s="351">
        <f t="shared" si="1"/>
        <v>0</v>
      </c>
      <c r="P48" s="364" t="s">
        <v>2420</v>
      </c>
    </row>
    <row r="49" spans="1:16">
      <c r="A49">
        <v>20100901</v>
      </c>
      <c r="B49" t="s">
        <v>1268</v>
      </c>
      <c r="C49" t="s">
        <v>1270</v>
      </c>
      <c r="D49" s="352"/>
      <c r="E49" s="114">
        <v>19500</v>
      </c>
      <c r="F49">
        <v>975</v>
      </c>
      <c r="G49" s="345">
        <f t="shared" si="2"/>
        <v>20475</v>
      </c>
      <c r="H49" s="357">
        <v>1</v>
      </c>
      <c r="I49" s="350">
        <v>196</v>
      </c>
      <c r="J49" s="350">
        <v>20475</v>
      </c>
      <c r="M49" s="350">
        <f t="shared" si="5"/>
        <v>20475</v>
      </c>
      <c r="N49" s="351">
        <v>0</v>
      </c>
      <c r="O49" s="351">
        <f t="shared" si="1"/>
        <v>0</v>
      </c>
    </row>
    <row r="50" spans="1:16">
      <c r="A50">
        <v>20100901</v>
      </c>
      <c r="B50" t="s">
        <v>1269</v>
      </c>
      <c r="C50" t="s">
        <v>1270</v>
      </c>
      <c r="D50" s="352"/>
      <c r="E50" s="114">
        <v>19500</v>
      </c>
      <c r="F50">
        <v>975</v>
      </c>
      <c r="G50" s="345">
        <f t="shared" si="2"/>
        <v>20475</v>
      </c>
      <c r="H50" s="357">
        <v>2</v>
      </c>
      <c r="I50" s="350">
        <v>197</v>
      </c>
      <c r="J50" s="350">
        <v>20475</v>
      </c>
      <c r="M50" s="350">
        <f t="shared" si="5"/>
        <v>20475</v>
      </c>
      <c r="N50" s="351">
        <v>0</v>
      </c>
      <c r="O50" s="351">
        <f t="shared" si="1"/>
        <v>0</v>
      </c>
    </row>
    <row r="51" spans="1:16">
      <c r="A51">
        <v>20100901</v>
      </c>
      <c r="B51" t="s">
        <v>1271</v>
      </c>
      <c r="C51" t="s">
        <v>1270</v>
      </c>
      <c r="D51" s="352"/>
      <c r="E51" s="114">
        <v>19500</v>
      </c>
      <c r="F51">
        <v>975</v>
      </c>
      <c r="G51" s="345">
        <f t="shared" si="2"/>
        <v>20475</v>
      </c>
      <c r="H51" s="357">
        <v>3</v>
      </c>
      <c r="I51" s="350">
        <v>198</v>
      </c>
      <c r="J51" s="350">
        <v>20475</v>
      </c>
      <c r="M51" s="350">
        <f t="shared" si="5"/>
        <v>20475</v>
      </c>
      <c r="N51" s="351">
        <v>0</v>
      </c>
      <c r="O51" s="351">
        <f t="shared" si="1"/>
        <v>0</v>
      </c>
    </row>
    <row r="52" spans="1:16">
      <c r="A52">
        <v>20100901</v>
      </c>
      <c r="B52" t="s">
        <v>1272</v>
      </c>
      <c r="C52" t="s">
        <v>1270</v>
      </c>
      <c r="D52" s="352"/>
      <c r="E52" s="114">
        <v>19500</v>
      </c>
      <c r="F52">
        <v>975</v>
      </c>
      <c r="G52" s="345">
        <f t="shared" si="2"/>
        <v>20475</v>
      </c>
      <c r="H52" s="357">
        <v>4</v>
      </c>
      <c r="I52" s="350">
        <v>199</v>
      </c>
      <c r="J52" s="350">
        <v>20475</v>
      </c>
      <c r="M52" s="350">
        <f t="shared" si="5"/>
        <v>20475</v>
      </c>
      <c r="N52" s="351">
        <v>0</v>
      </c>
      <c r="O52" s="351">
        <f t="shared" si="1"/>
        <v>0</v>
      </c>
    </row>
    <row r="53" spans="1:16">
      <c r="A53">
        <v>20100928</v>
      </c>
      <c r="B53" t="s">
        <v>1273</v>
      </c>
      <c r="C53" t="s">
        <v>2691</v>
      </c>
      <c r="D53" s="352"/>
      <c r="E53">
        <v>108000</v>
      </c>
      <c r="F53">
        <v>5400</v>
      </c>
      <c r="G53" s="345">
        <f t="shared" si="2"/>
        <v>113400</v>
      </c>
      <c r="H53" s="357" t="s">
        <v>1276</v>
      </c>
      <c r="I53" s="343" t="s">
        <v>1499</v>
      </c>
      <c r="J53" s="350">
        <v>113400</v>
      </c>
      <c r="L53" s="343"/>
      <c r="M53" s="350">
        <f t="shared" si="5"/>
        <v>113400</v>
      </c>
      <c r="N53" s="351">
        <v>0</v>
      </c>
      <c r="O53" s="351">
        <f t="shared" si="1"/>
        <v>0</v>
      </c>
    </row>
    <row r="54" spans="1:16">
      <c r="A54">
        <v>20101004</v>
      </c>
      <c r="B54" t="s">
        <v>1274</v>
      </c>
      <c r="C54" t="s">
        <v>1764</v>
      </c>
      <c r="D54" s="352"/>
      <c r="E54">
        <v>108000</v>
      </c>
      <c r="F54">
        <v>5400</v>
      </c>
      <c r="G54" s="345">
        <f t="shared" si="2"/>
        <v>113400</v>
      </c>
      <c r="H54" s="357" t="s">
        <v>1276</v>
      </c>
      <c r="I54" s="343" t="s">
        <v>1500</v>
      </c>
      <c r="J54" s="350">
        <v>113400</v>
      </c>
      <c r="L54" s="343"/>
      <c r="M54" s="350">
        <f t="shared" si="5"/>
        <v>113400</v>
      </c>
      <c r="N54" s="351">
        <v>0</v>
      </c>
      <c r="O54" s="351">
        <f t="shared" si="1"/>
        <v>0</v>
      </c>
    </row>
    <row r="55" spans="1:16">
      <c r="A55" s="183">
        <v>20101109</v>
      </c>
      <c r="B55" s="183" t="s">
        <v>1501</v>
      </c>
      <c r="C55" s="183" t="s">
        <v>1699</v>
      </c>
      <c r="D55" s="352" t="s">
        <v>1233</v>
      </c>
      <c r="E55" s="183">
        <v>12857</v>
      </c>
      <c r="F55" s="183">
        <v>643</v>
      </c>
      <c r="G55" s="352">
        <f t="shared" si="2"/>
        <v>13500</v>
      </c>
      <c r="H55" s="357">
        <v>1</v>
      </c>
      <c r="I55" s="343">
        <v>218</v>
      </c>
      <c r="J55" s="350">
        <v>13500</v>
      </c>
      <c r="L55" s="343"/>
      <c r="M55" s="350">
        <f t="shared" si="5"/>
        <v>13500</v>
      </c>
      <c r="N55" s="351">
        <v>0</v>
      </c>
      <c r="O55" s="351">
        <f t="shared" si="1"/>
        <v>0</v>
      </c>
    </row>
    <row r="56" spans="1:16">
      <c r="A56" s="183">
        <v>20101111</v>
      </c>
      <c r="B56" s="183" t="s">
        <v>1502</v>
      </c>
      <c r="C56" s="183" t="s">
        <v>2423</v>
      </c>
      <c r="D56" s="352" t="s">
        <v>1233</v>
      </c>
      <c r="E56" s="183">
        <v>108000</v>
      </c>
      <c r="F56" s="183">
        <v>5400</v>
      </c>
      <c r="G56" s="352">
        <f t="shared" si="2"/>
        <v>113400</v>
      </c>
      <c r="H56" s="354" t="s">
        <v>1276</v>
      </c>
      <c r="I56" s="343" t="s">
        <v>1503</v>
      </c>
      <c r="J56" s="350">
        <v>113400</v>
      </c>
      <c r="M56" s="350">
        <f t="shared" si="5"/>
        <v>113400</v>
      </c>
      <c r="N56" s="351">
        <v>0</v>
      </c>
      <c r="O56" s="351">
        <f t="shared" si="1"/>
        <v>0</v>
      </c>
    </row>
    <row r="57" spans="1:16">
      <c r="A57" s="183">
        <v>20101116</v>
      </c>
      <c r="B57" s="183" t="s">
        <v>1504</v>
      </c>
      <c r="C57" s="183" t="s">
        <v>1532</v>
      </c>
      <c r="D57" s="352" t="s">
        <v>1233</v>
      </c>
      <c r="E57" s="183">
        <v>12857</v>
      </c>
      <c r="F57" s="183">
        <v>643</v>
      </c>
      <c r="G57" s="352">
        <f t="shared" si="2"/>
        <v>13500</v>
      </c>
      <c r="H57" s="350">
        <v>1</v>
      </c>
      <c r="I57" s="350">
        <v>219</v>
      </c>
      <c r="L57" s="350">
        <v>13470</v>
      </c>
      <c r="M57" s="350">
        <f t="shared" si="5"/>
        <v>13470</v>
      </c>
      <c r="N57" s="351">
        <v>30</v>
      </c>
      <c r="O57" s="351">
        <f t="shared" si="1"/>
        <v>0</v>
      </c>
      <c r="P57" s="364" t="s">
        <v>2420</v>
      </c>
    </row>
    <row r="58" spans="1:16">
      <c r="A58" s="183">
        <v>20101202</v>
      </c>
      <c r="B58" s="183" t="s">
        <v>1505</v>
      </c>
      <c r="C58" s="183" t="s">
        <v>1306</v>
      </c>
      <c r="D58" s="352" t="s">
        <v>1233</v>
      </c>
      <c r="E58" s="183">
        <v>108000</v>
      </c>
      <c r="F58" s="183">
        <v>5400</v>
      </c>
      <c r="G58" s="352">
        <f t="shared" si="2"/>
        <v>113400</v>
      </c>
      <c r="H58" s="375" t="s">
        <v>1276</v>
      </c>
      <c r="I58" s="343" t="s">
        <v>1506</v>
      </c>
      <c r="J58" s="350">
        <v>113400</v>
      </c>
      <c r="M58" s="350">
        <f t="shared" si="5"/>
        <v>113400</v>
      </c>
      <c r="N58" s="351">
        <v>0</v>
      </c>
      <c r="O58" s="351">
        <f t="shared" si="1"/>
        <v>0</v>
      </c>
    </row>
    <row r="59" spans="1:16">
      <c r="A59" s="183">
        <v>20101202</v>
      </c>
      <c r="B59" s="183" t="s">
        <v>1889</v>
      </c>
      <c r="C59" s="183" t="s">
        <v>255</v>
      </c>
      <c r="D59" s="352" t="s">
        <v>1233</v>
      </c>
      <c r="E59" s="183">
        <v>86400</v>
      </c>
      <c r="F59" s="183">
        <v>4320</v>
      </c>
      <c r="G59" s="352">
        <f t="shared" si="2"/>
        <v>90720</v>
      </c>
      <c r="H59" s="375" t="s">
        <v>1276</v>
      </c>
      <c r="I59" s="343" t="s">
        <v>1068</v>
      </c>
      <c r="J59" s="350">
        <v>90720</v>
      </c>
      <c r="M59" s="350">
        <f t="shared" si="5"/>
        <v>90720</v>
      </c>
      <c r="N59" s="351">
        <v>0</v>
      </c>
      <c r="O59" s="351">
        <f t="shared" si="1"/>
        <v>0</v>
      </c>
    </row>
    <row r="60" spans="1:16">
      <c r="A60" s="183">
        <v>20101208</v>
      </c>
      <c r="B60" s="183" t="s">
        <v>1507</v>
      </c>
      <c r="C60" s="183" t="s">
        <v>2421</v>
      </c>
      <c r="D60" s="352" t="s">
        <v>1233</v>
      </c>
      <c r="E60" s="183">
        <v>13500</v>
      </c>
      <c r="F60" s="183">
        <v>675</v>
      </c>
      <c r="G60" s="352">
        <f t="shared" si="2"/>
        <v>14175</v>
      </c>
      <c r="H60" s="350">
        <v>1</v>
      </c>
      <c r="I60" s="350">
        <v>220</v>
      </c>
      <c r="L60" s="350">
        <v>14165</v>
      </c>
      <c r="M60" s="350">
        <f t="shared" si="5"/>
        <v>14165</v>
      </c>
      <c r="N60" s="351">
        <v>10</v>
      </c>
      <c r="O60" s="351">
        <f t="shared" si="1"/>
        <v>0</v>
      </c>
      <c r="P60" s="364" t="s">
        <v>2420</v>
      </c>
    </row>
    <row r="61" spans="1:16">
      <c r="A61" s="183">
        <v>20101209</v>
      </c>
      <c r="B61" s="183" t="s">
        <v>1890</v>
      </c>
      <c r="C61" s="183" t="s">
        <v>1232</v>
      </c>
      <c r="D61" s="352" t="s">
        <v>1233</v>
      </c>
      <c r="E61" s="183">
        <v>15600</v>
      </c>
      <c r="F61" s="183">
        <v>780</v>
      </c>
      <c r="G61" s="352">
        <f t="shared" si="2"/>
        <v>16380</v>
      </c>
      <c r="H61" s="350">
        <v>11</v>
      </c>
      <c r="I61" s="350">
        <v>316</v>
      </c>
      <c r="J61" s="350">
        <v>16380</v>
      </c>
      <c r="M61" s="350">
        <f t="shared" si="5"/>
        <v>16380</v>
      </c>
      <c r="N61" s="351">
        <v>0</v>
      </c>
      <c r="O61" s="351">
        <f t="shared" si="1"/>
        <v>0</v>
      </c>
    </row>
    <row r="62" spans="1:16">
      <c r="A62" s="183">
        <v>20101209</v>
      </c>
      <c r="B62" s="183" t="s">
        <v>1891</v>
      </c>
      <c r="C62" s="183" t="s">
        <v>1230</v>
      </c>
      <c r="D62" s="352" t="s">
        <v>1233</v>
      </c>
      <c r="E62" s="183">
        <v>11400</v>
      </c>
      <c r="F62" s="183">
        <v>570</v>
      </c>
      <c r="G62" s="352">
        <f t="shared" si="2"/>
        <v>11970</v>
      </c>
      <c r="H62" s="350">
        <v>4</v>
      </c>
      <c r="I62" s="343" t="s">
        <v>420</v>
      </c>
      <c r="L62" s="350">
        <v>11940</v>
      </c>
      <c r="M62" s="350">
        <f t="shared" si="5"/>
        <v>11940</v>
      </c>
      <c r="N62" s="351">
        <v>30</v>
      </c>
      <c r="O62" s="351">
        <f t="shared" si="1"/>
        <v>0</v>
      </c>
    </row>
    <row r="63" spans="1:16" s="347" customFormat="1">
      <c r="A63" s="346" t="s">
        <v>1508</v>
      </c>
      <c r="D63" s="348" t="s">
        <v>2377</v>
      </c>
      <c r="E63" s="376">
        <f>SUM(E64:E114)</f>
        <v>1669889</v>
      </c>
      <c r="F63" s="376">
        <f>SUM(F64:F114)</f>
        <v>83496</v>
      </c>
      <c r="G63" s="376">
        <f>SUM(G64:G114)</f>
        <v>1753385</v>
      </c>
      <c r="H63" s="349"/>
      <c r="J63" s="376">
        <f>SUM(J64:J114)</f>
        <v>1490580</v>
      </c>
      <c r="K63" s="376"/>
      <c r="L63" s="376">
        <f>SUM(L64:L114)</f>
        <v>233510</v>
      </c>
      <c r="M63" s="376">
        <f>SUM(M64:M114)</f>
        <v>1724090</v>
      </c>
      <c r="N63" s="376">
        <f>SUM(N64:N114)</f>
        <v>355</v>
      </c>
      <c r="O63" s="376">
        <f>SUM(O64:O114)</f>
        <v>0</v>
      </c>
    </row>
    <row r="64" spans="1:16">
      <c r="A64" s="183">
        <v>20110110</v>
      </c>
      <c r="B64" s="183" t="s">
        <v>1069</v>
      </c>
      <c r="C64" s="183" t="s">
        <v>7</v>
      </c>
      <c r="D64" s="352"/>
      <c r="E64" s="183">
        <v>100800</v>
      </c>
      <c r="F64" s="183">
        <v>5040</v>
      </c>
      <c r="G64" s="352">
        <f t="shared" ref="G64:G78" si="6">E64+F64</f>
        <v>105840</v>
      </c>
      <c r="H64" s="377" t="s">
        <v>1276</v>
      </c>
      <c r="I64" s="343" t="s">
        <v>1070</v>
      </c>
      <c r="J64" s="350">
        <v>105840</v>
      </c>
      <c r="M64" s="350">
        <f>J64+L64</f>
        <v>105840</v>
      </c>
      <c r="O64" s="351">
        <f t="shared" ref="O64:O87" si="7">G64-M64-N64</f>
        <v>0</v>
      </c>
      <c r="P64" s="378" t="s">
        <v>1071</v>
      </c>
    </row>
    <row r="65" spans="1:16">
      <c r="A65" s="183">
        <v>20110119</v>
      </c>
      <c r="B65" s="183" t="s">
        <v>1821</v>
      </c>
      <c r="C65" s="183" t="s">
        <v>3825</v>
      </c>
      <c r="D65" s="344"/>
      <c r="E65" s="183">
        <v>13500</v>
      </c>
      <c r="F65" s="183">
        <v>675</v>
      </c>
      <c r="G65" s="352">
        <f t="shared" si="6"/>
        <v>14175</v>
      </c>
      <c r="H65" s="377" t="s">
        <v>904</v>
      </c>
      <c r="I65" s="343" t="s">
        <v>1979</v>
      </c>
      <c r="L65" s="350">
        <v>14145</v>
      </c>
      <c r="M65" s="350">
        <f>J65+L65</f>
        <v>14145</v>
      </c>
      <c r="N65" s="351">
        <v>30</v>
      </c>
      <c r="O65" s="351">
        <f t="shared" si="7"/>
        <v>0</v>
      </c>
      <c r="P65" s="378" t="s">
        <v>1072</v>
      </c>
    </row>
    <row r="66" spans="1:16">
      <c r="A66" s="183">
        <v>20110120</v>
      </c>
      <c r="B66" s="183" t="s">
        <v>2658</v>
      </c>
      <c r="C66" s="199" t="s">
        <v>1884</v>
      </c>
      <c r="D66" s="344"/>
      <c r="E66" s="199">
        <v>108000</v>
      </c>
      <c r="F66" s="183">
        <v>5400</v>
      </c>
      <c r="G66" s="352">
        <f t="shared" si="6"/>
        <v>113400</v>
      </c>
      <c r="H66" s="377" t="s">
        <v>1276</v>
      </c>
      <c r="I66" s="343" t="s">
        <v>1073</v>
      </c>
      <c r="J66" s="350">
        <v>113400</v>
      </c>
      <c r="M66" s="350">
        <f>J66+L66</f>
        <v>113400</v>
      </c>
      <c r="O66" s="351">
        <f t="shared" si="7"/>
        <v>0</v>
      </c>
      <c r="P66" s="378" t="s">
        <v>1074</v>
      </c>
    </row>
    <row r="67" spans="1:16">
      <c r="A67" s="183">
        <v>20110210</v>
      </c>
      <c r="B67" s="183" t="s">
        <v>3497</v>
      </c>
      <c r="C67" s="199" t="s">
        <v>2422</v>
      </c>
      <c r="D67" s="352"/>
      <c r="E67" s="183">
        <v>100800</v>
      </c>
      <c r="F67" s="183">
        <v>5040</v>
      </c>
      <c r="G67" s="352">
        <f t="shared" si="6"/>
        <v>105840</v>
      </c>
      <c r="H67" s="377" t="s">
        <v>1276</v>
      </c>
      <c r="I67" s="343" t="s">
        <v>1075</v>
      </c>
      <c r="J67" s="350">
        <v>105840</v>
      </c>
      <c r="M67" s="350">
        <f>J67+L67</f>
        <v>105840</v>
      </c>
      <c r="O67" s="351">
        <f t="shared" si="7"/>
        <v>0</v>
      </c>
      <c r="P67" s="378" t="s">
        <v>1076</v>
      </c>
    </row>
    <row r="68" spans="1:16">
      <c r="A68" s="183"/>
      <c r="B68" s="183" t="s">
        <v>3498</v>
      </c>
      <c r="C68" s="199" t="s">
        <v>1235</v>
      </c>
      <c r="D68" s="352"/>
      <c r="E68" s="199"/>
      <c r="F68" s="183"/>
      <c r="G68" s="352">
        <f t="shared" si="6"/>
        <v>0</v>
      </c>
      <c r="H68" s="379"/>
      <c r="O68" s="351">
        <f t="shared" si="7"/>
        <v>0</v>
      </c>
      <c r="P68" s="378"/>
    </row>
    <row r="69" spans="1:16">
      <c r="A69" s="183">
        <v>20110210</v>
      </c>
      <c r="B69" s="183" t="s">
        <v>3499</v>
      </c>
      <c r="C69" s="352" t="s">
        <v>1230</v>
      </c>
      <c r="D69" s="352"/>
      <c r="E69" s="352">
        <v>11400</v>
      </c>
      <c r="F69" s="352">
        <v>570</v>
      </c>
      <c r="G69" s="352">
        <f t="shared" si="6"/>
        <v>11970</v>
      </c>
      <c r="H69" s="377" t="s">
        <v>1077</v>
      </c>
      <c r="I69" s="343" t="s">
        <v>2040</v>
      </c>
      <c r="L69" s="350">
        <v>11940</v>
      </c>
      <c r="M69" s="350">
        <f>J69+L69</f>
        <v>11940</v>
      </c>
      <c r="N69" s="351">
        <v>30</v>
      </c>
      <c r="O69" s="351">
        <f t="shared" si="7"/>
        <v>0</v>
      </c>
      <c r="P69" s="378">
        <v>12545554</v>
      </c>
    </row>
    <row r="70" spans="1:16">
      <c r="A70" s="183">
        <v>20110210</v>
      </c>
      <c r="B70" s="183" t="s">
        <v>3500</v>
      </c>
      <c r="C70" s="352" t="s">
        <v>1699</v>
      </c>
      <c r="D70" s="352"/>
      <c r="E70" s="352">
        <v>12857</v>
      </c>
      <c r="F70" s="352">
        <v>643</v>
      </c>
      <c r="G70" s="352">
        <f t="shared" si="6"/>
        <v>13500</v>
      </c>
      <c r="H70" s="377" t="s">
        <v>905</v>
      </c>
      <c r="I70" s="350">
        <v>346</v>
      </c>
      <c r="J70" s="350">
        <v>13500</v>
      </c>
      <c r="M70" s="350">
        <f>J70+L70</f>
        <v>13500</v>
      </c>
      <c r="O70" s="351">
        <f t="shared" si="7"/>
        <v>0</v>
      </c>
      <c r="P70" s="378">
        <v>33002211</v>
      </c>
    </row>
    <row r="71" spans="1:16">
      <c r="A71" s="183">
        <v>20110210</v>
      </c>
      <c r="B71" s="183" t="s">
        <v>3501</v>
      </c>
      <c r="C71" s="352" t="s">
        <v>1532</v>
      </c>
      <c r="D71" s="352"/>
      <c r="E71" s="352">
        <v>12857</v>
      </c>
      <c r="F71" s="352">
        <v>643</v>
      </c>
      <c r="G71" s="352">
        <f t="shared" si="6"/>
        <v>13500</v>
      </c>
      <c r="H71" s="377" t="s">
        <v>905</v>
      </c>
      <c r="I71" s="343" t="s">
        <v>421</v>
      </c>
      <c r="L71" s="350">
        <v>13485</v>
      </c>
      <c r="M71" s="350">
        <f>J71+L71</f>
        <v>13485</v>
      </c>
      <c r="N71" s="351">
        <v>15</v>
      </c>
      <c r="O71" s="351">
        <f t="shared" si="7"/>
        <v>0</v>
      </c>
      <c r="P71" s="378">
        <v>23674533</v>
      </c>
    </row>
    <row r="72" spans="1:16">
      <c r="A72" s="183">
        <v>20110214</v>
      </c>
      <c r="B72" s="183" t="s">
        <v>3502</v>
      </c>
      <c r="C72" s="352" t="s">
        <v>1300</v>
      </c>
      <c r="D72" s="352"/>
      <c r="E72" s="352">
        <v>108000</v>
      </c>
      <c r="F72" s="352">
        <v>5400</v>
      </c>
      <c r="G72" s="352">
        <f t="shared" si="6"/>
        <v>113400</v>
      </c>
      <c r="H72" s="377" t="s">
        <v>1276</v>
      </c>
      <c r="I72" s="343" t="s">
        <v>1078</v>
      </c>
      <c r="J72" s="350">
        <v>113400</v>
      </c>
      <c r="M72" s="350">
        <f>J72+L72</f>
        <v>113400</v>
      </c>
      <c r="O72" s="351">
        <f t="shared" si="7"/>
        <v>0</v>
      </c>
      <c r="P72" s="378">
        <v>22449539</v>
      </c>
    </row>
    <row r="73" spans="1:16">
      <c r="A73" s="183">
        <v>20110215</v>
      </c>
      <c r="B73" s="183" t="s">
        <v>3503</v>
      </c>
      <c r="C73" s="352" t="s">
        <v>1232</v>
      </c>
      <c r="D73" s="352"/>
      <c r="E73" s="352">
        <v>15600</v>
      </c>
      <c r="F73" s="352">
        <v>780</v>
      </c>
      <c r="G73" s="352">
        <f t="shared" si="6"/>
        <v>16380</v>
      </c>
      <c r="H73" s="377" t="s">
        <v>1079</v>
      </c>
      <c r="I73" s="350">
        <v>345</v>
      </c>
      <c r="J73" s="350">
        <v>16380</v>
      </c>
      <c r="M73" s="350">
        <f>J73+L73</f>
        <v>16380</v>
      </c>
      <c r="O73" s="351">
        <f t="shared" si="7"/>
        <v>0</v>
      </c>
      <c r="P73" s="378" t="s">
        <v>1080</v>
      </c>
    </row>
    <row r="74" spans="1:16">
      <c r="A74" s="380"/>
      <c r="B74" s="352" t="s">
        <v>1081</v>
      </c>
      <c r="C74" s="352" t="s">
        <v>1235</v>
      </c>
      <c r="D74" s="352"/>
      <c r="E74" s="367"/>
      <c r="F74" s="352"/>
      <c r="G74" s="352">
        <f t="shared" si="6"/>
        <v>0</v>
      </c>
      <c r="H74" s="379"/>
      <c r="O74" s="351">
        <f t="shared" si="7"/>
        <v>0</v>
      </c>
      <c r="P74" s="378"/>
    </row>
    <row r="75" spans="1:16">
      <c r="A75" s="380"/>
      <c r="B75" s="352" t="s">
        <v>3504</v>
      </c>
      <c r="C75" s="352" t="s">
        <v>1235</v>
      </c>
      <c r="D75" s="352"/>
      <c r="E75" s="367"/>
      <c r="F75" s="352"/>
      <c r="G75" s="352">
        <f t="shared" si="6"/>
        <v>0</v>
      </c>
      <c r="H75" s="379"/>
      <c r="O75" s="351">
        <f t="shared" si="7"/>
        <v>0</v>
      </c>
      <c r="P75" s="378"/>
    </row>
    <row r="76" spans="1:16">
      <c r="A76" s="380">
        <v>20110419</v>
      </c>
      <c r="B76" s="352" t="s">
        <v>3505</v>
      </c>
      <c r="C76" s="352" t="s">
        <v>857</v>
      </c>
      <c r="D76" s="352" t="s">
        <v>1233</v>
      </c>
      <c r="E76" s="367">
        <v>108000</v>
      </c>
      <c r="F76" s="352">
        <v>5400</v>
      </c>
      <c r="G76" s="352">
        <f t="shared" si="6"/>
        <v>113400</v>
      </c>
      <c r="H76" s="377" t="s">
        <v>1276</v>
      </c>
      <c r="I76" s="343" t="s">
        <v>1082</v>
      </c>
      <c r="J76" s="350">
        <v>113400</v>
      </c>
      <c r="M76" s="350">
        <f>J76+L76</f>
        <v>113400</v>
      </c>
      <c r="O76" s="351">
        <f t="shared" si="7"/>
        <v>0</v>
      </c>
      <c r="P76" s="378" t="s">
        <v>1083</v>
      </c>
    </row>
    <row r="77" spans="1:16">
      <c r="A77" s="380">
        <v>20110419</v>
      </c>
      <c r="B77" s="352" t="s">
        <v>3506</v>
      </c>
      <c r="C77" s="352" t="s">
        <v>2421</v>
      </c>
      <c r="D77" s="352" t="s">
        <v>1233</v>
      </c>
      <c r="E77" s="367">
        <v>13500</v>
      </c>
      <c r="F77" s="352">
        <v>675</v>
      </c>
      <c r="G77" s="352">
        <f t="shared" si="6"/>
        <v>14175</v>
      </c>
      <c r="H77" s="377" t="s">
        <v>905</v>
      </c>
      <c r="I77" s="343" t="s">
        <v>446</v>
      </c>
      <c r="L77" s="350">
        <v>14165</v>
      </c>
      <c r="M77" s="350">
        <f>J77+L77</f>
        <v>14165</v>
      </c>
      <c r="N77" s="351">
        <v>10</v>
      </c>
      <c r="O77" s="351">
        <f t="shared" si="7"/>
        <v>0</v>
      </c>
      <c r="P77" s="378" t="s">
        <v>1084</v>
      </c>
    </row>
    <row r="78" spans="1:16">
      <c r="A78" s="380">
        <v>20110425</v>
      </c>
      <c r="B78" s="352" t="s">
        <v>3507</v>
      </c>
      <c r="C78" s="352" t="s">
        <v>2027</v>
      </c>
      <c r="D78" s="352" t="s">
        <v>1233</v>
      </c>
      <c r="E78" s="367">
        <v>86400</v>
      </c>
      <c r="F78" s="352">
        <v>4320</v>
      </c>
      <c r="G78" s="352">
        <f t="shared" si="6"/>
        <v>90720</v>
      </c>
      <c r="H78" s="377" t="s">
        <v>1276</v>
      </c>
      <c r="I78" s="343" t="s">
        <v>1085</v>
      </c>
      <c r="J78" s="350">
        <v>90720</v>
      </c>
      <c r="M78" s="350">
        <f>J78+L78</f>
        <v>90720</v>
      </c>
      <c r="O78" s="351">
        <f t="shared" si="7"/>
        <v>0</v>
      </c>
      <c r="P78" s="378" t="s">
        <v>1086</v>
      </c>
    </row>
    <row r="79" spans="1:16">
      <c r="A79" s="380"/>
      <c r="B79" s="352" t="s">
        <v>3508</v>
      </c>
      <c r="D79" s="371" t="s">
        <v>1235</v>
      </c>
      <c r="E79" s="367"/>
      <c r="F79" s="352"/>
      <c r="G79" s="352">
        <v>0</v>
      </c>
      <c r="H79" s="379"/>
      <c r="O79" s="351">
        <f t="shared" si="7"/>
        <v>0</v>
      </c>
      <c r="P79" s="378"/>
    </row>
    <row r="80" spans="1:16">
      <c r="A80" s="380">
        <v>20110426</v>
      </c>
      <c r="B80" s="352" t="s">
        <v>3509</v>
      </c>
      <c r="C80" s="352" t="s">
        <v>2739</v>
      </c>
      <c r="D80" s="352" t="s">
        <v>1233</v>
      </c>
      <c r="E80" s="352">
        <v>102857</v>
      </c>
      <c r="F80" s="352">
        <v>5143</v>
      </c>
      <c r="G80" s="352">
        <f t="shared" ref="G80:G109" si="8">E80+F80</f>
        <v>108000</v>
      </c>
      <c r="H80" s="377" t="s">
        <v>1276</v>
      </c>
      <c r="I80" s="343" t="s">
        <v>1087</v>
      </c>
      <c r="J80" s="350">
        <v>108000</v>
      </c>
      <c r="M80" s="350">
        <f t="shared" ref="M80:M87" si="9">J80+L80</f>
        <v>108000</v>
      </c>
      <c r="O80" s="351">
        <f t="shared" si="7"/>
        <v>0</v>
      </c>
      <c r="P80" s="378" t="s">
        <v>1088</v>
      </c>
    </row>
    <row r="81" spans="1:17">
      <c r="A81" s="380">
        <v>20110505</v>
      </c>
      <c r="B81" s="352" t="s">
        <v>1089</v>
      </c>
      <c r="C81" s="352" t="s">
        <v>1232</v>
      </c>
      <c r="D81" s="352" t="s">
        <v>1233</v>
      </c>
      <c r="E81" s="352">
        <v>15600</v>
      </c>
      <c r="F81" s="352">
        <v>780</v>
      </c>
      <c r="G81" s="352">
        <f t="shared" si="8"/>
        <v>16380</v>
      </c>
      <c r="H81" s="377" t="s">
        <v>904</v>
      </c>
      <c r="I81" s="350">
        <v>372</v>
      </c>
      <c r="J81" s="350">
        <v>16380</v>
      </c>
      <c r="M81" s="350">
        <f t="shared" si="9"/>
        <v>16380</v>
      </c>
      <c r="O81" s="351">
        <f t="shared" si="7"/>
        <v>0</v>
      </c>
      <c r="P81" s="378" t="s">
        <v>1080</v>
      </c>
    </row>
    <row r="82" spans="1:17">
      <c r="A82" s="380">
        <v>20110511</v>
      </c>
      <c r="B82" s="352" t="s">
        <v>1090</v>
      </c>
      <c r="C82" s="352" t="s">
        <v>1230</v>
      </c>
      <c r="D82" s="352" t="s">
        <v>1233</v>
      </c>
      <c r="E82" s="352">
        <v>11400</v>
      </c>
      <c r="F82" s="352">
        <v>570</v>
      </c>
      <c r="G82" s="352">
        <f t="shared" si="8"/>
        <v>11970</v>
      </c>
      <c r="H82" s="377" t="s">
        <v>1091</v>
      </c>
      <c r="I82" s="343" t="s">
        <v>455</v>
      </c>
      <c r="L82" s="350">
        <v>11940</v>
      </c>
      <c r="M82" s="350">
        <f t="shared" si="9"/>
        <v>11940</v>
      </c>
      <c r="N82" s="351">
        <v>30</v>
      </c>
      <c r="O82" s="351">
        <f t="shared" si="7"/>
        <v>0</v>
      </c>
      <c r="P82" s="378" t="s">
        <v>1092</v>
      </c>
    </row>
    <row r="83" spans="1:17">
      <c r="A83" s="380">
        <v>20110511</v>
      </c>
      <c r="B83" s="352" t="s">
        <v>1093</v>
      </c>
      <c r="C83" s="352" t="s">
        <v>3825</v>
      </c>
      <c r="D83" s="352" t="s">
        <v>1233</v>
      </c>
      <c r="E83" s="352">
        <v>13500</v>
      </c>
      <c r="F83" s="352">
        <v>675</v>
      </c>
      <c r="G83" s="352">
        <f t="shared" si="8"/>
        <v>14175</v>
      </c>
      <c r="H83" s="377" t="s">
        <v>905</v>
      </c>
      <c r="I83" s="343" t="s">
        <v>450</v>
      </c>
      <c r="L83" s="350">
        <v>14145</v>
      </c>
      <c r="M83" s="350">
        <f t="shared" si="9"/>
        <v>14145</v>
      </c>
      <c r="N83" s="351">
        <v>30</v>
      </c>
      <c r="O83" s="351">
        <f t="shared" si="7"/>
        <v>0</v>
      </c>
      <c r="P83" s="378" t="s">
        <v>1072</v>
      </c>
    </row>
    <row r="84" spans="1:17">
      <c r="A84" s="380">
        <v>20110511</v>
      </c>
      <c r="B84" s="352" t="s">
        <v>1094</v>
      </c>
      <c r="C84" s="352" t="s">
        <v>1699</v>
      </c>
      <c r="D84" s="352" t="s">
        <v>1233</v>
      </c>
      <c r="E84" s="352">
        <v>12857</v>
      </c>
      <c r="F84" s="352">
        <v>643</v>
      </c>
      <c r="G84" s="352">
        <f t="shared" si="8"/>
        <v>13500</v>
      </c>
      <c r="H84" s="377" t="s">
        <v>2780</v>
      </c>
      <c r="I84" s="350">
        <v>371</v>
      </c>
      <c r="J84" s="350">
        <v>13500</v>
      </c>
      <c r="M84" s="350">
        <f t="shared" si="9"/>
        <v>13500</v>
      </c>
      <c r="O84" s="351">
        <f t="shared" si="7"/>
        <v>0</v>
      </c>
      <c r="P84" s="378" t="s">
        <v>1095</v>
      </c>
    </row>
    <row r="85" spans="1:17">
      <c r="A85" s="380">
        <v>20110511</v>
      </c>
      <c r="B85" s="352" t="s">
        <v>1096</v>
      </c>
      <c r="C85" s="352" t="s">
        <v>1532</v>
      </c>
      <c r="D85" s="352" t="s">
        <v>1233</v>
      </c>
      <c r="E85" s="352">
        <v>12857</v>
      </c>
      <c r="F85" s="352">
        <v>643</v>
      </c>
      <c r="G85" s="352">
        <f t="shared" si="8"/>
        <v>13500</v>
      </c>
      <c r="H85" s="377" t="s">
        <v>2780</v>
      </c>
      <c r="I85" s="343" t="s">
        <v>448</v>
      </c>
      <c r="L85" s="350">
        <v>13500</v>
      </c>
      <c r="M85" s="350">
        <f t="shared" si="9"/>
        <v>13500</v>
      </c>
      <c r="O85" s="351">
        <f t="shared" si="7"/>
        <v>0</v>
      </c>
      <c r="P85" s="378" t="s">
        <v>1097</v>
      </c>
    </row>
    <row r="86" spans="1:17">
      <c r="A86" s="380">
        <v>20110601</v>
      </c>
      <c r="B86" s="352" t="s">
        <v>1098</v>
      </c>
      <c r="C86" s="352" t="s">
        <v>2060</v>
      </c>
      <c r="D86" s="352" t="s">
        <v>1233</v>
      </c>
      <c r="E86" s="352">
        <v>13500</v>
      </c>
      <c r="F86" s="352">
        <v>675</v>
      </c>
      <c r="G86" s="352">
        <f t="shared" si="8"/>
        <v>14175</v>
      </c>
      <c r="H86" s="377" t="s">
        <v>904</v>
      </c>
      <c r="I86" s="343" t="s">
        <v>455</v>
      </c>
      <c r="L86" s="350">
        <v>14145</v>
      </c>
      <c r="M86" s="350">
        <f t="shared" si="9"/>
        <v>14145</v>
      </c>
      <c r="N86" s="351">
        <v>30</v>
      </c>
      <c r="O86" s="351">
        <f t="shared" si="7"/>
        <v>0</v>
      </c>
      <c r="P86" s="378" t="s">
        <v>1099</v>
      </c>
    </row>
    <row r="87" spans="1:17">
      <c r="A87" s="380">
        <v>20110620</v>
      </c>
      <c r="B87" s="352" t="s">
        <v>1100</v>
      </c>
      <c r="C87" s="352" t="s">
        <v>2041</v>
      </c>
      <c r="D87" s="352" t="s">
        <v>1233</v>
      </c>
      <c r="E87" s="352">
        <v>108000</v>
      </c>
      <c r="F87" s="352">
        <v>5400</v>
      </c>
      <c r="G87" s="352">
        <f t="shared" si="8"/>
        <v>113400</v>
      </c>
      <c r="H87" s="377" t="s">
        <v>1276</v>
      </c>
      <c r="I87" s="343" t="s">
        <v>1101</v>
      </c>
      <c r="J87" s="350">
        <v>113400</v>
      </c>
      <c r="M87" s="350">
        <f t="shared" si="9"/>
        <v>113400</v>
      </c>
      <c r="O87" s="351">
        <f t="shared" si="7"/>
        <v>0</v>
      </c>
      <c r="P87" s="378" t="s">
        <v>1102</v>
      </c>
    </row>
    <row r="88" spans="1:17">
      <c r="A88" s="380">
        <v>20110531</v>
      </c>
      <c r="B88" s="370" t="s">
        <v>1103</v>
      </c>
      <c r="C88" s="370" t="s">
        <v>1104</v>
      </c>
      <c r="D88" s="371" t="s">
        <v>1105</v>
      </c>
      <c r="E88" s="352">
        <v>4762</v>
      </c>
      <c r="F88" s="370">
        <v>238</v>
      </c>
      <c r="G88" s="370">
        <f t="shared" si="8"/>
        <v>5000</v>
      </c>
      <c r="H88" s="379"/>
      <c r="O88" s="626">
        <f>G88-M88-N88-5000</f>
        <v>0</v>
      </c>
      <c r="P88" s="403" t="s">
        <v>15201</v>
      </c>
    </row>
    <row r="89" spans="1:17">
      <c r="A89" s="380"/>
      <c r="B89" s="183" t="s">
        <v>1106</v>
      </c>
      <c r="C89" s="352"/>
      <c r="D89" s="371" t="s">
        <v>1235</v>
      </c>
      <c r="E89" s="352"/>
      <c r="F89" s="352"/>
      <c r="G89" s="352">
        <f t="shared" si="8"/>
        <v>0</v>
      </c>
      <c r="H89" s="379"/>
      <c r="P89" s="352"/>
    </row>
    <row r="90" spans="1:17">
      <c r="A90" s="183">
        <v>20110704</v>
      </c>
      <c r="B90" s="183" t="s">
        <v>1107</v>
      </c>
      <c r="C90" s="352" t="s">
        <v>1307</v>
      </c>
      <c r="D90" s="178"/>
      <c r="E90" s="352">
        <v>102857</v>
      </c>
      <c r="F90" s="352">
        <v>5143</v>
      </c>
      <c r="G90" s="352">
        <f t="shared" si="8"/>
        <v>108000</v>
      </c>
      <c r="H90" s="377" t="s">
        <v>1276</v>
      </c>
      <c r="I90" s="343" t="s">
        <v>1108</v>
      </c>
      <c r="J90" s="350">
        <v>108000</v>
      </c>
      <c r="M90" s="350">
        <f t="shared" ref="M90:M109" si="10">J90+L90</f>
        <v>108000</v>
      </c>
      <c r="O90" s="351">
        <f t="shared" ref="O90:O109" si="11">G90-M90-N90</f>
        <v>0</v>
      </c>
      <c r="P90" s="378">
        <v>36025531</v>
      </c>
    </row>
    <row r="91" spans="1:17">
      <c r="A91" s="183">
        <v>20110801</v>
      </c>
      <c r="B91" s="183" t="s">
        <v>1109</v>
      </c>
      <c r="C91" s="352" t="s">
        <v>2421</v>
      </c>
      <c r="D91" s="178"/>
      <c r="E91" s="352">
        <v>13500</v>
      </c>
      <c r="F91" s="352">
        <v>675</v>
      </c>
      <c r="G91" s="352">
        <f t="shared" si="8"/>
        <v>14175</v>
      </c>
      <c r="H91" s="377" t="s">
        <v>2780</v>
      </c>
      <c r="I91" s="343" t="s">
        <v>457</v>
      </c>
      <c r="L91" s="350">
        <v>14165</v>
      </c>
      <c r="M91" s="350">
        <f t="shared" si="10"/>
        <v>14165</v>
      </c>
      <c r="N91" s="351">
        <v>10</v>
      </c>
      <c r="O91" s="351">
        <f t="shared" si="11"/>
        <v>0</v>
      </c>
      <c r="P91" s="378" t="s">
        <v>1084</v>
      </c>
    </row>
    <row r="92" spans="1:17">
      <c r="A92" s="183">
        <v>20110802</v>
      </c>
      <c r="B92" s="183" t="s">
        <v>1110</v>
      </c>
      <c r="C92" s="352" t="s">
        <v>3825</v>
      </c>
      <c r="D92" s="178"/>
      <c r="E92" s="352">
        <v>13500</v>
      </c>
      <c r="F92" s="352">
        <v>675</v>
      </c>
      <c r="G92" s="352">
        <f t="shared" si="8"/>
        <v>14175</v>
      </c>
      <c r="H92" s="377" t="s">
        <v>2780</v>
      </c>
      <c r="I92" s="343" t="s">
        <v>2081</v>
      </c>
      <c r="L92" s="350">
        <v>14145</v>
      </c>
      <c r="M92" s="350">
        <f t="shared" si="10"/>
        <v>14145</v>
      </c>
      <c r="N92" s="351">
        <v>30</v>
      </c>
      <c r="O92" s="351">
        <f t="shared" si="11"/>
        <v>0</v>
      </c>
      <c r="P92" s="378">
        <v>23306799</v>
      </c>
    </row>
    <row r="93" spans="1:17">
      <c r="A93" s="183">
        <v>20110802</v>
      </c>
      <c r="B93" s="183" t="s">
        <v>1111</v>
      </c>
      <c r="C93" s="183" t="s">
        <v>1532</v>
      </c>
      <c r="D93" s="352"/>
      <c r="E93" s="352">
        <v>12857</v>
      </c>
      <c r="F93" s="183">
        <v>643</v>
      </c>
      <c r="G93" s="352">
        <f t="shared" si="8"/>
        <v>13500</v>
      </c>
      <c r="H93" s="377" t="s">
        <v>1112</v>
      </c>
      <c r="I93" s="343" t="s">
        <v>2080</v>
      </c>
      <c r="L93" s="350">
        <v>13485</v>
      </c>
      <c r="M93" s="350">
        <f t="shared" si="10"/>
        <v>13485</v>
      </c>
      <c r="N93" s="351">
        <v>15</v>
      </c>
      <c r="O93" s="351">
        <f t="shared" si="11"/>
        <v>0</v>
      </c>
      <c r="P93" s="378" t="s">
        <v>1097</v>
      </c>
    </row>
    <row r="94" spans="1:17">
      <c r="A94" s="183">
        <v>20110802</v>
      </c>
      <c r="B94" s="183" t="s">
        <v>1113</v>
      </c>
      <c r="C94" s="183" t="s">
        <v>1699</v>
      </c>
      <c r="D94" s="352"/>
      <c r="E94" s="352">
        <v>12857</v>
      </c>
      <c r="F94" s="183">
        <v>643</v>
      </c>
      <c r="G94" s="352">
        <f t="shared" si="8"/>
        <v>13500</v>
      </c>
      <c r="H94" s="377" t="s">
        <v>1112</v>
      </c>
      <c r="I94" s="350">
        <v>389</v>
      </c>
      <c r="J94" s="350">
        <v>13500</v>
      </c>
      <c r="M94" s="350">
        <f t="shared" si="10"/>
        <v>13500</v>
      </c>
      <c r="O94" s="351">
        <f t="shared" si="11"/>
        <v>0</v>
      </c>
      <c r="P94" s="378" t="s">
        <v>1095</v>
      </c>
    </row>
    <row r="95" spans="1:17">
      <c r="A95" s="183">
        <v>20110802</v>
      </c>
      <c r="B95" s="183" t="s">
        <v>1114</v>
      </c>
      <c r="C95" s="183" t="s">
        <v>1230</v>
      </c>
      <c r="D95" s="352"/>
      <c r="E95" s="352">
        <v>11400</v>
      </c>
      <c r="F95" s="183">
        <v>570</v>
      </c>
      <c r="G95" s="352">
        <f t="shared" si="8"/>
        <v>11970</v>
      </c>
      <c r="H95" s="379"/>
      <c r="M95" s="350">
        <f t="shared" si="10"/>
        <v>0</v>
      </c>
      <c r="O95" s="626">
        <f>G95-M95-N95-11970</f>
        <v>0</v>
      </c>
      <c r="P95" s="378" t="s">
        <v>1092</v>
      </c>
      <c r="Q95" s="403" t="s">
        <v>15201</v>
      </c>
    </row>
    <row r="96" spans="1:17">
      <c r="A96" s="183">
        <v>20110802</v>
      </c>
      <c r="B96" s="183" t="s">
        <v>1115</v>
      </c>
      <c r="C96" s="183" t="s">
        <v>1232</v>
      </c>
      <c r="D96" s="352"/>
      <c r="E96" s="352">
        <v>15600</v>
      </c>
      <c r="F96" s="183">
        <v>780</v>
      </c>
      <c r="G96" s="352">
        <f t="shared" si="8"/>
        <v>16380</v>
      </c>
      <c r="H96" s="377" t="s">
        <v>905</v>
      </c>
      <c r="I96" s="350">
        <v>390</v>
      </c>
      <c r="J96" s="350">
        <v>16380</v>
      </c>
      <c r="M96" s="350">
        <f t="shared" si="10"/>
        <v>16380</v>
      </c>
      <c r="O96" s="351">
        <f t="shared" si="11"/>
        <v>0</v>
      </c>
      <c r="P96" s="378" t="s">
        <v>1080</v>
      </c>
    </row>
    <row r="97" spans="1:17">
      <c r="A97" s="183">
        <v>20110809</v>
      </c>
      <c r="B97" s="183" t="s">
        <v>1116</v>
      </c>
      <c r="C97" s="183" t="s">
        <v>8</v>
      </c>
      <c r="D97" s="352"/>
      <c r="E97" s="352">
        <v>108000</v>
      </c>
      <c r="F97" s="183">
        <v>5400</v>
      </c>
      <c r="G97" s="352">
        <f t="shared" si="8"/>
        <v>113400</v>
      </c>
      <c r="H97" s="377" t="s">
        <v>1276</v>
      </c>
      <c r="I97" s="343" t="s">
        <v>1117</v>
      </c>
      <c r="J97" s="350">
        <v>113400</v>
      </c>
      <c r="M97" s="350">
        <f t="shared" si="10"/>
        <v>113400</v>
      </c>
      <c r="O97" s="351">
        <f t="shared" si="11"/>
        <v>0</v>
      </c>
      <c r="P97" s="378">
        <v>12946185</v>
      </c>
    </row>
    <row r="98" spans="1:17">
      <c r="A98" s="183">
        <v>20111003</v>
      </c>
      <c r="B98" s="183" t="s">
        <v>1118</v>
      </c>
      <c r="C98" s="183" t="s">
        <v>1302</v>
      </c>
      <c r="D98" s="352"/>
      <c r="E98" s="352">
        <v>91200</v>
      </c>
      <c r="F98" s="183">
        <v>4560</v>
      </c>
      <c r="G98" s="352">
        <f t="shared" si="8"/>
        <v>95760</v>
      </c>
      <c r="H98" s="377" t="s">
        <v>1119</v>
      </c>
      <c r="I98" s="343" t="s">
        <v>1120</v>
      </c>
      <c r="J98" s="350">
        <v>95760</v>
      </c>
      <c r="M98" s="350">
        <f t="shared" si="10"/>
        <v>95760</v>
      </c>
      <c r="O98" s="351">
        <f t="shared" si="11"/>
        <v>0</v>
      </c>
      <c r="P98" s="378" t="s">
        <v>1121</v>
      </c>
    </row>
    <row r="99" spans="1:17">
      <c r="A99" s="183">
        <v>20111003</v>
      </c>
      <c r="B99" s="183" t="s">
        <v>1122</v>
      </c>
      <c r="C99" s="183" t="s">
        <v>2060</v>
      </c>
      <c r="D99" s="352"/>
      <c r="E99" s="352">
        <v>13500</v>
      </c>
      <c r="F99" s="183">
        <v>675</v>
      </c>
      <c r="G99" s="352">
        <f t="shared" si="8"/>
        <v>14175</v>
      </c>
      <c r="H99" s="377" t="s">
        <v>905</v>
      </c>
      <c r="I99" s="343" t="s">
        <v>2112</v>
      </c>
      <c r="L99" s="350">
        <v>14145</v>
      </c>
      <c r="M99" s="350">
        <f t="shared" si="10"/>
        <v>14145</v>
      </c>
      <c r="N99" s="351">
        <v>30</v>
      </c>
      <c r="O99" s="351">
        <f t="shared" si="11"/>
        <v>0</v>
      </c>
      <c r="P99" s="378" t="s">
        <v>1099</v>
      </c>
    </row>
    <row r="100" spans="1:17">
      <c r="A100" s="183">
        <v>20111003</v>
      </c>
      <c r="B100" s="183" t="s">
        <v>1123</v>
      </c>
      <c r="C100" s="183" t="s">
        <v>3825</v>
      </c>
      <c r="D100" s="352"/>
      <c r="E100" s="352">
        <v>13500</v>
      </c>
      <c r="F100" s="183">
        <v>675</v>
      </c>
      <c r="G100" s="352">
        <f t="shared" si="8"/>
        <v>14175</v>
      </c>
      <c r="H100" s="377" t="s">
        <v>1112</v>
      </c>
      <c r="I100" s="343" t="s">
        <v>2100</v>
      </c>
      <c r="L100" s="350">
        <v>14145</v>
      </c>
      <c r="M100" s="350">
        <f t="shared" si="10"/>
        <v>14145</v>
      </c>
      <c r="N100" s="351">
        <v>30</v>
      </c>
      <c r="O100" s="351">
        <f t="shared" si="11"/>
        <v>0</v>
      </c>
      <c r="P100" s="378" t="s">
        <v>1072</v>
      </c>
    </row>
    <row r="101" spans="1:17">
      <c r="A101" s="183">
        <v>20111003</v>
      </c>
      <c r="B101" s="183" t="s">
        <v>1124</v>
      </c>
      <c r="C101" s="183" t="s">
        <v>2421</v>
      </c>
      <c r="D101" s="352"/>
      <c r="E101" s="352">
        <v>13500</v>
      </c>
      <c r="F101" s="183">
        <v>675</v>
      </c>
      <c r="G101" s="352">
        <f t="shared" si="8"/>
        <v>14175</v>
      </c>
      <c r="H101" s="377" t="s">
        <v>1112</v>
      </c>
      <c r="I101" s="343" t="s">
        <v>2087</v>
      </c>
      <c r="L101" s="350">
        <v>14165</v>
      </c>
      <c r="M101" s="350">
        <f t="shared" si="10"/>
        <v>14165</v>
      </c>
      <c r="N101" s="351">
        <v>10</v>
      </c>
      <c r="O101" s="351">
        <f t="shared" si="11"/>
        <v>0</v>
      </c>
      <c r="P101" s="378" t="s">
        <v>1084</v>
      </c>
    </row>
    <row r="102" spans="1:17">
      <c r="A102" s="183">
        <v>20111108</v>
      </c>
      <c r="B102" s="183" t="s">
        <v>1125</v>
      </c>
      <c r="C102" s="183" t="s">
        <v>1532</v>
      </c>
      <c r="D102" s="352"/>
      <c r="E102" s="183">
        <v>12857</v>
      </c>
      <c r="F102" s="183">
        <v>643</v>
      </c>
      <c r="G102" s="352">
        <f t="shared" si="8"/>
        <v>13500</v>
      </c>
      <c r="H102" s="377" t="s">
        <v>1077</v>
      </c>
      <c r="I102" s="343" t="s">
        <v>2568</v>
      </c>
      <c r="L102" s="350">
        <v>13485</v>
      </c>
      <c r="M102" s="350">
        <f t="shared" si="10"/>
        <v>13485</v>
      </c>
      <c r="N102" s="351">
        <v>15</v>
      </c>
      <c r="O102" s="351">
        <f t="shared" si="11"/>
        <v>0</v>
      </c>
      <c r="P102" s="381" t="s">
        <v>1097</v>
      </c>
    </row>
    <row r="103" spans="1:17">
      <c r="A103" s="183">
        <v>20111108</v>
      </c>
      <c r="B103" s="183" t="s">
        <v>1126</v>
      </c>
      <c r="C103" s="183" t="s">
        <v>1699</v>
      </c>
      <c r="D103" s="352"/>
      <c r="E103" s="183">
        <v>12857</v>
      </c>
      <c r="F103" s="183">
        <v>643</v>
      </c>
      <c r="G103" s="352">
        <f t="shared" si="8"/>
        <v>13500</v>
      </c>
      <c r="H103" s="377" t="s">
        <v>1077</v>
      </c>
      <c r="I103" s="350">
        <v>403</v>
      </c>
      <c r="J103" s="350">
        <v>13500</v>
      </c>
      <c r="M103" s="350">
        <f t="shared" si="10"/>
        <v>13500</v>
      </c>
      <c r="O103" s="351">
        <f t="shared" si="11"/>
        <v>0</v>
      </c>
      <c r="P103" s="381" t="s">
        <v>1095</v>
      </c>
    </row>
    <row r="104" spans="1:17">
      <c r="A104" s="183">
        <v>20111108</v>
      </c>
      <c r="B104" s="183" t="s">
        <v>1127</v>
      </c>
      <c r="C104" s="183" t="s">
        <v>1230</v>
      </c>
      <c r="D104" s="352"/>
      <c r="E104" s="183">
        <v>11400</v>
      </c>
      <c r="F104" s="183">
        <v>570</v>
      </c>
      <c r="G104" s="352">
        <f t="shared" si="8"/>
        <v>11970</v>
      </c>
      <c r="H104" s="379"/>
      <c r="M104" s="350">
        <f t="shared" si="10"/>
        <v>0</v>
      </c>
      <c r="O104" s="626">
        <f>G104-M104-N104-11970</f>
        <v>0</v>
      </c>
      <c r="P104" s="381" t="s">
        <v>1092</v>
      </c>
      <c r="Q104" s="403" t="s">
        <v>15201</v>
      </c>
    </row>
    <row r="105" spans="1:17">
      <c r="A105" s="183">
        <v>20111108</v>
      </c>
      <c r="B105" s="183" t="s">
        <v>1128</v>
      </c>
      <c r="C105" s="183" t="s">
        <v>1232</v>
      </c>
      <c r="D105" s="352"/>
      <c r="E105" s="183">
        <v>15600</v>
      </c>
      <c r="F105" s="183">
        <v>780</v>
      </c>
      <c r="G105" s="352">
        <f t="shared" si="8"/>
        <v>16380</v>
      </c>
      <c r="H105" s="377" t="s">
        <v>2780</v>
      </c>
      <c r="I105" s="350">
        <v>420</v>
      </c>
      <c r="J105" s="350">
        <v>16380</v>
      </c>
      <c r="M105" s="350">
        <f t="shared" si="10"/>
        <v>16380</v>
      </c>
      <c r="O105" s="351">
        <f t="shared" si="11"/>
        <v>0</v>
      </c>
      <c r="P105" s="381" t="s">
        <v>1080</v>
      </c>
    </row>
    <row r="106" spans="1:17">
      <c r="A106" s="183">
        <v>20111108</v>
      </c>
      <c r="B106" s="183" t="s">
        <v>1129</v>
      </c>
      <c r="C106" s="183" t="s">
        <v>1270</v>
      </c>
      <c r="D106" s="352"/>
      <c r="E106" s="183">
        <v>19500</v>
      </c>
      <c r="F106" s="183">
        <v>975</v>
      </c>
      <c r="G106" s="352">
        <f t="shared" si="8"/>
        <v>20475</v>
      </c>
      <c r="H106" s="377" t="s">
        <v>1077</v>
      </c>
      <c r="I106" s="350">
        <v>399</v>
      </c>
      <c r="J106" s="350">
        <v>20475</v>
      </c>
      <c r="M106" s="350">
        <f t="shared" si="10"/>
        <v>20475</v>
      </c>
      <c r="O106" s="351">
        <f t="shared" si="11"/>
        <v>0</v>
      </c>
      <c r="P106" s="381" t="s">
        <v>1130</v>
      </c>
    </row>
    <row r="107" spans="1:17">
      <c r="A107" s="183">
        <v>20111108</v>
      </c>
      <c r="B107" s="183" t="s">
        <v>1374</v>
      </c>
      <c r="C107" s="183" t="s">
        <v>1270</v>
      </c>
      <c r="D107" s="352"/>
      <c r="E107" s="183">
        <v>19500</v>
      </c>
      <c r="F107" s="183">
        <v>975</v>
      </c>
      <c r="G107" s="352">
        <f t="shared" si="8"/>
        <v>20475</v>
      </c>
      <c r="H107" s="377" t="s">
        <v>1091</v>
      </c>
      <c r="I107" s="350">
        <v>400</v>
      </c>
      <c r="J107" s="350">
        <v>20475</v>
      </c>
      <c r="M107" s="350">
        <f t="shared" si="10"/>
        <v>20475</v>
      </c>
      <c r="O107" s="351">
        <f t="shared" si="11"/>
        <v>0</v>
      </c>
      <c r="P107" s="381" t="s">
        <v>1130</v>
      </c>
    </row>
    <row r="108" spans="1:17">
      <c r="A108" s="183">
        <v>20111108</v>
      </c>
      <c r="B108" s="183" t="s">
        <v>1375</v>
      </c>
      <c r="C108" s="183" t="s">
        <v>1270</v>
      </c>
      <c r="D108" s="352"/>
      <c r="E108" s="183">
        <v>19500</v>
      </c>
      <c r="F108" s="183">
        <v>975</v>
      </c>
      <c r="G108" s="352">
        <f t="shared" si="8"/>
        <v>20475</v>
      </c>
      <c r="H108" s="377" t="s">
        <v>1131</v>
      </c>
      <c r="I108" s="350">
        <v>401</v>
      </c>
      <c r="J108" s="350">
        <v>20475</v>
      </c>
      <c r="M108" s="350">
        <f t="shared" si="10"/>
        <v>20475</v>
      </c>
      <c r="O108" s="351">
        <f t="shared" si="11"/>
        <v>0</v>
      </c>
      <c r="P108" s="381" t="s">
        <v>1130</v>
      </c>
    </row>
    <row r="109" spans="1:17">
      <c r="A109" s="183">
        <v>20111108</v>
      </c>
      <c r="B109" s="183" t="s">
        <v>1376</v>
      </c>
      <c r="C109" s="183" t="s">
        <v>1270</v>
      </c>
      <c r="D109" s="352"/>
      <c r="E109" s="183">
        <v>19500</v>
      </c>
      <c r="F109" s="183">
        <v>975</v>
      </c>
      <c r="G109" s="352">
        <f t="shared" si="8"/>
        <v>20475</v>
      </c>
      <c r="H109" s="377" t="s">
        <v>1132</v>
      </c>
      <c r="I109" s="350">
        <v>402</v>
      </c>
      <c r="J109" s="350">
        <v>20475</v>
      </c>
      <c r="M109" s="350">
        <f t="shared" si="10"/>
        <v>20475</v>
      </c>
      <c r="O109" s="351">
        <f t="shared" si="11"/>
        <v>0</v>
      </c>
      <c r="P109" s="381" t="s">
        <v>1130</v>
      </c>
    </row>
    <row r="110" spans="1:17">
      <c r="A110" s="183"/>
      <c r="B110" s="183" t="s">
        <v>1377</v>
      </c>
      <c r="C110" s="183"/>
      <c r="D110" s="371" t="s">
        <v>1235</v>
      </c>
      <c r="E110" s="183"/>
      <c r="F110" s="183"/>
      <c r="G110" s="352"/>
      <c r="H110" s="379"/>
      <c r="P110" s="381"/>
    </row>
    <row r="111" spans="1:17">
      <c r="A111" s="183"/>
      <c r="B111" s="183" t="s">
        <v>1378</v>
      </c>
      <c r="C111" s="183"/>
      <c r="D111" s="371" t="s">
        <v>1235</v>
      </c>
      <c r="E111" s="183"/>
      <c r="F111" s="183"/>
      <c r="G111" s="352"/>
      <c r="H111" s="379"/>
      <c r="P111" s="381"/>
    </row>
    <row r="112" spans="1:17">
      <c r="A112" s="183">
        <v>20111207</v>
      </c>
      <c r="B112" s="183" t="s">
        <v>1133</v>
      </c>
      <c r="C112" s="183" t="s">
        <v>606</v>
      </c>
      <c r="D112" s="352"/>
      <c r="E112" s="183">
        <v>102857</v>
      </c>
      <c r="F112" s="183">
        <v>5143</v>
      </c>
      <c r="G112" s="352">
        <f>E112+F112</f>
        <v>108000</v>
      </c>
      <c r="H112" s="377" t="s">
        <v>1119</v>
      </c>
      <c r="I112" s="343" t="s">
        <v>1134</v>
      </c>
      <c r="J112" s="350">
        <v>108000</v>
      </c>
      <c r="M112" s="350">
        <f>J112+L112</f>
        <v>108000</v>
      </c>
      <c r="O112" s="351">
        <f>G112-M112-N112</f>
        <v>0</v>
      </c>
      <c r="P112" s="381">
        <v>27763698</v>
      </c>
    </row>
    <row r="113" spans="1:18">
      <c r="A113" s="183">
        <v>20111214</v>
      </c>
      <c r="B113" s="183" t="s">
        <v>1135</v>
      </c>
      <c r="C113" s="183" t="s">
        <v>2060</v>
      </c>
      <c r="D113" s="352"/>
      <c r="E113" s="183">
        <v>13500</v>
      </c>
      <c r="F113" s="183">
        <v>675</v>
      </c>
      <c r="G113" s="352">
        <f>E113+F113</f>
        <v>14175</v>
      </c>
      <c r="H113" s="377" t="s">
        <v>2780</v>
      </c>
      <c r="I113" s="343" t="s">
        <v>819</v>
      </c>
      <c r="L113" s="350">
        <v>14145</v>
      </c>
      <c r="M113" s="350">
        <f>J113+L113</f>
        <v>14145</v>
      </c>
      <c r="N113" s="351">
        <v>30</v>
      </c>
      <c r="O113" s="351">
        <f>G113-M113-N113</f>
        <v>0</v>
      </c>
      <c r="P113" s="381">
        <v>22663002</v>
      </c>
    </row>
    <row r="114" spans="1:18">
      <c r="A114" s="183">
        <v>20111214</v>
      </c>
      <c r="B114" s="352" t="s">
        <v>1136</v>
      </c>
      <c r="C114" s="352" t="s">
        <v>2421</v>
      </c>
      <c r="D114" s="352"/>
      <c r="E114" s="352">
        <v>13500</v>
      </c>
      <c r="F114" s="352">
        <v>675</v>
      </c>
      <c r="G114" s="352">
        <v>14175</v>
      </c>
      <c r="H114" s="377" t="s">
        <v>1077</v>
      </c>
      <c r="I114" s="343" t="s">
        <v>1137</v>
      </c>
      <c r="L114" s="350">
        <v>14165</v>
      </c>
      <c r="M114" s="350">
        <f>J114+L114</f>
        <v>14165</v>
      </c>
      <c r="N114" s="351">
        <v>10</v>
      </c>
      <c r="O114" s="351">
        <f>G114-M114-N114</f>
        <v>0</v>
      </c>
      <c r="P114" s="381" t="s">
        <v>1084</v>
      </c>
    </row>
    <row r="115" spans="1:18">
      <c r="A115"/>
      <c r="B115"/>
      <c r="C115"/>
      <c r="D115"/>
      <c r="E115"/>
      <c r="F115"/>
      <c r="G115"/>
      <c r="P115"/>
    </row>
    <row r="116" spans="1:18">
      <c r="N116" s="382"/>
    </row>
    <row r="117" spans="1:18" s="347" customFormat="1">
      <c r="A117" s="346" t="s">
        <v>1138</v>
      </c>
      <c r="D117" s="348" t="s">
        <v>2377</v>
      </c>
      <c r="E117" s="376">
        <f>SUM(E118:E174)</f>
        <v>2550357</v>
      </c>
      <c r="F117" s="376">
        <f>SUM(F118:F174)</f>
        <v>127518</v>
      </c>
      <c r="G117" s="376">
        <f>SUM(G118:G174)</f>
        <v>2677875</v>
      </c>
      <c r="H117" s="349"/>
      <c r="I117" s="383"/>
      <c r="J117" s="376">
        <f>SUM(J118:J174)</f>
        <v>2481446</v>
      </c>
      <c r="K117" s="376"/>
      <c r="L117" s="376">
        <f>SUM(L118:L174)</f>
        <v>196190</v>
      </c>
      <c r="M117" s="376">
        <f>SUM(M118:M174)</f>
        <v>2677636</v>
      </c>
      <c r="N117" s="376">
        <f>SUM(N118:N174)</f>
        <v>239</v>
      </c>
      <c r="O117" s="376">
        <f>SUM(O118:O174)</f>
        <v>0</v>
      </c>
    </row>
    <row r="118" spans="1:18">
      <c r="A118" s="183">
        <v>20120109</v>
      </c>
      <c r="B118" s="183" t="s">
        <v>1139</v>
      </c>
      <c r="C118" s="183" t="s">
        <v>3825</v>
      </c>
      <c r="D118" s="352"/>
      <c r="E118" s="183">
        <v>13500</v>
      </c>
      <c r="F118" s="183">
        <v>675</v>
      </c>
      <c r="G118" s="352">
        <f t="shared" ref="G118:G174" si="12">E118+F118</f>
        <v>14175</v>
      </c>
      <c r="H118" s="379">
        <v>5</v>
      </c>
      <c r="I118" s="343" t="s">
        <v>1140</v>
      </c>
      <c r="L118" s="350">
        <v>14145</v>
      </c>
      <c r="M118" s="350">
        <v>14145</v>
      </c>
      <c r="N118" s="351">
        <v>30</v>
      </c>
      <c r="O118" s="351">
        <f t="shared" ref="O118:O174" si="13">G118-M118-N118</f>
        <v>0</v>
      </c>
      <c r="P118" s="378" t="s">
        <v>1072</v>
      </c>
      <c r="Q118" s="287"/>
      <c r="R118" s="288"/>
    </row>
    <row r="119" spans="1:18">
      <c r="A119" s="183">
        <v>20120202</v>
      </c>
      <c r="B119" s="183" t="s">
        <v>177</v>
      </c>
      <c r="C119" s="183" t="s">
        <v>1532</v>
      </c>
      <c r="D119" s="344"/>
      <c r="E119" s="183">
        <v>12857</v>
      </c>
      <c r="F119" s="183">
        <v>643</v>
      </c>
      <c r="G119" s="352">
        <f t="shared" si="12"/>
        <v>13500</v>
      </c>
      <c r="H119" s="379">
        <v>6</v>
      </c>
      <c r="I119" s="343" t="s">
        <v>1141</v>
      </c>
      <c r="L119" s="350">
        <v>13485</v>
      </c>
      <c r="M119" s="350">
        <v>13485</v>
      </c>
      <c r="N119" s="351">
        <v>15</v>
      </c>
      <c r="O119" s="351">
        <f t="shared" si="13"/>
        <v>0</v>
      </c>
      <c r="P119" s="378" t="s">
        <v>1097</v>
      </c>
      <c r="Q119" s="289"/>
      <c r="R119" s="288"/>
    </row>
    <row r="120" spans="1:18">
      <c r="A120" s="183">
        <v>20120202</v>
      </c>
      <c r="B120" s="183" t="s">
        <v>178</v>
      </c>
      <c r="C120" s="199" t="s">
        <v>1699</v>
      </c>
      <c r="D120" s="344"/>
      <c r="E120" s="199">
        <v>12857</v>
      </c>
      <c r="F120" s="183">
        <v>643</v>
      </c>
      <c r="G120" s="352">
        <f t="shared" si="12"/>
        <v>13500</v>
      </c>
      <c r="H120" s="379">
        <v>6</v>
      </c>
      <c r="I120" s="350">
        <v>422</v>
      </c>
      <c r="J120" s="350">
        <v>13500</v>
      </c>
      <c r="M120" s="350">
        <f t="shared" ref="M120:M174" si="14">J120+L120</f>
        <v>13500</v>
      </c>
      <c r="O120" s="351">
        <f t="shared" si="13"/>
        <v>0</v>
      </c>
      <c r="P120" s="378" t="s">
        <v>1095</v>
      </c>
      <c r="Q120" s="289"/>
      <c r="R120" s="288"/>
    </row>
    <row r="121" spans="1:18">
      <c r="A121" s="183">
        <v>20120202</v>
      </c>
      <c r="B121" s="183" t="s">
        <v>179</v>
      </c>
      <c r="C121" s="199" t="s">
        <v>1232</v>
      </c>
      <c r="D121" s="352"/>
      <c r="E121" s="183">
        <v>15600</v>
      </c>
      <c r="F121" s="183">
        <v>780</v>
      </c>
      <c r="G121" s="352">
        <f t="shared" si="12"/>
        <v>16380</v>
      </c>
      <c r="H121" s="379">
        <v>4</v>
      </c>
      <c r="I121" s="350">
        <v>421</v>
      </c>
      <c r="J121" s="350">
        <v>16380</v>
      </c>
      <c r="M121" s="350">
        <f t="shared" si="14"/>
        <v>16380</v>
      </c>
      <c r="O121" s="351">
        <f t="shared" si="13"/>
        <v>0</v>
      </c>
      <c r="P121" s="378" t="s">
        <v>1080</v>
      </c>
      <c r="Q121" s="289"/>
      <c r="R121" s="288"/>
    </row>
    <row r="122" spans="1:18">
      <c r="A122" s="380">
        <v>20120307</v>
      </c>
      <c r="B122" s="352" t="s">
        <v>1142</v>
      </c>
      <c r="C122" s="352" t="s">
        <v>1249</v>
      </c>
      <c r="D122" s="352"/>
      <c r="E122" s="367">
        <v>43200</v>
      </c>
      <c r="F122" s="352">
        <v>2160</v>
      </c>
      <c r="G122" s="352">
        <f t="shared" si="12"/>
        <v>45360</v>
      </c>
      <c r="H122" s="377" t="s">
        <v>1143</v>
      </c>
      <c r="I122" s="343" t="s">
        <v>1144</v>
      </c>
      <c r="J122" s="350">
        <v>45360</v>
      </c>
      <c r="M122" s="350">
        <f t="shared" si="14"/>
        <v>45360</v>
      </c>
      <c r="O122" s="351">
        <f t="shared" si="13"/>
        <v>0</v>
      </c>
      <c r="P122" s="378" t="s">
        <v>1145</v>
      </c>
      <c r="Q122" s="289"/>
      <c r="R122" s="288"/>
    </row>
    <row r="123" spans="1:18">
      <c r="A123" s="380">
        <v>20120312</v>
      </c>
      <c r="B123" s="352" t="s">
        <v>180</v>
      </c>
      <c r="C123" s="352" t="s">
        <v>2421</v>
      </c>
      <c r="D123" s="352"/>
      <c r="E123" s="367">
        <v>13500</v>
      </c>
      <c r="F123" s="352">
        <v>675</v>
      </c>
      <c r="G123" s="352">
        <f t="shared" si="12"/>
        <v>14175</v>
      </c>
      <c r="H123" s="377" t="s">
        <v>1091</v>
      </c>
      <c r="I123" s="343" t="s">
        <v>1146</v>
      </c>
      <c r="L123" s="350">
        <v>14165</v>
      </c>
      <c r="M123" s="350">
        <f t="shared" si="14"/>
        <v>14165</v>
      </c>
      <c r="N123" s="351">
        <v>10</v>
      </c>
      <c r="O123" s="351">
        <f t="shared" si="13"/>
        <v>0</v>
      </c>
      <c r="P123" s="378" t="s">
        <v>1084</v>
      </c>
      <c r="Q123" s="289"/>
      <c r="R123" s="288"/>
    </row>
    <row r="124" spans="1:18">
      <c r="A124" s="380">
        <v>20120312</v>
      </c>
      <c r="B124" s="352" t="s">
        <v>181</v>
      </c>
      <c r="C124" s="352" t="s">
        <v>2060</v>
      </c>
      <c r="D124" s="352"/>
      <c r="E124" s="367">
        <v>13500</v>
      </c>
      <c r="F124" s="352">
        <v>675</v>
      </c>
      <c r="G124" s="352">
        <f t="shared" si="12"/>
        <v>14175</v>
      </c>
      <c r="H124" s="377" t="s">
        <v>1112</v>
      </c>
      <c r="I124" s="343" t="s">
        <v>1147</v>
      </c>
      <c r="L124" s="350">
        <v>14145</v>
      </c>
      <c r="M124" s="350">
        <f t="shared" si="14"/>
        <v>14145</v>
      </c>
      <c r="N124" s="351">
        <v>30</v>
      </c>
      <c r="O124" s="351">
        <f t="shared" si="13"/>
        <v>0</v>
      </c>
      <c r="P124" s="378" t="s">
        <v>1099</v>
      </c>
      <c r="Q124" s="289"/>
      <c r="R124" s="288"/>
    </row>
    <row r="125" spans="1:18">
      <c r="A125" s="380">
        <v>20120312</v>
      </c>
      <c r="B125" s="352" t="s">
        <v>182</v>
      </c>
      <c r="C125" s="352" t="s">
        <v>2692</v>
      </c>
      <c r="D125" s="352"/>
      <c r="E125" s="367">
        <v>96000</v>
      </c>
      <c r="F125" s="352">
        <v>4800</v>
      </c>
      <c r="G125" s="352">
        <f t="shared" si="12"/>
        <v>100800</v>
      </c>
      <c r="H125" s="377" t="s">
        <v>1119</v>
      </c>
      <c r="I125" s="343" t="s">
        <v>1148</v>
      </c>
      <c r="J125" s="350">
        <v>100800</v>
      </c>
      <c r="M125" s="350">
        <f t="shared" si="14"/>
        <v>100800</v>
      </c>
      <c r="O125" s="351">
        <f t="shared" si="13"/>
        <v>0</v>
      </c>
      <c r="P125" s="378" t="s">
        <v>1149</v>
      </c>
      <c r="Q125" s="289"/>
      <c r="R125" s="288"/>
    </row>
    <row r="126" spans="1:18">
      <c r="A126" s="380">
        <v>20120313</v>
      </c>
      <c r="B126" s="352" t="s">
        <v>183</v>
      </c>
      <c r="C126" s="352" t="s">
        <v>264</v>
      </c>
      <c r="D126" s="352"/>
      <c r="E126" s="367">
        <v>86400</v>
      </c>
      <c r="F126" s="352">
        <v>4320</v>
      </c>
      <c r="G126" s="352">
        <f t="shared" si="12"/>
        <v>90720</v>
      </c>
      <c r="H126" s="377" t="s">
        <v>1119</v>
      </c>
      <c r="I126" s="343" t="s">
        <v>1150</v>
      </c>
      <c r="J126" s="350">
        <v>90720</v>
      </c>
      <c r="M126" s="350">
        <f t="shared" si="14"/>
        <v>90720</v>
      </c>
      <c r="O126" s="351">
        <f t="shared" si="13"/>
        <v>0</v>
      </c>
      <c r="P126" s="378" t="s">
        <v>1151</v>
      </c>
      <c r="Q126" s="289"/>
      <c r="R126" s="288"/>
    </row>
    <row r="127" spans="1:18">
      <c r="A127" s="380">
        <v>20120315</v>
      </c>
      <c r="B127" s="352" t="s">
        <v>184</v>
      </c>
      <c r="C127" s="352" t="s">
        <v>1303</v>
      </c>
      <c r="D127" s="352"/>
      <c r="E127" s="367">
        <v>100800</v>
      </c>
      <c r="F127" s="352">
        <v>5040</v>
      </c>
      <c r="G127" s="352">
        <f t="shared" si="12"/>
        <v>105840</v>
      </c>
      <c r="H127" s="377" t="s">
        <v>1119</v>
      </c>
      <c r="I127" s="343" t="s">
        <v>1152</v>
      </c>
      <c r="J127" s="350">
        <v>105840</v>
      </c>
      <c r="M127" s="350">
        <f t="shared" si="14"/>
        <v>105840</v>
      </c>
      <c r="O127" s="351">
        <f t="shared" si="13"/>
        <v>0</v>
      </c>
      <c r="P127" s="378" t="s">
        <v>1153</v>
      </c>
      <c r="Q127" s="289"/>
      <c r="R127" s="288"/>
    </row>
    <row r="128" spans="1:18">
      <c r="A128" s="380">
        <v>20120329</v>
      </c>
      <c r="B128" s="352" t="s">
        <v>185</v>
      </c>
      <c r="C128" s="352" t="s">
        <v>2690</v>
      </c>
      <c r="D128" s="352"/>
      <c r="E128" s="367">
        <v>86400</v>
      </c>
      <c r="F128" s="352">
        <v>4320</v>
      </c>
      <c r="G128" s="352">
        <f t="shared" si="12"/>
        <v>90720</v>
      </c>
      <c r="H128" s="377" t="s">
        <v>1119</v>
      </c>
      <c r="I128" s="343" t="s">
        <v>1154</v>
      </c>
      <c r="J128" s="350">
        <v>90720</v>
      </c>
      <c r="M128" s="350">
        <f t="shared" si="14"/>
        <v>90720</v>
      </c>
      <c r="O128" s="351">
        <f t="shared" si="13"/>
        <v>0</v>
      </c>
      <c r="P128" s="378" t="s">
        <v>1155</v>
      </c>
      <c r="Q128" s="289"/>
      <c r="R128" s="288"/>
    </row>
    <row r="129" spans="1:18">
      <c r="A129" s="380">
        <v>20120330</v>
      </c>
      <c r="B129" s="352" t="s">
        <v>186</v>
      </c>
      <c r="C129" s="352" t="s">
        <v>9</v>
      </c>
      <c r="D129" s="352"/>
      <c r="E129" s="367">
        <v>91429</v>
      </c>
      <c r="F129" s="352">
        <v>4571</v>
      </c>
      <c r="G129" s="352">
        <f t="shared" si="12"/>
        <v>96000</v>
      </c>
      <c r="H129" s="377" t="s">
        <v>1119</v>
      </c>
      <c r="I129" s="343" t="s">
        <v>1156</v>
      </c>
      <c r="J129" s="350">
        <v>96000</v>
      </c>
      <c r="M129" s="350">
        <f t="shared" si="14"/>
        <v>96000</v>
      </c>
      <c r="O129" s="351">
        <f t="shared" si="13"/>
        <v>0</v>
      </c>
      <c r="P129" s="378" t="s">
        <v>1157</v>
      </c>
      <c r="Q129" s="360"/>
      <c r="R129" s="360"/>
    </row>
    <row r="130" spans="1:18">
      <c r="A130" s="380">
        <v>20120403</v>
      </c>
      <c r="B130" s="352" t="s">
        <v>187</v>
      </c>
      <c r="C130" s="352" t="s">
        <v>2424</v>
      </c>
      <c r="D130" s="352"/>
      <c r="E130" s="367">
        <v>86400</v>
      </c>
      <c r="F130" s="352">
        <v>4320</v>
      </c>
      <c r="G130" s="352">
        <f t="shared" si="12"/>
        <v>90720</v>
      </c>
      <c r="H130" s="377" t="s">
        <v>1119</v>
      </c>
      <c r="I130" s="343" t="s">
        <v>1158</v>
      </c>
      <c r="J130" s="350">
        <v>90720</v>
      </c>
      <c r="M130" s="350">
        <f t="shared" si="14"/>
        <v>90720</v>
      </c>
      <c r="O130" s="351">
        <f t="shared" si="13"/>
        <v>0</v>
      </c>
      <c r="P130" s="378" t="s">
        <v>1159</v>
      </c>
      <c r="Q130" s="288"/>
      <c r="R130" s="288"/>
    </row>
    <row r="131" spans="1:18">
      <c r="A131" s="380">
        <v>20120418</v>
      </c>
      <c r="B131" s="352" t="s">
        <v>188</v>
      </c>
      <c r="C131" s="352" t="s">
        <v>3825</v>
      </c>
      <c r="D131" s="352"/>
      <c r="E131" s="367">
        <v>13500</v>
      </c>
      <c r="F131" s="352">
        <v>675</v>
      </c>
      <c r="G131" s="352">
        <f t="shared" si="12"/>
        <v>14175</v>
      </c>
      <c r="H131" s="377" t="s">
        <v>1091</v>
      </c>
      <c r="I131" s="343" t="s">
        <v>1160</v>
      </c>
      <c r="L131" s="350">
        <v>14145</v>
      </c>
      <c r="M131" s="350">
        <f t="shared" si="14"/>
        <v>14145</v>
      </c>
      <c r="N131" s="351">
        <v>30</v>
      </c>
      <c r="O131" s="351">
        <f t="shared" si="13"/>
        <v>0</v>
      </c>
      <c r="P131" s="378" t="s">
        <v>1072</v>
      </c>
      <c r="Q131" s="288"/>
      <c r="R131" s="288"/>
    </row>
    <row r="132" spans="1:18">
      <c r="A132" s="380" t="s">
        <v>1161</v>
      </c>
      <c r="B132" s="352" t="s">
        <v>1162</v>
      </c>
      <c r="C132" s="352" t="s">
        <v>2206</v>
      </c>
      <c r="D132" s="352"/>
      <c r="E132" s="352">
        <v>108000</v>
      </c>
      <c r="F132" s="352">
        <v>5400</v>
      </c>
      <c r="G132" s="352">
        <f t="shared" si="12"/>
        <v>113400</v>
      </c>
      <c r="H132" s="377" t="s">
        <v>1119</v>
      </c>
      <c r="I132" s="343" t="s">
        <v>1163</v>
      </c>
      <c r="J132" s="350">
        <v>113400</v>
      </c>
      <c r="M132" s="350">
        <f t="shared" si="14"/>
        <v>113400</v>
      </c>
      <c r="O132" s="351">
        <f t="shared" si="13"/>
        <v>0</v>
      </c>
      <c r="P132" s="378" t="s">
        <v>1164</v>
      </c>
      <c r="Q132" s="288"/>
      <c r="R132" s="288"/>
    </row>
    <row r="133" spans="1:18">
      <c r="A133" s="380" t="s">
        <v>1165</v>
      </c>
      <c r="B133" s="352" t="s">
        <v>189</v>
      </c>
      <c r="C133" s="352" t="s">
        <v>1232</v>
      </c>
      <c r="D133" s="352"/>
      <c r="E133" s="384">
        <v>15600</v>
      </c>
      <c r="F133" s="352">
        <v>780</v>
      </c>
      <c r="G133" s="352">
        <f t="shared" si="12"/>
        <v>16380</v>
      </c>
      <c r="H133" s="377" t="s">
        <v>1077</v>
      </c>
      <c r="I133" s="350">
        <v>511</v>
      </c>
      <c r="J133" s="350">
        <v>16380</v>
      </c>
      <c r="M133" s="350">
        <f t="shared" si="14"/>
        <v>16380</v>
      </c>
      <c r="O133" s="351">
        <f t="shared" si="13"/>
        <v>0</v>
      </c>
      <c r="P133" s="378" t="s">
        <v>1080</v>
      </c>
      <c r="Q133" s="288"/>
      <c r="R133" s="288"/>
    </row>
    <row r="134" spans="1:18">
      <c r="A134" s="380" t="s">
        <v>1165</v>
      </c>
      <c r="B134" s="352" t="s">
        <v>190</v>
      </c>
      <c r="C134" s="352" t="s">
        <v>1699</v>
      </c>
      <c r="D134" s="352"/>
      <c r="E134" s="384">
        <v>12857</v>
      </c>
      <c r="F134" s="352">
        <v>643</v>
      </c>
      <c r="G134" s="352">
        <f t="shared" si="12"/>
        <v>13500</v>
      </c>
      <c r="H134" s="377" t="s">
        <v>1131</v>
      </c>
      <c r="I134" s="350">
        <v>528</v>
      </c>
      <c r="J134" s="350">
        <v>13500</v>
      </c>
      <c r="M134" s="350">
        <f t="shared" si="14"/>
        <v>13500</v>
      </c>
      <c r="O134" s="351">
        <f t="shared" si="13"/>
        <v>0</v>
      </c>
      <c r="P134" s="378" t="s">
        <v>1095</v>
      </c>
      <c r="Q134" s="288"/>
      <c r="R134" s="288"/>
    </row>
    <row r="135" spans="1:18">
      <c r="A135" s="380" t="s">
        <v>1165</v>
      </c>
      <c r="B135" s="352" t="s">
        <v>191</v>
      </c>
      <c r="C135" s="352" t="s">
        <v>1532</v>
      </c>
      <c r="D135" s="352"/>
      <c r="E135" s="384">
        <v>12857</v>
      </c>
      <c r="F135" s="352">
        <v>643</v>
      </c>
      <c r="G135" s="352">
        <f t="shared" si="12"/>
        <v>13500</v>
      </c>
      <c r="H135" s="377" t="s">
        <v>1131</v>
      </c>
      <c r="I135" s="343" t="s">
        <v>1166</v>
      </c>
      <c r="L135" s="350">
        <v>13485</v>
      </c>
      <c r="M135" s="350">
        <f t="shared" si="14"/>
        <v>13485</v>
      </c>
      <c r="N135" s="351">
        <v>15</v>
      </c>
      <c r="O135" s="351">
        <f t="shared" si="13"/>
        <v>0</v>
      </c>
      <c r="P135" s="378" t="s">
        <v>1097</v>
      </c>
    </row>
    <row r="136" spans="1:18">
      <c r="A136" s="380" t="s">
        <v>1167</v>
      </c>
      <c r="B136" s="352" t="s">
        <v>192</v>
      </c>
      <c r="C136" s="352" t="s">
        <v>1781</v>
      </c>
      <c r="D136" s="352"/>
      <c r="E136" s="384">
        <v>108000</v>
      </c>
      <c r="F136" s="352">
        <v>5400</v>
      </c>
      <c r="G136" s="352">
        <f t="shared" si="12"/>
        <v>113400</v>
      </c>
      <c r="H136" s="377" t="s">
        <v>1119</v>
      </c>
      <c r="I136" s="343" t="s">
        <v>1168</v>
      </c>
      <c r="J136" s="350">
        <v>113400</v>
      </c>
      <c r="M136" s="350">
        <f t="shared" si="14"/>
        <v>113400</v>
      </c>
      <c r="O136" s="351">
        <f t="shared" si="13"/>
        <v>0</v>
      </c>
      <c r="P136" s="378" t="s">
        <v>1169</v>
      </c>
    </row>
    <row r="137" spans="1:18">
      <c r="A137" s="380" t="s">
        <v>1170</v>
      </c>
      <c r="B137" s="352" t="s">
        <v>193</v>
      </c>
      <c r="C137" s="352" t="s">
        <v>2</v>
      </c>
      <c r="D137" s="352"/>
      <c r="E137" s="384">
        <v>96000</v>
      </c>
      <c r="F137" s="352">
        <v>4800</v>
      </c>
      <c r="G137" s="352">
        <f t="shared" si="12"/>
        <v>100800</v>
      </c>
      <c r="H137" s="377" t="s">
        <v>1119</v>
      </c>
      <c r="I137" s="343" t="s">
        <v>1171</v>
      </c>
      <c r="J137" s="350">
        <v>100800</v>
      </c>
      <c r="M137" s="350">
        <f t="shared" si="14"/>
        <v>100800</v>
      </c>
      <c r="O137" s="351">
        <f t="shared" si="13"/>
        <v>0</v>
      </c>
      <c r="P137" s="378" t="s">
        <v>1172</v>
      </c>
    </row>
    <row r="138" spans="1:18">
      <c r="A138" s="380" t="s">
        <v>1170</v>
      </c>
      <c r="B138" s="352" t="s">
        <v>194</v>
      </c>
      <c r="C138" s="352" t="s">
        <v>2</v>
      </c>
      <c r="D138" s="352"/>
      <c r="E138" s="384">
        <v>144000</v>
      </c>
      <c r="F138" s="352">
        <v>7200</v>
      </c>
      <c r="G138" s="352">
        <f t="shared" si="12"/>
        <v>151200</v>
      </c>
      <c r="H138" s="377" t="s">
        <v>1119</v>
      </c>
      <c r="I138" s="343" t="s">
        <v>1173</v>
      </c>
      <c r="J138" s="350">
        <v>151200</v>
      </c>
      <c r="M138" s="350">
        <f t="shared" si="14"/>
        <v>151200</v>
      </c>
      <c r="O138" s="351">
        <f t="shared" si="13"/>
        <v>0</v>
      </c>
      <c r="P138" s="378" t="s">
        <v>1172</v>
      </c>
    </row>
    <row r="139" spans="1:18">
      <c r="A139" s="380" t="s">
        <v>1174</v>
      </c>
      <c r="B139" s="352" t="s">
        <v>195</v>
      </c>
      <c r="C139" s="352" t="s">
        <v>1264</v>
      </c>
      <c r="D139" s="352"/>
      <c r="E139" s="384">
        <v>86400</v>
      </c>
      <c r="F139" s="352">
        <v>4320</v>
      </c>
      <c r="G139" s="352">
        <f t="shared" si="12"/>
        <v>90720</v>
      </c>
      <c r="H139" s="385" t="s">
        <v>3742</v>
      </c>
      <c r="I139" s="343" t="s">
        <v>3743</v>
      </c>
      <c r="J139" s="350">
        <v>90720</v>
      </c>
      <c r="M139" s="350">
        <f t="shared" si="14"/>
        <v>90720</v>
      </c>
      <c r="O139" s="351">
        <f t="shared" si="13"/>
        <v>0</v>
      </c>
      <c r="P139" s="378" t="s">
        <v>1175</v>
      </c>
    </row>
    <row r="140" spans="1:18">
      <c r="A140" s="380"/>
      <c r="B140" s="352" t="s">
        <v>196</v>
      </c>
      <c r="D140" s="371" t="s">
        <v>1235</v>
      </c>
      <c r="E140" s="384"/>
      <c r="F140" s="352"/>
      <c r="G140" s="352">
        <f t="shared" si="12"/>
        <v>0</v>
      </c>
      <c r="H140" s="379"/>
      <c r="M140" s="350">
        <f t="shared" si="14"/>
        <v>0</v>
      </c>
      <c r="O140" s="351">
        <f t="shared" si="13"/>
        <v>0</v>
      </c>
      <c r="P140" s="378"/>
    </row>
    <row r="141" spans="1:18">
      <c r="A141" s="380" t="s">
        <v>1176</v>
      </c>
      <c r="B141" s="352" t="s">
        <v>197</v>
      </c>
      <c r="C141" s="352" t="s">
        <v>1301</v>
      </c>
      <c r="D141" s="352"/>
      <c r="E141" s="384">
        <v>108000</v>
      </c>
      <c r="F141" s="352">
        <v>5400</v>
      </c>
      <c r="G141" s="352">
        <f t="shared" si="12"/>
        <v>113400</v>
      </c>
      <c r="H141" s="377" t="s">
        <v>1119</v>
      </c>
      <c r="I141" s="343" t="s">
        <v>1177</v>
      </c>
      <c r="J141" s="350">
        <v>113400</v>
      </c>
      <c r="M141" s="350">
        <f t="shared" si="14"/>
        <v>113400</v>
      </c>
      <c r="O141" s="351">
        <f t="shared" si="13"/>
        <v>0</v>
      </c>
      <c r="P141" s="378" t="s">
        <v>1178</v>
      </c>
      <c r="Q141" s="289"/>
      <c r="R141" s="290"/>
    </row>
    <row r="142" spans="1:18">
      <c r="A142" s="380" t="s">
        <v>1179</v>
      </c>
      <c r="B142" s="352" t="s">
        <v>198</v>
      </c>
      <c r="C142" s="352" t="s">
        <v>1304</v>
      </c>
      <c r="D142" s="352"/>
      <c r="E142" s="384">
        <v>72000</v>
      </c>
      <c r="F142" s="352">
        <v>3600</v>
      </c>
      <c r="G142" s="352">
        <f t="shared" si="12"/>
        <v>75600</v>
      </c>
      <c r="H142" s="377" t="s">
        <v>1119</v>
      </c>
      <c r="I142" s="343" t="s">
        <v>1180</v>
      </c>
      <c r="J142" s="350">
        <v>75600</v>
      </c>
      <c r="M142" s="350">
        <f t="shared" si="14"/>
        <v>75600</v>
      </c>
      <c r="O142" s="351">
        <f t="shared" si="13"/>
        <v>0</v>
      </c>
      <c r="P142" s="378">
        <v>12651800</v>
      </c>
      <c r="Q142" s="289"/>
      <c r="R142" s="288"/>
    </row>
    <row r="143" spans="1:18">
      <c r="A143" s="183">
        <v>20120703</v>
      </c>
      <c r="B143" s="183" t="s">
        <v>1824</v>
      </c>
      <c r="C143" s="352" t="s">
        <v>2421</v>
      </c>
      <c r="D143" s="178"/>
      <c r="E143" s="367">
        <v>13500</v>
      </c>
      <c r="F143" s="352">
        <v>675</v>
      </c>
      <c r="G143" s="352">
        <f t="shared" si="12"/>
        <v>14175</v>
      </c>
      <c r="H143" s="377" t="s">
        <v>1131</v>
      </c>
      <c r="I143" s="343" t="s">
        <v>1825</v>
      </c>
      <c r="L143" s="350">
        <v>14165</v>
      </c>
      <c r="M143" s="350">
        <f t="shared" si="14"/>
        <v>14165</v>
      </c>
      <c r="N143" s="351">
        <v>10</v>
      </c>
      <c r="O143" s="351">
        <f t="shared" si="13"/>
        <v>0</v>
      </c>
      <c r="P143" s="378" t="s">
        <v>1084</v>
      </c>
      <c r="Q143" s="289"/>
      <c r="R143" s="290"/>
    </row>
    <row r="144" spans="1:18">
      <c r="A144" s="183">
        <v>20120703</v>
      </c>
      <c r="B144" s="183" t="s">
        <v>199</v>
      </c>
      <c r="C144" s="352" t="s">
        <v>2060</v>
      </c>
      <c r="D144" s="178"/>
      <c r="E144" s="367">
        <v>13500</v>
      </c>
      <c r="F144" s="352">
        <v>675</v>
      </c>
      <c r="G144" s="352">
        <f t="shared" si="12"/>
        <v>14175</v>
      </c>
      <c r="H144" s="377" t="s">
        <v>1077</v>
      </c>
      <c r="I144" s="343" t="s">
        <v>1826</v>
      </c>
      <c r="L144" s="350">
        <v>14175</v>
      </c>
      <c r="M144" s="350">
        <f t="shared" si="14"/>
        <v>14175</v>
      </c>
      <c r="O144" s="351">
        <f t="shared" si="13"/>
        <v>0</v>
      </c>
      <c r="P144" s="378" t="s">
        <v>1099</v>
      </c>
      <c r="Q144" s="289"/>
      <c r="R144" s="288"/>
    </row>
    <row r="145" spans="1:18">
      <c r="A145" s="183">
        <v>20120712</v>
      </c>
      <c r="B145" s="183" t="s">
        <v>200</v>
      </c>
      <c r="C145" s="352" t="s">
        <v>3825</v>
      </c>
      <c r="D145" s="178"/>
      <c r="E145" s="352">
        <v>13500</v>
      </c>
      <c r="F145" s="352">
        <v>675</v>
      </c>
      <c r="G145" s="352">
        <f t="shared" si="12"/>
        <v>14175</v>
      </c>
      <c r="H145" s="377" t="s">
        <v>1131</v>
      </c>
      <c r="I145" s="343" t="s">
        <v>1827</v>
      </c>
      <c r="L145" s="350">
        <v>14145</v>
      </c>
      <c r="M145" s="350">
        <f t="shared" si="14"/>
        <v>14145</v>
      </c>
      <c r="N145" s="351">
        <v>30</v>
      </c>
      <c r="O145" s="351">
        <f t="shared" si="13"/>
        <v>0</v>
      </c>
      <c r="P145" s="378" t="s">
        <v>1072</v>
      </c>
      <c r="Q145" s="289"/>
      <c r="R145" s="288"/>
    </row>
    <row r="146" spans="1:18">
      <c r="A146" s="183">
        <v>20120806</v>
      </c>
      <c r="B146" s="183" t="s">
        <v>201</v>
      </c>
      <c r="C146" s="183" t="s">
        <v>2686</v>
      </c>
      <c r="D146" s="352"/>
      <c r="E146" s="183">
        <v>86400</v>
      </c>
      <c r="F146" s="183">
        <v>4320</v>
      </c>
      <c r="G146" s="352">
        <f t="shared" si="12"/>
        <v>90720</v>
      </c>
      <c r="H146" s="377" t="s">
        <v>1119</v>
      </c>
      <c r="I146" s="343" t="s">
        <v>1828</v>
      </c>
      <c r="J146" s="350">
        <v>90720</v>
      </c>
      <c r="M146" s="350">
        <f t="shared" si="14"/>
        <v>90720</v>
      </c>
      <c r="O146" s="351">
        <f t="shared" si="13"/>
        <v>0</v>
      </c>
      <c r="P146" s="378" t="s">
        <v>1829</v>
      </c>
      <c r="Q146" s="289"/>
      <c r="R146" s="288"/>
    </row>
    <row r="147" spans="1:18">
      <c r="A147" s="183">
        <v>20120808</v>
      </c>
      <c r="B147" s="183" t="s">
        <v>202</v>
      </c>
      <c r="C147" s="183" t="s">
        <v>1699</v>
      </c>
      <c r="D147" s="352"/>
      <c r="E147" s="183">
        <v>12857</v>
      </c>
      <c r="F147" s="183">
        <v>643</v>
      </c>
      <c r="G147" s="352">
        <f t="shared" si="12"/>
        <v>13500</v>
      </c>
      <c r="H147" s="377" t="s">
        <v>1132</v>
      </c>
      <c r="I147" s="343" t="s">
        <v>1830</v>
      </c>
      <c r="J147" s="350">
        <v>13500</v>
      </c>
      <c r="M147" s="350">
        <f t="shared" si="14"/>
        <v>13500</v>
      </c>
      <c r="O147" s="351">
        <f t="shared" si="13"/>
        <v>0</v>
      </c>
      <c r="P147" s="378" t="s">
        <v>1095</v>
      </c>
      <c r="Q147" s="289"/>
      <c r="R147" s="288"/>
    </row>
    <row r="148" spans="1:18">
      <c r="A148" s="183">
        <v>20120808</v>
      </c>
      <c r="B148" s="183" t="s">
        <v>203</v>
      </c>
      <c r="C148" s="183" t="s">
        <v>1532</v>
      </c>
      <c r="D148" s="352"/>
      <c r="E148" s="183">
        <v>12857</v>
      </c>
      <c r="F148" s="183">
        <v>643</v>
      </c>
      <c r="G148" s="352">
        <f t="shared" si="12"/>
        <v>13500</v>
      </c>
      <c r="H148" s="377" t="s">
        <v>1132</v>
      </c>
      <c r="I148" s="343" t="s">
        <v>1831</v>
      </c>
      <c r="L148" s="350">
        <v>13485</v>
      </c>
      <c r="M148" s="350">
        <f t="shared" si="14"/>
        <v>13485</v>
      </c>
      <c r="N148" s="351">
        <v>15</v>
      </c>
      <c r="O148" s="351">
        <f t="shared" si="13"/>
        <v>0</v>
      </c>
      <c r="P148" s="378" t="s">
        <v>1097</v>
      </c>
      <c r="Q148" s="289"/>
      <c r="R148" s="288"/>
    </row>
    <row r="149" spans="1:18">
      <c r="A149" s="183">
        <v>20120808</v>
      </c>
      <c r="B149" s="183" t="s">
        <v>204</v>
      </c>
      <c r="C149" s="183" t="s">
        <v>1232</v>
      </c>
      <c r="D149" s="352"/>
      <c r="E149" s="183">
        <v>15600</v>
      </c>
      <c r="F149" s="183">
        <v>780</v>
      </c>
      <c r="G149" s="352">
        <f t="shared" si="12"/>
        <v>16380</v>
      </c>
      <c r="H149" s="377" t="s">
        <v>1091</v>
      </c>
      <c r="I149" s="350">
        <v>562</v>
      </c>
      <c r="J149" s="350">
        <v>16380</v>
      </c>
      <c r="M149" s="350">
        <f t="shared" si="14"/>
        <v>16380</v>
      </c>
      <c r="O149" s="351">
        <f t="shared" si="13"/>
        <v>0</v>
      </c>
      <c r="P149" s="378" t="s">
        <v>1080</v>
      </c>
      <c r="Q149" s="289"/>
      <c r="R149" s="288"/>
    </row>
    <row r="150" spans="1:18">
      <c r="A150" s="183">
        <v>20120822</v>
      </c>
      <c r="B150" s="183" t="s">
        <v>205</v>
      </c>
      <c r="C150" s="183" t="s">
        <v>1775</v>
      </c>
      <c r="D150" s="352"/>
      <c r="E150" s="183">
        <v>82286</v>
      </c>
      <c r="F150" s="183">
        <v>4114</v>
      </c>
      <c r="G150" s="352">
        <f t="shared" si="12"/>
        <v>86400</v>
      </c>
      <c r="H150" s="377" t="s">
        <v>1119</v>
      </c>
      <c r="I150" s="343" t="s">
        <v>1832</v>
      </c>
      <c r="J150" s="350">
        <v>86400</v>
      </c>
      <c r="M150" s="350">
        <f t="shared" si="14"/>
        <v>86400</v>
      </c>
      <c r="O150" s="351">
        <f t="shared" si="13"/>
        <v>0</v>
      </c>
      <c r="P150" s="378" t="s">
        <v>1833</v>
      </c>
      <c r="Q150" s="289"/>
      <c r="R150" s="288"/>
    </row>
    <row r="151" spans="1:18">
      <c r="A151" s="183"/>
      <c r="B151" s="183" t="s">
        <v>1834</v>
      </c>
      <c r="D151" s="254" t="s">
        <v>1235</v>
      </c>
      <c r="E151" s="183"/>
      <c r="F151" s="183"/>
      <c r="G151" s="352">
        <f t="shared" si="12"/>
        <v>0</v>
      </c>
      <c r="H151" s="379"/>
      <c r="M151" s="350">
        <f t="shared" si="14"/>
        <v>0</v>
      </c>
      <c r="O151" s="351">
        <f t="shared" si="13"/>
        <v>0</v>
      </c>
      <c r="P151" s="378"/>
      <c r="Q151" s="289"/>
      <c r="R151" s="288"/>
    </row>
    <row r="152" spans="1:18">
      <c r="A152" s="183">
        <v>20120828</v>
      </c>
      <c r="B152" s="183" t="s">
        <v>1835</v>
      </c>
      <c r="C152" s="183" t="s">
        <v>1246</v>
      </c>
      <c r="D152" s="352"/>
      <c r="E152" s="183">
        <v>76800</v>
      </c>
      <c r="F152" s="183">
        <v>3840</v>
      </c>
      <c r="G152" s="352">
        <f t="shared" si="12"/>
        <v>80640</v>
      </c>
      <c r="H152" s="377" t="s">
        <v>1119</v>
      </c>
      <c r="I152" s="343" t="s">
        <v>1836</v>
      </c>
      <c r="J152" s="350">
        <v>80640</v>
      </c>
      <c r="M152" s="350">
        <f t="shared" si="14"/>
        <v>80640</v>
      </c>
      <c r="O152" s="351">
        <f t="shared" si="13"/>
        <v>0</v>
      </c>
      <c r="P152" s="378" t="s">
        <v>1837</v>
      </c>
    </row>
    <row r="153" spans="1:18">
      <c r="A153" s="183">
        <v>20120912</v>
      </c>
      <c r="B153" s="183" t="s">
        <v>1838</v>
      </c>
      <c r="C153" s="183" t="s">
        <v>2421</v>
      </c>
      <c r="D153" s="352"/>
      <c r="E153" s="183">
        <v>13500</v>
      </c>
      <c r="F153" s="183">
        <v>675</v>
      </c>
      <c r="G153" s="352">
        <f t="shared" si="12"/>
        <v>14175</v>
      </c>
      <c r="H153" s="377" t="s">
        <v>1132</v>
      </c>
      <c r="I153" s="343" t="s">
        <v>1839</v>
      </c>
      <c r="L153" s="350">
        <v>14165</v>
      </c>
      <c r="M153" s="350">
        <f t="shared" si="14"/>
        <v>14165</v>
      </c>
      <c r="N153" s="351">
        <v>10</v>
      </c>
      <c r="O153" s="351">
        <f t="shared" si="13"/>
        <v>0</v>
      </c>
      <c r="P153" s="378" t="s">
        <v>1084</v>
      </c>
    </row>
    <row r="154" spans="1:18">
      <c r="A154" s="183">
        <v>20120912</v>
      </c>
      <c r="B154" s="183" t="s">
        <v>206</v>
      </c>
      <c r="C154" s="183" t="s">
        <v>2060</v>
      </c>
      <c r="D154" s="352"/>
      <c r="E154" s="250">
        <v>13500</v>
      </c>
      <c r="F154" s="183">
        <v>675</v>
      </c>
      <c r="G154" s="352">
        <f t="shared" si="12"/>
        <v>14175</v>
      </c>
      <c r="H154" s="377" t="s">
        <v>1091</v>
      </c>
      <c r="I154" s="343" t="s">
        <v>1840</v>
      </c>
      <c r="L154" s="350">
        <v>14165</v>
      </c>
      <c r="M154" s="350">
        <f t="shared" si="14"/>
        <v>14165</v>
      </c>
      <c r="N154" s="351">
        <v>10</v>
      </c>
      <c r="O154" s="351">
        <f t="shared" si="13"/>
        <v>0</v>
      </c>
      <c r="P154" s="378" t="s">
        <v>1099</v>
      </c>
      <c r="Q154" s="290"/>
      <c r="R154" s="290"/>
    </row>
    <row r="155" spans="1:18">
      <c r="A155" s="183"/>
      <c r="B155" s="183" t="s">
        <v>207</v>
      </c>
      <c r="D155" s="254" t="s">
        <v>1841</v>
      </c>
      <c r="E155" s="250"/>
      <c r="F155" s="183"/>
      <c r="G155" s="352">
        <f t="shared" si="12"/>
        <v>0</v>
      </c>
      <c r="H155" s="379"/>
      <c r="M155" s="350">
        <f t="shared" si="14"/>
        <v>0</v>
      </c>
      <c r="O155" s="351">
        <f t="shared" si="13"/>
        <v>0</v>
      </c>
      <c r="P155" s="378"/>
      <c r="Q155" s="290"/>
      <c r="R155" s="290"/>
    </row>
    <row r="156" spans="1:18">
      <c r="A156" s="183"/>
      <c r="B156" s="183" t="s">
        <v>208</v>
      </c>
      <c r="D156" s="254" t="s">
        <v>1841</v>
      </c>
      <c r="E156" s="250"/>
      <c r="F156" s="183"/>
      <c r="G156" s="352">
        <f t="shared" si="12"/>
        <v>0</v>
      </c>
      <c r="H156" s="379"/>
      <c r="M156" s="350">
        <f t="shared" si="14"/>
        <v>0</v>
      </c>
      <c r="O156" s="351">
        <f t="shared" si="13"/>
        <v>0</v>
      </c>
      <c r="P156" s="378"/>
      <c r="Q156" s="290"/>
      <c r="R156" s="290"/>
    </row>
    <row r="157" spans="1:18">
      <c r="A157" s="183">
        <v>20121005</v>
      </c>
      <c r="B157" s="183" t="s">
        <v>209</v>
      </c>
      <c r="C157" s="183" t="s">
        <v>3825</v>
      </c>
      <c r="D157" s="352"/>
      <c r="E157" s="250">
        <v>13500</v>
      </c>
      <c r="F157" s="183">
        <v>675</v>
      </c>
      <c r="G157" s="352">
        <f t="shared" si="12"/>
        <v>14175</v>
      </c>
      <c r="H157" s="377" t="s">
        <v>1132</v>
      </c>
      <c r="I157" s="343" t="s">
        <v>1464</v>
      </c>
      <c r="L157" s="350">
        <v>14145</v>
      </c>
      <c r="M157" s="350">
        <f t="shared" si="14"/>
        <v>14145</v>
      </c>
      <c r="N157" s="351">
        <v>30</v>
      </c>
      <c r="O157" s="351">
        <f t="shared" si="13"/>
        <v>0</v>
      </c>
      <c r="P157" s="378" t="s">
        <v>1072</v>
      </c>
      <c r="Q157" s="290"/>
      <c r="R157" s="290"/>
    </row>
    <row r="158" spans="1:18">
      <c r="A158" s="183"/>
      <c r="B158" s="183" t="s">
        <v>210</v>
      </c>
      <c r="D158" s="254" t="s">
        <v>1841</v>
      </c>
      <c r="E158" s="250"/>
      <c r="F158" s="183"/>
      <c r="G158" s="352">
        <f t="shared" si="12"/>
        <v>0</v>
      </c>
      <c r="H158" s="379"/>
      <c r="M158" s="350">
        <f t="shared" si="14"/>
        <v>0</v>
      </c>
      <c r="O158" s="351">
        <f t="shared" si="13"/>
        <v>0</v>
      </c>
      <c r="P158" s="378"/>
      <c r="Q158" s="290"/>
      <c r="R158" s="290"/>
    </row>
    <row r="159" spans="1:18">
      <c r="A159" s="183"/>
      <c r="B159" s="183" t="s">
        <v>211</v>
      </c>
      <c r="D159" s="254" t="s">
        <v>1841</v>
      </c>
      <c r="E159" s="250"/>
      <c r="F159" s="183"/>
      <c r="G159" s="352">
        <f t="shared" si="12"/>
        <v>0</v>
      </c>
      <c r="H159" s="379"/>
      <c r="M159" s="350">
        <f t="shared" si="14"/>
        <v>0</v>
      </c>
      <c r="O159" s="351">
        <f t="shared" si="13"/>
        <v>0</v>
      </c>
      <c r="P159" s="378"/>
    </row>
    <row r="160" spans="1:18">
      <c r="A160" s="183"/>
      <c r="B160" s="183" t="s">
        <v>212</v>
      </c>
      <c r="D160" s="254" t="s">
        <v>1841</v>
      </c>
      <c r="E160" s="183"/>
      <c r="F160" s="183"/>
      <c r="G160" s="352">
        <f t="shared" si="12"/>
        <v>0</v>
      </c>
      <c r="H160" s="379"/>
      <c r="M160" s="350">
        <f t="shared" si="14"/>
        <v>0</v>
      </c>
      <c r="O160" s="351">
        <f t="shared" si="13"/>
        <v>0</v>
      </c>
      <c r="P160" s="378"/>
    </row>
    <row r="161" spans="1:16" s="372" customFormat="1">
      <c r="A161" s="297">
        <v>20121106</v>
      </c>
      <c r="B161" s="297" t="s">
        <v>1842</v>
      </c>
      <c r="C161" s="297" t="s">
        <v>1843</v>
      </c>
      <c r="D161" s="370">
        <f>E161/8</f>
        <v>13500</v>
      </c>
      <c r="E161" s="297">
        <v>108000</v>
      </c>
      <c r="F161" s="297">
        <v>5400</v>
      </c>
      <c r="G161" s="370">
        <f t="shared" si="12"/>
        <v>113400</v>
      </c>
      <c r="H161" s="386" t="s">
        <v>1119</v>
      </c>
      <c r="I161" s="387" t="s">
        <v>1844</v>
      </c>
      <c r="J161" s="374">
        <v>113400</v>
      </c>
      <c r="K161" s="374"/>
      <c r="L161" s="374"/>
      <c r="M161" s="374">
        <f t="shared" si="14"/>
        <v>113400</v>
      </c>
      <c r="N161" s="374"/>
      <c r="O161" s="374">
        <f t="shared" si="13"/>
        <v>0</v>
      </c>
      <c r="P161" s="388" t="s">
        <v>1845</v>
      </c>
    </row>
    <row r="162" spans="1:16">
      <c r="A162" s="183">
        <v>20121106</v>
      </c>
      <c r="B162" s="183" t="s">
        <v>213</v>
      </c>
      <c r="C162" s="183" t="s">
        <v>1270</v>
      </c>
      <c r="D162" s="352">
        <f>D161*3</f>
        <v>40500</v>
      </c>
      <c r="E162" s="183">
        <v>19500</v>
      </c>
      <c r="F162" s="183">
        <v>975</v>
      </c>
      <c r="G162" s="352">
        <f t="shared" si="12"/>
        <v>20475</v>
      </c>
      <c r="H162" s="377" t="s">
        <v>904</v>
      </c>
      <c r="I162" s="343">
        <v>579</v>
      </c>
      <c r="J162" s="350">
        <v>20475</v>
      </c>
      <c r="M162" s="350">
        <f t="shared" si="14"/>
        <v>20475</v>
      </c>
      <c r="O162" s="351">
        <f t="shared" si="13"/>
        <v>0</v>
      </c>
      <c r="P162" s="381" t="s">
        <v>1130</v>
      </c>
    </row>
    <row r="163" spans="1:16">
      <c r="A163" s="183">
        <v>20121106</v>
      </c>
      <c r="B163" s="183" t="s">
        <v>214</v>
      </c>
      <c r="C163" s="183" t="s">
        <v>1270</v>
      </c>
      <c r="D163" s="352"/>
      <c r="E163" s="183">
        <v>19500</v>
      </c>
      <c r="F163" s="183">
        <v>975</v>
      </c>
      <c r="G163" s="352">
        <f t="shared" si="12"/>
        <v>20475</v>
      </c>
      <c r="H163" s="377" t="s">
        <v>905</v>
      </c>
      <c r="I163" s="350">
        <v>580</v>
      </c>
      <c r="J163" s="350">
        <v>20475</v>
      </c>
      <c r="M163" s="350">
        <f t="shared" si="14"/>
        <v>20475</v>
      </c>
      <c r="O163" s="351">
        <f t="shared" si="13"/>
        <v>0</v>
      </c>
      <c r="P163" s="381" t="s">
        <v>1130</v>
      </c>
    </row>
    <row r="164" spans="1:16">
      <c r="A164" s="183">
        <v>20121106</v>
      </c>
      <c r="B164" s="183" t="s">
        <v>215</v>
      </c>
      <c r="C164" s="183" t="s">
        <v>1270</v>
      </c>
      <c r="D164" s="352"/>
      <c r="E164" s="183">
        <v>19500</v>
      </c>
      <c r="F164" s="183">
        <v>975</v>
      </c>
      <c r="G164" s="352">
        <f t="shared" si="12"/>
        <v>20475</v>
      </c>
      <c r="H164" s="377" t="s">
        <v>2780</v>
      </c>
      <c r="I164" s="350">
        <v>581</v>
      </c>
      <c r="J164" s="350">
        <v>20475</v>
      </c>
      <c r="M164" s="350">
        <f t="shared" si="14"/>
        <v>20475</v>
      </c>
      <c r="O164" s="351">
        <f t="shared" si="13"/>
        <v>0</v>
      </c>
      <c r="P164" s="381" t="s">
        <v>1130</v>
      </c>
    </row>
    <row r="165" spans="1:16">
      <c r="A165" s="183">
        <v>20121106</v>
      </c>
      <c r="B165" s="183" t="s">
        <v>2519</v>
      </c>
      <c r="C165" s="183" t="s">
        <v>1270</v>
      </c>
      <c r="D165" s="352"/>
      <c r="E165" s="183">
        <v>19500</v>
      </c>
      <c r="F165" s="183">
        <v>975</v>
      </c>
      <c r="G165" s="352">
        <f t="shared" si="12"/>
        <v>20475</v>
      </c>
      <c r="H165" s="377" t="s">
        <v>1112</v>
      </c>
      <c r="I165" s="350">
        <v>582</v>
      </c>
      <c r="J165" s="350">
        <v>20475</v>
      </c>
      <c r="M165" s="350">
        <f t="shared" si="14"/>
        <v>20475</v>
      </c>
      <c r="O165" s="351">
        <f t="shared" si="13"/>
        <v>0</v>
      </c>
      <c r="P165" s="381" t="s">
        <v>1130</v>
      </c>
    </row>
    <row r="166" spans="1:16">
      <c r="A166" s="183">
        <v>20121106</v>
      </c>
      <c r="B166" s="183" t="s">
        <v>2520</v>
      </c>
      <c r="C166" s="183" t="s">
        <v>1232</v>
      </c>
      <c r="D166" s="352"/>
      <c r="E166" s="183">
        <v>15600</v>
      </c>
      <c r="F166" s="183">
        <v>780</v>
      </c>
      <c r="G166" s="352">
        <f t="shared" si="12"/>
        <v>16380</v>
      </c>
      <c r="H166" s="377" t="s">
        <v>1131</v>
      </c>
      <c r="I166" s="350">
        <v>631</v>
      </c>
      <c r="J166" s="350">
        <v>16380</v>
      </c>
      <c r="M166" s="350">
        <f t="shared" si="14"/>
        <v>16380</v>
      </c>
      <c r="O166" s="351">
        <f t="shared" si="13"/>
        <v>0</v>
      </c>
      <c r="P166" s="381" t="s">
        <v>1080</v>
      </c>
    </row>
    <row r="167" spans="1:16">
      <c r="A167" s="183">
        <v>20121108</v>
      </c>
      <c r="B167" s="183" t="s">
        <v>2521</v>
      </c>
      <c r="C167" s="183" t="s">
        <v>2692</v>
      </c>
      <c r="D167" s="352"/>
      <c r="E167" s="183">
        <v>68400</v>
      </c>
      <c r="F167" s="183">
        <v>3420</v>
      </c>
      <c r="G167" s="352">
        <f t="shared" si="12"/>
        <v>71820</v>
      </c>
      <c r="H167" s="377" t="s">
        <v>1119</v>
      </c>
      <c r="I167" s="343" t="s">
        <v>1846</v>
      </c>
      <c r="J167" s="350">
        <v>71816</v>
      </c>
      <c r="M167" s="350">
        <f t="shared" si="14"/>
        <v>71816</v>
      </c>
      <c r="N167" s="389">
        <v>4</v>
      </c>
      <c r="O167" s="351">
        <f t="shared" si="13"/>
        <v>0</v>
      </c>
      <c r="P167" s="381" t="s">
        <v>1149</v>
      </c>
    </row>
    <row r="168" spans="1:16">
      <c r="A168" s="183">
        <v>20121114</v>
      </c>
      <c r="B168" s="183" t="s">
        <v>2522</v>
      </c>
      <c r="C168" s="183" t="s">
        <v>2691</v>
      </c>
      <c r="D168" s="352"/>
      <c r="E168" s="183">
        <v>108000</v>
      </c>
      <c r="F168" s="183">
        <v>5400</v>
      </c>
      <c r="G168" s="352">
        <f t="shared" si="12"/>
        <v>113400</v>
      </c>
      <c r="H168" s="377" t="s">
        <v>1276</v>
      </c>
      <c r="I168" s="343" t="s">
        <v>1847</v>
      </c>
      <c r="J168" s="350">
        <v>113400</v>
      </c>
      <c r="M168" s="350">
        <f t="shared" si="14"/>
        <v>113400</v>
      </c>
      <c r="O168" s="351">
        <f t="shared" si="13"/>
        <v>0</v>
      </c>
      <c r="P168" s="381" t="s">
        <v>1848</v>
      </c>
    </row>
    <row r="169" spans="1:16">
      <c r="A169" s="183">
        <v>20121115</v>
      </c>
      <c r="B169" s="183" t="s">
        <v>2523</v>
      </c>
      <c r="C169" s="183" t="s">
        <v>2687</v>
      </c>
      <c r="D169" s="352"/>
      <c r="E169" s="183">
        <v>108000</v>
      </c>
      <c r="F169" s="183">
        <v>5400</v>
      </c>
      <c r="G169" s="352">
        <f t="shared" si="12"/>
        <v>113400</v>
      </c>
      <c r="H169" s="377" t="s">
        <v>1276</v>
      </c>
      <c r="I169" s="343" t="s">
        <v>1849</v>
      </c>
      <c r="J169" s="350">
        <v>113400</v>
      </c>
      <c r="M169" s="350">
        <f t="shared" si="14"/>
        <v>113400</v>
      </c>
      <c r="O169" s="351">
        <f t="shared" si="13"/>
        <v>0</v>
      </c>
      <c r="P169" s="381" t="s">
        <v>1850</v>
      </c>
    </row>
    <row r="170" spans="1:16">
      <c r="A170" s="183">
        <v>20121115</v>
      </c>
      <c r="B170" s="183" t="s">
        <v>2524</v>
      </c>
      <c r="C170" s="183" t="s">
        <v>1764</v>
      </c>
      <c r="D170" s="352"/>
      <c r="E170" s="183">
        <v>108000</v>
      </c>
      <c r="F170" s="183">
        <v>5400</v>
      </c>
      <c r="G170" s="352">
        <f t="shared" si="12"/>
        <v>113400</v>
      </c>
      <c r="H170" s="377" t="s">
        <v>1276</v>
      </c>
      <c r="I170" s="343" t="s">
        <v>1851</v>
      </c>
      <c r="J170" s="350">
        <v>113400</v>
      </c>
      <c r="M170" s="350">
        <f t="shared" si="14"/>
        <v>113400</v>
      </c>
      <c r="O170" s="351">
        <f t="shared" si="13"/>
        <v>0</v>
      </c>
      <c r="P170" s="381" t="s">
        <v>1852</v>
      </c>
    </row>
    <row r="171" spans="1:16">
      <c r="A171" s="183">
        <v>20121121</v>
      </c>
      <c r="B171" s="183" t="s">
        <v>2525</v>
      </c>
      <c r="C171" s="183" t="s">
        <v>1013</v>
      </c>
      <c r="D171" s="352"/>
      <c r="E171" s="183">
        <v>19500</v>
      </c>
      <c r="F171" s="183">
        <v>975</v>
      </c>
      <c r="G171" s="352">
        <f t="shared" si="12"/>
        <v>20475</v>
      </c>
      <c r="H171" s="377" t="s">
        <v>904</v>
      </c>
      <c r="I171" s="350">
        <v>615</v>
      </c>
      <c r="J171" s="350">
        <v>20475</v>
      </c>
      <c r="M171" s="350">
        <f t="shared" si="14"/>
        <v>20475</v>
      </c>
      <c r="O171" s="351">
        <f t="shared" si="13"/>
        <v>0</v>
      </c>
      <c r="P171" s="381" t="s">
        <v>1853</v>
      </c>
    </row>
    <row r="172" spans="1:16">
      <c r="A172" s="183">
        <v>20121121</v>
      </c>
      <c r="B172" s="183" t="s">
        <v>2526</v>
      </c>
      <c r="C172" s="183" t="s">
        <v>1016</v>
      </c>
      <c r="D172" s="352"/>
      <c r="E172" s="183">
        <v>19500</v>
      </c>
      <c r="F172" s="183">
        <v>975</v>
      </c>
      <c r="G172" s="352">
        <f t="shared" si="12"/>
        <v>20475</v>
      </c>
      <c r="H172" s="377" t="s">
        <v>904</v>
      </c>
      <c r="I172" s="350">
        <v>623</v>
      </c>
      <c r="J172" s="350">
        <v>20475</v>
      </c>
      <c r="M172" s="350">
        <f t="shared" si="14"/>
        <v>20475</v>
      </c>
      <c r="O172" s="351">
        <f t="shared" si="13"/>
        <v>0</v>
      </c>
      <c r="P172" s="381" t="s">
        <v>1854</v>
      </c>
    </row>
    <row r="173" spans="1:16">
      <c r="A173" s="183">
        <v>20121122</v>
      </c>
      <c r="B173" s="183" t="s">
        <v>2527</v>
      </c>
      <c r="C173" s="352" t="s">
        <v>2688</v>
      </c>
      <c r="D173" s="352"/>
      <c r="E173" s="352">
        <v>86400</v>
      </c>
      <c r="F173" s="352">
        <v>4320</v>
      </c>
      <c r="G173" s="352">
        <f t="shared" si="12"/>
        <v>90720</v>
      </c>
      <c r="H173" s="377" t="s">
        <v>1276</v>
      </c>
      <c r="I173" s="343" t="s">
        <v>1855</v>
      </c>
      <c r="J173" s="350">
        <v>90720</v>
      </c>
      <c r="M173" s="350">
        <f t="shared" si="14"/>
        <v>90720</v>
      </c>
      <c r="O173" s="351">
        <f t="shared" si="13"/>
        <v>0</v>
      </c>
      <c r="P173" s="381" t="s">
        <v>1856</v>
      </c>
    </row>
    <row r="174" spans="1:16">
      <c r="A174" s="183">
        <v>20121210</v>
      </c>
      <c r="B174" s="183" t="s">
        <v>2528</v>
      </c>
      <c r="C174" s="352" t="s">
        <v>2060</v>
      </c>
      <c r="D174" s="352"/>
      <c r="E174" s="352">
        <v>13500</v>
      </c>
      <c r="F174" s="352">
        <v>675</v>
      </c>
      <c r="G174" s="352">
        <f t="shared" si="12"/>
        <v>14175</v>
      </c>
      <c r="H174" s="377" t="s">
        <v>1131</v>
      </c>
      <c r="I174" s="343" t="s">
        <v>1033</v>
      </c>
      <c r="L174" s="390">
        <v>14175</v>
      </c>
      <c r="M174" s="350">
        <f t="shared" si="14"/>
        <v>14175</v>
      </c>
      <c r="O174" s="351">
        <f t="shared" si="13"/>
        <v>0</v>
      </c>
      <c r="P174" s="381" t="s">
        <v>1099</v>
      </c>
    </row>
    <row r="176" spans="1:16">
      <c r="F176" s="345">
        <f>286650/20475</f>
        <v>14</v>
      </c>
    </row>
    <row r="178" spans="1:18">
      <c r="N178" s="382"/>
    </row>
    <row r="179" spans="1:18" s="347" customFormat="1">
      <c r="A179" s="346" t="s">
        <v>3651</v>
      </c>
      <c r="D179" s="348" t="s">
        <v>2377</v>
      </c>
      <c r="E179" s="376">
        <f>SUM(E180:E243)</f>
        <v>2752328</v>
      </c>
      <c r="F179" s="376">
        <f>SUM(F180:F243)</f>
        <v>137617</v>
      </c>
      <c r="G179" s="376">
        <f>SUM(G180:G243)</f>
        <v>2889945</v>
      </c>
      <c r="H179" s="349"/>
      <c r="I179" s="383"/>
      <c r="J179" s="376">
        <f t="shared" ref="J179:O179" si="15">SUM(J180:J243)</f>
        <v>2031960</v>
      </c>
      <c r="K179" s="376">
        <f t="shared" si="15"/>
        <v>163800</v>
      </c>
      <c r="L179" s="376">
        <f t="shared" si="15"/>
        <v>693975</v>
      </c>
      <c r="M179" s="376">
        <f t="shared" si="15"/>
        <v>2889735</v>
      </c>
      <c r="N179" s="376">
        <f t="shared" si="15"/>
        <v>210</v>
      </c>
      <c r="O179" s="376">
        <f t="shared" si="15"/>
        <v>0</v>
      </c>
      <c r="P179" s="391"/>
    </row>
    <row r="180" spans="1:18">
      <c r="A180" s="183">
        <v>20130108</v>
      </c>
      <c r="B180" s="183" t="s">
        <v>3652</v>
      </c>
      <c r="C180" s="183" t="s">
        <v>2693</v>
      </c>
      <c r="D180" s="352"/>
      <c r="E180" s="183">
        <v>100800</v>
      </c>
      <c r="F180" s="183">
        <v>5040</v>
      </c>
      <c r="G180" s="352">
        <f>E180+F180</f>
        <v>105840</v>
      </c>
      <c r="H180" s="377" t="s">
        <v>1276</v>
      </c>
      <c r="I180" s="343" t="s">
        <v>3744</v>
      </c>
      <c r="J180" s="350">
        <v>105840</v>
      </c>
      <c r="M180" s="350">
        <f t="shared" ref="M180:M243" si="16">J180+K180+L180</f>
        <v>105840</v>
      </c>
      <c r="O180" s="351">
        <f t="shared" ref="O180:O243" si="17">G180-M180-N180</f>
        <v>0</v>
      </c>
      <c r="P180" s="378" t="s">
        <v>3653</v>
      </c>
      <c r="Q180" s="287"/>
      <c r="R180" s="288"/>
    </row>
    <row r="181" spans="1:18">
      <c r="A181" s="345">
        <v>20130109</v>
      </c>
      <c r="B181" s="352" t="s">
        <v>3654</v>
      </c>
      <c r="C181" s="352" t="s">
        <v>1013</v>
      </c>
      <c r="E181" s="345">
        <v>120000</v>
      </c>
      <c r="F181" s="345">
        <v>6000</v>
      </c>
      <c r="G181" s="345">
        <v>126000</v>
      </c>
      <c r="H181" s="379">
        <v>1</v>
      </c>
      <c r="I181" s="350">
        <v>656</v>
      </c>
      <c r="J181" s="350">
        <v>126000</v>
      </c>
      <c r="M181" s="350">
        <f t="shared" si="16"/>
        <v>126000</v>
      </c>
      <c r="O181" s="351">
        <f t="shared" si="17"/>
        <v>0</v>
      </c>
      <c r="P181" s="378" t="s">
        <v>1853</v>
      </c>
    </row>
    <row r="182" spans="1:18">
      <c r="A182" s="345">
        <v>20130109</v>
      </c>
      <c r="B182" s="352" t="s">
        <v>3655</v>
      </c>
      <c r="C182" s="352" t="s">
        <v>1016</v>
      </c>
      <c r="E182" s="345">
        <v>120000</v>
      </c>
      <c r="F182" s="345">
        <v>6000</v>
      </c>
      <c r="G182" s="345">
        <v>126000</v>
      </c>
      <c r="H182" s="379">
        <v>1</v>
      </c>
      <c r="I182" s="350">
        <v>657</v>
      </c>
      <c r="J182" s="350">
        <v>126000</v>
      </c>
      <c r="M182" s="350">
        <f t="shared" si="16"/>
        <v>126000</v>
      </c>
      <c r="O182" s="351">
        <f t="shared" si="17"/>
        <v>0</v>
      </c>
      <c r="P182" s="392">
        <v>53456020</v>
      </c>
    </row>
    <row r="183" spans="1:18">
      <c r="B183" s="352" t="s">
        <v>3656</v>
      </c>
      <c r="D183" s="254" t="s">
        <v>1235</v>
      </c>
      <c r="H183" s="379"/>
      <c r="M183" s="350">
        <f t="shared" si="16"/>
        <v>0</v>
      </c>
      <c r="O183" s="351">
        <f t="shared" si="17"/>
        <v>0</v>
      </c>
      <c r="P183" s="392"/>
    </row>
    <row r="184" spans="1:18" ht="17.25" customHeight="1">
      <c r="A184" s="345">
        <v>20130114</v>
      </c>
      <c r="B184" s="352" t="s">
        <v>3657</v>
      </c>
      <c r="C184" s="352" t="s">
        <v>1789</v>
      </c>
      <c r="E184" s="345">
        <v>108000</v>
      </c>
      <c r="F184" s="345">
        <v>5400</v>
      </c>
      <c r="G184" s="345">
        <v>113400</v>
      </c>
      <c r="H184" s="377" t="s">
        <v>1276</v>
      </c>
      <c r="I184" s="343" t="s">
        <v>3745</v>
      </c>
      <c r="J184" s="350">
        <v>113400</v>
      </c>
      <c r="M184" s="350">
        <f t="shared" si="16"/>
        <v>113400</v>
      </c>
      <c r="O184" s="351">
        <f t="shared" si="17"/>
        <v>0</v>
      </c>
      <c r="P184" s="378" t="s">
        <v>3658</v>
      </c>
    </row>
    <row r="185" spans="1:18">
      <c r="A185" s="345">
        <v>20130117</v>
      </c>
      <c r="B185" s="352" t="s">
        <v>3659</v>
      </c>
      <c r="C185" s="352" t="s">
        <v>2423</v>
      </c>
      <c r="E185" s="345">
        <v>108000</v>
      </c>
      <c r="F185" s="345">
        <v>5400</v>
      </c>
      <c r="G185" s="345">
        <v>113400</v>
      </c>
      <c r="H185" s="377" t="s">
        <v>1276</v>
      </c>
      <c r="I185" s="343" t="s">
        <v>3746</v>
      </c>
      <c r="J185" s="350">
        <v>113400</v>
      </c>
      <c r="M185" s="350">
        <f t="shared" si="16"/>
        <v>113400</v>
      </c>
      <c r="O185" s="351">
        <f t="shared" si="17"/>
        <v>0</v>
      </c>
      <c r="P185" s="378" t="s">
        <v>3660</v>
      </c>
    </row>
    <row r="186" spans="1:18">
      <c r="B186" s="352" t="s">
        <v>4298</v>
      </c>
      <c r="D186" s="254" t="s">
        <v>1235</v>
      </c>
      <c r="H186" s="379"/>
      <c r="M186" s="350">
        <f t="shared" si="16"/>
        <v>0</v>
      </c>
      <c r="O186" s="351">
        <f t="shared" si="17"/>
        <v>0</v>
      </c>
      <c r="P186" s="392"/>
    </row>
    <row r="187" spans="1:18">
      <c r="A187" s="345">
        <v>20130124</v>
      </c>
      <c r="B187" s="352" t="s">
        <v>3661</v>
      </c>
      <c r="C187" s="352" t="s">
        <v>3825</v>
      </c>
      <c r="E187" s="345">
        <v>13500</v>
      </c>
      <c r="F187" s="345">
        <v>675</v>
      </c>
      <c r="G187" s="345">
        <v>14175</v>
      </c>
      <c r="H187" s="377" t="s">
        <v>904</v>
      </c>
      <c r="I187" s="343" t="s">
        <v>472</v>
      </c>
      <c r="L187" s="390">
        <v>14145</v>
      </c>
      <c r="M187" s="350">
        <f t="shared" si="16"/>
        <v>14145</v>
      </c>
      <c r="N187" s="351">
        <v>30</v>
      </c>
      <c r="O187" s="351">
        <f t="shared" si="17"/>
        <v>0</v>
      </c>
      <c r="P187" s="378" t="s">
        <v>1072</v>
      </c>
    </row>
    <row r="188" spans="1:18">
      <c r="A188" s="345">
        <v>20130220</v>
      </c>
      <c r="B188" s="352" t="s">
        <v>4299</v>
      </c>
      <c r="C188" s="352" t="s">
        <v>1016</v>
      </c>
      <c r="E188" s="345">
        <v>19500</v>
      </c>
      <c r="F188" s="345">
        <v>975</v>
      </c>
      <c r="G188" s="345">
        <v>20475</v>
      </c>
      <c r="H188" s="377" t="s">
        <v>905</v>
      </c>
      <c r="I188" s="350">
        <v>624</v>
      </c>
      <c r="K188" s="350">
        <v>20475</v>
      </c>
      <c r="M188" s="350">
        <f t="shared" si="16"/>
        <v>20475</v>
      </c>
      <c r="O188" s="351">
        <f t="shared" si="17"/>
        <v>0</v>
      </c>
      <c r="P188" s="378" t="s">
        <v>1854</v>
      </c>
    </row>
    <row r="189" spans="1:18">
      <c r="A189" s="345">
        <v>20130220</v>
      </c>
      <c r="B189" s="352" t="s">
        <v>4300</v>
      </c>
      <c r="C189" s="352" t="s">
        <v>1232</v>
      </c>
      <c r="E189" s="345">
        <v>15600</v>
      </c>
      <c r="F189" s="345">
        <v>780</v>
      </c>
      <c r="G189" s="345">
        <v>16380</v>
      </c>
      <c r="H189" s="377" t="s">
        <v>1132</v>
      </c>
      <c r="I189" s="350">
        <v>658</v>
      </c>
      <c r="J189" s="350">
        <v>16380</v>
      </c>
      <c r="M189" s="350">
        <f t="shared" si="16"/>
        <v>16380</v>
      </c>
      <c r="O189" s="351">
        <f t="shared" si="17"/>
        <v>0</v>
      </c>
      <c r="P189" s="378" t="s">
        <v>1080</v>
      </c>
    </row>
    <row r="190" spans="1:18">
      <c r="A190" s="345">
        <v>20130220</v>
      </c>
      <c r="B190" s="352" t="s">
        <v>4301</v>
      </c>
      <c r="C190" s="352" t="s">
        <v>1013</v>
      </c>
      <c r="E190" s="345">
        <v>19500</v>
      </c>
      <c r="F190" s="345">
        <v>975</v>
      </c>
      <c r="G190" s="345">
        <v>20475</v>
      </c>
      <c r="H190" s="377" t="s">
        <v>905</v>
      </c>
      <c r="I190" s="350">
        <v>616</v>
      </c>
      <c r="K190" s="350">
        <v>20475</v>
      </c>
      <c r="M190" s="350">
        <f t="shared" si="16"/>
        <v>20475</v>
      </c>
      <c r="O190" s="351">
        <f t="shared" si="17"/>
        <v>0</v>
      </c>
      <c r="P190" s="378" t="s">
        <v>1853</v>
      </c>
    </row>
    <row r="191" spans="1:18">
      <c r="A191" s="345">
        <v>20130305</v>
      </c>
      <c r="B191" s="352" t="s">
        <v>3662</v>
      </c>
      <c r="C191" s="352" t="s">
        <v>1249</v>
      </c>
      <c r="E191" s="345">
        <v>43200</v>
      </c>
      <c r="F191" s="345">
        <v>2160</v>
      </c>
      <c r="G191" s="345">
        <v>45360</v>
      </c>
      <c r="H191" s="377" t="s">
        <v>3663</v>
      </c>
      <c r="I191" s="343" t="s">
        <v>3664</v>
      </c>
      <c r="J191" s="350">
        <v>45360</v>
      </c>
      <c r="M191" s="350">
        <f t="shared" si="16"/>
        <v>45360</v>
      </c>
      <c r="O191" s="351">
        <f t="shared" si="17"/>
        <v>0</v>
      </c>
      <c r="P191" s="378" t="s">
        <v>1145</v>
      </c>
    </row>
    <row r="192" spans="1:18">
      <c r="A192" s="345">
        <v>20130305</v>
      </c>
      <c r="B192" s="352" t="s">
        <v>3665</v>
      </c>
      <c r="C192" s="352" t="s">
        <v>2060</v>
      </c>
      <c r="E192" s="345">
        <v>13500</v>
      </c>
      <c r="F192" s="345">
        <v>675</v>
      </c>
      <c r="G192" s="345">
        <v>14175</v>
      </c>
      <c r="H192" s="377" t="s">
        <v>1132</v>
      </c>
      <c r="I192" s="343" t="s">
        <v>2349</v>
      </c>
      <c r="L192" s="390">
        <v>14165</v>
      </c>
      <c r="M192" s="350">
        <f t="shared" si="16"/>
        <v>14165</v>
      </c>
      <c r="N192" s="351">
        <v>10</v>
      </c>
      <c r="O192" s="351">
        <f t="shared" si="17"/>
        <v>0</v>
      </c>
      <c r="P192" s="378" t="s">
        <v>1099</v>
      </c>
    </row>
    <row r="193" spans="1:16">
      <c r="A193" s="345">
        <v>20130312</v>
      </c>
      <c r="B193" s="352" t="s">
        <v>3666</v>
      </c>
      <c r="C193" s="352" t="s">
        <v>1532</v>
      </c>
      <c r="E193" s="345">
        <v>12857</v>
      </c>
      <c r="F193" s="345">
        <v>643</v>
      </c>
      <c r="G193" s="345">
        <v>13500</v>
      </c>
      <c r="H193" s="377" t="s">
        <v>904</v>
      </c>
      <c r="I193" s="343" t="s">
        <v>533</v>
      </c>
      <c r="L193" s="390">
        <v>13485</v>
      </c>
      <c r="M193" s="350">
        <f t="shared" si="16"/>
        <v>13485</v>
      </c>
      <c r="N193" s="351">
        <v>15</v>
      </c>
      <c r="O193" s="351">
        <f t="shared" si="17"/>
        <v>0</v>
      </c>
      <c r="P193" s="378" t="s">
        <v>1097</v>
      </c>
    </row>
    <row r="194" spans="1:16">
      <c r="A194" s="345">
        <v>20130327</v>
      </c>
      <c r="B194" s="352" t="s">
        <v>3667</v>
      </c>
      <c r="C194" s="352" t="s">
        <v>7</v>
      </c>
      <c r="E194" s="345">
        <v>100800</v>
      </c>
      <c r="F194" s="345">
        <v>5040</v>
      </c>
      <c r="G194" s="345">
        <v>105840</v>
      </c>
      <c r="H194" s="377" t="s">
        <v>1276</v>
      </c>
      <c r="I194" s="343" t="s">
        <v>3747</v>
      </c>
      <c r="J194" s="350">
        <v>105840</v>
      </c>
      <c r="M194" s="350">
        <f t="shared" si="16"/>
        <v>105840</v>
      </c>
      <c r="O194" s="351">
        <f t="shared" si="17"/>
        <v>0</v>
      </c>
      <c r="P194" s="378" t="s">
        <v>1071</v>
      </c>
    </row>
    <row r="195" spans="1:16">
      <c r="A195" s="345">
        <v>20130409</v>
      </c>
      <c r="B195" s="352" t="s">
        <v>3668</v>
      </c>
      <c r="C195" s="352" t="s">
        <v>2422</v>
      </c>
      <c r="E195" s="345">
        <v>100800</v>
      </c>
      <c r="F195" s="345">
        <v>5040</v>
      </c>
      <c r="G195" s="345">
        <v>105840</v>
      </c>
      <c r="H195" s="377" t="s">
        <v>1276</v>
      </c>
      <c r="I195" s="343" t="s">
        <v>3748</v>
      </c>
      <c r="J195" s="350">
        <v>105840</v>
      </c>
      <c r="M195" s="350">
        <f t="shared" si="16"/>
        <v>105840</v>
      </c>
      <c r="O195" s="351">
        <f t="shared" si="17"/>
        <v>0</v>
      </c>
      <c r="P195" s="378" t="s">
        <v>1076</v>
      </c>
    </row>
    <row r="196" spans="1:16">
      <c r="B196" s="352" t="s">
        <v>3669</v>
      </c>
      <c r="D196" s="254" t="s">
        <v>1235</v>
      </c>
      <c r="H196" s="379"/>
      <c r="M196" s="350">
        <f t="shared" si="16"/>
        <v>0</v>
      </c>
      <c r="O196" s="351">
        <f t="shared" si="17"/>
        <v>0</v>
      </c>
      <c r="P196" s="392"/>
    </row>
    <row r="197" spans="1:16">
      <c r="A197" s="345">
        <v>20130419</v>
      </c>
      <c r="B197" s="352" t="s">
        <v>3670</v>
      </c>
      <c r="C197" s="352" t="s">
        <v>1013</v>
      </c>
      <c r="E197" s="345">
        <v>120000</v>
      </c>
      <c r="F197" s="345">
        <v>6000</v>
      </c>
      <c r="G197" s="345">
        <v>126000</v>
      </c>
      <c r="H197" s="377" t="s">
        <v>905</v>
      </c>
      <c r="I197" s="350">
        <v>691</v>
      </c>
      <c r="J197" s="350">
        <v>126000</v>
      </c>
      <c r="M197" s="350">
        <f t="shared" si="16"/>
        <v>126000</v>
      </c>
      <c r="O197" s="351">
        <f t="shared" si="17"/>
        <v>0</v>
      </c>
      <c r="P197" s="378" t="s">
        <v>1853</v>
      </c>
    </row>
    <row r="198" spans="1:16">
      <c r="A198" s="345">
        <v>20130419</v>
      </c>
      <c r="B198" s="352" t="s">
        <v>3671</v>
      </c>
      <c r="C198" s="352" t="s">
        <v>1016</v>
      </c>
      <c r="E198" s="345">
        <v>120000</v>
      </c>
      <c r="F198" s="345">
        <v>6000</v>
      </c>
      <c r="G198" s="345">
        <v>126000</v>
      </c>
      <c r="H198" s="377" t="s">
        <v>905</v>
      </c>
      <c r="I198" s="343" t="s">
        <v>609</v>
      </c>
      <c r="L198" s="390">
        <v>126000</v>
      </c>
      <c r="M198" s="350">
        <f t="shared" si="16"/>
        <v>126000</v>
      </c>
      <c r="O198" s="351">
        <f t="shared" si="17"/>
        <v>0</v>
      </c>
      <c r="P198" s="378" t="s">
        <v>1854</v>
      </c>
    </row>
    <row r="199" spans="1:16">
      <c r="A199" s="345">
        <v>20130419</v>
      </c>
      <c r="B199" s="352" t="s">
        <v>3672</v>
      </c>
      <c r="C199" s="352" t="s">
        <v>3825</v>
      </c>
      <c r="E199" s="345">
        <v>13500</v>
      </c>
      <c r="F199" s="345">
        <v>675</v>
      </c>
      <c r="G199" s="345">
        <v>14175</v>
      </c>
      <c r="H199" s="377" t="s">
        <v>905</v>
      </c>
      <c r="I199" s="343" t="s">
        <v>2232</v>
      </c>
      <c r="L199" s="390">
        <v>14145</v>
      </c>
      <c r="M199" s="350">
        <f t="shared" si="16"/>
        <v>14145</v>
      </c>
      <c r="N199" s="351">
        <v>30</v>
      </c>
      <c r="O199" s="351">
        <f t="shared" si="17"/>
        <v>0</v>
      </c>
      <c r="P199" s="378" t="s">
        <v>1072</v>
      </c>
    </row>
    <row r="200" spans="1:16">
      <c r="A200" s="345">
        <v>20130507</v>
      </c>
      <c r="B200" s="352" t="s">
        <v>3673</v>
      </c>
      <c r="C200" s="352" t="s">
        <v>1013</v>
      </c>
      <c r="E200" s="345">
        <v>19500</v>
      </c>
      <c r="F200" s="345">
        <v>975</v>
      </c>
      <c r="G200" s="345">
        <v>20475</v>
      </c>
      <c r="H200" s="377" t="s">
        <v>2780</v>
      </c>
      <c r="I200" s="350">
        <v>617</v>
      </c>
      <c r="K200" s="350">
        <v>20475</v>
      </c>
      <c r="M200" s="350">
        <f t="shared" si="16"/>
        <v>20475</v>
      </c>
      <c r="O200" s="351">
        <f t="shared" si="17"/>
        <v>0</v>
      </c>
      <c r="P200" s="378" t="s">
        <v>1853</v>
      </c>
    </row>
    <row r="201" spans="1:16">
      <c r="A201" s="345">
        <v>20130507</v>
      </c>
      <c r="B201" s="352" t="s">
        <v>3674</v>
      </c>
      <c r="C201" s="352" t="s">
        <v>1016</v>
      </c>
      <c r="E201" s="345">
        <v>19500</v>
      </c>
      <c r="F201" s="345">
        <v>975</v>
      </c>
      <c r="G201" s="345">
        <v>20475</v>
      </c>
      <c r="H201" s="377" t="s">
        <v>2780</v>
      </c>
      <c r="I201" s="350">
        <v>625</v>
      </c>
      <c r="K201" s="350">
        <v>20475</v>
      </c>
      <c r="M201" s="350">
        <f t="shared" si="16"/>
        <v>20475</v>
      </c>
      <c r="O201" s="351">
        <f t="shared" si="17"/>
        <v>0</v>
      </c>
      <c r="P201" s="378" t="s">
        <v>1854</v>
      </c>
    </row>
    <row r="202" spans="1:16">
      <c r="A202" s="345">
        <v>20130507</v>
      </c>
      <c r="B202" s="352" t="s">
        <v>3675</v>
      </c>
      <c r="C202" s="352" t="s">
        <v>1232</v>
      </c>
      <c r="E202" s="345">
        <v>15600</v>
      </c>
      <c r="F202" s="345">
        <v>780</v>
      </c>
      <c r="G202" s="345">
        <v>16380</v>
      </c>
      <c r="H202" s="377" t="s">
        <v>3676</v>
      </c>
      <c r="I202" s="350">
        <v>692</v>
      </c>
      <c r="J202" s="350">
        <v>16380</v>
      </c>
      <c r="M202" s="350">
        <f t="shared" si="16"/>
        <v>16380</v>
      </c>
      <c r="O202" s="351">
        <f t="shared" si="17"/>
        <v>0</v>
      </c>
      <c r="P202" s="378" t="s">
        <v>1080</v>
      </c>
    </row>
    <row r="203" spans="1:16">
      <c r="A203" s="345">
        <v>20130610</v>
      </c>
      <c r="B203" s="352" t="s">
        <v>3677</v>
      </c>
      <c r="C203" s="352" t="s">
        <v>1532</v>
      </c>
      <c r="E203" s="345">
        <v>12857</v>
      </c>
      <c r="F203" s="345">
        <v>643</v>
      </c>
      <c r="G203" s="345">
        <v>13500</v>
      </c>
      <c r="H203" s="377" t="s">
        <v>905</v>
      </c>
      <c r="I203" s="343" t="s">
        <v>677</v>
      </c>
      <c r="L203" s="390">
        <v>13485</v>
      </c>
      <c r="M203" s="350">
        <f t="shared" si="16"/>
        <v>13485</v>
      </c>
      <c r="N203" s="351">
        <v>15</v>
      </c>
      <c r="O203" s="351">
        <f t="shared" si="17"/>
        <v>0</v>
      </c>
      <c r="P203" s="378" t="s">
        <v>1097</v>
      </c>
    </row>
    <row r="204" spans="1:16">
      <c r="A204" s="345">
        <v>20130617</v>
      </c>
      <c r="B204" s="352" t="s">
        <v>3678</v>
      </c>
      <c r="C204" s="352" t="s">
        <v>857</v>
      </c>
      <c r="E204" s="345">
        <v>108000</v>
      </c>
      <c r="F204" s="345">
        <v>5400</v>
      </c>
      <c r="G204" s="345">
        <v>113400</v>
      </c>
      <c r="H204" s="377" t="s">
        <v>1276</v>
      </c>
      <c r="I204" s="343" t="s">
        <v>3749</v>
      </c>
      <c r="J204" s="350">
        <v>113400</v>
      </c>
      <c r="M204" s="350">
        <f t="shared" si="16"/>
        <v>113400</v>
      </c>
      <c r="O204" s="351">
        <f t="shared" si="17"/>
        <v>0</v>
      </c>
      <c r="P204" s="378" t="s">
        <v>1083</v>
      </c>
    </row>
    <row r="205" spans="1:16">
      <c r="A205" s="345">
        <v>20130618</v>
      </c>
      <c r="B205" s="352" t="s">
        <v>3679</v>
      </c>
      <c r="C205" s="352" t="s">
        <v>1013</v>
      </c>
      <c r="E205" s="345">
        <v>60000</v>
      </c>
      <c r="F205" s="345">
        <v>3000</v>
      </c>
      <c r="G205" s="345">
        <v>63000</v>
      </c>
      <c r="H205" s="377" t="s">
        <v>904</v>
      </c>
      <c r="I205" s="343" t="s">
        <v>664</v>
      </c>
      <c r="L205" s="390">
        <v>63000</v>
      </c>
      <c r="M205" s="350">
        <f t="shared" si="16"/>
        <v>63000</v>
      </c>
      <c r="O205" s="351">
        <f t="shared" si="17"/>
        <v>0</v>
      </c>
      <c r="P205" s="378" t="s">
        <v>1853</v>
      </c>
    </row>
    <row r="206" spans="1:16">
      <c r="A206" s="345">
        <v>20130618</v>
      </c>
      <c r="B206" s="352" t="s">
        <v>3680</v>
      </c>
      <c r="C206" s="352" t="s">
        <v>1016</v>
      </c>
      <c r="E206" s="345">
        <v>60000</v>
      </c>
      <c r="F206" s="345">
        <v>3000</v>
      </c>
      <c r="G206" s="345">
        <v>63000</v>
      </c>
      <c r="H206" s="377" t="s">
        <v>904</v>
      </c>
      <c r="I206" s="343" t="s">
        <v>666</v>
      </c>
      <c r="L206" s="390">
        <v>63000</v>
      </c>
      <c r="M206" s="350">
        <f t="shared" si="16"/>
        <v>63000</v>
      </c>
      <c r="O206" s="351">
        <f t="shared" si="17"/>
        <v>0</v>
      </c>
      <c r="P206" s="378" t="s">
        <v>1854</v>
      </c>
    </row>
    <row r="207" spans="1:16">
      <c r="B207" s="352" t="s">
        <v>3681</v>
      </c>
      <c r="D207" s="254" t="s">
        <v>1235</v>
      </c>
      <c r="H207" s="379"/>
      <c r="M207" s="350">
        <f t="shared" si="16"/>
        <v>0</v>
      </c>
      <c r="O207" s="351">
        <f t="shared" si="17"/>
        <v>0</v>
      </c>
      <c r="P207" s="392"/>
    </row>
    <row r="208" spans="1:16">
      <c r="A208" s="345">
        <v>20130624</v>
      </c>
      <c r="B208" s="352" t="s">
        <v>3682</v>
      </c>
      <c r="C208" s="352" t="s">
        <v>2739</v>
      </c>
      <c r="E208" s="345">
        <v>91200</v>
      </c>
      <c r="F208" s="345">
        <v>4560</v>
      </c>
      <c r="G208" s="345">
        <v>95760</v>
      </c>
      <c r="H208" s="377" t="s">
        <v>1276</v>
      </c>
      <c r="I208" s="343" t="s">
        <v>3750</v>
      </c>
      <c r="J208" s="350">
        <v>95760</v>
      </c>
      <c r="M208" s="350">
        <f t="shared" si="16"/>
        <v>95760</v>
      </c>
      <c r="O208" s="351">
        <f t="shared" si="17"/>
        <v>0</v>
      </c>
      <c r="P208" s="378" t="s">
        <v>1088</v>
      </c>
    </row>
    <row r="209" spans="1:16">
      <c r="A209" s="345">
        <v>20130626</v>
      </c>
      <c r="B209" s="352" t="s">
        <v>3683</v>
      </c>
      <c r="C209" s="352" t="s">
        <v>1884</v>
      </c>
      <c r="E209" s="345">
        <v>108000</v>
      </c>
      <c r="F209" s="345">
        <v>5400</v>
      </c>
      <c r="G209" s="345">
        <v>113400</v>
      </c>
      <c r="H209" s="377" t="s">
        <v>1276</v>
      </c>
      <c r="I209" s="343" t="s">
        <v>3751</v>
      </c>
      <c r="J209" s="350">
        <v>113400</v>
      </c>
      <c r="M209" s="350">
        <f t="shared" si="16"/>
        <v>113400</v>
      </c>
      <c r="O209" s="351">
        <f t="shared" si="17"/>
        <v>0</v>
      </c>
      <c r="P209" s="378" t="s">
        <v>1074</v>
      </c>
    </row>
    <row r="210" spans="1:16">
      <c r="A210" s="345">
        <v>20130723</v>
      </c>
      <c r="B210" s="352" t="s">
        <v>3684</v>
      </c>
      <c r="C210" s="352" t="s">
        <v>2041</v>
      </c>
      <c r="E210" s="345">
        <v>108000</v>
      </c>
      <c r="F210" s="345">
        <v>5400</v>
      </c>
      <c r="G210" s="345">
        <v>113400</v>
      </c>
      <c r="H210" s="377" t="s">
        <v>1276</v>
      </c>
      <c r="I210" s="343" t="s">
        <v>3752</v>
      </c>
      <c r="J210" s="350">
        <v>113400</v>
      </c>
      <c r="M210" s="350">
        <f t="shared" si="16"/>
        <v>113400</v>
      </c>
      <c r="O210" s="351">
        <f t="shared" si="17"/>
        <v>0</v>
      </c>
      <c r="P210" s="378" t="s">
        <v>1102</v>
      </c>
    </row>
    <row r="211" spans="1:16">
      <c r="A211" s="345">
        <v>20130724</v>
      </c>
      <c r="B211" s="352" t="s">
        <v>3685</v>
      </c>
      <c r="C211" s="352" t="s">
        <v>2421</v>
      </c>
      <c r="E211" s="345">
        <v>12600</v>
      </c>
      <c r="F211" s="345">
        <v>630</v>
      </c>
      <c r="G211" s="345">
        <v>13230</v>
      </c>
      <c r="H211" s="377" t="s">
        <v>904</v>
      </c>
      <c r="I211" s="343" t="s">
        <v>634</v>
      </c>
      <c r="L211" s="390">
        <v>13220</v>
      </c>
      <c r="M211" s="350">
        <f t="shared" si="16"/>
        <v>13220</v>
      </c>
      <c r="N211" s="351">
        <v>10</v>
      </c>
      <c r="O211" s="351">
        <f t="shared" si="17"/>
        <v>0</v>
      </c>
      <c r="P211" s="378" t="s">
        <v>1084</v>
      </c>
    </row>
    <row r="212" spans="1:16">
      <c r="A212" s="345">
        <v>20130726</v>
      </c>
      <c r="B212" s="352" t="s">
        <v>3686</v>
      </c>
      <c r="C212" s="352" t="s">
        <v>2060</v>
      </c>
      <c r="E212" s="345">
        <v>13500</v>
      </c>
      <c r="F212" s="345">
        <v>675</v>
      </c>
      <c r="G212" s="345">
        <v>14175</v>
      </c>
      <c r="H212" s="377" t="s">
        <v>904</v>
      </c>
      <c r="I212" s="343" t="s">
        <v>690</v>
      </c>
      <c r="L212" s="390">
        <v>14175</v>
      </c>
      <c r="M212" s="350">
        <f t="shared" si="16"/>
        <v>14175</v>
      </c>
      <c r="O212" s="351">
        <f t="shared" si="17"/>
        <v>0</v>
      </c>
      <c r="P212" s="378" t="s">
        <v>1099</v>
      </c>
    </row>
    <row r="213" spans="1:16">
      <c r="A213" s="345">
        <v>20130808</v>
      </c>
      <c r="B213" s="352" t="s">
        <v>3687</v>
      </c>
      <c r="C213" s="352" t="s">
        <v>1300</v>
      </c>
      <c r="E213" s="345">
        <v>96000</v>
      </c>
      <c r="F213" s="345">
        <v>4800</v>
      </c>
      <c r="G213" s="345">
        <v>100800</v>
      </c>
      <c r="H213" s="377" t="s">
        <v>1276</v>
      </c>
      <c r="I213" s="343" t="s">
        <v>3753</v>
      </c>
      <c r="J213" s="350">
        <v>100800</v>
      </c>
      <c r="M213" s="350">
        <f t="shared" si="16"/>
        <v>100800</v>
      </c>
      <c r="O213" s="351">
        <f t="shared" si="17"/>
        <v>0</v>
      </c>
      <c r="P213" s="378" t="s">
        <v>3688</v>
      </c>
    </row>
    <row r="214" spans="1:16">
      <c r="A214" s="345">
        <v>20130812</v>
      </c>
      <c r="B214" s="352" t="s">
        <v>3689</v>
      </c>
      <c r="C214" s="352" t="s">
        <v>1013</v>
      </c>
      <c r="E214" s="345">
        <v>19500</v>
      </c>
      <c r="F214" s="345">
        <v>975</v>
      </c>
      <c r="G214" s="345">
        <v>20475</v>
      </c>
      <c r="H214" s="377" t="s">
        <v>1112</v>
      </c>
      <c r="I214" s="350">
        <v>618</v>
      </c>
      <c r="K214" s="350">
        <v>20475</v>
      </c>
      <c r="M214" s="350">
        <f t="shared" si="16"/>
        <v>20475</v>
      </c>
      <c r="O214" s="351">
        <f t="shared" si="17"/>
        <v>0</v>
      </c>
      <c r="P214" s="378" t="s">
        <v>1853</v>
      </c>
    </row>
    <row r="215" spans="1:16">
      <c r="A215" s="345">
        <v>20130812</v>
      </c>
      <c r="B215" s="352" t="s">
        <v>3690</v>
      </c>
      <c r="C215" s="352" t="s">
        <v>1016</v>
      </c>
      <c r="E215" s="345">
        <v>19500</v>
      </c>
      <c r="F215" s="345">
        <v>975</v>
      </c>
      <c r="G215" s="345">
        <v>20475</v>
      </c>
      <c r="H215" s="377" t="s">
        <v>1112</v>
      </c>
      <c r="I215" s="350">
        <v>626</v>
      </c>
      <c r="K215" s="350">
        <v>20475</v>
      </c>
      <c r="M215" s="350">
        <f t="shared" si="16"/>
        <v>20475</v>
      </c>
      <c r="O215" s="351">
        <f t="shared" si="17"/>
        <v>0</v>
      </c>
      <c r="P215" s="378" t="s">
        <v>1854</v>
      </c>
    </row>
    <row r="216" spans="1:16">
      <c r="A216" s="345">
        <v>20130812</v>
      </c>
      <c r="B216" s="352" t="s">
        <v>3691</v>
      </c>
      <c r="C216" s="352" t="s">
        <v>3825</v>
      </c>
      <c r="E216" s="345">
        <v>13500</v>
      </c>
      <c r="F216" s="345">
        <v>675</v>
      </c>
      <c r="G216" s="345">
        <v>14175</v>
      </c>
      <c r="H216" s="377" t="s">
        <v>2780</v>
      </c>
      <c r="I216" s="343" t="s">
        <v>2234</v>
      </c>
      <c r="L216" s="390">
        <v>14145</v>
      </c>
      <c r="M216" s="350">
        <f t="shared" si="16"/>
        <v>14145</v>
      </c>
      <c r="N216" s="351">
        <v>30</v>
      </c>
      <c r="O216" s="351">
        <f t="shared" si="17"/>
        <v>0</v>
      </c>
      <c r="P216" s="378" t="s">
        <v>1072</v>
      </c>
    </row>
    <row r="217" spans="1:16">
      <c r="A217" s="345">
        <v>20130812</v>
      </c>
      <c r="B217" s="352" t="s">
        <v>3692</v>
      </c>
      <c r="C217" s="352" t="s">
        <v>1232</v>
      </c>
      <c r="E217" s="345">
        <v>15600</v>
      </c>
      <c r="F217" s="345">
        <v>780</v>
      </c>
      <c r="G217" s="345">
        <v>16380</v>
      </c>
      <c r="H217" s="377" t="s">
        <v>3693</v>
      </c>
      <c r="I217" s="350">
        <v>741</v>
      </c>
      <c r="J217" s="350">
        <v>16380</v>
      </c>
      <c r="M217" s="350">
        <f t="shared" si="16"/>
        <v>16380</v>
      </c>
      <c r="O217" s="351">
        <f t="shared" si="17"/>
        <v>0</v>
      </c>
      <c r="P217" s="378" t="s">
        <v>1080</v>
      </c>
    </row>
    <row r="218" spans="1:16">
      <c r="A218" s="345">
        <v>20130814</v>
      </c>
      <c r="B218" s="352" t="s">
        <v>3694</v>
      </c>
      <c r="C218" s="352" t="s">
        <v>701</v>
      </c>
      <c r="E218" s="345">
        <v>19500</v>
      </c>
      <c r="F218" s="345">
        <v>975</v>
      </c>
      <c r="G218" s="345">
        <v>20475</v>
      </c>
      <c r="H218" s="377" t="s">
        <v>904</v>
      </c>
      <c r="I218" s="350">
        <v>733</v>
      </c>
      <c r="J218" s="350">
        <v>20475</v>
      </c>
      <c r="M218" s="350">
        <f t="shared" si="16"/>
        <v>20475</v>
      </c>
      <c r="O218" s="351">
        <f t="shared" si="17"/>
        <v>0</v>
      </c>
      <c r="P218" s="378" t="s">
        <v>3695</v>
      </c>
    </row>
    <row r="219" spans="1:16">
      <c r="A219" s="345">
        <v>20130905</v>
      </c>
      <c r="B219" s="352" t="s">
        <v>3696</v>
      </c>
      <c r="C219" s="352" t="s">
        <v>1532</v>
      </c>
      <c r="E219" s="345">
        <v>12857</v>
      </c>
      <c r="F219" s="345">
        <v>643</v>
      </c>
      <c r="G219" s="345">
        <v>13500</v>
      </c>
      <c r="H219" s="377" t="s">
        <v>2780</v>
      </c>
      <c r="I219" s="343" t="s">
        <v>537</v>
      </c>
      <c r="L219" s="390">
        <v>13485</v>
      </c>
      <c r="M219" s="350">
        <f t="shared" si="16"/>
        <v>13485</v>
      </c>
      <c r="N219" s="351">
        <v>15</v>
      </c>
      <c r="O219" s="351">
        <f t="shared" si="17"/>
        <v>0</v>
      </c>
      <c r="P219" s="378" t="s">
        <v>1097</v>
      </c>
    </row>
    <row r="220" spans="1:16">
      <c r="A220" s="345">
        <v>20131003</v>
      </c>
      <c r="B220" s="352" t="s">
        <v>3697</v>
      </c>
      <c r="C220" s="352" t="s">
        <v>1307</v>
      </c>
      <c r="E220" s="345">
        <v>108000</v>
      </c>
      <c r="F220" s="345">
        <v>5400</v>
      </c>
      <c r="G220" s="345">
        <v>113400</v>
      </c>
      <c r="H220" s="377" t="s">
        <v>1276</v>
      </c>
      <c r="I220" s="343" t="s">
        <v>3754</v>
      </c>
      <c r="J220" s="350">
        <v>113400</v>
      </c>
      <c r="M220" s="350">
        <f t="shared" si="16"/>
        <v>113400</v>
      </c>
      <c r="O220" s="351">
        <f t="shared" si="17"/>
        <v>0</v>
      </c>
      <c r="P220" s="378" t="s">
        <v>3698</v>
      </c>
    </row>
    <row r="221" spans="1:16">
      <c r="B221" s="352" t="s">
        <v>3699</v>
      </c>
      <c r="D221" s="254" t="s">
        <v>1235</v>
      </c>
      <c r="H221" s="379"/>
      <c r="M221" s="350">
        <f t="shared" si="16"/>
        <v>0</v>
      </c>
      <c r="O221" s="351">
        <f t="shared" si="17"/>
        <v>0</v>
      </c>
      <c r="P221" s="392"/>
    </row>
    <row r="222" spans="1:16">
      <c r="A222" s="345">
        <v>20131008</v>
      </c>
      <c r="B222" s="352" t="s">
        <v>3700</v>
      </c>
      <c r="C222" s="352" t="s">
        <v>701</v>
      </c>
      <c r="E222" s="345">
        <v>3000</v>
      </c>
      <c r="F222" s="345">
        <v>150</v>
      </c>
      <c r="G222" s="345">
        <v>3150</v>
      </c>
      <c r="H222" s="377" t="s">
        <v>904</v>
      </c>
      <c r="I222" s="350">
        <v>751</v>
      </c>
      <c r="J222" s="350">
        <v>3150</v>
      </c>
      <c r="M222" s="350">
        <f t="shared" si="16"/>
        <v>3150</v>
      </c>
      <c r="O222" s="351">
        <f t="shared" si="17"/>
        <v>0</v>
      </c>
      <c r="P222" s="378" t="s">
        <v>3695</v>
      </c>
    </row>
    <row r="223" spans="1:16">
      <c r="A223" s="345">
        <v>20131008</v>
      </c>
      <c r="B223" s="352" t="s">
        <v>3701</v>
      </c>
      <c r="C223" s="352" t="s">
        <v>1016</v>
      </c>
      <c r="E223" s="345">
        <v>3000</v>
      </c>
      <c r="F223" s="345">
        <v>150</v>
      </c>
      <c r="G223" s="345">
        <v>3150</v>
      </c>
      <c r="H223" s="377" t="s">
        <v>904</v>
      </c>
      <c r="I223" s="343" t="s">
        <v>1061</v>
      </c>
      <c r="L223" s="390">
        <v>3150</v>
      </c>
      <c r="M223" s="350">
        <f t="shared" si="16"/>
        <v>3150</v>
      </c>
      <c r="O223" s="351">
        <f t="shared" si="17"/>
        <v>0</v>
      </c>
      <c r="P223" s="378" t="s">
        <v>1854</v>
      </c>
    </row>
    <row r="224" spans="1:16">
      <c r="A224" s="345">
        <v>20131008</v>
      </c>
      <c r="B224" s="352" t="s">
        <v>3702</v>
      </c>
      <c r="C224" s="352" t="s">
        <v>1013</v>
      </c>
      <c r="E224" s="345">
        <v>3000</v>
      </c>
      <c r="F224" s="345">
        <v>150</v>
      </c>
      <c r="G224" s="345">
        <v>3150</v>
      </c>
      <c r="H224" s="377" t="s">
        <v>904</v>
      </c>
      <c r="I224" s="343" t="s">
        <v>734</v>
      </c>
      <c r="L224" s="390">
        <v>3150</v>
      </c>
      <c r="M224" s="350">
        <f t="shared" si="16"/>
        <v>3150</v>
      </c>
      <c r="O224" s="351">
        <f t="shared" si="17"/>
        <v>0</v>
      </c>
      <c r="P224" s="378" t="s">
        <v>1853</v>
      </c>
    </row>
    <row r="225" spans="1:16">
      <c r="A225" s="345">
        <v>20131011</v>
      </c>
      <c r="B225" s="352" t="s">
        <v>3703</v>
      </c>
      <c r="C225" s="352" t="s">
        <v>3825</v>
      </c>
      <c r="E225" s="345">
        <v>13500</v>
      </c>
      <c r="F225" s="345">
        <v>675</v>
      </c>
      <c r="G225" s="345">
        <v>14175</v>
      </c>
      <c r="H225" s="350">
        <v>4</v>
      </c>
      <c r="I225" s="377" t="s">
        <v>2236</v>
      </c>
      <c r="L225" s="390">
        <v>14145</v>
      </c>
      <c r="M225" s="350">
        <f t="shared" si="16"/>
        <v>14145</v>
      </c>
      <c r="N225" s="351">
        <v>30</v>
      </c>
      <c r="O225" s="351">
        <f t="shared" si="17"/>
        <v>0</v>
      </c>
      <c r="P225" s="378" t="s">
        <v>1072</v>
      </c>
    </row>
    <row r="226" spans="1:16">
      <c r="A226" s="345">
        <v>20131011</v>
      </c>
      <c r="B226" s="352" t="s">
        <v>3704</v>
      </c>
      <c r="C226" s="352" t="s">
        <v>2421</v>
      </c>
      <c r="E226" s="345">
        <v>12600</v>
      </c>
      <c r="F226" s="345">
        <v>630</v>
      </c>
      <c r="G226" s="345">
        <v>13230</v>
      </c>
      <c r="H226" s="350">
        <v>2</v>
      </c>
      <c r="I226" s="377" t="s">
        <v>749</v>
      </c>
      <c r="L226" s="390">
        <v>13220</v>
      </c>
      <c r="M226" s="350">
        <f t="shared" si="16"/>
        <v>13220</v>
      </c>
      <c r="N226" s="351">
        <v>10</v>
      </c>
      <c r="O226" s="351">
        <f t="shared" si="17"/>
        <v>0</v>
      </c>
      <c r="P226" s="378" t="s">
        <v>1084</v>
      </c>
    </row>
    <row r="227" spans="1:16">
      <c r="A227" s="345">
        <v>20131011</v>
      </c>
      <c r="B227" s="352" t="s">
        <v>3705</v>
      </c>
      <c r="C227" s="352" t="s">
        <v>2060</v>
      </c>
      <c r="E227" s="345">
        <v>13500</v>
      </c>
      <c r="F227" s="345">
        <v>675</v>
      </c>
      <c r="G227" s="345">
        <v>14175</v>
      </c>
      <c r="H227" s="350">
        <v>2</v>
      </c>
      <c r="I227" s="377" t="s">
        <v>730</v>
      </c>
      <c r="L227" s="390">
        <v>14175</v>
      </c>
      <c r="M227" s="350">
        <f t="shared" si="16"/>
        <v>14175</v>
      </c>
      <c r="O227" s="351">
        <f t="shared" si="17"/>
        <v>0</v>
      </c>
      <c r="P227" s="378" t="s">
        <v>1099</v>
      </c>
    </row>
    <row r="228" spans="1:16">
      <c r="A228" s="345">
        <v>20131014</v>
      </c>
      <c r="B228" s="352" t="s">
        <v>3706</v>
      </c>
      <c r="C228" s="352" t="s">
        <v>1013</v>
      </c>
      <c r="E228" s="345">
        <v>72000</v>
      </c>
      <c r="F228" s="345">
        <v>3600</v>
      </c>
      <c r="G228" s="345">
        <v>75600</v>
      </c>
      <c r="H228" s="350">
        <v>1</v>
      </c>
      <c r="I228" s="377" t="s">
        <v>1061</v>
      </c>
      <c r="L228" s="390">
        <v>75600</v>
      </c>
      <c r="M228" s="350">
        <f t="shared" si="16"/>
        <v>75600</v>
      </c>
      <c r="O228" s="351">
        <f t="shared" si="17"/>
        <v>0</v>
      </c>
      <c r="P228" s="378" t="s">
        <v>1853</v>
      </c>
    </row>
    <row r="229" spans="1:16">
      <c r="A229" s="345">
        <v>20131014</v>
      </c>
      <c r="B229" s="352" t="s">
        <v>3707</v>
      </c>
      <c r="C229" s="352" t="s">
        <v>1016</v>
      </c>
      <c r="E229" s="345">
        <v>72000</v>
      </c>
      <c r="F229" s="345">
        <v>3600</v>
      </c>
      <c r="G229" s="345">
        <v>75600</v>
      </c>
      <c r="H229" s="350">
        <v>1</v>
      </c>
      <c r="I229" s="377" t="s">
        <v>1061</v>
      </c>
      <c r="L229" s="390">
        <v>75600</v>
      </c>
      <c r="M229" s="350">
        <f t="shared" si="16"/>
        <v>75600</v>
      </c>
      <c r="O229" s="351">
        <f t="shared" si="17"/>
        <v>0</v>
      </c>
      <c r="P229" s="378" t="s">
        <v>1854</v>
      </c>
    </row>
    <row r="230" spans="1:16">
      <c r="A230" s="345">
        <v>20131014</v>
      </c>
      <c r="B230" s="352" t="s">
        <v>3708</v>
      </c>
      <c r="C230" s="352" t="s">
        <v>747</v>
      </c>
      <c r="E230" s="345">
        <v>40000</v>
      </c>
      <c r="F230" s="345">
        <v>2000</v>
      </c>
      <c r="G230" s="345">
        <v>42000</v>
      </c>
      <c r="H230" s="350">
        <v>1</v>
      </c>
      <c r="I230" s="377" t="s">
        <v>1061</v>
      </c>
      <c r="L230" s="390">
        <v>42000</v>
      </c>
      <c r="M230" s="350">
        <f t="shared" si="16"/>
        <v>42000</v>
      </c>
      <c r="O230" s="351">
        <f t="shared" si="17"/>
        <v>0</v>
      </c>
      <c r="P230" s="378" t="s">
        <v>3709</v>
      </c>
    </row>
    <row r="231" spans="1:16">
      <c r="A231" s="345">
        <v>20131014</v>
      </c>
      <c r="B231" s="352" t="s">
        <v>3710</v>
      </c>
      <c r="C231" s="352" t="s">
        <v>701</v>
      </c>
      <c r="E231" s="345">
        <v>80000</v>
      </c>
      <c r="F231" s="345">
        <v>4000</v>
      </c>
      <c r="G231" s="345">
        <v>84000</v>
      </c>
      <c r="H231" s="377" t="s">
        <v>904</v>
      </c>
      <c r="I231" s="350">
        <v>750</v>
      </c>
      <c r="J231" s="350">
        <v>84000</v>
      </c>
      <c r="M231" s="350">
        <f t="shared" si="16"/>
        <v>84000</v>
      </c>
      <c r="O231" s="351">
        <f t="shared" si="17"/>
        <v>0</v>
      </c>
      <c r="P231" s="378" t="s">
        <v>3695</v>
      </c>
    </row>
    <row r="232" spans="1:16">
      <c r="A232" s="345">
        <v>20131106</v>
      </c>
      <c r="B232" s="352" t="s">
        <v>3711</v>
      </c>
      <c r="C232" s="352" t="s">
        <v>1013</v>
      </c>
      <c r="E232" s="345">
        <v>19500</v>
      </c>
      <c r="F232" s="345">
        <v>975</v>
      </c>
      <c r="G232" s="345">
        <v>20475</v>
      </c>
      <c r="H232" s="377" t="s">
        <v>1077</v>
      </c>
      <c r="I232" s="350">
        <v>619</v>
      </c>
      <c r="K232" s="350">
        <v>20475</v>
      </c>
      <c r="M232" s="350">
        <f t="shared" si="16"/>
        <v>20475</v>
      </c>
      <c r="O232" s="351">
        <f t="shared" si="17"/>
        <v>0</v>
      </c>
      <c r="P232" s="378" t="s">
        <v>1853</v>
      </c>
    </row>
    <row r="233" spans="1:16">
      <c r="A233" s="345">
        <v>20131106</v>
      </c>
      <c r="B233" s="352" t="s">
        <v>3712</v>
      </c>
      <c r="C233" s="352" t="s">
        <v>1016</v>
      </c>
      <c r="E233" s="345">
        <v>19500</v>
      </c>
      <c r="F233" s="345">
        <v>975</v>
      </c>
      <c r="G233" s="345">
        <v>20475</v>
      </c>
      <c r="H233" s="377" t="s">
        <v>1077</v>
      </c>
      <c r="I233" s="350">
        <v>627</v>
      </c>
      <c r="K233" s="350">
        <v>20475</v>
      </c>
      <c r="M233" s="350">
        <f t="shared" si="16"/>
        <v>20475</v>
      </c>
      <c r="O233" s="351">
        <f t="shared" si="17"/>
        <v>0</v>
      </c>
      <c r="P233" s="378" t="s">
        <v>1854</v>
      </c>
    </row>
    <row r="234" spans="1:16">
      <c r="A234" s="345">
        <v>20131106</v>
      </c>
      <c r="B234" s="352" t="s">
        <v>3713</v>
      </c>
      <c r="C234" s="352" t="s">
        <v>701</v>
      </c>
      <c r="E234" s="345">
        <v>19500</v>
      </c>
      <c r="F234" s="345">
        <v>975</v>
      </c>
      <c r="G234" s="345">
        <v>20475</v>
      </c>
      <c r="H234" s="377" t="s">
        <v>905</v>
      </c>
      <c r="I234" s="350">
        <v>734</v>
      </c>
      <c r="J234" s="350">
        <v>20475</v>
      </c>
      <c r="M234" s="350">
        <f t="shared" si="16"/>
        <v>20475</v>
      </c>
      <c r="O234" s="351">
        <f t="shared" si="17"/>
        <v>0</v>
      </c>
      <c r="P234" s="378" t="s">
        <v>3695</v>
      </c>
    </row>
    <row r="235" spans="1:16">
      <c r="A235" s="345">
        <v>20131106</v>
      </c>
      <c r="B235" s="352" t="s">
        <v>3714</v>
      </c>
      <c r="C235" s="352" t="s">
        <v>1232</v>
      </c>
      <c r="E235" s="345">
        <v>15600</v>
      </c>
      <c r="F235" s="345">
        <v>780</v>
      </c>
      <c r="G235" s="345">
        <v>16380</v>
      </c>
      <c r="H235" s="377" t="s">
        <v>3715</v>
      </c>
      <c r="I235" s="350">
        <v>756</v>
      </c>
      <c r="J235" s="350">
        <v>16380</v>
      </c>
      <c r="M235" s="350">
        <f t="shared" si="16"/>
        <v>16380</v>
      </c>
      <c r="O235" s="351">
        <f t="shared" si="17"/>
        <v>0</v>
      </c>
      <c r="P235" s="378" t="s">
        <v>1080</v>
      </c>
    </row>
    <row r="236" spans="1:16">
      <c r="A236" s="345">
        <v>20131106</v>
      </c>
      <c r="B236" s="352" t="s">
        <v>3716</v>
      </c>
      <c r="C236" s="352" t="s">
        <v>1270</v>
      </c>
      <c r="E236" s="345">
        <v>19500</v>
      </c>
      <c r="F236" s="345">
        <v>975</v>
      </c>
      <c r="G236" s="345">
        <v>20475</v>
      </c>
      <c r="H236" s="377" t="s">
        <v>1077</v>
      </c>
      <c r="I236" s="350">
        <v>752</v>
      </c>
      <c r="J236" s="350">
        <v>20475</v>
      </c>
      <c r="M236" s="350">
        <f t="shared" si="16"/>
        <v>20475</v>
      </c>
      <c r="O236" s="351">
        <f t="shared" si="17"/>
        <v>0</v>
      </c>
      <c r="P236" s="378" t="s">
        <v>1130</v>
      </c>
    </row>
    <row r="237" spans="1:16">
      <c r="A237" s="345">
        <v>20131106</v>
      </c>
      <c r="B237" s="352" t="s">
        <v>3717</v>
      </c>
      <c r="C237" s="352" t="s">
        <v>1270</v>
      </c>
      <c r="E237" s="345">
        <v>19500</v>
      </c>
      <c r="F237" s="345">
        <v>975</v>
      </c>
      <c r="G237" s="345">
        <v>20475</v>
      </c>
      <c r="H237" s="377" t="s">
        <v>1091</v>
      </c>
      <c r="I237" s="350">
        <v>753</v>
      </c>
      <c r="J237" s="350">
        <v>20475</v>
      </c>
      <c r="M237" s="350">
        <f t="shared" si="16"/>
        <v>20475</v>
      </c>
      <c r="O237" s="351">
        <f t="shared" si="17"/>
        <v>0</v>
      </c>
      <c r="P237" s="378" t="s">
        <v>1130</v>
      </c>
    </row>
    <row r="238" spans="1:16">
      <c r="A238" s="345">
        <v>20131106</v>
      </c>
      <c r="B238" s="352" t="s">
        <v>3718</v>
      </c>
      <c r="C238" s="352" t="s">
        <v>1270</v>
      </c>
      <c r="E238" s="345">
        <v>19500</v>
      </c>
      <c r="F238" s="345">
        <v>975</v>
      </c>
      <c r="G238" s="345">
        <v>20475</v>
      </c>
      <c r="H238" s="377" t="s">
        <v>1131</v>
      </c>
      <c r="I238" s="350">
        <v>754</v>
      </c>
      <c r="J238" s="350">
        <v>20475</v>
      </c>
      <c r="M238" s="350">
        <f t="shared" si="16"/>
        <v>20475</v>
      </c>
      <c r="O238" s="351">
        <f t="shared" si="17"/>
        <v>0</v>
      </c>
      <c r="P238" s="378" t="s">
        <v>1130</v>
      </c>
    </row>
    <row r="239" spans="1:16">
      <c r="A239" s="345">
        <v>20131106</v>
      </c>
      <c r="B239" s="352" t="s">
        <v>3719</v>
      </c>
      <c r="C239" s="352" t="s">
        <v>1270</v>
      </c>
      <c r="E239" s="345">
        <v>19500</v>
      </c>
      <c r="F239" s="345">
        <v>975</v>
      </c>
      <c r="G239" s="345">
        <v>20475</v>
      </c>
      <c r="H239" s="377" t="s">
        <v>1132</v>
      </c>
      <c r="I239" s="350">
        <v>755</v>
      </c>
      <c r="J239" s="350">
        <v>20475</v>
      </c>
      <c r="M239" s="350">
        <f t="shared" si="16"/>
        <v>20475</v>
      </c>
      <c r="O239" s="351">
        <f t="shared" si="17"/>
        <v>0</v>
      </c>
      <c r="P239" s="378" t="s">
        <v>1130</v>
      </c>
    </row>
    <row r="240" spans="1:16">
      <c r="A240" s="345">
        <v>20131204</v>
      </c>
      <c r="B240" s="352" t="s">
        <v>3720</v>
      </c>
      <c r="C240" s="352" t="s">
        <v>2</v>
      </c>
      <c r="E240" s="345">
        <v>132000</v>
      </c>
      <c r="F240" s="345">
        <v>6600</v>
      </c>
      <c r="G240" s="345">
        <v>138600</v>
      </c>
      <c r="H240" s="377" t="s">
        <v>1276</v>
      </c>
      <c r="I240" s="343" t="s">
        <v>3040</v>
      </c>
      <c r="J240" s="350">
        <v>138600</v>
      </c>
      <c r="M240" s="350">
        <f t="shared" si="16"/>
        <v>138600</v>
      </c>
      <c r="O240" s="351">
        <f t="shared" si="17"/>
        <v>0</v>
      </c>
      <c r="P240" s="378" t="s">
        <v>1172</v>
      </c>
    </row>
    <row r="241" spans="1:17">
      <c r="A241" s="345">
        <v>20131213</v>
      </c>
      <c r="B241" s="352" t="s">
        <v>3721</v>
      </c>
      <c r="C241" s="352" t="s">
        <v>1532</v>
      </c>
      <c r="E241" s="345">
        <v>12857</v>
      </c>
      <c r="F241" s="345">
        <v>643</v>
      </c>
      <c r="G241" s="345">
        <v>13500</v>
      </c>
      <c r="H241" s="377" t="s">
        <v>1112</v>
      </c>
      <c r="I241" s="343" t="s">
        <v>3041</v>
      </c>
      <c r="L241" s="350">
        <v>13485</v>
      </c>
      <c r="M241" s="350">
        <f t="shared" si="16"/>
        <v>13485</v>
      </c>
      <c r="N241" s="351">
        <v>15</v>
      </c>
      <c r="O241" s="351">
        <f t="shared" si="17"/>
        <v>0</v>
      </c>
      <c r="P241" s="378" t="s">
        <v>1097</v>
      </c>
    </row>
    <row r="242" spans="1:17">
      <c r="A242" s="345">
        <v>20131225</v>
      </c>
      <c r="B242" s="352" t="s">
        <v>3722</v>
      </c>
      <c r="C242" s="352" t="s">
        <v>747</v>
      </c>
      <c r="E242" s="345">
        <v>40000</v>
      </c>
      <c r="F242" s="345">
        <v>2000</v>
      </c>
      <c r="G242" s="345">
        <v>42000</v>
      </c>
      <c r="H242" s="377"/>
      <c r="I242" s="343" t="s">
        <v>3042</v>
      </c>
      <c r="L242" s="350">
        <v>42000</v>
      </c>
      <c r="M242" s="350">
        <f t="shared" si="16"/>
        <v>42000</v>
      </c>
      <c r="O242" s="351">
        <f t="shared" si="17"/>
        <v>0</v>
      </c>
      <c r="P242" s="378" t="s">
        <v>3709</v>
      </c>
    </row>
    <row r="243" spans="1:17">
      <c r="A243" s="345">
        <v>20131226</v>
      </c>
      <c r="B243" s="352" t="s">
        <v>3723</v>
      </c>
      <c r="C243" s="352" t="s">
        <v>747</v>
      </c>
      <c r="E243" s="345">
        <v>20000</v>
      </c>
      <c r="F243" s="345">
        <v>1000</v>
      </c>
      <c r="G243" s="345">
        <v>21000</v>
      </c>
      <c r="H243" s="379"/>
      <c r="I243" s="343" t="s">
        <v>3043</v>
      </c>
      <c r="L243" s="350">
        <v>21000</v>
      </c>
      <c r="M243" s="350">
        <f t="shared" si="16"/>
        <v>21000</v>
      </c>
      <c r="O243" s="351">
        <f t="shared" si="17"/>
        <v>0</v>
      </c>
      <c r="P243" s="378" t="s">
        <v>3709</v>
      </c>
    </row>
    <row r="247" spans="1:17" s="347" customFormat="1">
      <c r="A247" s="346" t="s">
        <v>3044</v>
      </c>
      <c r="D247" s="348" t="s">
        <v>2377</v>
      </c>
      <c r="E247" s="376">
        <f>SUM(E248:E324)</f>
        <v>3012433</v>
      </c>
      <c r="F247" s="376">
        <f>SUM(F248:F324)</f>
        <v>150622</v>
      </c>
      <c r="G247" s="376">
        <f>SUM(G248:G324)</f>
        <v>3163055</v>
      </c>
      <c r="H247" s="349"/>
      <c r="I247" s="383"/>
      <c r="J247" s="376">
        <f t="shared" ref="J247:O247" si="18">SUM(J248:J324)</f>
        <v>2138340</v>
      </c>
      <c r="K247" s="376">
        <f t="shared" si="18"/>
        <v>245700</v>
      </c>
      <c r="L247" s="376">
        <f t="shared" si="18"/>
        <v>821315</v>
      </c>
      <c r="M247" s="376">
        <f t="shared" si="18"/>
        <v>3205355</v>
      </c>
      <c r="N247" s="376">
        <f t="shared" si="18"/>
        <v>225</v>
      </c>
      <c r="O247" s="376">
        <f t="shared" si="18"/>
        <v>0</v>
      </c>
      <c r="P247" s="391"/>
    </row>
    <row r="248" spans="1:17">
      <c r="A248" s="183">
        <v>20140107</v>
      </c>
      <c r="B248" s="183" t="s">
        <v>3045</v>
      </c>
      <c r="C248" s="183" t="s">
        <v>3825</v>
      </c>
      <c r="E248" s="183">
        <v>13500</v>
      </c>
      <c r="F248" s="183">
        <v>675</v>
      </c>
      <c r="G248" s="393">
        <f t="shared" ref="G248:G257" si="19">E248+F248</f>
        <v>14175</v>
      </c>
      <c r="H248" s="350">
        <v>5</v>
      </c>
      <c r="I248" s="343" t="s">
        <v>3046</v>
      </c>
      <c r="L248" s="350">
        <v>14145</v>
      </c>
      <c r="M248" s="350">
        <f t="shared" ref="M248:M311" si="20">J248+K248+L248</f>
        <v>14145</v>
      </c>
      <c r="N248" s="351">
        <v>30</v>
      </c>
      <c r="O248" s="351">
        <f t="shared" ref="O248:O311" si="21">G248-M248-N248</f>
        <v>0</v>
      </c>
      <c r="P248" s="394" t="s">
        <v>1072</v>
      </c>
    </row>
    <row r="249" spans="1:17">
      <c r="A249" s="183">
        <v>20140107</v>
      </c>
      <c r="B249" s="183" t="s">
        <v>3047</v>
      </c>
      <c r="C249" s="183" t="s">
        <v>2421</v>
      </c>
      <c r="E249" s="183">
        <v>12600</v>
      </c>
      <c r="F249" s="183">
        <v>630</v>
      </c>
      <c r="G249" s="393">
        <f t="shared" si="19"/>
        <v>13230</v>
      </c>
      <c r="H249" s="350">
        <v>3</v>
      </c>
      <c r="I249" s="343" t="s">
        <v>3048</v>
      </c>
      <c r="L249" s="350">
        <v>13220</v>
      </c>
      <c r="M249" s="350">
        <f t="shared" si="20"/>
        <v>13220</v>
      </c>
      <c r="N249" s="351">
        <v>10</v>
      </c>
      <c r="O249" s="351">
        <f t="shared" si="21"/>
        <v>0</v>
      </c>
      <c r="P249" s="394" t="s">
        <v>1084</v>
      </c>
    </row>
    <row r="250" spans="1:17">
      <c r="A250" s="183">
        <v>20140107</v>
      </c>
      <c r="B250" s="183" t="s">
        <v>3049</v>
      </c>
      <c r="C250" s="199" t="s">
        <v>2060</v>
      </c>
      <c r="E250" s="199">
        <v>13500</v>
      </c>
      <c r="F250" s="183">
        <v>675</v>
      </c>
      <c r="G250" s="393">
        <f t="shared" si="19"/>
        <v>14175</v>
      </c>
      <c r="H250" s="350">
        <v>3</v>
      </c>
      <c r="I250" s="343" t="s">
        <v>3042</v>
      </c>
      <c r="L250" s="350">
        <v>14175</v>
      </c>
      <c r="M250" s="350">
        <f t="shared" si="20"/>
        <v>14175</v>
      </c>
      <c r="O250" s="351">
        <f t="shared" si="21"/>
        <v>0</v>
      </c>
      <c r="P250" s="394" t="s">
        <v>1099</v>
      </c>
    </row>
    <row r="251" spans="1:17">
      <c r="A251" s="183">
        <v>20140107</v>
      </c>
      <c r="B251" s="183" t="s">
        <v>3050</v>
      </c>
      <c r="C251" s="199" t="s">
        <v>1302</v>
      </c>
      <c r="E251" s="199">
        <v>91200</v>
      </c>
      <c r="F251" s="183">
        <v>4560</v>
      </c>
      <c r="G251" s="393">
        <f t="shared" si="19"/>
        <v>95760</v>
      </c>
      <c r="H251" s="377" t="s">
        <v>1276</v>
      </c>
      <c r="I251" s="343" t="s">
        <v>3051</v>
      </c>
      <c r="J251" s="350">
        <v>95760</v>
      </c>
      <c r="M251" s="350">
        <f t="shared" si="20"/>
        <v>95760</v>
      </c>
      <c r="O251" s="351">
        <f t="shared" si="21"/>
        <v>0</v>
      </c>
      <c r="P251" s="394" t="s">
        <v>1121</v>
      </c>
    </row>
    <row r="252" spans="1:17">
      <c r="A252" s="183">
        <v>20140108</v>
      </c>
      <c r="B252" s="183" t="s">
        <v>3052</v>
      </c>
      <c r="C252" s="199" t="s">
        <v>606</v>
      </c>
      <c r="E252" s="199">
        <v>102857</v>
      </c>
      <c r="F252" s="183">
        <v>5143</v>
      </c>
      <c r="G252" s="393">
        <f t="shared" si="19"/>
        <v>108000</v>
      </c>
      <c r="H252" s="377" t="s">
        <v>1276</v>
      </c>
      <c r="I252" s="343" t="s">
        <v>3053</v>
      </c>
      <c r="J252" s="350">
        <v>108000</v>
      </c>
      <c r="M252" s="350">
        <f t="shared" si="20"/>
        <v>108000</v>
      </c>
      <c r="O252" s="351">
        <f t="shared" si="21"/>
        <v>0</v>
      </c>
      <c r="P252" s="394" t="s">
        <v>3054</v>
      </c>
    </row>
    <row r="253" spans="1:17">
      <c r="A253" s="183">
        <v>20140127</v>
      </c>
      <c r="B253" s="183" t="s">
        <v>1842</v>
      </c>
      <c r="C253" s="254" t="s">
        <v>1843</v>
      </c>
      <c r="D253" s="352"/>
      <c r="E253" s="183">
        <v>-40500</v>
      </c>
      <c r="F253" s="183">
        <v>-2025</v>
      </c>
      <c r="G253" s="352">
        <f t="shared" si="19"/>
        <v>-42525</v>
      </c>
      <c r="H253" s="377" t="s">
        <v>3055</v>
      </c>
      <c r="I253" s="343"/>
      <c r="M253" s="350">
        <f t="shared" si="20"/>
        <v>0</v>
      </c>
      <c r="P253" s="381" t="s">
        <v>1845</v>
      </c>
      <c r="Q253" s="352" t="s">
        <v>3056</v>
      </c>
    </row>
    <row r="254" spans="1:17">
      <c r="A254" s="183">
        <v>20140206</v>
      </c>
      <c r="B254" s="183" t="s">
        <v>3057</v>
      </c>
      <c r="C254" s="199" t="s">
        <v>1013</v>
      </c>
      <c r="E254" s="199">
        <v>19500</v>
      </c>
      <c r="F254" s="183">
        <v>975</v>
      </c>
      <c r="G254" s="393">
        <f t="shared" si="19"/>
        <v>20475</v>
      </c>
      <c r="H254" s="350">
        <v>6</v>
      </c>
      <c r="I254" s="350">
        <v>620</v>
      </c>
      <c r="K254" s="350">
        <v>20475</v>
      </c>
      <c r="M254" s="350">
        <f t="shared" si="20"/>
        <v>20475</v>
      </c>
      <c r="O254" s="351">
        <f t="shared" si="21"/>
        <v>0</v>
      </c>
      <c r="P254" s="394" t="s">
        <v>1853</v>
      </c>
    </row>
    <row r="255" spans="1:17">
      <c r="A255" s="183">
        <v>20140206</v>
      </c>
      <c r="B255" s="183" t="s">
        <v>3058</v>
      </c>
      <c r="C255" s="199" t="s">
        <v>1016</v>
      </c>
      <c r="E255" s="199">
        <v>19500</v>
      </c>
      <c r="F255" s="183">
        <v>975</v>
      </c>
      <c r="G255" s="393">
        <f t="shared" si="19"/>
        <v>20475</v>
      </c>
      <c r="H255" s="350">
        <v>6</v>
      </c>
      <c r="I255" s="350">
        <v>628</v>
      </c>
      <c r="K255" s="350">
        <v>20475</v>
      </c>
      <c r="M255" s="350">
        <f t="shared" si="20"/>
        <v>20475</v>
      </c>
      <c r="O255" s="351">
        <f t="shared" si="21"/>
        <v>0</v>
      </c>
      <c r="P255" s="394" t="s">
        <v>1854</v>
      </c>
    </row>
    <row r="256" spans="1:17">
      <c r="A256" s="183">
        <v>20140206</v>
      </c>
      <c r="B256" s="183" t="s">
        <v>3059</v>
      </c>
      <c r="C256" s="199" t="s">
        <v>701</v>
      </c>
      <c r="E256" s="199">
        <v>19500</v>
      </c>
      <c r="F256" s="183">
        <v>975</v>
      </c>
      <c r="G256" s="393">
        <f t="shared" si="19"/>
        <v>20475</v>
      </c>
      <c r="H256" s="350">
        <v>3</v>
      </c>
      <c r="I256" s="350">
        <v>735</v>
      </c>
      <c r="K256" s="350">
        <v>20475</v>
      </c>
      <c r="M256" s="350">
        <f t="shared" si="20"/>
        <v>20475</v>
      </c>
      <c r="O256" s="351">
        <f t="shared" si="21"/>
        <v>0</v>
      </c>
      <c r="P256" s="394" t="s">
        <v>3695</v>
      </c>
    </row>
    <row r="257" spans="1:16">
      <c r="A257" s="183">
        <v>20140206</v>
      </c>
      <c r="B257" s="183" t="s">
        <v>3060</v>
      </c>
      <c r="C257" s="199" t="s">
        <v>1232</v>
      </c>
      <c r="E257" s="393">
        <v>15600</v>
      </c>
      <c r="F257" s="393">
        <v>780</v>
      </c>
      <c r="G257" s="393">
        <f t="shared" si="19"/>
        <v>16380</v>
      </c>
      <c r="H257" s="350">
        <v>12</v>
      </c>
      <c r="I257" s="350">
        <v>782</v>
      </c>
      <c r="J257" s="350">
        <v>16380</v>
      </c>
      <c r="M257" s="350">
        <f t="shared" si="20"/>
        <v>16380</v>
      </c>
      <c r="O257" s="351">
        <f t="shared" si="21"/>
        <v>0</v>
      </c>
      <c r="P257" s="394" t="s">
        <v>1080</v>
      </c>
    </row>
    <row r="258" spans="1:16">
      <c r="A258" s="183"/>
      <c r="B258" s="183" t="s">
        <v>3061</v>
      </c>
      <c r="C258" s="183"/>
      <c r="D258" s="254" t="s">
        <v>1235</v>
      </c>
      <c r="E258" s="183"/>
      <c r="F258" s="183"/>
      <c r="G258" s="393"/>
      <c r="M258" s="350">
        <f t="shared" si="20"/>
        <v>0</v>
      </c>
      <c r="O258" s="351">
        <f t="shared" si="21"/>
        <v>0</v>
      </c>
      <c r="P258" s="394"/>
    </row>
    <row r="259" spans="1:16">
      <c r="A259" s="183">
        <v>20140401</v>
      </c>
      <c r="B259" s="183" t="s">
        <v>3062</v>
      </c>
      <c r="C259" s="183" t="s">
        <v>1532</v>
      </c>
      <c r="E259" s="183">
        <v>12857</v>
      </c>
      <c r="F259" s="183">
        <v>643</v>
      </c>
      <c r="G259" s="393">
        <f>E259+F259</f>
        <v>13500</v>
      </c>
      <c r="H259" s="350">
        <v>5</v>
      </c>
      <c r="I259" s="343" t="s">
        <v>3063</v>
      </c>
      <c r="L259" s="350">
        <v>13485</v>
      </c>
      <c r="M259" s="350">
        <f t="shared" si="20"/>
        <v>13485</v>
      </c>
      <c r="N259" s="351">
        <v>15</v>
      </c>
      <c r="O259" s="351">
        <f t="shared" si="21"/>
        <v>0</v>
      </c>
      <c r="P259" s="394" t="s">
        <v>1097</v>
      </c>
    </row>
    <row r="260" spans="1:16">
      <c r="A260" s="183">
        <v>20140401</v>
      </c>
      <c r="B260" s="183" t="s">
        <v>3064</v>
      </c>
      <c r="C260" s="199" t="s">
        <v>1013</v>
      </c>
      <c r="E260" s="199">
        <v>60000</v>
      </c>
      <c r="F260" s="183">
        <v>3000</v>
      </c>
      <c r="G260" s="393">
        <f>E260+F260</f>
        <v>63000</v>
      </c>
      <c r="I260" s="343" t="s">
        <v>3065</v>
      </c>
      <c r="L260" s="350">
        <v>63000</v>
      </c>
      <c r="M260" s="350">
        <f t="shared" si="20"/>
        <v>63000</v>
      </c>
      <c r="O260" s="351">
        <f t="shared" si="21"/>
        <v>0</v>
      </c>
      <c r="P260" s="394" t="s">
        <v>1853</v>
      </c>
    </row>
    <row r="261" spans="1:16">
      <c r="A261" s="183">
        <v>20140401</v>
      </c>
      <c r="B261" s="183" t="s">
        <v>3066</v>
      </c>
      <c r="C261" s="199" t="s">
        <v>1016</v>
      </c>
      <c r="E261" s="199">
        <v>60000</v>
      </c>
      <c r="F261" s="183">
        <v>3000</v>
      </c>
      <c r="G261" s="393">
        <f>E261+F261</f>
        <v>63000</v>
      </c>
      <c r="I261" s="343" t="s">
        <v>3067</v>
      </c>
      <c r="L261" s="350">
        <v>63000</v>
      </c>
      <c r="M261" s="350">
        <f t="shared" si="20"/>
        <v>63000</v>
      </c>
      <c r="O261" s="351">
        <f t="shared" si="21"/>
        <v>0</v>
      </c>
      <c r="P261" s="394" t="s">
        <v>1854</v>
      </c>
    </row>
    <row r="262" spans="1:16">
      <c r="A262" s="183">
        <v>20140401</v>
      </c>
      <c r="B262" s="183" t="s">
        <v>3068</v>
      </c>
      <c r="C262" s="199" t="s">
        <v>1013</v>
      </c>
      <c r="E262" s="199">
        <v>40000</v>
      </c>
      <c r="F262" s="183">
        <v>2000</v>
      </c>
      <c r="G262" s="393">
        <f>E262+F262</f>
        <v>42000</v>
      </c>
      <c r="I262" s="343" t="s">
        <v>3065</v>
      </c>
      <c r="L262" s="350">
        <v>42000</v>
      </c>
      <c r="M262" s="350">
        <f t="shared" si="20"/>
        <v>42000</v>
      </c>
      <c r="O262" s="351">
        <f t="shared" si="21"/>
        <v>0</v>
      </c>
      <c r="P262" s="394" t="s">
        <v>1853</v>
      </c>
    </row>
    <row r="263" spans="1:16">
      <c r="A263" s="183">
        <v>20140401</v>
      </c>
      <c r="B263" s="183" t="s">
        <v>3069</v>
      </c>
      <c r="C263" s="199" t="s">
        <v>1016</v>
      </c>
      <c r="E263" s="199">
        <v>40000</v>
      </c>
      <c r="F263" s="183">
        <v>2000</v>
      </c>
      <c r="G263" s="393">
        <f>E263+F263</f>
        <v>42000</v>
      </c>
      <c r="I263" s="343" t="s">
        <v>3067</v>
      </c>
      <c r="L263" s="350">
        <v>42000</v>
      </c>
      <c r="M263" s="350">
        <f t="shared" si="20"/>
        <v>42000</v>
      </c>
      <c r="O263" s="351">
        <f t="shared" si="21"/>
        <v>0</v>
      </c>
      <c r="P263" s="394" t="s">
        <v>1854</v>
      </c>
    </row>
    <row r="264" spans="1:16">
      <c r="A264" s="183"/>
      <c r="B264" s="183" t="s">
        <v>3070</v>
      </c>
      <c r="C264" s="183"/>
      <c r="D264" s="254" t="s">
        <v>1235</v>
      </c>
      <c r="E264" s="199"/>
      <c r="F264" s="183"/>
      <c r="G264" s="393"/>
      <c r="M264" s="350">
        <f t="shared" si="20"/>
        <v>0</v>
      </c>
      <c r="O264" s="351">
        <f t="shared" si="21"/>
        <v>0</v>
      </c>
      <c r="P264" s="394"/>
    </row>
    <row r="265" spans="1:16">
      <c r="A265" s="183">
        <v>20140409</v>
      </c>
      <c r="B265" s="183" t="s">
        <v>3071</v>
      </c>
      <c r="C265" s="199" t="s">
        <v>1016</v>
      </c>
      <c r="E265" s="199">
        <v>19048</v>
      </c>
      <c r="F265" s="183">
        <v>952</v>
      </c>
      <c r="G265" s="393">
        <f>E265+F265</f>
        <v>20000</v>
      </c>
      <c r="I265" s="343" t="s">
        <v>3072</v>
      </c>
      <c r="L265" s="350">
        <v>20000</v>
      </c>
      <c r="M265" s="350">
        <f t="shared" si="20"/>
        <v>20000</v>
      </c>
      <c r="O265" s="351">
        <f t="shared" si="21"/>
        <v>0</v>
      </c>
      <c r="P265" s="394" t="s">
        <v>1854</v>
      </c>
    </row>
    <row r="266" spans="1:16">
      <c r="A266" s="183">
        <v>20140423</v>
      </c>
      <c r="B266" s="183" t="s">
        <v>3073</v>
      </c>
      <c r="C266" s="199" t="s">
        <v>2060</v>
      </c>
      <c r="E266" s="393">
        <v>13500</v>
      </c>
      <c r="F266" s="393">
        <v>675</v>
      </c>
      <c r="G266" s="393">
        <f>E266+F266</f>
        <v>14175</v>
      </c>
      <c r="H266" s="350">
        <v>4</v>
      </c>
      <c r="I266" s="343" t="s">
        <v>3074</v>
      </c>
      <c r="L266" s="350">
        <v>14165</v>
      </c>
      <c r="M266" s="350">
        <f t="shared" si="20"/>
        <v>14165</v>
      </c>
      <c r="N266" s="351">
        <v>10</v>
      </c>
      <c r="O266" s="351">
        <f t="shared" si="21"/>
        <v>0</v>
      </c>
      <c r="P266" s="394" t="s">
        <v>1099</v>
      </c>
    </row>
    <row r="267" spans="1:16">
      <c r="A267" s="183">
        <v>20140423</v>
      </c>
      <c r="B267" s="183" t="s">
        <v>3075</v>
      </c>
      <c r="C267" s="199" t="s">
        <v>2421</v>
      </c>
      <c r="E267" s="393">
        <v>12600</v>
      </c>
      <c r="F267" s="393">
        <v>630</v>
      </c>
      <c r="G267" s="393">
        <f>E267+F267</f>
        <v>13230</v>
      </c>
      <c r="H267" s="350">
        <v>4</v>
      </c>
      <c r="I267" s="343" t="s">
        <v>3076</v>
      </c>
      <c r="L267" s="350">
        <v>13220</v>
      </c>
      <c r="M267" s="350">
        <f t="shared" si="20"/>
        <v>13220</v>
      </c>
      <c r="N267" s="351">
        <v>10</v>
      </c>
      <c r="O267" s="351">
        <f t="shared" si="21"/>
        <v>0</v>
      </c>
      <c r="P267" s="394" t="s">
        <v>1084</v>
      </c>
    </row>
    <row r="268" spans="1:16">
      <c r="A268" s="183">
        <v>20140423</v>
      </c>
      <c r="B268" s="183" t="s">
        <v>3077</v>
      </c>
      <c r="C268" s="199" t="s">
        <v>3825</v>
      </c>
      <c r="E268" s="393">
        <v>13500</v>
      </c>
      <c r="F268" s="393">
        <v>675</v>
      </c>
      <c r="G268" s="393">
        <f>E268+F268</f>
        <v>14175</v>
      </c>
      <c r="H268" s="350">
        <v>6</v>
      </c>
      <c r="I268" s="343" t="s">
        <v>3078</v>
      </c>
      <c r="L268" s="350">
        <v>14145</v>
      </c>
      <c r="M268" s="350">
        <f t="shared" si="20"/>
        <v>14145</v>
      </c>
      <c r="N268" s="351">
        <v>30</v>
      </c>
      <c r="O268" s="351">
        <f t="shared" si="21"/>
        <v>0</v>
      </c>
      <c r="P268" s="394" t="s">
        <v>1072</v>
      </c>
    </row>
    <row r="269" spans="1:16">
      <c r="A269" s="183">
        <v>20140501</v>
      </c>
      <c r="B269" s="183" t="s">
        <v>3079</v>
      </c>
      <c r="C269" s="183" t="s">
        <v>1303</v>
      </c>
      <c r="E269" s="183">
        <v>100800</v>
      </c>
      <c r="F269" s="183">
        <v>5040</v>
      </c>
      <c r="G269" s="393">
        <v>105840</v>
      </c>
      <c r="H269" s="377" t="s">
        <v>1276</v>
      </c>
      <c r="I269" s="343" t="s">
        <v>3080</v>
      </c>
      <c r="J269" s="350">
        <v>105840</v>
      </c>
      <c r="M269" s="350">
        <f t="shared" si="20"/>
        <v>105840</v>
      </c>
      <c r="O269" s="351">
        <f t="shared" si="21"/>
        <v>0</v>
      </c>
      <c r="P269" s="394" t="s">
        <v>1153</v>
      </c>
    </row>
    <row r="270" spans="1:16">
      <c r="A270" s="183">
        <v>20140505</v>
      </c>
      <c r="B270" s="183" t="s">
        <v>3081</v>
      </c>
      <c r="C270" s="183" t="s">
        <v>944</v>
      </c>
      <c r="E270" s="183">
        <v>86400</v>
      </c>
      <c r="F270" s="183">
        <v>4320</v>
      </c>
      <c r="G270" s="393">
        <f>E270+F270</f>
        <v>90720</v>
      </c>
      <c r="H270" s="377" t="s">
        <v>3082</v>
      </c>
      <c r="I270" s="399" t="s">
        <v>4821</v>
      </c>
      <c r="L270" s="350">
        <v>90720</v>
      </c>
      <c r="M270" s="350">
        <f t="shared" si="20"/>
        <v>90720</v>
      </c>
      <c r="O270" s="362">
        <f t="shared" si="21"/>
        <v>0</v>
      </c>
      <c r="P270" s="394" t="s">
        <v>1175</v>
      </c>
    </row>
    <row r="271" spans="1:16">
      <c r="A271" s="183">
        <v>20140508</v>
      </c>
      <c r="B271" s="183" t="s">
        <v>3083</v>
      </c>
      <c r="C271" s="199" t="s">
        <v>1232</v>
      </c>
      <c r="E271" s="199">
        <v>15600</v>
      </c>
      <c r="F271" s="183">
        <v>780</v>
      </c>
      <c r="G271" s="393">
        <f>E271+F271</f>
        <v>16380</v>
      </c>
      <c r="H271" s="350">
        <v>1</v>
      </c>
      <c r="I271" s="350">
        <v>807</v>
      </c>
      <c r="J271" s="350">
        <v>16380</v>
      </c>
      <c r="M271" s="350">
        <f t="shared" si="20"/>
        <v>16380</v>
      </c>
      <c r="O271" s="351">
        <f t="shared" si="21"/>
        <v>0</v>
      </c>
      <c r="P271" s="394" t="s">
        <v>1080</v>
      </c>
    </row>
    <row r="272" spans="1:16">
      <c r="A272" s="183">
        <v>20140512</v>
      </c>
      <c r="B272" s="183" t="s">
        <v>3084</v>
      </c>
      <c r="C272" s="199" t="s">
        <v>1781</v>
      </c>
      <c r="E272" s="199">
        <v>108000</v>
      </c>
      <c r="F272" s="183">
        <v>5400</v>
      </c>
      <c r="G272" s="393">
        <f>E272+F272</f>
        <v>113400</v>
      </c>
      <c r="H272" s="377" t="s">
        <v>1276</v>
      </c>
      <c r="I272" s="343" t="s">
        <v>3085</v>
      </c>
      <c r="J272" s="350">
        <v>113400</v>
      </c>
      <c r="M272" s="350">
        <f t="shared" si="20"/>
        <v>113400</v>
      </c>
      <c r="O272" s="351">
        <f t="shared" si="21"/>
        <v>0</v>
      </c>
      <c r="P272" s="394" t="s">
        <v>1169</v>
      </c>
    </row>
    <row r="273" spans="1:16">
      <c r="A273" s="183"/>
      <c r="B273" s="183" t="s">
        <v>3086</v>
      </c>
      <c r="C273" s="183"/>
      <c r="D273" s="254" t="s">
        <v>1235</v>
      </c>
      <c r="E273" s="199"/>
      <c r="F273" s="183"/>
      <c r="G273" s="393"/>
      <c r="M273" s="350">
        <f t="shared" si="20"/>
        <v>0</v>
      </c>
      <c r="O273" s="351">
        <f t="shared" si="21"/>
        <v>0</v>
      </c>
      <c r="P273" s="394"/>
    </row>
    <row r="274" spans="1:16">
      <c r="A274" s="183"/>
      <c r="B274" s="183" t="s">
        <v>3087</v>
      </c>
      <c r="C274" s="183"/>
      <c r="D274" s="254" t="s">
        <v>1235</v>
      </c>
      <c r="E274" s="199"/>
      <c r="F274" s="183"/>
      <c r="G274" s="393"/>
      <c r="M274" s="350">
        <f t="shared" si="20"/>
        <v>0</v>
      </c>
      <c r="O274" s="351">
        <f t="shared" si="21"/>
        <v>0</v>
      </c>
      <c r="P274" s="394"/>
    </row>
    <row r="275" spans="1:16">
      <c r="A275" s="183">
        <v>20140519</v>
      </c>
      <c r="B275" s="183" t="s">
        <v>3088</v>
      </c>
      <c r="C275" s="199" t="s">
        <v>1013</v>
      </c>
      <c r="E275" s="199">
        <v>19500</v>
      </c>
      <c r="F275" s="183">
        <v>975</v>
      </c>
      <c r="G275" s="393">
        <v>20475</v>
      </c>
      <c r="H275" s="350">
        <v>7</v>
      </c>
      <c r="I275" s="350">
        <v>621</v>
      </c>
      <c r="K275" s="350">
        <v>20475</v>
      </c>
      <c r="M275" s="350">
        <f t="shared" si="20"/>
        <v>20475</v>
      </c>
      <c r="O275" s="351">
        <f t="shared" si="21"/>
        <v>0</v>
      </c>
      <c r="P275" s="394" t="s">
        <v>1853</v>
      </c>
    </row>
    <row r="276" spans="1:16">
      <c r="A276" s="183">
        <v>20140519</v>
      </c>
      <c r="B276" s="183" t="s">
        <v>3089</v>
      </c>
      <c r="C276" s="199" t="s">
        <v>1016</v>
      </c>
      <c r="E276" s="199">
        <v>19500</v>
      </c>
      <c r="F276" s="183">
        <v>975</v>
      </c>
      <c r="G276" s="393">
        <f t="shared" ref="G276:G281" si="22">E276+F276</f>
        <v>20475</v>
      </c>
      <c r="H276" s="350">
        <v>7</v>
      </c>
      <c r="I276" s="350">
        <v>629</v>
      </c>
      <c r="K276" s="350">
        <v>20475</v>
      </c>
      <c r="M276" s="350">
        <f t="shared" si="20"/>
        <v>20475</v>
      </c>
      <c r="O276" s="351">
        <f t="shared" si="21"/>
        <v>0</v>
      </c>
      <c r="P276" s="394" t="s">
        <v>1854</v>
      </c>
    </row>
    <row r="277" spans="1:16">
      <c r="A277" s="183">
        <v>20140519</v>
      </c>
      <c r="B277" s="183" t="s">
        <v>3090</v>
      </c>
      <c r="C277" s="199" t="s">
        <v>701</v>
      </c>
      <c r="E277" s="393">
        <v>19500</v>
      </c>
      <c r="F277" s="393">
        <v>975</v>
      </c>
      <c r="G277" s="393">
        <f t="shared" si="22"/>
        <v>20475</v>
      </c>
      <c r="H277" s="350">
        <v>4</v>
      </c>
      <c r="I277" s="350">
        <v>736</v>
      </c>
      <c r="K277" s="350">
        <v>20475</v>
      </c>
      <c r="M277" s="350">
        <f t="shared" si="20"/>
        <v>20475</v>
      </c>
      <c r="O277" s="351">
        <f t="shared" si="21"/>
        <v>0</v>
      </c>
      <c r="P277" s="394" t="s">
        <v>3695</v>
      </c>
    </row>
    <row r="278" spans="1:16">
      <c r="A278" s="183">
        <v>20140521</v>
      </c>
      <c r="B278" s="183" t="s">
        <v>3091</v>
      </c>
      <c r="C278" s="199" t="s">
        <v>2690</v>
      </c>
      <c r="E278" s="393">
        <v>96000</v>
      </c>
      <c r="F278" s="393">
        <v>4800</v>
      </c>
      <c r="G278" s="393">
        <f t="shared" si="22"/>
        <v>100800</v>
      </c>
      <c r="H278" s="377" t="s">
        <v>1276</v>
      </c>
      <c r="I278" s="343" t="s">
        <v>3092</v>
      </c>
      <c r="J278" s="350">
        <v>100800</v>
      </c>
      <c r="M278" s="350">
        <f t="shared" si="20"/>
        <v>100800</v>
      </c>
      <c r="O278" s="351">
        <f t="shared" si="21"/>
        <v>0</v>
      </c>
      <c r="P278" s="394" t="s">
        <v>1155</v>
      </c>
    </row>
    <row r="279" spans="1:16">
      <c r="A279" s="183">
        <v>20140522</v>
      </c>
      <c r="B279" s="183" t="s">
        <v>3093</v>
      </c>
      <c r="C279" s="199" t="s">
        <v>2424</v>
      </c>
      <c r="E279" s="393">
        <v>86400</v>
      </c>
      <c r="F279" s="393">
        <v>4320</v>
      </c>
      <c r="G279" s="393">
        <f t="shared" si="22"/>
        <v>90720</v>
      </c>
      <c r="H279" s="377" t="s">
        <v>1276</v>
      </c>
      <c r="I279" s="343" t="s">
        <v>3094</v>
      </c>
      <c r="J279" s="350">
        <v>90720</v>
      </c>
      <c r="M279" s="350">
        <f t="shared" si="20"/>
        <v>90720</v>
      </c>
      <c r="O279" s="351">
        <f t="shared" si="21"/>
        <v>0</v>
      </c>
      <c r="P279" s="394" t="s">
        <v>1159</v>
      </c>
    </row>
    <row r="280" spans="1:16">
      <c r="A280" s="183">
        <v>20140527</v>
      </c>
      <c r="B280" s="183" t="s">
        <v>3095</v>
      </c>
      <c r="C280" s="199" t="s">
        <v>2270</v>
      </c>
      <c r="E280" s="393">
        <v>132000</v>
      </c>
      <c r="F280" s="393">
        <v>6600</v>
      </c>
      <c r="G280" s="393">
        <f t="shared" si="22"/>
        <v>138600</v>
      </c>
      <c r="H280" s="377" t="s">
        <v>1276</v>
      </c>
      <c r="I280" s="343" t="s">
        <v>3096</v>
      </c>
      <c r="J280" s="350">
        <v>138600</v>
      </c>
      <c r="M280" s="350">
        <f t="shared" si="20"/>
        <v>138600</v>
      </c>
      <c r="O280" s="351">
        <f t="shared" si="21"/>
        <v>0</v>
      </c>
      <c r="P280" s="394" t="s">
        <v>1172</v>
      </c>
    </row>
    <row r="281" spans="1:16">
      <c r="A281" s="183">
        <v>20140527</v>
      </c>
      <c r="B281" s="183" t="s">
        <v>3097</v>
      </c>
      <c r="C281" s="199" t="s">
        <v>2254</v>
      </c>
      <c r="E281" s="393">
        <v>96000</v>
      </c>
      <c r="F281" s="393">
        <v>4800</v>
      </c>
      <c r="G281" s="393">
        <f t="shared" si="22"/>
        <v>100800</v>
      </c>
      <c r="H281" s="377" t="s">
        <v>1276</v>
      </c>
      <c r="I281" s="343" t="s">
        <v>3098</v>
      </c>
      <c r="J281" s="350">
        <v>100800</v>
      </c>
      <c r="M281" s="350">
        <f t="shared" si="20"/>
        <v>100800</v>
      </c>
      <c r="O281" s="351">
        <f t="shared" si="21"/>
        <v>0</v>
      </c>
      <c r="P281" s="394" t="s">
        <v>1172</v>
      </c>
    </row>
    <row r="282" spans="1:16">
      <c r="A282" s="393">
        <v>20140613</v>
      </c>
      <c r="B282" s="183" t="s">
        <v>3099</v>
      </c>
      <c r="C282" s="395" t="s">
        <v>8</v>
      </c>
      <c r="E282" s="393">
        <v>108000</v>
      </c>
      <c r="F282" s="393">
        <v>5400</v>
      </c>
      <c r="G282" s="393">
        <v>113400</v>
      </c>
      <c r="H282" s="377" t="s">
        <v>1276</v>
      </c>
      <c r="I282" s="343" t="s">
        <v>3100</v>
      </c>
      <c r="J282" s="350">
        <v>113400</v>
      </c>
      <c r="M282" s="350">
        <f t="shared" si="20"/>
        <v>113400</v>
      </c>
      <c r="O282" s="351">
        <f t="shared" si="21"/>
        <v>0</v>
      </c>
      <c r="P282" s="396">
        <v>12946185</v>
      </c>
    </row>
    <row r="283" spans="1:16">
      <c r="A283" s="183">
        <v>20140811</v>
      </c>
      <c r="B283" s="183" t="s">
        <v>3101</v>
      </c>
      <c r="C283" s="183" t="s">
        <v>1013</v>
      </c>
      <c r="E283" s="183">
        <v>19500</v>
      </c>
      <c r="F283" s="183">
        <v>975</v>
      </c>
      <c r="G283" s="393">
        <f t="shared" ref="G283:G310" si="23">E283+F283</f>
        <v>20475</v>
      </c>
      <c r="H283" s="350">
        <v>8</v>
      </c>
      <c r="I283" s="350">
        <v>622</v>
      </c>
      <c r="K283" s="350">
        <v>20475</v>
      </c>
      <c r="M283" s="350">
        <f t="shared" si="20"/>
        <v>20475</v>
      </c>
      <c r="O283" s="351">
        <f t="shared" si="21"/>
        <v>0</v>
      </c>
      <c r="P283" s="394" t="s">
        <v>1853</v>
      </c>
    </row>
    <row r="284" spans="1:16">
      <c r="A284" s="183">
        <v>20140811</v>
      </c>
      <c r="B284" s="183" t="s">
        <v>3102</v>
      </c>
      <c r="C284" s="183" t="s">
        <v>1016</v>
      </c>
      <c r="E284" s="183">
        <v>19500</v>
      </c>
      <c r="F284" s="183">
        <v>975</v>
      </c>
      <c r="G284" s="393">
        <f t="shared" si="23"/>
        <v>20475</v>
      </c>
      <c r="H284" s="350">
        <v>8</v>
      </c>
      <c r="I284" s="350">
        <v>630</v>
      </c>
      <c r="K284" s="350">
        <v>20475</v>
      </c>
      <c r="M284" s="350">
        <f t="shared" si="20"/>
        <v>20475</v>
      </c>
      <c r="O284" s="351">
        <f t="shared" si="21"/>
        <v>0</v>
      </c>
      <c r="P284" s="394" t="s">
        <v>1854</v>
      </c>
    </row>
    <row r="285" spans="1:16">
      <c r="A285" s="183">
        <v>20140811</v>
      </c>
      <c r="B285" s="183" t="s">
        <v>3103</v>
      </c>
      <c r="C285" s="199" t="s">
        <v>701</v>
      </c>
      <c r="E285" s="199">
        <v>19500</v>
      </c>
      <c r="F285" s="183">
        <v>975</v>
      </c>
      <c r="G285" s="393">
        <f t="shared" si="23"/>
        <v>20475</v>
      </c>
      <c r="H285" s="350">
        <v>5</v>
      </c>
      <c r="I285" s="350">
        <v>737</v>
      </c>
      <c r="K285" s="350">
        <v>20475</v>
      </c>
      <c r="M285" s="350">
        <f t="shared" si="20"/>
        <v>20475</v>
      </c>
      <c r="O285" s="351">
        <f t="shared" si="21"/>
        <v>0</v>
      </c>
      <c r="P285" s="394" t="s">
        <v>3695</v>
      </c>
    </row>
    <row r="286" spans="1:16">
      <c r="A286" s="183">
        <v>20140811</v>
      </c>
      <c r="B286" s="183" t="s">
        <v>3104</v>
      </c>
      <c r="C286" s="199" t="s">
        <v>1232</v>
      </c>
      <c r="E286" s="199">
        <v>15600</v>
      </c>
      <c r="F286" s="183">
        <v>780</v>
      </c>
      <c r="G286" s="393">
        <f t="shared" si="23"/>
        <v>16380</v>
      </c>
      <c r="H286" s="350">
        <v>2</v>
      </c>
      <c r="I286" s="350">
        <v>848</v>
      </c>
      <c r="J286" s="350">
        <v>16380</v>
      </c>
      <c r="M286" s="350">
        <f t="shared" si="20"/>
        <v>16380</v>
      </c>
      <c r="O286" s="351">
        <f t="shared" si="21"/>
        <v>0</v>
      </c>
      <c r="P286" s="394" t="s">
        <v>1080</v>
      </c>
    </row>
    <row r="287" spans="1:16">
      <c r="A287" s="183">
        <v>20140811</v>
      </c>
      <c r="B287" s="183" t="s">
        <v>3105</v>
      </c>
      <c r="C287" s="199" t="s">
        <v>1532</v>
      </c>
      <c r="E287" s="199">
        <v>12857</v>
      </c>
      <c r="F287" s="183">
        <v>643</v>
      </c>
      <c r="G287" s="393">
        <f t="shared" si="23"/>
        <v>13500</v>
      </c>
      <c r="H287" s="350">
        <v>6</v>
      </c>
      <c r="I287" s="343" t="s">
        <v>3106</v>
      </c>
      <c r="L287" s="350">
        <v>13485</v>
      </c>
      <c r="M287" s="350">
        <f t="shared" si="20"/>
        <v>13485</v>
      </c>
      <c r="N287" s="351">
        <v>15</v>
      </c>
      <c r="O287" s="351">
        <f t="shared" si="21"/>
        <v>0</v>
      </c>
      <c r="P287" s="394" t="s">
        <v>1097</v>
      </c>
    </row>
    <row r="288" spans="1:16">
      <c r="A288" s="183">
        <v>20140811</v>
      </c>
      <c r="B288" s="183" t="s">
        <v>3107</v>
      </c>
      <c r="C288" s="199" t="s">
        <v>3825</v>
      </c>
      <c r="E288" s="199">
        <v>13500</v>
      </c>
      <c r="F288" s="183">
        <v>675</v>
      </c>
      <c r="G288" s="393">
        <f t="shared" si="23"/>
        <v>14175</v>
      </c>
      <c r="H288" s="350">
        <v>7</v>
      </c>
      <c r="I288" s="397" t="s">
        <v>3108</v>
      </c>
      <c r="L288" s="350">
        <v>14145</v>
      </c>
      <c r="M288" s="350">
        <f t="shared" si="20"/>
        <v>14145</v>
      </c>
      <c r="N288" s="351">
        <v>30</v>
      </c>
      <c r="O288" s="351">
        <f t="shared" si="21"/>
        <v>0</v>
      </c>
      <c r="P288" s="394" t="s">
        <v>1072</v>
      </c>
    </row>
    <row r="289" spans="1:16">
      <c r="A289" s="183">
        <v>20140811</v>
      </c>
      <c r="B289" s="183" t="s">
        <v>3109</v>
      </c>
      <c r="C289" s="199" t="s">
        <v>2421</v>
      </c>
      <c r="E289" s="199">
        <v>12600</v>
      </c>
      <c r="F289" s="183">
        <v>630</v>
      </c>
      <c r="G289" s="393">
        <f t="shared" si="23"/>
        <v>13230</v>
      </c>
      <c r="H289" s="350">
        <v>5</v>
      </c>
      <c r="I289" s="343" t="s">
        <v>3110</v>
      </c>
      <c r="L289" s="350">
        <v>13220</v>
      </c>
      <c r="M289" s="350">
        <f t="shared" si="20"/>
        <v>13220</v>
      </c>
      <c r="N289" s="351">
        <v>10</v>
      </c>
      <c r="O289" s="351">
        <f t="shared" si="21"/>
        <v>0</v>
      </c>
      <c r="P289" s="394" t="s">
        <v>1084</v>
      </c>
    </row>
    <row r="290" spans="1:16">
      <c r="A290" s="183">
        <v>20140811</v>
      </c>
      <c r="B290" s="183" t="s">
        <v>3111</v>
      </c>
      <c r="C290" s="199" t="s">
        <v>2060</v>
      </c>
      <c r="E290" s="199">
        <v>13500</v>
      </c>
      <c r="F290" s="183">
        <v>675</v>
      </c>
      <c r="G290" s="393">
        <f t="shared" si="23"/>
        <v>14175</v>
      </c>
      <c r="H290" s="350">
        <v>5</v>
      </c>
      <c r="I290" s="343" t="s">
        <v>3112</v>
      </c>
      <c r="L290" s="350">
        <v>14165</v>
      </c>
      <c r="M290" s="350">
        <f t="shared" si="20"/>
        <v>14165</v>
      </c>
      <c r="N290" s="351">
        <v>10</v>
      </c>
      <c r="O290" s="351">
        <f t="shared" si="21"/>
        <v>0</v>
      </c>
      <c r="P290" s="394" t="s">
        <v>1099</v>
      </c>
    </row>
    <row r="291" spans="1:16">
      <c r="A291" s="183">
        <v>20140828</v>
      </c>
      <c r="B291" s="183" t="s">
        <v>3113</v>
      </c>
      <c r="C291" s="199" t="s">
        <v>1304</v>
      </c>
      <c r="E291" s="393">
        <v>72000</v>
      </c>
      <c r="F291" s="393">
        <v>3600</v>
      </c>
      <c r="G291" s="393">
        <f t="shared" si="23"/>
        <v>75600</v>
      </c>
      <c r="H291" s="377" t="s">
        <v>1276</v>
      </c>
      <c r="I291" s="343" t="s">
        <v>3114</v>
      </c>
      <c r="J291" s="350">
        <v>75600</v>
      </c>
      <c r="M291" s="350">
        <f t="shared" si="20"/>
        <v>75600</v>
      </c>
      <c r="O291" s="351">
        <f t="shared" si="21"/>
        <v>0</v>
      </c>
      <c r="P291" s="394" t="s">
        <v>3115</v>
      </c>
    </row>
    <row r="292" spans="1:16">
      <c r="A292" s="183">
        <v>20140925</v>
      </c>
      <c r="B292" s="183" t="s">
        <v>3116</v>
      </c>
      <c r="C292" s="183" t="s">
        <v>1301</v>
      </c>
      <c r="E292" s="183">
        <v>108000</v>
      </c>
      <c r="F292" s="183">
        <v>5400</v>
      </c>
      <c r="G292" s="393">
        <f t="shared" si="23"/>
        <v>113400</v>
      </c>
      <c r="H292" s="377" t="s">
        <v>1276</v>
      </c>
      <c r="I292" s="343" t="s">
        <v>3117</v>
      </c>
      <c r="J292" s="350">
        <v>113400</v>
      </c>
      <c r="M292" s="350">
        <f t="shared" si="20"/>
        <v>113400</v>
      </c>
      <c r="O292" s="351">
        <f t="shared" si="21"/>
        <v>0</v>
      </c>
      <c r="P292" s="394" t="s">
        <v>1178</v>
      </c>
    </row>
    <row r="293" spans="1:16">
      <c r="A293" s="183">
        <v>20140930</v>
      </c>
      <c r="B293" s="183" t="s">
        <v>3118</v>
      </c>
      <c r="C293" s="183" t="s">
        <v>264</v>
      </c>
      <c r="E293" s="183">
        <v>86400</v>
      </c>
      <c r="F293" s="183">
        <v>4320</v>
      </c>
      <c r="G293" s="393">
        <f t="shared" si="23"/>
        <v>90720</v>
      </c>
      <c r="H293" s="377" t="s">
        <v>1276</v>
      </c>
      <c r="I293" s="343" t="s">
        <v>3119</v>
      </c>
      <c r="J293" s="350">
        <v>90720</v>
      </c>
      <c r="M293" s="350">
        <f t="shared" si="20"/>
        <v>90720</v>
      </c>
      <c r="O293" s="351">
        <f t="shared" si="21"/>
        <v>0</v>
      </c>
      <c r="P293" s="394" t="s">
        <v>1151</v>
      </c>
    </row>
    <row r="294" spans="1:16">
      <c r="A294" s="183"/>
      <c r="B294" s="183" t="s">
        <v>3120</v>
      </c>
      <c r="C294" s="183"/>
      <c r="D294" s="254" t="s">
        <v>1235</v>
      </c>
      <c r="E294" s="199"/>
      <c r="F294" s="183"/>
      <c r="G294" s="393">
        <f t="shared" si="23"/>
        <v>0</v>
      </c>
      <c r="M294" s="350">
        <f t="shared" si="20"/>
        <v>0</v>
      </c>
      <c r="O294" s="351">
        <f t="shared" si="21"/>
        <v>0</v>
      </c>
      <c r="P294" s="394"/>
    </row>
    <row r="295" spans="1:16">
      <c r="A295" s="183">
        <v>20141028</v>
      </c>
      <c r="B295" s="183" t="s">
        <v>3121</v>
      </c>
      <c r="C295" s="199" t="s">
        <v>4418</v>
      </c>
      <c r="E295" s="199">
        <v>86400</v>
      </c>
      <c r="F295" s="183">
        <v>4320</v>
      </c>
      <c r="G295" s="393">
        <f t="shared" si="23"/>
        <v>90720</v>
      </c>
      <c r="H295" s="399" t="s">
        <v>4302</v>
      </c>
      <c r="I295" s="399" t="s">
        <v>4820</v>
      </c>
      <c r="J295" s="350">
        <v>90720</v>
      </c>
      <c r="M295" s="350">
        <f t="shared" si="20"/>
        <v>90720</v>
      </c>
      <c r="O295" s="351">
        <f t="shared" si="21"/>
        <v>0</v>
      </c>
      <c r="P295" s="394" t="s">
        <v>3122</v>
      </c>
    </row>
    <row r="296" spans="1:16">
      <c r="A296" s="183">
        <v>20141103</v>
      </c>
      <c r="B296" s="183" t="s">
        <v>3123</v>
      </c>
      <c r="C296" s="183" t="s">
        <v>2691</v>
      </c>
      <c r="E296" s="183">
        <v>108000</v>
      </c>
      <c r="F296" s="183">
        <v>5400</v>
      </c>
      <c r="G296" s="393">
        <f t="shared" si="23"/>
        <v>113400</v>
      </c>
      <c r="H296" s="377" t="s">
        <v>1276</v>
      </c>
      <c r="I296" s="343" t="s">
        <v>3124</v>
      </c>
      <c r="J296" s="350">
        <v>113400</v>
      </c>
      <c r="M296" s="350">
        <f t="shared" si="20"/>
        <v>113400</v>
      </c>
      <c r="O296" s="351">
        <f t="shared" si="21"/>
        <v>0</v>
      </c>
      <c r="P296" s="394" t="s">
        <v>1848</v>
      </c>
    </row>
    <row r="297" spans="1:16">
      <c r="A297" s="183">
        <v>20141103</v>
      </c>
      <c r="B297" s="183" t="s">
        <v>3125</v>
      </c>
      <c r="C297" s="183" t="s">
        <v>701</v>
      </c>
      <c r="E297" s="183">
        <v>19500</v>
      </c>
      <c r="F297" s="183">
        <v>975</v>
      </c>
      <c r="G297" s="393">
        <f t="shared" si="23"/>
        <v>20475</v>
      </c>
      <c r="H297" s="350">
        <v>6</v>
      </c>
      <c r="I297" s="350">
        <v>738</v>
      </c>
      <c r="K297" s="350">
        <v>20475</v>
      </c>
      <c r="M297" s="350">
        <f t="shared" si="20"/>
        <v>20475</v>
      </c>
      <c r="O297" s="351">
        <f t="shared" si="21"/>
        <v>0</v>
      </c>
      <c r="P297" s="394" t="s">
        <v>3695</v>
      </c>
    </row>
    <row r="298" spans="1:16">
      <c r="A298" s="183"/>
      <c r="B298" s="183" t="s">
        <v>3126</v>
      </c>
      <c r="C298" s="183"/>
      <c r="D298" s="254" t="s">
        <v>1235</v>
      </c>
      <c r="E298" s="199"/>
      <c r="F298" s="183"/>
      <c r="G298" s="393">
        <f t="shared" si="23"/>
        <v>0</v>
      </c>
      <c r="M298" s="350">
        <f t="shared" si="20"/>
        <v>0</v>
      </c>
      <c r="O298" s="351">
        <f t="shared" si="21"/>
        <v>0</v>
      </c>
      <c r="P298" s="394"/>
    </row>
    <row r="299" spans="1:16">
      <c r="A299" s="183">
        <v>20141103</v>
      </c>
      <c r="B299" s="183" t="s">
        <v>3127</v>
      </c>
      <c r="C299" s="199" t="s">
        <v>1232</v>
      </c>
      <c r="E299" s="199">
        <v>15600</v>
      </c>
      <c r="F299" s="183">
        <v>780</v>
      </c>
      <c r="G299" s="393">
        <f t="shared" si="23"/>
        <v>16380</v>
      </c>
      <c r="H299" s="350">
        <v>3</v>
      </c>
      <c r="I299" s="350">
        <v>924</v>
      </c>
      <c r="J299" s="350">
        <v>16380</v>
      </c>
      <c r="M299" s="350">
        <f t="shared" si="20"/>
        <v>16380</v>
      </c>
      <c r="O299" s="351">
        <f t="shared" si="21"/>
        <v>0</v>
      </c>
      <c r="P299" s="394" t="s">
        <v>1080</v>
      </c>
    </row>
    <row r="300" spans="1:16">
      <c r="A300" s="183">
        <v>20141103</v>
      </c>
      <c r="B300" s="183" t="s">
        <v>3128</v>
      </c>
      <c r="C300" s="199" t="s">
        <v>1532</v>
      </c>
      <c r="E300" s="199">
        <v>12857</v>
      </c>
      <c r="F300" s="183">
        <v>643</v>
      </c>
      <c r="G300" s="393">
        <f t="shared" si="23"/>
        <v>13500</v>
      </c>
      <c r="H300" s="350">
        <v>7</v>
      </c>
      <c r="I300" s="343" t="s">
        <v>3129</v>
      </c>
      <c r="L300" s="350">
        <v>13485</v>
      </c>
      <c r="M300" s="350">
        <f t="shared" si="20"/>
        <v>13485</v>
      </c>
      <c r="N300" s="351">
        <v>15</v>
      </c>
      <c r="O300" s="351">
        <f t="shared" si="21"/>
        <v>0</v>
      </c>
      <c r="P300" s="394" t="s">
        <v>1097</v>
      </c>
    </row>
    <row r="301" spans="1:16">
      <c r="A301" s="183">
        <v>20141103</v>
      </c>
      <c r="B301" s="183" t="s">
        <v>3130</v>
      </c>
      <c r="C301" s="199" t="s">
        <v>3825</v>
      </c>
      <c r="E301" s="199">
        <v>13500</v>
      </c>
      <c r="F301" s="183">
        <v>675</v>
      </c>
      <c r="G301" s="393">
        <f t="shared" si="23"/>
        <v>14175</v>
      </c>
      <c r="H301" s="350">
        <v>8</v>
      </c>
      <c r="I301" s="398" t="s">
        <v>3998</v>
      </c>
      <c r="L301" s="350">
        <v>14145</v>
      </c>
      <c r="M301" s="350">
        <f t="shared" si="20"/>
        <v>14145</v>
      </c>
      <c r="N301" s="351">
        <v>30</v>
      </c>
      <c r="O301" s="351">
        <f t="shared" si="21"/>
        <v>0</v>
      </c>
      <c r="P301" s="394" t="s">
        <v>1072</v>
      </c>
    </row>
    <row r="302" spans="1:16">
      <c r="A302" s="183">
        <v>20141103</v>
      </c>
      <c r="B302" s="183" t="s">
        <v>3131</v>
      </c>
      <c r="C302" s="199" t="s">
        <v>2421</v>
      </c>
      <c r="E302" s="199">
        <v>12600</v>
      </c>
      <c r="F302" s="183">
        <v>630</v>
      </c>
      <c r="G302" s="393">
        <f t="shared" si="23"/>
        <v>13230</v>
      </c>
      <c r="H302" s="350">
        <v>6</v>
      </c>
      <c r="I302" s="343" t="s">
        <v>1056</v>
      </c>
      <c r="L302" s="350">
        <v>13220</v>
      </c>
      <c r="M302" s="350">
        <f t="shared" si="20"/>
        <v>13220</v>
      </c>
      <c r="N302" s="351">
        <v>10</v>
      </c>
      <c r="O302" s="351">
        <f t="shared" si="21"/>
        <v>0</v>
      </c>
      <c r="P302" s="394" t="s">
        <v>1084</v>
      </c>
    </row>
    <row r="303" spans="1:16">
      <c r="A303" s="183">
        <v>20141103</v>
      </c>
      <c r="B303" s="183" t="s">
        <v>3132</v>
      </c>
      <c r="C303" s="199" t="s">
        <v>2060</v>
      </c>
      <c r="E303" s="199">
        <v>13500</v>
      </c>
      <c r="F303" s="183">
        <v>675</v>
      </c>
      <c r="G303" s="393">
        <f t="shared" si="23"/>
        <v>14175</v>
      </c>
      <c r="H303" s="350">
        <v>6</v>
      </c>
      <c r="I303" s="398" t="s">
        <v>3995</v>
      </c>
      <c r="L303" s="350">
        <v>14175</v>
      </c>
      <c r="M303" s="350">
        <f t="shared" si="20"/>
        <v>14175</v>
      </c>
      <c r="O303" s="351">
        <f t="shared" si="21"/>
        <v>0</v>
      </c>
      <c r="P303" s="394" t="s">
        <v>1099</v>
      </c>
    </row>
    <row r="304" spans="1:16">
      <c r="A304" s="183">
        <v>20141105</v>
      </c>
      <c r="B304" s="183" t="s">
        <v>3133</v>
      </c>
      <c r="C304" s="199" t="s">
        <v>1249</v>
      </c>
      <c r="E304" s="393">
        <v>43200</v>
      </c>
      <c r="F304" s="393">
        <v>2160</v>
      </c>
      <c r="G304" s="393">
        <f t="shared" si="23"/>
        <v>45360</v>
      </c>
      <c r="H304" s="377" t="s">
        <v>3134</v>
      </c>
      <c r="I304" s="343" t="s">
        <v>3135</v>
      </c>
      <c r="J304" s="350">
        <v>45360</v>
      </c>
      <c r="M304" s="350">
        <f t="shared" si="20"/>
        <v>45360</v>
      </c>
      <c r="O304" s="351">
        <f t="shared" si="21"/>
        <v>0</v>
      </c>
      <c r="P304" s="394" t="s">
        <v>1145</v>
      </c>
    </row>
    <row r="305" spans="1:18">
      <c r="A305" s="183">
        <v>20141105</v>
      </c>
      <c r="B305" s="183" t="s">
        <v>3136</v>
      </c>
      <c r="C305" s="199" t="s">
        <v>701</v>
      </c>
      <c r="E305" s="393">
        <v>80000</v>
      </c>
      <c r="F305" s="393">
        <v>4000</v>
      </c>
      <c r="G305" s="393">
        <f t="shared" si="23"/>
        <v>84000</v>
      </c>
      <c r="I305" s="343" t="s">
        <v>3137</v>
      </c>
      <c r="L305" s="350">
        <v>84000</v>
      </c>
      <c r="M305" s="350">
        <f t="shared" si="20"/>
        <v>84000</v>
      </c>
      <c r="O305" s="351">
        <f t="shared" si="21"/>
        <v>0</v>
      </c>
      <c r="P305" s="394" t="s">
        <v>3695</v>
      </c>
    </row>
    <row r="306" spans="1:18">
      <c r="A306" s="183">
        <v>20141105</v>
      </c>
      <c r="B306" s="183" t="s">
        <v>3138</v>
      </c>
      <c r="C306" s="199" t="s">
        <v>1013</v>
      </c>
      <c r="E306" s="393">
        <v>60000</v>
      </c>
      <c r="F306" s="393">
        <v>3000</v>
      </c>
      <c r="G306" s="393">
        <f t="shared" si="23"/>
        <v>63000</v>
      </c>
      <c r="I306" s="343" t="s">
        <v>3139</v>
      </c>
      <c r="L306" s="350">
        <v>63000</v>
      </c>
      <c r="M306" s="350">
        <f t="shared" si="20"/>
        <v>63000</v>
      </c>
      <c r="O306" s="351">
        <f t="shared" si="21"/>
        <v>0</v>
      </c>
      <c r="P306" s="394" t="s">
        <v>1853</v>
      </c>
    </row>
    <row r="307" spans="1:18">
      <c r="A307" s="183">
        <v>20141105</v>
      </c>
      <c r="B307" s="183" t="s">
        <v>3140</v>
      </c>
      <c r="C307" s="199" t="s">
        <v>1016</v>
      </c>
      <c r="E307" s="393">
        <v>60000</v>
      </c>
      <c r="F307" s="393">
        <v>3000</v>
      </c>
      <c r="G307" s="393">
        <f t="shared" si="23"/>
        <v>63000</v>
      </c>
      <c r="I307" s="343" t="s">
        <v>756</v>
      </c>
      <c r="L307" s="350">
        <v>63000</v>
      </c>
      <c r="M307" s="350">
        <f t="shared" si="20"/>
        <v>63000</v>
      </c>
      <c r="O307" s="351">
        <f t="shared" si="21"/>
        <v>0</v>
      </c>
      <c r="P307" s="394" t="s">
        <v>1854</v>
      </c>
    </row>
    <row r="308" spans="1:18">
      <c r="A308" s="183">
        <v>20141105</v>
      </c>
      <c r="B308" s="183" t="s">
        <v>3141</v>
      </c>
      <c r="C308" s="199" t="s">
        <v>1013</v>
      </c>
      <c r="E308" s="393">
        <v>40000</v>
      </c>
      <c r="F308" s="393">
        <v>2000</v>
      </c>
      <c r="G308" s="393">
        <f t="shared" si="23"/>
        <v>42000</v>
      </c>
      <c r="I308" s="343" t="s">
        <v>3139</v>
      </c>
      <c r="L308" s="350">
        <v>42000</v>
      </c>
      <c r="M308" s="350">
        <f t="shared" si="20"/>
        <v>42000</v>
      </c>
      <c r="O308" s="351">
        <f t="shared" si="21"/>
        <v>0</v>
      </c>
      <c r="P308" s="394" t="s">
        <v>1853</v>
      </c>
    </row>
    <row r="309" spans="1:18">
      <c r="A309" s="393">
        <v>20141105</v>
      </c>
      <c r="B309" s="183" t="s">
        <v>3142</v>
      </c>
      <c r="C309" s="395" t="s">
        <v>1016</v>
      </c>
      <c r="E309" s="393">
        <v>40000</v>
      </c>
      <c r="F309" s="393">
        <v>2000</v>
      </c>
      <c r="G309" s="393">
        <f t="shared" si="23"/>
        <v>42000</v>
      </c>
      <c r="I309" s="343" t="s">
        <v>756</v>
      </c>
      <c r="L309" s="350">
        <v>42000</v>
      </c>
      <c r="M309" s="350">
        <f t="shared" si="20"/>
        <v>42000</v>
      </c>
      <c r="O309" s="351">
        <f t="shared" si="21"/>
        <v>0</v>
      </c>
      <c r="P309" s="394" t="s">
        <v>1854</v>
      </c>
    </row>
    <row r="310" spans="1:18">
      <c r="A310" s="393">
        <v>20141120</v>
      </c>
      <c r="B310" s="183" t="s">
        <v>3143</v>
      </c>
      <c r="C310" s="395" t="s">
        <v>1775</v>
      </c>
      <c r="E310" s="393">
        <v>82286</v>
      </c>
      <c r="F310" s="393">
        <v>4114</v>
      </c>
      <c r="G310" s="393">
        <f t="shared" si="23"/>
        <v>86400</v>
      </c>
      <c r="H310" s="399" t="s">
        <v>4302</v>
      </c>
      <c r="I310" s="398" t="s">
        <v>4303</v>
      </c>
      <c r="J310" s="350">
        <v>86400</v>
      </c>
      <c r="M310" s="350">
        <f t="shared" si="20"/>
        <v>86400</v>
      </c>
      <c r="O310" s="351">
        <f t="shared" si="21"/>
        <v>0</v>
      </c>
      <c r="P310" s="394" t="s">
        <v>1833</v>
      </c>
      <c r="R310" s="400" t="s">
        <v>4304</v>
      </c>
    </row>
    <row r="311" spans="1:18">
      <c r="A311" s="393"/>
      <c r="B311" s="183" t="s">
        <v>3144</v>
      </c>
      <c r="C311" s="183"/>
      <c r="D311" s="254" t="s">
        <v>1235</v>
      </c>
      <c r="E311" s="393"/>
      <c r="F311" s="393"/>
      <c r="G311" s="393"/>
      <c r="M311" s="350">
        <f t="shared" si="20"/>
        <v>0</v>
      </c>
      <c r="O311" s="351">
        <f t="shared" si="21"/>
        <v>0</v>
      </c>
      <c r="P311" s="396"/>
    </row>
    <row r="312" spans="1:18">
      <c r="A312" s="393">
        <v>20141201</v>
      </c>
      <c r="B312" s="183" t="s">
        <v>3145</v>
      </c>
      <c r="C312" s="199" t="s">
        <v>1775</v>
      </c>
      <c r="E312" s="393">
        <v>20571</v>
      </c>
      <c r="F312" s="393">
        <v>1029</v>
      </c>
      <c r="G312" s="393">
        <f t="shared" ref="G312:G324" si="24">E312+F312</f>
        <v>21600</v>
      </c>
      <c r="H312" s="399" t="s">
        <v>4302</v>
      </c>
      <c r="I312" s="398" t="s">
        <v>4303</v>
      </c>
      <c r="J312" s="350">
        <v>21600</v>
      </c>
      <c r="M312" s="350">
        <f t="shared" ref="M312:M324" si="25">J312+K312+L312</f>
        <v>21600</v>
      </c>
      <c r="O312" s="351">
        <f t="shared" ref="O312:O324" si="26">G312-M312-N312</f>
        <v>0</v>
      </c>
      <c r="P312" s="394" t="s">
        <v>1833</v>
      </c>
      <c r="R312" s="400" t="s">
        <v>4305</v>
      </c>
    </row>
    <row r="313" spans="1:18">
      <c r="A313" s="393">
        <v>20141201</v>
      </c>
      <c r="B313" s="183" t="s">
        <v>3146</v>
      </c>
      <c r="C313" s="395" t="s">
        <v>1270</v>
      </c>
      <c r="E313" s="393">
        <v>19500</v>
      </c>
      <c r="F313" s="393">
        <v>975</v>
      </c>
      <c r="G313" s="393">
        <f t="shared" si="24"/>
        <v>20475</v>
      </c>
      <c r="H313" s="350">
        <v>1</v>
      </c>
      <c r="I313" s="350">
        <v>886</v>
      </c>
      <c r="J313" s="350">
        <v>20475</v>
      </c>
      <c r="M313" s="350">
        <f t="shared" si="25"/>
        <v>20475</v>
      </c>
      <c r="O313" s="351">
        <f t="shared" si="26"/>
        <v>0</v>
      </c>
      <c r="P313" s="394" t="s">
        <v>1130</v>
      </c>
    </row>
    <row r="314" spans="1:18">
      <c r="A314" s="393">
        <v>20141201</v>
      </c>
      <c r="B314" s="183" t="s">
        <v>3147</v>
      </c>
      <c r="C314" s="395" t="s">
        <v>1270</v>
      </c>
      <c r="E314" s="393">
        <v>19500</v>
      </c>
      <c r="F314" s="393">
        <v>975</v>
      </c>
      <c r="G314" s="393">
        <f t="shared" si="24"/>
        <v>20475</v>
      </c>
      <c r="H314" s="350">
        <v>2</v>
      </c>
      <c r="I314" s="350">
        <v>887</v>
      </c>
      <c r="J314" s="350">
        <v>20475</v>
      </c>
      <c r="M314" s="350">
        <f t="shared" si="25"/>
        <v>20475</v>
      </c>
      <c r="O314" s="351">
        <f t="shared" si="26"/>
        <v>0</v>
      </c>
      <c r="P314" s="394" t="s">
        <v>1130</v>
      </c>
    </row>
    <row r="315" spans="1:18">
      <c r="A315" s="393">
        <v>20141201</v>
      </c>
      <c r="B315" s="183" t="s">
        <v>3148</v>
      </c>
      <c r="C315" s="395" t="s">
        <v>1270</v>
      </c>
      <c r="E315" s="393">
        <v>19500</v>
      </c>
      <c r="F315" s="393">
        <v>975</v>
      </c>
      <c r="G315" s="393">
        <f t="shared" si="24"/>
        <v>20475</v>
      </c>
      <c r="H315" s="350">
        <v>3</v>
      </c>
      <c r="I315" s="350">
        <v>888</v>
      </c>
      <c r="J315" s="350">
        <v>20475</v>
      </c>
      <c r="M315" s="350">
        <f t="shared" si="25"/>
        <v>20475</v>
      </c>
      <c r="O315" s="351">
        <f t="shared" si="26"/>
        <v>0</v>
      </c>
      <c r="P315" s="394" t="s">
        <v>1130</v>
      </c>
    </row>
    <row r="316" spans="1:18">
      <c r="A316" s="393">
        <v>20141201</v>
      </c>
      <c r="B316" s="183" t="s">
        <v>3149</v>
      </c>
      <c r="C316" s="395" t="s">
        <v>1270</v>
      </c>
      <c r="E316" s="393">
        <v>19500</v>
      </c>
      <c r="F316" s="393">
        <v>975</v>
      </c>
      <c r="G316" s="393">
        <f t="shared" si="24"/>
        <v>20475</v>
      </c>
      <c r="H316" s="350">
        <v>4</v>
      </c>
      <c r="I316" s="350">
        <v>889</v>
      </c>
      <c r="J316" s="350">
        <v>20475</v>
      </c>
      <c r="M316" s="350">
        <f t="shared" si="25"/>
        <v>20475</v>
      </c>
      <c r="O316" s="351">
        <f t="shared" si="26"/>
        <v>0</v>
      </c>
      <c r="P316" s="394" t="s">
        <v>1130</v>
      </c>
    </row>
    <row r="317" spans="1:18">
      <c r="A317" s="393">
        <v>20141208</v>
      </c>
      <c r="B317" s="183" t="s">
        <v>3150</v>
      </c>
      <c r="C317" s="395" t="s">
        <v>1013</v>
      </c>
      <c r="E317" s="393">
        <v>19500</v>
      </c>
      <c r="F317" s="393">
        <v>975</v>
      </c>
      <c r="G317" s="393">
        <f t="shared" si="24"/>
        <v>20475</v>
      </c>
      <c r="H317" s="350">
        <v>1</v>
      </c>
      <c r="I317" s="350">
        <v>908</v>
      </c>
      <c r="K317" s="350">
        <v>20475</v>
      </c>
      <c r="M317" s="350">
        <f t="shared" si="25"/>
        <v>20475</v>
      </c>
      <c r="O317" s="351">
        <f t="shared" si="26"/>
        <v>0</v>
      </c>
      <c r="P317" s="394" t="s">
        <v>1853</v>
      </c>
    </row>
    <row r="318" spans="1:18">
      <c r="A318" s="393">
        <v>20141208</v>
      </c>
      <c r="B318" s="183" t="s">
        <v>3151</v>
      </c>
      <c r="C318" s="395" t="s">
        <v>1016</v>
      </c>
      <c r="E318" s="393">
        <v>19500</v>
      </c>
      <c r="F318" s="393">
        <v>975</v>
      </c>
      <c r="G318" s="393">
        <f t="shared" si="24"/>
        <v>20475</v>
      </c>
      <c r="H318" s="350">
        <v>1</v>
      </c>
      <c r="I318" s="350">
        <v>900</v>
      </c>
      <c r="K318" s="350">
        <v>20475</v>
      </c>
      <c r="M318" s="350">
        <f t="shared" si="25"/>
        <v>20475</v>
      </c>
      <c r="O318" s="351">
        <f t="shared" si="26"/>
        <v>0</v>
      </c>
      <c r="P318" s="394" t="s">
        <v>1854</v>
      </c>
    </row>
    <row r="319" spans="1:18">
      <c r="A319" s="393">
        <v>20141208</v>
      </c>
      <c r="B319" s="183" t="s">
        <v>3152</v>
      </c>
      <c r="C319" s="395" t="s">
        <v>1016</v>
      </c>
      <c r="E319" s="393">
        <v>15600</v>
      </c>
      <c r="F319" s="393">
        <v>780</v>
      </c>
      <c r="G319" s="393">
        <f t="shared" si="24"/>
        <v>16380</v>
      </c>
      <c r="H319" s="350">
        <v>1</v>
      </c>
      <c r="I319" s="350">
        <v>916</v>
      </c>
      <c r="J319" s="350">
        <v>16380</v>
      </c>
      <c r="M319" s="350">
        <f t="shared" si="25"/>
        <v>16380</v>
      </c>
      <c r="O319" s="351">
        <f t="shared" si="26"/>
        <v>0</v>
      </c>
      <c r="P319" s="394" t="s">
        <v>1854</v>
      </c>
    </row>
    <row r="320" spans="1:18">
      <c r="A320" s="393">
        <v>20141211</v>
      </c>
      <c r="B320" s="183" t="s">
        <v>3153</v>
      </c>
      <c r="C320" s="395" t="s">
        <v>2688</v>
      </c>
      <c r="E320" s="393">
        <v>86400</v>
      </c>
      <c r="F320" s="393">
        <v>4320</v>
      </c>
      <c r="G320" s="393">
        <f t="shared" si="24"/>
        <v>90720</v>
      </c>
      <c r="H320" s="377" t="s">
        <v>1276</v>
      </c>
      <c r="I320" s="343" t="s">
        <v>3154</v>
      </c>
      <c r="J320" s="350">
        <v>90720</v>
      </c>
      <c r="M320" s="350">
        <f t="shared" si="25"/>
        <v>90720</v>
      </c>
      <c r="O320" s="351">
        <f t="shared" si="26"/>
        <v>0</v>
      </c>
      <c r="P320" s="394" t="s">
        <v>1856</v>
      </c>
    </row>
    <row r="321" spans="1:16">
      <c r="A321" s="393">
        <v>20141216</v>
      </c>
      <c r="B321" s="183" t="s">
        <v>3155</v>
      </c>
      <c r="C321" s="395" t="s">
        <v>1013</v>
      </c>
      <c r="E321" s="393">
        <v>108000</v>
      </c>
      <c r="F321" s="393">
        <v>5400</v>
      </c>
      <c r="G321" s="393">
        <f t="shared" si="24"/>
        <v>113400</v>
      </c>
      <c r="I321" s="350">
        <v>899</v>
      </c>
      <c r="J321" s="350">
        <v>113400</v>
      </c>
      <c r="M321" s="350">
        <f t="shared" si="25"/>
        <v>113400</v>
      </c>
      <c r="O321" s="351">
        <f t="shared" si="26"/>
        <v>0</v>
      </c>
      <c r="P321" s="394" t="s">
        <v>1853</v>
      </c>
    </row>
    <row r="322" spans="1:16">
      <c r="A322" s="393">
        <v>20141216</v>
      </c>
      <c r="B322" s="183" t="s">
        <v>3156</v>
      </c>
      <c r="C322" s="395" t="s">
        <v>1016</v>
      </c>
      <c r="E322" s="393">
        <v>108000</v>
      </c>
      <c r="F322" s="393">
        <v>5400</v>
      </c>
      <c r="G322" s="393">
        <f t="shared" si="24"/>
        <v>113400</v>
      </c>
      <c r="I322" s="350">
        <v>898</v>
      </c>
      <c r="J322" s="350">
        <v>113400</v>
      </c>
      <c r="M322" s="350">
        <f t="shared" si="25"/>
        <v>113400</v>
      </c>
      <c r="O322" s="351">
        <f t="shared" si="26"/>
        <v>0</v>
      </c>
      <c r="P322" s="394" t="s">
        <v>1854</v>
      </c>
    </row>
    <row r="323" spans="1:16">
      <c r="A323" s="393">
        <v>20141226</v>
      </c>
      <c r="B323" s="183" t="s">
        <v>3157</v>
      </c>
      <c r="C323" s="395" t="s">
        <v>1013</v>
      </c>
      <c r="E323" s="393">
        <v>25000</v>
      </c>
      <c r="F323" s="393">
        <v>1250</v>
      </c>
      <c r="G323" s="393">
        <f t="shared" si="24"/>
        <v>26250</v>
      </c>
      <c r="I323" s="350">
        <v>925</v>
      </c>
      <c r="J323" s="350">
        <v>26250</v>
      </c>
      <c r="M323" s="350">
        <f t="shared" si="25"/>
        <v>26250</v>
      </c>
      <c r="O323" s="351">
        <f t="shared" si="26"/>
        <v>0</v>
      </c>
      <c r="P323" s="394" t="s">
        <v>1853</v>
      </c>
    </row>
    <row r="324" spans="1:16">
      <c r="A324" s="393">
        <v>20141226</v>
      </c>
      <c r="B324" s="183" t="s">
        <v>3158</v>
      </c>
      <c r="C324" s="395" t="s">
        <v>1016</v>
      </c>
      <c r="E324" s="393">
        <v>25000</v>
      </c>
      <c r="F324" s="393">
        <v>1250</v>
      </c>
      <c r="G324" s="393">
        <f t="shared" si="24"/>
        <v>26250</v>
      </c>
      <c r="I324" s="350">
        <v>926</v>
      </c>
      <c r="J324" s="350">
        <v>26250</v>
      </c>
      <c r="M324" s="350">
        <f t="shared" si="25"/>
        <v>26250</v>
      </c>
      <c r="O324" s="351">
        <f t="shared" si="26"/>
        <v>0</v>
      </c>
      <c r="P324" s="394" t="s">
        <v>1854</v>
      </c>
    </row>
    <row r="328" spans="1:16" s="347" customFormat="1">
      <c r="A328" s="401" t="s">
        <v>4306</v>
      </c>
      <c r="D328" s="348" t="s">
        <v>2377</v>
      </c>
      <c r="E328" s="376">
        <f>SUM(E329:E405)</f>
        <v>4601170</v>
      </c>
      <c r="F328" s="376">
        <f>SUM(F329:F394)</f>
        <v>123265</v>
      </c>
      <c r="G328" s="376">
        <f>SUM(G329:G405)</f>
        <v>4831230</v>
      </c>
      <c r="H328" s="349"/>
      <c r="I328" s="383"/>
      <c r="J328" s="376">
        <f>SUM(J329:J394)</f>
        <v>1752510</v>
      </c>
      <c r="K328" s="376">
        <f>SUM(K329:K405)</f>
        <v>704340</v>
      </c>
      <c r="L328" s="376">
        <f>SUM(L329:L405)</f>
        <v>1155420</v>
      </c>
      <c r="M328" s="376">
        <f>SUM(M329:M405)</f>
        <v>4743120</v>
      </c>
      <c r="N328" s="376">
        <f>SUM(N329:N405)</f>
        <v>435</v>
      </c>
      <c r="O328" s="376">
        <f>SUM(O329:O394)</f>
        <v>0</v>
      </c>
      <c r="P328" s="391"/>
    </row>
    <row r="329" spans="1:16">
      <c r="A329" s="183">
        <v>20150210</v>
      </c>
      <c r="B329" s="183" t="s">
        <v>4307</v>
      </c>
      <c r="C329" s="183" t="s">
        <v>4201</v>
      </c>
      <c r="E329" s="183">
        <v>19500</v>
      </c>
      <c r="F329" s="183">
        <v>975</v>
      </c>
      <c r="G329" s="393">
        <f t="shared" ref="G329:G339" si="27">E329+F329</f>
        <v>20475</v>
      </c>
      <c r="H329" s="350">
        <v>2</v>
      </c>
      <c r="I329" s="343">
        <v>909</v>
      </c>
      <c r="K329" s="350">
        <v>20475</v>
      </c>
      <c r="M329" s="350">
        <f t="shared" ref="M329:M339" si="28">J329+K329+L329</f>
        <v>20475</v>
      </c>
      <c r="O329" s="351">
        <f t="shared" ref="O329:O339" si="29">G329-M329-N329</f>
        <v>0</v>
      </c>
      <c r="P329" s="402" t="s">
        <v>4308</v>
      </c>
    </row>
    <row r="330" spans="1:16">
      <c r="A330" s="345">
        <v>20150210</v>
      </c>
      <c r="B330" s="403" t="s">
        <v>4309</v>
      </c>
      <c r="C330" s="403" t="s">
        <v>4000</v>
      </c>
      <c r="E330" s="345">
        <v>19500</v>
      </c>
      <c r="F330" s="345">
        <v>975</v>
      </c>
      <c r="G330" s="393">
        <f t="shared" si="27"/>
        <v>20475</v>
      </c>
      <c r="H330" s="350">
        <v>2</v>
      </c>
      <c r="I330" s="350">
        <v>901</v>
      </c>
      <c r="K330" s="350">
        <v>20475</v>
      </c>
      <c r="M330" s="350">
        <f t="shared" si="28"/>
        <v>20475</v>
      </c>
      <c r="O330" s="351">
        <f t="shared" si="29"/>
        <v>0</v>
      </c>
      <c r="P330" s="402" t="s">
        <v>4310</v>
      </c>
    </row>
    <row r="331" spans="1:16">
      <c r="A331" s="345">
        <v>20150210</v>
      </c>
      <c r="B331" s="403" t="s">
        <v>4311</v>
      </c>
      <c r="C331" s="403" t="s">
        <v>4000</v>
      </c>
      <c r="E331" s="345">
        <v>15600</v>
      </c>
      <c r="F331" s="345">
        <v>780</v>
      </c>
      <c r="G331" s="393">
        <f t="shared" si="27"/>
        <v>16380</v>
      </c>
      <c r="H331" s="350">
        <v>2</v>
      </c>
      <c r="I331" s="350">
        <v>917</v>
      </c>
      <c r="K331" s="350">
        <v>16380</v>
      </c>
      <c r="M331" s="350">
        <f t="shared" si="28"/>
        <v>16380</v>
      </c>
      <c r="O331" s="351">
        <f t="shared" si="29"/>
        <v>0</v>
      </c>
      <c r="P331" s="402" t="s">
        <v>4310</v>
      </c>
    </row>
    <row r="332" spans="1:16">
      <c r="A332" s="345">
        <v>20150210</v>
      </c>
      <c r="B332" s="403" t="s">
        <v>4312</v>
      </c>
      <c r="C332" s="403" t="s">
        <v>4204</v>
      </c>
      <c r="E332" s="345">
        <v>19500</v>
      </c>
      <c r="F332" s="345">
        <v>975</v>
      </c>
      <c r="G332" s="393">
        <f t="shared" si="27"/>
        <v>20475</v>
      </c>
      <c r="H332" s="350">
        <v>7</v>
      </c>
      <c r="I332" s="350">
        <v>739</v>
      </c>
      <c r="K332" s="350">
        <v>20475</v>
      </c>
      <c r="M332" s="350">
        <f t="shared" si="28"/>
        <v>20475</v>
      </c>
      <c r="O332" s="351">
        <f t="shared" si="29"/>
        <v>0</v>
      </c>
      <c r="P332" s="402" t="s">
        <v>4313</v>
      </c>
    </row>
    <row r="333" spans="1:16">
      <c r="A333" s="345">
        <v>20150210</v>
      </c>
      <c r="B333" s="403" t="s">
        <v>4314</v>
      </c>
      <c r="C333" s="403" t="s">
        <v>4315</v>
      </c>
      <c r="E333" s="345">
        <v>15600</v>
      </c>
      <c r="F333" s="345">
        <v>780</v>
      </c>
      <c r="G333" s="393">
        <f t="shared" si="27"/>
        <v>16380</v>
      </c>
      <c r="H333" s="350">
        <v>4</v>
      </c>
      <c r="I333" s="350">
        <v>968</v>
      </c>
      <c r="J333" s="350">
        <v>16380</v>
      </c>
      <c r="M333" s="350">
        <f t="shared" si="28"/>
        <v>16380</v>
      </c>
      <c r="O333" s="351">
        <f t="shared" si="29"/>
        <v>0</v>
      </c>
      <c r="P333" s="402" t="s">
        <v>4316</v>
      </c>
    </row>
    <row r="334" spans="1:16">
      <c r="A334" s="345">
        <v>20150210</v>
      </c>
      <c r="B334" s="403" t="s">
        <v>4317</v>
      </c>
      <c r="C334" s="403" t="s">
        <v>4318</v>
      </c>
      <c r="E334" s="345">
        <v>12857</v>
      </c>
      <c r="F334" s="345">
        <v>643</v>
      </c>
      <c r="G334" s="393">
        <f t="shared" si="27"/>
        <v>13500</v>
      </c>
      <c r="H334" s="350">
        <v>8</v>
      </c>
      <c r="I334" s="398" t="s">
        <v>4040</v>
      </c>
      <c r="L334" s="350">
        <v>13485</v>
      </c>
      <c r="M334" s="350">
        <f t="shared" si="28"/>
        <v>13485</v>
      </c>
      <c r="N334" s="351">
        <v>15</v>
      </c>
      <c r="O334" s="351">
        <f t="shared" si="29"/>
        <v>0</v>
      </c>
      <c r="P334" s="402" t="s">
        <v>4319</v>
      </c>
    </row>
    <row r="335" spans="1:16">
      <c r="A335" s="345">
        <v>20150210</v>
      </c>
      <c r="B335" s="403" t="s">
        <v>4320</v>
      </c>
      <c r="C335" s="403" t="s">
        <v>447</v>
      </c>
      <c r="E335" s="345">
        <v>12600</v>
      </c>
      <c r="F335" s="345">
        <v>630</v>
      </c>
      <c r="G335" s="393">
        <f t="shared" si="27"/>
        <v>13230</v>
      </c>
      <c r="H335" s="350">
        <v>7</v>
      </c>
      <c r="I335" s="398" t="s">
        <v>4073</v>
      </c>
      <c r="L335" s="350">
        <v>13220</v>
      </c>
      <c r="M335" s="350">
        <f t="shared" si="28"/>
        <v>13220</v>
      </c>
      <c r="N335" s="351">
        <v>10</v>
      </c>
      <c r="O335" s="351">
        <f t="shared" si="29"/>
        <v>0</v>
      </c>
      <c r="P335" s="402" t="s">
        <v>4321</v>
      </c>
    </row>
    <row r="336" spans="1:16">
      <c r="A336" s="345">
        <v>20150210</v>
      </c>
      <c r="B336" s="403" t="s">
        <v>4322</v>
      </c>
      <c r="C336" s="403" t="s">
        <v>456</v>
      </c>
      <c r="E336" s="345">
        <v>13500</v>
      </c>
      <c r="F336" s="345">
        <v>675</v>
      </c>
      <c r="G336" s="393">
        <f t="shared" si="27"/>
        <v>14175</v>
      </c>
      <c r="H336" s="350">
        <v>7</v>
      </c>
      <c r="I336" s="398" t="s">
        <v>4034</v>
      </c>
      <c r="L336" s="350">
        <v>14175</v>
      </c>
      <c r="M336" s="350">
        <f t="shared" si="28"/>
        <v>14175</v>
      </c>
      <c r="O336" s="351">
        <f t="shared" si="29"/>
        <v>0</v>
      </c>
      <c r="P336" s="402" t="s">
        <v>4323</v>
      </c>
    </row>
    <row r="337" spans="1:16">
      <c r="B337" s="403" t="s">
        <v>4324</v>
      </c>
      <c r="D337" s="254" t="s">
        <v>1235</v>
      </c>
      <c r="G337" s="393">
        <f t="shared" si="27"/>
        <v>0</v>
      </c>
      <c r="M337" s="350">
        <f t="shared" si="28"/>
        <v>0</v>
      </c>
      <c r="O337" s="351">
        <f t="shared" si="29"/>
        <v>0</v>
      </c>
      <c r="P337" s="402"/>
    </row>
    <row r="338" spans="1:16">
      <c r="B338" s="403" t="s">
        <v>4325</v>
      </c>
      <c r="D338" s="254" t="s">
        <v>1235</v>
      </c>
      <c r="G338" s="393">
        <f t="shared" si="27"/>
        <v>0</v>
      </c>
      <c r="M338" s="350">
        <f t="shared" si="28"/>
        <v>0</v>
      </c>
      <c r="O338" s="351">
        <f t="shared" si="29"/>
        <v>0</v>
      </c>
      <c r="P338" s="402"/>
    </row>
    <row r="339" spans="1:16">
      <c r="A339" s="345">
        <v>20150212</v>
      </c>
      <c r="B339" s="403" t="s">
        <v>4326</v>
      </c>
      <c r="C339" s="403" t="s">
        <v>906</v>
      </c>
      <c r="E339" s="345">
        <v>108000</v>
      </c>
      <c r="F339" s="345">
        <v>5400</v>
      </c>
      <c r="G339" s="393">
        <f t="shared" si="27"/>
        <v>113400</v>
      </c>
      <c r="H339" s="377" t="s">
        <v>1276</v>
      </c>
      <c r="I339" s="398" t="s">
        <v>4327</v>
      </c>
      <c r="J339" s="350">
        <v>113400</v>
      </c>
      <c r="M339" s="350">
        <f t="shared" si="28"/>
        <v>113400</v>
      </c>
      <c r="O339" s="351">
        <f t="shared" si="29"/>
        <v>0</v>
      </c>
      <c r="P339" s="402" t="s">
        <v>4328</v>
      </c>
    </row>
    <row r="340" spans="1:16">
      <c r="A340" s="345">
        <v>20150309</v>
      </c>
      <c r="B340" s="403" t="s">
        <v>4329</v>
      </c>
      <c r="C340" s="403" t="s">
        <v>4056</v>
      </c>
      <c r="E340" s="345">
        <v>19500</v>
      </c>
      <c r="F340" s="345">
        <v>975</v>
      </c>
      <c r="G340" s="393">
        <f>E340+F340</f>
        <v>20475</v>
      </c>
      <c r="H340" s="399" t="s">
        <v>4330</v>
      </c>
      <c r="I340" s="350">
        <v>952</v>
      </c>
      <c r="J340" s="350">
        <v>20475</v>
      </c>
      <c r="M340" s="350">
        <f>J340+K340+L340</f>
        <v>20475</v>
      </c>
      <c r="O340" s="351">
        <f>G340-M340-N340</f>
        <v>0</v>
      </c>
      <c r="P340" s="402" t="s">
        <v>4331</v>
      </c>
    </row>
    <row r="341" spans="1:16">
      <c r="A341" s="345">
        <v>20150317</v>
      </c>
      <c r="B341" s="403" t="s">
        <v>4332</v>
      </c>
      <c r="C341" s="403" t="s">
        <v>4038</v>
      </c>
      <c r="E341" s="345">
        <v>108000</v>
      </c>
      <c r="F341" s="345">
        <v>5400</v>
      </c>
      <c r="G341" s="393">
        <f>E341+F341</f>
        <v>113400</v>
      </c>
      <c r="H341" s="377" t="s">
        <v>1276</v>
      </c>
      <c r="I341" s="398" t="s">
        <v>4333</v>
      </c>
      <c r="J341" s="350">
        <v>113400</v>
      </c>
      <c r="M341" s="350">
        <f>J341+K341+L341</f>
        <v>113400</v>
      </c>
      <c r="O341" s="351">
        <f>G341-M341-N341</f>
        <v>0</v>
      </c>
      <c r="P341" s="402" t="s">
        <v>4334</v>
      </c>
    </row>
    <row r="342" spans="1:16">
      <c r="A342" s="345">
        <v>20150326</v>
      </c>
      <c r="B342" s="403" t="s">
        <v>4335</v>
      </c>
      <c r="C342" s="403" t="s">
        <v>4075</v>
      </c>
      <c r="E342" s="345">
        <v>108000</v>
      </c>
      <c r="F342" s="345">
        <v>5400</v>
      </c>
      <c r="G342" s="393">
        <f>E342+F342</f>
        <v>113400</v>
      </c>
      <c r="H342" s="377" t="s">
        <v>1276</v>
      </c>
      <c r="I342" s="398" t="s">
        <v>4336</v>
      </c>
      <c r="J342" s="350">
        <v>113400</v>
      </c>
      <c r="M342" s="350">
        <f>J342+K342+L342</f>
        <v>113400</v>
      </c>
      <c r="O342" s="351">
        <f>G342-M342-N342</f>
        <v>0</v>
      </c>
      <c r="P342" s="402" t="s">
        <v>4337</v>
      </c>
    </row>
    <row r="343" spans="1:16">
      <c r="A343" s="345">
        <v>20150414</v>
      </c>
      <c r="B343" s="403" t="s">
        <v>4338</v>
      </c>
      <c r="C343" s="403" t="s">
        <v>4339</v>
      </c>
      <c r="E343" s="345">
        <v>13500</v>
      </c>
      <c r="F343" s="345">
        <v>675</v>
      </c>
      <c r="G343" s="393">
        <f>E343+F343</f>
        <v>14175</v>
      </c>
      <c r="H343" s="350">
        <v>1</v>
      </c>
      <c r="I343" s="398" t="s">
        <v>4112</v>
      </c>
      <c r="L343" s="350">
        <v>14145</v>
      </c>
      <c r="M343" s="350">
        <f>J343+K343+L343</f>
        <v>14145</v>
      </c>
      <c r="N343" s="351">
        <v>30</v>
      </c>
      <c r="O343" s="351">
        <f>G343-M343-N343</f>
        <v>0</v>
      </c>
      <c r="P343" s="402" t="s">
        <v>4340</v>
      </c>
    </row>
    <row r="344" spans="1:16">
      <c r="A344" s="345">
        <v>20150504</v>
      </c>
      <c r="B344" s="403" t="s">
        <v>4341</v>
      </c>
      <c r="C344" s="403" t="s">
        <v>4113</v>
      </c>
      <c r="E344" s="345">
        <v>100800</v>
      </c>
      <c r="F344" s="345">
        <v>5040</v>
      </c>
      <c r="G344" s="393">
        <f t="shared" ref="G344:G394" si="30">E344+F344</f>
        <v>105840</v>
      </c>
      <c r="H344" s="377" t="s">
        <v>1276</v>
      </c>
      <c r="I344" s="398" t="s">
        <v>4342</v>
      </c>
      <c r="J344" s="350">
        <v>105840</v>
      </c>
      <c r="M344" s="350">
        <f t="shared" ref="M344:M394" si="31">J344+K344+L344</f>
        <v>105840</v>
      </c>
      <c r="O344" s="351">
        <f t="shared" ref="O344:O358" si="32">G344-M344-N344</f>
        <v>0</v>
      </c>
      <c r="P344" s="402" t="s">
        <v>4343</v>
      </c>
    </row>
    <row r="345" spans="1:16">
      <c r="A345" s="345">
        <v>20150505</v>
      </c>
      <c r="B345" s="403" t="s">
        <v>4344</v>
      </c>
      <c r="C345" s="403" t="s">
        <v>4094</v>
      </c>
      <c r="E345" s="345">
        <v>100800</v>
      </c>
      <c r="F345" s="345">
        <v>5040</v>
      </c>
      <c r="G345" s="393">
        <f t="shared" si="30"/>
        <v>105840</v>
      </c>
      <c r="H345" s="377" t="s">
        <v>1276</v>
      </c>
      <c r="I345" s="398" t="s">
        <v>4345</v>
      </c>
      <c r="J345" s="350">
        <v>105840</v>
      </c>
      <c r="M345" s="350">
        <f t="shared" si="31"/>
        <v>105840</v>
      </c>
      <c r="O345" s="351">
        <f t="shared" si="32"/>
        <v>0</v>
      </c>
      <c r="P345" s="402" t="s">
        <v>4346</v>
      </c>
    </row>
    <row r="346" spans="1:16">
      <c r="B346" s="403" t="s">
        <v>4347</v>
      </c>
      <c r="G346" s="393">
        <f t="shared" si="30"/>
        <v>0</v>
      </c>
      <c r="M346" s="350">
        <f t="shared" si="31"/>
        <v>0</v>
      </c>
      <c r="O346" s="351">
        <f t="shared" si="32"/>
        <v>0</v>
      </c>
      <c r="P346" s="402"/>
    </row>
    <row r="347" spans="1:16">
      <c r="A347" s="345">
        <v>20150508</v>
      </c>
      <c r="B347" s="403" t="s">
        <v>4348</v>
      </c>
      <c r="C347" s="403" t="s">
        <v>4056</v>
      </c>
      <c r="E347" s="345">
        <v>19500</v>
      </c>
      <c r="F347" s="345">
        <v>975</v>
      </c>
      <c r="G347" s="393">
        <f t="shared" si="30"/>
        <v>20475</v>
      </c>
      <c r="H347" s="350">
        <v>2</v>
      </c>
      <c r="I347" s="350">
        <v>953</v>
      </c>
      <c r="J347" s="350">
        <v>20475</v>
      </c>
      <c r="M347" s="350">
        <f t="shared" si="31"/>
        <v>20475</v>
      </c>
      <c r="O347" s="351">
        <f t="shared" si="32"/>
        <v>0</v>
      </c>
      <c r="P347" s="402" t="s">
        <v>4331</v>
      </c>
    </row>
    <row r="348" spans="1:16">
      <c r="A348" s="345">
        <v>20150508</v>
      </c>
      <c r="B348" s="403" t="s">
        <v>4349</v>
      </c>
      <c r="C348" s="403" t="s">
        <v>4204</v>
      </c>
      <c r="E348" s="345">
        <v>19500</v>
      </c>
      <c r="F348" s="345">
        <v>975</v>
      </c>
      <c r="G348" s="393">
        <f t="shared" si="30"/>
        <v>20475</v>
      </c>
      <c r="H348" s="350">
        <v>8</v>
      </c>
      <c r="I348" s="350">
        <v>740</v>
      </c>
      <c r="K348" s="350">
        <v>20475</v>
      </c>
      <c r="M348" s="350">
        <f t="shared" si="31"/>
        <v>20475</v>
      </c>
      <c r="O348" s="351">
        <f t="shared" si="32"/>
        <v>0</v>
      </c>
      <c r="P348" s="402" t="s">
        <v>4313</v>
      </c>
    </row>
    <row r="349" spans="1:16">
      <c r="A349" s="345">
        <v>20150508</v>
      </c>
      <c r="B349" s="403" t="s">
        <v>4350</v>
      </c>
      <c r="C349" s="403" t="s">
        <v>4000</v>
      </c>
      <c r="E349" s="345">
        <v>15600</v>
      </c>
      <c r="F349" s="345">
        <v>780</v>
      </c>
      <c r="G349" s="393">
        <f t="shared" si="30"/>
        <v>16380</v>
      </c>
      <c r="H349" s="350">
        <v>3</v>
      </c>
      <c r="I349" s="350">
        <v>918</v>
      </c>
      <c r="K349" s="350">
        <v>16380</v>
      </c>
      <c r="M349" s="350">
        <f t="shared" si="31"/>
        <v>16380</v>
      </c>
      <c r="O349" s="351">
        <f t="shared" si="32"/>
        <v>0</v>
      </c>
      <c r="P349" s="402" t="s">
        <v>4310</v>
      </c>
    </row>
    <row r="350" spans="1:16">
      <c r="A350" s="345">
        <v>20150508</v>
      </c>
      <c r="B350" s="403" t="s">
        <v>4351</v>
      </c>
      <c r="C350" s="403" t="s">
        <v>4000</v>
      </c>
      <c r="E350" s="345">
        <v>19500</v>
      </c>
      <c r="F350" s="345">
        <v>975</v>
      </c>
      <c r="G350" s="393">
        <f t="shared" si="30"/>
        <v>20475</v>
      </c>
      <c r="H350" s="350">
        <v>3</v>
      </c>
      <c r="I350" s="350">
        <v>902</v>
      </c>
      <c r="K350" s="350">
        <v>20475</v>
      </c>
      <c r="M350" s="350">
        <f t="shared" si="31"/>
        <v>20475</v>
      </c>
      <c r="O350" s="351">
        <f t="shared" si="32"/>
        <v>0</v>
      </c>
      <c r="P350" s="402" t="s">
        <v>4310</v>
      </c>
    </row>
    <row r="351" spans="1:16">
      <c r="A351" s="345">
        <v>20150508</v>
      </c>
      <c r="B351" s="403" t="s">
        <v>4352</v>
      </c>
      <c r="C351" s="403" t="s">
        <v>4201</v>
      </c>
      <c r="E351" s="345">
        <v>19500</v>
      </c>
      <c r="F351" s="345">
        <v>975</v>
      </c>
      <c r="G351" s="393">
        <f t="shared" si="30"/>
        <v>20475</v>
      </c>
      <c r="H351" s="350">
        <v>3</v>
      </c>
      <c r="I351" s="350">
        <v>910</v>
      </c>
      <c r="K351" s="350">
        <v>20475</v>
      </c>
      <c r="M351" s="350">
        <f t="shared" si="31"/>
        <v>20475</v>
      </c>
      <c r="O351" s="351">
        <f t="shared" si="32"/>
        <v>0</v>
      </c>
      <c r="P351" s="402" t="s">
        <v>4308</v>
      </c>
    </row>
    <row r="352" spans="1:16">
      <c r="A352" s="345">
        <v>20150508</v>
      </c>
      <c r="B352" s="403" t="s">
        <v>4353</v>
      </c>
      <c r="C352" s="403" t="s">
        <v>4315</v>
      </c>
      <c r="E352" s="345">
        <v>15600</v>
      </c>
      <c r="F352" s="345">
        <v>780</v>
      </c>
      <c r="G352" s="393">
        <f t="shared" si="30"/>
        <v>16380</v>
      </c>
      <c r="H352" s="350">
        <v>5</v>
      </c>
      <c r="I352" s="350">
        <v>1010</v>
      </c>
      <c r="J352" s="350">
        <v>16380</v>
      </c>
      <c r="M352" s="350">
        <f t="shared" si="31"/>
        <v>16380</v>
      </c>
      <c r="O352" s="351">
        <f t="shared" si="32"/>
        <v>0</v>
      </c>
      <c r="P352" s="402" t="s">
        <v>4316</v>
      </c>
    </row>
    <row r="353" spans="1:16">
      <c r="A353" s="345">
        <v>20150508</v>
      </c>
      <c r="B353" s="403" t="s">
        <v>4354</v>
      </c>
      <c r="C353" s="403" t="s">
        <v>447</v>
      </c>
      <c r="E353" s="345">
        <v>12600</v>
      </c>
      <c r="F353" s="345">
        <v>630</v>
      </c>
      <c r="G353" s="393">
        <f t="shared" si="30"/>
        <v>13230</v>
      </c>
      <c r="H353" s="350">
        <v>8</v>
      </c>
      <c r="I353" s="398" t="s">
        <v>4133</v>
      </c>
      <c r="L353" s="350">
        <v>13220</v>
      </c>
      <c r="M353" s="350">
        <f t="shared" si="31"/>
        <v>13220</v>
      </c>
      <c r="N353" s="351">
        <v>10</v>
      </c>
      <c r="O353" s="351">
        <f t="shared" si="32"/>
        <v>0</v>
      </c>
      <c r="P353" s="402" t="s">
        <v>4321</v>
      </c>
    </row>
    <row r="354" spans="1:16">
      <c r="A354" s="345">
        <v>20150508</v>
      </c>
      <c r="B354" s="403" t="s">
        <v>4355</v>
      </c>
      <c r="C354" s="403" t="s">
        <v>456</v>
      </c>
      <c r="E354" s="345">
        <v>13500</v>
      </c>
      <c r="F354" s="345">
        <v>675</v>
      </c>
      <c r="G354" s="393">
        <f t="shared" si="30"/>
        <v>14175</v>
      </c>
      <c r="H354" s="350">
        <v>8</v>
      </c>
      <c r="I354" s="398" t="s">
        <v>4148</v>
      </c>
      <c r="L354" s="350">
        <v>14175</v>
      </c>
      <c r="M354" s="350">
        <f t="shared" si="31"/>
        <v>14175</v>
      </c>
      <c r="O354" s="351">
        <f t="shared" si="32"/>
        <v>0</v>
      </c>
      <c r="P354" s="402" t="s">
        <v>4323</v>
      </c>
    </row>
    <row r="355" spans="1:16">
      <c r="A355" s="345">
        <v>20150511</v>
      </c>
      <c r="B355" s="403" t="s">
        <v>4356</v>
      </c>
      <c r="C355" s="403" t="s">
        <v>4149</v>
      </c>
      <c r="E355" s="345">
        <v>108000</v>
      </c>
      <c r="F355" s="345">
        <v>5400</v>
      </c>
      <c r="G355" s="393">
        <f t="shared" si="30"/>
        <v>113400</v>
      </c>
      <c r="H355" s="377" t="s">
        <v>1276</v>
      </c>
      <c r="I355" s="398" t="s">
        <v>4357</v>
      </c>
      <c r="J355" s="350">
        <v>113400</v>
      </c>
      <c r="M355" s="350">
        <f t="shared" si="31"/>
        <v>113400</v>
      </c>
      <c r="O355" s="351">
        <f t="shared" si="32"/>
        <v>0</v>
      </c>
      <c r="P355" s="402" t="s">
        <v>4358</v>
      </c>
    </row>
    <row r="356" spans="1:16">
      <c r="A356" s="345">
        <v>20150514</v>
      </c>
      <c r="B356" s="403" t="s">
        <v>4359</v>
      </c>
      <c r="C356" s="403" t="s">
        <v>4131</v>
      </c>
      <c r="E356" s="345">
        <v>108000</v>
      </c>
      <c r="F356" s="345">
        <v>5400</v>
      </c>
      <c r="G356" s="393">
        <f t="shared" si="30"/>
        <v>113400</v>
      </c>
      <c r="H356" s="377" t="s">
        <v>1276</v>
      </c>
      <c r="I356" s="398" t="s">
        <v>4360</v>
      </c>
      <c r="J356" s="350">
        <v>113400</v>
      </c>
      <c r="M356" s="350">
        <f t="shared" si="31"/>
        <v>113400</v>
      </c>
      <c r="O356" s="351">
        <f t="shared" si="32"/>
        <v>0</v>
      </c>
      <c r="P356" s="402" t="s">
        <v>4361</v>
      </c>
    </row>
    <row r="357" spans="1:16">
      <c r="A357" s="345">
        <v>20150529</v>
      </c>
      <c r="B357" s="403" t="s">
        <v>4362</v>
      </c>
      <c r="C357" s="403" t="s">
        <v>4162</v>
      </c>
      <c r="E357" s="345">
        <v>100800</v>
      </c>
      <c r="F357" s="345">
        <v>5040</v>
      </c>
      <c r="G357" s="393">
        <f t="shared" si="30"/>
        <v>105840</v>
      </c>
      <c r="H357" s="377" t="s">
        <v>1276</v>
      </c>
      <c r="I357" s="398" t="s">
        <v>4363</v>
      </c>
      <c r="J357" s="350">
        <v>105840</v>
      </c>
      <c r="M357" s="350">
        <f t="shared" si="31"/>
        <v>105840</v>
      </c>
      <c r="O357" s="351">
        <f t="shared" si="32"/>
        <v>0</v>
      </c>
      <c r="P357" s="402" t="s">
        <v>4364</v>
      </c>
    </row>
    <row r="358" spans="1:16">
      <c r="A358" s="345">
        <v>20150618</v>
      </c>
      <c r="B358" s="403" t="s">
        <v>4365</v>
      </c>
      <c r="C358" s="403" t="s">
        <v>4339</v>
      </c>
      <c r="E358" s="345">
        <v>13500</v>
      </c>
      <c r="F358" s="345">
        <v>675</v>
      </c>
      <c r="G358" s="393">
        <f t="shared" si="30"/>
        <v>14175</v>
      </c>
      <c r="H358" s="350">
        <v>2</v>
      </c>
      <c r="I358" s="398" t="s">
        <v>4195</v>
      </c>
      <c r="L358" s="350">
        <v>14145</v>
      </c>
      <c r="M358" s="350">
        <f t="shared" si="31"/>
        <v>14145</v>
      </c>
      <c r="N358" s="351">
        <v>30</v>
      </c>
      <c r="O358" s="351">
        <f t="shared" si="32"/>
        <v>0</v>
      </c>
      <c r="P358" s="402" t="s">
        <v>4340</v>
      </c>
    </row>
    <row r="359" spans="1:16">
      <c r="A359" s="345">
        <v>20150708</v>
      </c>
      <c r="B359" s="403" t="s">
        <v>4366</v>
      </c>
      <c r="C359" s="403" t="s">
        <v>4318</v>
      </c>
      <c r="E359" s="345">
        <v>12857</v>
      </c>
      <c r="F359" s="345">
        <v>643</v>
      </c>
      <c r="G359" s="393">
        <f t="shared" si="30"/>
        <v>13500</v>
      </c>
      <c r="H359" s="350">
        <v>1</v>
      </c>
      <c r="I359" s="398" t="s">
        <v>4197</v>
      </c>
      <c r="L359" s="350">
        <v>13485</v>
      </c>
      <c r="M359" s="350">
        <f t="shared" si="31"/>
        <v>13485</v>
      </c>
      <c r="N359" s="351">
        <v>15</v>
      </c>
      <c r="O359" s="351">
        <f>G359-M359-N359</f>
        <v>0</v>
      </c>
      <c r="P359" s="402" t="s">
        <v>4319</v>
      </c>
    </row>
    <row r="360" spans="1:16">
      <c r="A360" s="345">
        <v>20150720</v>
      </c>
      <c r="B360" s="403" t="s">
        <v>4367</v>
      </c>
      <c r="C360" s="403" t="s">
        <v>4182</v>
      </c>
      <c r="E360" s="345">
        <v>91200</v>
      </c>
      <c r="F360" s="345">
        <v>4560</v>
      </c>
      <c r="G360" s="393">
        <f t="shared" si="30"/>
        <v>95760</v>
      </c>
      <c r="H360" s="377" t="s">
        <v>1276</v>
      </c>
      <c r="I360" s="398" t="s">
        <v>4368</v>
      </c>
      <c r="J360" s="350">
        <v>95760</v>
      </c>
      <c r="M360" s="350">
        <f t="shared" si="31"/>
        <v>95760</v>
      </c>
      <c r="O360" s="351">
        <f t="shared" ref="O360:O394" si="33">G360-M360-N360</f>
        <v>0</v>
      </c>
      <c r="P360" s="402" t="s">
        <v>4369</v>
      </c>
    </row>
    <row r="361" spans="1:16">
      <c r="A361" s="345">
        <v>20150723</v>
      </c>
      <c r="B361" s="403" t="s">
        <v>4370</v>
      </c>
      <c r="C361" s="403" t="s">
        <v>456</v>
      </c>
      <c r="E361" s="345">
        <v>12600</v>
      </c>
      <c r="F361" s="345">
        <v>630</v>
      </c>
      <c r="G361" s="393">
        <f t="shared" si="30"/>
        <v>13230</v>
      </c>
      <c r="H361" s="350">
        <v>1</v>
      </c>
      <c r="I361" s="398" t="s">
        <v>4117</v>
      </c>
      <c r="L361" s="350">
        <v>13230</v>
      </c>
      <c r="M361" s="350">
        <f t="shared" si="31"/>
        <v>13230</v>
      </c>
      <c r="O361" s="351">
        <f t="shared" si="33"/>
        <v>0</v>
      </c>
      <c r="P361" s="402" t="s">
        <v>4323</v>
      </c>
    </row>
    <row r="362" spans="1:16">
      <c r="A362" s="345">
        <v>20150818</v>
      </c>
      <c r="B362" s="403" t="s">
        <v>4371</v>
      </c>
      <c r="C362" s="403" t="s">
        <v>4201</v>
      </c>
      <c r="E362" s="345">
        <v>19500</v>
      </c>
      <c r="F362" s="345">
        <v>975</v>
      </c>
      <c r="G362" s="393">
        <f t="shared" si="30"/>
        <v>20475</v>
      </c>
      <c r="H362" s="350">
        <v>4</v>
      </c>
      <c r="I362" s="350">
        <v>911</v>
      </c>
      <c r="K362" s="350">
        <v>20475</v>
      </c>
      <c r="M362" s="350">
        <f t="shared" si="31"/>
        <v>20475</v>
      </c>
      <c r="O362" s="351">
        <f t="shared" si="33"/>
        <v>0</v>
      </c>
      <c r="P362" s="402" t="s">
        <v>4308</v>
      </c>
    </row>
    <row r="363" spans="1:16">
      <c r="A363" s="345">
        <v>20150818</v>
      </c>
      <c r="B363" s="403" t="s">
        <v>4372</v>
      </c>
      <c r="C363" s="403" t="s">
        <v>4000</v>
      </c>
      <c r="E363" s="345">
        <v>19500</v>
      </c>
      <c r="F363" s="345">
        <v>975</v>
      </c>
      <c r="G363" s="393">
        <f t="shared" si="30"/>
        <v>20475</v>
      </c>
      <c r="H363" s="350">
        <v>4</v>
      </c>
      <c r="I363" s="350">
        <v>903</v>
      </c>
      <c r="K363" s="350">
        <v>20475</v>
      </c>
      <c r="M363" s="350">
        <f t="shared" si="31"/>
        <v>20475</v>
      </c>
      <c r="O363" s="351">
        <f t="shared" si="33"/>
        <v>0</v>
      </c>
      <c r="P363" s="402" t="s">
        <v>4310</v>
      </c>
    </row>
    <row r="364" spans="1:16">
      <c r="A364" s="345">
        <v>20150818</v>
      </c>
      <c r="B364" s="403" t="s">
        <v>4373</v>
      </c>
      <c r="C364" s="403" t="s">
        <v>4000</v>
      </c>
      <c r="E364" s="345">
        <v>15600</v>
      </c>
      <c r="F364" s="345">
        <v>780</v>
      </c>
      <c r="G364" s="393">
        <f t="shared" si="30"/>
        <v>16380</v>
      </c>
      <c r="H364" s="350">
        <v>4</v>
      </c>
      <c r="I364" s="350">
        <v>919</v>
      </c>
      <c r="K364" s="350">
        <v>16380</v>
      </c>
      <c r="M364" s="350">
        <f t="shared" si="31"/>
        <v>16380</v>
      </c>
      <c r="O364" s="351">
        <f t="shared" si="33"/>
        <v>0</v>
      </c>
      <c r="P364" s="402" t="s">
        <v>4310</v>
      </c>
    </row>
    <row r="365" spans="1:16">
      <c r="A365" s="345">
        <v>20150818</v>
      </c>
      <c r="B365" s="403" t="s">
        <v>4374</v>
      </c>
      <c r="C365" s="403" t="s">
        <v>4056</v>
      </c>
      <c r="E365" s="345">
        <v>19500</v>
      </c>
      <c r="F365" s="345">
        <v>975</v>
      </c>
      <c r="G365" s="393">
        <f t="shared" si="30"/>
        <v>20475</v>
      </c>
      <c r="H365" s="350">
        <v>3</v>
      </c>
      <c r="I365" s="350">
        <v>954</v>
      </c>
      <c r="J365" s="350">
        <v>20475</v>
      </c>
      <c r="M365" s="350">
        <f t="shared" si="31"/>
        <v>20475</v>
      </c>
      <c r="O365" s="351">
        <f t="shared" si="33"/>
        <v>0</v>
      </c>
      <c r="P365" s="402" t="s">
        <v>4331</v>
      </c>
    </row>
    <row r="366" spans="1:16">
      <c r="A366" s="345">
        <v>20150818</v>
      </c>
      <c r="B366" s="403" t="s">
        <v>4375</v>
      </c>
      <c r="C366" s="403" t="s">
        <v>4315</v>
      </c>
      <c r="E366" s="345">
        <v>15600</v>
      </c>
      <c r="F366" s="345">
        <v>780</v>
      </c>
      <c r="G366" s="393">
        <f t="shared" si="30"/>
        <v>16380</v>
      </c>
      <c r="H366" s="350">
        <v>6</v>
      </c>
      <c r="I366" s="350">
        <v>1020</v>
      </c>
      <c r="J366" s="350">
        <v>16380</v>
      </c>
      <c r="M366" s="350">
        <f t="shared" si="31"/>
        <v>16380</v>
      </c>
      <c r="O366" s="351">
        <f t="shared" si="33"/>
        <v>0</v>
      </c>
      <c r="P366" s="402" t="s">
        <v>4316</v>
      </c>
    </row>
    <row r="367" spans="1:16">
      <c r="A367" s="345">
        <v>20150917</v>
      </c>
      <c r="B367" s="403" t="s">
        <v>4376</v>
      </c>
      <c r="C367" s="403" t="s">
        <v>4339</v>
      </c>
      <c r="E367" s="345">
        <v>13500</v>
      </c>
      <c r="F367" s="345">
        <v>675</v>
      </c>
      <c r="G367" s="393">
        <f t="shared" si="30"/>
        <v>14175</v>
      </c>
      <c r="H367" s="350">
        <v>2</v>
      </c>
      <c r="I367" s="398" t="s">
        <v>4195</v>
      </c>
      <c r="L367" s="350">
        <v>14145</v>
      </c>
      <c r="M367" s="350">
        <f t="shared" si="31"/>
        <v>14145</v>
      </c>
      <c r="N367" s="351">
        <v>30</v>
      </c>
      <c r="O367" s="351">
        <f t="shared" si="33"/>
        <v>0</v>
      </c>
      <c r="P367" s="402" t="s">
        <v>4340</v>
      </c>
    </row>
    <row r="368" spans="1:16">
      <c r="A368" s="345">
        <v>20150917</v>
      </c>
      <c r="B368" s="403" t="s">
        <v>4377</v>
      </c>
      <c r="C368" s="403" t="s">
        <v>4318</v>
      </c>
      <c r="E368" s="345">
        <v>12857</v>
      </c>
      <c r="F368" s="345">
        <v>643</v>
      </c>
      <c r="G368" s="393">
        <f t="shared" si="30"/>
        <v>13500</v>
      </c>
      <c r="H368" s="350">
        <v>2</v>
      </c>
      <c r="I368" s="398" t="s">
        <v>4215</v>
      </c>
      <c r="L368" s="350">
        <v>13485</v>
      </c>
      <c r="M368" s="350">
        <f t="shared" si="31"/>
        <v>13485</v>
      </c>
      <c r="N368" s="601">
        <v>15</v>
      </c>
      <c r="O368" s="351">
        <f t="shared" si="33"/>
        <v>0</v>
      </c>
      <c r="P368" s="402" t="s">
        <v>4319</v>
      </c>
    </row>
    <row r="369" spans="1:16">
      <c r="A369" s="345">
        <v>20151012</v>
      </c>
      <c r="B369" s="403" t="s">
        <v>4378</v>
      </c>
      <c r="C369" s="403" t="s">
        <v>4201</v>
      </c>
      <c r="E369" s="345">
        <v>108000</v>
      </c>
      <c r="F369" s="345">
        <v>5400</v>
      </c>
      <c r="G369" s="393">
        <f t="shared" si="30"/>
        <v>113400</v>
      </c>
      <c r="H369" s="377"/>
      <c r="I369" s="398" t="s">
        <v>4200</v>
      </c>
      <c r="L369" s="350">
        <v>113400</v>
      </c>
      <c r="M369" s="350">
        <f t="shared" si="31"/>
        <v>113400</v>
      </c>
      <c r="O369" s="351">
        <f t="shared" si="33"/>
        <v>0</v>
      </c>
      <c r="P369" s="402" t="s">
        <v>4308</v>
      </c>
    </row>
    <row r="370" spans="1:16">
      <c r="A370" s="345">
        <v>20151012</v>
      </c>
      <c r="B370" s="403" t="s">
        <v>4379</v>
      </c>
      <c r="C370" s="403" t="s">
        <v>4000</v>
      </c>
      <c r="E370" s="345">
        <v>108000</v>
      </c>
      <c r="F370" s="345">
        <v>5400</v>
      </c>
      <c r="G370" s="393">
        <f t="shared" si="30"/>
        <v>113400</v>
      </c>
      <c r="H370" s="377"/>
      <c r="I370" s="398" t="s">
        <v>3965</v>
      </c>
      <c r="L370" s="350">
        <v>113390</v>
      </c>
      <c r="M370" s="350">
        <f t="shared" si="31"/>
        <v>113390</v>
      </c>
      <c r="N370" s="351">
        <v>10</v>
      </c>
      <c r="O370" s="351">
        <f t="shared" si="33"/>
        <v>0</v>
      </c>
      <c r="P370" s="402" t="s">
        <v>4310</v>
      </c>
    </row>
    <row r="371" spans="1:16">
      <c r="A371" s="345">
        <v>20151023</v>
      </c>
      <c r="B371" s="403" t="s">
        <v>4380</v>
      </c>
      <c r="C371" s="403" t="s">
        <v>4204</v>
      </c>
      <c r="E371" s="345">
        <v>19500</v>
      </c>
      <c r="F371" s="345">
        <v>975</v>
      </c>
      <c r="G371" s="393">
        <f t="shared" si="30"/>
        <v>20475</v>
      </c>
      <c r="H371" s="350">
        <v>1</v>
      </c>
      <c r="I371" s="350">
        <v>1021</v>
      </c>
      <c r="J371" s="350">
        <v>20475</v>
      </c>
      <c r="M371" s="350">
        <f t="shared" si="31"/>
        <v>20475</v>
      </c>
      <c r="O371" s="351">
        <f t="shared" si="33"/>
        <v>0</v>
      </c>
      <c r="P371" s="402" t="s">
        <v>4313</v>
      </c>
    </row>
    <row r="372" spans="1:16">
      <c r="A372" s="345">
        <v>20151023</v>
      </c>
      <c r="B372" s="403" t="s">
        <v>4381</v>
      </c>
      <c r="C372" s="403" t="s">
        <v>456</v>
      </c>
      <c r="E372" s="345">
        <v>12600</v>
      </c>
      <c r="F372" s="345">
        <v>630</v>
      </c>
      <c r="G372" s="393">
        <f t="shared" si="30"/>
        <v>13230</v>
      </c>
      <c r="H372" s="350">
        <v>2</v>
      </c>
      <c r="I372" s="398" t="s">
        <v>4203</v>
      </c>
      <c r="L372" s="350">
        <v>13230</v>
      </c>
      <c r="M372" s="350">
        <f t="shared" si="31"/>
        <v>13230</v>
      </c>
      <c r="O372" s="351">
        <f t="shared" si="33"/>
        <v>0</v>
      </c>
      <c r="P372" s="402" t="s">
        <v>4323</v>
      </c>
    </row>
    <row r="373" spans="1:16">
      <c r="A373" s="345">
        <v>20151102</v>
      </c>
      <c r="B373" s="403" t="s">
        <v>4382</v>
      </c>
      <c r="C373" s="403" t="s">
        <v>831</v>
      </c>
      <c r="E373" s="345">
        <v>86857</v>
      </c>
      <c r="F373" s="345">
        <v>4343</v>
      </c>
      <c r="G373" s="393">
        <f t="shared" si="30"/>
        <v>91200</v>
      </c>
      <c r="H373" s="377" t="s">
        <v>1276</v>
      </c>
      <c r="I373" s="398" t="s">
        <v>4383</v>
      </c>
      <c r="J373" s="350">
        <v>91200</v>
      </c>
      <c r="M373" s="350">
        <f t="shared" si="31"/>
        <v>91200</v>
      </c>
      <c r="O373" s="351">
        <f t="shared" si="33"/>
        <v>0</v>
      </c>
      <c r="P373" s="402" t="s">
        <v>4384</v>
      </c>
    </row>
    <row r="374" spans="1:16">
      <c r="A374" s="345">
        <v>20151102</v>
      </c>
      <c r="B374" s="403" t="s">
        <v>4385</v>
      </c>
      <c r="C374" s="403" t="s">
        <v>4201</v>
      </c>
      <c r="E374" s="345">
        <v>19500</v>
      </c>
      <c r="F374" s="345">
        <v>975</v>
      </c>
      <c r="G374" s="393">
        <f t="shared" si="30"/>
        <v>20475</v>
      </c>
      <c r="H374" s="350">
        <v>5</v>
      </c>
      <c r="I374" s="350">
        <v>912</v>
      </c>
      <c r="K374" s="350">
        <v>20475</v>
      </c>
      <c r="M374" s="350">
        <f t="shared" si="31"/>
        <v>20475</v>
      </c>
      <c r="O374" s="351">
        <f t="shared" si="33"/>
        <v>0</v>
      </c>
      <c r="P374" s="402" t="s">
        <v>4308</v>
      </c>
    </row>
    <row r="375" spans="1:16">
      <c r="A375" s="345">
        <v>20151111</v>
      </c>
      <c r="B375" s="403" t="s">
        <v>4386</v>
      </c>
      <c r="C375" s="403" t="s">
        <v>4000</v>
      </c>
      <c r="E375" s="345">
        <v>19500</v>
      </c>
      <c r="F375" s="345">
        <v>975</v>
      </c>
      <c r="G375" s="393">
        <f t="shared" si="30"/>
        <v>20475</v>
      </c>
      <c r="H375" s="350">
        <v>5</v>
      </c>
      <c r="I375" s="350">
        <v>904</v>
      </c>
      <c r="K375" s="350">
        <v>20475</v>
      </c>
      <c r="M375" s="350">
        <f t="shared" si="31"/>
        <v>20475</v>
      </c>
      <c r="O375" s="351">
        <f t="shared" si="33"/>
        <v>0</v>
      </c>
      <c r="P375" s="402" t="s">
        <v>4310</v>
      </c>
    </row>
    <row r="376" spans="1:16">
      <c r="A376" s="345">
        <v>20151111</v>
      </c>
      <c r="B376" s="403" t="s">
        <v>4387</v>
      </c>
      <c r="C376" s="403" t="s">
        <v>4000</v>
      </c>
      <c r="E376" s="345">
        <v>15600</v>
      </c>
      <c r="F376" s="345">
        <v>780</v>
      </c>
      <c r="G376" s="393">
        <f t="shared" si="30"/>
        <v>16380</v>
      </c>
      <c r="H376" s="350">
        <v>5</v>
      </c>
      <c r="I376" s="350">
        <v>920</v>
      </c>
      <c r="K376" s="350">
        <v>16380</v>
      </c>
      <c r="M376" s="350">
        <f t="shared" si="31"/>
        <v>16380</v>
      </c>
      <c r="O376" s="351">
        <f t="shared" si="33"/>
        <v>0</v>
      </c>
      <c r="P376" s="402" t="s">
        <v>4310</v>
      </c>
    </row>
    <row r="377" spans="1:16">
      <c r="A377" s="345">
        <v>20151111</v>
      </c>
      <c r="B377" s="403" t="s">
        <v>4388</v>
      </c>
      <c r="C377" s="403" t="s">
        <v>4204</v>
      </c>
      <c r="E377" s="345">
        <v>19500</v>
      </c>
      <c r="F377" s="345">
        <v>975</v>
      </c>
      <c r="G377" s="393">
        <f t="shared" si="30"/>
        <v>20475</v>
      </c>
      <c r="H377" s="350">
        <v>2</v>
      </c>
      <c r="I377" s="350">
        <v>1022</v>
      </c>
      <c r="J377" s="350">
        <v>20475</v>
      </c>
      <c r="M377" s="350">
        <f t="shared" si="31"/>
        <v>20475</v>
      </c>
      <c r="O377" s="351">
        <f t="shared" si="33"/>
        <v>0</v>
      </c>
      <c r="P377" s="402" t="s">
        <v>4313</v>
      </c>
    </row>
    <row r="378" spans="1:16">
      <c r="A378" s="345">
        <v>20151111</v>
      </c>
      <c r="B378" s="403" t="s">
        <v>4389</v>
      </c>
      <c r="C378" s="403" t="s">
        <v>4056</v>
      </c>
      <c r="E378" s="345">
        <v>19500</v>
      </c>
      <c r="F378" s="345">
        <v>975</v>
      </c>
      <c r="G378" s="393">
        <f t="shared" si="30"/>
        <v>20475</v>
      </c>
      <c r="H378" s="350">
        <v>4</v>
      </c>
      <c r="I378" s="350">
        <v>955</v>
      </c>
      <c r="J378" s="350">
        <v>20475</v>
      </c>
      <c r="M378" s="350">
        <f t="shared" si="31"/>
        <v>20475</v>
      </c>
      <c r="O378" s="351">
        <f t="shared" si="33"/>
        <v>0</v>
      </c>
      <c r="P378" s="402" t="s">
        <v>4331</v>
      </c>
    </row>
    <row r="379" spans="1:16">
      <c r="A379" s="345">
        <v>20151111</v>
      </c>
      <c r="B379" s="403" t="s">
        <v>4390</v>
      </c>
      <c r="C379" s="403" t="s">
        <v>4315</v>
      </c>
      <c r="E379" s="345">
        <v>15600</v>
      </c>
      <c r="F379" s="345">
        <v>780</v>
      </c>
      <c r="G379" s="393">
        <f t="shared" si="30"/>
        <v>16380</v>
      </c>
      <c r="H379" s="350">
        <v>7</v>
      </c>
      <c r="I379" s="350">
        <v>1070</v>
      </c>
      <c r="J379" s="350">
        <v>16380</v>
      </c>
      <c r="M379" s="350">
        <f t="shared" si="31"/>
        <v>16380</v>
      </c>
      <c r="O379" s="351">
        <f t="shared" si="33"/>
        <v>0</v>
      </c>
      <c r="P379" s="402" t="s">
        <v>4316</v>
      </c>
    </row>
    <row r="380" spans="1:16">
      <c r="A380" s="345">
        <v>20151111</v>
      </c>
      <c r="B380" s="403" t="s">
        <v>4391</v>
      </c>
      <c r="C380" s="403" t="s">
        <v>4230</v>
      </c>
      <c r="E380" s="345">
        <v>43200</v>
      </c>
      <c r="F380" s="345">
        <v>2160</v>
      </c>
      <c r="G380" s="393">
        <f t="shared" si="30"/>
        <v>45360</v>
      </c>
      <c r="H380" s="399" t="s">
        <v>4392</v>
      </c>
      <c r="I380" s="398" t="s">
        <v>4393</v>
      </c>
      <c r="J380" s="350">
        <v>45360</v>
      </c>
      <c r="M380" s="350">
        <f t="shared" si="31"/>
        <v>45360</v>
      </c>
      <c r="O380" s="351">
        <f t="shared" si="33"/>
        <v>0</v>
      </c>
      <c r="P380" s="402" t="s">
        <v>4394</v>
      </c>
    </row>
    <row r="381" spans="1:16">
      <c r="A381" s="345">
        <v>20151111</v>
      </c>
      <c r="B381" s="403" t="s">
        <v>4395</v>
      </c>
      <c r="C381" s="403" t="s">
        <v>4271</v>
      </c>
      <c r="E381" s="345">
        <v>19500</v>
      </c>
      <c r="F381" s="345">
        <v>975</v>
      </c>
      <c r="G381" s="393">
        <f t="shared" si="30"/>
        <v>20475</v>
      </c>
      <c r="H381" s="350">
        <v>5</v>
      </c>
      <c r="I381" s="350">
        <v>1058</v>
      </c>
      <c r="J381" s="350">
        <v>20475</v>
      </c>
      <c r="M381" s="350">
        <f t="shared" si="31"/>
        <v>20475</v>
      </c>
      <c r="O381" s="351">
        <f t="shared" si="33"/>
        <v>0</v>
      </c>
      <c r="P381" s="402" t="s">
        <v>4396</v>
      </c>
    </row>
    <row r="382" spans="1:16">
      <c r="A382" s="345">
        <v>20151111</v>
      </c>
      <c r="B382" s="403" t="s">
        <v>4397</v>
      </c>
      <c r="C382" s="403" t="s">
        <v>4271</v>
      </c>
      <c r="E382" s="345">
        <v>19500</v>
      </c>
      <c r="F382" s="345">
        <v>975</v>
      </c>
      <c r="G382" s="393">
        <f>E382+F382</f>
        <v>20475</v>
      </c>
      <c r="H382" s="350">
        <v>6</v>
      </c>
      <c r="I382" s="350">
        <v>1059</v>
      </c>
      <c r="J382" s="350">
        <v>20475</v>
      </c>
      <c r="M382" s="350">
        <f t="shared" si="31"/>
        <v>20475</v>
      </c>
      <c r="O382" s="351">
        <f t="shared" si="33"/>
        <v>0</v>
      </c>
      <c r="P382" s="402" t="s">
        <v>4396</v>
      </c>
    </row>
    <row r="383" spans="1:16">
      <c r="A383" s="345">
        <v>20151111</v>
      </c>
      <c r="B383" s="403" t="s">
        <v>4398</v>
      </c>
      <c r="C383" s="403" t="s">
        <v>4271</v>
      </c>
      <c r="E383" s="345">
        <v>19500</v>
      </c>
      <c r="F383" s="345">
        <v>975</v>
      </c>
      <c r="G383" s="393">
        <f>E383+F383</f>
        <v>20475</v>
      </c>
      <c r="H383" s="350">
        <v>7</v>
      </c>
      <c r="I383" s="350">
        <v>1060</v>
      </c>
      <c r="J383" s="350">
        <v>20475</v>
      </c>
      <c r="M383" s="350">
        <f t="shared" si="31"/>
        <v>20475</v>
      </c>
      <c r="O383" s="351">
        <f t="shared" si="33"/>
        <v>0</v>
      </c>
      <c r="P383" s="402" t="s">
        <v>4396</v>
      </c>
    </row>
    <row r="384" spans="1:16">
      <c r="A384" s="345">
        <v>20151111</v>
      </c>
      <c r="B384" s="403" t="s">
        <v>4399</v>
      </c>
      <c r="C384" s="403" t="s">
        <v>4271</v>
      </c>
      <c r="E384" s="345">
        <v>19500</v>
      </c>
      <c r="F384" s="345">
        <v>975</v>
      </c>
      <c r="G384" s="393">
        <f>E384+F384</f>
        <v>20475</v>
      </c>
      <c r="H384" s="350">
        <v>8</v>
      </c>
      <c r="I384" s="350">
        <v>1061</v>
      </c>
      <c r="J384" s="350">
        <v>20475</v>
      </c>
      <c r="M384" s="350">
        <f t="shared" si="31"/>
        <v>20475</v>
      </c>
      <c r="O384" s="351">
        <f t="shared" si="33"/>
        <v>0</v>
      </c>
      <c r="P384" s="402" t="s">
        <v>4396</v>
      </c>
    </row>
    <row r="385" spans="1:18">
      <c r="A385" s="345">
        <v>20151209</v>
      </c>
      <c r="B385" s="403" t="s">
        <v>4400</v>
      </c>
      <c r="C385" s="403" t="s">
        <v>4339</v>
      </c>
      <c r="E385" s="345">
        <v>13500</v>
      </c>
      <c r="F385" s="345">
        <v>675</v>
      </c>
      <c r="G385" s="393">
        <f t="shared" si="30"/>
        <v>14175</v>
      </c>
      <c r="H385" s="350">
        <v>4</v>
      </c>
      <c r="I385" s="398" t="s">
        <v>4752</v>
      </c>
      <c r="L385" s="350">
        <v>14145</v>
      </c>
      <c r="M385" s="350">
        <f t="shared" si="31"/>
        <v>14145</v>
      </c>
      <c r="N385" s="601">
        <v>30</v>
      </c>
      <c r="O385" s="351">
        <f t="shared" si="33"/>
        <v>0</v>
      </c>
      <c r="P385" s="402" t="s">
        <v>4340</v>
      </c>
    </row>
    <row r="386" spans="1:18">
      <c r="A386" s="345">
        <v>20151209</v>
      </c>
      <c r="B386" s="403" t="s">
        <v>4401</v>
      </c>
      <c r="C386" s="403" t="s">
        <v>4318</v>
      </c>
      <c r="E386" s="345">
        <v>12857</v>
      </c>
      <c r="F386" s="345">
        <v>643</v>
      </c>
      <c r="G386" s="393">
        <f t="shared" si="30"/>
        <v>13500</v>
      </c>
      <c r="H386" s="350">
        <v>3</v>
      </c>
      <c r="I386" s="398" t="s">
        <v>4258</v>
      </c>
      <c r="L386" s="350">
        <v>13500</v>
      </c>
      <c r="M386" s="350">
        <f t="shared" si="31"/>
        <v>13500</v>
      </c>
      <c r="O386" s="351">
        <f t="shared" si="33"/>
        <v>0</v>
      </c>
      <c r="P386" s="402" t="s">
        <v>4319</v>
      </c>
    </row>
    <row r="387" spans="1:18">
      <c r="A387" s="345">
        <v>20151209</v>
      </c>
      <c r="B387" s="403" t="s">
        <v>4402</v>
      </c>
      <c r="C387" s="403" t="s">
        <v>4255</v>
      </c>
      <c r="E387" s="345">
        <v>108000</v>
      </c>
      <c r="F387" s="345">
        <v>5400</v>
      </c>
      <c r="G387" s="393">
        <f t="shared" si="30"/>
        <v>113400</v>
      </c>
      <c r="H387" s="377" t="s">
        <v>1276</v>
      </c>
      <c r="I387" s="398" t="s">
        <v>4403</v>
      </c>
      <c r="J387" s="350">
        <v>113400</v>
      </c>
      <c r="M387" s="350">
        <f t="shared" si="31"/>
        <v>113400</v>
      </c>
      <c r="O387" s="351">
        <f t="shared" si="33"/>
        <v>0</v>
      </c>
      <c r="P387" s="402" t="s">
        <v>4404</v>
      </c>
    </row>
    <row r="388" spans="1:18">
      <c r="A388" s="345">
        <v>20151210</v>
      </c>
      <c r="B388" s="403" t="s">
        <v>4405</v>
      </c>
      <c r="C388" s="403" t="s">
        <v>4282</v>
      </c>
      <c r="E388" s="345">
        <v>108000</v>
      </c>
      <c r="F388" s="345">
        <v>5400</v>
      </c>
      <c r="G388" s="393">
        <f t="shared" si="30"/>
        <v>113400</v>
      </c>
      <c r="H388" s="377" t="s">
        <v>1276</v>
      </c>
      <c r="I388" s="398" t="s">
        <v>4406</v>
      </c>
      <c r="J388" s="350">
        <v>113400</v>
      </c>
      <c r="M388" s="350">
        <f t="shared" si="31"/>
        <v>113400</v>
      </c>
      <c r="O388" s="351">
        <f t="shared" si="33"/>
        <v>0</v>
      </c>
      <c r="P388" s="402" t="s">
        <v>4407</v>
      </c>
    </row>
    <row r="389" spans="1:18">
      <c r="A389" s="345">
        <v>20151210</v>
      </c>
      <c r="B389" s="403" t="s">
        <v>4408</v>
      </c>
      <c r="C389" s="403" t="s">
        <v>4409</v>
      </c>
      <c r="E389" s="345">
        <v>132000</v>
      </c>
      <c r="F389" s="345">
        <v>6600</v>
      </c>
      <c r="G389" s="393">
        <f t="shared" si="30"/>
        <v>138600</v>
      </c>
      <c r="H389" s="377" t="s">
        <v>1276</v>
      </c>
      <c r="I389" s="398" t="s">
        <v>4809</v>
      </c>
      <c r="J389" s="350">
        <v>138600</v>
      </c>
      <c r="M389" s="350">
        <f t="shared" si="31"/>
        <v>138600</v>
      </c>
      <c r="O389" s="351">
        <f t="shared" si="33"/>
        <v>0</v>
      </c>
      <c r="P389" s="402" t="s">
        <v>4410</v>
      </c>
    </row>
    <row r="390" spans="1:18">
      <c r="A390" s="345">
        <v>20151216</v>
      </c>
      <c r="B390" s="403" t="s">
        <v>4411</v>
      </c>
      <c r="C390" s="403" t="s">
        <v>4204</v>
      </c>
      <c r="E390" s="345">
        <v>40000</v>
      </c>
      <c r="F390" s="345">
        <v>2000</v>
      </c>
      <c r="G390" s="393">
        <f t="shared" si="30"/>
        <v>42000</v>
      </c>
      <c r="I390" s="398" t="s">
        <v>4433</v>
      </c>
      <c r="L390" s="350">
        <v>42000</v>
      </c>
      <c r="M390" s="350">
        <f t="shared" si="31"/>
        <v>42000</v>
      </c>
      <c r="O390" s="351">
        <f t="shared" si="33"/>
        <v>0</v>
      </c>
      <c r="P390" s="402" t="s">
        <v>4313</v>
      </c>
    </row>
    <row r="391" spans="1:18">
      <c r="A391" s="345">
        <v>20151216</v>
      </c>
      <c r="B391" s="403" t="s">
        <v>4412</v>
      </c>
      <c r="C391" s="403" t="s">
        <v>4201</v>
      </c>
      <c r="E391" s="345">
        <v>30000</v>
      </c>
      <c r="F391" s="345">
        <v>1500</v>
      </c>
      <c r="G391" s="393">
        <f t="shared" si="30"/>
        <v>31500</v>
      </c>
      <c r="I391" s="398" t="s">
        <v>3973</v>
      </c>
      <c r="L391" s="350">
        <v>31490</v>
      </c>
      <c r="M391" s="350">
        <f t="shared" si="31"/>
        <v>31490</v>
      </c>
      <c r="N391" s="601">
        <v>10</v>
      </c>
      <c r="O391" s="351">
        <f t="shared" si="33"/>
        <v>0</v>
      </c>
      <c r="P391" s="402" t="s">
        <v>4308</v>
      </c>
    </row>
    <row r="392" spans="1:18">
      <c r="A392" s="345">
        <v>20151216</v>
      </c>
      <c r="B392" s="403" t="s">
        <v>4413</v>
      </c>
      <c r="C392" s="403" t="s">
        <v>4000</v>
      </c>
      <c r="E392" s="345">
        <v>30000</v>
      </c>
      <c r="F392" s="345">
        <v>1500</v>
      </c>
      <c r="G392" s="393">
        <f t="shared" si="30"/>
        <v>31500</v>
      </c>
      <c r="I392" s="398" t="s">
        <v>4753</v>
      </c>
      <c r="L392" s="350">
        <v>31490</v>
      </c>
      <c r="M392" s="350">
        <f t="shared" si="31"/>
        <v>31490</v>
      </c>
      <c r="N392" s="601">
        <v>10</v>
      </c>
      <c r="O392" s="351">
        <f t="shared" si="33"/>
        <v>0</v>
      </c>
      <c r="P392" s="402" t="s">
        <v>4310</v>
      </c>
      <c r="R392" s="404">
        <v>52490</v>
      </c>
    </row>
    <row r="393" spans="1:18">
      <c r="A393" s="345">
        <v>20151216</v>
      </c>
      <c r="B393" s="403" t="s">
        <v>4414</v>
      </c>
      <c r="C393" s="403" t="s">
        <v>4201</v>
      </c>
      <c r="E393" s="345">
        <v>20000</v>
      </c>
      <c r="F393" s="345">
        <v>1000</v>
      </c>
      <c r="G393" s="393">
        <f t="shared" si="30"/>
        <v>21000</v>
      </c>
      <c r="I393" s="398" t="s">
        <v>3973</v>
      </c>
      <c r="L393" s="350">
        <v>21000</v>
      </c>
      <c r="M393" s="350">
        <f t="shared" si="31"/>
        <v>21000</v>
      </c>
      <c r="O393" s="351">
        <f t="shared" si="33"/>
        <v>0</v>
      </c>
      <c r="P393" s="402" t="s">
        <v>4308</v>
      </c>
    </row>
    <row r="394" spans="1:18">
      <c r="A394" s="345">
        <v>20151216</v>
      </c>
      <c r="B394" s="403" t="s">
        <v>4415</v>
      </c>
      <c r="C394" s="403" t="s">
        <v>4000</v>
      </c>
      <c r="E394" s="345">
        <v>20000</v>
      </c>
      <c r="F394" s="345">
        <v>1000</v>
      </c>
      <c r="G394" s="393">
        <f t="shared" si="30"/>
        <v>21000</v>
      </c>
      <c r="I394" s="398" t="s">
        <v>4753</v>
      </c>
      <c r="L394" s="350">
        <v>21000</v>
      </c>
      <c r="M394" s="350">
        <f t="shared" si="31"/>
        <v>21000</v>
      </c>
      <c r="O394" s="351">
        <f t="shared" si="33"/>
        <v>0</v>
      </c>
      <c r="P394" s="402" t="s">
        <v>4310</v>
      </c>
      <c r="R394" s="404">
        <v>52490</v>
      </c>
    </row>
    <row r="397" spans="1:18" s="347" customFormat="1">
      <c r="A397" s="401" t="s">
        <v>4503</v>
      </c>
      <c r="D397" s="348" t="s">
        <v>2377</v>
      </c>
      <c r="E397" s="376">
        <f>SUM(E398:E453)</f>
        <v>2000585</v>
      </c>
      <c r="F397" s="376">
        <f>SUM(F398:F453)</f>
        <v>100030</v>
      </c>
      <c r="G397" s="376">
        <f>SUM(G398:G453)</f>
        <v>2100615</v>
      </c>
      <c r="H397" s="349"/>
      <c r="I397" s="383"/>
      <c r="J397" s="376">
        <f t="shared" ref="J397:O397" si="34">SUM(J398:J453)</f>
        <v>1114470</v>
      </c>
      <c r="K397" s="376">
        <f t="shared" si="34"/>
        <v>335790</v>
      </c>
      <c r="L397" s="376">
        <f t="shared" si="34"/>
        <v>562460</v>
      </c>
      <c r="M397" s="376">
        <f t="shared" si="34"/>
        <v>2012720</v>
      </c>
      <c r="N397" s="376">
        <f t="shared" si="34"/>
        <v>220</v>
      </c>
      <c r="O397" s="376">
        <f t="shared" si="34"/>
        <v>85050</v>
      </c>
      <c r="P397" s="391"/>
    </row>
    <row r="398" spans="1:18">
      <c r="A398" s="183">
        <v>20160219</v>
      </c>
      <c r="B398" s="183" t="s">
        <v>4504</v>
      </c>
      <c r="C398" s="183" t="s">
        <v>4201</v>
      </c>
      <c r="E398" s="183">
        <v>19500</v>
      </c>
      <c r="F398" s="183">
        <v>975</v>
      </c>
      <c r="G398" s="563">
        <f t="shared" ref="G398:G452" si="35">E398+F398</f>
        <v>20475</v>
      </c>
      <c r="H398" s="379">
        <v>6</v>
      </c>
      <c r="I398" s="343">
        <v>913</v>
      </c>
      <c r="K398" s="350">
        <v>20475</v>
      </c>
      <c r="M398" s="350">
        <f>J398+K398+L398</f>
        <v>20475</v>
      </c>
      <c r="O398" s="351">
        <f>G398-M398-N398</f>
        <v>0</v>
      </c>
      <c r="P398" s="564" t="s">
        <v>4308</v>
      </c>
    </row>
    <row r="399" spans="1:18">
      <c r="A399" s="183">
        <v>20160219</v>
      </c>
      <c r="B399" s="183" t="s">
        <v>4505</v>
      </c>
      <c r="C399" s="183" t="s">
        <v>4000</v>
      </c>
      <c r="E399" s="183">
        <v>19500</v>
      </c>
      <c r="F399" s="183">
        <v>975</v>
      </c>
      <c r="G399" s="563">
        <f t="shared" si="35"/>
        <v>20475</v>
      </c>
      <c r="H399" s="379">
        <v>6</v>
      </c>
      <c r="I399" s="350">
        <v>905</v>
      </c>
      <c r="K399" s="350">
        <v>20475</v>
      </c>
      <c r="M399" s="350">
        <f t="shared" ref="M399:M434" si="36">J399+K399+L399</f>
        <v>20475</v>
      </c>
      <c r="O399" s="351">
        <f t="shared" ref="O399:O434" si="37">G399-M399-N399</f>
        <v>0</v>
      </c>
      <c r="P399" s="564" t="s">
        <v>4310</v>
      </c>
    </row>
    <row r="400" spans="1:18">
      <c r="A400" s="183">
        <v>20160219</v>
      </c>
      <c r="B400" s="183" t="s">
        <v>4506</v>
      </c>
      <c r="C400" s="199" t="s">
        <v>4000</v>
      </c>
      <c r="E400" s="199">
        <v>15600</v>
      </c>
      <c r="F400" s="183">
        <v>780</v>
      </c>
      <c r="G400" s="563">
        <f t="shared" si="35"/>
        <v>16380</v>
      </c>
      <c r="H400" s="379">
        <v>6</v>
      </c>
      <c r="I400" s="350">
        <v>921</v>
      </c>
      <c r="K400" s="350">
        <v>16380</v>
      </c>
      <c r="M400" s="350">
        <f t="shared" si="36"/>
        <v>16380</v>
      </c>
      <c r="O400" s="351">
        <f t="shared" si="37"/>
        <v>0</v>
      </c>
      <c r="P400" s="564" t="s">
        <v>4310</v>
      </c>
    </row>
    <row r="401" spans="1:16">
      <c r="A401" s="183">
        <v>20160219</v>
      </c>
      <c r="B401" s="183" t="s">
        <v>4507</v>
      </c>
      <c r="C401" s="199" t="s">
        <v>4204</v>
      </c>
      <c r="E401" s="199">
        <v>19500</v>
      </c>
      <c r="F401" s="183">
        <v>975</v>
      </c>
      <c r="G401" s="563">
        <f t="shared" si="35"/>
        <v>20475</v>
      </c>
      <c r="H401" s="379">
        <v>3</v>
      </c>
      <c r="I401" s="350">
        <v>1023</v>
      </c>
      <c r="K401" s="350">
        <v>20475</v>
      </c>
      <c r="M401" s="350">
        <f t="shared" si="36"/>
        <v>20475</v>
      </c>
      <c r="O401" s="351">
        <f t="shared" si="37"/>
        <v>0</v>
      </c>
      <c r="P401" s="564" t="s">
        <v>4313</v>
      </c>
    </row>
    <row r="402" spans="1:16">
      <c r="A402" s="183">
        <v>20160219</v>
      </c>
      <c r="B402" s="183" t="s">
        <v>4508</v>
      </c>
      <c r="C402" s="199" t="s">
        <v>4056</v>
      </c>
      <c r="E402" s="199">
        <v>19500</v>
      </c>
      <c r="F402" s="183">
        <v>975</v>
      </c>
      <c r="G402" s="563">
        <f t="shared" si="35"/>
        <v>20475</v>
      </c>
      <c r="H402" s="379">
        <v>5</v>
      </c>
      <c r="I402" s="350">
        <v>956</v>
      </c>
      <c r="K402" s="350">
        <v>20475</v>
      </c>
      <c r="M402" s="350">
        <f t="shared" si="36"/>
        <v>20475</v>
      </c>
      <c r="O402" s="351">
        <f t="shared" si="37"/>
        <v>0</v>
      </c>
      <c r="P402" s="564" t="s">
        <v>4331</v>
      </c>
    </row>
    <row r="403" spans="1:16">
      <c r="A403" s="183">
        <v>20160219</v>
      </c>
      <c r="B403" s="183" t="s">
        <v>4509</v>
      </c>
      <c r="C403" s="199" t="s">
        <v>4315</v>
      </c>
      <c r="E403" s="199">
        <v>15600</v>
      </c>
      <c r="F403" s="183">
        <v>780</v>
      </c>
      <c r="G403" s="563">
        <f t="shared" si="35"/>
        <v>16380</v>
      </c>
      <c r="H403" s="379">
        <v>8</v>
      </c>
      <c r="I403" s="350">
        <v>1079</v>
      </c>
      <c r="J403" s="350">
        <v>16380</v>
      </c>
      <c r="M403" s="350">
        <f t="shared" si="36"/>
        <v>16380</v>
      </c>
      <c r="O403" s="351">
        <f t="shared" si="37"/>
        <v>0</v>
      </c>
      <c r="P403" s="564" t="s">
        <v>4316</v>
      </c>
    </row>
    <row r="404" spans="1:16">
      <c r="A404" s="183">
        <v>20160219</v>
      </c>
      <c r="B404" s="183" t="s">
        <v>4510</v>
      </c>
      <c r="C404" s="199" t="s">
        <v>456</v>
      </c>
      <c r="E404" s="199">
        <v>12600</v>
      </c>
      <c r="F404" s="183">
        <v>630</v>
      </c>
      <c r="G404" s="563">
        <f t="shared" si="35"/>
        <v>13230</v>
      </c>
      <c r="H404" s="379">
        <v>3</v>
      </c>
      <c r="I404" s="398" t="s">
        <v>4436</v>
      </c>
      <c r="L404" s="350">
        <v>13230</v>
      </c>
      <c r="M404" s="350">
        <f t="shared" si="36"/>
        <v>13230</v>
      </c>
      <c r="O404" s="351">
        <f t="shared" si="37"/>
        <v>0</v>
      </c>
      <c r="P404" s="564" t="s">
        <v>4323</v>
      </c>
    </row>
    <row r="405" spans="1:16">
      <c r="A405" s="183">
        <v>20160308</v>
      </c>
      <c r="B405" s="183" t="s">
        <v>4511</v>
      </c>
      <c r="C405" s="183" t="s">
        <v>447</v>
      </c>
      <c r="E405" s="183">
        <v>13500</v>
      </c>
      <c r="F405" s="183">
        <v>675</v>
      </c>
      <c r="G405" s="563">
        <f t="shared" si="35"/>
        <v>14175</v>
      </c>
      <c r="H405" s="379">
        <v>1</v>
      </c>
      <c r="I405" s="398" t="s">
        <v>4438</v>
      </c>
      <c r="L405" s="350">
        <v>14175</v>
      </c>
      <c r="M405" s="350">
        <f t="shared" si="36"/>
        <v>14175</v>
      </c>
      <c r="O405" s="351">
        <f t="shared" si="37"/>
        <v>0</v>
      </c>
      <c r="P405" s="564" t="s">
        <v>4321</v>
      </c>
    </row>
    <row r="406" spans="1:16">
      <c r="A406" s="183">
        <v>20160316</v>
      </c>
      <c r="B406" s="183" t="s">
        <v>4512</v>
      </c>
      <c r="C406" s="199" t="s">
        <v>4513</v>
      </c>
      <c r="E406" s="199">
        <v>91200</v>
      </c>
      <c r="F406" s="183">
        <v>4560</v>
      </c>
      <c r="G406" s="563">
        <f t="shared" si="35"/>
        <v>95760</v>
      </c>
      <c r="H406" s="399" t="s">
        <v>4302</v>
      </c>
      <c r="I406" s="398" t="s">
        <v>4439</v>
      </c>
      <c r="J406" s="350">
        <v>95760</v>
      </c>
      <c r="M406" s="350">
        <f t="shared" si="36"/>
        <v>95760</v>
      </c>
      <c r="O406" s="351">
        <f t="shared" si="37"/>
        <v>0</v>
      </c>
      <c r="P406" s="564" t="s">
        <v>4519</v>
      </c>
    </row>
    <row r="407" spans="1:16">
      <c r="A407" s="183">
        <v>20160319</v>
      </c>
      <c r="B407" s="183" t="s">
        <v>4514</v>
      </c>
      <c r="C407" s="199" t="s">
        <v>4318</v>
      </c>
      <c r="E407" s="199">
        <v>12857</v>
      </c>
      <c r="F407" s="183">
        <v>643</v>
      </c>
      <c r="G407" s="563">
        <f t="shared" si="35"/>
        <v>13500</v>
      </c>
      <c r="H407" s="399" t="s">
        <v>4810</v>
      </c>
      <c r="I407" s="398" t="s">
        <v>4758</v>
      </c>
      <c r="L407" s="350">
        <v>13485</v>
      </c>
      <c r="M407" s="350">
        <f t="shared" si="36"/>
        <v>13485</v>
      </c>
      <c r="N407" s="351">
        <v>15</v>
      </c>
      <c r="O407" s="351">
        <f t="shared" si="37"/>
        <v>0</v>
      </c>
      <c r="P407" s="564" t="s">
        <v>4319</v>
      </c>
    </row>
    <row r="408" spans="1:16">
      <c r="A408" s="183">
        <v>20160321</v>
      </c>
      <c r="B408" s="183" t="s">
        <v>4515</v>
      </c>
      <c r="C408" s="199" t="s">
        <v>4339</v>
      </c>
      <c r="E408" s="199">
        <v>13500</v>
      </c>
      <c r="F408" s="183">
        <v>675</v>
      </c>
      <c r="G408" s="563">
        <f t="shared" si="35"/>
        <v>14175</v>
      </c>
      <c r="H408" s="399" t="s">
        <v>4811</v>
      </c>
      <c r="I408" s="398" t="s">
        <v>4757</v>
      </c>
      <c r="L408" s="350">
        <v>14145</v>
      </c>
      <c r="M408" s="350">
        <f t="shared" si="36"/>
        <v>14145</v>
      </c>
      <c r="N408" s="351">
        <v>30</v>
      </c>
      <c r="O408" s="351">
        <f t="shared" si="37"/>
        <v>0</v>
      </c>
      <c r="P408" s="564" t="s">
        <v>4340</v>
      </c>
    </row>
    <row r="409" spans="1:16">
      <c r="A409" s="183">
        <v>20160330</v>
      </c>
      <c r="B409" s="183" t="s">
        <v>4516</v>
      </c>
      <c r="C409" s="199" t="s">
        <v>4517</v>
      </c>
      <c r="E409" s="199">
        <v>102857</v>
      </c>
      <c r="F409" s="183">
        <v>5143</v>
      </c>
      <c r="G409" s="563">
        <f t="shared" si="35"/>
        <v>108000</v>
      </c>
      <c r="H409" s="399" t="s">
        <v>4302</v>
      </c>
      <c r="I409" s="398" t="s">
        <v>4756</v>
      </c>
      <c r="L409" s="350">
        <v>108000</v>
      </c>
      <c r="M409" s="350">
        <f t="shared" si="36"/>
        <v>108000</v>
      </c>
      <c r="O409" s="351">
        <f t="shared" si="37"/>
        <v>0</v>
      </c>
      <c r="P409" s="564" t="s">
        <v>4520</v>
      </c>
    </row>
    <row r="410" spans="1:16">
      <c r="A410" s="183">
        <v>20160418</v>
      </c>
      <c r="B410" s="183" t="s">
        <v>4518</v>
      </c>
      <c r="C410" s="199" t="s">
        <v>456</v>
      </c>
      <c r="E410" s="199">
        <v>12600</v>
      </c>
      <c r="F410" s="183">
        <v>630</v>
      </c>
      <c r="G410" s="563">
        <f t="shared" si="35"/>
        <v>13230</v>
      </c>
      <c r="H410" s="399" t="s">
        <v>4810</v>
      </c>
      <c r="I410" s="398" t="s">
        <v>4750</v>
      </c>
      <c r="L410" s="350">
        <v>13230</v>
      </c>
      <c r="M410" s="350">
        <f t="shared" si="36"/>
        <v>13230</v>
      </c>
      <c r="O410" s="351">
        <f t="shared" si="37"/>
        <v>0</v>
      </c>
      <c r="P410" s="564" t="s">
        <v>4323</v>
      </c>
    </row>
    <row r="411" spans="1:16">
      <c r="A411" s="183">
        <v>20160503</v>
      </c>
      <c r="B411" s="183" t="s">
        <v>4521</v>
      </c>
      <c r="C411" s="183" t="s">
        <v>4201</v>
      </c>
      <c r="E411" s="183">
        <v>19500</v>
      </c>
      <c r="F411" s="183">
        <v>975</v>
      </c>
      <c r="G411" s="563">
        <f t="shared" si="35"/>
        <v>20475</v>
      </c>
      <c r="H411" s="399" t="s">
        <v>4812</v>
      </c>
      <c r="I411" s="350">
        <v>914</v>
      </c>
      <c r="K411" s="350">
        <v>20475</v>
      </c>
      <c r="M411" s="350">
        <f t="shared" si="36"/>
        <v>20475</v>
      </c>
      <c r="O411" s="351">
        <f t="shared" si="37"/>
        <v>0</v>
      </c>
      <c r="P411" s="564" t="s">
        <v>4308</v>
      </c>
    </row>
    <row r="412" spans="1:16">
      <c r="A412" s="183">
        <v>20160503</v>
      </c>
      <c r="B412" s="183" t="s">
        <v>4522</v>
      </c>
      <c r="C412" s="183" t="s">
        <v>4000</v>
      </c>
      <c r="E412" s="183">
        <v>19500</v>
      </c>
      <c r="F412" s="183">
        <v>975</v>
      </c>
      <c r="G412" s="563">
        <f t="shared" si="35"/>
        <v>20475</v>
      </c>
      <c r="H412" s="399" t="s">
        <v>4812</v>
      </c>
      <c r="I412" s="350">
        <v>906</v>
      </c>
      <c r="K412" s="350">
        <v>20475</v>
      </c>
      <c r="M412" s="350">
        <f t="shared" si="36"/>
        <v>20475</v>
      </c>
      <c r="O412" s="351">
        <f t="shared" si="37"/>
        <v>0</v>
      </c>
      <c r="P412" s="564" t="s">
        <v>4310</v>
      </c>
    </row>
    <row r="413" spans="1:16">
      <c r="A413" s="183">
        <v>20160503</v>
      </c>
      <c r="B413" s="183" t="s">
        <v>4523</v>
      </c>
      <c r="C413" s="199" t="s">
        <v>4000</v>
      </c>
      <c r="E413" s="199">
        <v>15600</v>
      </c>
      <c r="F413" s="183">
        <v>780</v>
      </c>
      <c r="G413" s="563">
        <f t="shared" si="35"/>
        <v>16380</v>
      </c>
      <c r="H413" s="399" t="s">
        <v>4812</v>
      </c>
      <c r="I413" s="350">
        <v>922</v>
      </c>
      <c r="K413" s="350">
        <v>16380</v>
      </c>
      <c r="M413" s="350">
        <f t="shared" si="36"/>
        <v>16380</v>
      </c>
      <c r="O413" s="351">
        <f t="shared" si="37"/>
        <v>0</v>
      </c>
      <c r="P413" s="564" t="s">
        <v>4310</v>
      </c>
    </row>
    <row r="414" spans="1:16">
      <c r="A414" s="183">
        <v>20160503</v>
      </c>
      <c r="B414" s="183" t="s">
        <v>4524</v>
      </c>
      <c r="C414" s="199" t="s">
        <v>4204</v>
      </c>
      <c r="E414" s="199">
        <v>19500</v>
      </c>
      <c r="F414" s="183">
        <v>975</v>
      </c>
      <c r="G414" s="563">
        <f t="shared" si="35"/>
        <v>20475</v>
      </c>
      <c r="H414" s="399" t="s">
        <v>4810</v>
      </c>
      <c r="I414" s="350">
        <v>1024</v>
      </c>
      <c r="K414" s="350">
        <v>20475</v>
      </c>
      <c r="M414" s="350">
        <f t="shared" si="36"/>
        <v>20475</v>
      </c>
      <c r="O414" s="351">
        <f t="shared" si="37"/>
        <v>0</v>
      </c>
      <c r="P414" s="564" t="s">
        <v>4313</v>
      </c>
    </row>
    <row r="415" spans="1:16">
      <c r="A415" s="183">
        <v>20160503</v>
      </c>
      <c r="B415" s="183" t="s">
        <v>4525</v>
      </c>
      <c r="C415" s="199" t="s">
        <v>4056</v>
      </c>
      <c r="E415" s="199">
        <v>19500</v>
      </c>
      <c r="F415" s="183">
        <v>975</v>
      </c>
      <c r="G415" s="563">
        <f t="shared" si="35"/>
        <v>20475</v>
      </c>
      <c r="H415" s="399" t="s">
        <v>4813</v>
      </c>
      <c r="I415" s="350">
        <v>957</v>
      </c>
      <c r="K415" s="350">
        <v>20475</v>
      </c>
      <c r="M415" s="350">
        <f t="shared" si="36"/>
        <v>20475</v>
      </c>
      <c r="O415" s="351">
        <f t="shared" si="37"/>
        <v>0</v>
      </c>
      <c r="P415" s="564" t="s">
        <v>4331</v>
      </c>
    </row>
    <row r="416" spans="1:16">
      <c r="A416" s="183">
        <v>20160503</v>
      </c>
      <c r="B416" s="183" t="s">
        <v>4526</v>
      </c>
      <c r="C416" s="183" t="s">
        <v>4315</v>
      </c>
      <c r="E416" s="199">
        <v>15600</v>
      </c>
      <c r="F416" s="183">
        <v>780</v>
      </c>
      <c r="G416" s="563">
        <f t="shared" si="35"/>
        <v>16380</v>
      </c>
      <c r="H416" s="399" t="s">
        <v>4814</v>
      </c>
      <c r="I416" s="398" t="s">
        <v>4676</v>
      </c>
      <c r="J416" s="350">
        <v>16380</v>
      </c>
      <c r="M416" s="350">
        <f t="shared" si="36"/>
        <v>16380</v>
      </c>
      <c r="O416" s="351">
        <f t="shared" si="37"/>
        <v>0</v>
      </c>
      <c r="P416" s="564" t="s">
        <v>4316</v>
      </c>
    </row>
    <row r="417" spans="1:16">
      <c r="A417" s="183">
        <v>20160513</v>
      </c>
      <c r="B417" s="183" t="s">
        <v>4527</v>
      </c>
      <c r="C417" s="199" t="s">
        <v>4528</v>
      </c>
      <c r="E417" s="199">
        <v>96000</v>
      </c>
      <c r="F417" s="183">
        <v>4800</v>
      </c>
      <c r="G417" s="563">
        <f t="shared" si="35"/>
        <v>100800</v>
      </c>
      <c r="H417" s="399" t="s">
        <v>4302</v>
      </c>
      <c r="I417" s="398" t="s">
        <v>4817</v>
      </c>
      <c r="J417" s="350">
        <v>100800</v>
      </c>
      <c r="M417" s="350">
        <f t="shared" si="36"/>
        <v>100800</v>
      </c>
      <c r="O417" s="351">
        <f t="shared" si="37"/>
        <v>0</v>
      </c>
      <c r="P417" s="564" t="s">
        <v>4540</v>
      </c>
    </row>
    <row r="418" spans="1:16">
      <c r="A418" s="183">
        <v>20160517</v>
      </c>
      <c r="B418" s="183" t="s">
        <v>4529</v>
      </c>
      <c r="C418" s="199" t="s">
        <v>4530</v>
      </c>
      <c r="E418" s="199">
        <v>108000</v>
      </c>
      <c r="F418" s="183">
        <v>5400</v>
      </c>
      <c r="G418" s="563">
        <f t="shared" si="35"/>
        <v>113400</v>
      </c>
      <c r="H418" s="399" t="s">
        <v>4302</v>
      </c>
      <c r="I418" s="398" t="s">
        <v>4818</v>
      </c>
      <c r="J418" s="350">
        <v>113400</v>
      </c>
      <c r="M418" s="350">
        <f t="shared" si="36"/>
        <v>113400</v>
      </c>
      <c r="O418" s="351">
        <f t="shared" si="37"/>
        <v>0</v>
      </c>
      <c r="P418" s="564" t="s">
        <v>4541</v>
      </c>
    </row>
    <row r="419" spans="1:16">
      <c r="A419" s="183">
        <v>20160601</v>
      </c>
      <c r="B419" s="183" t="s">
        <v>4531</v>
      </c>
      <c r="C419" s="199" t="s">
        <v>4409</v>
      </c>
      <c r="E419" s="199">
        <v>132000</v>
      </c>
      <c r="F419" s="183">
        <v>6600</v>
      </c>
      <c r="G419" s="563">
        <f t="shared" si="35"/>
        <v>138600</v>
      </c>
      <c r="H419" s="399" t="s">
        <v>4302</v>
      </c>
      <c r="I419" s="398" t="s">
        <v>4819</v>
      </c>
      <c r="J419" s="350">
        <v>138600</v>
      </c>
      <c r="M419" s="350">
        <f t="shared" si="36"/>
        <v>138600</v>
      </c>
      <c r="O419" s="351">
        <f t="shared" si="37"/>
        <v>0</v>
      </c>
      <c r="P419" s="564" t="s">
        <v>4410</v>
      </c>
    </row>
    <row r="420" spans="1:16">
      <c r="A420" s="183">
        <v>20160601</v>
      </c>
      <c r="B420" s="183" t="s">
        <v>4532</v>
      </c>
      <c r="C420" s="199" t="s">
        <v>4409</v>
      </c>
      <c r="E420" s="199">
        <v>96000</v>
      </c>
      <c r="F420" s="183">
        <v>4800</v>
      </c>
      <c r="G420" s="563">
        <f t="shared" si="35"/>
        <v>100800</v>
      </c>
      <c r="H420" s="399" t="s">
        <v>4302</v>
      </c>
      <c r="I420" s="398" t="s">
        <v>4822</v>
      </c>
      <c r="J420" s="350">
        <v>100800</v>
      </c>
      <c r="M420" s="350">
        <f t="shared" si="36"/>
        <v>100800</v>
      </c>
      <c r="O420" s="351">
        <f t="shared" si="37"/>
        <v>0</v>
      </c>
      <c r="P420" s="564" t="s">
        <v>4410</v>
      </c>
    </row>
    <row r="421" spans="1:16">
      <c r="A421" s="183">
        <v>20160614</v>
      </c>
      <c r="B421" s="183" t="s">
        <v>4533</v>
      </c>
      <c r="C421" s="199" t="s">
        <v>4339</v>
      </c>
      <c r="E421" s="199">
        <v>13500</v>
      </c>
      <c r="F421" s="183">
        <v>675</v>
      </c>
      <c r="G421" s="563">
        <f t="shared" si="35"/>
        <v>14175</v>
      </c>
      <c r="H421" s="399" t="s">
        <v>4813</v>
      </c>
      <c r="I421" s="398" t="s">
        <v>4249</v>
      </c>
      <c r="L421" s="350">
        <v>14145</v>
      </c>
      <c r="M421" s="350">
        <f t="shared" si="36"/>
        <v>14145</v>
      </c>
      <c r="N421" s="351">
        <v>30</v>
      </c>
      <c r="O421" s="351">
        <f t="shared" si="37"/>
        <v>0</v>
      </c>
      <c r="P421" s="564" t="s">
        <v>4340</v>
      </c>
    </row>
    <row r="422" spans="1:16">
      <c r="A422" s="183">
        <v>20160614</v>
      </c>
      <c r="B422" s="183" t="s">
        <v>4534</v>
      </c>
      <c r="C422" s="199" t="s">
        <v>4318</v>
      </c>
      <c r="E422" s="199">
        <v>12857</v>
      </c>
      <c r="F422" s="183">
        <v>643</v>
      </c>
      <c r="G422" s="563">
        <f t="shared" si="35"/>
        <v>13500</v>
      </c>
      <c r="H422" s="399" t="s">
        <v>4811</v>
      </c>
      <c r="I422" s="398" t="s">
        <v>4262</v>
      </c>
      <c r="L422" s="350">
        <v>13485</v>
      </c>
      <c r="M422" s="350">
        <f t="shared" si="36"/>
        <v>13485</v>
      </c>
      <c r="N422" s="351">
        <v>15</v>
      </c>
      <c r="O422" s="351">
        <f t="shared" si="37"/>
        <v>0</v>
      </c>
      <c r="P422" s="564" t="s">
        <v>4319</v>
      </c>
    </row>
    <row r="423" spans="1:16">
      <c r="A423" s="183">
        <v>20160614</v>
      </c>
      <c r="B423" s="183" t="s">
        <v>4535</v>
      </c>
      <c r="C423" s="199" t="s">
        <v>447</v>
      </c>
      <c r="E423" s="199">
        <v>13500</v>
      </c>
      <c r="F423" s="183">
        <v>675</v>
      </c>
      <c r="G423" s="563">
        <f t="shared" si="35"/>
        <v>14175</v>
      </c>
      <c r="H423" s="399" t="s">
        <v>4763</v>
      </c>
      <c r="I423" s="398" t="s">
        <v>4759</v>
      </c>
      <c r="L423" s="350">
        <v>14165</v>
      </c>
      <c r="M423" s="350">
        <f t="shared" si="36"/>
        <v>14165</v>
      </c>
      <c r="N423" s="351">
        <v>10</v>
      </c>
      <c r="O423" s="351">
        <f t="shared" si="37"/>
        <v>0</v>
      </c>
      <c r="P423" s="564" t="s">
        <v>4321</v>
      </c>
    </row>
    <row r="424" spans="1:16">
      <c r="A424" s="183">
        <v>20160615</v>
      </c>
      <c r="B424" s="183" t="s">
        <v>4536</v>
      </c>
      <c r="C424" s="199" t="s">
        <v>4537</v>
      </c>
      <c r="E424" s="199">
        <v>96000</v>
      </c>
      <c r="F424" s="183">
        <v>4800</v>
      </c>
      <c r="G424" s="563">
        <f t="shared" si="35"/>
        <v>100800</v>
      </c>
      <c r="H424" s="399" t="s">
        <v>4302</v>
      </c>
      <c r="I424" s="398" t="s">
        <v>4825</v>
      </c>
      <c r="J424" s="350">
        <v>100800</v>
      </c>
      <c r="M424" s="350">
        <f t="shared" si="36"/>
        <v>100800</v>
      </c>
      <c r="O424" s="351">
        <f t="shared" si="37"/>
        <v>0</v>
      </c>
      <c r="P424" s="564" t="s">
        <v>4542</v>
      </c>
    </row>
    <row r="425" spans="1:16">
      <c r="A425" s="183">
        <v>20160623</v>
      </c>
      <c r="B425" s="183" t="s">
        <v>4538</v>
      </c>
      <c r="C425" s="199" t="s">
        <v>4539</v>
      </c>
      <c r="E425" s="199">
        <v>100800</v>
      </c>
      <c r="F425" s="183">
        <v>5040</v>
      </c>
      <c r="G425" s="563">
        <f t="shared" si="35"/>
        <v>105840</v>
      </c>
      <c r="H425" s="399" t="s">
        <v>4302</v>
      </c>
      <c r="I425" s="398" t="s">
        <v>4826</v>
      </c>
      <c r="J425" s="350">
        <v>105840</v>
      </c>
      <c r="M425" s="350">
        <f t="shared" si="36"/>
        <v>105840</v>
      </c>
      <c r="O425" s="351">
        <f t="shared" si="37"/>
        <v>0</v>
      </c>
      <c r="P425" s="564" t="s">
        <v>4543</v>
      </c>
    </row>
    <row r="426" spans="1:16">
      <c r="A426" s="183">
        <v>20160719</v>
      </c>
      <c r="B426" s="183" t="s">
        <v>4544</v>
      </c>
      <c r="C426" s="183" t="s">
        <v>456</v>
      </c>
      <c r="E426" s="183">
        <v>12600</v>
      </c>
      <c r="F426" s="183">
        <v>630</v>
      </c>
      <c r="G426" s="563">
        <f t="shared" si="35"/>
        <v>13230</v>
      </c>
      <c r="H426" s="399" t="s">
        <v>4811</v>
      </c>
      <c r="I426" s="398" t="s">
        <v>4751</v>
      </c>
      <c r="L426" s="350">
        <v>13230</v>
      </c>
      <c r="M426" s="350">
        <f t="shared" si="36"/>
        <v>13230</v>
      </c>
      <c r="O426" s="351">
        <f t="shared" si="37"/>
        <v>0</v>
      </c>
      <c r="P426" s="564" t="s">
        <v>4323</v>
      </c>
    </row>
    <row r="427" spans="1:16">
      <c r="A427" s="183">
        <v>20160801</v>
      </c>
      <c r="B427" s="183" t="s">
        <v>4545</v>
      </c>
      <c r="C427" s="199" t="s">
        <v>4836</v>
      </c>
      <c r="E427" s="199">
        <v>43200</v>
      </c>
      <c r="F427" s="183">
        <v>2160</v>
      </c>
      <c r="G427" s="563">
        <f t="shared" si="35"/>
        <v>45360</v>
      </c>
      <c r="H427" s="399" t="s">
        <v>5264</v>
      </c>
      <c r="I427" s="343" t="s">
        <v>5265</v>
      </c>
      <c r="L427" s="398">
        <f>22680+11340+11340</f>
        <v>45360</v>
      </c>
      <c r="M427" s="350">
        <f t="shared" si="36"/>
        <v>45360</v>
      </c>
      <c r="O427" s="351">
        <f t="shared" si="37"/>
        <v>0</v>
      </c>
      <c r="P427" s="564" t="s">
        <v>4553</v>
      </c>
    </row>
    <row r="428" spans="1:16">
      <c r="A428" s="183">
        <v>20160802</v>
      </c>
      <c r="B428" s="183" t="s">
        <v>4546</v>
      </c>
      <c r="C428" s="199" t="s">
        <v>4201</v>
      </c>
      <c r="E428" s="199">
        <v>19500</v>
      </c>
      <c r="F428" s="183">
        <v>975</v>
      </c>
      <c r="G428" s="563">
        <f t="shared" si="35"/>
        <v>20475</v>
      </c>
      <c r="H428" s="399" t="s">
        <v>4823</v>
      </c>
      <c r="I428" s="350">
        <v>915</v>
      </c>
      <c r="K428" s="350">
        <v>20475</v>
      </c>
      <c r="M428" s="350">
        <f t="shared" si="36"/>
        <v>20475</v>
      </c>
      <c r="O428" s="351">
        <f t="shared" si="37"/>
        <v>0</v>
      </c>
      <c r="P428" s="564" t="s">
        <v>4308</v>
      </c>
    </row>
    <row r="429" spans="1:16">
      <c r="A429" s="183">
        <v>20160802</v>
      </c>
      <c r="B429" s="183" t="s">
        <v>4547</v>
      </c>
      <c r="C429" s="199" t="s">
        <v>4000</v>
      </c>
      <c r="E429" s="199">
        <v>19500</v>
      </c>
      <c r="F429" s="183">
        <v>975</v>
      </c>
      <c r="G429" s="563">
        <f t="shared" si="35"/>
        <v>20475</v>
      </c>
      <c r="H429" s="399" t="s">
        <v>4823</v>
      </c>
      <c r="I429" s="350">
        <v>907</v>
      </c>
      <c r="K429" s="350">
        <v>20475</v>
      </c>
      <c r="M429" s="350">
        <f t="shared" si="36"/>
        <v>20475</v>
      </c>
      <c r="O429" s="351">
        <f t="shared" si="37"/>
        <v>0</v>
      </c>
      <c r="P429" s="564" t="s">
        <v>4310</v>
      </c>
    </row>
    <row r="430" spans="1:16">
      <c r="A430" s="183">
        <v>20160802</v>
      </c>
      <c r="B430" s="183" t="s">
        <v>4548</v>
      </c>
      <c r="C430" s="183" t="s">
        <v>4000</v>
      </c>
      <c r="E430" s="199">
        <v>15600</v>
      </c>
      <c r="F430" s="183">
        <v>780</v>
      </c>
      <c r="G430" s="563">
        <f t="shared" si="35"/>
        <v>16380</v>
      </c>
      <c r="H430" s="399" t="s">
        <v>4823</v>
      </c>
      <c r="I430" s="350">
        <v>923</v>
      </c>
      <c r="K430" s="350">
        <v>16380</v>
      </c>
      <c r="M430" s="350">
        <f t="shared" si="36"/>
        <v>16380</v>
      </c>
      <c r="O430" s="351">
        <f t="shared" si="37"/>
        <v>0</v>
      </c>
      <c r="P430" s="564" t="s">
        <v>4310</v>
      </c>
    </row>
    <row r="431" spans="1:16">
      <c r="A431" s="183">
        <v>20160802</v>
      </c>
      <c r="B431" s="183" t="s">
        <v>4549</v>
      </c>
      <c r="C431" s="199" t="s">
        <v>4204</v>
      </c>
      <c r="E431" s="199">
        <v>19500</v>
      </c>
      <c r="F431" s="183">
        <v>975</v>
      </c>
      <c r="G431" s="563">
        <f t="shared" si="35"/>
        <v>20475</v>
      </c>
      <c r="H431" s="399" t="s">
        <v>4811</v>
      </c>
      <c r="I431" s="350">
        <v>1025</v>
      </c>
      <c r="K431" s="350">
        <v>20475</v>
      </c>
      <c r="M431" s="350">
        <f t="shared" si="36"/>
        <v>20475</v>
      </c>
      <c r="O431" s="351">
        <f t="shared" si="37"/>
        <v>0</v>
      </c>
      <c r="P431" s="564" t="s">
        <v>4313</v>
      </c>
    </row>
    <row r="432" spans="1:16">
      <c r="A432" s="183">
        <v>20160802</v>
      </c>
      <c r="B432" s="183" t="s">
        <v>4550</v>
      </c>
      <c r="C432" s="199" t="s">
        <v>4056</v>
      </c>
      <c r="E432" s="199">
        <v>19500</v>
      </c>
      <c r="F432" s="183">
        <v>975</v>
      </c>
      <c r="G432" s="563">
        <f t="shared" si="35"/>
        <v>20475</v>
      </c>
      <c r="H432" s="399" t="s">
        <v>4812</v>
      </c>
      <c r="I432" s="350">
        <v>958</v>
      </c>
      <c r="K432" s="350">
        <v>20475</v>
      </c>
      <c r="M432" s="350">
        <f t="shared" si="36"/>
        <v>20475</v>
      </c>
      <c r="O432" s="351">
        <f t="shared" si="37"/>
        <v>0</v>
      </c>
      <c r="P432" s="564" t="s">
        <v>4331</v>
      </c>
    </row>
    <row r="433" spans="1:17">
      <c r="A433" s="183">
        <v>20160802</v>
      </c>
      <c r="B433" s="183" t="s">
        <v>4551</v>
      </c>
      <c r="C433" s="199" t="s">
        <v>4315</v>
      </c>
      <c r="E433" s="199">
        <v>15600</v>
      </c>
      <c r="F433" s="183">
        <v>780</v>
      </c>
      <c r="G433" s="563">
        <f t="shared" si="35"/>
        <v>16380</v>
      </c>
      <c r="H433" s="399" t="s">
        <v>4815</v>
      </c>
      <c r="I433" s="350">
        <v>1139</v>
      </c>
      <c r="J433" s="350">
        <v>16380</v>
      </c>
      <c r="M433" s="350">
        <f t="shared" si="36"/>
        <v>16380</v>
      </c>
      <c r="O433" s="351">
        <f t="shared" si="37"/>
        <v>0</v>
      </c>
      <c r="P433" s="564" t="s">
        <v>4316</v>
      </c>
    </row>
    <row r="434" spans="1:17">
      <c r="A434" s="183">
        <v>20160804</v>
      </c>
      <c r="B434" s="183" t="s">
        <v>4552</v>
      </c>
      <c r="C434" s="199" t="s">
        <v>4204</v>
      </c>
      <c r="E434" s="199">
        <v>72000</v>
      </c>
      <c r="F434" s="183">
        <v>3600</v>
      </c>
      <c r="G434" s="563">
        <f t="shared" si="35"/>
        <v>75600</v>
      </c>
      <c r="H434" s="379"/>
      <c r="I434" s="398" t="s">
        <v>4761</v>
      </c>
      <c r="L434" s="350">
        <v>75600</v>
      </c>
      <c r="M434" s="350">
        <f t="shared" si="36"/>
        <v>75600</v>
      </c>
      <c r="O434" s="351">
        <f t="shared" si="37"/>
        <v>0</v>
      </c>
      <c r="P434" s="564" t="s">
        <v>4313</v>
      </c>
    </row>
    <row r="435" spans="1:17">
      <c r="A435" s="183">
        <v>20160901</v>
      </c>
      <c r="B435" s="183" t="s">
        <v>4554</v>
      </c>
      <c r="C435" s="183" t="s">
        <v>4555</v>
      </c>
      <c r="E435" s="183">
        <v>86400</v>
      </c>
      <c r="F435" s="183">
        <v>4320</v>
      </c>
      <c r="G435" s="563">
        <f t="shared" si="35"/>
        <v>90720</v>
      </c>
      <c r="H435" s="399" t="s">
        <v>4302</v>
      </c>
      <c r="I435" s="398" t="s">
        <v>4827</v>
      </c>
      <c r="J435" s="350">
        <v>90720</v>
      </c>
      <c r="M435" s="350">
        <f>J435+K435+L435</f>
        <v>90720</v>
      </c>
      <c r="O435" s="351">
        <f>G435-M435-N435</f>
        <v>0</v>
      </c>
      <c r="P435" s="564" t="s">
        <v>4560</v>
      </c>
    </row>
    <row r="436" spans="1:17">
      <c r="A436" s="183">
        <v>20160907</v>
      </c>
      <c r="B436" s="183" t="s">
        <v>4556</v>
      </c>
      <c r="C436" s="183" t="s">
        <v>447</v>
      </c>
      <c r="E436" s="183">
        <v>13500</v>
      </c>
      <c r="F436" s="183">
        <v>675</v>
      </c>
      <c r="G436" s="563">
        <f t="shared" si="35"/>
        <v>14175</v>
      </c>
      <c r="H436" s="399" t="s">
        <v>4824</v>
      </c>
      <c r="I436" s="398" t="s">
        <v>4764</v>
      </c>
      <c r="L436" s="350">
        <v>14165</v>
      </c>
      <c r="M436" s="350">
        <f>J436+K436+L436</f>
        <v>14165</v>
      </c>
      <c r="N436" s="351">
        <v>10</v>
      </c>
      <c r="O436" s="351">
        <f>G436-M436-N436</f>
        <v>0</v>
      </c>
      <c r="P436" s="564" t="s">
        <v>4321</v>
      </c>
    </row>
    <row r="437" spans="1:17">
      <c r="A437" s="183">
        <v>20160907</v>
      </c>
      <c r="B437" s="183" t="s">
        <v>4557</v>
      </c>
      <c r="C437" s="199" t="s">
        <v>4339</v>
      </c>
      <c r="E437" s="199">
        <v>13500</v>
      </c>
      <c r="F437" s="183">
        <v>675</v>
      </c>
      <c r="G437" s="563">
        <f t="shared" si="35"/>
        <v>14175</v>
      </c>
      <c r="H437" s="399" t="s">
        <v>4812</v>
      </c>
      <c r="I437" s="398" t="s">
        <v>4765</v>
      </c>
      <c r="L437" s="350">
        <v>14145</v>
      </c>
      <c r="M437" s="350">
        <f>J437+K437+L437</f>
        <v>14145</v>
      </c>
      <c r="N437" s="351">
        <v>30</v>
      </c>
      <c r="O437" s="351">
        <f>G437-M437-N437</f>
        <v>0</v>
      </c>
      <c r="P437" s="564" t="s">
        <v>4340</v>
      </c>
    </row>
    <row r="438" spans="1:17">
      <c r="A438" s="183">
        <v>20160907</v>
      </c>
      <c r="B438" s="183" t="s">
        <v>4558</v>
      </c>
      <c r="C438" s="199" t="s">
        <v>4318</v>
      </c>
      <c r="E438" s="199">
        <v>12857</v>
      </c>
      <c r="F438" s="183">
        <v>643</v>
      </c>
      <c r="G438" s="563">
        <f t="shared" si="35"/>
        <v>13500</v>
      </c>
      <c r="H438" s="399" t="s">
        <v>4813</v>
      </c>
      <c r="I438" s="398" t="s">
        <v>4264</v>
      </c>
      <c r="L438" s="350">
        <v>13485</v>
      </c>
      <c r="M438" s="350">
        <f>J438+K438+L438</f>
        <v>13485</v>
      </c>
      <c r="N438" s="351">
        <v>15</v>
      </c>
      <c r="O438" s="351">
        <f>G438-M438-N438</f>
        <v>0</v>
      </c>
      <c r="P438" s="564" t="s">
        <v>4319</v>
      </c>
    </row>
    <row r="439" spans="1:17">
      <c r="A439" s="183">
        <v>20161011</v>
      </c>
      <c r="B439" s="183" t="s">
        <v>4559</v>
      </c>
      <c r="C439" s="199" t="s">
        <v>456</v>
      </c>
      <c r="E439" s="199">
        <v>12600</v>
      </c>
      <c r="F439" s="183">
        <v>630</v>
      </c>
      <c r="G439" s="563">
        <f t="shared" si="35"/>
        <v>13230</v>
      </c>
      <c r="H439" s="399" t="s">
        <v>4813</v>
      </c>
      <c r="I439" s="398" t="s">
        <v>4751</v>
      </c>
      <c r="L439" s="350">
        <v>13230</v>
      </c>
      <c r="M439" s="350">
        <f>J439+K439+L439</f>
        <v>13230</v>
      </c>
      <c r="O439" s="351">
        <f>G439-M439-N439</f>
        <v>0</v>
      </c>
      <c r="P439" s="564" t="s">
        <v>4323</v>
      </c>
    </row>
    <row r="440" spans="1:17">
      <c r="A440" s="183">
        <v>20161101</v>
      </c>
      <c r="B440" s="183" t="s">
        <v>4561</v>
      </c>
      <c r="C440" s="183" t="s">
        <v>4201</v>
      </c>
      <c r="E440" s="183">
        <v>19500</v>
      </c>
      <c r="F440" s="183">
        <v>975</v>
      </c>
      <c r="G440" s="563">
        <f t="shared" si="35"/>
        <v>20475</v>
      </c>
      <c r="H440" s="399" t="s">
        <v>4330</v>
      </c>
      <c r="I440" s="350">
        <v>1150</v>
      </c>
      <c r="J440" s="350">
        <v>20475</v>
      </c>
      <c r="M440" s="350">
        <f t="shared" ref="M440:M453" si="38">J440+K440+L440</f>
        <v>20475</v>
      </c>
      <c r="O440" s="351">
        <f t="shared" ref="O440:O452" si="39">G440-M440-N440</f>
        <v>0</v>
      </c>
      <c r="P440" s="564" t="s">
        <v>4308</v>
      </c>
    </row>
    <row r="441" spans="1:17">
      <c r="A441" s="183">
        <v>20161101</v>
      </c>
      <c r="B441" s="183" t="s">
        <v>4562</v>
      </c>
      <c r="C441" s="183" t="s">
        <v>4000</v>
      </c>
      <c r="E441" s="183">
        <v>19500</v>
      </c>
      <c r="F441" s="183">
        <v>975</v>
      </c>
      <c r="G441" s="563">
        <f t="shared" si="35"/>
        <v>20475</v>
      </c>
      <c r="H441" s="399" t="s">
        <v>4330</v>
      </c>
      <c r="I441" s="350">
        <v>1158</v>
      </c>
      <c r="J441" s="350">
        <v>20475</v>
      </c>
      <c r="M441" s="350">
        <f t="shared" si="38"/>
        <v>20475</v>
      </c>
      <c r="O441" s="351">
        <f t="shared" si="39"/>
        <v>0</v>
      </c>
      <c r="P441" s="564" t="s">
        <v>4310</v>
      </c>
    </row>
    <row r="442" spans="1:17">
      <c r="A442" s="183">
        <v>20161101</v>
      </c>
      <c r="B442" s="183" t="s">
        <v>4563</v>
      </c>
      <c r="C442" s="199" t="s">
        <v>4000</v>
      </c>
      <c r="E442" s="199">
        <v>15600</v>
      </c>
      <c r="F442" s="183">
        <v>780</v>
      </c>
      <c r="G442" s="563">
        <f t="shared" si="35"/>
        <v>16380</v>
      </c>
      <c r="H442" s="399" t="s">
        <v>4330</v>
      </c>
      <c r="I442" s="350">
        <v>1166</v>
      </c>
      <c r="J442" s="350">
        <v>16380</v>
      </c>
      <c r="M442" s="350">
        <f t="shared" si="38"/>
        <v>16380</v>
      </c>
      <c r="O442" s="351">
        <f t="shared" si="39"/>
        <v>0</v>
      </c>
      <c r="P442" s="564" t="s">
        <v>4310</v>
      </c>
    </row>
    <row r="443" spans="1:17">
      <c r="A443" s="183">
        <v>20161101</v>
      </c>
      <c r="B443" s="183" t="s">
        <v>4564</v>
      </c>
      <c r="C443" s="199" t="s">
        <v>4201</v>
      </c>
      <c r="E443" s="199">
        <v>108000</v>
      </c>
      <c r="F443" s="183">
        <v>5400</v>
      </c>
      <c r="G443" s="563">
        <f t="shared" si="35"/>
        <v>113400</v>
      </c>
      <c r="H443" s="399"/>
      <c r="I443" s="398" t="s">
        <v>4190</v>
      </c>
      <c r="L443" s="350">
        <v>113390</v>
      </c>
      <c r="M443" s="350">
        <f t="shared" si="38"/>
        <v>113390</v>
      </c>
      <c r="N443" s="351">
        <v>10</v>
      </c>
      <c r="O443" s="351">
        <f t="shared" si="39"/>
        <v>0</v>
      </c>
      <c r="P443" s="564" t="s">
        <v>4308</v>
      </c>
    </row>
    <row r="444" spans="1:17">
      <c r="A444" s="183">
        <v>20161101</v>
      </c>
      <c r="B444" s="183" t="s">
        <v>4565</v>
      </c>
      <c r="C444" s="199" t="s">
        <v>4000</v>
      </c>
      <c r="E444" s="199">
        <v>108000</v>
      </c>
      <c r="F444" s="183">
        <v>5400</v>
      </c>
      <c r="G444" s="563">
        <f t="shared" si="35"/>
        <v>113400</v>
      </c>
      <c r="H444" s="399"/>
      <c r="I444" s="350">
        <v>1174</v>
      </c>
      <c r="J444" s="350">
        <v>113400</v>
      </c>
      <c r="M444" s="350">
        <f t="shared" si="38"/>
        <v>113400</v>
      </c>
      <c r="O444" s="351">
        <f t="shared" si="39"/>
        <v>0</v>
      </c>
      <c r="P444" s="564" t="s">
        <v>4310</v>
      </c>
    </row>
    <row r="445" spans="1:17">
      <c r="A445" s="183">
        <v>20161102</v>
      </c>
      <c r="B445" s="183" t="s">
        <v>4566</v>
      </c>
      <c r="C445" s="199" t="s">
        <v>4567</v>
      </c>
      <c r="E445" s="199">
        <v>3000</v>
      </c>
      <c r="F445" s="183">
        <v>150</v>
      </c>
      <c r="G445" s="563">
        <f t="shared" si="35"/>
        <v>3150</v>
      </c>
      <c r="H445" s="399"/>
      <c r="I445" s="350">
        <v>1175</v>
      </c>
      <c r="J445" s="350">
        <v>3150</v>
      </c>
      <c r="M445" s="350">
        <f t="shared" si="38"/>
        <v>3150</v>
      </c>
      <c r="O445" s="351">
        <f t="shared" si="39"/>
        <v>0</v>
      </c>
      <c r="P445" s="564" t="s">
        <v>4576</v>
      </c>
    </row>
    <row r="446" spans="1:17">
      <c r="A446" s="183">
        <v>20161102</v>
      </c>
      <c r="B446" s="183" t="s">
        <v>4568</v>
      </c>
      <c r="C446" s="199" t="s">
        <v>4315</v>
      </c>
      <c r="E446" s="199">
        <v>15600</v>
      </c>
      <c r="F446" s="183">
        <v>780</v>
      </c>
      <c r="G446" s="563">
        <f t="shared" si="35"/>
        <v>16380</v>
      </c>
      <c r="H446" s="399" t="s">
        <v>4816</v>
      </c>
      <c r="I446" s="398" t="s">
        <v>4609</v>
      </c>
      <c r="J446" s="350">
        <v>16380</v>
      </c>
      <c r="M446" s="350">
        <f t="shared" si="38"/>
        <v>16380</v>
      </c>
      <c r="O446" s="351">
        <f t="shared" si="39"/>
        <v>0</v>
      </c>
      <c r="P446" s="564" t="s">
        <v>4316</v>
      </c>
    </row>
    <row r="447" spans="1:17">
      <c r="A447" s="183">
        <v>20161121</v>
      </c>
      <c r="B447" s="183" t="s">
        <v>4569</v>
      </c>
      <c r="C447" s="623" t="s">
        <v>2691</v>
      </c>
      <c r="E447" s="199">
        <v>108000</v>
      </c>
      <c r="F447" s="183">
        <v>5400</v>
      </c>
      <c r="G447" s="563">
        <f t="shared" si="35"/>
        <v>113400</v>
      </c>
      <c r="H447" s="399" t="s">
        <v>5620</v>
      </c>
      <c r="I447" s="398" t="s">
        <v>5621</v>
      </c>
      <c r="J447" s="350">
        <v>28350</v>
      </c>
      <c r="M447" s="350">
        <f t="shared" si="38"/>
        <v>28350</v>
      </c>
      <c r="O447" s="626">
        <f t="shared" si="39"/>
        <v>85050</v>
      </c>
      <c r="P447" s="564" t="s">
        <v>4577</v>
      </c>
      <c r="Q447" s="403" t="s">
        <v>5580</v>
      </c>
    </row>
    <row r="448" spans="1:17">
      <c r="A448" s="183">
        <v>20161128</v>
      </c>
      <c r="B448" s="183" t="s">
        <v>4570</v>
      </c>
      <c r="C448" s="199" t="s">
        <v>4204</v>
      </c>
      <c r="E448" s="199">
        <v>19500</v>
      </c>
      <c r="F448" s="183">
        <v>975</v>
      </c>
      <c r="G448" s="563">
        <f t="shared" si="35"/>
        <v>20475</v>
      </c>
      <c r="H448" s="399" t="s">
        <v>4813</v>
      </c>
      <c r="I448" s="350">
        <v>1026</v>
      </c>
      <c r="K448" s="350">
        <v>20475</v>
      </c>
      <c r="M448" s="350">
        <f t="shared" si="38"/>
        <v>20475</v>
      </c>
      <c r="O448" s="351">
        <f t="shared" si="39"/>
        <v>0</v>
      </c>
      <c r="P448" s="564" t="s">
        <v>4313</v>
      </c>
    </row>
    <row r="449" spans="1:16">
      <c r="A449" s="183">
        <v>20161128</v>
      </c>
      <c r="B449" s="183" t="s">
        <v>4571</v>
      </c>
      <c r="C449" s="199" t="s">
        <v>4056</v>
      </c>
      <c r="E449" s="199">
        <v>19500</v>
      </c>
      <c r="F449" s="183">
        <v>975</v>
      </c>
      <c r="G449" s="563">
        <f t="shared" si="35"/>
        <v>20475</v>
      </c>
      <c r="H449" s="399" t="s">
        <v>4823</v>
      </c>
      <c r="I449" s="350">
        <v>959</v>
      </c>
      <c r="K449" s="350">
        <v>20475</v>
      </c>
      <c r="M449" s="350">
        <f t="shared" si="38"/>
        <v>20475</v>
      </c>
      <c r="O449" s="351">
        <f t="shared" si="39"/>
        <v>0</v>
      </c>
      <c r="P449" s="564" t="s">
        <v>4331</v>
      </c>
    </row>
    <row r="450" spans="1:16">
      <c r="A450" s="183">
        <v>20161206</v>
      </c>
      <c r="B450" s="183" t="s">
        <v>4572</v>
      </c>
      <c r="C450" s="199" t="s">
        <v>3825</v>
      </c>
      <c r="E450" s="199">
        <v>13500</v>
      </c>
      <c r="F450" s="183">
        <v>675</v>
      </c>
      <c r="G450" s="563">
        <f t="shared" si="35"/>
        <v>14175</v>
      </c>
      <c r="H450" s="399" t="s">
        <v>4823</v>
      </c>
      <c r="I450" s="398" t="s">
        <v>5273</v>
      </c>
      <c r="L450" s="350">
        <v>14145</v>
      </c>
      <c r="M450" s="350">
        <f t="shared" si="38"/>
        <v>14145</v>
      </c>
      <c r="N450" s="351">
        <v>30</v>
      </c>
      <c r="O450" s="351">
        <f t="shared" si="39"/>
        <v>0</v>
      </c>
      <c r="P450" s="564" t="s">
        <v>4340</v>
      </c>
    </row>
    <row r="451" spans="1:16">
      <c r="A451" s="183">
        <v>20161206</v>
      </c>
      <c r="B451" s="183" t="s">
        <v>4573</v>
      </c>
      <c r="C451" s="199" t="s">
        <v>1532</v>
      </c>
      <c r="E451" s="199">
        <v>12857</v>
      </c>
      <c r="F451" s="183">
        <v>643</v>
      </c>
      <c r="G451" s="563">
        <f t="shared" si="35"/>
        <v>13500</v>
      </c>
      <c r="H451" s="399" t="s">
        <v>4812</v>
      </c>
      <c r="I451" s="398" t="s">
        <v>5274</v>
      </c>
      <c r="L451" s="350">
        <v>13485</v>
      </c>
      <c r="M451" s="350">
        <f t="shared" si="38"/>
        <v>13485</v>
      </c>
      <c r="N451" s="351">
        <v>15</v>
      </c>
      <c r="O451" s="351">
        <f t="shared" si="39"/>
        <v>0</v>
      </c>
      <c r="P451" s="564" t="s">
        <v>4319</v>
      </c>
    </row>
    <row r="452" spans="1:16">
      <c r="A452" s="183">
        <v>20161206</v>
      </c>
      <c r="B452" s="183" t="s">
        <v>4574</v>
      </c>
      <c r="C452" s="199" t="s">
        <v>2421</v>
      </c>
      <c r="E452" s="199">
        <v>13500</v>
      </c>
      <c r="F452" s="183">
        <v>675</v>
      </c>
      <c r="G452" s="563">
        <f t="shared" si="35"/>
        <v>14175</v>
      </c>
      <c r="H452" s="399" t="s">
        <v>4810</v>
      </c>
      <c r="I452" s="398" t="s">
        <v>5272</v>
      </c>
      <c r="L452" s="398">
        <v>14165</v>
      </c>
      <c r="M452" s="350">
        <f t="shared" si="38"/>
        <v>14165</v>
      </c>
      <c r="N452" s="351">
        <v>10</v>
      </c>
      <c r="O452" s="351">
        <f t="shared" si="39"/>
        <v>0</v>
      </c>
      <c r="P452" s="564" t="s">
        <v>4321</v>
      </c>
    </row>
    <row r="453" spans="1:16">
      <c r="A453" s="183">
        <v>20161115</v>
      </c>
      <c r="B453" s="183" t="s">
        <v>4575</v>
      </c>
      <c r="C453" s="199"/>
      <c r="E453" s="199">
        <v>2500</v>
      </c>
      <c r="F453" s="183">
        <v>125</v>
      </c>
      <c r="G453" s="563">
        <v>2625</v>
      </c>
      <c r="H453" s="379"/>
      <c r="M453" s="350">
        <f t="shared" si="38"/>
        <v>0</v>
      </c>
      <c r="O453" s="626">
        <f>G453-M453-N453-2625</f>
        <v>0</v>
      </c>
      <c r="P453" s="564" t="s">
        <v>15201</v>
      </c>
    </row>
    <row r="454" spans="1:16">
      <c r="A454" s="183"/>
      <c r="B454" s="183"/>
      <c r="C454" s="199"/>
      <c r="E454" s="199"/>
      <c r="F454" s="183"/>
      <c r="G454" s="563"/>
      <c r="H454" s="379"/>
      <c r="K454" s="199" t="s">
        <v>4836</v>
      </c>
      <c r="L454" s="350">
        <v>22680</v>
      </c>
      <c r="P454" s="564"/>
    </row>
    <row r="455" spans="1:16">
      <c r="K455" s="398" t="s">
        <v>876</v>
      </c>
      <c r="L455" s="350">
        <v>-4320</v>
      </c>
    </row>
    <row r="456" spans="1:16">
      <c r="K456" s="398" t="s">
        <v>876</v>
      </c>
      <c r="L456" s="350">
        <v>-3150</v>
      </c>
    </row>
    <row r="457" spans="1:16">
      <c r="K457" s="398" t="s">
        <v>876</v>
      </c>
      <c r="L457" s="350">
        <v>-29400</v>
      </c>
    </row>
    <row r="458" spans="1:16" s="347" customFormat="1">
      <c r="A458" s="401" t="s">
        <v>5171</v>
      </c>
      <c r="D458" s="348" t="s">
        <v>2377</v>
      </c>
      <c r="E458" s="376">
        <f>SUM(E459:E530)</f>
        <v>3273957</v>
      </c>
      <c r="F458" s="376">
        <f>SUM(F459:F530)</f>
        <v>163698</v>
      </c>
      <c r="G458" s="376">
        <f>SUM(G459:G530)</f>
        <v>3437655</v>
      </c>
      <c r="H458" s="349"/>
      <c r="I458" s="383"/>
      <c r="J458" s="376">
        <f t="shared" ref="J458:O458" si="40">SUM(J459:J530)</f>
        <v>2408310</v>
      </c>
      <c r="K458" s="376">
        <f t="shared" si="40"/>
        <v>413595</v>
      </c>
      <c r="L458" s="376">
        <f t="shared" si="40"/>
        <v>615620</v>
      </c>
      <c r="M458" s="376">
        <f t="shared" si="40"/>
        <v>3437525</v>
      </c>
      <c r="N458" s="376">
        <f t="shared" si="40"/>
        <v>130</v>
      </c>
      <c r="O458" s="376">
        <f t="shared" si="40"/>
        <v>0</v>
      </c>
      <c r="P458" s="391"/>
    </row>
    <row r="459" spans="1:16">
      <c r="A459" s="183">
        <v>20170105</v>
      </c>
      <c r="B459" s="183" t="s">
        <v>5172</v>
      </c>
      <c r="C459" s="183" t="s">
        <v>4271</v>
      </c>
      <c r="D459" s="617"/>
      <c r="E459" s="183">
        <v>19500</v>
      </c>
      <c r="F459" s="183">
        <v>975</v>
      </c>
      <c r="G459" s="563">
        <f t="shared" ref="G459:G522" si="41">E459+F459</f>
        <v>20475</v>
      </c>
      <c r="H459" s="399" t="s">
        <v>4330</v>
      </c>
      <c r="I459" s="398">
        <v>1176</v>
      </c>
      <c r="J459" s="350">
        <v>20475</v>
      </c>
      <c r="M459" s="350">
        <f>J459+K459+L459</f>
        <v>20475</v>
      </c>
      <c r="O459" s="351">
        <f>G459-M459-N459</f>
        <v>0</v>
      </c>
      <c r="P459" s="564" t="s">
        <v>4396</v>
      </c>
    </row>
    <row r="460" spans="1:16">
      <c r="A460" s="183">
        <v>20170105</v>
      </c>
      <c r="B460" s="183" t="s">
        <v>5173</v>
      </c>
      <c r="C460" s="183" t="s">
        <v>4271</v>
      </c>
      <c r="D460" s="618"/>
      <c r="E460" s="183">
        <v>19500</v>
      </c>
      <c r="F460" s="183">
        <v>975</v>
      </c>
      <c r="G460" s="563">
        <f>E460+F460</f>
        <v>20475</v>
      </c>
      <c r="H460" s="399" t="s">
        <v>4763</v>
      </c>
      <c r="I460" s="398">
        <v>1177</v>
      </c>
      <c r="J460" s="350">
        <v>20475</v>
      </c>
      <c r="M460" s="350">
        <f t="shared" ref="M460:M523" si="42">J460+K460+L460</f>
        <v>20475</v>
      </c>
      <c r="O460" s="351">
        <f t="shared" ref="O460:O523" si="43">G460-M460-N460</f>
        <v>0</v>
      </c>
      <c r="P460" s="564" t="s">
        <v>4396</v>
      </c>
    </row>
    <row r="461" spans="1:16">
      <c r="A461" s="183">
        <v>20170105</v>
      </c>
      <c r="B461" s="183" t="s">
        <v>5174</v>
      </c>
      <c r="C461" s="183" t="s">
        <v>4271</v>
      </c>
      <c r="D461" s="618"/>
      <c r="E461" s="183">
        <v>19500</v>
      </c>
      <c r="F461" s="183">
        <v>975</v>
      </c>
      <c r="G461" s="563">
        <f>E461+F461</f>
        <v>20475</v>
      </c>
      <c r="H461" s="350">
        <v>3</v>
      </c>
      <c r="I461" s="398">
        <v>1178</v>
      </c>
      <c r="J461" s="350">
        <v>20475</v>
      </c>
      <c r="M461" s="350">
        <f t="shared" si="42"/>
        <v>20475</v>
      </c>
      <c r="O461" s="351">
        <f t="shared" si="43"/>
        <v>0</v>
      </c>
      <c r="P461" s="564" t="s">
        <v>4396</v>
      </c>
    </row>
    <row r="462" spans="1:16">
      <c r="A462" s="183">
        <v>20170105</v>
      </c>
      <c r="B462" s="183" t="s">
        <v>5175</v>
      </c>
      <c r="C462" s="183" t="s">
        <v>4271</v>
      </c>
      <c r="D462" s="617"/>
      <c r="E462" s="183">
        <v>19500</v>
      </c>
      <c r="F462" s="183">
        <v>975</v>
      </c>
      <c r="G462" s="563">
        <f>E462+F462</f>
        <v>20475</v>
      </c>
      <c r="H462" s="350">
        <v>4</v>
      </c>
      <c r="I462" s="398">
        <v>1179</v>
      </c>
      <c r="J462" s="350">
        <v>20475</v>
      </c>
      <c r="M462" s="350">
        <f t="shared" si="42"/>
        <v>20475</v>
      </c>
      <c r="O462" s="351">
        <f t="shared" si="43"/>
        <v>0</v>
      </c>
      <c r="P462" s="564" t="s">
        <v>4396</v>
      </c>
    </row>
    <row r="463" spans="1:16">
      <c r="A463" s="183">
        <v>20170105</v>
      </c>
      <c r="B463" s="183" t="s">
        <v>5176</v>
      </c>
      <c r="C463" s="199" t="s">
        <v>456</v>
      </c>
      <c r="D463" s="617"/>
      <c r="E463" s="199">
        <v>12600</v>
      </c>
      <c r="F463" s="183">
        <v>630</v>
      </c>
      <c r="G463" s="563">
        <f t="shared" si="41"/>
        <v>13230</v>
      </c>
      <c r="H463" s="350">
        <v>7</v>
      </c>
      <c r="I463" s="398" t="s">
        <v>5273</v>
      </c>
      <c r="L463" s="350">
        <v>13230</v>
      </c>
      <c r="M463" s="350">
        <f t="shared" si="42"/>
        <v>13230</v>
      </c>
      <c r="O463" s="351">
        <f t="shared" si="43"/>
        <v>0</v>
      </c>
      <c r="P463" s="564" t="s">
        <v>4323</v>
      </c>
    </row>
    <row r="464" spans="1:16">
      <c r="A464" s="183">
        <v>20170207</v>
      </c>
      <c r="B464" s="183" t="s">
        <v>5177</v>
      </c>
      <c r="C464" s="199" t="s">
        <v>4201</v>
      </c>
      <c r="D464" s="617"/>
      <c r="E464" s="199">
        <v>19500</v>
      </c>
      <c r="F464" s="183">
        <v>975</v>
      </c>
      <c r="G464" s="563">
        <f t="shared" si="41"/>
        <v>20475</v>
      </c>
      <c r="H464" s="350">
        <v>2</v>
      </c>
      <c r="I464" s="350">
        <v>1151</v>
      </c>
      <c r="K464" s="350">
        <v>20475</v>
      </c>
      <c r="M464" s="350">
        <f t="shared" si="42"/>
        <v>20475</v>
      </c>
      <c r="O464" s="351">
        <f t="shared" si="43"/>
        <v>0</v>
      </c>
      <c r="P464" s="564" t="s">
        <v>4308</v>
      </c>
    </row>
    <row r="465" spans="1:17">
      <c r="A465" s="183">
        <v>20170207</v>
      </c>
      <c r="B465" s="183" t="s">
        <v>5178</v>
      </c>
      <c r="C465" s="199" t="s">
        <v>4000</v>
      </c>
      <c r="D465" s="617"/>
      <c r="E465" s="199">
        <v>19500</v>
      </c>
      <c r="F465" s="183">
        <v>975</v>
      </c>
      <c r="G465" s="563">
        <f t="shared" si="41"/>
        <v>20475</v>
      </c>
      <c r="H465" s="350">
        <v>2</v>
      </c>
      <c r="I465" s="350">
        <v>1159</v>
      </c>
      <c r="K465" s="350">
        <v>20475</v>
      </c>
      <c r="M465" s="350">
        <f t="shared" si="42"/>
        <v>20475</v>
      </c>
      <c r="O465" s="351">
        <f t="shared" si="43"/>
        <v>0</v>
      </c>
      <c r="P465" s="564" t="s">
        <v>4310</v>
      </c>
    </row>
    <row r="466" spans="1:17">
      <c r="A466" s="183">
        <v>20170207</v>
      </c>
      <c r="B466" s="183" t="s">
        <v>5179</v>
      </c>
      <c r="C466" s="199" t="s">
        <v>4000</v>
      </c>
      <c r="D466" s="617"/>
      <c r="E466" s="199">
        <v>15600</v>
      </c>
      <c r="F466" s="183">
        <v>780</v>
      </c>
      <c r="G466" s="563">
        <f t="shared" si="41"/>
        <v>16380</v>
      </c>
      <c r="H466" s="350">
        <v>2</v>
      </c>
      <c r="I466" s="350">
        <v>1167</v>
      </c>
      <c r="K466" s="350">
        <v>16380</v>
      </c>
      <c r="M466" s="350">
        <f t="shared" si="42"/>
        <v>16380</v>
      </c>
      <c r="O466" s="351">
        <f t="shared" si="43"/>
        <v>0</v>
      </c>
      <c r="P466" s="564" t="s">
        <v>4310</v>
      </c>
    </row>
    <row r="467" spans="1:17">
      <c r="A467" s="183">
        <v>20170207</v>
      </c>
      <c r="B467" s="183" t="s">
        <v>5180</v>
      </c>
      <c r="C467" s="199" t="s">
        <v>4204</v>
      </c>
      <c r="D467" s="617"/>
      <c r="E467" s="199">
        <v>19500</v>
      </c>
      <c r="F467" s="183">
        <v>975</v>
      </c>
      <c r="G467" s="563">
        <f t="shared" si="41"/>
        <v>20475</v>
      </c>
      <c r="H467" s="350">
        <v>7</v>
      </c>
      <c r="I467" s="350">
        <v>1027</v>
      </c>
      <c r="K467" s="350">
        <v>20475</v>
      </c>
      <c r="M467" s="350">
        <f t="shared" si="42"/>
        <v>20475</v>
      </c>
      <c r="O467" s="351">
        <f t="shared" si="43"/>
        <v>0</v>
      </c>
      <c r="P467" s="564" t="s">
        <v>4313</v>
      </c>
    </row>
    <row r="468" spans="1:17">
      <c r="A468" s="183">
        <v>20170207</v>
      </c>
      <c r="B468" s="183" t="s">
        <v>5181</v>
      </c>
      <c r="C468" s="199" t="s">
        <v>4315</v>
      </c>
      <c r="D468" s="617"/>
      <c r="E468" s="199">
        <v>15600</v>
      </c>
      <c r="F468" s="183">
        <v>780</v>
      </c>
      <c r="G468" s="563">
        <f t="shared" si="41"/>
        <v>16380</v>
      </c>
      <c r="H468" s="350">
        <v>12</v>
      </c>
      <c r="I468" s="350">
        <v>1198</v>
      </c>
      <c r="J468" s="350">
        <v>16380</v>
      </c>
      <c r="M468" s="350">
        <f t="shared" si="42"/>
        <v>16380</v>
      </c>
      <c r="O468" s="351">
        <f t="shared" si="43"/>
        <v>0</v>
      </c>
      <c r="P468" s="564" t="s">
        <v>4316</v>
      </c>
    </row>
    <row r="469" spans="1:17">
      <c r="A469" s="183">
        <v>20170208</v>
      </c>
      <c r="B469" s="183" t="s">
        <v>5182</v>
      </c>
      <c r="C469" s="199" t="s">
        <v>4056</v>
      </c>
      <c r="D469" s="617"/>
      <c r="E469" s="199">
        <v>19500</v>
      </c>
      <c r="F469" s="183">
        <v>975</v>
      </c>
      <c r="G469" s="563">
        <f t="shared" si="41"/>
        <v>20475</v>
      </c>
      <c r="H469" s="350">
        <v>1</v>
      </c>
      <c r="I469" s="350">
        <v>1188</v>
      </c>
      <c r="K469" s="350">
        <v>20475</v>
      </c>
      <c r="M469" s="350">
        <f t="shared" si="42"/>
        <v>20475</v>
      </c>
      <c r="O469" s="351">
        <f t="shared" si="43"/>
        <v>0</v>
      </c>
      <c r="P469" s="564" t="s">
        <v>4331</v>
      </c>
    </row>
    <row r="470" spans="1:17">
      <c r="A470" s="183">
        <v>20170208</v>
      </c>
      <c r="B470" s="183" t="s">
        <v>5183</v>
      </c>
      <c r="C470" s="199" t="s">
        <v>5184</v>
      </c>
      <c r="D470" s="617"/>
      <c r="E470" s="199">
        <v>108000</v>
      </c>
      <c r="F470" s="183">
        <v>5400</v>
      </c>
      <c r="G470" s="563">
        <f t="shared" si="41"/>
        <v>113400</v>
      </c>
      <c r="H470" s="399" t="s">
        <v>4302</v>
      </c>
      <c r="I470" s="398" t="s">
        <v>5622</v>
      </c>
      <c r="J470" s="350">
        <v>113400</v>
      </c>
      <c r="M470" s="350">
        <f t="shared" si="42"/>
        <v>113400</v>
      </c>
      <c r="O470" s="351">
        <f t="shared" si="43"/>
        <v>0</v>
      </c>
      <c r="P470" s="564" t="s">
        <v>5185</v>
      </c>
    </row>
    <row r="471" spans="1:17">
      <c r="A471" s="183">
        <v>20170301</v>
      </c>
      <c r="B471" s="183" t="s">
        <v>5186</v>
      </c>
      <c r="C471" s="183" t="s">
        <v>447</v>
      </c>
      <c r="D471" s="617"/>
      <c r="E471" s="183">
        <v>13500</v>
      </c>
      <c r="F471" s="183">
        <v>675</v>
      </c>
      <c r="G471" s="563">
        <f t="shared" si="41"/>
        <v>14175</v>
      </c>
      <c r="H471" s="350">
        <v>5</v>
      </c>
      <c r="I471" s="398" t="s">
        <v>5276</v>
      </c>
      <c r="L471" s="350">
        <v>14165</v>
      </c>
      <c r="M471" s="350">
        <f t="shared" si="42"/>
        <v>14165</v>
      </c>
      <c r="N471" s="351">
        <v>10</v>
      </c>
      <c r="O471" s="351">
        <f t="shared" si="43"/>
        <v>0</v>
      </c>
      <c r="P471" s="564" t="s">
        <v>4321</v>
      </c>
    </row>
    <row r="472" spans="1:17">
      <c r="A472" s="183">
        <v>20170301</v>
      </c>
      <c r="B472" s="183" t="s">
        <v>5187</v>
      </c>
      <c r="C472" s="183" t="s">
        <v>4318</v>
      </c>
      <c r="D472" s="618"/>
      <c r="E472" s="183">
        <v>12857</v>
      </c>
      <c r="F472" s="183">
        <v>643</v>
      </c>
      <c r="G472" s="563">
        <f>E472+F472</f>
        <v>13500</v>
      </c>
      <c r="H472" s="350">
        <v>8</v>
      </c>
      <c r="I472" s="398" t="s">
        <v>5275</v>
      </c>
      <c r="L472" s="350">
        <v>13485</v>
      </c>
      <c r="M472" s="350">
        <f t="shared" si="42"/>
        <v>13485</v>
      </c>
      <c r="N472" s="351">
        <v>15</v>
      </c>
      <c r="O472" s="351">
        <f t="shared" si="43"/>
        <v>0</v>
      </c>
      <c r="P472" s="564" t="s">
        <v>4319</v>
      </c>
    </row>
    <row r="473" spans="1:17">
      <c r="A473" s="183">
        <v>20170308</v>
      </c>
      <c r="B473" s="183" t="s">
        <v>5188</v>
      </c>
      <c r="C473" s="183" t="s">
        <v>5189</v>
      </c>
      <c r="D473" s="618"/>
      <c r="E473" s="183">
        <v>102857</v>
      </c>
      <c r="F473" s="183">
        <v>5143</v>
      </c>
      <c r="G473" s="563">
        <f>E473+F473</f>
        <v>108000</v>
      </c>
      <c r="H473" s="399" t="s">
        <v>4302</v>
      </c>
      <c r="I473" s="398" t="s">
        <v>5623</v>
      </c>
      <c r="J473" s="350">
        <v>108000</v>
      </c>
      <c r="M473" s="350">
        <f t="shared" si="42"/>
        <v>108000</v>
      </c>
      <c r="O473" s="351">
        <f t="shared" si="43"/>
        <v>0</v>
      </c>
      <c r="P473" s="564" t="s">
        <v>5202</v>
      </c>
    </row>
    <row r="474" spans="1:17">
      <c r="A474" s="183">
        <v>20170322</v>
      </c>
      <c r="B474" s="183" t="s">
        <v>5190</v>
      </c>
      <c r="C474" s="183" t="s">
        <v>5191</v>
      </c>
      <c r="D474" s="617"/>
      <c r="E474" s="183">
        <v>108000</v>
      </c>
      <c r="F474" s="183">
        <v>5400</v>
      </c>
      <c r="G474" s="563">
        <f>E474+F474</f>
        <v>113400</v>
      </c>
      <c r="H474" s="399" t="s">
        <v>4302</v>
      </c>
      <c r="I474" s="398" t="s">
        <v>5624</v>
      </c>
      <c r="J474" s="350">
        <v>113400</v>
      </c>
      <c r="M474" s="350">
        <f t="shared" si="42"/>
        <v>113400</v>
      </c>
      <c r="O474" s="351">
        <f t="shared" si="43"/>
        <v>0</v>
      </c>
      <c r="P474" s="564" t="s">
        <v>5203</v>
      </c>
    </row>
    <row r="475" spans="1:17">
      <c r="A475" s="183">
        <v>20170329</v>
      </c>
      <c r="B475" s="183" t="s">
        <v>5192</v>
      </c>
      <c r="C475" s="199" t="s">
        <v>4567</v>
      </c>
      <c r="D475" s="617"/>
      <c r="E475" s="199">
        <v>91429</v>
      </c>
      <c r="F475" s="183">
        <v>4571</v>
      </c>
      <c r="G475" s="563">
        <f t="shared" si="41"/>
        <v>96000</v>
      </c>
      <c r="H475" s="399" t="s">
        <v>4302</v>
      </c>
      <c r="I475" s="398" t="s">
        <v>5625</v>
      </c>
      <c r="J475" s="350">
        <v>96000</v>
      </c>
      <c r="M475" s="350">
        <f t="shared" si="42"/>
        <v>96000</v>
      </c>
      <c r="O475" s="351">
        <f t="shared" si="43"/>
        <v>0</v>
      </c>
      <c r="P475" s="564" t="s">
        <v>4576</v>
      </c>
    </row>
    <row r="476" spans="1:17">
      <c r="A476" s="183">
        <v>20170405</v>
      </c>
      <c r="B476" s="183" t="s">
        <v>5193</v>
      </c>
      <c r="C476" s="199" t="s">
        <v>5194</v>
      </c>
      <c r="D476" s="617"/>
      <c r="E476" s="199">
        <v>86400</v>
      </c>
      <c r="F476" s="183">
        <v>4320</v>
      </c>
      <c r="G476" s="563">
        <f t="shared" si="41"/>
        <v>90720</v>
      </c>
      <c r="H476" s="399" t="s">
        <v>4302</v>
      </c>
      <c r="I476" s="398" t="s">
        <v>5626</v>
      </c>
      <c r="J476" s="350">
        <v>90720</v>
      </c>
      <c r="M476" s="350">
        <f t="shared" si="42"/>
        <v>90720</v>
      </c>
      <c r="O476" s="351">
        <f t="shared" si="43"/>
        <v>0</v>
      </c>
      <c r="P476" s="564" t="s">
        <v>5204</v>
      </c>
    </row>
    <row r="477" spans="1:17">
      <c r="A477" s="183">
        <v>20170406</v>
      </c>
      <c r="B477" s="183" t="s">
        <v>5195</v>
      </c>
      <c r="C477" s="199" t="s">
        <v>2688</v>
      </c>
      <c r="D477" s="617"/>
      <c r="E477" s="199">
        <v>86400</v>
      </c>
      <c r="F477" s="183">
        <v>4320</v>
      </c>
      <c r="G477" s="563">
        <f t="shared" si="41"/>
        <v>90720</v>
      </c>
      <c r="H477" s="399" t="s">
        <v>4302</v>
      </c>
      <c r="I477" s="398" t="s">
        <v>5627</v>
      </c>
      <c r="J477" s="350">
        <v>86400</v>
      </c>
      <c r="L477" s="635">
        <v>4320</v>
      </c>
      <c r="M477" s="350">
        <f t="shared" si="42"/>
        <v>90720</v>
      </c>
      <c r="O477" s="351">
        <f t="shared" si="43"/>
        <v>0</v>
      </c>
      <c r="P477" s="564" t="s">
        <v>5205</v>
      </c>
      <c r="Q477" s="628" t="s">
        <v>5435</v>
      </c>
    </row>
    <row r="478" spans="1:17">
      <c r="A478" s="183">
        <v>20170407</v>
      </c>
      <c r="B478" s="183" t="s">
        <v>5196</v>
      </c>
      <c r="C478" s="199" t="s">
        <v>456</v>
      </c>
      <c r="D478" s="617"/>
      <c r="E478" s="199">
        <v>12600</v>
      </c>
      <c r="F478" s="183">
        <v>630</v>
      </c>
      <c r="G478" s="563">
        <f t="shared" si="41"/>
        <v>13230</v>
      </c>
      <c r="H478" s="350">
        <v>8</v>
      </c>
      <c r="I478" s="398" t="s">
        <v>5277</v>
      </c>
      <c r="L478" s="350">
        <v>13230</v>
      </c>
      <c r="M478" s="350">
        <f t="shared" si="42"/>
        <v>13230</v>
      </c>
      <c r="O478" s="351">
        <f t="shared" si="43"/>
        <v>0</v>
      </c>
      <c r="P478" s="564" t="s">
        <v>4323</v>
      </c>
    </row>
    <row r="479" spans="1:17">
      <c r="A479" s="183">
        <v>20170407</v>
      </c>
      <c r="B479" s="183" t="s">
        <v>5197</v>
      </c>
      <c r="C479" s="199" t="s">
        <v>4038</v>
      </c>
      <c r="D479" s="617"/>
      <c r="E479" s="199">
        <v>108000</v>
      </c>
      <c r="F479" s="183">
        <v>5400</v>
      </c>
      <c r="G479" s="563">
        <f t="shared" si="41"/>
        <v>113400</v>
      </c>
      <c r="H479" s="399" t="s">
        <v>4302</v>
      </c>
      <c r="I479" s="398" t="s">
        <v>5628</v>
      </c>
      <c r="J479" s="350">
        <v>113400</v>
      </c>
      <c r="M479" s="350">
        <f t="shared" si="42"/>
        <v>113400</v>
      </c>
      <c r="O479" s="351">
        <f t="shared" si="43"/>
        <v>0</v>
      </c>
      <c r="P479" s="564" t="s">
        <v>4334</v>
      </c>
    </row>
    <row r="480" spans="1:17">
      <c r="A480" s="183">
        <v>20170409</v>
      </c>
      <c r="B480" s="183" t="s">
        <v>5198</v>
      </c>
      <c r="C480" s="199" t="s">
        <v>4075</v>
      </c>
      <c r="D480" s="617"/>
      <c r="E480" s="199">
        <v>108000</v>
      </c>
      <c r="F480" s="183">
        <v>5400</v>
      </c>
      <c r="G480" s="563">
        <f t="shared" si="41"/>
        <v>113400</v>
      </c>
      <c r="H480" s="399" t="s">
        <v>4302</v>
      </c>
      <c r="I480" s="398" t="s">
        <v>5629</v>
      </c>
      <c r="J480" s="350">
        <v>113400</v>
      </c>
      <c r="M480" s="350">
        <f t="shared" si="42"/>
        <v>113400</v>
      </c>
      <c r="O480" s="351">
        <f t="shared" si="43"/>
        <v>0</v>
      </c>
      <c r="P480" s="564" t="s">
        <v>4337</v>
      </c>
    </row>
    <row r="481" spans="1:17">
      <c r="A481" s="183">
        <v>20170419</v>
      </c>
      <c r="B481" s="183" t="s">
        <v>5199</v>
      </c>
      <c r="C481" s="815" t="s">
        <v>2422</v>
      </c>
      <c r="D481" s="617"/>
      <c r="E481" s="199">
        <v>100800</v>
      </c>
      <c r="F481" s="183">
        <v>5040</v>
      </c>
      <c r="G481" s="563">
        <f t="shared" si="41"/>
        <v>105840</v>
      </c>
      <c r="H481" s="398" t="s">
        <v>5376</v>
      </c>
      <c r="I481" s="814" t="s">
        <v>15229</v>
      </c>
      <c r="J481" s="350">
        <v>26460</v>
      </c>
      <c r="L481" s="350">
        <f>4410+4410+4410+4410+4410+4410+4410+4410+4410+4410+4410+4410+4410+4410+4410+4410+4410+4410</f>
        <v>79380</v>
      </c>
      <c r="M481" s="350">
        <f t="shared" si="42"/>
        <v>105840</v>
      </c>
      <c r="O481" s="351">
        <f t="shared" si="43"/>
        <v>0</v>
      </c>
      <c r="P481" s="564" t="s">
        <v>4346</v>
      </c>
      <c r="Q481" s="400" t="s">
        <v>5286</v>
      </c>
    </row>
    <row r="482" spans="1:17">
      <c r="A482" s="183">
        <v>20170426</v>
      </c>
      <c r="B482" s="183" t="s">
        <v>5200</v>
      </c>
      <c r="C482" s="199" t="s">
        <v>5201</v>
      </c>
      <c r="D482" s="617"/>
      <c r="E482" s="199">
        <v>28000</v>
      </c>
      <c r="F482" s="183">
        <v>1400</v>
      </c>
      <c r="G482" s="563">
        <f t="shared" si="41"/>
        <v>29400</v>
      </c>
      <c r="I482" s="398" t="s">
        <v>5402</v>
      </c>
      <c r="L482" s="634">
        <v>29400</v>
      </c>
      <c r="M482" s="350">
        <f t="shared" si="42"/>
        <v>29400</v>
      </c>
      <c r="O482" s="351">
        <f t="shared" si="43"/>
        <v>0</v>
      </c>
      <c r="P482" s="564" t="s">
        <v>5206</v>
      </c>
      <c r="Q482" s="403" t="s">
        <v>5669</v>
      </c>
    </row>
    <row r="483" spans="1:17">
      <c r="A483" s="183">
        <v>20170502</v>
      </c>
      <c r="B483" s="183" t="s">
        <v>5207</v>
      </c>
      <c r="C483" s="183" t="s">
        <v>5208</v>
      </c>
      <c r="D483" s="617"/>
      <c r="E483" s="183">
        <v>19500</v>
      </c>
      <c r="F483" s="183">
        <v>975</v>
      </c>
      <c r="G483" s="563">
        <f t="shared" si="41"/>
        <v>20475</v>
      </c>
      <c r="H483" s="350">
        <v>1</v>
      </c>
      <c r="I483" s="350">
        <v>1270</v>
      </c>
      <c r="J483" s="350">
        <v>20475</v>
      </c>
      <c r="M483" s="350">
        <f t="shared" si="42"/>
        <v>20475</v>
      </c>
      <c r="O483" s="351">
        <f t="shared" si="43"/>
        <v>0</v>
      </c>
      <c r="P483" s="564" t="s">
        <v>5222</v>
      </c>
    </row>
    <row r="484" spans="1:17">
      <c r="A484" s="183">
        <v>20170502</v>
      </c>
      <c r="B484" s="183" t="s">
        <v>5209</v>
      </c>
      <c r="C484" s="183" t="s">
        <v>5208</v>
      </c>
      <c r="D484" s="618"/>
      <c r="E484" s="183">
        <v>316000</v>
      </c>
      <c r="F484" s="183">
        <v>15800</v>
      </c>
      <c r="G484" s="563">
        <f>E484+F484</f>
        <v>331800</v>
      </c>
      <c r="I484" s="350">
        <v>1269</v>
      </c>
      <c r="J484" s="350">
        <v>331800</v>
      </c>
      <c r="M484" s="350">
        <f t="shared" si="42"/>
        <v>331800</v>
      </c>
      <c r="O484" s="351">
        <f t="shared" si="43"/>
        <v>0</v>
      </c>
      <c r="P484" s="564" t="s">
        <v>5222</v>
      </c>
      <c r="Q484" s="403" t="s">
        <v>5471</v>
      </c>
    </row>
    <row r="485" spans="1:17">
      <c r="A485" s="183">
        <v>20170502</v>
      </c>
      <c r="B485" s="183" t="s">
        <v>5210</v>
      </c>
      <c r="C485" s="183" t="s">
        <v>5208</v>
      </c>
      <c r="D485" s="618"/>
      <c r="E485" s="183">
        <v>3000</v>
      </c>
      <c r="F485" s="183">
        <v>150</v>
      </c>
      <c r="G485" s="563">
        <f>E485+F485</f>
        <v>3150</v>
      </c>
      <c r="H485" s="398"/>
      <c r="I485" s="398" t="s">
        <v>4808</v>
      </c>
      <c r="L485" s="634">
        <v>3150</v>
      </c>
      <c r="M485" s="350">
        <f t="shared" si="42"/>
        <v>3150</v>
      </c>
      <c r="O485" s="351">
        <f t="shared" si="43"/>
        <v>0</v>
      </c>
      <c r="P485" s="564" t="s">
        <v>5222</v>
      </c>
      <c r="Q485" s="403" t="s">
        <v>5667</v>
      </c>
    </row>
    <row r="486" spans="1:17">
      <c r="A486" s="183">
        <v>20170508</v>
      </c>
      <c r="B486" s="183" t="s">
        <v>5211</v>
      </c>
      <c r="C486" s="183" t="s">
        <v>4201</v>
      </c>
      <c r="D486" s="617"/>
      <c r="E486" s="183">
        <v>19500</v>
      </c>
      <c r="F486" s="183">
        <v>975</v>
      </c>
      <c r="G486" s="563">
        <f>E486+F486</f>
        <v>20475</v>
      </c>
      <c r="H486" s="350">
        <v>3</v>
      </c>
      <c r="I486" s="350">
        <v>1152</v>
      </c>
      <c r="K486" s="350">
        <v>20475</v>
      </c>
      <c r="M486" s="350">
        <f t="shared" si="42"/>
        <v>20475</v>
      </c>
      <c r="O486" s="351">
        <f t="shared" si="43"/>
        <v>0</v>
      </c>
      <c r="P486" s="564" t="s">
        <v>4308</v>
      </c>
    </row>
    <row r="487" spans="1:17">
      <c r="A487" s="183">
        <v>20170508</v>
      </c>
      <c r="B487" s="183" t="s">
        <v>5212</v>
      </c>
      <c r="C487" s="199" t="s">
        <v>4000</v>
      </c>
      <c r="D487" s="617"/>
      <c r="E487" s="199">
        <v>19500</v>
      </c>
      <c r="F487" s="183">
        <v>975</v>
      </c>
      <c r="G487" s="563">
        <f t="shared" si="41"/>
        <v>20475</v>
      </c>
      <c r="H487" s="350">
        <v>3</v>
      </c>
      <c r="I487" s="350">
        <v>1160</v>
      </c>
      <c r="K487" s="350">
        <v>20475</v>
      </c>
      <c r="M487" s="350">
        <f t="shared" si="42"/>
        <v>20475</v>
      </c>
      <c r="O487" s="351">
        <f t="shared" si="43"/>
        <v>0</v>
      </c>
      <c r="P487" s="564" t="s">
        <v>4310</v>
      </c>
    </row>
    <row r="488" spans="1:17">
      <c r="A488" s="183">
        <v>20170508</v>
      </c>
      <c r="B488" s="183" t="s">
        <v>5213</v>
      </c>
      <c r="C488" s="199" t="s">
        <v>4000</v>
      </c>
      <c r="D488" s="617"/>
      <c r="E488" s="199">
        <v>15600</v>
      </c>
      <c r="F488" s="183">
        <v>780</v>
      </c>
      <c r="G488" s="563">
        <f t="shared" si="41"/>
        <v>16380</v>
      </c>
      <c r="H488" s="350">
        <v>3</v>
      </c>
      <c r="I488" s="350">
        <v>1168</v>
      </c>
      <c r="K488" s="350">
        <v>16380</v>
      </c>
      <c r="M488" s="350">
        <f t="shared" si="42"/>
        <v>16380</v>
      </c>
      <c r="O488" s="351">
        <f t="shared" si="43"/>
        <v>0</v>
      </c>
      <c r="P488" s="564" t="s">
        <v>4310</v>
      </c>
    </row>
    <row r="489" spans="1:17">
      <c r="A489" s="183">
        <v>20170508</v>
      </c>
      <c r="B489" s="183" t="s">
        <v>5214</v>
      </c>
      <c r="C489" s="199" t="s">
        <v>4204</v>
      </c>
      <c r="D489" s="617"/>
      <c r="E489" s="199">
        <v>19500</v>
      </c>
      <c r="F489" s="183">
        <v>975</v>
      </c>
      <c r="G489" s="563">
        <f t="shared" si="41"/>
        <v>20475</v>
      </c>
      <c r="H489" s="350">
        <v>8</v>
      </c>
      <c r="I489" s="350">
        <v>1025</v>
      </c>
      <c r="K489" s="350">
        <v>20475</v>
      </c>
      <c r="M489" s="350">
        <f t="shared" si="42"/>
        <v>20475</v>
      </c>
      <c r="O489" s="351">
        <f t="shared" si="43"/>
        <v>0</v>
      </c>
      <c r="P489" s="564" t="s">
        <v>4313</v>
      </c>
    </row>
    <row r="490" spans="1:17">
      <c r="A490" s="183">
        <v>20170508</v>
      </c>
      <c r="B490" s="183" t="s">
        <v>5215</v>
      </c>
      <c r="C490" s="199" t="s">
        <v>4056</v>
      </c>
      <c r="D490" s="617"/>
      <c r="E490" s="199">
        <v>19500</v>
      </c>
      <c r="F490" s="183">
        <v>975</v>
      </c>
      <c r="G490" s="563">
        <f t="shared" si="41"/>
        <v>20475</v>
      </c>
      <c r="H490" s="350">
        <v>2</v>
      </c>
      <c r="I490" s="350">
        <v>1189</v>
      </c>
      <c r="K490" s="350">
        <v>20475</v>
      </c>
      <c r="M490" s="350">
        <f t="shared" si="42"/>
        <v>20475</v>
      </c>
      <c r="O490" s="351">
        <f t="shared" si="43"/>
        <v>0</v>
      </c>
      <c r="P490" s="564" t="s">
        <v>4331</v>
      </c>
    </row>
    <row r="491" spans="1:17" s="751" customFormat="1">
      <c r="A491" s="745"/>
      <c r="B491" s="745" t="s">
        <v>5216</v>
      </c>
      <c r="C491" s="745" t="s">
        <v>5217</v>
      </c>
      <c r="D491" s="746"/>
      <c r="E491" s="745"/>
      <c r="F491" s="745"/>
      <c r="G491" s="747">
        <f t="shared" si="41"/>
        <v>0</v>
      </c>
      <c r="H491" s="749"/>
      <c r="I491" s="749"/>
      <c r="J491" s="749"/>
      <c r="K491" s="749"/>
      <c r="L491" s="749"/>
      <c r="M491" s="749">
        <f t="shared" si="42"/>
        <v>0</v>
      </c>
      <c r="N491" s="749"/>
      <c r="O491" s="749">
        <f t="shared" si="43"/>
        <v>0</v>
      </c>
      <c r="P491" s="750"/>
    </row>
    <row r="492" spans="1:17">
      <c r="A492" s="183">
        <v>20170515</v>
      </c>
      <c r="B492" s="183" t="s">
        <v>5218</v>
      </c>
      <c r="C492" s="199" t="s">
        <v>4113</v>
      </c>
      <c r="D492" s="617"/>
      <c r="E492" s="199">
        <v>100800</v>
      </c>
      <c r="F492" s="183">
        <v>5040</v>
      </c>
      <c r="G492" s="563">
        <f t="shared" si="41"/>
        <v>105840</v>
      </c>
      <c r="H492" s="399" t="s">
        <v>4302</v>
      </c>
      <c r="I492" s="398" t="s">
        <v>5630</v>
      </c>
      <c r="J492" s="350">
        <v>105840</v>
      </c>
      <c r="M492" s="350">
        <f t="shared" si="42"/>
        <v>105840</v>
      </c>
      <c r="O492" s="351">
        <f t="shared" si="43"/>
        <v>0</v>
      </c>
      <c r="P492" s="564" t="s">
        <v>4343</v>
      </c>
    </row>
    <row r="493" spans="1:17">
      <c r="A493" s="183">
        <v>20170515</v>
      </c>
      <c r="B493" s="183" t="s">
        <v>5219</v>
      </c>
      <c r="C493" s="199" t="s">
        <v>4315</v>
      </c>
      <c r="D493" s="617"/>
      <c r="E493" s="199">
        <v>15600</v>
      </c>
      <c r="F493" s="183">
        <v>780</v>
      </c>
      <c r="G493" s="563">
        <f t="shared" si="41"/>
        <v>16380</v>
      </c>
      <c r="H493" s="350">
        <v>1</v>
      </c>
      <c r="I493" s="350">
        <v>1278</v>
      </c>
      <c r="J493" s="350">
        <v>16380</v>
      </c>
      <c r="M493" s="350">
        <f t="shared" si="42"/>
        <v>16380</v>
      </c>
      <c r="O493" s="351">
        <f t="shared" si="43"/>
        <v>0</v>
      </c>
      <c r="P493" s="564" t="s">
        <v>4316</v>
      </c>
    </row>
    <row r="494" spans="1:17">
      <c r="A494" s="183">
        <v>20170605</v>
      </c>
      <c r="B494" s="183" t="s">
        <v>5220</v>
      </c>
      <c r="C494" s="199" t="s">
        <v>447</v>
      </c>
      <c r="D494" s="617"/>
      <c r="E494" s="199">
        <v>13500</v>
      </c>
      <c r="F494" s="183">
        <v>675</v>
      </c>
      <c r="G494" s="563">
        <f t="shared" si="41"/>
        <v>14175</v>
      </c>
      <c r="H494" s="350">
        <v>6</v>
      </c>
      <c r="I494" s="398" t="s">
        <v>5278</v>
      </c>
      <c r="L494" s="350">
        <v>14165</v>
      </c>
      <c r="M494" s="350">
        <f t="shared" si="42"/>
        <v>14165</v>
      </c>
      <c r="N494" s="351">
        <v>10</v>
      </c>
      <c r="O494" s="351">
        <f t="shared" si="43"/>
        <v>0</v>
      </c>
      <c r="P494" s="564" t="s">
        <v>4321</v>
      </c>
    </row>
    <row r="495" spans="1:17">
      <c r="A495" s="183">
        <v>20170612</v>
      </c>
      <c r="B495" s="183" t="s">
        <v>5221</v>
      </c>
      <c r="C495" s="199" t="s">
        <v>906</v>
      </c>
      <c r="D495" s="617"/>
      <c r="E495" s="199">
        <v>108000</v>
      </c>
      <c r="F495" s="183">
        <v>5400</v>
      </c>
      <c r="G495" s="563">
        <f t="shared" si="41"/>
        <v>113400</v>
      </c>
      <c r="H495" s="399" t="s">
        <v>4302</v>
      </c>
      <c r="I495" s="398" t="s">
        <v>5631</v>
      </c>
      <c r="J495" s="350">
        <v>113400</v>
      </c>
      <c r="M495" s="350">
        <f t="shared" si="42"/>
        <v>113400</v>
      </c>
      <c r="O495" s="351">
        <f t="shared" si="43"/>
        <v>0</v>
      </c>
      <c r="P495" s="564" t="s">
        <v>4328</v>
      </c>
    </row>
    <row r="496" spans="1:17">
      <c r="A496" s="183">
        <v>20170703</v>
      </c>
      <c r="B496" s="183" t="s">
        <v>5223</v>
      </c>
      <c r="C496" s="183" t="s">
        <v>4339</v>
      </c>
      <c r="D496" s="617"/>
      <c r="E496" s="183">
        <v>13500</v>
      </c>
      <c r="F496" s="183">
        <v>675</v>
      </c>
      <c r="G496" s="563">
        <f t="shared" si="41"/>
        <v>14175</v>
      </c>
      <c r="H496" s="350">
        <v>1</v>
      </c>
      <c r="I496" s="398" t="s">
        <v>5279</v>
      </c>
      <c r="L496" s="350">
        <v>14165</v>
      </c>
      <c r="M496" s="350">
        <f t="shared" si="42"/>
        <v>14165</v>
      </c>
      <c r="N496" s="351">
        <v>10</v>
      </c>
      <c r="O496" s="351">
        <f t="shared" si="43"/>
        <v>0</v>
      </c>
      <c r="P496" s="564" t="s">
        <v>4340</v>
      </c>
    </row>
    <row r="497" spans="1:16">
      <c r="A497" s="183">
        <v>20170717</v>
      </c>
      <c r="B497" s="183" t="s">
        <v>5224</v>
      </c>
      <c r="C497" s="183" t="s">
        <v>4182</v>
      </c>
      <c r="D497" s="618"/>
      <c r="E497" s="183">
        <v>91200</v>
      </c>
      <c r="F497" s="183">
        <v>4560</v>
      </c>
      <c r="G497" s="563">
        <f>E497+F497</f>
        <v>95760</v>
      </c>
      <c r="H497" s="399" t="s">
        <v>4302</v>
      </c>
      <c r="I497" s="398" t="s">
        <v>5632</v>
      </c>
      <c r="J497" s="350">
        <v>95760</v>
      </c>
      <c r="M497" s="350">
        <f t="shared" si="42"/>
        <v>95760</v>
      </c>
      <c r="O497" s="351">
        <f t="shared" si="43"/>
        <v>0</v>
      </c>
      <c r="P497" s="564" t="s">
        <v>4369</v>
      </c>
    </row>
    <row r="498" spans="1:16">
      <c r="A498" s="183">
        <v>20170801</v>
      </c>
      <c r="B498" s="183" t="s">
        <v>5225</v>
      </c>
      <c r="C498" s="183" t="s">
        <v>4201</v>
      </c>
      <c r="D498" s="618"/>
      <c r="E498" s="183">
        <v>19500</v>
      </c>
      <c r="F498" s="183">
        <v>975</v>
      </c>
      <c r="G498" s="563">
        <f>E498+F498</f>
        <v>20475</v>
      </c>
      <c r="H498" s="350">
        <v>4</v>
      </c>
      <c r="I498" s="350">
        <v>1153</v>
      </c>
      <c r="K498" s="350">
        <v>20475</v>
      </c>
      <c r="M498" s="350">
        <f t="shared" si="42"/>
        <v>20475</v>
      </c>
      <c r="O498" s="351">
        <f t="shared" si="43"/>
        <v>0</v>
      </c>
      <c r="P498" s="564" t="s">
        <v>4308</v>
      </c>
    </row>
    <row r="499" spans="1:16">
      <c r="A499" s="183">
        <v>20170801</v>
      </c>
      <c r="B499" s="183" t="s">
        <v>5226</v>
      </c>
      <c r="C499" s="183" t="s">
        <v>4000</v>
      </c>
      <c r="D499" s="617"/>
      <c r="E499" s="183">
        <v>19500</v>
      </c>
      <c r="F499" s="183">
        <v>975</v>
      </c>
      <c r="G499" s="563">
        <f>E499+F499</f>
        <v>20475</v>
      </c>
      <c r="H499" s="350">
        <v>4</v>
      </c>
      <c r="I499" s="350">
        <v>1161</v>
      </c>
      <c r="K499" s="350">
        <v>20475</v>
      </c>
      <c r="M499" s="350">
        <f t="shared" si="42"/>
        <v>20475</v>
      </c>
      <c r="O499" s="351">
        <f t="shared" si="43"/>
        <v>0</v>
      </c>
      <c r="P499" s="564" t="s">
        <v>4310</v>
      </c>
    </row>
    <row r="500" spans="1:16" s="751" customFormat="1">
      <c r="A500" s="745"/>
      <c r="B500" s="745" t="s">
        <v>5227</v>
      </c>
      <c r="C500" s="745" t="s">
        <v>5217</v>
      </c>
      <c r="D500" s="746"/>
      <c r="E500" s="745"/>
      <c r="F500" s="745"/>
      <c r="G500" s="747">
        <f t="shared" si="41"/>
        <v>0</v>
      </c>
      <c r="H500" s="749"/>
      <c r="I500" s="749"/>
      <c r="J500" s="749"/>
      <c r="K500" s="749"/>
      <c r="L500" s="749"/>
      <c r="M500" s="749">
        <f t="shared" si="42"/>
        <v>0</v>
      </c>
      <c r="N500" s="749"/>
      <c r="O500" s="749">
        <f t="shared" si="43"/>
        <v>0</v>
      </c>
      <c r="P500" s="750"/>
    </row>
    <row r="501" spans="1:16">
      <c r="A501" s="183">
        <v>20170801</v>
      </c>
      <c r="B501" s="183" t="s">
        <v>5228</v>
      </c>
      <c r="C501" s="199" t="s">
        <v>4000</v>
      </c>
      <c r="D501" s="617"/>
      <c r="E501" s="199">
        <v>15600</v>
      </c>
      <c r="F501" s="183">
        <v>780</v>
      </c>
      <c r="G501" s="563">
        <f t="shared" si="41"/>
        <v>16380</v>
      </c>
      <c r="H501" s="350">
        <v>4</v>
      </c>
      <c r="I501" s="350">
        <v>1169</v>
      </c>
      <c r="K501" s="350">
        <v>16380</v>
      </c>
      <c r="M501" s="350">
        <f t="shared" si="42"/>
        <v>16380</v>
      </c>
      <c r="O501" s="351">
        <f t="shared" si="43"/>
        <v>0</v>
      </c>
      <c r="P501" s="564" t="s">
        <v>4310</v>
      </c>
    </row>
    <row r="502" spans="1:16">
      <c r="A502" s="183">
        <v>20170801</v>
      </c>
      <c r="B502" s="183" t="s">
        <v>5229</v>
      </c>
      <c r="C502" s="199" t="s">
        <v>4056</v>
      </c>
      <c r="D502" s="617"/>
      <c r="E502" s="199">
        <v>19500</v>
      </c>
      <c r="F502" s="183">
        <v>975</v>
      </c>
      <c r="G502" s="563">
        <f t="shared" si="41"/>
        <v>20475</v>
      </c>
      <c r="H502" s="350">
        <v>3</v>
      </c>
      <c r="I502" s="350">
        <v>1190</v>
      </c>
      <c r="K502" s="350">
        <v>20475</v>
      </c>
      <c r="M502" s="350">
        <f t="shared" si="42"/>
        <v>20475</v>
      </c>
      <c r="O502" s="351">
        <f t="shared" si="43"/>
        <v>0</v>
      </c>
      <c r="P502" s="564" t="s">
        <v>4331</v>
      </c>
    </row>
    <row r="503" spans="1:16">
      <c r="A503" s="183">
        <v>20170801</v>
      </c>
      <c r="B503" s="183" t="s">
        <v>5230</v>
      </c>
      <c r="C503" s="199" t="s">
        <v>5208</v>
      </c>
      <c r="D503" s="617"/>
      <c r="E503" s="199">
        <v>19500</v>
      </c>
      <c r="F503" s="183">
        <v>975</v>
      </c>
      <c r="G503" s="563">
        <f t="shared" si="41"/>
        <v>20475</v>
      </c>
      <c r="H503" s="350">
        <v>2</v>
      </c>
      <c r="I503" s="350">
        <v>1271</v>
      </c>
      <c r="K503" s="350">
        <v>20475</v>
      </c>
      <c r="M503" s="350">
        <f t="shared" si="42"/>
        <v>20475</v>
      </c>
      <c r="O503" s="351">
        <f t="shared" si="43"/>
        <v>0</v>
      </c>
      <c r="P503" s="564" t="s">
        <v>5222</v>
      </c>
    </row>
    <row r="504" spans="1:16" s="751" customFormat="1">
      <c r="A504" s="745"/>
      <c r="B504" s="745" t="s">
        <v>5231</v>
      </c>
      <c r="C504" s="745" t="s">
        <v>5217</v>
      </c>
      <c r="D504" s="746"/>
      <c r="E504" s="745"/>
      <c r="F504" s="745"/>
      <c r="G504" s="747">
        <f t="shared" si="41"/>
        <v>0</v>
      </c>
      <c r="H504" s="749"/>
      <c r="I504" s="749"/>
      <c r="J504" s="749"/>
      <c r="K504" s="749"/>
      <c r="L504" s="749"/>
      <c r="M504" s="749">
        <f t="shared" si="42"/>
        <v>0</v>
      </c>
      <c r="N504" s="749"/>
      <c r="O504" s="749">
        <f t="shared" si="43"/>
        <v>0</v>
      </c>
      <c r="P504" s="750"/>
    </row>
    <row r="505" spans="1:16">
      <c r="A505" s="183">
        <v>20170807</v>
      </c>
      <c r="B505" s="183" t="s">
        <v>5232</v>
      </c>
      <c r="C505" s="199" t="s">
        <v>4315</v>
      </c>
      <c r="D505" s="617"/>
      <c r="E505" s="199">
        <v>15600</v>
      </c>
      <c r="F505" s="183">
        <v>780</v>
      </c>
      <c r="G505" s="563">
        <f t="shared" si="41"/>
        <v>16380</v>
      </c>
      <c r="H505" s="350">
        <v>2</v>
      </c>
      <c r="I505" s="350">
        <v>1323</v>
      </c>
      <c r="J505" s="350">
        <v>16380</v>
      </c>
      <c r="M505" s="350">
        <f t="shared" si="42"/>
        <v>16380</v>
      </c>
      <c r="O505" s="351">
        <f t="shared" si="43"/>
        <v>0</v>
      </c>
      <c r="P505" s="564" t="s">
        <v>4316</v>
      </c>
    </row>
    <row r="506" spans="1:16">
      <c r="A506" s="183">
        <v>20170807</v>
      </c>
      <c r="B506" s="183" t="s">
        <v>5233</v>
      </c>
      <c r="C506" s="199" t="s">
        <v>4339</v>
      </c>
      <c r="D506" s="617"/>
      <c r="E506" s="199">
        <v>13500</v>
      </c>
      <c r="F506" s="183">
        <v>675</v>
      </c>
      <c r="G506" s="563">
        <f t="shared" si="41"/>
        <v>14175</v>
      </c>
      <c r="H506" s="350">
        <v>2</v>
      </c>
      <c r="I506" s="398" t="s">
        <v>5283</v>
      </c>
      <c r="L506" s="350">
        <v>14145</v>
      </c>
      <c r="M506" s="350">
        <f t="shared" si="42"/>
        <v>14145</v>
      </c>
      <c r="N506" s="351">
        <v>30</v>
      </c>
      <c r="O506" s="351">
        <f t="shared" si="43"/>
        <v>0</v>
      </c>
      <c r="P506" s="564" t="s">
        <v>4340</v>
      </c>
    </row>
    <row r="507" spans="1:16">
      <c r="A507" s="183">
        <v>20170808</v>
      </c>
      <c r="B507" s="183" t="s">
        <v>5234</v>
      </c>
      <c r="C507" s="199" t="s">
        <v>5235</v>
      </c>
      <c r="D507" s="617"/>
      <c r="E507" s="199">
        <v>43200</v>
      </c>
      <c r="F507" s="183">
        <v>2160</v>
      </c>
      <c r="G507" s="563">
        <f t="shared" si="41"/>
        <v>45360</v>
      </c>
      <c r="H507" s="622" t="s">
        <v>5269</v>
      </c>
      <c r="I507" s="398" t="s">
        <v>5280</v>
      </c>
      <c r="L507" s="350">
        <v>45360</v>
      </c>
      <c r="M507" s="350">
        <f t="shared" si="42"/>
        <v>45360</v>
      </c>
      <c r="O507" s="351">
        <f t="shared" si="43"/>
        <v>0</v>
      </c>
      <c r="P507" s="564" t="s">
        <v>4553</v>
      </c>
    </row>
    <row r="508" spans="1:16">
      <c r="A508" s="183">
        <v>20170809</v>
      </c>
      <c r="B508" s="183" t="s">
        <v>5236</v>
      </c>
      <c r="C508" s="199" t="s">
        <v>4149</v>
      </c>
      <c r="D508" s="617"/>
      <c r="E508" s="199">
        <v>108000</v>
      </c>
      <c r="F508" s="183">
        <v>5400</v>
      </c>
      <c r="G508" s="563">
        <f t="shared" si="41"/>
        <v>113400</v>
      </c>
      <c r="H508" s="399" t="s">
        <v>4302</v>
      </c>
      <c r="I508" s="398" t="s">
        <v>5633</v>
      </c>
      <c r="J508" s="350">
        <v>113400</v>
      </c>
      <c r="M508" s="350">
        <f t="shared" si="42"/>
        <v>113400</v>
      </c>
      <c r="O508" s="351">
        <f t="shared" si="43"/>
        <v>0</v>
      </c>
      <c r="P508" s="564" t="s">
        <v>4358</v>
      </c>
    </row>
    <row r="509" spans="1:16">
      <c r="A509" s="183">
        <v>20170901</v>
      </c>
      <c r="B509" s="183" t="s">
        <v>5237</v>
      </c>
      <c r="C509" s="183" t="s">
        <v>4204</v>
      </c>
      <c r="D509" s="617"/>
      <c r="E509" s="183">
        <v>19500</v>
      </c>
      <c r="F509" s="183">
        <v>975</v>
      </c>
      <c r="G509" s="563">
        <f t="shared" si="41"/>
        <v>20475</v>
      </c>
      <c r="H509" s="350">
        <v>1</v>
      </c>
      <c r="I509" s="350">
        <v>1315</v>
      </c>
      <c r="J509" s="350">
        <v>20475</v>
      </c>
      <c r="M509" s="350">
        <f t="shared" si="42"/>
        <v>20475</v>
      </c>
      <c r="O509" s="351">
        <f t="shared" si="43"/>
        <v>0</v>
      </c>
      <c r="P509" s="564" t="s">
        <v>4313</v>
      </c>
    </row>
    <row r="510" spans="1:16">
      <c r="A510" s="183">
        <v>20170901</v>
      </c>
      <c r="B510" s="183" t="s">
        <v>5238</v>
      </c>
      <c r="C510" s="183" t="s">
        <v>4204</v>
      </c>
      <c r="D510" s="618"/>
      <c r="E510" s="183">
        <v>72000</v>
      </c>
      <c r="F510" s="183">
        <v>3600</v>
      </c>
      <c r="G510" s="563">
        <f t="shared" si="41"/>
        <v>75600</v>
      </c>
      <c r="H510" s="379"/>
      <c r="I510" s="398" t="s">
        <v>5271</v>
      </c>
      <c r="L510" s="350">
        <v>75600</v>
      </c>
      <c r="M510" s="350">
        <f t="shared" si="42"/>
        <v>75600</v>
      </c>
      <c r="O510" s="351">
        <f t="shared" si="43"/>
        <v>0</v>
      </c>
      <c r="P510" s="564" t="s">
        <v>4313</v>
      </c>
    </row>
    <row r="511" spans="1:16">
      <c r="A511" s="183">
        <v>20170901</v>
      </c>
      <c r="B511" s="183" t="s">
        <v>5239</v>
      </c>
      <c r="C511" s="183" t="s">
        <v>4230</v>
      </c>
      <c r="D511" s="618"/>
      <c r="E511" s="183">
        <v>43200</v>
      </c>
      <c r="F511" s="183">
        <v>2160</v>
      </c>
      <c r="G511" s="563">
        <f t="shared" si="41"/>
        <v>45360</v>
      </c>
      <c r="H511" s="399" t="s">
        <v>5521</v>
      </c>
      <c r="I511" s="398" t="s">
        <v>5634</v>
      </c>
      <c r="J511" s="350">
        <v>45360</v>
      </c>
      <c r="M511" s="350">
        <f t="shared" si="42"/>
        <v>45360</v>
      </c>
      <c r="O511" s="351">
        <f t="shared" si="43"/>
        <v>0</v>
      </c>
      <c r="P511" s="564" t="s">
        <v>4394</v>
      </c>
    </row>
    <row r="512" spans="1:16">
      <c r="A512" s="183">
        <v>20170911</v>
      </c>
      <c r="B512" s="183" t="s">
        <v>5240</v>
      </c>
      <c r="C512" s="183" t="s">
        <v>4318</v>
      </c>
      <c r="D512" s="617"/>
      <c r="E512" s="183">
        <v>12857</v>
      </c>
      <c r="F512" s="183">
        <v>643</v>
      </c>
      <c r="G512" s="563">
        <f t="shared" si="41"/>
        <v>13500</v>
      </c>
      <c r="H512" s="350">
        <v>1</v>
      </c>
      <c r="I512" s="398" t="s">
        <v>4293</v>
      </c>
      <c r="L512" s="350">
        <v>13485</v>
      </c>
      <c r="M512" s="350">
        <f t="shared" si="42"/>
        <v>13485</v>
      </c>
      <c r="N512" s="351">
        <v>15</v>
      </c>
      <c r="O512" s="351">
        <f t="shared" si="43"/>
        <v>0</v>
      </c>
      <c r="P512" s="564" t="s">
        <v>4319</v>
      </c>
    </row>
    <row r="513" spans="1:16">
      <c r="A513" s="183">
        <v>20170914</v>
      </c>
      <c r="B513" s="183" t="s">
        <v>5241</v>
      </c>
      <c r="C513" s="199" t="s">
        <v>456</v>
      </c>
      <c r="D513" s="617"/>
      <c r="E513" s="199">
        <v>12600</v>
      </c>
      <c r="F513" s="183">
        <v>630</v>
      </c>
      <c r="G513" s="563">
        <f t="shared" si="41"/>
        <v>13230</v>
      </c>
      <c r="H513" s="350">
        <v>1</v>
      </c>
      <c r="I513" s="398" t="s">
        <v>5282</v>
      </c>
      <c r="L513" s="350">
        <v>13230</v>
      </c>
      <c r="M513" s="350">
        <f t="shared" si="42"/>
        <v>13230</v>
      </c>
      <c r="O513" s="351">
        <f t="shared" si="43"/>
        <v>0</v>
      </c>
      <c r="P513" s="564" t="s">
        <v>4323</v>
      </c>
    </row>
    <row r="514" spans="1:16">
      <c r="A514" s="183">
        <v>20170928</v>
      </c>
      <c r="B514" s="183" t="s">
        <v>5242</v>
      </c>
      <c r="C514" s="199" t="s">
        <v>447</v>
      </c>
      <c r="D514" s="617"/>
      <c r="E514" s="199">
        <v>13500</v>
      </c>
      <c r="F514" s="183">
        <v>675</v>
      </c>
      <c r="G514" s="563">
        <f t="shared" si="41"/>
        <v>14175</v>
      </c>
      <c r="H514" s="350">
        <v>7</v>
      </c>
      <c r="I514" s="398" t="s">
        <v>5287</v>
      </c>
      <c r="L514" s="350">
        <v>14165</v>
      </c>
      <c r="M514" s="350">
        <f t="shared" si="42"/>
        <v>14165</v>
      </c>
      <c r="N514" s="351">
        <v>10</v>
      </c>
      <c r="O514" s="351">
        <f t="shared" si="43"/>
        <v>0</v>
      </c>
      <c r="P514" s="564" t="s">
        <v>4321</v>
      </c>
    </row>
    <row r="515" spans="1:16">
      <c r="A515" s="183">
        <v>20171023</v>
      </c>
      <c r="B515" s="183" t="s">
        <v>5243</v>
      </c>
      <c r="C515" s="199" t="s">
        <v>831</v>
      </c>
      <c r="D515" s="617"/>
      <c r="E515" s="199">
        <v>102857</v>
      </c>
      <c r="F515" s="183">
        <v>5143</v>
      </c>
      <c r="G515" s="563">
        <f t="shared" si="41"/>
        <v>108000</v>
      </c>
      <c r="H515" s="399" t="s">
        <v>4302</v>
      </c>
      <c r="I515" s="398" t="s">
        <v>5635</v>
      </c>
      <c r="J515" s="350">
        <v>108000</v>
      </c>
      <c r="M515" s="350">
        <f t="shared" si="42"/>
        <v>108000</v>
      </c>
      <c r="O515" s="351">
        <f t="shared" si="43"/>
        <v>0</v>
      </c>
      <c r="P515" s="564" t="s">
        <v>4384</v>
      </c>
    </row>
    <row r="516" spans="1:16">
      <c r="A516" s="183">
        <v>20171101</v>
      </c>
      <c r="B516" s="183" t="s">
        <v>5244</v>
      </c>
      <c r="C516" s="183" t="s">
        <v>4201</v>
      </c>
      <c r="D516" s="617"/>
      <c r="E516" s="183">
        <v>108000</v>
      </c>
      <c r="F516" s="183">
        <v>5400</v>
      </c>
      <c r="G516" s="563">
        <f t="shared" si="41"/>
        <v>113400</v>
      </c>
      <c r="H516" s="379"/>
      <c r="I516" s="398" t="s">
        <v>5289</v>
      </c>
      <c r="L516" s="350">
        <v>113390</v>
      </c>
      <c r="M516" s="350">
        <f t="shared" si="42"/>
        <v>113390</v>
      </c>
      <c r="N516" s="351">
        <v>10</v>
      </c>
      <c r="O516" s="351">
        <f t="shared" si="43"/>
        <v>0</v>
      </c>
      <c r="P516" s="564" t="s">
        <v>4308</v>
      </c>
    </row>
    <row r="517" spans="1:16">
      <c r="A517" s="183">
        <v>20171101</v>
      </c>
      <c r="B517" s="183" t="s">
        <v>5245</v>
      </c>
      <c r="C517" s="183" t="s">
        <v>4000</v>
      </c>
      <c r="D517" s="618"/>
      <c r="E517" s="183">
        <v>108000</v>
      </c>
      <c r="F517" s="183">
        <v>5400</v>
      </c>
      <c r="G517" s="563">
        <f t="shared" si="41"/>
        <v>113400</v>
      </c>
      <c r="H517" s="379"/>
      <c r="I517" s="398" t="s">
        <v>5290</v>
      </c>
      <c r="L517" s="350">
        <v>113390</v>
      </c>
      <c r="M517" s="350">
        <f t="shared" si="42"/>
        <v>113390</v>
      </c>
      <c r="N517" s="351">
        <v>10</v>
      </c>
      <c r="O517" s="351">
        <f t="shared" si="43"/>
        <v>0</v>
      </c>
      <c r="P517" s="564" t="s">
        <v>4310</v>
      </c>
    </row>
    <row r="518" spans="1:16">
      <c r="A518" s="183">
        <v>20171114</v>
      </c>
      <c r="B518" s="183" t="s">
        <v>5246</v>
      </c>
      <c r="C518" s="183" t="s">
        <v>4201</v>
      </c>
      <c r="D518" s="618"/>
      <c r="E518" s="183">
        <v>19500</v>
      </c>
      <c r="F518" s="183">
        <v>975</v>
      </c>
      <c r="G518" s="563">
        <f t="shared" si="41"/>
        <v>20475</v>
      </c>
      <c r="H518" s="350">
        <v>5</v>
      </c>
      <c r="I518" s="350">
        <v>1154</v>
      </c>
      <c r="K518" s="350">
        <v>20475</v>
      </c>
      <c r="M518" s="350">
        <f t="shared" si="42"/>
        <v>20475</v>
      </c>
      <c r="O518" s="351">
        <f t="shared" si="43"/>
        <v>0</v>
      </c>
      <c r="P518" s="564" t="s">
        <v>4308</v>
      </c>
    </row>
    <row r="519" spans="1:16">
      <c r="A519" s="183">
        <v>20171114</v>
      </c>
      <c r="B519" s="183" t="s">
        <v>5247</v>
      </c>
      <c r="C519" s="183" t="s">
        <v>4000</v>
      </c>
      <c r="D519" s="617"/>
      <c r="E519" s="183">
        <v>19500</v>
      </c>
      <c r="F519" s="183">
        <v>975</v>
      </c>
      <c r="G519" s="563">
        <f t="shared" si="41"/>
        <v>20475</v>
      </c>
      <c r="H519" s="350">
        <v>5</v>
      </c>
      <c r="I519" s="350">
        <v>1162</v>
      </c>
      <c r="K519" s="350">
        <v>20475</v>
      </c>
      <c r="M519" s="350">
        <f t="shared" si="42"/>
        <v>20475</v>
      </c>
      <c r="O519" s="351">
        <f t="shared" si="43"/>
        <v>0</v>
      </c>
      <c r="P519" s="564" t="s">
        <v>4310</v>
      </c>
    </row>
    <row r="520" spans="1:16">
      <c r="A520" s="183">
        <v>20171114</v>
      </c>
      <c r="B520" s="183" t="s">
        <v>5248</v>
      </c>
      <c r="C520" s="199" t="s">
        <v>4000</v>
      </c>
      <c r="D520" s="617"/>
      <c r="E520" s="199">
        <v>15600</v>
      </c>
      <c r="F520" s="183">
        <v>780</v>
      </c>
      <c r="G520" s="563">
        <f t="shared" si="41"/>
        <v>16380</v>
      </c>
      <c r="H520" s="350">
        <v>5</v>
      </c>
      <c r="I520" s="350">
        <v>1170</v>
      </c>
      <c r="K520" s="350">
        <v>16380</v>
      </c>
      <c r="M520" s="350">
        <f t="shared" si="42"/>
        <v>16380</v>
      </c>
      <c r="O520" s="351">
        <f t="shared" si="43"/>
        <v>0</v>
      </c>
      <c r="P520" s="564" t="s">
        <v>4310</v>
      </c>
    </row>
    <row r="521" spans="1:16">
      <c r="A521" s="183">
        <v>20171114</v>
      </c>
      <c r="B521" s="183" t="s">
        <v>5249</v>
      </c>
      <c r="C521" s="199" t="s">
        <v>4204</v>
      </c>
      <c r="D521" s="617"/>
      <c r="E521" s="199">
        <v>19500</v>
      </c>
      <c r="F521" s="183">
        <v>975</v>
      </c>
      <c r="G521" s="563">
        <f t="shared" si="41"/>
        <v>20475</v>
      </c>
      <c r="H521" s="350">
        <v>2</v>
      </c>
      <c r="I521" s="350">
        <v>1316</v>
      </c>
      <c r="K521" s="350">
        <v>20475</v>
      </c>
      <c r="M521" s="350">
        <f t="shared" si="42"/>
        <v>20475</v>
      </c>
      <c r="O521" s="351">
        <f t="shared" si="43"/>
        <v>0</v>
      </c>
      <c r="P521" s="564" t="s">
        <v>4313</v>
      </c>
    </row>
    <row r="522" spans="1:16">
      <c r="A522" s="183">
        <v>20171114</v>
      </c>
      <c r="B522" s="183" t="s">
        <v>5250</v>
      </c>
      <c r="C522" s="199" t="s">
        <v>4056</v>
      </c>
      <c r="D522" s="617"/>
      <c r="E522" s="199">
        <v>19500</v>
      </c>
      <c r="F522" s="183">
        <v>975</v>
      </c>
      <c r="G522" s="563">
        <f t="shared" si="41"/>
        <v>20475</v>
      </c>
      <c r="H522" s="350">
        <v>4</v>
      </c>
      <c r="I522" s="350">
        <v>1191</v>
      </c>
      <c r="K522" s="350">
        <v>20475</v>
      </c>
      <c r="M522" s="350">
        <f t="shared" si="42"/>
        <v>20475</v>
      </c>
      <c r="O522" s="351">
        <f t="shared" si="43"/>
        <v>0</v>
      </c>
      <c r="P522" s="564" t="s">
        <v>4331</v>
      </c>
    </row>
    <row r="523" spans="1:16">
      <c r="A523" s="183">
        <v>20171114</v>
      </c>
      <c r="B523" s="183" t="s">
        <v>5251</v>
      </c>
      <c r="C523" s="199" t="s">
        <v>5208</v>
      </c>
      <c r="D523" s="617"/>
      <c r="E523" s="199">
        <v>19500</v>
      </c>
      <c r="F523" s="183">
        <v>975</v>
      </c>
      <c r="G523" s="563">
        <f t="shared" ref="G523:G530" si="44">E523+F523</f>
        <v>20475</v>
      </c>
      <c r="H523" s="350">
        <v>3</v>
      </c>
      <c r="I523" s="350">
        <v>1272</v>
      </c>
      <c r="K523" s="350">
        <v>20475</v>
      </c>
      <c r="M523" s="350">
        <f t="shared" si="42"/>
        <v>20475</v>
      </c>
      <c r="O523" s="351">
        <f t="shared" si="43"/>
        <v>0</v>
      </c>
      <c r="P523" s="564" t="s">
        <v>5222</v>
      </c>
    </row>
    <row r="524" spans="1:16">
      <c r="A524" s="183">
        <v>20171114</v>
      </c>
      <c r="B524" s="183" t="s">
        <v>5252</v>
      </c>
      <c r="C524" s="199" t="s">
        <v>4315</v>
      </c>
      <c r="D524" s="617"/>
      <c r="E524" s="199">
        <v>15600</v>
      </c>
      <c r="F524" s="183">
        <v>780</v>
      </c>
      <c r="G524" s="563">
        <f t="shared" si="44"/>
        <v>16380</v>
      </c>
      <c r="H524" s="350">
        <v>3</v>
      </c>
      <c r="I524" s="350">
        <v>1340</v>
      </c>
      <c r="J524" s="350">
        <v>16380</v>
      </c>
      <c r="M524" s="350">
        <f t="shared" ref="M524:M530" si="45">J524+K524+L524</f>
        <v>16380</v>
      </c>
      <c r="O524" s="351">
        <f t="shared" ref="O524:O530" si="46">G524-M524-N524</f>
        <v>0</v>
      </c>
      <c r="P524" s="564" t="s">
        <v>4316</v>
      </c>
    </row>
    <row r="525" spans="1:16">
      <c r="A525" s="183">
        <v>20171114</v>
      </c>
      <c r="B525" s="183" t="s">
        <v>5253</v>
      </c>
      <c r="C525" s="199" t="s">
        <v>4339</v>
      </c>
      <c r="D525" s="617"/>
      <c r="E525" s="199">
        <v>13500</v>
      </c>
      <c r="F525" s="183">
        <v>675</v>
      </c>
      <c r="G525" s="563">
        <f t="shared" si="44"/>
        <v>14175</v>
      </c>
      <c r="H525" s="350">
        <v>3</v>
      </c>
      <c r="I525" s="398" t="s">
        <v>5293</v>
      </c>
      <c r="L525" s="350">
        <v>14165</v>
      </c>
      <c r="M525" s="350">
        <f t="shared" si="45"/>
        <v>14165</v>
      </c>
      <c r="N525" s="351">
        <v>10</v>
      </c>
      <c r="O525" s="351">
        <f t="shared" si="46"/>
        <v>0</v>
      </c>
      <c r="P525" s="564" t="s">
        <v>4340</v>
      </c>
    </row>
    <row r="526" spans="1:16">
      <c r="A526" s="183">
        <v>20171128</v>
      </c>
      <c r="B526" s="183" t="s">
        <v>5254</v>
      </c>
      <c r="C526" s="199" t="s">
        <v>4131</v>
      </c>
      <c r="D526" s="617"/>
      <c r="E526" s="199">
        <v>108000</v>
      </c>
      <c r="F526" s="183">
        <v>5400</v>
      </c>
      <c r="G526" s="563">
        <f t="shared" si="44"/>
        <v>113400</v>
      </c>
      <c r="H526" s="399" t="s">
        <v>4302</v>
      </c>
      <c r="I526" s="398" t="s">
        <v>5636</v>
      </c>
      <c r="J526" s="350">
        <v>113400</v>
      </c>
      <c r="M526" s="350">
        <f t="shared" si="45"/>
        <v>113400</v>
      </c>
      <c r="O526" s="351">
        <f t="shared" si="46"/>
        <v>0</v>
      </c>
      <c r="P526" s="564" t="s">
        <v>4361</v>
      </c>
    </row>
    <row r="527" spans="1:16">
      <c r="A527" s="183">
        <v>20171219</v>
      </c>
      <c r="B527" s="183" t="s">
        <v>5255</v>
      </c>
      <c r="C527" s="199" t="s">
        <v>5208</v>
      </c>
      <c r="D527" s="617"/>
      <c r="E527" s="199">
        <v>79000</v>
      </c>
      <c r="F527" s="183">
        <v>3950</v>
      </c>
      <c r="G527" s="563">
        <f t="shared" si="44"/>
        <v>82950</v>
      </c>
      <c r="I527" s="350">
        <v>1352</v>
      </c>
      <c r="J527" s="350">
        <v>82950</v>
      </c>
      <c r="M527" s="350">
        <f t="shared" si="45"/>
        <v>82950</v>
      </c>
      <c r="O527" s="351">
        <f t="shared" si="46"/>
        <v>0</v>
      </c>
      <c r="P527" s="564" t="s">
        <v>5222</v>
      </c>
    </row>
    <row r="528" spans="1:16">
      <c r="A528" s="183">
        <v>20171220</v>
      </c>
      <c r="B528" s="183" t="s">
        <v>5256</v>
      </c>
      <c r="C528" s="199" t="s">
        <v>5208</v>
      </c>
      <c r="D528" s="617"/>
      <c r="E528" s="199">
        <v>79000</v>
      </c>
      <c r="F528" s="183">
        <v>3950</v>
      </c>
      <c r="G528" s="563">
        <f t="shared" si="44"/>
        <v>82950</v>
      </c>
      <c r="I528" s="350">
        <v>1352</v>
      </c>
      <c r="J528" s="350">
        <v>82950</v>
      </c>
      <c r="M528" s="350">
        <f t="shared" si="45"/>
        <v>82950</v>
      </c>
      <c r="O528" s="351">
        <f t="shared" si="46"/>
        <v>0</v>
      </c>
      <c r="P528" s="564" t="s">
        <v>5222</v>
      </c>
    </row>
    <row r="529" spans="1:16">
      <c r="A529" s="183">
        <v>20171221</v>
      </c>
      <c r="B529" s="183" t="s">
        <v>5257</v>
      </c>
      <c r="C529" s="199" t="s">
        <v>5208</v>
      </c>
      <c r="D529" s="617"/>
      <c r="E529" s="199">
        <v>79000</v>
      </c>
      <c r="F529" s="183">
        <v>3950</v>
      </c>
      <c r="G529" s="563">
        <f t="shared" si="44"/>
        <v>82950</v>
      </c>
      <c r="I529" s="350">
        <v>1352</v>
      </c>
      <c r="J529" s="350">
        <v>82950</v>
      </c>
      <c r="M529" s="350">
        <f t="shared" si="45"/>
        <v>82950</v>
      </c>
      <c r="O529" s="351">
        <f t="shared" si="46"/>
        <v>0</v>
      </c>
      <c r="P529" s="564" t="s">
        <v>5222</v>
      </c>
    </row>
    <row r="530" spans="1:16">
      <c r="A530" s="183">
        <v>20171222</v>
      </c>
      <c r="B530" s="183" t="s">
        <v>5258</v>
      </c>
      <c r="C530" s="199" t="s">
        <v>5208</v>
      </c>
      <c r="D530" s="617"/>
      <c r="E530" s="199">
        <v>79000</v>
      </c>
      <c r="F530" s="183">
        <v>3950</v>
      </c>
      <c r="G530" s="563">
        <f t="shared" si="44"/>
        <v>82950</v>
      </c>
      <c r="I530" s="350">
        <v>1352</v>
      </c>
      <c r="J530" s="350">
        <v>82950</v>
      </c>
      <c r="M530" s="350">
        <f t="shared" si="45"/>
        <v>82950</v>
      </c>
      <c r="O530" s="351">
        <f t="shared" si="46"/>
        <v>0</v>
      </c>
      <c r="P530" s="564" t="s">
        <v>5222</v>
      </c>
    </row>
    <row r="533" spans="1:16" s="347" customFormat="1">
      <c r="A533" s="401" t="s">
        <v>5812</v>
      </c>
      <c r="D533" s="348" t="s">
        <v>2377</v>
      </c>
      <c r="E533" s="376">
        <f>SUM(E534:E605)</f>
        <v>2538242</v>
      </c>
      <c r="F533" s="376">
        <f>SUM(F534:F605)</f>
        <v>126913</v>
      </c>
      <c r="G533" s="376">
        <f>SUM(G534:G605)</f>
        <v>2665155</v>
      </c>
      <c r="H533" s="349"/>
      <c r="I533" s="383"/>
      <c r="J533" s="376">
        <f t="shared" ref="J533:O533" si="47">SUM(J534:J605)</f>
        <v>1706205</v>
      </c>
      <c r="K533" s="376">
        <f t="shared" si="47"/>
        <v>479115</v>
      </c>
      <c r="L533" s="376">
        <f t="shared" si="47"/>
        <v>479655</v>
      </c>
      <c r="M533" s="376">
        <f t="shared" si="47"/>
        <v>2664975</v>
      </c>
      <c r="N533" s="376">
        <f t="shared" si="47"/>
        <v>180</v>
      </c>
      <c r="O533" s="376">
        <f t="shared" si="47"/>
        <v>0</v>
      </c>
      <c r="P533" s="391"/>
    </row>
    <row r="534" spans="1:16">
      <c r="A534" s="183">
        <v>20180111</v>
      </c>
      <c r="B534" s="183" t="s">
        <v>5813</v>
      </c>
      <c r="C534" s="183" t="s">
        <v>456</v>
      </c>
      <c r="D534" s="617"/>
      <c r="E534" s="183">
        <v>12600</v>
      </c>
      <c r="F534" s="183">
        <v>630</v>
      </c>
      <c r="G534" s="563">
        <f t="shared" ref="G534:G548" si="48">E534+F534</f>
        <v>13230</v>
      </c>
      <c r="H534" s="399" t="s">
        <v>4330</v>
      </c>
      <c r="I534" s="398" t="s">
        <v>5609</v>
      </c>
      <c r="L534" s="350">
        <v>13230</v>
      </c>
      <c r="M534" s="350">
        <f>J534+K534+L534</f>
        <v>13230</v>
      </c>
      <c r="O534" s="351">
        <f>G534-M534-N534</f>
        <v>0</v>
      </c>
      <c r="P534" s="564" t="s">
        <v>4323</v>
      </c>
    </row>
    <row r="535" spans="1:16">
      <c r="A535" s="183">
        <v>20180111</v>
      </c>
      <c r="B535" s="183" t="s">
        <v>5815</v>
      </c>
      <c r="C535" s="183" t="s">
        <v>447</v>
      </c>
      <c r="D535" s="618"/>
      <c r="E535" s="183">
        <v>13500</v>
      </c>
      <c r="F535" s="183">
        <v>675</v>
      </c>
      <c r="G535" s="563">
        <f t="shared" si="48"/>
        <v>14175</v>
      </c>
      <c r="H535" s="399" t="s">
        <v>4823</v>
      </c>
      <c r="I535" s="398" t="s">
        <v>4655</v>
      </c>
      <c r="L535" s="350">
        <v>14165</v>
      </c>
      <c r="M535" s="350">
        <f t="shared" ref="M535:M598" si="49">J535+K535+L535</f>
        <v>14165</v>
      </c>
      <c r="N535" s="351">
        <v>10</v>
      </c>
      <c r="O535" s="351">
        <f t="shared" ref="O535:O598" si="50">G535-M535-N535</f>
        <v>0</v>
      </c>
      <c r="P535" s="564" t="s">
        <v>4321</v>
      </c>
    </row>
    <row r="536" spans="1:16">
      <c r="A536" s="183">
        <v>20180111</v>
      </c>
      <c r="B536" s="183" t="s">
        <v>5817</v>
      </c>
      <c r="C536" s="183" t="s">
        <v>4318</v>
      </c>
      <c r="D536" s="618"/>
      <c r="E536" s="183">
        <v>12857</v>
      </c>
      <c r="F536" s="183">
        <v>643</v>
      </c>
      <c r="G536" s="563">
        <f t="shared" si="48"/>
        <v>13500</v>
      </c>
      <c r="H536" s="399" t="s">
        <v>4763</v>
      </c>
      <c r="I536" s="398" t="s">
        <v>5481</v>
      </c>
      <c r="L536" s="350">
        <v>13485</v>
      </c>
      <c r="M536" s="350">
        <f t="shared" si="49"/>
        <v>13485</v>
      </c>
      <c r="N536" s="351">
        <v>15</v>
      </c>
      <c r="O536" s="351">
        <f t="shared" si="50"/>
        <v>0</v>
      </c>
      <c r="P536" s="564" t="s">
        <v>4319</v>
      </c>
    </row>
    <row r="537" spans="1:16">
      <c r="A537" s="183">
        <v>20180117</v>
      </c>
      <c r="B537" s="183" t="s">
        <v>5819</v>
      </c>
      <c r="C537" s="183" t="s">
        <v>4409</v>
      </c>
      <c r="D537" s="617"/>
      <c r="E537" s="183">
        <v>132000</v>
      </c>
      <c r="F537" s="183">
        <v>6600</v>
      </c>
      <c r="G537" s="563">
        <f t="shared" si="48"/>
        <v>138600</v>
      </c>
      <c r="H537" s="399" t="s">
        <v>4302</v>
      </c>
      <c r="I537" s="398" t="s">
        <v>10071</v>
      </c>
      <c r="J537" s="681">
        <v>138600</v>
      </c>
      <c r="M537" s="350">
        <f t="shared" si="49"/>
        <v>138600</v>
      </c>
      <c r="O537" s="351">
        <f t="shared" si="50"/>
        <v>0</v>
      </c>
      <c r="P537" s="564" t="s">
        <v>4410</v>
      </c>
    </row>
    <row r="538" spans="1:16">
      <c r="A538" s="183">
        <v>20180118</v>
      </c>
      <c r="B538" s="183" t="s">
        <v>5821</v>
      </c>
      <c r="C538" s="199" t="s">
        <v>4517</v>
      </c>
      <c r="D538" s="617"/>
      <c r="E538" s="199">
        <v>102857</v>
      </c>
      <c r="F538" s="183">
        <v>5143</v>
      </c>
      <c r="G538" s="563">
        <f t="shared" si="48"/>
        <v>108000</v>
      </c>
      <c r="H538" s="399" t="s">
        <v>4302</v>
      </c>
      <c r="I538" s="398" t="s">
        <v>10072</v>
      </c>
      <c r="J538" s="681">
        <v>108000</v>
      </c>
      <c r="M538" s="350">
        <f t="shared" si="49"/>
        <v>108000</v>
      </c>
      <c r="O538" s="351">
        <f t="shared" si="50"/>
        <v>0</v>
      </c>
      <c r="P538" s="564" t="s">
        <v>4520</v>
      </c>
    </row>
    <row r="539" spans="1:16">
      <c r="A539" s="183">
        <v>20180118</v>
      </c>
      <c r="B539" s="183" t="s">
        <v>5823</v>
      </c>
      <c r="C539" s="199" t="s">
        <v>4282</v>
      </c>
      <c r="D539" s="617"/>
      <c r="E539" s="199">
        <v>108000</v>
      </c>
      <c r="F539" s="183">
        <v>5400</v>
      </c>
      <c r="G539" s="563">
        <f t="shared" si="48"/>
        <v>113400</v>
      </c>
      <c r="H539" s="399" t="s">
        <v>4302</v>
      </c>
      <c r="I539" s="398" t="s">
        <v>10070</v>
      </c>
      <c r="J539" s="681">
        <v>113400</v>
      </c>
      <c r="M539" s="350">
        <f t="shared" si="49"/>
        <v>113400</v>
      </c>
      <c r="O539" s="351">
        <f t="shared" si="50"/>
        <v>0</v>
      </c>
      <c r="P539" s="564" t="s">
        <v>4407</v>
      </c>
    </row>
    <row r="540" spans="1:16">
      <c r="A540" s="183">
        <v>20180201</v>
      </c>
      <c r="B540" s="183" t="s">
        <v>5825</v>
      </c>
      <c r="C540" s="199" t="s">
        <v>4271</v>
      </c>
      <c r="D540" s="617"/>
      <c r="E540" s="199">
        <v>19500</v>
      </c>
      <c r="F540" s="183">
        <v>975</v>
      </c>
      <c r="G540" s="563">
        <f t="shared" si="48"/>
        <v>20475</v>
      </c>
      <c r="H540" s="399" t="s">
        <v>4811</v>
      </c>
      <c r="I540" s="350">
        <v>1361</v>
      </c>
      <c r="J540" s="681">
        <v>20475</v>
      </c>
      <c r="K540" s="681"/>
      <c r="M540" s="350">
        <f t="shared" si="49"/>
        <v>20475</v>
      </c>
      <c r="O540" s="351">
        <f t="shared" si="50"/>
        <v>0</v>
      </c>
      <c r="P540" s="564" t="s">
        <v>4396</v>
      </c>
    </row>
    <row r="541" spans="1:16">
      <c r="A541" s="183">
        <v>20180201</v>
      </c>
      <c r="B541" s="183" t="s">
        <v>5827</v>
      </c>
      <c r="C541" s="199" t="s">
        <v>4271</v>
      </c>
      <c r="D541" s="617"/>
      <c r="E541" s="199">
        <v>19500</v>
      </c>
      <c r="F541" s="183">
        <v>975</v>
      </c>
      <c r="G541" s="563">
        <f>E541+F541</f>
        <v>20475</v>
      </c>
      <c r="H541" s="399" t="s">
        <v>4813</v>
      </c>
      <c r="I541" s="350">
        <v>1362</v>
      </c>
      <c r="J541" s="681"/>
      <c r="K541" s="681">
        <v>20475</v>
      </c>
      <c r="M541" s="350">
        <f t="shared" si="49"/>
        <v>20475</v>
      </c>
      <c r="O541" s="351">
        <f t="shared" si="50"/>
        <v>0</v>
      </c>
      <c r="P541" s="564" t="s">
        <v>4396</v>
      </c>
    </row>
    <row r="542" spans="1:16">
      <c r="A542" s="183">
        <v>20180201</v>
      </c>
      <c r="B542" s="183" t="s">
        <v>5828</v>
      </c>
      <c r="C542" s="199" t="s">
        <v>4271</v>
      </c>
      <c r="D542" s="617"/>
      <c r="E542" s="199">
        <v>19500</v>
      </c>
      <c r="F542" s="183">
        <v>975</v>
      </c>
      <c r="G542" s="563">
        <f>E542+F542</f>
        <v>20475</v>
      </c>
      <c r="H542" s="399" t="s">
        <v>4812</v>
      </c>
      <c r="I542" s="350">
        <v>1363</v>
      </c>
      <c r="J542" s="681"/>
      <c r="K542" s="681">
        <v>20475</v>
      </c>
      <c r="M542" s="350">
        <f t="shared" si="49"/>
        <v>20475</v>
      </c>
      <c r="O542" s="351">
        <f t="shared" si="50"/>
        <v>0</v>
      </c>
      <c r="P542" s="564" t="s">
        <v>4396</v>
      </c>
    </row>
    <row r="543" spans="1:16">
      <c r="A543" s="183">
        <v>20180201</v>
      </c>
      <c r="B543" s="183" t="s">
        <v>5829</v>
      </c>
      <c r="C543" s="199" t="s">
        <v>4271</v>
      </c>
      <c r="D543" s="617"/>
      <c r="E543" s="199">
        <v>19500</v>
      </c>
      <c r="F543" s="183">
        <v>975</v>
      </c>
      <c r="G543" s="563">
        <f>E543+F543</f>
        <v>20475</v>
      </c>
      <c r="H543" s="399" t="s">
        <v>4823</v>
      </c>
      <c r="I543" s="350">
        <v>1364</v>
      </c>
      <c r="J543" s="681"/>
      <c r="K543" s="681">
        <v>20475</v>
      </c>
      <c r="M543" s="350">
        <f t="shared" si="49"/>
        <v>20475</v>
      </c>
      <c r="O543" s="351">
        <f t="shared" si="50"/>
        <v>0</v>
      </c>
      <c r="P543" s="564" t="s">
        <v>4396</v>
      </c>
    </row>
    <row r="544" spans="1:16">
      <c r="A544" s="183">
        <v>20180208</v>
      </c>
      <c r="B544" s="183" t="s">
        <v>5830</v>
      </c>
      <c r="C544" s="199" t="s">
        <v>4201</v>
      </c>
      <c r="D544" s="617"/>
      <c r="E544" s="199">
        <v>19500</v>
      </c>
      <c r="F544" s="183">
        <v>975</v>
      </c>
      <c r="G544" s="563">
        <f t="shared" si="48"/>
        <v>20475</v>
      </c>
      <c r="H544" s="399" t="s">
        <v>4813</v>
      </c>
      <c r="I544" s="350">
        <v>1155</v>
      </c>
      <c r="K544" s="350">
        <v>20475</v>
      </c>
      <c r="M544" s="350">
        <f t="shared" si="49"/>
        <v>20475</v>
      </c>
      <c r="O544" s="351">
        <f t="shared" si="50"/>
        <v>0</v>
      </c>
      <c r="P544" s="564" t="s">
        <v>4308</v>
      </c>
    </row>
    <row r="545" spans="1:16">
      <c r="A545" s="183">
        <v>20180208</v>
      </c>
      <c r="B545" s="183" t="s">
        <v>5832</v>
      </c>
      <c r="C545" s="199" t="s">
        <v>4000</v>
      </c>
      <c r="D545" s="617"/>
      <c r="E545" s="199">
        <v>19500</v>
      </c>
      <c r="F545" s="183">
        <v>975</v>
      </c>
      <c r="G545" s="563">
        <f t="shared" si="48"/>
        <v>20475</v>
      </c>
      <c r="H545" s="399" t="s">
        <v>4813</v>
      </c>
      <c r="I545" s="350">
        <v>1163</v>
      </c>
      <c r="K545" s="350">
        <v>20475</v>
      </c>
      <c r="M545" s="350">
        <f t="shared" si="49"/>
        <v>20475</v>
      </c>
      <c r="O545" s="351">
        <f t="shared" si="50"/>
        <v>0</v>
      </c>
      <c r="P545" s="564" t="s">
        <v>4310</v>
      </c>
    </row>
    <row r="546" spans="1:16">
      <c r="A546" s="183">
        <v>20180208</v>
      </c>
      <c r="B546" s="183" t="s">
        <v>5834</v>
      </c>
      <c r="C546" s="199" t="s">
        <v>4000</v>
      </c>
      <c r="D546" s="617"/>
      <c r="E546" s="199">
        <v>15600</v>
      </c>
      <c r="F546" s="183">
        <v>780</v>
      </c>
      <c r="G546" s="563">
        <f t="shared" si="48"/>
        <v>16380</v>
      </c>
      <c r="H546" s="399" t="s">
        <v>4813</v>
      </c>
      <c r="I546" s="350">
        <v>1171</v>
      </c>
      <c r="K546" s="350">
        <v>16380</v>
      </c>
      <c r="M546" s="350">
        <f t="shared" si="49"/>
        <v>16380</v>
      </c>
      <c r="O546" s="351">
        <f t="shared" si="50"/>
        <v>0</v>
      </c>
      <c r="P546" s="564" t="s">
        <v>4310</v>
      </c>
    </row>
    <row r="547" spans="1:16">
      <c r="A547" s="183">
        <v>20180208</v>
      </c>
      <c r="B547" s="183" t="s">
        <v>5835</v>
      </c>
      <c r="C547" s="199" t="s">
        <v>4204</v>
      </c>
      <c r="D547" s="617"/>
      <c r="E547" s="199">
        <v>19500</v>
      </c>
      <c r="F547" s="183">
        <v>975</v>
      </c>
      <c r="G547" s="563">
        <f t="shared" si="48"/>
        <v>20475</v>
      </c>
      <c r="H547" s="399" t="s">
        <v>4824</v>
      </c>
      <c r="I547" s="350">
        <v>1317</v>
      </c>
      <c r="K547" s="350">
        <v>20475</v>
      </c>
      <c r="M547" s="350">
        <f t="shared" si="49"/>
        <v>20475</v>
      </c>
      <c r="O547" s="351">
        <f t="shared" si="50"/>
        <v>0</v>
      </c>
      <c r="P547" s="564" t="s">
        <v>4313</v>
      </c>
    </row>
    <row r="548" spans="1:16">
      <c r="A548" s="183">
        <v>20180208</v>
      </c>
      <c r="B548" s="183" t="s">
        <v>5837</v>
      </c>
      <c r="C548" s="199" t="s">
        <v>4056</v>
      </c>
      <c r="D548" s="617"/>
      <c r="E548" s="199">
        <v>19500</v>
      </c>
      <c r="F548" s="183">
        <v>975</v>
      </c>
      <c r="G548" s="563">
        <f t="shared" si="48"/>
        <v>20475</v>
      </c>
      <c r="H548" s="399" t="s">
        <v>4811</v>
      </c>
      <c r="I548" s="350">
        <v>1192</v>
      </c>
      <c r="K548" s="350">
        <v>20475</v>
      </c>
      <c r="M548" s="350">
        <f t="shared" si="49"/>
        <v>20475</v>
      </c>
      <c r="O548" s="351">
        <f t="shared" si="50"/>
        <v>0</v>
      </c>
      <c r="P548" s="564" t="s">
        <v>4331</v>
      </c>
    </row>
    <row r="549" spans="1:16">
      <c r="A549" s="183">
        <v>20180208</v>
      </c>
      <c r="B549" s="183" t="s">
        <v>5839</v>
      </c>
      <c r="C549" s="199" t="s">
        <v>5208</v>
      </c>
      <c r="D549" s="617"/>
      <c r="E549" s="199">
        <v>19500</v>
      </c>
      <c r="F549" s="183">
        <v>975</v>
      </c>
      <c r="G549" s="563">
        <v>20475</v>
      </c>
      <c r="H549" s="399" t="s">
        <v>4810</v>
      </c>
      <c r="I549" s="350">
        <v>1273</v>
      </c>
      <c r="K549" s="350">
        <v>20475</v>
      </c>
      <c r="M549" s="350">
        <f t="shared" si="49"/>
        <v>20475</v>
      </c>
      <c r="O549" s="351">
        <f t="shared" si="50"/>
        <v>0</v>
      </c>
      <c r="P549" s="564" t="s">
        <v>5222</v>
      </c>
    </row>
    <row r="550" spans="1:16">
      <c r="A550" s="183">
        <v>20180208</v>
      </c>
      <c r="B550" s="183" t="s">
        <v>5841</v>
      </c>
      <c r="C550" s="199" t="s">
        <v>4315</v>
      </c>
      <c r="D550" s="617"/>
      <c r="E550" s="199">
        <v>15600</v>
      </c>
      <c r="F550" s="183">
        <v>780</v>
      </c>
      <c r="G550" s="563">
        <v>16380</v>
      </c>
      <c r="H550" s="379">
        <v>4</v>
      </c>
      <c r="I550" s="350">
        <v>1341</v>
      </c>
      <c r="J550" s="682">
        <v>16380</v>
      </c>
      <c r="M550" s="350">
        <f t="shared" si="49"/>
        <v>16380</v>
      </c>
      <c r="O550" s="351">
        <f t="shared" si="50"/>
        <v>0</v>
      </c>
      <c r="P550" s="564" t="s">
        <v>4316</v>
      </c>
    </row>
    <row r="551" spans="1:16">
      <c r="A551" s="183">
        <v>20180208</v>
      </c>
      <c r="B551" s="183" t="s">
        <v>5843</v>
      </c>
      <c r="C551" s="199" t="s">
        <v>4339</v>
      </c>
      <c r="D551" s="618"/>
      <c r="E551" s="199">
        <v>13500</v>
      </c>
      <c r="F551" s="183">
        <v>675</v>
      </c>
      <c r="G551" s="563">
        <v>14175</v>
      </c>
      <c r="H551" s="399" t="s">
        <v>4810</v>
      </c>
      <c r="I551" s="398" t="s">
        <v>5364</v>
      </c>
      <c r="L551" s="350">
        <v>14165</v>
      </c>
      <c r="M551" s="350">
        <f t="shared" si="49"/>
        <v>14165</v>
      </c>
      <c r="N551" s="351">
        <v>10</v>
      </c>
      <c r="O551" s="351">
        <f t="shared" si="50"/>
        <v>0</v>
      </c>
      <c r="P551" s="564" t="s">
        <v>4340</v>
      </c>
    </row>
    <row r="552" spans="1:16">
      <c r="A552" s="183">
        <v>20180301</v>
      </c>
      <c r="B552" s="183" t="s">
        <v>5859</v>
      </c>
      <c r="C552" s="183" t="s">
        <v>4418</v>
      </c>
      <c r="D552" s="617"/>
      <c r="E552" s="183">
        <v>3000</v>
      </c>
      <c r="F552" s="183">
        <v>150</v>
      </c>
      <c r="G552" s="563">
        <f>E552+F552</f>
        <v>3150</v>
      </c>
      <c r="H552" s="379"/>
      <c r="I552" s="398" t="s">
        <v>5614</v>
      </c>
      <c r="L552" s="350">
        <v>3150</v>
      </c>
      <c r="M552" s="350">
        <f t="shared" si="49"/>
        <v>3150</v>
      </c>
      <c r="O552" s="351">
        <f t="shared" si="50"/>
        <v>0</v>
      </c>
      <c r="P552" s="564" t="s">
        <v>5865</v>
      </c>
    </row>
    <row r="553" spans="1:16" s="751" customFormat="1">
      <c r="A553" s="745"/>
      <c r="B553" s="745" t="s">
        <v>5860</v>
      </c>
      <c r="C553" s="745"/>
      <c r="D553" s="752"/>
      <c r="E553" s="745"/>
      <c r="F553" s="745"/>
      <c r="G553" s="747">
        <f>E553+F553</f>
        <v>0</v>
      </c>
      <c r="H553" s="748"/>
      <c r="I553" s="749"/>
      <c r="J553" s="749"/>
      <c r="K553" s="749"/>
      <c r="L553" s="749"/>
      <c r="M553" s="749">
        <f t="shared" si="49"/>
        <v>0</v>
      </c>
      <c r="N553" s="749"/>
      <c r="O553" s="749">
        <f t="shared" si="50"/>
        <v>0</v>
      </c>
      <c r="P553" s="750"/>
    </row>
    <row r="554" spans="1:16">
      <c r="A554" s="183">
        <v>20180321</v>
      </c>
      <c r="B554" s="183" t="s">
        <v>5861</v>
      </c>
      <c r="C554" s="183" t="s">
        <v>4255</v>
      </c>
      <c r="D554" s="618"/>
      <c r="E554" s="183">
        <v>108000</v>
      </c>
      <c r="F554" s="183">
        <v>5400</v>
      </c>
      <c r="G554" s="563">
        <f>E554+F554</f>
        <v>113400</v>
      </c>
      <c r="H554" s="399" t="s">
        <v>4302</v>
      </c>
      <c r="I554" s="398" t="s">
        <v>10073</v>
      </c>
      <c r="J554" s="681">
        <v>113400</v>
      </c>
      <c r="M554" s="350">
        <f t="shared" si="49"/>
        <v>113400</v>
      </c>
      <c r="O554" s="351">
        <f t="shared" si="50"/>
        <v>0</v>
      </c>
      <c r="P554" s="564" t="s">
        <v>4404</v>
      </c>
    </row>
    <row r="555" spans="1:16">
      <c r="A555" s="183">
        <v>20180411</v>
      </c>
      <c r="B555" s="183" t="s">
        <v>5863</v>
      </c>
      <c r="C555" s="183" t="s">
        <v>4318</v>
      </c>
      <c r="D555" s="617"/>
      <c r="E555" s="183">
        <v>12857</v>
      </c>
      <c r="F555" s="183">
        <v>643</v>
      </c>
      <c r="G555" s="563">
        <f>E555+F555</f>
        <v>13500</v>
      </c>
      <c r="H555" s="399" t="s">
        <v>4824</v>
      </c>
      <c r="I555" s="398" t="s">
        <v>5482</v>
      </c>
      <c r="L555" s="350">
        <v>13485</v>
      </c>
      <c r="M555" s="350">
        <f t="shared" si="49"/>
        <v>13485</v>
      </c>
      <c r="N555" s="351">
        <v>15</v>
      </c>
      <c r="O555" s="351">
        <f t="shared" si="50"/>
        <v>0</v>
      </c>
      <c r="P555" s="564" t="s">
        <v>4319</v>
      </c>
    </row>
    <row r="556" spans="1:16">
      <c r="A556" s="183">
        <v>20180507</v>
      </c>
      <c r="B556" s="183" t="s">
        <v>5867</v>
      </c>
      <c r="C556" s="183" t="s">
        <v>4201</v>
      </c>
      <c r="D556" s="617"/>
      <c r="E556" s="183">
        <v>19500</v>
      </c>
      <c r="F556" s="183">
        <v>975</v>
      </c>
      <c r="G556" s="563">
        <f t="shared" ref="G556:G586" si="51">E556+F556</f>
        <v>20475</v>
      </c>
      <c r="H556" s="399" t="s">
        <v>4812</v>
      </c>
      <c r="I556" s="350">
        <v>1156</v>
      </c>
      <c r="K556" s="350">
        <v>20475</v>
      </c>
      <c r="M556" s="350">
        <f t="shared" si="49"/>
        <v>20475</v>
      </c>
      <c r="O556" s="351">
        <f t="shared" si="50"/>
        <v>0</v>
      </c>
      <c r="P556" s="564" t="s">
        <v>4308</v>
      </c>
    </row>
    <row r="557" spans="1:16">
      <c r="A557" s="183">
        <v>20180507</v>
      </c>
      <c r="B557" s="183" t="s">
        <v>5868</v>
      </c>
      <c r="C557" s="183" t="s">
        <v>4000</v>
      </c>
      <c r="D557" s="618"/>
      <c r="E557" s="183">
        <v>19500</v>
      </c>
      <c r="F557" s="183">
        <v>975</v>
      </c>
      <c r="G557" s="563">
        <f t="shared" si="51"/>
        <v>20475</v>
      </c>
      <c r="H557" s="399" t="s">
        <v>4812</v>
      </c>
      <c r="I557" s="350">
        <v>1164</v>
      </c>
      <c r="K557" s="350">
        <v>20475</v>
      </c>
      <c r="M557" s="350">
        <f t="shared" si="49"/>
        <v>20475</v>
      </c>
      <c r="O557" s="351">
        <f t="shared" si="50"/>
        <v>0</v>
      </c>
      <c r="P557" s="564" t="s">
        <v>4310</v>
      </c>
    </row>
    <row r="558" spans="1:16">
      <c r="A558" s="183">
        <v>20180507</v>
      </c>
      <c r="B558" s="183" t="s">
        <v>5870</v>
      </c>
      <c r="C558" s="183" t="s">
        <v>4000</v>
      </c>
      <c r="D558" s="618"/>
      <c r="E558" s="183">
        <v>15600</v>
      </c>
      <c r="F558" s="183">
        <v>780</v>
      </c>
      <c r="G558" s="563">
        <f t="shared" si="51"/>
        <v>16380</v>
      </c>
      <c r="H558" s="399" t="s">
        <v>4812</v>
      </c>
      <c r="I558" s="350">
        <v>1172</v>
      </c>
      <c r="K558" s="350">
        <v>16380</v>
      </c>
      <c r="M558" s="350">
        <f t="shared" si="49"/>
        <v>16380</v>
      </c>
      <c r="O558" s="351">
        <f t="shared" si="50"/>
        <v>0</v>
      </c>
      <c r="P558" s="564" t="s">
        <v>4310</v>
      </c>
    </row>
    <row r="559" spans="1:16">
      <c r="A559" s="183">
        <v>20180507</v>
      </c>
      <c r="B559" s="183" t="s">
        <v>5871</v>
      </c>
      <c r="C559" s="183" t="s">
        <v>4204</v>
      </c>
      <c r="D559" s="617"/>
      <c r="E559" s="183">
        <v>19500</v>
      </c>
      <c r="F559" s="183">
        <v>975</v>
      </c>
      <c r="G559" s="563">
        <f t="shared" si="51"/>
        <v>20475</v>
      </c>
      <c r="H559" s="399" t="s">
        <v>4810</v>
      </c>
      <c r="I559" s="350">
        <v>1318</v>
      </c>
      <c r="K559" s="350">
        <v>20475</v>
      </c>
      <c r="M559" s="350">
        <f t="shared" si="49"/>
        <v>20475</v>
      </c>
      <c r="O559" s="351">
        <f t="shared" si="50"/>
        <v>0</v>
      </c>
      <c r="P559" s="564" t="s">
        <v>4313</v>
      </c>
    </row>
    <row r="560" spans="1:16">
      <c r="A560" s="183">
        <v>20180507</v>
      </c>
      <c r="B560" s="183" t="s">
        <v>5873</v>
      </c>
      <c r="C560" s="199" t="s">
        <v>4056</v>
      </c>
      <c r="D560" s="617"/>
      <c r="E560" s="199">
        <v>19500</v>
      </c>
      <c r="F560" s="183">
        <v>975</v>
      </c>
      <c r="G560" s="563">
        <f t="shared" si="51"/>
        <v>20475</v>
      </c>
      <c r="H560" s="399" t="s">
        <v>4813</v>
      </c>
      <c r="I560" s="350">
        <v>1193</v>
      </c>
      <c r="K560" s="350">
        <v>20475</v>
      </c>
      <c r="M560" s="350">
        <f t="shared" si="49"/>
        <v>20475</v>
      </c>
      <c r="O560" s="351">
        <f t="shared" si="50"/>
        <v>0</v>
      </c>
      <c r="P560" s="564" t="s">
        <v>4331</v>
      </c>
    </row>
    <row r="561" spans="1:16">
      <c r="A561" s="183">
        <v>20180507</v>
      </c>
      <c r="B561" s="183" t="s">
        <v>5875</v>
      </c>
      <c r="C561" s="199" t="s">
        <v>5208</v>
      </c>
      <c r="D561" s="617"/>
      <c r="E561" s="199">
        <v>19500</v>
      </c>
      <c r="F561" s="183">
        <v>975</v>
      </c>
      <c r="G561" s="563">
        <f t="shared" si="51"/>
        <v>20475</v>
      </c>
      <c r="H561" s="399" t="s">
        <v>4811</v>
      </c>
      <c r="I561" s="350">
        <v>1274</v>
      </c>
      <c r="K561" s="350">
        <v>20475</v>
      </c>
      <c r="M561" s="350">
        <f t="shared" si="49"/>
        <v>20475</v>
      </c>
      <c r="O561" s="351">
        <f t="shared" si="50"/>
        <v>0</v>
      </c>
      <c r="P561" s="564" t="s">
        <v>5222</v>
      </c>
    </row>
    <row r="562" spans="1:16">
      <c r="A562" s="183">
        <v>20180507</v>
      </c>
      <c r="B562" s="183" t="s">
        <v>5877</v>
      </c>
      <c r="C562" s="199" t="s">
        <v>4315</v>
      </c>
      <c r="D562" s="617"/>
      <c r="E562" s="199">
        <v>15600</v>
      </c>
      <c r="F562" s="183">
        <v>780</v>
      </c>
      <c r="G562" s="563">
        <f t="shared" si="51"/>
        <v>16380</v>
      </c>
      <c r="H562" s="379">
        <v>5</v>
      </c>
      <c r="I562" s="350">
        <v>1342</v>
      </c>
      <c r="J562" s="682">
        <v>16380</v>
      </c>
      <c r="M562" s="350">
        <f t="shared" si="49"/>
        <v>16380</v>
      </c>
      <c r="O562" s="351">
        <f t="shared" si="50"/>
        <v>0</v>
      </c>
      <c r="P562" s="564" t="s">
        <v>4316</v>
      </c>
    </row>
    <row r="563" spans="1:16">
      <c r="A563" s="183">
        <v>20180507</v>
      </c>
      <c r="B563" s="183" t="s">
        <v>5879</v>
      </c>
      <c r="C563" s="199" t="s">
        <v>4339</v>
      </c>
      <c r="D563" s="617"/>
      <c r="E563" s="199">
        <v>13500</v>
      </c>
      <c r="F563" s="183">
        <v>675</v>
      </c>
      <c r="G563" s="563">
        <f t="shared" si="51"/>
        <v>14175</v>
      </c>
      <c r="H563" s="399" t="s">
        <v>4811</v>
      </c>
      <c r="I563" s="398" t="s">
        <v>8756</v>
      </c>
      <c r="L563" s="350">
        <v>14165</v>
      </c>
      <c r="M563" s="350">
        <f t="shared" si="49"/>
        <v>14165</v>
      </c>
      <c r="N563" s="351">
        <v>10</v>
      </c>
      <c r="O563" s="351">
        <f t="shared" si="50"/>
        <v>0</v>
      </c>
      <c r="P563" s="564" t="s">
        <v>4340</v>
      </c>
    </row>
    <row r="564" spans="1:16">
      <c r="A564" s="183">
        <v>20180522</v>
      </c>
      <c r="B564" s="183" t="s">
        <v>5881</v>
      </c>
      <c r="C564" s="199" t="s">
        <v>4530</v>
      </c>
      <c r="D564" s="617"/>
      <c r="E564" s="199">
        <v>108000</v>
      </c>
      <c r="F564" s="183">
        <v>5400</v>
      </c>
      <c r="G564" s="563">
        <f t="shared" si="51"/>
        <v>113400</v>
      </c>
      <c r="H564" s="399" t="s">
        <v>4302</v>
      </c>
      <c r="I564" s="398" t="s">
        <v>10074</v>
      </c>
      <c r="J564" s="681">
        <v>113400</v>
      </c>
      <c r="M564" s="350">
        <f t="shared" si="49"/>
        <v>113400</v>
      </c>
      <c r="O564" s="351">
        <f t="shared" si="50"/>
        <v>0</v>
      </c>
      <c r="P564" s="564" t="s">
        <v>4541</v>
      </c>
    </row>
    <row r="565" spans="1:16">
      <c r="A565" s="183">
        <v>20180621</v>
      </c>
      <c r="B565" s="183" t="s">
        <v>5883</v>
      </c>
      <c r="C565" s="199" t="s">
        <v>456</v>
      </c>
      <c r="D565" s="617"/>
      <c r="E565" s="199">
        <v>12600</v>
      </c>
      <c r="F565" s="183">
        <v>630</v>
      </c>
      <c r="G565" s="563">
        <f t="shared" si="51"/>
        <v>13230</v>
      </c>
      <c r="H565" s="399" t="s">
        <v>4824</v>
      </c>
      <c r="I565" s="398" t="s">
        <v>5314</v>
      </c>
      <c r="L565" s="350">
        <v>13230</v>
      </c>
      <c r="M565" s="350">
        <f t="shared" si="49"/>
        <v>13230</v>
      </c>
      <c r="O565" s="351">
        <f t="shared" si="50"/>
        <v>0</v>
      </c>
      <c r="P565" s="564" t="s">
        <v>4323</v>
      </c>
    </row>
    <row r="566" spans="1:16">
      <c r="A566" s="183">
        <v>20180621</v>
      </c>
      <c r="B566" s="183" t="s">
        <v>5885</v>
      </c>
      <c r="C566" s="199" t="s">
        <v>4318</v>
      </c>
      <c r="D566" s="617"/>
      <c r="E566" s="199">
        <v>12857</v>
      </c>
      <c r="F566" s="183">
        <v>643</v>
      </c>
      <c r="G566" s="563">
        <f t="shared" si="51"/>
        <v>13500</v>
      </c>
      <c r="H566" s="399" t="s">
        <v>4810</v>
      </c>
      <c r="I566" s="398" t="s">
        <v>5448</v>
      </c>
      <c r="L566" s="350">
        <v>13485</v>
      </c>
      <c r="M566" s="350">
        <f t="shared" si="49"/>
        <v>13485</v>
      </c>
      <c r="N566" s="351">
        <v>15</v>
      </c>
      <c r="O566" s="351">
        <f t="shared" si="50"/>
        <v>0</v>
      </c>
      <c r="P566" s="564" t="s">
        <v>4319</v>
      </c>
    </row>
    <row r="567" spans="1:16">
      <c r="A567" s="183">
        <v>20180702</v>
      </c>
      <c r="B567" s="183" t="s">
        <v>5897</v>
      </c>
      <c r="C567" s="183" t="s">
        <v>4678</v>
      </c>
      <c r="D567" s="617"/>
      <c r="E567" s="183">
        <v>132000</v>
      </c>
      <c r="F567" s="183">
        <v>6600</v>
      </c>
      <c r="G567" s="563">
        <f t="shared" si="51"/>
        <v>138600</v>
      </c>
      <c r="H567" s="399" t="s">
        <v>4302</v>
      </c>
      <c r="I567" s="398" t="s">
        <v>10076</v>
      </c>
      <c r="J567" s="681">
        <v>138600</v>
      </c>
      <c r="M567" s="350">
        <f t="shared" si="49"/>
        <v>138600</v>
      </c>
      <c r="O567" s="351">
        <f t="shared" si="50"/>
        <v>0</v>
      </c>
      <c r="P567" s="564" t="s">
        <v>4410</v>
      </c>
    </row>
    <row r="568" spans="1:16">
      <c r="A568" s="183">
        <v>20180705</v>
      </c>
      <c r="B568" s="183" t="s">
        <v>5899</v>
      </c>
      <c r="C568" s="183" t="s">
        <v>4528</v>
      </c>
      <c r="D568" s="618"/>
      <c r="E568" s="183">
        <v>96000</v>
      </c>
      <c r="F568" s="183">
        <v>4800</v>
      </c>
      <c r="G568" s="563">
        <f t="shared" si="51"/>
        <v>100800</v>
      </c>
      <c r="H568" s="399" t="s">
        <v>9824</v>
      </c>
      <c r="I568" s="398" t="s">
        <v>10075</v>
      </c>
      <c r="J568" s="681">
        <v>100800</v>
      </c>
      <c r="M568" s="350">
        <f t="shared" si="49"/>
        <v>100800</v>
      </c>
      <c r="O568" s="351">
        <f t="shared" si="50"/>
        <v>0</v>
      </c>
      <c r="P568" s="564" t="s">
        <v>4540</v>
      </c>
    </row>
    <row r="569" spans="1:16">
      <c r="A569" s="183">
        <v>20180710</v>
      </c>
      <c r="B569" s="183" t="s">
        <v>5901</v>
      </c>
      <c r="C569" s="183" t="s">
        <v>4695</v>
      </c>
      <c r="D569" s="618"/>
      <c r="E569" s="183">
        <v>96000</v>
      </c>
      <c r="F569" s="183">
        <v>4800</v>
      </c>
      <c r="G569" s="563">
        <f t="shared" si="51"/>
        <v>100800</v>
      </c>
      <c r="H569" s="399" t="s">
        <v>4302</v>
      </c>
      <c r="I569" s="398" t="s">
        <v>10077</v>
      </c>
      <c r="J569" s="681">
        <v>100800</v>
      </c>
      <c r="M569" s="350">
        <f t="shared" si="49"/>
        <v>100800</v>
      </c>
      <c r="O569" s="351">
        <f t="shared" si="50"/>
        <v>0</v>
      </c>
      <c r="P569" s="564" t="s">
        <v>4410</v>
      </c>
    </row>
    <row r="570" spans="1:16">
      <c r="A570" s="183">
        <v>20180725</v>
      </c>
      <c r="B570" s="183" t="s">
        <v>5903</v>
      </c>
      <c r="C570" s="183" t="s">
        <v>4513</v>
      </c>
      <c r="D570" s="617"/>
      <c r="E570" s="183">
        <v>91200</v>
      </c>
      <c r="F570" s="183">
        <v>4560</v>
      </c>
      <c r="G570" s="563">
        <f t="shared" si="51"/>
        <v>95760</v>
      </c>
      <c r="H570" s="399" t="s">
        <v>9824</v>
      </c>
      <c r="I570" s="398" t="s">
        <v>10078</v>
      </c>
      <c r="J570" s="682">
        <v>95760</v>
      </c>
      <c r="M570" s="350">
        <f t="shared" si="49"/>
        <v>95760</v>
      </c>
      <c r="O570" s="351">
        <f t="shared" si="50"/>
        <v>0</v>
      </c>
      <c r="P570" s="564" t="s">
        <v>4519</v>
      </c>
    </row>
    <row r="571" spans="1:16">
      <c r="A571" s="183">
        <v>20180807</v>
      </c>
      <c r="B571" s="183" t="s">
        <v>5905</v>
      </c>
      <c r="C571" s="199" t="s">
        <v>4201</v>
      </c>
      <c r="D571" s="617"/>
      <c r="E571" s="199">
        <v>19500</v>
      </c>
      <c r="F571" s="183">
        <v>975</v>
      </c>
      <c r="G571" s="563">
        <f t="shared" si="51"/>
        <v>20475</v>
      </c>
      <c r="H571" s="399" t="s">
        <v>4823</v>
      </c>
      <c r="I571" s="350">
        <v>1157</v>
      </c>
      <c r="K571" s="350">
        <v>20475</v>
      </c>
      <c r="M571" s="350">
        <f t="shared" si="49"/>
        <v>20475</v>
      </c>
      <c r="O571" s="351">
        <f t="shared" si="50"/>
        <v>0</v>
      </c>
      <c r="P571" s="564" t="s">
        <v>4308</v>
      </c>
    </row>
    <row r="572" spans="1:16">
      <c r="A572" s="183">
        <v>20180807</v>
      </c>
      <c r="B572" s="183" t="s">
        <v>9789</v>
      </c>
      <c r="C572" s="199" t="s">
        <v>4000</v>
      </c>
      <c r="D572" s="617"/>
      <c r="E572" s="199">
        <v>19500</v>
      </c>
      <c r="F572" s="183">
        <v>975</v>
      </c>
      <c r="G572" s="563">
        <f t="shared" si="51"/>
        <v>20475</v>
      </c>
      <c r="H572" s="399" t="s">
        <v>4823</v>
      </c>
      <c r="I572" s="350">
        <v>1165</v>
      </c>
      <c r="K572" s="350">
        <v>20475</v>
      </c>
      <c r="M572" s="350">
        <f t="shared" si="49"/>
        <v>20475</v>
      </c>
      <c r="O572" s="351">
        <f t="shared" si="50"/>
        <v>0</v>
      </c>
      <c r="P572" s="564" t="s">
        <v>4310</v>
      </c>
    </row>
    <row r="573" spans="1:16">
      <c r="A573" s="183">
        <v>20180807</v>
      </c>
      <c r="B573" s="183" t="s">
        <v>5908</v>
      </c>
      <c r="C573" s="199" t="s">
        <v>4000</v>
      </c>
      <c r="D573" s="617"/>
      <c r="E573" s="199">
        <v>15600</v>
      </c>
      <c r="F573" s="183">
        <v>780</v>
      </c>
      <c r="G573" s="563">
        <f t="shared" si="51"/>
        <v>16380</v>
      </c>
      <c r="H573" s="399" t="s">
        <v>4823</v>
      </c>
      <c r="I573" s="350">
        <v>1173</v>
      </c>
      <c r="K573" s="350">
        <v>16380</v>
      </c>
      <c r="M573" s="350">
        <f t="shared" si="49"/>
        <v>16380</v>
      </c>
      <c r="O573" s="351">
        <f t="shared" si="50"/>
        <v>0</v>
      </c>
      <c r="P573" s="564" t="s">
        <v>4310</v>
      </c>
    </row>
    <row r="574" spans="1:16">
      <c r="A574" s="183">
        <v>20180807</v>
      </c>
      <c r="B574" s="183" t="s">
        <v>5909</v>
      </c>
      <c r="C574" s="199" t="s">
        <v>4204</v>
      </c>
      <c r="D574" s="617"/>
      <c r="E574" s="199">
        <v>19500</v>
      </c>
      <c r="F574" s="183">
        <v>975</v>
      </c>
      <c r="G574" s="563">
        <f t="shared" si="51"/>
        <v>20475</v>
      </c>
      <c r="H574" s="399" t="s">
        <v>4811</v>
      </c>
      <c r="I574" s="350">
        <v>1319</v>
      </c>
      <c r="K574" s="350">
        <v>20475</v>
      </c>
      <c r="M574" s="350">
        <f t="shared" si="49"/>
        <v>20475</v>
      </c>
      <c r="O574" s="351">
        <f t="shared" si="50"/>
        <v>0</v>
      </c>
      <c r="P574" s="564" t="s">
        <v>4313</v>
      </c>
    </row>
    <row r="575" spans="1:16">
      <c r="A575" s="183">
        <v>20180807</v>
      </c>
      <c r="B575" s="183" t="s">
        <v>5911</v>
      </c>
      <c r="C575" s="199" t="s">
        <v>4056</v>
      </c>
      <c r="D575" s="617"/>
      <c r="E575" s="199">
        <v>19500</v>
      </c>
      <c r="F575" s="183">
        <v>975</v>
      </c>
      <c r="G575" s="563">
        <f t="shared" si="51"/>
        <v>20475</v>
      </c>
      <c r="H575" s="399" t="s">
        <v>4812</v>
      </c>
      <c r="I575" s="350">
        <v>1194</v>
      </c>
      <c r="K575" s="350">
        <v>20475</v>
      </c>
      <c r="M575" s="350">
        <f t="shared" si="49"/>
        <v>20475</v>
      </c>
      <c r="O575" s="351">
        <f t="shared" si="50"/>
        <v>0</v>
      </c>
      <c r="P575" s="564" t="s">
        <v>4331</v>
      </c>
    </row>
    <row r="576" spans="1:16">
      <c r="A576" s="183">
        <v>20180807</v>
      </c>
      <c r="B576" s="183" t="s">
        <v>5913</v>
      </c>
      <c r="C576" s="199" t="s">
        <v>5208</v>
      </c>
      <c r="D576" s="617"/>
      <c r="E576" s="199">
        <v>19500</v>
      </c>
      <c r="F576" s="183">
        <v>975</v>
      </c>
      <c r="G576" s="563">
        <f t="shared" si="51"/>
        <v>20475</v>
      </c>
      <c r="H576" s="399" t="s">
        <v>4813</v>
      </c>
      <c r="I576" s="350">
        <v>1275</v>
      </c>
      <c r="K576" s="350">
        <v>20475</v>
      </c>
      <c r="M576" s="350">
        <f t="shared" si="49"/>
        <v>20475</v>
      </c>
      <c r="O576" s="351">
        <f t="shared" si="50"/>
        <v>0</v>
      </c>
      <c r="P576" s="564" t="s">
        <v>5222</v>
      </c>
    </row>
    <row r="577" spans="1:16" s="751" customFormat="1">
      <c r="A577" s="745"/>
      <c r="B577" s="745" t="s">
        <v>5915</v>
      </c>
      <c r="C577" s="745" t="s">
        <v>5217</v>
      </c>
      <c r="D577" s="746"/>
      <c r="E577" s="745"/>
      <c r="F577" s="745"/>
      <c r="G577" s="747">
        <f t="shared" si="51"/>
        <v>0</v>
      </c>
      <c r="H577" s="748"/>
      <c r="I577" s="749"/>
      <c r="J577" s="749"/>
      <c r="K577" s="749"/>
      <c r="L577" s="749"/>
      <c r="M577" s="749">
        <f t="shared" si="49"/>
        <v>0</v>
      </c>
      <c r="N577" s="749"/>
      <c r="O577" s="749">
        <f t="shared" si="50"/>
        <v>0</v>
      </c>
      <c r="P577" s="750"/>
    </row>
    <row r="578" spans="1:16">
      <c r="A578" s="183">
        <v>20180807</v>
      </c>
      <c r="B578" s="183" t="s">
        <v>5917</v>
      </c>
      <c r="C578" s="199" t="s">
        <v>4315</v>
      </c>
      <c r="D578" s="617"/>
      <c r="E578" s="199">
        <v>15600</v>
      </c>
      <c r="F578" s="183">
        <v>780</v>
      </c>
      <c r="G578" s="563">
        <f t="shared" si="51"/>
        <v>16380</v>
      </c>
      <c r="H578" s="379">
        <v>6</v>
      </c>
      <c r="I578" s="350">
        <v>1343</v>
      </c>
      <c r="J578" s="682">
        <v>16380</v>
      </c>
      <c r="M578" s="350">
        <f t="shared" si="49"/>
        <v>16380</v>
      </c>
      <c r="O578" s="351">
        <f t="shared" si="50"/>
        <v>0</v>
      </c>
      <c r="P578" s="564" t="s">
        <v>4316</v>
      </c>
    </row>
    <row r="579" spans="1:16">
      <c r="A579" s="183">
        <v>20180807</v>
      </c>
      <c r="B579" s="183" t="s">
        <v>9788</v>
      </c>
      <c r="C579" s="199" t="s">
        <v>4339</v>
      </c>
      <c r="D579" s="617"/>
      <c r="E579" s="199">
        <v>13500</v>
      </c>
      <c r="F579" s="183">
        <v>675</v>
      </c>
      <c r="G579" s="563">
        <f t="shared" si="51"/>
        <v>14175</v>
      </c>
      <c r="H579" s="399" t="s">
        <v>4813</v>
      </c>
      <c r="I579" s="398" t="s">
        <v>9949</v>
      </c>
      <c r="L579" s="350">
        <v>14165</v>
      </c>
      <c r="M579" s="350">
        <f t="shared" si="49"/>
        <v>14165</v>
      </c>
      <c r="N579" s="351">
        <v>10</v>
      </c>
      <c r="O579" s="351">
        <f t="shared" si="50"/>
        <v>0</v>
      </c>
      <c r="P579" s="564" t="s">
        <v>4340</v>
      </c>
    </row>
    <row r="580" spans="1:16">
      <c r="A580" s="183">
        <v>20180903</v>
      </c>
      <c r="B580" s="183" t="s">
        <v>5930</v>
      </c>
      <c r="C580" s="183" t="s">
        <v>447</v>
      </c>
      <c r="D580" s="617"/>
      <c r="E580" s="183">
        <v>13500</v>
      </c>
      <c r="F580" s="183">
        <v>675</v>
      </c>
      <c r="G580" s="563">
        <f t="shared" si="51"/>
        <v>14175</v>
      </c>
      <c r="H580" s="399" t="s">
        <v>4330</v>
      </c>
      <c r="I580" s="398" t="s">
        <v>8822</v>
      </c>
      <c r="L580" s="350">
        <v>14165</v>
      </c>
      <c r="M580" s="350">
        <f t="shared" si="49"/>
        <v>14165</v>
      </c>
      <c r="N580" s="351">
        <v>10</v>
      </c>
      <c r="O580" s="351">
        <f t="shared" si="50"/>
        <v>0</v>
      </c>
      <c r="P580" s="564" t="s">
        <v>4321</v>
      </c>
    </row>
    <row r="581" spans="1:16" s="751" customFormat="1">
      <c r="A581" s="745"/>
      <c r="B581" s="745" t="s">
        <v>5931</v>
      </c>
      <c r="C581" s="745" t="s">
        <v>5217</v>
      </c>
      <c r="D581" s="752"/>
      <c r="E581" s="745"/>
      <c r="F581" s="745"/>
      <c r="G581" s="747">
        <f t="shared" si="51"/>
        <v>0</v>
      </c>
      <c r="H581" s="748"/>
      <c r="I581" s="749"/>
      <c r="J581" s="749"/>
      <c r="K581" s="749"/>
      <c r="L581" s="749"/>
      <c r="M581" s="749">
        <f t="shared" si="49"/>
        <v>0</v>
      </c>
      <c r="N581" s="749"/>
      <c r="O581" s="749">
        <f t="shared" si="50"/>
        <v>0</v>
      </c>
      <c r="P581" s="750"/>
    </row>
    <row r="582" spans="1:16">
      <c r="A582" s="183">
        <v>20180912</v>
      </c>
      <c r="B582" s="183" t="s">
        <v>5933</v>
      </c>
      <c r="C582" s="183" t="s">
        <v>5934</v>
      </c>
      <c r="D582" s="618"/>
      <c r="E582" s="183">
        <v>43200</v>
      </c>
      <c r="F582" s="183">
        <v>2160</v>
      </c>
      <c r="G582" s="563">
        <f t="shared" si="51"/>
        <v>45360</v>
      </c>
      <c r="H582" s="399" t="s">
        <v>9597</v>
      </c>
      <c r="I582" s="398" t="s">
        <v>8796</v>
      </c>
      <c r="L582" s="350">
        <v>45360</v>
      </c>
      <c r="M582" s="350">
        <f t="shared" si="49"/>
        <v>45360</v>
      </c>
      <c r="O582" s="351">
        <f t="shared" si="50"/>
        <v>0</v>
      </c>
      <c r="P582" s="564" t="s">
        <v>4553</v>
      </c>
    </row>
    <row r="583" spans="1:16">
      <c r="A583" s="183">
        <v>20180916</v>
      </c>
      <c r="B583" s="183" t="s">
        <v>5935</v>
      </c>
      <c r="C583" s="183" t="s">
        <v>4539</v>
      </c>
      <c r="D583" s="617"/>
      <c r="E583" s="183">
        <v>100800</v>
      </c>
      <c r="F583" s="183">
        <v>5040</v>
      </c>
      <c r="G583" s="563">
        <f t="shared" si="51"/>
        <v>105840</v>
      </c>
      <c r="H583" s="399" t="s">
        <v>4302</v>
      </c>
      <c r="I583" s="398" t="s">
        <v>10079</v>
      </c>
      <c r="J583" s="681">
        <v>105840</v>
      </c>
      <c r="M583" s="350">
        <f t="shared" si="49"/>
        <v>105840</v>
      </c>
      <c r="O583" s="351">
        <f t="shared" si="50"/>
        <v>0</v>
      </c>
      <c r="P583" s="564" t="s">
        <v>4543</v>
      </c>
    </row>
    <row r="584" spans="1:16">
      <c r="A584" s="183">
        <v>20180917</v>
      </c>
      <c r="B584" s="183" t="s">
        <v>5937</v>
      </c>
      <c r="C584" s="199" t="s">
        <v>456</v>
      </c>
      <c r="D584" s="617"/>
      <c r="E584" s="199">
        <v>12600</v>
      </c>
      <c r="F584" s="183">
        <v>630</v>
      </c>
      <c r="G584" s="563">
        <f t="shared" si="51"/>
        <v>13230</v>
      </c>
      <c r="H584" s="399" t="s">
        <v>4810</v>
      </c>
      <c r="I584" s="398" t="s">
        <v>9931</v>
      </c>
      <c r="L584" s="350">
        <v>13230</v>
      </c>
      <c r="M584" s="350">
        <f t="shared" si="49"/>
        <v>13230</v>
      </c>
      <c r="O584" s="351">
        <f t="shared" si="50"/>
        <v>0</v>
      </c>
      <c r="P584" s="564" t="s">
        <v>4323</v>
      </c>
    </row>
    <row r="585" spans="1:16">
      <c r="A585" s="183">
        <v>20180917</v>
      </c>
      <c r="B585" s="183" t="s">
        <v>5939</v>
      </c>
      <c r="C585" s="199" t="s">
        <v>4230</v>
      </c>
      <c r="D585" s="617"/>
      <c r="E585" s="199">
        <v>43200</v>
      </c>
      <c r="F585" s="183">
        <v>2160</v>
      </c>
      <c r="G585" s="563">
        <f t="shared" si="51"/>
        <v>45360</v>
      </c>
      <c r="H585" s="399" t="s">
        <v>4392</v>
      </c>
      <c r="I585" s="398" t="s">
        <v>10080</v>
      </c>
      <c r="J585" s="681">
        <v>45360</v>
      </c>
      <c r="M585" s="350">
        <f t="shared" si="49"/>
        <v>45360</v>
      </c>
      <c r="O585" s="351">
        <f t="shared" si="50"/>
        <v>0</v>
      </c>
      <c r="P585" s="564" t="s">
        <v>4394</v>
      </c>
    </row>
    <row r="586" spans="1:16">
      <c r="A586" s="183">
        <v>20180917</v>
      </c>
      <c r="B586" s="183" t="s">
        <v>5941</v>
      </c>
      <c r="C586" s="199" t="s">
        <v>4318</v>
      </c>
      <c r="D586" s="617"/>
      <c r="E586" s="199">
        <v>12857</v>
      </c>
      <c r="F586" s="183">
        <v>643</v>
      </c>
      <c r="G586" s="563">
        <f t="shared" si="51"/>
        <v>13500</v>
      </c>
      <c r="H586" s="399" t="s">
        <v>4811</v>
      </c>
      <c r="I586" s="398" t="s">
        <v>5449</v>
      </c>
      <c r="L586" s="350">
        <v>13485</v>
      </c>
      <c r="M586" s="350">
        <f t="shared" si="49"/>
        <v>13485</v>
      </c>
      <c r="N586" s="351">
        <v>15</v>
      </c>
      <c r="O586" s="351">
        <f t="shared" si="50"/>
        <v>0</v>
      </c>
      <c r="P586" s="564" t="s">
        <v>4319</v>
      </c>
    </row>
    <row r="587" spans="1:16">
      <c r="A587" s="183">
        <v>20181101</v>
      </c>
      <c r="B587" s="183" t="s">
        <v>5947</v>
      </c>
      <c r="C587" s="183" t="s">
        <v>4201</v>
      </c>
      <c r="D587" s="617"/>
      <c r="E587" s="183">
        <v>6000</v>
      </c>
      <c r="F587" s="183">
        <v>300</v>
      </c>
      <c r="G587" s="563">
        <v>6300</v>
      </c>
      <c r="H587" s="379"/>
      <c r="I587" s="350">
        <v>1483</v>
      </c>
      <c r="J587" s="350">
        <v>6300</v>
      </c>
      <c r="M587" s="350">
        <f t="shared" si="49"/>
        <v>6300</v>
      </c>
      <c r="O587" s="351">
        <f t="shared" si="50"/>
        <v>0</v>
      </c>
      <c r="P587" s="564" t="s">
        <v>4308</v>
      </c>
    </row>
    <row r="588" spans="1:16">
      <c r="A588" s="183">
        <v>20181101</v>
      </c>
      <c r="B588" s="183" t="s">
        <v>5948</v>
      </c>
      <c r="C588" s="199" t="s">
        <v>4000</v>
      </c>
      <c r="D588" s="617"/>
      <c r="E588" s="199">
        <v>6000</v>
      </c>
      <c r="F588" s="183">
        <v>300</v>
      </c>
      <c r="G588" s="563">
        <f t="shared" ref="G588:G604" si="52">E588+F588</f>
        <v>6300</v>
      </c>
      <c r="H588" s="379"/>
      <c r="I588" s="350">
        <v>1465</v>
      </c>
      <c r="J588" s="350">
        <v>6300</v>
      </c>
      <c r="M588" s="350">
        <f t="shared" si="49"/>
        <v>6300</v>
      </c>
      <c r="O588" s="351">
        <f t="shared" si="50"/>
        <v>0</v>
      </c>
      <c r="P588" s="564" t="s">
        <v>4310</v>
      </c>
    </row>
    <row r="589" spans="1:16">
      <c r="A589" s="183">
        <v>20181101</v>
      </c>
      <c r="B589" s="183" t="s">
        <v>5949</v>
      </c>
      <c r="C589" s="199" t="s">
        <v>4204</v>
      </c>
      <c r="D589" s="617"/>
      <c r="E589" s="199">
        <v>6000</v>
      </c>
      <c r="F589" s="183">
        <v>300</v>
      </c>
      <c r="G589" s="563">
        <f t="shared" si="52"/>
        <v>6300</v>
      </c>
      <c r="H589" s="379"/>
      <c r="I589" s="398" t="s">
        <v>9955</v>
      </c>
      <c r="L589" s="350">
        <v>6290</v>
      </c>
      <c r="M589" s="350">
        <f t="shared" si="49"/>
        <v>6290</v>
      </c>
      <c r="N589" s="351">
        <v>10</v>
      </c>
      <c r="O589" s="351">
        <f t="shared" si="50"/>
        <v>0</v>
      </c>
      <c r="P589" s="564" t="s">
        <v>4313</v>
      </c>
    </row>
    <row r="590" spans="1:16">
      <c r="A590" s="183">
        <v>20181101</v>
      </c>
      <c r="B590" s="183" t="s">
        <v>5950</v>
      </c>
      <c r="C590" s="199" t="s">
        <v>4201</v>
      </c>
      <c r="D590" s="617"/>
      <c r="E590" s="199">
        <v>108000</v>
      </c>
      <c r="F590" s="183">
        <v>5400</v>
      </c>
      <c r="G590" s="563">
        <f t="shared" si="52"/>
        <v>113400</v>
      </c>
      <c r="H590" s="379"/>
      <c r="I590" s="398" t="s">
        <v>9769</v>
      </c>
      <c r="L590" s="350">
        <v>113400</v>
      </c>
      <c r="M590" s="350">
        <f t="shared" si="49"/>
        <v>113400</v>
      </c>
      <c r="O590" s="351">
        <f t="shared" si="50"/>
        <v>0</v>
      </c>
      <c r="P590" s="564" t="s">
        <v>4308</v>
      </c>
    </row>
    <row r="591" spans="1:16">
      <c r="A591" s="183">
        <v>20181101</v>
      </c>
      <c r="B591" s="183" t="s">
        <v>5952</v>
      </c>
      <c r="C591" s="199" t="s">
        <v>4000</v>
      </c>
      <c r="D591" s="617"/>
      <c r="E591" s="199">
        <v>108000</v>
      </c>
      <c r="F591" s="183">
        <v>5400</v>
      </c>
      <c r="G591" s="563">
        <f t="shared" si="52"/>
        <v>113400</v>
      </c>
      <c r="H591" s="379"/>
      <c r="I591" s="350">
        <v>1465</v>
      </c>
      <c r="J591" s="350">
        <v>113400</v>
      </c>
      <c r="M591" s="350">
        <f t="shared" si="49"/>
        <v>113400</v>
      </c>
      <c r="O591" s="351">
        <f t="shared" si="50"/>
        <v>0</v>
      </c>
      <c r="P591" s="564" t="s">
        <v>4310</v>
      </c>
    </row>
    <row r="592" spans="1:16">
      <c r="A592" s="183">
        <v>20181101</v>
      </c>
      <c r="B592" s="183" t="s">
        <v>5953</v>
      </c>
      <c r="C592" s="199" t="s">
        <v>4204</v>
      </c>
      <c r="D592" s="617"/>
      <c r="E592" s="199">
        <v>72000</v>
      </c>
      <c r="F592" s="183">
        <v>3600</v>
      </c>
      <c r="G592" s="563">
        <f t="shared" si="52"/>
        <v>75600</v>
      </c>
      <c r="H592" s="379"/>
      <c r="I592" s="398" t="s">
        <v>9955</v>
      </c>
      <c r="L592" s="350">
        <v>75590</v>
      </c>
      <c r="M592" s="350">
        <f t="shared" si="49"/>
        <v>75590</v>
      </c>
      <c r="N592" s="351">
        <v>10</v>
      </c>
      <c r="O592" s="351">
        <f t="shared" si="50"/>
        <v>0</v>
      </c>
      <c r="P592" s="564" t="s">
        <v>4313</v>
      </c>
    </row>
    <row r="593" spans="1:16">
      <c r="A593" s="183">
        <v>20181101</v>
      </c>
      <c r="B593" s="183" t="s">
        <v>5954</v>
      </c>
      <c r="C593" s="199" t="s">
        <v>4201</v>
      </c>
      <c r="D593" s="617"/>
      <c r="E593" s="199">
        <v>19500</v>
      </c>
      <c r="F593" s="183">
        <v>975</v>
      </c>
      <c r="G593" s="563">
        <f t="shared" si="52"/>
        <v>20475</v>
      </c>
      <c r="H593" s="399" t="s">
        <v>4330</v>
      </c>
      <c r="I593" s="398">
        <v>1441</v>
      </c>
      <c r="J593" s="350">
        <v>20475</v>
      </c>
      <c r="M593" s="350">
        <f t="shared" si="49"/>
        <v>20475</v>
      </c>
      <c r="O593" s="351">
        <f t="shared" si="50"/>
        <v>0</v>
      </c>
      <c r="P593" s="564" t="s">
        <v>4308</v>
      </c>
    </row>
    <row r="594" spans="1:16">
      <c r="A594" s="183">
        <v>20181101</v>
      </c>
      <c r="B594" s="183" t="s">
        <v>5955</v>
      </c>
      <c r="C594" s="199" t="s">
        <v>4000</v>
      </c>
      <c r="D594" s="617"/>
      <c r="E594" s="199">
        <v>19500</v>
      </c>
      <c r="F594" s="183">
        <v>975</v>
      </c>
      <c r="G594" s="563">
        <f t="shared" si="52"/>
        <v>20475</v>
      </c>
      <c r="H594" s="399" t="s">
        <v>4330</v>
      </c>
      <c r="I594" s="398">
        <v>1457</v>
      </c>
      <c r="J594" s="350">
        <v>20475</v>
      </c>
      <c r="M594" s="350">
        <f t="shared" si="49"/>
        <v>20475</v>
      </c>
      <c r="O594" s="351">
        <f t="shared" si="50"/>
        <v>0</v>
      </c>
      <c r="P594" s="564" t="s">
        <v>4310</v>
      </c>
    </row>
    <row r="595" spans="1:16">
      <c r="A595" s="183">
        <v>20181101</v>
      </c>
      <c r="B595" s="183" t="s">
        <v>5956</v>
      </c>
      <c r="C595" s="199" t="s">
        <v>4000</v>
      </c>
      <c r="D595" s="617"/>
      <c r="E595" s="199">
        <v>15600</v>
      </c>
      <c r="F595" s="183">
        <v>780</v>
      </c>
      <c r="G595" s="563">
        <f t="shared" si="52"/>
        <v>16380</v>
      </c>
      <c r="H595" s="399" t="s">
        <v>4330</v>
      </c>
      <c r="I595" s="398">
        <v>1449</v>
      </c>
      <c r="J595" s="350">
        <v>16380</v>
      </c>
      <c r="M595" s="350">
        <f t="shared" si="49"/>
        <v>16380</v>
      </c>
      <c r="O595" s="351">
        <f t="shared" si="50"/>
        <v>0</v>
      </c>
      <c r="P595" s="564" t="s">
        <v>4310</v>
      </c>
    </row>
    <row r="596" spans="1:16">
      <c r="A596" s="183">
        <v>20181101</v>
      </c>
      <c r="B596" s="183" t="s">
        <v>5957</v>
      </c>
      <c r="C596" s="199" t="s">
        <v>4204</v>
      </c>
      <c r="D596" s="617"/>
      <c r="E596" s="199">
        <v>19500</v>
      </c>
      <c r="F596" s="183">
        <v>975</v>
      </c>
      <c r="G596" s="563">
        <f t="shared" si="52"/>
        <v>20475</v>
      </c>
      <c r="H596" s="399" t="s">
        <v>4813</v>
      </c>
      <c r="I596" s="350">
        <v>1320</v>
      </c>
      <c r="K596" s="350">
        <v>20475</v>
      </c>
      <c r="M596" s="350">
        <f t="shared" si="49"/>
        <v>20475</v>
      </c>
      <c r="O596" s="351">
        <f t="shared" si="50"/>
        <v>0</v>
      </c>
      <c r="P596" s="564" t="s">
        <v>4313</v>
      </c>
    </row>
    <row r="597" spans="1:16">
      <c r="A597" s="183">
        <v>20181101</v>
      </c>
      <c r="B597" s="183" t="s">
        <v>5958</v>
      </c>
      <c r="C597" s="199" t="s">
        <v>4056</v>
      </c>
      <c r="D597" s="617"/>
      <c r="E597" s="199">
        <v>19500</v>
      </c>
      <c r="F597" s="183">
        <v>975</v>
      </c>
      <c r="G597" s="563">
        <f t="shared" si="52"/>
        <v>20475</v>
      </c>
      <c r="H597" s="399" t="s">
        <v>4823</v>
      </c>
      <c r="I597" s="350">
        <v>1195</v>
      </c>
      <c r="K597" s="350">
        <v>20475</v>
      </c>
      <c r="M597" s="350">
        <f t="shared" si="49"/>
        <v>20475</v>
      </c>
      <c r="O597" s="351">
        <f t="shared" si="50"/>
        <v>0</v>
      </c>
      <c r="P597" s="564" t="s">
        <v>4331</v>
      </c>
    </row>
    <row r="598" spans="1:16">
      <c r="A598" s="183">
        <v>20181101</v>
      </c>
      <c r="B598" s="183" t="s">
        <v>5959</v>
      </c>
      <c r="C598" s="199" t="s">
        <v>5208</v>
      </c>
      <c r="D598" s="617"/>
      <c r="E598" s="199">
        <v>19500</v>
      </c>
      <c r="F598" s="183">
        <v>975</v>
      </c>
      <c r="G598" s="563">
        <f t="shared" si="52"/>
        <v>20475</v>
      </c>
      <c r="H598" s="399" t="s">
        <v>4812</v>
      </c>
      <c r="I598" s="350">
        <v>1276</v>
      </c>
      <c r="K598" s="350">
        <v>20475</v>
      </c>
      <c r="M598" s="350">
        <f t="shared" si="49"/>
        <v>20475</v>
      </c>
      <c r="O598" s="351">
        <f t="shared" si="50"/>
        <v>0</v>
      </c>
      <c r="P598" s="564" t="s">
        <v>5222</v>
      </c>
    </row>
    <row r="599" spans="1:16">
      <c r="A599" s="183">
        <v>20181101</v>
      </c>
      <c r="B599" s="183" t="s">
        <v>5960</v>
      </c>
      <c r="C599" s="199" t="s">
        <v>4315</v>
      </c>
      <c r="D599" s="617"/>
      <c r="E599" s="199">
        <v>15600</v>
      </c>
      <c r="F599" s="183">
        <v>780</v>
      </c>
      <c r="G599" s="563">
        <f t="shared" si="52"/>
        <v>16380</v>
      </c>
      <c r="H599" s="399" t="s">
        <v>14732</v>
      </c>
      <c r="I599" s="398" t="s">
        <v>14733</v>
      </c>
      <c r="L599" s="350">
        <v>16365</v>
      </c>
      <c r="M599" s="350">
        <f t="shared" ref="M599:M605" si="53">J599+K599+L599</f>
        <v>16365</v>
      </c>
      <c r="N599" s="351">
        <v>15</v>
      </c>
      <c r="O599" s="351">
        <f t="shared" ref="O599:O605" si="54">G599-M599-N599</f>
        <v>0</v>
      </c>
      <c r="P599" s="564" t="s">
        <v>4316</v>
      </c>
    </row>
    <row r="600" spans="1:16">
      <c r="A600" s="183">
        <v>20181101</v>
      </c>
      <c r="B600" s="183" t="s">
        <v>5962</v>
      </c>
      <c r="C600" s="199" t="s">
        <v>4339</v>
      </c>
      <c r="D600" s="617"/>
      <c r="E600" s="199">
        <v>13500</v>
      </c>
      <c r="F600" s="183">
        <v>675</v>
      </c>
      <c r="G600" s="563">
        <f t="shared" si="52"/>
        <v>14175</v>
      </c>
      <c r="H600" s="399" t="s">
        <v>4812</v>
      </c>
      <c r="I600" s="398" t="s">
        <v>9951</v>
      </c>
      <c r="L600" s="350">
        <v>14165</v>
      </c>
      <c r="M600" s="350">
        <f t="shared" si="53"/>
        <v>14165</v>
      </c>
      <c r="N600" s="351">
        <v>10</v>
      </c>
      <c r="O600" s="351">
        <f t="shared" si="54"/>
        <v>0</v>
      </c>
      <c r="P600" s="564" t="s">
        <v>4340</v>
      </c>
    </row>
    <row r="601" spans="1:16">
      <c r="A601" s="183">
        <v>20181212</v>
      </c>
      <c r="B601" s="183" t="s">
        <v>5964</v>
      </c>
      <c r="C601" s="199" t="s">
        <v>447</v>
      </c>
      <c r="D601" s="618"/>
      <c r="E601" s="199">
        <v>13500</v>
      </c>
      <c r="F601" s="183">
        <v>675</v>
      </c>
      <c r="G601" s="563">
        <f t="shared" si="52"/>
        <v>14175</v>
      </c>
      <c r="H601" s="399" t="s">
        <v>4763</v>
      </c>
      <c r="I601" s="398" t="s">
        <v>9937</v>
      </c>
      <c r="L601" s="350">
        <v>14165</v>
      </c>
      <c r="M601" s="350">
        <f t="shared" si="53"/>
        <v>14165</v>
      </c>
      <c r="N601" s="351">
        <v>10</v>
      </c>
      <c r="O601" s="351">
        <f t="shared" si="54"/>
        <v>0</v>
      </c>
      <c r="P601" s="564" t="s">
        <v>4321</v>
      </c>
    </row>
    <row r="602" spans="1:16">
      <c r="A602" s="183">
        <v>20181212</v>
      </c>
      <c r="B602" s="183" t="s">
        <v>5966</v>
      </c>
      <c r="C602" s="199" t="s">
        <v>4318</v>
      </c>
      <c r="D602" s="618"/>
      <c r="E602" s="199">
        <v>12857</v>
      </c>
      <c r="F602" s="183">
        <v>643</v>
      </c>
      <c r="G602" s="563">
        <f t="shared" si="52"/>
        <v>13500</v>
      </c>
      <c r="H602" s="399" t="s">
        <v>14734</v>
      </c>
      <c r="I602" s="398" t="s">
        <v>14735</v>
      </c>
      <c r="L602" s="350">
        <v>13485</v>
      </c>
      <c r="M602" s="350">
        <f t="shared" si="53"/>
        <v>13485</v>
      </c>
      <c r="N602" s="351">
        <v>15</v>
      </c>
      <c r="O602" s="351">
        <f t="shared" si="54"/>
        <v>0</v>
      </c>
      <c r="P602" s="564" t="s">
        <v>4319</v>
      </c>
    </row>
    <row r="603" spans="1:16">
      <c r="A603" s="183">
        <v>20181212</v>
      </c>
      <c r="B603" s="183" t="s">
        <v>5968</v>
      </c>
      <c r="C603" s="199" t="s">
        <v>456</v>
      </c>
      <c r="D603" s="618"/>
      <c r="E603" s="199">
        <v>12600</v>
      </c>
      <c r="F603" s="183">
        <v>630</v>
      </c>
      <c r="G603" s="563">
        <f t="shared" si="52"/>
        <v>13230</v>
      </c>
      <c r="H603" s="399" t="s">
        <v>14736</v>
      </c>
      <c r="I603" s="398" t="s">
        <v>14748</v>
      </c>
      <c r="L603" s="350">
        <v>13230</v>
      </c>
      <c r="M603" s="350">
        <f t="shared" si="53"/>
        <v>13230</v>
      </c>
      <c r="O603" s="351">
        <f t="shared" si="54"/>
        <v>0</v>
      </c>
      <c r="P603" s="564" t="s">
        <v>4323</v>
      </c>
    </row>
    <row r="604" spans="1:16">
      <c r="A604" s="183">
        <v>20181224</v>
      </c>
      <c r="B604" s="183" t="s">
        <v>5970</v>
      </c>
      <c r="C604" s="199" t="s">
        <v>5184</v>
      </c>
      <c r="D604" s="618"/>
      <c r="E604" s="199">
        <v>108000</v>
      </c>
      <c r="F604" s="183">
        <v>5400</v>
      </c>
      <c r="G604" s="563">
        <f t="shared" si="52"/>
        <v>113400</v>
      </c>
      <c r="H604" s="399" t="s">
        <v>14749</v>
      </c>
      <c r="I604" s="398" t="s">
        <v>14750</v>
      </c>
      <c r="J604" s="350">
        <v>113400</v>
      </c>
      <c r="M604" s="350">
        <f t="shared" si="53"/>
        <v>113400</v>
      </c>
      <c r="O604" s="351">
        <f t="shared" si="54"/>
        <v>0</v>
      </c>
      <c r="P604" s="564" t="s">
        <v>5185</v>
      </c>
    </row>
    <row r="605" spans="1:16">
      <c r="A605" s="563">
        <v>20181226</v>
      </c>
      <c r="B605" s="183" t="s">
        <v>5972</v>
      </c>
      <c r="C605" s="253" t="s">
        <v>5208</v>
      </c>
      <c r="D605" s="563"/>
      <c r="E605" s="563">
        <v>158000</v>
      </c>
      <c r="F605" s="563">
        <v>7900</v>
      </c>
      <c r="G605" s="563">
        <f>E605+F605</f>
        <v>165900</v>
      </c>
      <c r="H605" s="379"/>
      <c r="I605" s="350">
        <v>1482</v>
      </c>
      <c r="J605" s="350">
        <v>165900</v>
      </c>
      <c r="M605" s="350">
        <f t="shared" si="53"/>
        <v>165900</v>
      </c>
      <c r="O605" s="351">
        <f t="shared" si="54"/>
        <v>0</v>
      </c>
      <c r="P605" s="564" t="s">
        <v>5222</v>
      </c>
    </row>
    <row r="608" spans="1:16" s="347" customFormat="1">
      <c r="A608" s="401" t="s">
        <v>10592</v>
      </c>
      <c r="D608" s="348" t="s">
        <v>2377</v>
      </c>
      <c r="E608" s="376">
        <f>SUM(E609:E679)</f>
        <v>2609957</v>
      </c>
      <c r="F608" s="376">
        <f>SUM(F609:F679)</f>
        <v>130498</v>
      </c>
      <c r="G608" s="376">
        <f>SUM(G609:G679)</f>
        <v>2740455</v>
      </c>
      <c r="H608" s="349"/>
      <c r="I608" s="383"/>
      <c r="J608" s="376">
        <f t="shared" ref="J608:O608" si="55">SUM(J609:J679)</f>
        <v>1281675</v>
      </c>
      <c r="K608" s="376">
        <f t="shared" si="55"/>
        <v>290745</v>
      </c>
      <c r="L608" s="376">
        <f t="shared" si="55"/>
        <v>747315</v>
      </c>
      <c r="M608" s="376">
        <f t="shared" si="55"/>
        <v>2319735</v>
      </c>
      <c r="N608" s="376">
        <f t="shared" si="55"/>
        <v>195</v>
      </c>
      <c r="O608" s="376">
        <f t="shared" si="55"/>
        <v>420525</v>
      </c>
      <c r="P608" s="391"/>
    </row>
    <row r="609" spans="1:18" s="563" customFormat="1">
      <c r="A609" s="183">
        <v>20190116</v>
      </c>
      <c r="B609" s="183" t="s">
        <v>10602</v>
      </c>
      <c r="C609" s="183" t="s">
        <v>10603</v>
      </c>
      <c r="D609" s="617"/>
      <c r="E609" s="183">
        <v>86400</v>
      </c>
      <c r="F609" s="183">
        <v>4320</v>
      </c>
      <c r="G609" s="563">
        <f t="shared" ref="G609:G622" si="56">E609+F609</f>
        <v>90720</v>
      </c>
      <c r="H609" s="399" t="s">
        <v>14751</v>
      </c>
      <c r="I609" s="398" t="s">
        <v>14752</v>
      </c>
      <c r="J609" s="350">
        <v>90720</v>
      </c>
      <c r="K609" s="350"/>
      <c r="L609" s="350"/>
      <c r="M609" s="350">
        <f>J609+K609+L609</f>
        <v>90720</v>
      </c>
      <c r="N609" s="351"/>
      <c r="O609" s="351">
        <f>G609-M609-N609</f>
        <v>0</v>
      </c>
      <c r="P609" s="564" t="s">
        <v>10604</v>
      </c>
      <c r="R609" s="253"/>
    </row>
    <row r="610" spans="1:18" s="563" customFormat="1">
      <c r="A610" s="183">
        <v>20190212</v>
      </c>
      <c r="B610" s="183" t="s">
        <v>10605</v>
      </c>
      <c r="C610" s="199" t="s">
        <v>10606</v>
      </c>
      <c r="D610" s="617"/>
      <c r="E610" s="199">
        <v>60000</v>
      </c>
      <c r="F610" s="183">
        <v>3000</v>
      </c>
      <c r="G610" s="563">
        <f t="shared" si="56"/>
        <v>63000</v>
      </c>
      <c r="H610" s="399" t="s">
        <v>14753</v>
      </c>
      <c r="I610" s="398" t="s">
        <v>14754</v>
      </c>
      <c r="J610" s="350"/>
      <c r="K610" s="350"/>
      <c r="L610" s="350">
        <v>63000</v>
      </c>
      <c r="M610" s="350">
        <f t="shared" ref="M610:M673" si="57">J610+K610+L610</f>
        <v>63000</v>
      </c>
      <c r="N610" s="351"/>
      <c r="O610" s="351">
        <f t="shared" ref="O610:O673" si="58">G610-M610-N610</f>
        <v>0</v>
      </c>
      <c r="P610" s="564" t="s">
        <v>10607</v>
      </c>
    </row>
    <row r="611" spans="1:18" s="563" customFormat="1">
      <c r="A611" s="183">
        <v>20190213</v>
      </c>
      <c r="B611" s="183" t="s">
        <v>10608</v>
      </c>
      <c r="C611" s="199" t="s">
        <v>10609</v>
      </c>
      <c r="D611" s="617"/>
      <c r="E611" s="199">
        <v>19500</v>
      </c>
      <c r="F611" s="183">
        <v>975</v>
      </c>
      <c r="G611" s="563">
        <f t="shared" si="56"/>
        <v>20475</v>
      </c>
      <c r="H611" s="399" t="s">
        <v>14755</v>
      </c>
      <c r="I611" s="398">
        <v>1442</v>
      </c>
      <c r="J611" s="350"/>
      <c r="K611" s="350">
        <v>20475</v>
      </c>
      <c r="L611" s="350"/>
      <c r="M611" s="350">
        <f t="shared" si="57"/>
        <v>20475</v>
      </c>
      <c r="N611" s="351"/>
      <c r="O611" s="351">
        <f t="shared" si="58"/>
        <v>0</v>
      </c>
      <c r="P611" s="564" t="s">
        <v>10610</v>
      </c>
    </row>
    <row r="612" spans="1:18" s="563" customFormat="1">
      <c r="A612" s="183">
        <v>20190213</v>
      </c>
      <c r="B612" s="183" t="s">
        <v>10611</v>
      </c>
      <c r="C612" s="199" t="s">
        <v>10612</v>
      </c>
      <c r="D612" s="617"/>
      <c r="E612" s="199">
        <v>19500</v>
      </c>
      <c r="F612" s="183">
        <v>975</v>
      </c>
      <c r="G612" s="563">
        <f t="shared" si="56"/>
        <v>20475</v>
      </c>
      <c r="H612" s="399" t="s">
        <v>14755</v>
      </c>
      <c r="I612" s="398">
        <v>1458</v>
      </c>
      <c r="J612" s="350"/>
      <c r="K612" s="350">
        <v>20475</v>
      </c>
      <c r="L612" s="350"/>
      <c r="M612" s="350">
        <f t="shared" si="57"/>
        <v>20475</v>
      </c>
      <c r="N612" s="351"/>
      <c r="O612" s="351">
        <f t="shared" si="58"/>
        <v>0</v>
      </c>
      <c r="P612" s="564" t="s">
        <v>10613</v>
      </c>
    </row>
    <row r="613" spans="1:18" s="563" customFormat="1">
      <c r="A613" s="183">
        <v>20190213</v>
      </c>
      <c r="B613" s="183" t="s">
        <v>10614</v>
      </c>
      <c r="C613" s="199" t="s">
        <v>10615</v>
      </c>
      <c r="D613" s="617"/>
      <c r="E613" s="199">
        <v>15600</v>
      </c>
      <c r="F613" s="183">
        <v>780</v>
      </c>
      <c r="G613" s="563">
        <f t="shared" si="56"/>
        <v>16380</v>
      </c>
      <c r="H613" s="399" t="s">
        <v>14755</v>
      </c>
      <c r="I613" s="398">
        <v>1450</v>
      </c>
      <c r="J613" s="350"/>
      <c r="K613" s="350">
        <v>16380</v>
      </c>
      <c r="L613" s="350"/>
      <c r="M613" s="350">
        <f t="shared" si="57"/>
        <v>16380</v>
      </c>
      <c r="N613" s="351"/>
      <c r="O613" s="351">
        <f t="shared" si="58"/>
        <v>0</v>
      </c>
      <c r="P613" s="564" t="s">
        <v>10616</v>
      </c>
    </row>
    <row r="614" spans="1:18" s="563" customFormat="1">
      <c r="A614" s="183">
        <v>20190213</v>
      </c>
      <c r="B614" s="183" t="s">
        <v>10617</v>
      </c>
      <c r="C614" s="199" t="s">
        <v>10618</v>
      </c>
      <c r="D614" s="617"/>
      <c r="E614" s="199">
        <v>19500</v>
      </c>
      <c r="F614" s="183">
        <v>975</v>
      </c>
      <c r="G614" s="563">
        <f t="shared" si="56"/>
        <v>20475</v>
      </c>
      <c r="H614" s="399" t="s">
        <v>14732</v>
      </c>
      <c r="I614" s="398">
        <v>1321</v>
      </c>
      <c r="J614" s="350"/>
      <c r="K614" s="350">
        <v>20475</v>
      </c>
      <c r="L614" s="350"/>
      <c r="M614" s="350">
        <f t="shared" si="57"/>
        <v>20475</v>
      </c>
      <c r="N614" s="351"/>
      <c r="O614" s="351">
        <f t="shared" si="58"/>
        <v>0</v>
      </c>
      <c r="P614" s="564" t="s">
        <v>10619</v>
      </c>
    </row>
    <row r="615" spans="1:18" s="563" customFormat="1">
      <c r="A615" s="183">
        <v>20190213</v>
      </c>
      <c r="B615" s="183" t="s">
        <v>10620</v>
      </c>
      <c r="C615" s="199" t="s">
        <v>5208</v>
      </c>
      <c r="D615" s="617"/>
      <c r="E615" s="199">
        <v>19500</v>
      </c>
      <c r="F615" s="183">
        <v>975</v>
      </c>
      <c r="G615" s="563">
        <f t="shared" si="56"/>
        <v>20475</v>
      </c>
      <c r="H615" s="399" t="s">
        <v>14756</v>
      </c>
      <c r="I615" s="398">
        <v>1277</v>
      </c>
      <c r="J615" s="350"/>
      <c r="K615" s="350">
        <v>20475</v>
      </c>
      <c r="L615" s="350"/>
      <c r="M615" s="350">
        <f t="shared" si="57"/>
        <v>20475</v>
      </c>
      <c r="N615" s="351"/>
      <c r="O615" s="351">
        <f t="shared" si="58"/>
        <v>0</v>
      </c>
      <c r="P615" s="564" t="s">
        <v>10621</v>
      </c>
    </row>
    <row r="616" spans="1:18" s="563" customFormat="1">
      <c r="A616" s="183">
        <v>20190213</v>
      </c>
      <c r="B616" s="183" t="s">
        <v>10622</v>
      </c>
      <c r="C616" s="199" t="s">
        <v>10623</v>
      </c>
      <c r="D616" s="617"/>
      <c r="E616" s="199">
        <v>15600</v>
      </c>
      <c r="F616" s="183">
        <v>780</v>
      </c>
      <c r="G616" s="563">
        <f t="shared" si="56"/>
        <v>16380</v>
      </c>
      <c r="H616" s="399" t="s">
        <v>14757</v>
      </c>
      <c r="I616" s="398" t="s">
        <v>14758</v>
      </c>
      <c r="J616" s="350"/>
      <c r="K616" s="350"/>
      <c r="L616" s="350">
        <v>16365</v>
      </c>
      <c r="M616" s="350">
        <f t="shared" si="57"/>
        <v>16365</v>
      </c>
      <c r="N616" s="351">
        <v>15</v>
      </c>
      <c r="O616" s="351">
        <f t="shared" si="58"/>
        <v>0</v>
      </c>
      <c r="P616" s="564" t="s">
        <v>10624</v>
      </c>
    </row>
    <row r="617" spans="1:18" s="563" customFormat="1">
      <c r="A617" s="183">
        <v>20190213</v>
      </c>
      <c r="B617" s="183" t="s">
        <v>10625</v>
      </c>
      <c r="C617" s="199" t="s">
        <v>4339</v>
      </c>
      <c r="D617" s="617"/>
      <c r="E617" s="199">
        <v>13500</v>
      </c>
      <c r="F617" s="183">
        <v>675</v>
      </c>
      <c r="G617" s="563">
        <f t="shared" si="56"/>
        <v>14175</v>
      </c>
      <c r="H617" s="399" t="s">
        <v>14756</v>
      </c>
      <c r="I617" s="398" t="s">
        <v>14759</v>
      </c>
      <c r="J617" s="350"/>
      <c r="K617" s="350"/>
      <c r="L617" s="350">
        <v>14165</v>
      </c>
      <c r="M617" s="350">
        <f t="shared" si="57"/>
        <v>14165</v>
      </c>
      <c r="N617" s="351">
        <v>10</v>
      </c>
      <c r="O617" s="351">
        <f t="shared" si="58"/>
        <v>0</v>
      </c>
      <c r="P617" s="564" t="s">
        <v>10626</v>
      </c>
    </row>
    <row r="618" spans="1:18" s="563" customFormat="1">
      <c r="A618" s="183">
        <v>20190214</v>
      </c>
      <c r="B618" s="183" t="s">
        <v>10627</v>
      </c>
      <c r="C618" s="199" t="s">
        <v>4271</v>
      </c>
      <c r="D618" s="617"/>
      <c r="E618" s="199">
        <v>19500</v>
      </c>
      <c r="F618" s="183">
        <v>975</v>
      </c>
      <c r="G618" s="563">
        <f t="shared" si="56"/>
        <v>20475</v>
      </c>
      <c r="H618" s="399" t="s">
        <v>14760</v>
      </c>
      <c r="I618" s="398">
        <v>1484</v>
      </c>
      <c r="J618" s="350">
        <v>20475</v>
      </c>
      <c r="K618" s="350"/>
      <c r="L618" s="350"/>
      <c r="M618" s="350">
        <f t="shared" si="57"/>
        <v>20475</v>
      </c>
      <c r="N618" s="351"/>
      <c r="O618" s="351">
        <f t="shared" si="58"/>
        <v>0</v>
      </c>
      <c r="P618" s="564" t="s">
        <v>4396</v>
      </c>
    </row>
    <row r="619" spans="1:18" s="563" customFormat="1">
      <c r="A619" s="183">
        <v>20190214</v>
      </c>
      <c r="B619" s="183" t="s">
        <v>10628</v>
      </c>
      <c r="C619" s="199" t="s">
        <v>4271</v>
      </c>
      <c r="D619" s="617"/>
      <c r="E619" s="199">
        <v>19500</v>
      </c>
      <c r="F619" s="183">
        <v>975</v>
      </c>
      <c r="G619" s="563">
        <f>E619+F619</f>
        <v>20475</v>
      </c>
      <c r="H619" s="399" t="s">
        <v>14755</v>
      </c>
      <c r="I619" s="398">
        <v>1485</v>
      </c>
      <c r="J619" s="350">
        <v>20475</v>
      </c>
      <c r="K619" s="350"/>
      <c r="L619" s="350"/>
      <c r="M619" s="350">
        <f t="shared" si="57"/>
        <v>20475</v>
      </c>
      <c r="N619" s="351"/>
      <c r="O619" s="351">
        <f t="shared" si="58"/>
        <v>0</v>
      </c>
      <c r="P619" s="564" t="s">
        <v>4396</v>
      </c>
    </row>
    <row r="620" spans="1:18" s="563" customFormat="1">
      <c r="A620" s="183">
        <v>20190214</v>
      </c>
      <c r="B620" s="183" t="s">
        <v>10629</v>
      </c>
      <c r="C620" s="199" t="s">
        <v>10630</v>
      </c>
      <c r="D620" s="617"/>
      <c r="E620" s="199">
        <v>19500</v>
      </c>
      <c r="F620" s="183">
        <v>975</v>
      </c>
      <c r="G620" s="563">
        <f>E620+F620</f>
        <v>20475</v>
      </c>
      <c r="H620" s="399" t="s">
        <v>14761</v>
      </c>
      <c r="I620" s="398">
        <v>1486</v>
      </c>
      <c r="J620" s="350">
        <v>20475</v>
      </c>
      <c r="K620" s="350"/>
      <c r="L620" s="350"/>
      <c r="M620" s="350">
        <f t="shared" si="57"/>
        <v>20475</v>
      </c>
      <c r="N620" s="351"/>
      <c r="O620" s="351">
        <f t="shared" si="58"/>
        <v>0</v>
      </c>
      <c r="P620" s="564" t="s">
        <v>10631</v>
      </c>
      <c r="R620" s="253"/>
    </row>
    <row r="621" spans="1:18" s="563" customFormat="1">
      <c r="A621" s="183">
        <v>20190214</v>
      </c>
      <c r="B621" s="183" t="s">
        <v>10632</v>
      </c>
      <c r="C621" s="199" t="s">
        <v>10630</v>
      </c>
      <c r="D621" s="617"/>
      <c r="E621" s="199">
        <v>19500</v>
      </c>
      <c r="F621" s="183">
        <v>975</v>
      </c>
      <c r="G621" s="563">
        <f>E621+F621</f>
        <v>20475</v>
      </c>
      <c r="H621" s="399" t="s">
        <v>14762</v>
      </c>
      <c r="I621" s="398">
        <v>1487</v>
      </c>
      <c r="J621" s="350">
        <v>20475</v>
      </c>
      <c r="K621" s="350"/>
      <c r="L621" s="350"/>
      <c r="M621" s="350">
        <f t="shared" si="57"/>
        <v>20475</v>
      </c>
      <c r="N621" s="351"/>
      <c r="O621" s="351">
        <f t="shared" si="58"/>
        <v>0</v>
      </c>
      <c r="P621" s="564" t="s">
        <v>4396</v>
      </c>
    </row>
    <row r="622" spans="1:18" s="563" customFormat="1">
      <c r="A622" s="183">
        <v>20190219</v>
      </c>
      <c r="B622" s="183" t="s">
        <v>10633</v>
      </c>
      <c r="C622" s="199" t="s">
        <v>10634</v>
      </c>
      <c r="D622" s="617"/>
      <c r="E622" s="199">
        <v>13500</v>
      </c>
      <c r="F622" s="183">
        <v>675</v>
      </c>
      <c r="G622" s="563">
        <f t="shared" si="56"/>
        <v>14175</v>
      </c>
      <c r="H622" s="399" t="s">
        <v>14760</v>
      </c>
      <c r="I622" s="398" t="s">
        <v>14763</v>
      </c>
      <c r="J622" s="350"/>
      <c r="K622" s="350"/>
      <c r="L622" s="350">
        <v>14165</v>
      </c>
      <c r="M622" s="350">
        <f t="shared" si="57"/>
        <v>14165</v>
      </c>
      <c r="N622" s="351">
        <v>10</v>
      </c>
      <c r="O622" s="351">
        <f t="shared" si="58"/>
        <v>0</v>
      </c>
      <c r="P622" s="564" t="s">
        <v>4340</v>
      </c>
    </row>
    <row r="623" spans="1:18" s="563" customFormat="1">
      <c r="A623" s="183">
        <v>20190304</v>
      </c>
      <c r="B623" s="183" t="s">
        <v>10635</v>
      </c>
      <c r="C623" s="183" t="s">
        <v>4537</v>
      </c>
      <c r="D623" s="617"/>
      <c r="E623" s="183">
        <v>96000</v>
      </c>
      <c r="F623" s="183">
        <v>4800</v>
      </c>
      <c r="G623" s="563">
        <f>E623+F623</f>
        <v>100800</v>
      </c>
      <c r="H623" s="399" t="s">
        <v>14764</v>
      </c>
      <c r="I623" s="398" t="s">
        <v>14765</v>
      </c>
      <c r="J623" s="350">
        <v>100800</v>
      </c>
      <c r="K623" s="350"/>
      <c r="L623" s="350"/>
      <c r="M623" s="350">
        <f t="shared" si="57"/>
        <v>100800</v>
      </c>
      <c r="N623" s="351"/>
      <c r="O623" s="351">
        <f t="shared" si="58"/>
        <v>0</v>
      </c>
      <c r="P623" s="564" t="s">
        <v>10636</v>
      </c>
      <c r="R623" s="253"/>
    </row>
    <row r="624" spans="1:18" s="563" customFormat="1">
      <c r="A624" s="183">
        <v>20190305</v>
      </c>
      <c r="B624" s="183" t="s">
        <v>10637</v>
      </c>
      <c r="C624" s="199" t="s">
        <v>10638</v>
      </c>
      <c r="D624" s="617"/>
      <c r="E624" s="199">
        <v>13500</v>
      </c>
      <c r="F624" s="183">
        <v>675</v>
      </c>
      <c r="G624" s="563">
        <f>E624+F624</f>
        <v>14175</v>
      </c>
      <c r="H624" s="399" t="s">
        <v>14761</v>
      </c>
      <c r="I624" s="398" t="s">
        <v>14766</v>
      </c>
      <c r="J624" s="350"/>
      <c r="K624" s="350"/>
      <c r="L624" s="350">
        <v>14165</v>
      </c>
      <c r="M624" s="350">
        <f t="shared" si="57"/>
        <v>14165</v>
      </c>
      <c r="N624" s="351">
        <v>10</v>
      </c>
      <c r="O624" s="351">
        <f t="shared" si="58"/>
        <v>0</v>
      </c>
      <c r="P624" s="564" t="s">
        <v>10639</v>
      </c>
    </row>
    <row r="625" spans="1:18" s="563" customFormat="1">
      <c r="A625" s="183">
        <v>20190305</v>
      </c>
      <c r="B625" s="183" t="s">
        <v>10640</v>
      </c>
      <c r="C625" s="199" t="s">
        <v>10641</v>
      </c>
      <c r="D625" s="617"/>
      <c r="E625" s="199">
        <v>12600</v>
      </c>
      <c r="F625" s="183">
        <v>630</v>
      </c>
      <c r="G625" s="563">
        <f>E625+F625</f>
        <v>13230</v>
      </c>
      <c r="H625" s="399" t="s">
        <v>14734</v>
      </c>
      <c r="I625" s="398" t="s">
        <v>14741</v>
      </c>
      <c r="J625" s="350"/>
      <c r="K625" s="350"/>
      <c r="L625" s="350">
        <v>13230</v>
      </c>
      <c r="M625" s="350">
        <f t="shared" si="57"/>
        <v>13230</v>
      </c>
      <c r="N625" s="351"/>
      <c r="O625" s="351">
        <f t="shared" si="58"/>
        <v>0</v>
      </c>
      <c r="P625" s="564" t="s">
        <v>4323</v>
      </c>
    </row>
    <row r="626" spans="1:18" s="563" customFormat="1">
      <c r="A626" s="183">
        <v>20190305</v>
      </c>
      <c r="B626" s="183" t="s">
        <v>10642</v>
      </c>
      <c r="C626" s="199" t="s">
        <v>4318</v>
      </c>
      <c r="D626" s="617"/>
      <c r="E626" s="199">
        <v>12857</v>
      </c>
      <c r="F626" s="183">
        <v>643</v>
      </c>
      <c r="G626" s="563">
        <f>E626+F626</f>
        <v>13500</v>
      </c>
      <c r="H626" s="399" t="s">
        <v>14767</v>
      </c>
      <c r="I626" s="398" t="s">
        <v>14768</v>
      </c>
      <c r="J626" s="350"/>
      <c r="K626" s="350"/>
      <c r="L626" s="350">
        <v>13485</v>
      </c>
      <c r="M626" s="350">
        <f t="shared" si="57"/>
        <v>13485</v>
      </c>
      <c r="N626" s="351">
        <v>15</v>
      </c>
      <c r="O626" s="351">
        <f t="shared" si="58"/>
        <v>0</v>
      </c>
      <c r="P626" s="564" t="s">
        <v>4319</v>
      </c>
    </row>
    <row r="627" spans="1:18" s="563" customFormat="1">
      <c r="A627" s="183">
        <v>20190501</v>
      </c>
      <c r="B627" s="183" t="s">
        <v>10643</v>
      </c>
      <c r="C627" s="183" t="s">
        <v>10644</v>
      </c>
      <c r="D627" s="617"/>
      <c r="E627" s="183">
        <v>19500</v>
      </c>
      <c r="F627" s="183">
        <v>975</v>
      </c>
      <c r="G627" s="563">
        <f t="shared" ref="G627:G679" si="59">E627+F627</f>
        <v>20475</v>
      </c>
      <c r="H627" s="399" t="s">
        <v>14760</v>
      </c>
      <c r="I627" s="398">
        <v>1520</v>
      </c>
      <c r="J627" s="350">
        <v>20475</v>
      </c>
      <c r="K627" s="350"/>
      <c r="L627" s="350"/>
      <c r="M627" s="350">
        <f t="shared" si="57"/>
        <v>20475</v>
      </c>
      <c r="N627" s="351"/>
      <c r="O627" s="351">
        <f t="shared" si="58"/>
        <v>0</v>
      </c>
      <c r="P627" s="564" t="s">
        <v>10645</v>
      </c>
      <c r="R627" s="253"/>
    </row>
    <row r="628" spans="1:18" s="563" customFormat="1">
      <c r="A628" s="183">
        <v>20190507</v>
      </c>
      <c r="B628" s="183" t="s">
        <v>10646</v>
      </c>
      <c r="C628" s="199" t="s">
        <v>10647</v>
      </c>
      <c r="D628" s="617"/>
      <c r="E628" s="199">
        <v>19500</v>
      </c>
      <c r="F628" s="183">
        <v>975</v>
      </c>
      <c r="G628" s="563">
        <f t="shared" si="59"/>
        <v>20475</v>
      </c>
      <c r="H628" s="399" t="s">
        <v>14761</v>
      </c>
      <c r="I628" s="398">
        <v>1443</v>
      </c>
      <c r="J628" s="350"/>
      <c r="K628" s="350">
        <v>20475</v>
      </c>
      <c r="L628" s="350"/>
      <c r="M628" s="350">
        <f t="shared" si="57"/>
        <v>20475</v>
      </c>
      <c r="N628" s="351"/>
      <c r="O628" s="351">
        <f t="shared" si="58"/>
        <v>0</v>
      </c>
      <c r="P628" s="564" t="s">
        <v>10648</v>
      </c>
    </row>
    <row r="629" spans="1:18" s="563" customFormat="1">
      <c r="A629" s="183">
        <v>20190507</v>
      </c>
      <c r="B629" s="183" t="s">
        <v>10649</v>
      </c>
      <c r="C629" s="199" t="s">
        <v>10650</v>
      </c>
      <c r="D629" s="617"/>
      <c r="E629" s="199">
        <v>19500</v>
      </c>
      <c r="F629" s="183">
        <v>975</v>
      </c>
      <c r="G629" s="563">
        <f t="shared" si="59"/>
        <v>20475</v>
      </c>
      <c r="H629" s="399" t="s">
        <v>14769</v>
      </c>
      <c r="I629" s="398">
        <v>1459</v>
      </c>
      <c r="J629" s="350"/>
      <c r="K629" s="350">
        <v>20475</v>
      </c>
      <c r="L629" s="350"/>
      <c r="M629" s="350">
        <f t="shared" si="57"/>
        <v>20475</v>
      </c>
      <c r="N629" s="351"/>
      <c r="O629" s="351">
        <f t="shared" si="58"/>
        <v>0</v>
      </c>
      <c r="P629" s="564" t="s">
        <v>10651</v>
      </c>
    </row>
    <row r="630" spans="1:18" s="563" customFormat="1">
      <c r="A630" s="183">
        <v>20190507</v>
      </c>
      <c r="B630" s="183" t="s">
        <v>10652</v>
      </c>
      <c r="C630" s="199" t="s">
        <v>10650</v>
      </c>
      <c r="D630" s="617"/>
      <c r="E630" s="199">
        <v>15600</v>
      </c>
      <c r="F630" s="183">
        <v>780</v>
      </c>
      <c r="G630" s="563">
        <f t="shared" si="59"/>
        <v>16380</v>
      </c>
      <c r="H630" s="399" t="s">
        <v>14770</v>
      </c>
      <c r="I630" s="398">
        <v>1451</v>
      </c>
      <c r="J630" s="350"/>
      <c r="K630" s="350">
        <v>16380</v>
      </c>
      <c r="L630" s="350"/>
      <c r="M630" s="350">
        <f t="shared" si="57"/>
        <v>16380</v>
      </c>
      <c r="N630" s="351"/>
      <c r="O630" s="351">
        <f t="shared" si="58"/>
        <v>0</v>
      </c>
      <c r="P630" s="564" t="s">
        <v>10651</v>
      </c>
    </row>
    <row r="631" spans="1:18" s="563" customFormat="1">
      <c r="A631" s="183">
        <v>20190507</v>
      </c>
      <c r="B631" s="183" t="s">
        <v>10653</v>
      </c>
      <c r="C631" s="199" t="s">
        <v>10654</v>
      </c>
      <c r="D631" s="617"/>
      <c r="E631" s="199">
        <v>19500</v>
      </c>
      <c r="F631" s="183">
        <v>975</v>
      </c>
      <c r="G631" s="563">
        <f t="shared" si="59"/>
        <v>20475</v>
      </c>
      <c r="H631" s="399" t="s">
        <v>14756</v>
      </c>
      <c r="I631" s="398">
        <v>1322</v>
      </c>
      <c r="J631" s="350"/>
      <c r="K631" s="350">
        <v>20475</v>
      </c>
      <c r="L631" s="350"/>
      <c r="M631" s="350">
        <f t="shared" si="57"/>
        <v>20475</v>
      </c>
      <c r="N631" s="351"/>
      <c r="O631" s="351">
        <f t="shared" si="58"/>
        <v>0</v>
      </c>
      <c r="P631" s="564" t="s">
        <v>10655</v>
      </c>
    </row>
    <row r="632" spans="1:18" s="563" customFormat="1">
      <c r="A632" s="183">
        <v>20190507</v>
      </c>
      <c r="B632" s="183" t="s">
        <v>10656</v>
      </c>
      <c r="C632" s="199" t="s">
        <v>10657</v>
      </c>
      <c r="D632" s="617"/>
      <c r="E632" s="199">
        <v>15600</v>
      </c>
      <c r="F632" s="183">
        <v>780</v>
      </c>
      <c r="G632" s="563">
        <f t="shared" si="59"/>
        <v>16380</v>
      </c>
      <c r="H632" s="399" t="s">
        <v>14771</v>
      </c>
      <c r="I632" s="398" t="s">
        <v>14772</v>
      </c>
      <c r="J632" s="350"/>
      <c r="K632" s="350"/>
      <c r="L632" s="398">
        <v>16350</v>
      </c>
      <c r="M632" s="350">
        <f t="shared" si="57"/>
        <v>16350</v>
      </c>
      <c r="N632" s="351">
        <v>30</v>
      </c>
      <c r="O632" s="351">
        <f t="shared" si="58"/>
        <v>0</v>
      </c>
      <c r="P632" s="564" t="s">
        <v>4316</v>
      </c>
    </row>
    <row r="633" spans="1:18" s="563" customFormat="1">
      <c r="A633" s="183">
        <v>20190515</v>
      </c>
      <c r="B633" s="183" t="s">
        <v>10658</v>
      </c>
      <c r="C633" s="199" t="s">
        <v>5189</v>
      </c>
      <c r="D633" s="617"/>
      <c r="E633" s="199">
        <v>102857</v>
      </c>
      <c r="F633" s="183">
        <v>5143</v>
      </c>
      <c r="G633" s="563">
        <f t="shared" si="59"/>
        <v>108000</v>
      </c>
      <c r="H633" s="399" t="s">
        <v>14773</v>
      </c>
      <c r="I633" s="398" t="s">
        <v>14774</v>
      </c>
      <c r="J633" s="350">
        <v>108000</v>
      </c>
      <c r="K633" s="350"/>
      <c r="L633" s="350"/>
      <c r="M633" s="350">
        <f t="shared" si="57"/>
        <v>108000</v>
      </c>
      <c r="N633" s="351"/>
      <c r="O633" s="351">
        <f t="shared" si="58"/>
        <v>0</v>
      </c>
      <c r="P633" s="564" t="s">
        <v>10659</v>
      </c>
    </row>
    <row r="634" spans="1:18" s="563" customFormat="1">
      <c r="A634" s="183">
        <v>20190515</v>
      </c>
      <c r="B634" s="183" t="s">
        <v>10660</v>
      </c>
      <c r="C634" s="199" t="s">
        <v>10661</v>
      </c>
      <c r="D634" s="617"/>
      <c r="E634" s="199">
        <f>4200*12</f>
        <v>50400</v>
      </c>
      <c r="F634" s="183">
        <f>2520/12*12</f>
        <v>2520</v>
      </c>
      <c r="G634" s="563">
        <f t="shared" si="59"/>
        <v>52920</v>
      </c>
      <c r="H634" s="399" t="s">
        <v>14776</v>
      </c>
      <c r="I634" s="621" t="s">
        <v>14775</v>
      </c>
      <c r="J634" s="350"/>
      <c r="K634" s="350"/>
      <c r="L634" s="350">
        <v>39690</v>
      </c>
      <c r="M634" s="350">
        <f t="shared" si="57"/>
        <v>39690</v>
      </c>
      <c r="N634" s="351"/>
      <c r="O634" s="351">
        <f t="shared" si="58"/>
        <v>13230</v>
      </c>
      <c r="P634" s="564" t="s">
        <v>10662</v>
      </c>
      <c r="R634" s="253" t="s">
        <v>14777</v>
      </c>
    </row>
    <row r="635" spans="1:18" s="563" customFormat="1">
      <c r="A635" s="183">
        <v>20190515</v>
      </c>
      <c r="B635" s="183" t="s">
        <v>10663</v>
      </c>
      <c r="C635" s="199" t="s">
        <v>10664</v>
      </c>
      <c r="D635" s="617"/>
      <c r="E635" s="199">
        <v>108000</v>
      </c>
      <c r="F635" s="183">
        <v>5400</v>
      </c>
      <c r="G635" s="563">
        <f t="shared" si="59"/>
        <v>113400</v>
      </c>
      <c r="H635" s="399" t="s">
        <v>14773</v>
      </c>
      <c r="I635" s="398" t="s">
        <v>14778</v>
      </c>
      <c r="J635" s="350">
        <v>113400</v>
      </c>
      <c r="K635" s="350"/>
      <c r="L635" s="350"/>
      <c r="M635" s="350">
        <f t="shared" si="57"/>
        <v>113400</v>
      </c>
      <c r="N635" s="351"/>
      <c r="O635" s="351">
        <f t="shared" si="58"/>
        <v>0</v>
      </c>
      <c r="P635" s="564" t="s">
        <v>10665</v>
      </c>
    </row>
    <row r="636" spans="1:18" s="563" customFormat="1">
      <c r="A636" s="183">
        <v>20190528</v>
      </c>
      <c r="B636" s="183" t="s">
        <v>10666</v>
      </c>
      <c r="C636" s="199" t="s">
        <v>10667</v>
      </c>
      <c r="D636" s="617"/>
      <c r="E636" s="199">
        <v>100800</v>
      </c>
      <c r="F636" s="183">
        <v>5040</v>
      </c>
      <c r="G636" s="563">
        <f t="shared" si="59"/>
        <v>105840</v>
      </c>
      <c r="H636" s="399" t="s">
        <v>14773</v>
      </c>
      <c r="I636" s="398" t="s">
        <v>14779</v>
      </c>
      <c r="J636" s="350">
        <v>105840</v>
      </c>
      <c r="K636" s="350"/>
      <c r="L636" s="350"/>
      <c r="M636" s="350">
        <f t="shared" si="57"/>
        <v>105840</v>
      </c>
      <c r="N636" s="351"/>
      <c r="O636" s="351">
        <f t="shared" si="58"/>
        <v>0</v>
      </c>
      <c r="P636" s="564" t="s">
        <v>10668</v>
      </c>
    </row>
    <row r="637" spans="1:18" s="563" customFormat="1">
      <c r="A637" s="183">
        <v>20190605</v>
      </c>
      <c r="B637" s="183" t="s">
        <v>10669</v>
      </c>
      <c r="C637" s="199" t="s">
        <v>10670</v>
      </c>
      <c r="D637" s="617"/>
      <c r="E637" s="199">
        <v>13500</v>
      </c>
      <c r="F637" s="183">
        <v>675</v>
      </c>
      <c r="G637" s="563">
        <f t="shared" si="59"/>
        <v>14175</v>
      </c>
      <c r="H637" s="399" t="s">
        <v>14780</v>
      </c>
      <c r="I637" s="398" t="s">
        <v>14743</v>
      </c>
      <c r="J637" s="350"/>
      <c r="K637" s="350"/>
      <c r="L637" s="350">
        <v>14165</v>
      </c>
      <c r="M637" s="350">
        <f t="shared" si="57"/>
        <v>14165</v>
      </c>
      <c r="N637" s="351">
        <v>10</v>
      </c>
      <c r="O637" s="351">
        <f t="shared" si="58"/>
        <v>0</v>
      </c>
      <c r="P637" s="564" t="s">
        <v>10671</v>
      </c>
    </row>
    <row r="638" spans="1:18" s="563" customFormat="1">
      <c r="A638" s="183">
        <v>20190605</v>
      </c>
      <c r="B638" s="183" t="s">
        <v>10672</v>
      </c>
      <c r="C638" s="199" t="s">
        <v>10673</v>
      </c>
      <c r="D638" s="617"/>
      <c r="E638" s="199">
        <v>12600</v>
      </c>
      <c r="F638" s="183">
        <v>630</v>
      </c>
      <c r="G638" s="563">
        <f t="shared" si="59"/>
        <v>13230</v>
      </c>
      <c r="H638" s="399" t="s">
        <v>14732</v>
      </c>
      <c r="I638" s="398" t="s">
        <v>14781</v>
      </c>
      <c r="J638" s="350"/>
      <c r="K638" s="350"/>
      <c r="L638" s="350">
        <v>13230</v>
      </c>
      <c r="M638" s="350">
        <f t="shared" si="57"/>
        <v>13230</v>
      </c>
      <c r="N638" s="351"/>
      <c r="O638" s="351">
        <f t="shared" si="58"/>
        <v>0</v>
      </c>
      <c r="P638" s="564" t="s">
        <v>10674</v>
      </c>
      <c r="R638" s="253"/>
    </row>
    <row r="639" spans="1:18" s="563" customFormat="1">
      <c r="A639" s="183">
        <v>20190605</v>
      </c>
      <c r="B639" s="183" t="s">
        <v>10675</v>
      </c>
      <c r="C639" s="199" t="s">
        <v>10676</v>
      </c>
      <c r="D639" s="617"/>
      <c r="E639" s="199">
        <v>12857</v>
      </c>
      <c r="F639" s="183">
        <v>643</v>
      </c>
      <c r="G639" s="563">
        <f t="shared" si="59"/>
        <v>13500</v>
      </c>
      <c r="H639" s="399" t="s">
        <v>14782</v>
      </c>
      <c r="I639" s="398" t="s">
        <v>14783</v>
      </c>
      <c r="J639" s="350"/>
      <c r="K639" s="350"/>
      <c r="L639" s="350">
        <v>13485</v>
      </c>
      <c r="M639" s="350">
        <f t="shared" si="57"/>
        <v>13485</v>
      </c>
      <c r="N639" s="351">
        <v>15</v>
      </c>
      <c r="O639" s="351">
        <f t="shared" si="58"/>
        <v>0</v>
      </c>
      <c r="P639" s="564" t="s">
        <v>10677</v>
      </c>
    </row>
    <row r="640" spans="1:18" s="563" customFormat="1">
      <c r="A640" s="183">
        <v>20190605</v>
      </c>
      <c r="B640" s="183" t="s">
        <v>10678</v>
      </c>
      <c r="C640" s="199" t="s">
        <v>10679</v>
      </c>
      <c r="D640" s="617"/>
      <c r="E640" s="199">
        <v>13500</v>
      </c>
      <c r="F640" s="183">
        <v>675</v>
      </c>
      <c r="G640" s="563">
        <f t="shared" si="59"/>
        <v>14175</v>
      </c>
      <c r="H640" s="399" t="s">
        <v>14784</v>
      </c>
      <c r="I640" s="398" t="s">
        <v>14785</v>
      </c>
      <c r="J640" s="350"/>
      <c r="K640" s="350"/>
      <c r="L640" s="350">
        <v>14165</v>
      </c>
      <c r="M640" s="350">
        <f t="shared" si="57"/>
        <v>14165</v>
      </c>
      <c r="N640" s="351">
        <v>10</v>
      </c>
      <c r="O640" s="351">
        <f t="shared" si="58"/>
        <v>0</v>
      </c>
      <c r="P640" s="564" t="s">
        <v>10680</v>
      </c>
    </row>
    <row r="641" spans="1:18" s="563" customFormat="1">
      <c r="A641" s="183">
        <v>20190611</v>
      </c>
      <c r="B641" s="183" t="s">
        <v>10681</v>
      </c>
      <c r="C641" s="199" t="s">
        <v>456</v>
      </c>
      <c r="D641" s="618"/>
      <c r="E641" s="199">
        <v>12600</v>
      </c>
      <c r="F641" s="183">
        <v>630</v>
      </c>
      <c r="G641" s="563">
        <f t="shared" si="59"/>
        <v>13230</v>
      </c>
      <c r="H641" s="399" t="s">
        <v>14756</v>
      </c>
      <c r="I641" s="398" t="s">
        <v>14743</v>
      </c>
      <c r="J641" s="350"/>
      <c r="K641" s="350"/>
      <c r="L641" s="350">
        <v>13230</v>
      </c>
      <c r="M641" s="350">
        <f t="shared" si="57"/>
        <v>13230</v>
      </c>
      <c r="N641" s="351"/>
      <c r="O641" s="351">
        <f t="shared" si="58"/>
        <v>0</v>
      </c>
      <c r="P641" s="564" t="s">
        <v>4323</v>
      </c>
    </row>
    <row r="642" spans="1:18" s="563" customFormat="1">
      <c r="A642" s="183">
        <v>20190717</v>
      </c>
      <c r="B642" s="183" t="s">
        <v>10682</v>
      </c>
      <c r="C642" s="183" t="s">
        <v>10683</v>
      </c>
      <c r="D642" s="617"/>
      <c r="E642" s="183">
        <v>108000</v>
      </c>
      <c r="F642" s="183">
        <v>5400</v>
      </c>
      <c r="G642" s="563">
        <f t="shared" si="59"/>
        <v>113400</v>
      </c>
      <c r="H642" s="399" t="s">
        <v>14764</v>
      </c>
      <c r="I642" s="398" t="s">
        <v>14786</v>
      </c>
      <c r="J642" s="350">
        <v>113400</v>
      </c>
      <c r="K642" s="350"/>
      <c r="L642" s="350"/>
      <c r="M642" s="350">
        <f t="shared" si="57"/>
        <v>113400</v>
      </c>
      <c r="N642" s="351"/>
      <c r="O642" s="351">
        <f t="shared" si="58"/>
        <v>0</v>
      </c>
      <c r="P642" s="564" t="s">
        <v>10684</v>
      </c>
      <c r="R642" s="253"/>
    </row>
    <row r="643" spans="1:18" s="563" customFormat="1">
      <c r="A643" s="183">
        <v>20190723</v>
      </c>
      <c r="B643" s="183" t="s">
        <v>10685</v>
      </c>
      <c r="C643" s="199" t="s">
        <v>10686</v>
      </c>
      <c r="D643" s="617"/>
      <c r="E643" s="199">
        <v>91200</v>
      </c>
      <c r="F643" s="183">
        <v>4560</v>
      </c>
      <c r="G643" s="563">
        <f t="shared" si="59"/>
        <v>95760</v>
      </c>
      <c r="H643" s="399" t="s">
        <v>14773</v>
      </c>
      <c r="I643" s="398" t="s">
        <v>14787</v>
      </c>
      <c r="J643" s="350">
        <v>95760</v>
      </c>
      <c r="K643" s="350"/>
      <c r="L643" s="350"/>
      <c r="M643" s="350">
        <f t="shared" si="57"/>
        <v>95760</v>
      </c>
      <c r="N643" s="351"/>
      <c r="O643" s="351">
        <f t="shared" si="58"/>
        <v>0</v>
      </c>
      <c r="P643" s="564" t="s">
        <v>10687</v>
      </c>
    </row>
    <row r="644" spans="1:18" s="747" customFormat="1">
      <c r="A644" s="745"/>
      <c r="B644" s="745" t="s">
        <v>10688</v>
      </c>
      <c r="C644" s="745" t="s">
        <v>10689</v>
      </c>
      <c r="D644" s="746"/>
      <c r="E644" s="745"/>
      <c r="F644" s="745"/>
      <c r="G644" s="747">
        <f t="shared" si="59"/>
        <v>0</v>
      </c>
      <c r="H644" s="753"/>
      <c r="I644" s="754"/>
      <c r="J644" s="749"/>
      <c r="K644" s="749"/>
      <c r="L644" s="749"/>
      <c r="M644" s="749">
        <f t="shared" si="57"/>
        <v>0</v>
      </c>
      <c r="N644" s="749"/>
      <c r="O644" s="749">
        <f t="shared" si="58"/>
        <v>0</v>
      </c>
      <c r="P644" s="750"/>
    </row>
    <row r="645" spans="1:18" s="563" customFormat="1">
      <c r="A645" s="183">
        <v>20190805</v>
      </c>
      <c r="B645" s="183" t="s">
        <v>10690</v>
      </c>
      <c r="C645" s="199" t="s">
        <v>10691</v>
      </c>
      <c r="D645" s="617"/>
      <c r="E645" s="199">
        <v>19500</v>
      </c>
      <c r="F645" s="183">
        <v>975</v>
      </c>
      <c r="G645" s="563">
        <f t="shared" si="59"/>
        <v>20475</v>
      </c>
      <c r="H645" s="399" t="s">
        <v>14780</v>
      </c>
      <c r="I645" s="398">
        <v>1444</v>
      </c>
      <c r="J645" s="350"/>
      <c r="K645" s="350">
        <v>20475</v>
      </c>
      <c r="L645" s="350"/>
      <c r="M645" s="350">
        <f t="shared" si="57"/>
        <v>20475</v>
      </c>
      <c r="N645" s="351"/>
      <c r="O645" s="351">
        <f t="shared" si="58"/>
        <v>0</v>
      </c>
      <c r="P645" s="564" t="s">
        <v>10692</v>
      </c>
    </row>
    <row r="646" spans="1:18" s="563" customFormat="1">
      <c r="A646" s="183">
        <v>20190805</v>
      </c>
      <c r="B646" s="183" t="s">
        <v>10693</v>
      </c>
      <c r="C646" s="199" t="s">
        <v>10694</v>
      </c>
      <c r="D646" s="617"/>
      <c r="E646" s="199">
        <v>19500</v>
      </c>
      <c r="F646" s="183">
        <v>975</v>
      </c>
      <c r="G646" s="563">
        <f t="shared" si="59"/>
        <v>20475</v>
      </c>
      <c r="H646" s="399" t="s">
        <v>14788</v>
      </c>
      <c r="I646" s="398">
        <v>1460</v>
      </c>
      <c r="J646" s="350"/>
      <c r="K646" s="350">
        <v>20475</v>
      </c>
      <c r="L646" s="350"/>
      <c r="M646" s="350">
        <f t="shared" si="57"/>
        <v>20475</v>
      </c>
      <c r="N646" s="351"/>
      <c r="O646" s="351">
        <f t="shared" si="58"/>
        <v>0</v>
      </c>
      <c r="P646" s="564" t="s">
        <v>10695</v>
      </c>
    </row>
    <row r="647" spans="1:18" s="563" customFormat="1">
      <c r="A647" s="183">
        <v>20190805</v>
      </c>
      <c r="B647" s="183" t="s">
        <v>10696</v>
      </c>
      <c r="C647" s="199" t="s">
        <v>10694</v>
      </c>
      <c r="D647" s="617"/>
      <c r="E647" s="199">
        <v>15600</v>
      </c>
      <c r="F647" s="183">
        <v>780</v>
      </c>
      <c r="G647" s="563">
        <f t="shared" si="59"/>
        <v>16380</v>
      </c>
      <c r="H647" s="399" t="s">
        <v>14780</v>
      </c>
      <c r="I647" s="398">
        <v>1452</v>
      </c>
      <c r="J647" s="350"/>
      <c r="K647" s="350">
        <v>16380</v>
      </c>
      <c r="L647" s="350"/>
      <c r="M647" s="350">
        <f t="shared" si="57"/>
        <v>16380</v>
      </c>
      <c r="N647" s="351"/>
      <c r="O647" s="351">
        <f t="shared" si="58"/>
        <v>0</v>
      </c>
      <c r="P647" s="564" t="s">
        <v>10695</v>
      </c>
    </row>
    <row r="648" spans="1:18" s="563" customFormat="1">
      <c r="A648" s="183">
        <v>20190805</v>
      </c>
      <c r="B648" s="183" t="s">
        <v>10697</v>
      </c>
      <c r="C648" s="199" t="s">
        <v>10698</v>
      </c>
      <c r="D648" s="617"/>
      <c r="E648" s="199">
        <v>19500</v>
      </c>
      <c r="F648" s="183">
        <v>975</v>
      </c>
      <c r="G648" s="563">
        <f t="shared" si="59"/>
        <v>20475</v>
      </c>
      <c r="H648" s="399" t="s">
        <v>14755</v>
      </c>
      <c r="I648" s="398">
        <v>1542</v>
      </c>
      <c r="J648" s="350">
        <v>20475</v>
      </c>
      <c r="K648" s="350"/>
      <c r="L648" s="350"/>
      <c r="M648" s="350">
        <f t="shared" si="57"/>
        <v>20475</v>
      </c>
      <c r="N648" s="351"/>
      <c r="O648" s="351">
        <f t="shared" si="58"/>
        <v>0</v>
      </c>
      <c r="P648" s="564" t="s">
        <v>10699</v>
      </c>
    </row>
    <row r="649" spans="1:18" s="563" customFormat="1">
      <c r="A649" s="183">
        <v>20190805</v>
      </c>
      <c r="B649" s="183" t="s">
        <v>10700</v>
      </c>
      <c r="C649" s="199" t="s">
        <v>10701</v>
      </c>
      <c r="D649" s="617"/>
      <c r="E649" s="199">
        <v>15600</v>
      </c>
      <c r="F649" s="183">
        <v>780</v>
      </c>
      <c r="G649" s="563">
        <f t="shared" si="59"/>
        <v>16380</v>
      </c>
      <c r="H649" s="399" t="s">
        <v>14789</v>
      </c>
      <c r="I649" s="398" t="s">
        <v>14790</v>
      </c>
      <c r="J649" s="350"/>
      <c r="K649" s="350"/>
      <c r="L649" s="350">
        <v>16350</v>
      </c>
      <c r="M649" s="350">
        <f t="shared" si="57"/>
        <v>16350</v>
      </c>
      <c r="N649" s="351">
        <v>30</v>
      </c>
      <c r="O649" s="351">
        <f t="shared" si="58"/>
        <v>0</v>
      </c>
      <c r="P649" s="564" t="s">
        <v>10702</v>
      </c>
    </row>
    <row r="650" spans="1:18" s="563" customFormat="1">
      <c r="A650" s="183">
        <v>20190814</v>
      </c>
      <c r="B650" s="183" t="s">
        <v>10703</v>
      </c>
      <c r="C650" s="199" t="s">
        <v>10704</v>
      </c>
      <c r="D650" s="617"/>
      <c r="E650" s="199">
        <v>19500</v>
      </c>
      <c r="F650" s="183">
        <v>975</v>
      </c>
      <c r="G650" s="563">
        <f t="shared" si="59"/>
        <v>20475</v>
      </c>
      <c r="H650" s="399" t="s">
        <v>14760</v>
      </c>
      <c r="I650" s="398">
        <v>1529</v>
      </c>
      <c r="J650" s="350">
        <v>20475</v>
      </c>
      <c r="K650" s="350"/>
      <c r="L650" s="350"/>
      <c r="M650" s="350">
        <f t="shared" si="57"/>
        <v>20475</v>
      </c>
      <c r="N650" s="351"/>
      <c r="O650" s="351">
        <f t="shared" si="58"/>
        <v>0</v>
      </c>
      <c r="P650" s="564" t="s">
        <v>10705</v>
      </c>
    </row>
    <row r="651" spans="1:18" s="563" customFormat="1">
      <c r="A651" s="183">
        <v>20190816</v>
      </c>
      <c r="B651" s="183" t="s">
        <v>10706</v>
      </c>
      <c r="C651" s="199" t="s">
        <v>10698</v>
      </c>
      <c r="D651" s="617"/>
      <c r="E651" s="199">
        <v>114286</v>
      </c>
      <c r="F651" s="183">
        <v>5714</v>
      </c>
      <c r="G651" s="563">
        <f t="shared" si="59"/>
        <v>120000</v>
      </c>
      <c r="H651" s="399"/>
      <c r="I651" s="398">
        <v>1549</v>
      </c>
      <c r="J651" s="350">
        <v>120000</v>
      </c>
      <c r="K651" s="350"/>
      <c r="L651" s="350"/>
      <c r="M651" s="350">
        <f t="shared" si="57"/>
        <v>120000</v>
      </c>
      <c r="N651" s="351"/>
      <c r="O651" s="351">
        <f t="shared" si="58"/>
        <v>0</v>
      </c>
      <c r="P651" s="564" t="s">
        <v>10699</v>
      </c>
    </row>
    <row r="652" spans="1:18" s="563" customFormat="1">
      <c r="A652" s="183">
        <v>20190903</v>
      </c>
      <c r="B652" s="183" t="s">
        <v>10707</v>
      </c>
      <c r="C652" s="183" t="s">
        <v>10593</v>
      </c>
      <c r="D652" s="617"/>
      <c r="E652" s="183">
        <v>80000</v>
      </c>
      <c r="F652" s="183">
        <v>4000</v>
      </c>
      <c r="G652" s="563">
        <f t="shared" si="59"/>
        <v>84000</v>
      </c>
      <c r="H652" s="399"/>
      <c r="I652" s="398" t="s">
        <v>14791</v>
      </c>
      <c r="J652" s="350"/>
      <c r="K652" s="350"/>
      <c r="L652" s="350">
        <v>84000</v>
      </c>
      <c r="M652" s="350">
        <f t="shared" si="57"/>
        <v>84000</v>
      </c>
      <c r="N652" s="351"/>
      <c r="O652" s="351">
        <f t="shared" si="58"/>
        <v>0</v>
      </c>
      <c r="P652" s="564" t="s">
        <v>10594</v>
      </c>
      <c r="R652" s="253"/>
    </row>
    <row r="653" spans="1:18" s="563" customFormat="1">
      <c r="A653" s="183">
        <v>20190903</v>
      </c>
      <c r="B653" s="183" t="s">
        <v>10708</v>
      </c>
      <c r="C653" s="199" t="s">
        <v>10595</v>
      </c>
      <c r="D653" s="617"/>
      <c r="E653" s="199">
        <v>80000</v>
      </c>
      <c r="F653" s="183">
        <v>4000</v>
      </c>
      <c r="G653" s="563">
        <f t="shared" si="59"/>
        <v>84000</v>
      </c>
      <c r="H653" s="399"/>
      <c r="I653" s="398" t="s">
        <v>14792</v>
      </c>
      <c r="J653" s="350"/>
      <c r="K653" s="350"/>
      <c r="L653" s="350">
        <v>84000</v>
      </c>
      <c r="M653" s="350">
        <f t="shared" si="57"/>
        <v>84000</v>
      </c>
      <c r="N653" s="351"/>
      <c r="O653" s="351">
        <f t="shared" si="58"/>
        <v>0</v>
      </c>
      <c r="P653" s="564" t="s">
        <v>10709</v>
      </c>
    </row>
    <row r="654" spans="1:18" s="563" customFormat="1">
      <c r="A654" s="183">
        <v>20190916</v>
      </c>
      <c r="B654" s="183" t="s">
        <v>10710</v>
      </c>
      <c r="C654" s="199" t="s">
        <v>10711</v>
      </c>
      <c r="D654" s="617"/>
      <c r="E654" s="199">
        <v>13500</v>
      </c>
      <c r="F654" s="183">
        <v>675</v>
      </c>
      <c r="G654" s="563">
        <f t="shared" si="59"/>
        <v>14175</v>
      </c>
      <c r="H654" s="399" t="s">
        <v>14736</v>
      </c>
      <c r="I654" s="398" t="s">
        <v>14793</v>
      </c>
      <c r="J654" s="350"/>
      <c r="K654" s="350"/>
      <c r="L654" s="350">
        <v>14165</v>
      </c>
      <c r="M654" s="350">
        <f t="shared" si="57"/>
        <v>14165</v>
      </c>
      <c r="N654" s="351">
        <v>10</v>
      </c>
      <c r="O654" s="351">
        <f t="shared" si="58"/>
        <v>0</v>
      </c>
      <c r="P654" s="564" t="s">
        <v>10712</v>
      </c>
    </row>
    <row r="655" spans="1:18" s="563" customFormat="1">
      <c r="A655" s="183">
        <v>20190916</v>
      </c>
      <c r="B655" s="183" t="s">
        <v>10713</v>
      </c>
      <c r="C655" s="199" t="s">
        <v>10714</v>
      </c>
      <c r="D655" s="617"/>
      <c r="E655" s="199">
        <v>13500</v>
      </c>
      <c r="F655" s="183">
        <v>675</v>
      </c>
      <c r="G655" s="563">
        <f t="shared" si="59"/>
        <v>14175</v>
      </c>
      <c r="H655" s="399" t="s">
        <v>14761</v>
      </c>
      <c r="I655" s="398" t="s">
        <v>14794</v>
      </c>
      <c r="J655" s="350"/>
      <c r="K655" s="350"/>
      <c r="L655" s="350">
        <v>14165</v>
      </c>
      <c r="M655" s="350">
        <f t="shared" si="57"/>
        <v>14165</v>
      </c>
      <c r="N655" s="351">
        <v>10</v>
      </c>
      <c r="O655" s="351">
        <f t="shared" si="58"/>
        <v>0</v>
      </c>
      <c r="P655" s="564" t="s">
        <v>10601</v>
      </c>
    </row>
    <row r="656" spans="1:18" s="563" customFormat="1">
      <c r="A656" s="183">
        <v>20190916</v>
      </c>
      <c r="B656" s="183" t="s">
        <v>10715</v>
      </c>
      <c r="C656" s="199" t="s">
        <v>10716</v>
      </c>
      <c r="D656" s="617"/>
      <c r="E656" s="199">
        <v>43200</v>
      </c>
      <c r="F656" s="183">
        <v>2160</v>
      </c>
      <c r="G656" s="563">
        <f t="shared" si="59"/>
        <v>45360</v>
      </c>
      <c r="H656" s="399" t="s">
        <v>14795</v>
      </c>
      <c r="I656" s="398" t="s">
        <v>14796</v>
      </c>
      <c r="J656" s="350"/>
      <c r="K656" s="350"/>
      <c r="L656" s="350">
        <v>45360</v>
      </c>
      <c r="M656" s="350">
        <f t="shared" si="57"/>
        <v>45360</v>
      </c>
      <c r="N656" s="351"/>
      <c r="O656" s="351">
        <f t="shared" si="58"/>
        <v>0</v>
      </c>
      <c r="P656" s="564" t="s">
        <v>10717</v>
      </c>
    </row>
    <row r="657" spans="1:18" s="563" customFormat="1">
      <c r="A657" s="183">
        <v>20190924</v>
      </c>
      <c r="B657" s="183" t="s">
        <v>10718</v>
      </c>
      <c r="C657" s="199" t="s">
        <v>10719</v>
      </c>
      <c r="D657" s="617"/>
      <c r="E657" s="199">
        <v>21600</v>
      </c>
      <c r="F657" s="183">
        <v>1080</v>
      </c>
      <c r="G657" s="563">
        <f t="shared" si="59"/>
        <v>22680</v>
      </c>
      <c r="H657" s="399" t="s">
        <v>14797</v>
      </c>
      <c r="I657" s="398">
        <v>1550</v>
      </c>
      <c r="J657" s="350">
        <v>22680</v>
      </c>
      <c r="K657" s="350"/>
      <c r="L657" s="350"/>
      <c r="M657" s="350">
        <f t="shared" si="57"/>
        <v>22680</v>
      </c>
      <c r="N657" s="351"/>
      <c r="O657" s="351">
        <f t="shared" si="58"/>
        <v>0</v>
      </c>
      <c r="P657" s="564" t="s">
        <v>5203</v>
      </c>
      <c r="R657" s="253" t="s">
        <v>14798</v>
      </c>
    </row>
    <row r="658" spans="1:18" s="563" customFormat="1">
      <c r="A658" s="183">
        <v>20191101</v>
      </c>
      <c r="B658" s="183" t="s">
        <v>10720</v>
      </c>
      <c r="C658" s="183" t="s">
        <v>10721</v>
      </c>
      <c r="D658" s="617"/>
      <c r="E658" s="183">
        <v>108000</v>
      </c>
      <c r="F658" s="183">
        <v>5400</v>
      </c>
      <c r="G658" s="563">
        <f t="shared" si="59"/>
        <v>113400</v>
      </c>
      <c r="H658" s="399" t="s">
        <v>14799</v>
      </c>
      <c r="I658" s="398" t="s">
        <v>14800</v>
      </c>
      <c r="J658" s="350">
        <v>113400</v>
      </c>
      <c r="K658" s="350"/>
      <c r="L658" s="350"/>
      <c r="M658" s="350">
        <f t="shared" si="57"/>
        <v>113400</v>
      </c>
      <c r="N658" s="351"/>
      <c r="O658" s="351">
        <f t="shared" si="58"/>
        <v>0</v>
      </c>
      <c r="P658" s="564" t="s">
        <v>10722</v>
      </c>
      <c r="R658" s="253"/>
    </row>
    <row r="659" spans="1:18" s="747" customFormat="1">
      <c r="A659" s="745"/>
      <c r="B659" s="745" t="s">
        <v>10723</v>
      </c>
      <c r="C659" s="745" t="s">
        <v>10689</v>
      </c>
      <c r="D659" s="746"/>
      <c r="E659" s="745"/>
      <c r="F659" s="745"/>
      <c r="H659" s="753"/>
      <c r="I659" s="754"/>
      <c r="J659" s="749"/>
      <c r="K659" s="749"/>
      <c r="L659" s="749"/>
      <c r="M659" s="749">
        <f t="shared" si="57"/>
        <v>0</v>
      </c>
      <c r="N659" s="749"/>
      <c r="O659" s="749">
        <f t="shared" si="58"/>
        <v>0</v>
      </c>
      <c r="P659" s="750"/>
    </row>
    <row r="660" spans="1:18" s="747" customFormat="1">
      <c r="A660" s="745"/>
      <c r="B660" s="745" t="s">
        <v>10724</v>
      </c>
      <c r="C660" s="745" t="s">
        <v>10689</v>
      </c>
      <c r="D660" s="746"/>
      <c r="E660" s="745"/>
      <c r="F660" s="745"/>
      <c r="H660" s="753"/>
      <c r="I660" s="754"/>
      <c r="J660" s="749"/>
      <c r="K660" s="749"/>
      <c r="L660" s="749"/>
      <c r="M660" s="749">
        <f t="shared" si="57"/>
        <v>0</v>
      </c>
      <c r="N660" s="749"/>
      <c r="O660" s="749">
        <f t="shared" si="58"/>
        <v>0</v>
      </c>
      <c r="P660" s="750"/>
    </row>
    <row r="661" spans="1:18" s="563" customFormat="1">
      <c r="A661" s="183">
        <v>20191101</v>
      </c>
      <c r="B661" s="183" t="s">
        <v>10725</v>
      </c>
      <c r="C661" s="199" t="s">
        <v>10641</v>
      </c>
      <c r="D661" s="617"/>
      <c r="E661" s="199">
        <v>12600</v>
      </c>
      <c r="F661" s="183">
        <v>630</v>
      </c>
      <c r="G661" s="563">
        <f t="shared" si="59"/>
        <v>13230</v>
      </c>
      <c r="H661" s="399" t="s">
        <v>14760</v>
      </c>
      <c r="I661" s="398" t="s">
        <v>14801</v>
      </c>
      <c r="J661" s="350"/>
      <c r="K661" s="350"/>
      <c r="L661" s="350">
        <v>13230</v>
      </c>
      <c r="M661" s="350">
        <f t="shared" si="57"/>
        <v>13230</v>
      </c>
      <c r="N661" s="351"/>
      <c r="O661" s="351">
        <f t="shared" si="58"/>
        <v>0</v>
      </c>
      <c r="P661" s="564" t="s">
        <v>4323</v>
      </c>
    </row>
    <row r="662" spans="1:18" s="563" customFormat="1">
      <c r="A662" s="183">
        <v>20191101</v>
      </c>
      <c r="B662" s="183" t="s">
        <v>10726</v>
      </c>
      <c r="C662" s="199" t="s">
        <v>10593</v>
      </c>
      <c r="D662" s="617"/>
      <c r="E662" s="199">
        <v>108000</v>
      </c>
      <c r="F662" s="183">
        <v>5400</v>
      </c>
      <c r="G662" s="563">
        <f t="shared" si="59"/>
        <v>113400</v>
      </c>
      <c r="H662" s="399"/>
      <c r="I662" s="398"/>
      <c r="J662" s="350"/>
      <c r="K662" s="350"/>
      <c r="L662" s="350"/>
      <c r="M662" s="350">
        <f t="shared" si="57"/>
        <v>0</v>
      </c>
      <c r="N662" s="351"/>
      <c r="O662" s="351">
        <f t="shared" si="58"/>
        <v>113400</v>
      </c>
      <c r="P662" s="564" t="s">
        <v>10594</v>
      </c>
    </row>
    <row r="663" spans="1:18" s="563" customFormat="1">
      <c r="A663" s="183">
        <v>20191101</v>
      </c>
      <c r="B663" s="183" t="s">
        <v>10727</v>
      </c>
      <c r="C663" s="199" t="s">
        <v>10595</v>
      </c>
      <c r="D663" s="617"/>
      <c r="E663" s="199">
        <v>108000</v>
      </c>
      <c r="F663" s="183">
        <v>5400</v>
      </c>
      <c r="G663" s="563">
        <f t="shared" si="59"/>
        <v>113400</v>
      </c>
      <c r="H663" s="399"/>
      <c r="I663" s="398" t="s">
        <v>14803</v>
      </c>
      <c r="J663" s="350"/>
      <c r="K663" s="350"/>
      <c r="L663" s="350">
        <v>113390</v>
      </c>
      <c r="M663" s="350">
        <f t="shared" si="57"/>
        <v>113390</v>
      </c>
      <c r="N663" s="351">
        <v>10</v>
      </c>
      <c r="O663" s="351">
        <f t="shared" si="58"/>
        <v>0</v>
      </c>
      <c r="P663" s="564" t="s">
        <v>10596</v>
      </c>
    </row>
    <row r="664" spans="1:18" s="563" customFormat="1">
      <c r="A664" s="183">
        <v>20191101</v>
      </c>
      <c r="B664" s="183" t="s">
        <v>10728</v>
      </c>
      <c r="C664" s="199" t="s">
        <v>10597</v>
      </c>
      <c r="D664" s="617"/>
      <c r="E664" s="199">
        <v>72000</v>
      </c>
      <c r="F664" s="183">
        <v>3600</v>
      </c>
      <c r="G664" s="563">
        <f t="shared" si="59"/>
        <v>75600</v>
      </c>
      <c r="H664" s="399"/>
      <c r="I664" s="398" t="s">
        <v>14802</v>
      </c>
      <c r="J664" s="350"/>
      <c r="K664" s="350"/>
      <c r="L664" s="350">
        <v>75600</v>
      </c>
      <c r="M664" s="350">
        <f t="shared" si="57"/>
        <v>75600</v>
      </c>
      <c r="N664" s="351"/>
      <c r="O664" s="351">
        <f t="shared" si="58"/>
        <v>0</v>
      </c>
      <c r="P664" s="564" t="s">
        <v>10598</v>
      </c>
    </row>
    <row r="665" spans="1:18" s="563" customFormat="1">
      <c r="A665" s="183">
        <v>20191111</v>
      </c>
      <c r="B665" s="183" t="s">
        <v>10729</v>
      </c>
      <c r="C665" s="199" t="s">
        <v>10730</v>
      </c>
      <c r="D665" s="617"/>
      <c r="E665" s="199">
        <v>108000</v>
      </c>
      <c r="F665" s="183">
        <v>5400</v>
      </c>
      <c r="G665" s="563">
        <f t="shared" si="59"/>
        <v>113400</v>
      </c>
      <c r="H665" s="399" t="s">
        <v>14773</v>
      </c>
      <c r="I665" s="398" t="s">
        <v>14804</v>
      </c>
      <c r="J665" s="350">
        <v>113400</v>
      </c>
      <c r="K665" s="350"/>
      <c r="L665" s="350"/>
      <c r="M665" s="350">
        <f t="shared" si="57"/>
        <v>113400</v>
      </c>
      <c r="N665" s="351"/>
      <c r="O665" s="351">
        <f t="shared" si="58"/>
        <v>0</v>
      </c>
      <c r="P665" s="564" t="s">
        <v>10731</v>
      </c>
    </row>
    <row r="666" spans="1:18" s="563" customFormat="1">
      <c r="A666" s="183">
        <v>20191118</v>
      </c>
      <c r="B666" s="183" t="s">
        <v>10732</v>
      </c>
      <c r="C666" s="199" t="s">
        <v>10600</v>
      </c>
      <c r="D666" s="617"/>
      <c r="E666" s="199">
        <v>13500</v>
      </c>
      <c r="F666" s="183">
        <v>675</v>
      </c>
      <c r="G666" s="563">
        <f t="shared" si="59"/>
        <v>14175</v>
      </c>
      <c r="H666" s="399" t="s">
        <v>14780</v>
      </c>
      <c r="I666" s="398"/>
      <c r="J666" s="350"/>
      <c r="K666" s="350"/>
      <c r="L666" s="350"/>
      <c r="M666" s="350">
        <f t="shared" si="57"/>
        <v>0</v>
      </c>
      <c r="N666" s="351"/>
      <c r="O666" s="351">
        <f t="shared" si="58"/>
        <v>14175</v>
      </c>
      <c r="P666" s="564" t="s">
        <v>10601</v>
      </c>
    </row>
    <row r="667" spans="1:18" s="563" customFormat="1">
      <c r="A667" s="183">
        <v>20191118</v>
      </c>
      <c r="B667" s="183" t="s">
        <v>10733</v>
      </c>
      <c r="C667" s="199" t="s">
        <v>4315</v>
      </c>
      <c r="D667" s="617"/>
      <c r="E667" s="199">
        <v>15600</v>
      </c>
      <c r="F667" s="183">
        <v>780</v>
      </c>
      <c r="G667" s="563">
        <f t="shared" si="59"/>
        <v>16380</v>
      </c>
      <c r="H667" s="399" t="s">
        <v>14809</v>
      </c>
      <c r="I667" s="398"/>
      <c r="J667" s="350"/>
      <c r="K667" s="350"/>
      <c r="L667" s="350"/>
      <c r="M667" s="350">
        <f t="shared" si="57"/>
        <v>0</v>
      </c>
      <c r="N667" s="351"/>
      <c r="O667" s="351">
        <f t="shared" si="58"/>
        <v>16380</v>
      </c>
      <c r="P667" s="564" t="s">
        <v>10599</v>
      </c>
    </row>
    <row r="668" spans="1:18" s="563" customFormat="1">
      <c r="A668" s="183">
        <v>20191125</v>
      </c>
      <c r="B668" s="183" t="s">
        <v>10734</v>
      </c>
      <c r="C668" s="199" t="s">
        <v>10593</v>
      </c>
      <c r="D668" s="617"/>
      <c r="E668" s="199">
        <v>19500</v>
      </c>
      <c r="F668" s="183">
        <v>975</v>
      </c>
      <c r="G668" s="563">
        <f t="shared" si="59"/>
        <v>20475</v>
      </c>
      <c r="H668" s="399" t="s">
        <v>14805</v>
      </c>
      <c r="I668" s="398">
        <v>1445</v>
      </c>
      <c r="J668" s="350"/>
      <c r="K668" s="350">
        <v>20475</v>
      </c>
      <c r="L668" s="350"/>
      <c r="M668" s="350">
        <f t="shared" si="57"/>
        <v>20475</v>
      </c>
      <c r="N668" s="351"/>
      <c r="O668" s="351">
        <f t="shared" si="58"/>
        <v>0</v>
      </c>
      <c r="P668" s="564" t="s">
        <v>10594</v>
      </c>
    </row>
    <row r="669" spans="1:18" s="563" customFormat="1">
      <c r="A669" s="183">
        <v>20191125</v>
      </c>
      <c r="B669" s="183" t="s">
        <v>10735</v>
      </c>
      <c r="C669" s="199" t="s">
        <v>10595</v>
      </c>
      <c r="D669" s="617"/>
      <c r="E669" s="199">
        <v>19500</v>
      </c>
      <c r="F669" s="183">
        <v>975</v>
      </c>
      <c r="G669" s="563">
        <f t="shared" si="59"/>
        <v>20475</v>
      </c>
      <c r="H669" s="399" t="s">
        <v>14736</v>
      </c>
      <c r="I669" s="398">
        <v>1461</v>
      </c>
      <c r="J669" s="350"/>
      <c r="K669" s="350">
        <v>20475</v>
      </c>
      <c r="L669" s="350"/>
      <c r="M669" s="350">
        <f t="shared" si="57"/>
        <v>20475</v>
      </c>
      <c r="N669" s="351"/>
      <c r="O669" s="351">
        <f t="shared" si="58"/>
        <v>0</v>
      </c>
      <c r="P669" s="564" t="s">
        <v>10596</v>
      </c>
      <c r="R669" s="253"/>
    </row>
    <row r="670" spans="1:18" s="563" customFormat="1">
      <c r="A670" s="183">
        <v>20191125</v>
      </c>
      <c r="B670" s="183" t="s">
        <v>10736</v>
      </c>
      <c r="C670" s="199" t="s">
        <v>4000</v>
      </c>
      <c r="D670" s="617"/>
      <c r="E670" s="199">
        <v>15600</v>
      </c>
      <c r="F670" s="183">
        <v>780</v>
      </c>
      <c r="G670" s="563">
        <f t="shared" si="59"/>
        <v>16380</v>
      </c>
      <c r="H670" s="399" t="s">
        <v>14736</v>
      </c>
      <c r="I670" s="398">
        <v>1453</v>
      </c>
      <c r="J670" s="350"/>
      <c r="K670" s="350">
        <v>16380</v>
      </c>
      <c r="L670" s="350"/>
      <c r="M670" s="350">
        <f t="shared" si="57"/>
        <v>16380</v>
      </c>
      <c r="N670" s="351"/>
      <c r="O670" s="351">
        <f t="shared" si="58"/>
        <v>0</v>
      </c>
      <c r="P670" s="564" t="s">
        <v>10596</v>
      </c>
    </row>
    <row r="671" spans="1:18" s="563" customFormat="1">
      <c r="A671" s="183">
        <v>20191125</v>
      </c>
      <c r="B671" s="183" t="s">
        <v>10737</v>
      </c>
      <c r="C671" s="199" t="s">
        <v>10597</v>
      </c>
      <c r="D671" s="617"/>
      <c r="E671" s="199">
        <v>19500</v>
      </c>
      <c r="F671" s="183">
        <v>975</v>
      </c>
      <c r="G671" s="563">
        <f t="shared" si="59"/>
        <v>20475</v>
      </c>
      <c r="H671" s="399" t="s">
        <v>14806</v>
      </c>
      <c r="I671" s="398">
        <v>1530</v>
      </c>
      <c r="J671" s="350">
        <v>20475</v>
      </c>
      <c r="K671" s="350"/>
      <c r="L671" s="350"/>
      <c r="M671" s="350">
        <f t="shared" si="57"/>
        <v>20475</v>
      </c>
      <c r="N671" s="351"/>
      <c r="O671" s="351">
        <f t="shared" si="58"/>
        <v>0</v>
      </c>
      <c r="P671" s="564" t="s">
        <v>10598</v>
      </c>
    </row>
    <row r="672" spans="1:18" s="563" customFormat="1">
      <c r="A672" s="183">
        <v>20191125</v>
      </c>
      <c r="B672" s="183" t="s">
        <v>10738</v>
      </c>
      <c r="C672" s="199" t="s">
        <v>5208</v>
      </c>
      <c r="D672" s="618"/>
      <c r="E672" s="199">
        <v>19500</v>
      </c>
      <c r="F672" s="183">
        <v>975</v>
      </c>
      <c r="G672" s="563">
        <f t="shared" si="59"/>
        <v>20475</v>
      </c>
      <c r="H672" s="399" t="s">
        <v>14761</v>
      </c>
      <c r="I672" s="398">
        <v>1543</v>
      </c>
      <c r="J672" s="350">
        <v>20475</v>
      </c>
      <c r="K672" s="350"/>
      <c r="L672" s="350"/>
      <c r="M672" s="350">
        <f t="shared" si="57"/>
        <v>20475</v>
      </c>
      <c r="N672" s="351"/>
      <c r="O672" s="351">
        <f t="shared" si="58"/>
        <v>0</v>
      </c>
      <c r="P672" s="564" t="s">
        <v>10739</v>
      </c>
    </row>
    <row r="673" spans="1:16" s="563" customFormat="1">
      <c r="A673" s="183">
        <v>20191204</v>
      </c>
      <c r="B673" s="183" t="s">
        <v>10740</v>
      </c>
      <c r="C673" s="199" t="s">
        <v>10630</v>
      </c>
      <c r="D673" s="618"/>
      <c r="E673" s="199">
        <v>19500</v>
      </c>
      <c r="F673" s="183">
        <v>975</v>
      </c>
      <c r="G673" s="563">
        <f t="shared" si="59"/>
        <v>20475</v>
      </c>
      <c r="H673" s="399" t="s">
        <v>14807</v>
      </c>
      <c r="I673" s="398"/>
      <c r="J673" s="350"/>
      <c r="K673" s="350"/>
      <c r="L673" s="350"/>
      <c r="M673" s="350">
        <f t="shared" si="57"/>
        <v>0</v>
      </c>
      <c r="N673" s="351"/>
      <c r="O673" s="351">
        <f t="shared" si="58"/>
        <v>20475</v>
      </c>
      <c r="P673" s="564" t="s">
        <v>4396</v>
      </c>
    </row>
    <row r="674" spans="1:16" s="563" customFormat="1">
      <c r="A674" s="183">
        <v>20191204</v>
      </c>
      <c r="B674" s="183" t="s">
        <v>10741</v>
      </c>
      <c r="C674" s="199" t="s">
        <v>4271</v>
      </c>
      <c r="D674" s="618"/>
      <c r="E674" s="199">
        <v>19500</v>
      </c>
      <c r="F674" s="183">
        <v>975</v>
      </c>
      <c r="G674" s="563">
        <f t="shared" si="59"/>
        <v>20475</v>
      </c>
      <c r="H674" s="399" t="s">
        <v>14808</v>
      </c>
      <c r="I674" s="398"/>
      <c r="J674" s="350"/>
      <c r="K674" s="350"/>
      <c r="L674" s="350"/>
      <c r="M674" s="350">
        <f t="shared" ref="M674:M679" si="60">J674+K674+L674</f>
        <v>0</v>
      </c>
      <c r="N674" s="351"/>
      <c r="O674" s="351">
        <f t="shared" ref="O674:O679" si="61">G674-M674-N674</f>
        <v>20475</v>
      </c>
      <c r="P674" s="564" t="s">
        <v>10631</v>
      </c>
    </row>
    <row r="675" spans="1:16" s="563" customFormat="1">
      <c r="A675" s="183">
        <v>20191204</v>
      </c>
      <c r="B675" s="183" t="s">
        <v>10742</v>
      </c>
      <c r="C675" s="199" t="s">
        <v>10743</v>
      </c>
      <c r="D675" s="618"/>
      <c r="E675" s="199">
        <v>19500</v>
      </c>
      <c r="F675" s="183">
        <v>975</v>
      </c>
      <c r="G675" s="563">
        <f t="shared" si="59"/>
        <v>20475</v>
      </c>
      <c r="H675" s="399" t="s">
        <v>14732</v>
      </c>
      <c r="I675" s="398"/>
      <c r="J675" s="350"/>
      <c r="K675" s="350"/>
      <c r="L675" s="350"/>
      <c r="M675" s="350">
        <f t="shared" si="60"/>
        <v>0</v>
      </c>
      <c r="N675" s="351"/>
      <c r="O675" s="351">
        <f t="shared" si="61"/>
        <v>20475</v>
      </c>
      <c r="P675" s="564" t="s">
        <v>10744</v>
      </c>
    </row>
    <row r="676" spans="1:16" s="563" customFormat="1">
      <c r="A676" s="183">
        <v>20191204</v>
      </c>
      <c r="B676" s="183" t="s">
        <v>10745</v>
      </c>
      <c r="C676" s="199" t="s">
        <v>10630</v>
      </c>
      <c r="E676" s="199">
        <v>19500</v>
      </c>
      <c r="F676" s="183">
        <v>975</v>
      </c>
      <c r="G676" s="563">
        <f t="shared" si="59"/>
        <v>20475</v>
      </c>
      <c r="H676" s="399" t="s">
        <v>14756</v>
      </c>
      <c r="I676" s="398"/>
      <c r="J676" s="350"/>
      <c r="K676" s="350"/>
      <c r="L676" s="350"/>
      <c r="M676" s="350">
        <f t="shared" si="60"/>
        <v>0</v>
      </c>
      <c r="N676" s="351"/>
      <c r="O676" s="351">
        <f t="shared" si="61"/>
        <v>20475</v>
      </c>
      <c r="P676" s="564" t="s">
        <v>10631</v>
      </c>
    </row>
    <row r="677" spans="1:16" s="563" customFormat="1">
      <c r="A677" s="563">
        <v>20191204</v>
      </c>
      <c r="B677" s="183" t="s">
        <v>10746</v>
      </c>
      <c r="C677" s="253" t="s">
        <v>10711</v>
      </c>
      <c r="E677" s="563">
        <v>13500</v>
      </c>
      <c r="F677" s="563">
        <v>675</v>
      </c>
      <c r="G677" s="563">
        <f t="shared" si="59"/>
        <v>14175</v>
      </c>
      <c r="H677" s="399" t="s">
        <v>14734</v>
      </c>
      <c r="I677" s="398" t="s">
        <v>15082</v>
      </c>
      <c r="J677" s="350"/>
      <c r="K677" s="350"/>
      <c r="L677" s="350">
        <v>14165</v>
      </c>
      <c r="M677" s="350">
        <f t="shared" si="60"/>
        <v>14165</v>
      </c>
      <c r="N677" s="351">
        <v>10</v>
      </c>
      <c r="O677" s="351">
        <f t="shared" si="61"/>
        <v>0</v>
      </c>
      <c r="P677" s="564" t="s">
        <v>10639</v>
      </c>
    </row>
    <row r="678" spans="1:16" s="563" customFormat="1">
      <c r="A678" s="563">
        <v>20191217</v>
      </c>
      <c r="B678" s="183" t="s">
        <v>10747</v>
      </c>
      <c r="C678" s="253" t="s">
        <v>10748</v>
      </c>
      <c r="E678" s="563">
        <v>86400</v>
      </c>
      <c r="F678" s="563">
        <v>4320</v>
      </c>
      <c r="G678" s="563">
        <f t="shared" si="59"/>
        <v>90720</v>
      </c>
      <c r="H678" s="399" t="s">
        <v>14764</v>
      </c>
      <c r="I678" s="398"/>
      <c r="J678" s="350"/>
      <c r="K678" s="350"/>
      <c r="L678" s="350"/>
      <c r="M678" s="350">
        <f t="shared" si="60"/>
        <v>0</v>
      </c>
      <c r="N678" s="351"/>
      <c r="O678" s="351">
        <f t="shared" si="61"/>
        <v>90720</v>
      </c>
      <c r="P678" s="564" t="s">
        <v>10749</v>
      </c>
    </row>
    <row r="679" spans="1:16" s="563" customFormat="1">
      <c r="A679" s="563">
        <v>20191224</v>
      </c>
      <c r="B679" s="183" t="s">
        <v>10750</v>
      </c>
      <c r="C679" s="253" t="s">
        <v>10751</v>
      </c>
      <c r="E679" s="563">
        <v>86400</v>
      </c>
      <c r="F679" s="563">
        <v>4320</v>
      </c>
      <c r="G679" s="563">
        <f t="shared" si="59"/>
        <v>90720</v>
      </c>
      <c r="H679" s="399" t="s">
        <v>14773</v>
      </c>
      <c r="I679" s="398"/>
      <c r="J679" s="350"/>
      <c r="K679" s="350"/>
      <c r="L679" s="350"/>
      <c r="M679" s="350">
        <f t="shared" si="60"/>
        <v>0</v>
      </c>
      <c r="N679" s="351"/>
      <c r="O679" s="351">
        <f t="shared" si="61"/>
        <v>90720</v>
      </c>
      <c r="P679" s="564" t="s">
        <v>10752</v>
      </c>
    </row>
  </sheetData>
  <phoneticPr fontId="3" type="noConversion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21"/>
  <sheetViews>
    <sheetView zoomScale="90" zoomScaleNormal="90" workbookViewId="0">
      <pane ySplit="2" topLeftCell="A59" activePane="bottomLeft" state="frozen"/>
      <selection pane="bottomLeft" activeCell="U1" sqref="U1"/>
    </sheetView>
  </sheetViews>
  <sheetFormatPr defaultColWidth="9" defaultRowHeight="16.5"/>
  <cols>
    <col min="1" max="1" width="10.75" style="442" customWidth="1"/>
    <col min="2" max="2" width="17.5" style="413" bestFit="1" customWidth="1"/>
    <col min="3" max="3" width="3.625" style="442" customWidth="1"/>
    <col min="4" max="4" width="16.25" style="441" customWidth="1"/>
    <col min="5" max="5" width="8" style="442" customWidth="1"/>
    <col min="6" max="6" width="10" style="443" bestFit="1" customWidth="1"/>
    <col min="7" max="7" width="4.125" style="442" bestFit="1" customWidth="1"/>
    <col min="8" max="8" width="8.625" style="444" bestFit="1" customWidth="1"/>
    <col min="9" max="9" width="4" style="442" bestFit="1" customWidth="1"/>
    <col min="10" max="10" width="12.125" style="444" bestFit="1" customWidth="1"/>
    <col min="11" max="11" width="5" style="442" bestFit="1" customWidth="1"/>
    <col min="12" max="12" width="7.5" style="444" bestFit="1" customWidth="1"/>
    <col min="13" max="13" width="5.125" style="445" bestFit="1" customWidth="1"/>
    <col min="14" max="14" width="5.5" style="444" customWidth="1"/>
    <col min="15" max="15" width="5.5" style="416" customWidth="1"/>
    <col min="16" max="16" width="7.5" style="416" bestFit="1" customWidth="1"/>
    <col min="17" max="17" width="5.125" style="416" bestFit="1" customWidth="1"/>
    <col min="18" max="19" width="7" style="416" customWidth="1"/>
    <col min="20" max="20" width="7.5" style="416" customWidth="1"/>
    <col min="21" max="21" width="7.875" style="451" customWidth="1"/>
    <col min="22" max="22" width="8.375" style="451" customWidth="1"/>
    <col min="23" max="23" width="4.875" style="451" customWidth="1"/>
    <col min="24" max="24" width="7.625" style="451" customWidth="1"/>
    <col min="25" max="25" width="6.625" style="415" customWidth="1"/>
    <col min="26" max="26" width="8.125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5065</v>
      </c>
      <c r="C1" s="414">
        <f>SUM(C3:C35)</f>
        <v>16</v>
      </c>
      <c r="D1" s="414">
        <f>SUM(D3:D35)</f>
        <v>37580.521904761888</v>
      </c>
      <c r="E1" s="414">
        <f t="shared" ref="E1:X1" si="0">SUM(E3:E35)</f>
        <v>13</v>
      </c>
      <c r="F1" s="414">
        <f t="shared" si="0"/>
        <v>35019.714761904761</v>
      </c>
      <c r="G1" s="414">
        <f t="shared" si="0"/>
        <v>12</v>
      </c>
      <c r="H1" s="414">
        <f t="shared" si="0"/>
        <v>13799.047142857144</v>
      </c>
      <c r="I1" s="414">
        <f t="shared" si="0"/>
        <v>19</v>
      </c>
      <c r="J1" s="414">
        <f t="shared" si="0"/>
        <v>57601.156666666669</v>
      </c>
      <c r="K1" s="414">
        <f t="shared" si="0"/>
        <v>32</v>
      </c>
      <c r="L1" s="414">
        <f t="shared" si="0"/>
        <v>16831.056666666664</v>
      </c>
      <c r="M1" s="414">
        <f t="shared" si="0"/>
        <v>32</v>
      </c>
      <c r="N1" s="414">
        <f t="shared" si="0"/>
        <v>8771.5</v>
      </c>
      <c r="O1" s="414">
        <f t="shared" si="0"/>
        <v>14</v>
      </c>
      <c r="P1" s="414">
        <f t="shared" si="0"/>
        <v>19321.900000000001</v>
      </c>
      <c r="Q1" s="414">
        <f t="shared" si="0"/>
        <v>11</v>
      </c>
      <c r="R1" s="414">
        <f t="shared" si="0"/>
        <v>24275.200000000004</v>
      </c>
      <c r="S1" s="414">
        <f t="shared" si="0"/>
        <v>10</v>
      </c>
      <c r="T1" s="414">
        <f t="shared" si="0"/>
        <v>13863.67</v>
      </c>
      <c r="U1" s="414">
        <f t="shared" si="0"/>
        <v>227281.76714285705</v>
      </c>
      <c r="V1" s="414">
        <f t="shared" si="0"/>
        <v>11362</v>
      </c>
      <c r="W1" s="414"/>
      <c r="X1" s="414">
        <f t="shared" si="0"/>
        <v>238643.76714285705</v>
      </c>
    </row>
    <row r="2" spans="1:27">
      <c r="A2" s="417" t="s">
        <v>241</v>
      </c>
      <c r="B2" s="418" t="s">
        <v>894</v>
      </c>
      <c r="C2" s="418" t="s">
        <v>895</v>
      </c>
      <c r="D2" s="419" t="s">
        <v>896</v>
      </c>
      <c r="E2" s="418" t="s">
        <v>897</v>
      </c>
      <c r="F2" s="420" t="s">
        <v>896</v>
      </c>
      <c r="G2" s="418" t="s">
        <v>898</v>
      </c>
      <c r="H2" s="420" t="s">
        <v>896</v>
      </c>
      <c r="I2" s="418" t="s">
        <v>899</v>
      </c>
      <c r="J2" s="420" t="s">
        <v>896</v>
      </c>
      <c r="K2" s="418" t="s">
        <v>900</v>
      </c>
      <c r="L2" s="420" t="s">
        <v>896</v>
      </c>
      <c r="M2" s="421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1" t="s">
        <v>3755</v>
      </c>
      <c r="T2" s="420" t="s">
        <v>896</v>
      </c>
      <c r="U2" s="421" t="s">
        <v>592</v>
      </c>
      <c r="V2" s="417" t="s">
        <v>2683</v>
      </c>
      <c r="W2" s="417" t="s">
        <v>593</v>
      </c>
      <c r="X2" s="417" t="s">
        <v>2378</v>
      </c>
      <c r="Y2" s="423" t="s">
        <v>903</v>
      </c>
      <c r="Z2" s="422"/>
      <c r="AA2" s="422"/>
    </row>
    <row r="3" spans="1:27">
      <c r="A3" s="424">
        <v>42775</v>
      </c>
      <c r="B3" s="412" t="s">
        <v>5143</v>
      </c>
      <c r="C3" s="425"/>
      <c r="D3" s="426"/>
      <c r="E3" s="425"/>
      <c r="F3" s="426"/>
      <c r="G3" s="425"/>
      <c r="H3" s="427"/>
      <c r="I3" s="425"/>
      <c r="J3" s="426"/>
      <c r="K3" s="425"/>
      <c r="L3" s="426"/>
      <c r="M3" s="428"/>
      <c r="N3" s="426"/>
      <c r="O3" s="428"/>
      <c r="P3" s="426"/>
      <c r="Q3" s="428"/>
      <c r="R3" s="426"/>
      <c r="S3" s="428">
        <v>1</v>
      </c>
      <c r="T3" s="426">
        <v>845.71</v>
      </c>
      <c r="U3" s="414">
        <f t="shared" ref="U3:U19" si="1">D3+F3+H3+J3+L3+N3+T3+P3+R3</f>
        <v>845.71</v>
      </c>
      <c r="V3" s="414">
        <v>42</v>
      </c>
      <c r="W3" s="414"/>
      <c r="X3" s="429">
        <f t="shared" ref="X3:X29" si="2">U3+V3</f>
        <v>887.71</v>
      </c>
      <c r="Y3" s="430" t="s">
        <v>5069</v>
      </c>
      <c r="Z3" s="431"/>
      <c r="AA3" s="432"/>
    </row>
    <row r="4" spans="1:27">
      <c r="A4" s="424">
        <v>42781</v>
      </c>
      <c r="B4" s="412" t="s">
        <v>5144</v>
      </c>
      <c r="C4" s="425"/>
      <c r="D4" s="426"/>
      <c r="E4" s="425">
        <v>1</v>
      </c>
      <c r="F4" s="426">
        <v>2943</v>
      </c>
      <c r="G4" s="425"/>
      <c r="H4" s="427"/>
      <c r="I4" s="425"/>
      <c r="J4" s="426"/>
      <c r="K4" s="425"/>
      <c r="L4" s="426"/>
      <c r="M4" s="428"/>
      <c r="N4" s="426"/>
      <c r="O4" s="428"/>
      <c r="P4" s="426"/>
      <c r="Q4" s="428"/>
      <c r="R4" s="426"/>
      <c r="S4" s="428"/>
      <c r="T4" s="426"/>
      <c r="U4" s="414">
        <f t="shared" si="1"/>
        <v>2943</v>
      </c>
      <c r="V4" s="414">
        <v>147</v>
      </c>
      <c r="W4" s="414"/>
      <c r="X4" s="429">
        <f t="shared" si="2"/>
        <v>3090</v>
      </c>
      <c r="Y4" s="430" t="s">
        <v>5145</v>
      </c>
      <c r="Z4" s="431"/>
      <c r="AA4" s="432"/>
    </row>
    <row r="5" spans="1:27">
      <c r="A5" s="424">
        <v>42781</v>
      </c>
      <c r="B5" s="412" t="s">
        <v>5146</v>
      </c>
      <c r="C5" s="425"/>
      <c r="D5" s="426"/>
      <c r="E5" s="425">
        <v>1</v>
      </c>
      <c r="F5" s="426">
        <v>2943</v>
      </c>
      <c r="G5" s="425"/>
      <c r="H5" s="427"/>
      <c r="I5" s="425"/>
      <c r="J5" s="426"/>
      <c r="K5" s="425"/>
      <c r="L5" s="426"/>
      <c r="M5" s="428"/>
      <c r="N5" s="426"/>
      <c r="O5" s="428"/>
      <c r="P5" s="426"/>
      <c r="Q5" s="428"/>
      <c r="R5" s="426"/>
      <c r="S5" s="428"/>
      <c r="T5" s="426"/>
      <c r="U5" s="414">
        <f t="shared" si="1"/>
        <v>2943</v>
      </c>
      <c r="V5" s="414">
        <v>147</v>
      </c>
      <c r="W5" s="414"/>
      <c r="X5" s="429">
        <f t="shared" si="2"/>
        <v>3090</v>
      </c>
      <c r="Y5" s="430" t="s">
        <v>5145</v>
      </c>
      <c r="Z5" s="431"/>
      <c r="AA5" s="432"/>
    </row>
    <row r="6" spans="1:27" ht="15.75" customHeight="1">
      <c r="A6" s="424">
        <v>42781</v>
      </c>
      <c r="B6" s="412" t="s">
        <v>5147</v>
      </c>
      <c r="C6" s="425"/>
      <c r="D6" s="426"/>
      <c r="E6" s="425">
        <v>1</v>
      </c>
      <c r="F6" s="426">
        <v>2943</v>
      </c>
      <c r="G6" s="425"/>
      <c r="H6" s="427"/>
      <c r="I6" s="425"/>
      <c r="J6" s="426"/>
      <c r="K6" s="425"/>
      <c r="L6" s="426"/>
      <c r="M6" s="428"/>
      <c r="N6" s="426"/>
      <c r="O6" s="428"/>
      <c r="P6" s="426"/>
      <c r="Q6" s="428"/>
      <c r="R6" s="426"/>
      <c r="S6" s="428"/>
      <c r="T6" s="426"/>
      <c r="U6" s="414">
        <f t="shared" si="1"/>
        <v>2943</v>
      </c>
      <c r="V6" s="414">
        <v>147</v>
      </c>
      <c r="W6" s="414"/>
      <c r="X6" s="429">
        <f t="shared" si="2"/>
        <v>3090</v>
      </c>
      <c r="Y6" s="430" t="s">
        <v>5145</v>
      </c>
      <c r="Z6" s="431"/>
      <c r="AA6" s="432"/>
    </row>
    <row r="7" spans="1:27">
      <c r="A7" s="424">
        <v>42797</v>
      </c>
      <c r="B7" s="412" t="s">
        <v>5124</v>
      </c>
      <c r="C7" s="425"/>
      <c r="D7" s="426"/>
      <c r="E7" s="425">
        <v>3</v>
      </c>
      <c r="F7" s="426">
        <f>2847.7*3</f>
        <v>8543.0999999999985</v>
      </c>
      <c r="G7" s="425"/>
      <c r="H7" s="427"/>
      <c r="I7" s="425"/>
      <c r="J7" s="426"/>
      <c r="K7" s="425"/>
      <c r="L7" s="426"/>
      <c r="M7" s="428"/>
      <c r="N7" s="426"/>
      <c r="O7" s="428"/>
      <c r="P7" s="426"/>
      <c r="Q7" s="428"/>
      <c r="R7" s="426"/>
      <c r="S7" s="428"/>
      <c r="T7" s="426"/>
      <c r="U7" s="414">
        <f t="shared" si="1"/>
        <v>8543.0999999999985</v>
      </c>
      <c r="V7" s="414">
        <v>427</v>
      </c>
      <c r="W7" s="414"/>
      <c r="X7" s="429">
        <f t="shared" si="2"/>
        <v>8970.0999999999985</v>
      </c>
      <c r="Y7" s="430" t="s">
        <v>5108</v>
      </c>
      <c r="Z7" s="431"/>
      <c r="AA7" s="432"/>
    </row>
    <row r="8" spans="1:27">
      <c r="A8" s="424">
        <v>42799</v>
      </c>
      <c r="B8" s="412" t="s">
        <v>5121</v>
      </c>
      <c r="C8" s="425"/>
      <c r="D8" s="426"/>
      <c r="E8" s="425"/>
      <c r="F8" s="426"/>
      <c r="G8" s="425">
        <v>2</v>
      </c>
      <c r="H8" s="427">
        <f>1475.24*2</f>
        <v>2950.48</v>
      </c>
      <c r="I8" s="425"/>
      <c r="J8" s="426"/>
      <c r="K8" s="425"/>
      <c r="L8" s="426"/>
      <c r="M8" s="428">
        <v>4</v>
      </c>
      <c r="N8" s="426">
        <f>238.1*4</f>
        <v>952.4</v>
      </c>
      <c r="O8" s="428">
        <v>3</v>
      </c>
      <c r="P8" s="426">
        <f>1514.29*3</f>
        <v>4542.87</v>
      </c>
      <c r="Q8" s="428">
        <v>2</v>
      </c>
      <c r="R8" s="426">
        <f>2284.76*2</f>
        <v>4569.5200000000004</v>
      </c>
      <c r="S8" s="428"/>
      <c r="T8" s="426"/>
      <c r="U8" s="414">
        <f t="shared" si="1"/>
        <v>13015.27</v>
      </c>
      <c r="V8" s="414">
        <v>651</v>
      </c>
      <c r="W8" s="414"/>
      <c r="X8" s="429">
        <f t="shared" si="2"/>
        <v>13666.27</v>
      </c>
      <c r="Y8" s="430" t="s">
        <v>5069</v>
      </c>
      <c r="Z8" s="431"/>
      <c r="AA8" s="432"/>
    </row>
    <row r="9" spans="1:27">
      <c r="A9" s="424">
        <v>42800</v>
      </c>
      <c r="B9" s="412" t="s">
        <v>5125</v>
      </c>
      <c r="C9" s="425">
        <v>2</v>
      </c>
      <c r="D9" s="426">
        <f>5590.5*2</f>
        <v>11181</v>
      </c>
      <c r="E9" s="425"/>
      <c r="F9" s="426"/>
      <c r="G9" s="425"/>
      <c r="H9" s="427"/>
      <c r="I9" s="425"/>
      <c r="J9" s="426"/>
      <c r="K9" s="425"/>
      <c r="L9" s="426"/>
      <c r="M9" s="428"/>
      <c r="N9" s="426"/>
      <c r="O9" s="428"/>
      <c r="P9" s="426"/>
      <c r="Q9" s="428"/>
      <c r="R9" s="426"/>
      <c r="S9" s="428"/>
      <c r="T9" s="426"/>
      <c r="U9" s="414">
        <f t="shared" si="1"/>
        <v>11181</v>
      </c>
      <c r="V9" s="414">
        <v>559</v>
      </c>
      <c r="W9" s="414"/>
      <c r="X9" s="429">
        <f t="shared" si="2"/>
        <v>11740</v>
      </c>
      <c r="Y9" s="430" t="s">
        <v>5108</v>
      </c>
      <c r="Z9" s="431"/>
      <c r="AA9" s="432"/>
    </row>
    <row r="10" spans="1:27">
      <c r="A10" s="424">
        <v>42800</v>
      </c>
      <c r="B10" s="412" t="s">
        <v>5122</v>
      </c>
      <c r="C10" s="425"/>
      <c r="D10" s="426"/>
      <c r="E10" s="425"/>
      <c r="F10" s="426"/>
      <c r="G10" s="425"/>
      <c r="H10" s="427"/>
      <c r="I10" s="425"/>
      <c r="J10" s="426"/>
      <c r="K10" s="425">
        <v>4</v>
      </c>
      <c r="L10" s="426">
        <f>1250*4</f>
        <v>5000</v>
      </c>
      <c r="M10" s="428"/>
      <c r="N10" s="426"/>
      <c r="O10" s="428"/>
      <c r="P10" s="426"/>
      <c r="Q10" s="428"/>
      <c r="R10" s="426"/>
      <c r="S10" s="428">
        <v>1</v>
      </c>
      <c r="T10" s="426">
        <v>337</v>
      </c>
      <c r="U10" s="414">
        <f t="shared" si="1"/>
        <v>5337</v>
      </c>
      <c r="V10" s="414">
        <v>267</v>
      </c>
      <c r="W10" s="414"/>
      <c r="X10" s="429">
        <f t="shared" si="2"/>
        <v>5604</v>
      </c>
      <c r="Y10" s="430" t="s">
        <v>5123</v>
      </c>
      <c r="Z10" s="431"/>
      <c r="AA10" s="432"/>
    </row>
    <row r="11" spans="1:27">
      <c r="A11" s="424">
        <v>42821</v>
      </c>
      <c r="B11" s="412" t="s">
        <v>5126</v>
      </c>
      <c r="C11" s="425"/>
      <c r="D11" s="426"/>
      <c r="E11" s="425"/>
      <c r="F11" s="426"/>
      <c r="G11" s="425">
        <v>2</v>
      </c>
      <c r="H11" s="427">
        <f>808.57*2</f>
        <v>1617.14</v>
      </c>
      <c r="I11" s="425">
        <v>5</v>
      </c>
      <c r="J11" s="426">
        <f>5*(3141.9-142.86)</f>
        <v>14995.2</v>
      </c>
      <c r="K11" s="425">
        <v>4</v>
      </c>
      <c r="L11" s="426">
        <f>314.29*4</f>
        <v>1257.1600000000001</v>
      </c>
      <c r="M11" s="428">
        <v>4</v>
      </c>
      <c r="N11" s="426">
        <f>238.1*2+256.19*2</f>
        <v>988.57999999999993</v>
      </c>
      <c r="O11" s="428">
        <v>2</v>
      </c>
      <c r="P11" s="426">
        <f>1514.29*2</f>
        <v>3028.58</v>
      </c>
      <c r="Q11" s="428">
        <v>2</v>
      </c>
      <c r="R11" s="426">
        <f>2189.52*2</f>
        <v>4379.04</v>
      </c>
      <c r="S11" s="428">
        <v>1</v>
      </c>
      <c r="T11" s="426">
        <v>600</v>
      </c>
      <c r="U11" s="414">
        <f t="shared" si="1"/>
        <v>26865.700000000004</v>
      </c>
      <c r="V11" s="414">
        <v>1343</v>
      </c>
      <c r="W11" s="414"/>
      <c r="X11" s="429">
        <f t="shared" si="2"/>
        <v>28208.700000000004</v>
      </c>
      <c r="Y11" s="430" t="s">
        <v>5069</v>
      </c>
      <c r="Z11" s="431"/>
      <c r="AA11" s="432"/>
    </row>
    <row r="12" spans="1:27">
      <c r="A12" s="424">
        <v>42822</v>
      </c>
      <c r="B12" s="412" t="s">
        <v>5127</v>
      </c>
      <c r="C12" s="425">
        <v>5</v>
      </c>
      <c r="D12" s="426">
        <f>5476+110</f>
        <v>5586</v>
      </c>
      <c r="E12" s="425"/>
      <c r="F12" s="426"/>
      <c r="G12" s="425"/>
      <c r="H12" s="427"/>
      <c r="I12" s="425"/>
      <c r="J12" s="426"/>
      <c r="K12" s="425"/>
      <c r="L12" s="426"/>
      <c r="M12" s="428"/>
      <c r="N12" s="426"/>
      <c r="O12" s="428"/>
      <c r="P12" s="426"/>
      <c r="Q12" s="428"/>
      <c r="R12" s="426"/>
      <c r="S12" s="428"/>
      <c r="T12" s="426"/>
      <c r="U12" s="414">
        <f t="shared" si="1"/>
        <v>5586</v>
      </c>
      <c r="V12" s="414">
        <v>279</v>
      </c>
      <c r="W12" s="414"/>
      <c r="X12" s="429">
        <f t="shared" si="2"/>
        <v>5865</v>
      </c>
      <c r="Y12" s="430" t="s">
        <v>5067</v>
      </c>
      <c r="Z12" s="431"/>
      <c r="AA12" s="432"/>
    </row>
    <row r="13" spans="1:27">
      <c r="A13" s="424">
        <v>42824</v>
      </c>
      <c r="B13" s="412" t="s">
        <v>5128</v>
      </c>
      <c r="C13" s="425">
        <v>1</v>
      </c>
      <c r="D13" s="426">
        <v>1238.0999999999999</v>
      </c>
      <c r="E13" s="425">
        <v>1</v>
      </c>
      <c r="F13" s="426">
        <v>2276.19</v>
      </c>
      <c r="G13" s="425">
        <v>1</v>
      </c>
      <c r="H13" s="427">
        <v>903.81</v>
      </c>
      <c r="I13" s="425"/>
      <c r="J13" s="426"/>
      <c r="K13" s="425"/>
      <c r="L13" s="426"/>
      <c r="M13" s="428"/>
      <c r="N13" s="426"/>
      <c r="O13" s="428"/>
      <c r="P13" s="426"/>
      <c r="Q13" s="428"/>
      <c r="R13" s="426"/>
      <c r="S13" s="428">
        <v>1</v>
      </c>
      <c r="T13" s="426">
        <v>94.29</v>
      </c>
      <c r="U13" s="414">
        <f t="shared" si="1"/>
        <v>4512.3900000000003</v>
      </c>
      <c r="V13" s="414">
        <v>226</v>
      </c>
      <c r="W13" s="414"/>
      <c r="X13" s="429">
        <f t="shared" si="2"/>
        <v>4738.3900000000003</v>
      </c>
      <c r="Y13" s="430" t="s">
        <v>5069</v>
      </c>
      <c r="Z13" s="431"/>
      <c r="AA13" s="432"/>
    </row>
    <row r="14" spans="1:27">
      <c r="A14" s="424">
        <v>42831</v>
      </c>
      <c r="B14" s="412" t="s">
        <v>5129</v>
      </c>
      <c r="C14" s="425"/>
      <c r="D14" s="426"/>
      <c r="E14" s="425"/>
      <c r="F14" s="426"/>
      <c r="G14" s="425">
        <v>2</v>
      </c>
      <c r="H14" s="427">
        <f>808.57*2</f>
        <v>1617.14</v>
      </c>
      <c r="I14" s="425">
        <v>2</v>
      </c>
      <c r="J14" s="426">
        <f>(3141.9-142.86)*2</f>
        <v>5998.08</v>
      </c>
      <c r="K14" s="425">
        <v>4</v>
      </c>
      <c r="L14" s="426">
        <f>314.29*4</f>
        <v>1257.1600000000001</v>
      </c>
      <c r="M14" s="428">
        <v>4</v>
      </c>
      <c r="N14" s="426">
        <f>4*256.19</f>
        <v>1024.76</v>
      </c>
      <c r="O14" s="428">
        <v>2</v>
      </c>
      <c r="P14" s="426">
        <f>1514.29*2</f>
        <v>3028.58</v>
      </c>
      <c r="Q14" s="428">
        <v>2</v>
      </c>
      <c r="R14" s="426">
        <f>2189.52*2</f>
        <v>4379.04</v>
      </c>
      <c r="S14" s="428">
        <v>1</v>
      </c>
      <c r="T14" s="426">
        <v>847.62</v>
      </c>
      <c r="U14" s="414">
        <f t="shared" si="1"/>
        <v>18152.38</v>
      </c>
      <c r="V14" s="414">
        <v>908</v>
      </c>
      <c r="W14" s="414"/>
      <c r="X14" s="429">
        <f t="shared" si="2"/>
        <v>19060.38</v>
      </c>
      <c r="Y14" s="430" t="s">
        <v>5069</v>
      </c>
      <c r="Z14" s="431"/>
      <c r="AA14" s="432"/>
    </row>
    <row r="15" spans="1:27">
      <c r="A15" s="424">
        <v>42842</v>
      </c>
      <c r="B15" s="412" t="s">
        <v>5130</v>
      </c>
      <c r="C15" s="425">
        <v>1</v>
      </c>
      <c r="D15" s="426">
        <v>1238.0999999999999</v>
      </c>
      <c r="E15" s="425">
        <v>1</v>
      </c>
      <c r="F15" s="426">
        <v>2276.19</v>
      </c>
      <c r="G15" s="425">
        <v>1</v>
      </c>
      <c r="H15" s="427">
        <v>903.81</v>
      </c>
      <c r="I15" s="425"/>
      <c r="J15" s="426"/>
      <c r="K15" s="425">
        <v>2</v>
      </c>
      <c r="L15" s="426">
        <f>314.29*2-94.29</f>
        <v>534.29000000000008</v>
      </c>
      <c r="M15" s="428">
        <v>2</v>
      </c>
      <c r="N15" s="426">
        <f>2*285.71</f>
        <v>571.41999999999996</v>
      </c>
      <c r="O15" s="428">
        <v>4</v>
      </c>
      <c r="P15" s="426">
        <f>1044.75*4</f>
        <v>4179</v>
      </c>
      <c r="Q15" s="428">
        <v>2</v>
      </c>
      <c r="R15" s="426">
        <f>2189.52*2</f>
        <v>4379.04</v>
      </c>
      <c r="S15" s="428"/>
      <c r="T15" s="426"/>
      <c r="U15" s="414">
        <f t="shared" si="1"/>
        <v>14081.850000000002</v>
      </c>
      <c r="V15" s="414">
        <v>704</v>
      </c>
      <c r="W15" s="414"/>
      <c r="X15" s="429">
        <f t="shared" si="2"/>
        <v>14785.850000000002</v>
      </c>
      <c r="Y15" s="430" t="s">
        <v>5069</v>
      </c>
      <c r="Z15" s="431"/>
      <c r="AA15" s="432"/>
    </row>
    <row r="16" spans="1:27">
      <c r="A16" s="424">
        <v>42843</v>
      </c>
      <c r="B16" s="412" t="s">
        <v>5131</v>
      </c>
      <c r="C16" s="425"/>
      <c r="D16" s="426"/>
      <c r="E16" s="425"/>
      <c r="F16" s="426"/>
      <c r="G16" s="425"/>
      <c r="H16" s="427"/>
      <c r="I16" s="425"/>
      <c r="J16" s="426"/>
      <c r="K16" s="425"/>
      <c r="L16" s="426"/>
      <c r="M16" s="428">
        <v>4</v>
      </c>
      <c r="N16" s="426">
        <f>284.76*4</f>
        <v>1139.04</v>
      </c>
      <c r="O16" s="428"/>
      <c r="P16" s="426"/>
      <c r="Q16" s="428"/>
      <c r="R16" s="426"/>
      <c r="S16" s="428"/>
      <c r="T16" s="426"/>
      <c r="U16" s="414">
        <f t="shared" si="1"/>
        <v>1139.04</v>
      </c>
      <c r="V16" s="414">
        <v>57</v>
      </c>
      <c r="W16" s="414"/>
      <c r="X16" s="429">
        <f t="shared" si="2"/>
        <v>1196.04</v>
      </c>
      <c r="Y16" s="430" t="s">
        <v>5069</v>
      </c>
      <c r="Z16" s="431"/>
      <c r="AA16" s="432"/>
    </row>
    <row r="17" spans="1:27">
      <c r="A17" s="424">
        <v>42864</v>
      </c>
      <c r="B17" s="412" t="s">
        <v>5105</v>
      </c>
      <c r="C17" s="425"/>
      <c r="D17" s="426"/>
      <c r="E17" s="425"/>
      <c r="F17" s="426"/>
      <c r="G17" s="425"/>
      <c r="H17" s="427"/>
      <c r="I17" s="425"/>
      <c r="J17" s="426"/>
      <c r="K17" s="425"/>
      <c r="L17" s="426"/>
      <c r="M17" s="428"/>
      <c r="N17" s="426"/>
      <c r="O17" s="428"/>
      <c r="P17" s="426"/>
      <c r="Q17" s="428">
        <v>2</v>
      </c>
      <c r="R17" s="426">
        <f>2189.52*2</f>
        <v>4379.04</v>
      </c>
      <c r="S17" s="428"/>
      <c r="T17" s="426"/>
      <c r="U17" s="414">
        <f t="shared" si="1"/>
        <v>4379.04</v>
      </c>
      <c r="V17" s="414">
        <v>219</v>
      </c>
      <c r="W17" s="414"/>
      <c r="X17" s="429">
        <f t="shared" si="2"/>
        <v>4598.04</v>
      </c>
      <c r="Y17" s="430" t="s">
        <v>5069</v>
      </c>
      <c r="Z17" s="431"/>
      <c r="AA17" s="432"/>
    </row>
    <row r="18" spans="1:27">
      <c r="A18" s="424">
        <v>42865</v>
      </c>
      <c r="B18" s="412" t="s">
        <v>5106</v>
      </c>
      <c r="C18" s="425"/>
      <c r="D18" s="426"/>
      <c r="E18" s="425"/>
      <c r="F18" s="426"/>
      <c r="G18" s="425"/>
      <c r="H18" s="427"/>
      <c r="I18" s="425"/>
      <c r="J18" s="426"/>
      <c r="K18" s="425"/>
      <c r="L18" s="426"/>
      <c r="M18" s="428">
        <v>4</v>
      </c>
      <c r="N18" s="426">
        <f>4*238.1</f>
        <v>952.4</v>
      </c>
      <c r="O18" s="428"/>
      <c r="P18" s="426"/>
      <c r="Q18" s="428"/>
      <c r="R18" s="426"/>
      <c r="S18" s="428"/>
      <c r="T18" s="426"/>
      <c r="U18" s="414">
        <f t="shared" si="1"/>
        <v>952.4</v>
      </c>
      <c r="V18" s="414">
        <v>48</v>
      </c>
      <c r="W18" s="414"/>
      <c r="X18" s="429">
        <f t="shared" si="2"/>
        <v>1000.4</v>
      </c>
      <c r="Y18" s="430" t="s">
        <v>5069</v>
      </c>
      <c r="Z18" s="639"/>
      <c r="AA18" s="432"/>
    </row>
    <row r="19" spans="1:27">
      <c r="A19" s="424">
        <v>42865</v>
      </c>
      <c r="B19" s="412" t="s">
        <v>5107</v>
      </c>
      <c r="C19" s="425"/>
      <c r="D19" s="426"/>
      <c r="E19" s="425"/>
      <c r="F19" s="426"/>
      <c r="G19" s="425"/>
      <c r="H19" s="427"/>
      <c r="I19" s="425">
        <v>3</v>
      </c>
      <c r="J19" s="426">
        <f>3142*3</f>
        <v>9426</v>
      </c>
      <c r="K19" s="425"/>
      <c r="L19" s="426"/>
      <c r="M19" s="428"/>
      <c r="N19" s="426"/>
      <c r="O19" s="428"/>
      <c r="P19" s="426"/>
      <c r="Q19" s="428"/>
      <c r="R19" s="426"/>
      <c r="S19" s="428"/>
      <c r="T19" s="426"/>
      <c r="U19" s="414">
        <f t="shared" si="1"/>
        <v>9426</v>
      </c>
      <c r="V19" s="414">
        <v>471</v>
      </c>
      <c r="W19" s="414"/>
      <c r="X19" s="429">
        <f t="shared" si="2"/>
        <v>9897</v>
      </c>
      <c r="Y19" s="430" t="s">
        <v>5108</v>
      </c>
      <c r="Z19" s="639"/>
      <c r="AA19" s="432"/>
    </row>
    <row r="20" spans="1:27">
      <c r="A20" s="424">
        <v>42865</v>
      </c>
      <c r="B20" s="412" t="s">
        <v>5109</v>
      </c>
      <c r="C20" s="425">
        <v>1</v>
      </c>
      <c r="D20" s="426">
        <f>7800/1.05</f>
        <v>7428.5714285714284</v>
      </c>
      <c r="E20" s="425"/>
      <c r="F20" s="426"/>
      <c r="G20" s="425"/>
      <c r="H20" s="427"/>
      <c r="I20" s="425"/>
      <c r="J20" s="426"/>
      <c r="K20" s="425">
        <v>2</v>
      </c>
      <c r="L20" s="426">
        <f>1898/1.05</f>
        <v>1807.6190476190475</v>
      </c>
      <c r="M20" s="428"/>
      <c r="N20" s="426"/>
      <c r="O20" s="428"/>
      <c r="P20" s="426"/>
      <c r="Q20" s="428"/>
      <c r="R20" s="426"/>
      <c r="S20" s="428"/>
      <c r="T20" s="426"/>
      <c r="U20" s="640">
        <f>D20+F20+H20+J20+L20+N20+T20+P20+R20+185</f>
        <v>9421.1904761904752</v>
      </c>
      <c r="V20" s="414">
        <v>471</v>
      </c>
      <c r="W20" s="414"/>
      <c r="X20" s="429">
        <f t="shared" si="2"/>
        <v>9892.1904761904752</v>
      </c>
      <c r="Y20" s="430" t="s">
        <v>5067</v>
      </c>
      <c r="Z20" s="639"/>
      <c r="AA20" s="432"/>
    </row>
    <row r="21" spans="1:27">
      <c r="A21" s="424">
        <v>42866</v>
      </c>
      <c r="B21" s="412" t="s">
        <v>5110</v>
      </c>
      <c r="C21" s="425"/>
      <c r="D21" s="426"/>
      <c r="E21" s="425"/>
      <c r="F21" s="426"/>
      <c r="G21" s="425"/>
      <c r="H21" s="427"/>
      <c r="I21" s="425"/>
      <c r="J21" s="426"/>
      <c r="K21" s="425"/>
      <c r="L21" s="426"/>
      <c r="M21" s="428"/>
      <c r="N21" s="426"/>
      <c r="O21" s="428"/>
      <c r="P21" s="426"/>
      <c r="Q21" s="428"/>
      <c r="R21" s="426"/>
      <c r="S21" s="428">
        <v>1</v>
      </c>
      <c r="T21" s="426">
        <v>6179.05</v>
      </c>
      <c r="U21" s="414">
        <f t="shared" ref="U21:U35" si="3">D21+F21+H21+J21+L21+N21+T21+P21+R21</f>
        <v>6179.05</v>
      </c>
      <c r="V21" s="414">
        <v>309</v>
      </c>
      <c r="W21" s="414"/>
      <c r="X21" s="429">
        <f t="shared" si="2"/>
        <v>6488.05</v>
      </c>
      <c r="Y21" s="430" t="s">
        <v>5069</v>
      </c>
      <c r="Z21" s="639"/>
      <c r="AA21" s="432"/>
    </row>
    <row r="22" spans="1:27">
      <c r="A22" s="424">
        <v>42893</v>
      </c>
      <c r="B22" s="412" t="s">
        <v>5111</v>
      </c>
      <c r="C22" s="425"/>
      <c r="D22" s="426"/>
      <c r="E22" s="425">
        <v>1</v>
      </c>
      <c r="F22" s="426">
        <v>1895.24</v>
      </c>
      <c r="G22" s="425"/>
      <c r="H22" s="427"/>
      <c r="I22" s="425"/>
      <c r="J22" s="426"/>
      <c r="K22" s="425"/>
      <c r="L22" s="426"/>
      <c r="M22" s="428"/>
      <c r="N22" s="426"/>
      <c r="O22" s="428"/>
      <c r="P22" s="426"/>
      <c r="Q22" s="428"/>
      <c r="R22" s="426"/>
      <c r="S22" s="428"/>
      <c r="T22" s="426"/>
      <c r="U22" s="414">
        <f t="shared" si="3"/>
        <v>1895.24</v>
      </c>
      <c r="V22" s="414">
        <v>95</v>
      </c>
      <c r="W22" s="414"/>
      <c r="X22" s="429">
        <f t="shared" si="2"/>
        <v>1990.24</v>
      </c>
      <c r="Y22" s="430" t="s">
        <v>5069</v>
      </c>
      <c r="Z22" s="639"/>
      <c r="AA22" s="432"/>
    </row>
    <row r="23" spans="1:27">
      <c r="A23" s="424">
        <v>42894</v>
      </c>
      <c r="B23" s="412" t="s">
        <v>5112</v>
      </c>
      <c r="C23" s="425"/>
      <c r="D23" s="426"/>
      <c r="E23" s="425"/>
      <c r="F23" s="426"/>
      <c r="G23" s="425"/>
      <c r="H23" s="427"/>
      <c r="I23" s="425"/>
      <c r="J23" s="426"/>
      <c r="K23" s="425">
        <v>2</v>
      </c>
      <c r="L23" s="426">
        <f>314.29*2</f>
        <v>628.58000000000004</v>
      </c>
      <c r="M23" s="428"/>
      <c r="N23" s="426"/>
      <c r="O23" s="428"/>
      <c r="P23" s="426"/>
      <c r="Q23" s="428"/>
      <c r="R23" s="426"/>
      <c r="S23" s="428"/>
      <c r="T23" s="426"/>
      <c r="U23" s="414">
        <f t="shared" si="3"/>
        <v>628.58000000000004</v>
      </c>
      <c r="V23" s="414">
        <v>31</v>
      </c>
      <c r="W23" s="414"/>
      <c r="X23" s="429">
        <f t="shared" si="2"/>
        <v>659.58</v>
      </c>
      <c r="Y23" s="430" t="s">
        <v>5069</v>
      </c>
      <c r="Z23" s="639"/>
      <c r="AA23" s="432"/>
    </row>
    <row r="24" spans="1:27">
      <c r="A24" s="424">
        <v>42936</v>
      </c>
      <c r="B24" s="412" t="s">
        <v>5092</v>
      </c>
      <c r="C24" s="425">
        <v>1</v>
      </c>
      <c r="D24" s="426">
        <v>5609.52</v>
      </c>
      <c r="E24" s="425">
        <v>1</v>
      </c>
      <c r="F24" s="426">
        <v>3323.81</v>
      </c>
      <c r="G24" s="425">
        <v>1</v>
      </c>
      <c r="H24" s="427">
        <v>2094.29</v>
      </c>
      <c r="I24" s="425">
        <v>1</v>
      </c>
      <c r="J24" s="426">
        <f>3141.9-380.95</f>
        <v>2760.9500000000003</v>
      </c>
      <c r="K24" s="425"/>
      <c r="L24" s="426"/>
      <c r="M24" s="428">
        <v>2</v>
      </c>
      <c r="N24" s="426">
        <f>314.29*2</f>
        <v>628.58000000000004</v>
      </c>
      <c r="O24" s="428">
        <v>1</v>
      </c>
      <c r="P24" s="426">
        <v>1514.29</v>
      </c>
      <c r="Q24" s="428">
        <v>1</v>
      </c>
      <c r="R24" s="426">
        <v>2189.52</v>
      </c>
      <c r="S24" s="428"/>
      <c r="T24" s="426"/>
      <c r="U24" s="414">
        <f t="shared" si="3"/>
        <v>18120.96</v>
      </c>
      <c r="V24" s="414">
        <v>906</v>
      </c>
      <c r="W24" s="414"/>
      <c r="X24" s="429">
        <f t="shared" si="2"/>
        <v>19026.96</v>
      </c>
      <c r="Y24" s="430" t="s">
        <v>5069</v>
      </c>
      <c r="Z24" s="639"/>
      <c r="AA24" s="432"/>
    </row>
    <row r="25" spans="1:27">
      <c r="A25" s="424">
        <v>42937</v>
      </c>
      <c r="B25" s="412" t="s">
        <v>5093</v>
      </c>
      <c r="C25" s="425">
        <v>2</v>
      </c>
      <c r="D25" s="426">
        <f>1808+36</f>
        <v>1844</v>
      </c>
      <c r="E25" s="425"/>
      <c r="F25" s="426"/>
      <c r="G25" s="425"/>
      <c r="H25" s="427"/>
      <c r="I25" s="425"/>
      <c r="J25" s="426"/>
      <c r="K25" s="425"/>
      <c r="L25" s="426"/>
      <c r="M25" s="428"/>
      <c r="N25" s="426"/>
      <c r="O25" s="428"/>
      <c r="P25" s="426"/>
      <c r="Q25" s="428"/>
      <c r="R25" s="426"/>
      <c r="S25" s="428"/>
      <c r="T25" s="426"/>
      <c r="U25" s="414">
        <f t="shared" si="3"/>
        <v>1844</v>
      </c>
      <c r="V25" s="414">
        <v>92</v>
      </c>
      <c r="W25" s="414"/>
      <c r="X25" s="429">
        <f t="shared" si="2"/>
        <v>1936</v>
      </c>
      <c r="Y25" s="430" t="s">
        <v>5067</v>
      </c>
      <c r="Z25" s="639"/>
      <c r="AA25" s="432"/>
    </row>
    <row r="26" spans="1:27">
      <c r="A26" s="424">
        <v>42941</v>
      </c>
      <c r="B26" s="412" t="s">
        <v>5094</v>
      </c>
      <c r="C26" s="425"/>
      <c r="D26" s="426"/>
      <c r="E26" s="425"/>
      <c r="F26" s="426"/>
      <c r="G26" s="425"/>
      <c r="H26" s="427"/>
      <c r="I26" s="425"/>
      <c r="J26" s="426"/>
      <c r="K26" s="425"/>
      <c r="L26" s="426"/>
      <c r="M26" s="428"/>
      <c r="N26" s="426"/>
      <c r="O26" s="428"/>
      <c r="P26" s="426"/>
      <c r="Q26" s="428"/>
      <c r="R26" s="426"/>
      <c r="S26" s="428">
        <v>1</v>
      </c>
      <c r="T26" s="426">
        <f>2371.43+1476.19</f>
        <v>3847.62</v>
      </c>
      <c r="U26" s="414">
        <f t="shared" si="3"/>
        <v>3847.62</v>
      </c>
      <c r="V26" s="414">
        <v>192</v>
      </c>
      <c r="W26" s="414"/>
      <c r="X26" s="429">
        <f t="shared" si="2"/>
        <v>4039.62</v>
      </c>
      <c r="Y26" s="430" t="s">
        <v>5069</v>
      </c>
      <c r="Z26" s="639"/>
      <c r="AA26" s="432"/>
    </row>
    <row r="27" spans="1:27">
      <c r="A27" s="424">
        <v>42955</v>
      </c>
      <c r="B27" s="412" t="s">
        <v>5095</v>
      </c>
      <c r="C27" s="425">
        <v>1</v>
      </c>
      <c r="D27" s="426">
        <v>1189.52</v>
      </c>
      <c r="E27" s="425">
        <v>1</v>
      </c>
      <c r="F27" s="426">
        <v>2657.14</v>
      </c>
      <c r="G27" s="425">
        <v>1</v>
      </c>
      <c r="H27" s="427">
        <v>1141.9000000000001</v>
      </c>
      <c r="I27" s="425">
        <v>1</v>
      </c>
      <c r="J27" s="426">
        <v>3141.9</v>
      </c>
      <c r="K27" s="425">
        <v>2</v>
      </c>
      <c r="L27" s="426">
        <f>409.52*2</f>
        <v>819.04</v>
      </c>
      <c r="M27" s="428">
        <v>2</v>
      </c>
      <c r="N27" s="426">
        <f>314.29*2</f>
        <v>628.58000000000004</v>
      </c>
      <c r="O27" s="428"/>
      <c r="P27" s="426"/>
      <c r="Q27" s="428"/>
      <c r="R27" s="426"/>
      <c r="S27" s="428"/>
      <c r="T27" s="426"/>
      <c r="U27" s="414">
        <f t="shared" si="3"/>
        <v>9578.08</v>
      </c>
      <c r="V27" s="414">
        <v>479</v>
      </c>
      <c r="W27" s="414"/>
      <c r="X27" s="429">
        <f t="shared" si="2"/>
        <v>10057.08</v>
      </c>
      <c r="Y27" s="430" t="s">
        <v>5069</v>
      </c>
      <c r="Z27" s="639"/>
      <c r="AA27" s="432"/>
    </row>
    <row r="28" spans="1:27">
      <c r="A28" s="424">
        <v>42974</v>
      </c>
      <c r="B28" s="412" t="s">
        <v>5096</v>
      </c>
      <c r="C28" s="425"/>
      <c r="D28" s="426"/>
      <c r="E28" s="425"/>
      <c r="F28" s="426"/>
      <c r="G28" s="425"/>
      <c r="H28" s="427"/>
      <c r="I28" s="425">
        <v>1</v>
      </c>
      <c r="J28" s="426">
        <v>2522.86</v>
      </c>
      <c r="K28" s="425">
        <v>2</v>
      </c>
      <c r="L28" s="426">
        <f>314.29*2</f>
        <v>628.58000000000004</v>
      </c>
      <c r="M28" s="428">
        <v>2</v>
      </c>
      <c r="N28" s="426">
        <f>314.29*2</f>
        <v>628.58000000000004</v>
      </c>
      <c r="O28" s="428"/>
      <c r="P28" s="426"/>
      <c r="Q28" s="428"/>
      <c r="R28" s="426"/>
      <c r="S28" s="428"/>
      <c r="T28" s="426"/>
      <c r="U28" s="414">
        <f t="shared" si="3"/>
        <v>3780.02</v>
      </c>
      <c r="V28" s="414">
        <v>189</v>
      </c>
      <c r="W28" s="414"/>
      <c r="X28" s="429">
        <f t="shared" si="2"/>
        <v>3969.02</v>
      </c>
      <c r="Y28" s="430" t="s">
        <v>5069</v>
      </c>
      <c r="Z28" s="639"/>
      <c r="AA28" s="432"/>
    </row>
    <row r="29" spans="1:27">
      <c r="A29" s="424">
        <v>43025</v>
      </c>
      <c r="B29" s="412" t="s">
        <v>5081</v>
      </c>
      <c r="C29" s="425"/>
      <c r="D29" s="426"/>
      <c r="E29" s="425"/>
      <c r="F29" s="426"/>
      <c r="G29" s="425"/>
      <c r="H29" s="427"/>
      <c r="I29" s="425"/>
      <c r="J29" s="426"/>
      <c r="K29" s="425"/>
      <c r="L29" s="426"/>
      <c r="M29" s="428">
        <v>2</v>
      </c>
      <c r="N29" s="426">
        <f>2*314.29</f>
        <v>628.58000000000004</v>
      </c>
      <c r="O29" s="428">
        <v>1</v>
      </c>
      <c r="P29" s="426">
        <v>1514.29</v>
      </c>
      <c r="Q29" s="428"/>
      <c r="R29" s="426"/>
      <c r="S29" s="428">
        <v>2</v>
      </c>
      <c r="T29" s="426">
        <f>284.76+332.38</f>
        <v>617.14</v>
      </c>
      <c r="U29" s="414">
        <f t="shared" si="3"/>
        <v>2760.01</v>
      </c>
      <c r="V29" s="414">
        <v>138</v>
      </c>
      <c r="W29" s="414"/>
      <c r="X29" s="429">
        <f t="shared" si="2"/>
        <v>2898.01</v>
      </c>
      <c r="Y29" s="430" t="s">
        <v>5069</v>
      </c>
      <c r="Z29" s="639"/>
      <c r="AA29" s="432"/>
    </row>
    <row r="30" spans="1:27">
      <c r="A30" s="424">
        <v>43026</v>
      </c>
      <c r="B30" s="412" t="s">
        <v>5082</v>
      </c>
      <c r="C30" s="425">
        <v>1</v>
      </c>
      <c r="D30" s="426">
        <f>1130/1.05</f>
        <v>1076.1904761904761</v>
      </c>
      <c r="E30" s="425">
        <v>1</v>
      </c>
      <c r="F30" s="426">
        <f>2690/1.05</f>
        <v>2561.9047619047619</v>
      </c>
      <c r="G30" s="425">
        <v>1</v>
      </c>
      <c r="H30" s="427">
        <f>1200/1.05</f>
        <v>1142.8571428571429</v>
      </c>
      <c r="I30" s="425">
        <v>1</v>
      </c>
      <c r="J30" s="426">
        <f>3199/1.05</f>
        <v>3046.6666666666665</v>
      </c>
      <c r="K30" s="425">
        <v>2</v>
      </c>
      <c r="L30" s="426">
        <f>2*(650/2)/1.05</f>
        <v>619.04761904761904</v>
      </c>
      <c r="M30" s="428"/>
      <c r="N30" s="426"/>
      <c r="O30" s="428"/>
      <c r="P30" s="426"/>
      <c r="Q30" s="428"/>
      <c r="R30" s="426"/>
      <c r="S30" s="428"/>
      <c r="T30" s="426"/>
      <c r="U30" s="640">
        <f>D30+F30+H30+J30+L30+N30+T30+P30+R30+33</f>
        <v>8479.6666666666661</v>
      </c>
      <c r="V30" s="414">
        <v>424</v>
      </c>
      <c r="W30" s="414"/>
      <c r="X30" s="619">
        <f>(U30+V30)</f>
        <v>8903.6666666666661</v>
      </c>
      <c r="Y30" s="430" t="s">
        <v>5067</v>
      </c>
      <c r="Z30" s="639"/>
      <c r="AA30" s="432"/>
    </row>
    <row r="31" spans="1:27">
      <c r="A31" s="611">
        <v>43039</v>
      </c>
      <c r="B31" s="412" t="s">
        <v>5083</v>
      </c>
      <c r="C31" s="425"/>
      <c r="D31" s="426"/>
      <c r="E31" s="425"/>
      <c r="F31" s="426"/>
      <c r="G31" s="425"/>
      <c r="H31" s="427"/>
      <c r="I31" s="425">
        <v>2</v>
      </c>
      <c r="J31" s="426">
        <f>3141.9*2</f>
        <v>6283.8</v>
      </c>
      <c r="K31" s="425"/>
      <c r="L31" s="426"/>
      <c r="M31" s="428"/>
      <c r="N31" s="426"/>
      <c r="O31" s="428"/>
      <c r="P31" s="426"/>
      <c r="Q31" s="428"/>
      <c r="R31" s="426"/>
      <c r="S31" s="428"/>
      <c r="T31" s="426"/>
      <c r="U31" s="414">
        <f t="shared" si="3"/>
        <v>6283.8</v>
      </c>
      <c r="V31" s="414">
        <v>314</v>
      </c>
      <c r="W31" s="414"/>
      <c r="X31" s="429">
        <f>U31+V31</f>
        <v>6597.8</v>
      </c>
      <c r="Y31" s="430" t="s">
        <v>5069</v>
      </c>
      <c r="Z31" s="639"/>
      <c r="AA31" s="432"/>
    </row>
    <row r="32" spans="1:27">
      <c r="A32" s="424">
        <v>43040</v>
      </c>
      <c r="B32" s="412" t="s">
        <v>5066</v>
      </c>
      <c r="C32" s="425"/>
      <c r="D32" s="426"/>
      <c r="E32" s="425"/>
      <c r="F32" s="426"/>
      <c r="G32" s="425"/>
      <c r="H32" s="427"/>
      <c r="I32" s="425"/>
      <c r="J32" s="426"/>
      <c r="K32" s="425">
        <v>2</v>
      </c>
      <c r="L32" s="426">
        <v>1844</v>
      </c>
      <c r="M32" s="428"/>
      <c r="N32" s="426"/>
      <c r="O32" s="428"/>
      <c r="P32" s="426"/>
      <c r="Q32" s="428"/>
      <c r="R32" s="426"/>
      <c r="S32" s="428"/>
      <c r="T32" s="426"/>
      <c r="U32" s="414">
        <f t="shared" si="3"/>
        <v>1844</v>
      </c>
      <c r="V32" s="414">
        <v>92</v>
      </c>
      <c r="W32" s="414"/>
      <c r="X32" s="429">
        <f>U32+V32</f>
        <v>1936</v>
      </c>
      <c r="Y32" s="430" t="s">
        <v>5067</v>
      </c>
      <c r="Z32" s="639"/>
      <c r="AA32" s="432"/>
    </row>
    <row r="33" spans="1:27">
      <c r="A33" s="424">
        <v>43066</v>
      </c>
      <c r="B33" s="412" t="s">
        <v>5068</v>
      </c>
      <c r="C33" s="425">
        <v>1</v>
      </c>
      <c r="D33" s="426">
        <v>1189.52</v>
      </c>
      <c r="E33" s="425">
        <v>1</v>
      </c>
      <c r="F33" s="426">
        <v>2657.14</v>
      </c>
      <c r="G33" s="425">
        <v>1</v>
      </c>
      <c r="H33" s="427">
        <v>1427.62</v>
      </c>
      <c r="I33" s="425">
        <v>1</v>
      </c>
      <c r="J33" s="426">
        <f>3141.9</f>
        <v>3141.9</v>
      </c>
      <c r="K33" s="425">
        <v>2</v>
      </c>
      <c r="L33" s="426">
        <f>314.29*2</f>
        <v>628.58000000000004</v>
      </c>
      <c r="M33" s="428">
        <v>2</v>
      </c>
      <c r="N33" s="426">
        <f>2*314.29</f>
        <v>628.58000000000004</v>
      </c>
      <c r="O33" s="428">
        <v>1</v>
      </c>
      <c r="P33" s="426">
        <v>1514.29</v>
      </c>
      <c r="Q33" s="428"/>
      <c r="R33" s="426"/>
      <c r="S33" s="428">
        <v>1</v>
      </c>
      <c r="T33" s="426">
        <f>619.05-123.81</f>
        <v>495.23999999999995</v>
      </c>
      <c r="U33" s="414">
        <f t="shared" si="3"/>
        <v>11682.869999999999</v>
      </c>
      <c r="V33" s="414">
        <v>584</v>
      </c>
      <c r="W33" s="414"/>
      <c r="X33" s="429">
        <f>U33+V33</f>
        <v>12266.869999999999</v>
      </c>
      <c r="Y33" s="430" t="s">
        <v>5069</v>
      </c>
      <c r="Z33" s="639"/>
      <c r="AA33" s="432"/>
    </row>
    <row r="34" spans="1:27">
      <c r="A34" s="611">
        <v>43081</v>
      </c>
      <c r="B34" s="412" t="s">
        <v>5070</v>
      </c>
      <c r="C34" s="425"/>
      <c r="D34" s="426"/>
      <c r="E34" s="425"/>
      <c r="F34" s="426"/>
      <c r="G34" s="425"/>
      <c r="H34" s="427"/>
      <c r="I34" s="425"/>
      <c r="J34" s="426"/>
      <c r="K34" s="425">
        <v>2</v>
      </c>
      <c r="L34" s="426">
        <v>1807</v>
      </c>
      <c r="M34" s="428"/>
      <c r="N34" s="426"/>
      <c r="O34" s="428"/>
      <c r="P34" s="426"/>
      <c r="Q34" s="428"/>
      <c r="R34" s="426"/>
      <c r="S34" s="428"/>
      <c r="T34" s="426"/>
      <c r="U34" s="414">
        <f t="shared" si="3"/>
        <v>1807</v>
      </c>
      <c r="V34" s="414">
        <v>90</v>
      </c>
      <c r="W34" s="414"/>
      <c r="X34" s="429">
        <f>U34+V34</f>
        <v>1897</v>
      </c>
      <c r="Y34" s="430" t="s">
        <v>5067</v>
      </c>
      <c r="Z34" s="639"/>
      <c r="AA34" s="432"/>
    </row>
    <row r="35" spans="1:27">
      <c r="A35" s="611">
        <v>43081</v>
      </c>
      <c r="B35" s="412" t="s">
        <v>5071</v>
      </c>
      <c r="C35" s="425"/>
      <c r="D35" s="426"/>
      <c r="E35" s="425"/>
      <c r="F35" s="426"/>
      <c r="G35" s="425"/>
      <c r="H35" s="427"/>
      <c r="I35" s="425">
        <v>2</v>
      </c>
      <c r="J35" s="426">
        <f>3141.9*2</f>
        <v>6283.8</v>
      </c>
      <c r="K35" s="425">
        <v>2</v>
      </c>
      <c r="L35" s="426"/>
      <c r="M35" s="428"/>
      <c r="N35" s="426"/>
      <c r="O35" s="428"/>
      <c r="P35" s="426"/>
      <c r="Q35" s="428"/>
      <c r="R35" s="426"/>
      <c r="S35" s="428"/>
      <c r="T35" s="426"/>
      <c r="U35" s="414">
        <f t="shared" si="3"/>
        <v>6283.8</v>
      </c>
      <c r="V35" s="414">
        <v>314</v>
      </c>
      <c r="W35" s="414"/>
      <c r="X35" s="429">
        <f>U35+V35</f>
        <v>6597.8</v>
      </c>
      <c r="Y35" s="430" t="s">
        <v>5069</v>
      </c>
      <c r="Z35" s="639"/>
      <c r="AA35" s="432"/>
    </row>
    <row r="36" spans="1:27" s="439" customFormat="1" ht="18.75" customHeight="1">
      <c r="A36" s="433"/>
      <c r="B36" s="434"/>
      <c r="C36" s="433"/>
      <c r="D36" s="435"/>
      <c r="E36" s="433"/>
      <c r="F36" s="436"/>
      <c r="G36" s="433"/>
      <c r="H36" s="437"/>
      <c r="I36" s="433"/>
      <c r="J36" s="437"/>
      <c r="K36" s="433"/>
      <c r="L36" s="437"/>
      <c r="M36" s="433"/>
      <c r="N36" s="437"/>
      <c r="O36" s="437"/>
      <c r="P36" s="437"/>
      <c r="Q36" s="437"/>
      <c r="R36" s="437"/>
      <c r="S36" s="437"/>
      <c r="T36" s="437"/>
      <c r="U36" s="438">
        <f>SUM(U37)</f>
        <v>1524</v>
      </c>
      <c r="V36" s="438">
        <f>SUM(V37)</f>
        <v>76</v>
      </c>
      <c r="W36" s="438"/>
      <c r="X36" s="438">
        <f>SUM(X44:X49)</f>
        <v>2400</v>
      </c>
      <c r="Z36" s="437"/>
      <c r="AA36" s="437"/>
    </row>
    <row r="37" spans="1:27">
      <c r="A37" s="440">
        <v>43080</v>
      </c>
      <c r="B37" s="448" t="s">
        <v>5072</v>
      </c>
      <c r="C37" s="415"/>
      <c r="U37" s="414">
        <v>1524</v>
      </c>
      <c r="V37" s="445">
        <v>76</v>
      </c>
      <c r="W37" s="445"/>
      <c r="X37" s="447">
        <f>U37+V37</f>
        <v>1600</v>
      </c>
      <c r="Y37" s="612"/>
    </row>
    <row r="38" spans="1:27" s="439" customFormat="1">
      <c r="A38" s="449"/>
      <c r="B38" s="434"/>
      <c r="D38" s="435"/>
      <c r="E38" s="433"/>
      <c r="F38" s="436"/>
      <c r="G38" s="433"/>
      <c r="H38" s="437"/>
      <c r="I38" s="433"/>
      <c r="J38" s="437"/>
      <c r="K38" s="433"/>
      <c r="L38" s="437"/>
      <c r="M38" s="433"/>
      <c r="N38" s="437"/>
      <c r="O38" s="437"/>
      <c r="P38" s="437"/>
      <c r="Q38" s="437"/>
      <c r="R38" s="437"/>
      <c r="S38" s="437"/>
      <c r="T38" s="437"/>
      <c r="U38" s="638" t="s">
        <v>5674</v>
      </c>
      <c r="V38" s="438"/>
      <c r="W38" s="438"/>
      <c r="X38" s="450"/>
      <c r="Y38" s="433"/>
      <c r="Z38" s="437"/>
      <c r="AA38" s="437"/>
    </row>
    <row r="39" spans="1:27">
      <c r="A39" s="440">
        <v>42852</v>
      </c>
      <c r="B39" s="448" t="s">
        <v>4828</v>
      </c>
      <c r="C39" s="415"/>
      <c r="U39" s="572">
        <f>2135+32</f>
        <v>2167</v>
      </c>
      <c r="V39" s="446"/>
      <c r="W39" s="446"/>
      <c r="X39" s="447">
        <f>U39+V39</f>
        <v>2167</v>
      </c>
      <c r="Y39" s="612"/>
    </row>
    <row r="40" spans="1:27">
      <c r="A40" s="440">
        <v>42907</v>
      </c>
      <c r="B40" s="448" t="s">
        <v>4828</v>
      </c>
      <c r="C40" s="415"/>
      <c r="U40" s="572">
        <f>2479+37</f>
        <v>2516</v>
      </c>
      <c r="V40" s="446"/>
      <c r="W40" s="446"/>
      <c r="X40" s="447">
        <f>U40+V40</f>
        <v>2516</v>
      </c>
      <c r="Y40" s="612"/>
    </row>
    <row r="41" spans="1:27">
      <c r="A41" s="440">
        <v>42974</v>
      </c>
      <c r="B41" s="448" t="s">
        <v>4828</v>
      </c>
      <c r="C41" s="415"/>
      <c r="U41" s="572">
        <f>509+8</f>
        <v>517</v>
      </c>
      <c r="V41" s="446"/>
      <c r="W41" s="446"/>
      <c r="X41" s="447">
        <f>U41+V41</f>
        <v>517</v>
      </c>
      <c r="Y41" s="612"/>
    </row>
    <row r="42" spans="1:27">
      <c r="A42" s="440">
        <v>42987</v>
      </c>
      <c r="B42" s="448" t="s">
        <v>5259</v>
      </c>
      <c r="C42" s="415"/>
      <c r="U42" s="572">
        <v>301</v>
      </c>
      <c r="V42" s="446">
        <v>5</v>
      </c>
      <c r="W42" s="446"/>
      <c r="X42" s="447">
        <f>U42+V42</f>
        <v>306</v>
      </c>
      <c r="Y42" s="612"/>
    </row>
    <row r="43" spans="1:27" s="439" customFormat="1">
      <c r="A43" s="449"/>
      <c r="B43" s="434"/>
      <c r="D43" s="435"/>
      <c r="E43" s="433"/>
      <c r="F43" s="436"/>
      <c r="G43" s="433"/>
      <c r="H43" s="437"/>
      <c r="I43" s="433"/>
      <c r="J43" s="437"/>
      <c r="K43" s="433"/>
      <c r="L43" s="437"/>
      <c r="M43" s="433"/>
      <c r="N43" s="437"/>
      <c r="O43" s="437"/>
      <c r="P43" s="437"/>
      <c r="Q43" s="437"/>
      <c r="R43" s="437"/>
      <c r="S43" s="437"/>
      <c r="T43" s="437"/>
      <c r="U43" s="438"/>
      <c r="V43" s="438"/>
      <c r="W43" s="438"/>
      <c r="X43" s="450"/>
      <c r="Y43" s="433"/>
      <c r="Z43" s="437"/>
      <c r="AA43" s="437"/>
    </row>
    <row r="44" spans="1:27">
      <c r="A44" s="440">
        <v>42739</v>
      </c>
      <c r="B44" s="448" t="s">
        <v>5148</v>
      </c>
      <c r="C44" s="415"/>
      <c r="U44" s="414">
        <v>381</v>
      </c>
      <c r="V44" s="445">
        <v>19</v>
      </c>
      <c r="W44" s="445"/>
      <c r="X44" s="447">
        <f>U44+V44</f>
        <v>400</v>
      </c>
      <c r="Y44" s="612"/>
    </row>
    <row r="45" spans="1:27">
      <c r="A45" s="440">
        <v>42759</v>
      </c>
      <c r="B45" s="448" t="s">
        <v>5148</v>
      </c>
      <c r="C45" s="415"/>
      <c r="U45" s="414">
        <v>571</v>
      </c>
      <c r="V45" s="445">
        <v>29</v>
      </c>
      <c r="W45" s="445"/>
      <c r="X45" s="447">
        <f>U45+V45</f>
        <v>600</v>
      </c>
      <c r="Y45" s="612"/>
    </row>
    <row r="46" spans="1:27">
      <c r="A46" s="440">
        <v>42815</v>
      </c>
      <c r="B46" s="448" t="s">
        <v>5148</v>
      </c>
      <c r="C46" s="415"/>
      <c r="U46" s="414">
        <v>571</v>
      </c>
      <c r="V46" s="445">
        <v>29</v>
      </c>
      <c r="W46" s="445"/>
      <c r="X46" s="447">
        <f>U46+V46</f>
        <v>600</v>
      </c>
      <c r="Y46" s="612"/>
    </row>
    <row r="47" spans="1:27">
      <c r="A47" s="440">
        <v>42859</v>
      </c>
      <c r="B47" s="448" t="s">
        <v>5148</v>
      </c>
      <c r="C47" s="415"/>
      <c r="U47" s="414">
        <v>381</v>
      </c>
      <c r="V47" s="445">
        <v>19</v>
      </c>
      <c r="W47" s="445"/>
      <c r="X47" s="447">
        <f>U47+V47</f>
        <v>400</v>
      </c>
      <c r="Y47" s="612"/>
    </row>
    <row r="48" spans="1:27">
      <c r="A48" s="440">
        <v>43003</v>
      </c>
      <c r="B48" s="448" t="s">
        <v>5148</v>
      </c>
      <c r="C48" s="415"/>
      <c r="U48" s="414">
        <v>381</v>
      </c>
      <c r="V48" s="445">
        <v>19</v>
      </c>
      <c r="W48" s="445"/>
      <c r="X48" s="447">
        <f>U48+V48</f>
        <v>400</v>
      </c>
      <c r="Y48" s="612"/>
    </row>
    <row r="49" spans="1:28" s="439" customFormat="1">
      <c r="A49" s="449"/>
      <c r="B49" s="434"/>
      <c r="D49" s="435"/>
      <c r="E49" s="433"/>
      <c r="F49" s="436"/>
      <c r="G49" s="433"/>
      <c r="H49" s="437"/>
      <c r="I49" s="433"/>
      <c r="J49" s="437"/>
      <c r="K49" s="433"/>
      <c r="L49" s="437"/>
      <c r="M49" s="433"/>
      <c r="N49" s="437"/>
      <c r="O49" s="437"/>
      <c r="P49" s="437"/>
      <c r="Q49" s="437"/>
      <c r="R49" s="437"/>
      <c r="S49" s="437"/>
      <c r="T49" s="437"/>
      <c r="U49" s="438"/>
      <c r="V49" s="438"/>
      <c r="W49" s="438"/>
      <c r="X49" s="450"/>
      <c r="Y49" s="433"/>
      <c r="Z49" s="437"/>
      <c r="AA49" s="437"/>
    </row>
    <row r="50" spans="1:28">
      <c r="A50" s="569" t="s">
        <v>5154</v>
      </c>
      <c r="B50" s="448" t="s">
        <v>5155</v>
      </c>
      <c r="C50" s="451"/>
      <c r="D50" s="452">
        <f>400+600</f>
        <v>1000</v>
      </c>
      <c r="F50" s="447">
        <f>X44+X45</f>
        <v>1000</v>
      </c>
      <c r="G50" s="415"/>
      <c r="H50" s="614"/>
      <c r="I50" s="444"/>
      <c r="J50" s="442"/>
      <c r="K50" s="273"/>
      <c r="L50" s="277"/>
      <c r="M50" s="444"/>
      <c r="N50" s="445"/>
      <c r="O50" s="273"/>
      <c r="P50" s="277"/>
      <c r="U50" s="416"/>
      <c r="V50" s="415"/>
      <c r="W50" s="415"/>
      <c r="X50" s="415"/>
      <c r="Z50" s="415"/>
      <c r="AB50" s="416"/>
    </row>
    <row r="51" spans="1:28">
      <c r="A51" s="569" t="s">
        <v>5156</v>
      </c>
      <c r="B51" s="448" t="s">
        <v>5157</v>
      </c>
      <c r="C51" s="451"/>
      <c r="D51" s="454">
        <v>10158</v>
      </c>
      <c r="F51" s="453">
        <f>SUM(X3:X6)</f>
        <v>10157.709999999999</v>
      </c>
      <c r="G51" s="415"/>
      <c r="H51" s="415"/>
      <c r="I51" s="444"/>
      <c r="J51" s="442"/>
      <c r="K51" s="273"/>
      <c r="L51" s="277"/>
      <c r="N51" s="445"/>
      <c r="O51" s="273"/>
      <c r="P51" s="277"/>
      <c r="U51" s="416"/>
      <c r="V51" s="415"/>
      <c r="W51" s="415"/>
      <c r="X51" s="415"/>
      <c r="Z51" s="415"/>
      <c r="AB51" s="416"/>
    </row>
    <row r="52" spans="1:28">
      <c r="A52" s="569" t="s">
        <v>5158</v>
      </c>
      <c r="B52" s="448" t="s">
        <v>5162</v>
      </c>
      <c r="C52" s="451"/>
      <c r="D52" s="454">
        <v>40580</v>
      </c>
      <c r="F52" s="453">
        <f>SUM(X7:X10,X46)</f>
        <v>40580.369999999995</v>
      </c>
      <c r="G52" s="415"/>
      <c r="H52" s="415"/>
      <c r="I52" s="444"/>
      <c r="J52" s="442"/>
      <c r="K52" s="273"/>
      <c r="L52" s="277"/>
      <c r="N52" s="445"/>
      <c r="O52" s="444"/>
      <c r="U52" s="416"/>
      <c r="V52" s="415"/>
      <c r="W52" s="415"/>
      <c r="X52" s="415"/>
      <c r="Z52" s="415"/>
      <c r="AB52" s="416"/>
    </row>
    <row r="53" spans="1:28">
      <c r="A53" s="569" t="s">
        <v>5163</v>
      </c>
      <c r="B53" s="448" t="s">
        <v>5160</v>
      </c>
      <c r="C53" s="451"/>
      <c r="D53" s="454">
        <f>1196+69000+3658</f>
        <v>73854</v>
      </c>
      <c r="F53" s="453">
        <f>SUM(X11:X16)</f>
        <v>73854.36</v>
      </c>
      <c r="G53" s="415"/>
      <c r="H53" s="415"/>
      <c r="I53" s="444"/>
      <c r="J53" s="442"/>
      <c r="K53" s="273"/>
      <c r="L53" s="277"/>
      <c r="N53" s="445"/>
      <c r="O53" s="444"/>
      <c r="U53" s="416"/>
      <c r="V53" s="415"/>
      <c r="W53" s="415"/>
      <c r="X53" s="415"/>
      <c r="Z53" s="415"/>
      <c r="AB53" s="416"/>
    </row>
    <row r="54" spans="1:28">
      <c r="A54" s="440">
        <v>42891</v>
      </c>
      <c r="B54" s="448" t="s">
        <v>5159</v>
      </c>
      <c r="C54" s="451"/>
      <c r="D54" s="454">
        <f>32275+2167</f>
        <v>34442</v>
      </c>
      <c r="F54" s="447">
        <f>SUM(X17:X21,X39,X47)</f>
        <v>34442.680476190479</v>
      </c>
      <c r="G54" s="415"/>
      <c r="H54" s="415"/>
      <c r="I54" s="444"/>
      <c r="J54" s="442"/>
      <c r="K54" s="273"/>
      <c r="L54" s="277"/>
      <c r="N54" s="445"/>
      <c r="O54" s="444"/>
      <c r="U54" s="416"/>
      <c r="V54" s="415"/>
      <c r="W54" s="415"/>
      <c r="X54" s="415"/>
      <c r="Z54" s="415"/>
      <c r="AB54" s="416"/>
    </row>
    <row r="55" spans="1:28">
      <c r="A55" s="440">
        <v>42923</v>
      </c>
      <c r="B55" s="448" t="s">
        <v>5161</v>
      </c>
      <c r="C55" s="451"/>
      <c r="D55" s="454">
        <v>2650</v>
      </c>
      <c r="F55" s="447">
        <f>SUM(X22:X23)</f>
        <v>2649.82</v>
      </c>
      <c r="G55" s="415"/>
      <c r="H55" s="415"/>
      <c r="I55" s="444"/>
      <c r="J55" s="442"/>
      <c r="K55" s="273"/>
      <c r="L55" s="277"/>
      <c r="N55" s="445"/>
      <c r="O55" s="444"/>
      <c r="U55" s="416"/>
      <c r="V55" s="415"/>
      <c r="W55" s="415"/>
      <c r="X55" s="415"/>
      <c r="Z55" s="415"/>
      <c r="AB55" s="416"/>
    </row>
    <row r="56" spans="1:28">
      <c r="A56" s="455">
        <v>42955</v>
      </c>
      <c r="B56" s="448" t="s">
        <v>5164</v>
      </c>
      <c r="C56" s="451"/>
      <c r="D56" s="570">
        <f>25003+2516</f>
        <v>27519</v>
      </c>
      <c r="F56" s="447">
        <f>SUM(X24:X26,X40)</f>
        <v>27518.579999999998</v>
      </c>
      <c r="G56" s="415"/>
      <c r="H56" s="456"/>
      <c r="I56" s="444"/>
      <c r="J56" s="442"/>
      <c r="K56" s="273"/>
      <c r="L56" s="277"/>
      <c r="N56" s="445"/>
      <c r="O56" s="444"/>
      <c r="U56" s="416"/>
      <c r="V56" s="415"/>
      <c r="W56" s="415"/>
      <c r="X56" s="415"/>
      <c r="Z56" s="415"/>
      <c r="AB56" s="416"/>
    </row>
    <row r="57" spans="1:28">
      <c r="A57" s="455">
        <v>42985</v>
      </c>
      <c r="B57" s="448" t="s">
        <v>5166</v>
      </c>
      <c r="C57" s="451"/>
      <c r="D57" s="570">
        <v>10057</v>
      </c>
      <c r="F57" s="447">
        <f>SUM(X27)</f>
        <v>10057.08</v>
      </c>
      <c r="G57" s="415"/>
      <c r="H57" s="456"/>
      <c r="I57" s="444"/>
      <c r="J57" s="442"/>
      <c r="K57" s="273"/>
      <c r="L57" s="277"/>
      <c r="N57" s="445"/>
      <c r="O57" s="444"/>
      <c r="U57" s="416"/>
      <c r="V57" s="415"/>
      <c r="W57" s="415"/>
      <c r="X57" s="415"/>
      <c r="Z57" s="415"/>
      <c r="AB57" s="416"/>
    </row>
    <row r="58" spans="1:28">
      <c r="A58" s="440">
        <v>43019</v>
      </c>
      <c r="B58" s="448" t="s">
        <v>5165</v>
      </c>
      <c r="C58" s="451"/>
      <c r="D58" s="454">
        <f>3969+823</f>
        <v>4792</v>
      </c>
      <c r="F58" s="447">
        <f>SUM(X41:X42,X28)</f>
        <v>4792.0200000000004</v>
      </c>
      <c r="G58" s="415"/>
      <c r="H58" s="415"/>
      <c r="I58" s="444"/>
      <c r="J58" s="442"/>
      <c r="K58" s="273"/>
      <c r="L58" s="277"/>
      <c r="N58" s="445"/>
      <c r="O58" s="444"/>
      <c r="U58" s="416"/>
      <c r="V58" s="415"/>
      <c r="W58" s="415"/>
      <c r="X58" s="415"/>
      <c r="Z58" s="415"/>
      <c r="AB58" s="416"/>
    </row>
    <row r="59" spans="1:28">
      <c r="A59" s="440">
        <v>43046</v>
      </c>
      <c r="B59" s="448" t="s">
        <v>5260</v>
      </c>
      <c r="D59" s="454">
        <v>12202</v>
      </c>
      <c r="F59" s="620">
        <f>SUM(X29:X30,X48)</f>
        <v>12201.676666666666</v>
      </c>
      <c r="K59" s="273"/>
      <c r="L59" s="277"/>
    </row>
    <row r="60" spans="1:28">
      <c r="A60" s="440">
        <v>43081</v>
      </c>
      <c r="B60" s="448" t="s">
        <v>5167</v>
      </c>
      <c r="D60" s="454">
        <v>8534</v>
      </c>
      <c r="F60" s="447">
        <f>SUM(X31:X32)</f>
        <v>8533.7999999999993</v>
      </c>
      <c r="H60" s="444">
        <f>X36</f>
        <v>2400</v>
      </c>
      <c r="K60" s="273"/>
      <c r="L60" s="277"/>
    </row>
    <row r="61" spans="1:28">
      <c r="A61" s="440">
        <v>43105</v>
      </c>
      <c r="B61" s="615" t="s">
        <v>5168</v>
      </c>
      <c r="D61" s="454">
        <v>22362</v>
      </c>
      <c r="F61" s="447">
        <f>SUM(X33:X35,X37)</f>
        <v>22361.67</v>
      </c>
      <c r="K61" s="273"/>
      <c r="L61" s="277"/>
    </row>
    <row r="62" spans="1:28">
      <c r="D62" s="441">
        <f>SUM(D50:D61)</f>
        <v>248150</v>
      </c>
      <c r="F62" s="457">
        <f>SUM(F50:F61)</f>
        <v>248149.76714285708</v>
      </c>
      <c r="G62" s="458"/>
      <c r="H62" s="459">
        <f>SUM(H60:H60)</f>
        <v>2400</v>
      </c>
    </row>
    <row r="63" spans="1:28">
      <c r="F63" s="441">
        <f>D62-F62</f>
        <v>0.23285714292433113</v>
      </c>
    </row>
    <row r="66" spans="1:24">
      <c r="A66" s="477">
        <v>42760</v>
      </c>
      <c r="B66" s="460" t="s">
        <v>5151</v>
      </c>
      <c r="C66" s="417"/>
      <c r="D66" s="273"/>
      <c r="E66" s="277"/>
      <c r="F66" s="420"/>
      <c r="G66" s="417"/>
      <c r="H66" s="462"/>
      <c r="I66" s="417"/>
      <c r="J66" s="462"/>
      <c r="K66" s="417"/>
      <c r="L66" s="462"/>
      <c r="M66" s="463"/>
      <c r="N66" s="462"/>
      <c r="O66" s="464"/>
      <c r="P66" s="464"/>
      <c r="Q66" s="464"/>
      <c r="R66" s="464"/>
      <c r="S66" s="464"/>
      <c r="T66" s="464"/>
      <c r="U66" s="465">
        <v>1711</v>
      </c>
      <c r="V66" s="466">
        <v>86</v>
      </c>
      <c r="W66" s="466"/>
      <c r="X66" s="467">
        <f t="shared" ref="X66:X118" si="4">U66+V66+W66</f>
        <v>1797</v>
      </c>
    </row>
    <row r="67" spans="1:24">
      <c r="A67" s="468">
        <v>42796</v>
      </c>
      <c r="B67" s="469" t="s">
        <v>5134</v>
      </c>
      <c r="C67" s="417"/>
      <c r="D67" s="273"/>
      <c r="E67" s="277"/>
      <c r="F67" s="420"/>
      <c r="G67" s="417"/>
      <c r="H67" s="462"/>
      <c r="I67" s="417"/>
      <c r="J67" s="462"/>
      <c r="K67" s="417"/>
      <c r="L67" s="462"/>
      <c r="M67" s="463"/>
      <c r="N67" s="462"/>
      <c r="O67" s="464"/>
      <c r="P67" s="464"/>
      <c r="Q67" s="464"/>
      <c r="R67" s="464"/>
      <c r="S67" s="464"/>
      <c r="T67" s="464"/>
      <c r="U67" s="465">
        <v>1698</v>
      </c>
      <c r="V67" s="466">
        <v>85</v>
      </c>
      <c r="W67" s="466"/>
      <c r="X67" s="467">
        <f t="shared" si="4"/>
        <v>1783</v>
      </c>
    </row>
    <row r="68" spans="1:24">
      <c r="A68" s="468">
        <v>42822</v>
      </c>
      <c r="B68" s="469" t="s">
        <v>5135</v>
      </c>
      <c r="C68" s="417"/>
      <c r="D68" s="273"/>
      <c r="E68" s="277"/>
      <c r="F68" s="420"/>
      <c r="G68" s="417"/>
      <c r="H68" s="462"/>
      <c r="I68" s="417"/>
      <c r="J68" s="462"/>
      <c r="K68" s="417"/>
      <c r="L68" s="462"/>
      <c r="M68" s="463"/>
      <c r="N68" s="462"/>
      <c r="O68" s="464"/>
      <c r="P68" s="464"/>
      <c r="Q68" s="464"/>
      <c r="R68" s="464"/>
      <c r="S68" s="464"/>
      <c r="T68" s="464"/>
      <c r="U68" s="613">
        <v>1723</v>
      </c>
      <c r="V68" s="613">
        <v>86</v>
      </c>
      <c r="W68" s="466"/>
      <c r="X68" s="467">
        <f t="shared" si="4"/>
        <v>1809</v>
      </c>
    </row>
    <row r="69" spans="1:24">
      <c r="A69" s="470">
        <v>42851</v>
      </c>
      <c r="B69" s="469" t="s">
        <v>5136</v>
      </c>
      <c r="C69" s="417"/>
      <c r="D69" s="273"/>
      <c r="E69" s="277"/>
      <c r="F69" s="420"/>
      <c r="G69" s="417"/>
      <c r="H69" s="462"/>
      <c r="I69" s="417"/>
      <c r="J69" s="462"/>
      <c r="K69" s="417"/>
      <c r="L69" s="462"/>
      <c r="M69" s="463"/>
      <c r="N69" s="462"/>
      <c r="O69" s="464"/>
      <c r="P69" s="464"/>
      <c r="Q69" s="464"/>
      <c r="R69" s="464"/>
      <c r="S69" s="464"/>
      <c r="T69" s="464"/>
      <c r="U69" s="613">
        <v>1768</v>
      </c>
      <c r="V69" s="613">
        <v>88</v>
      </c>
      <c r="W69" s="466"/>
      <c r="X69" s="467">
        <f t="shared" si="4"/>
        <v>1856</v>
      </c>
    </row>
    <row r="70" spans="1:24">
      <c r="A70" s="471">
        <v>42881</v>
      </c>
      <c r="B70" s="469" t="s">
        <v>5115</v>
      </c>
      <c r="C70" s="417"/>
      <c r="D70" s="273"/>
      <c r="E70" s="277"/>
      <c r="F70" s="420"/>
      <c r="G70" s="417"/>
      <c r="H70" s="462"/>
      <c r="I70" s="417"/>
      <c r="J70" s="462"/>
      <c r="K70" s="417"/>
      <c r="L70" s="462"/>
      <c r="M70" s="463"/>
      <c r="N70" s="462"/>
      <c r="O70" s="464"/>
      <c r="P70" s="464"/>
      <c r="Q70" s="464"/>
      <c r="R70" s="464"/>
      <c r="S70" s="464"/>
      <c r="T70" s="464"/>
      <c r="U70" s="465">
        <v>1715</v>
      </c>
      <c r="V70" s="472">
        <v>86</v>
      </c>
      <c r="W70" s="472"/>
      <c r="X70" s="467">
        <f t="shared" si="4"/>
        <v>1801</v>
      </c>
    </row>
    <row r="71" spans="1:24">
      <c r="A71" s="471">
        <v>42913</v>
      </c>
      <c r="B71" s="469" t="s">
        <v>5116</v>
      </c>
      <c r="C71" s="417"/>
      <c r="D71" s="273"/>
      <c r="E71" s="277"/>
      <c r="F71" s="420"/>
      <c r="G71" s="417"/>
      <c r="H71" s="462"/>
      <c r="I71" s="417"/>
      <c r="J71" s="462"/>
      <c r="K71" s="417"/>
      <c r="L71" s="462"/>
      <c r="M71" s="463"/>
      <c r="N71" s="462"/>
      <c r="O71" s="464"/>
      <c r="P71" s="464"/>
      <c r="Q71" s="464"/>
      <c r="R71" s="464"/>
      <c r="S71" s="464"/>
      <c r="T71" s="464"/>
      <c r="U71" s="465">
        <v>1750</v>
      </c>
      <c r="V71" s="473">
        <v>88</v>
      </c>
      <c r="W71" s="473"/>
      <c r="X71" s="467">
        <f t="shared" si="4"/>
        <v>1838</v>
      </c>
    </row>
    <row r="72" spans="1:24">
      <c r="A72" s="471">
        <v>42942</v>
      </c>
      <c r="B72" s="469" t="s">
        <v>5099</v>
      </c>
      <c r="C72" s="417"/>
      <c r="D72" s="273"/>
      <c r="E72" s="277"/>
      <c r="F72" s="420"/>
      <c r="G72" s="417"/>
      <c r="H72" s="462"/>
      <c r="I72" s="417"/>
      <c r="J72" s="462"/>
      <c r="K72" s="417"/>
      <c r="L72" s="462"/>
      <c r="M72" s="463"/>
      <c r="N72" s="462"/>
      <c r="O72" s="464"/>
      <c r="P72" s="464"/>
      <c r="Q72" s="464"/>
      <c r="R72" s="464"/>
      <c r="S72" s="464"/>
      <c r="T72" s="464"/>
      <c r="U72" s="465">
        <v>1623</v>
      </c>
      <c r="V72" s="473">
        <v>81</v>
      </c>
      <c r="W72" s="473"/>
      <c r="X72" s="467">
        <f t="shared" si="4"/>
        <v>1704</v>
      </c>
    </row>
    <row r="73" spans="1:24">
      <c r="A73" s="471">
        <v>42975</v>
      </c>
      <c r="B73" s="469" t="s">
        <v>5100</v>
      </c>
      <c r="C73" s="417"/>
      <c r="D73" s="273"/>
      <c r="E73" s="277"/>
      <c r="F73" s="420"/>
      <c r="G73" s="417"/>
      <c r="H73" s="462"/>
      <c r="I73" s="417"/>
      <c r="J73" s="462"/>
      <c r="K73" s="417"/>
      <c r="L73" s="462"/>
      <c r="M73" s="463"/>
      <c r="N73" s="462"/>
      <c r="O73" s="464"/>
      <c r="P73" s="464"/>
      <c r="Q73" s="464"/>
      <c r="R73" s="464"/>
      <c r="S73" s="464"/>
      <c r="T73" s="464"/>
      <c r="U73" s="465">
        <v>1605</v>
      </c>
      <c r="V73" s="466">
        <v>80</v>
      </c>
      <c r="W73" s="466"/>
      <c r="X73" s="467">
        <f t="shared" si="4"/>
        <v>1685</v>
      </c>
    </row>
    <row r="74" spans="1:24">
      <c r="A74" s="568">
        <v>43004</v>
      </c>
      <c r="B74" s="469" t="s">
        <v>5086</v>
      </c>
      <c r="C74" s="417"/>
      <c r="D74" s="273"/>
      <c r="E74" s="277"/>
      <c r="F74" s="420"/>
      <c r="G74" s="417"/>
      <c r="H74" s="462"/>
      <c r="I74" s="417"/>
      <c r="J74" s="462"/>
      <c r="K74" s="417"/>
      <c r="L74" s="462"/>
      <c r="M74" s="463"/>
      <c r="N74" s="462"/>
      <c r="O74" s="464"/>
      <c r="P74" s="464"/>
      <c r="Q74" s="464"/>
      <c r="R74" s="464"/>
      <c r="S74" s="464"/>
      <c r="T74" s="464"/>
      <c r="U74" s="465">
        <v>1636</v>
      </c>
      <c r="V74" s="466">
        <v>82</v>
      </c>
      <c r="W74" s="466"/>
      <c r="X74" s="467">
        <f t="shared" si="4"/>
        <v>1718</v>
      </c>
    </row>
    <row r="75" spans="1:24">
      <c r="A75" s="471">
        <v>43034</v>
      </c>
      <c r="B75" s="469" t="s">
        <v>5087</v>
      </c>
      <c r="C75" s="417"/>
      <c r="D75" s="273"/>
      <c r="E75" s="277"/>
      <c r="F75" s="420"/>
      <c r="G75" s="417"/>
      <c r="H75" s="462"/>
      <c r="I75" s="417"/>
      <c r="J75" s="462"/>
      <c r="K75" s="417"/>
      <c r="L75" s="462"/>
      <c r="M75" s="463"/>
      <c r="N75" s="462"/>
      <c r="O75" s="464"/>
      <c r="P75" s="464"/>
      <c r="Q75" s="464"/>
      <c r="R75" s="464"/>
      <c r="S75" s="464"/>
      <c r="T75" s="464"/>
      <c r="U75" s="465">
        <v>1666</v>
      </c>
      <c r="V75" s="473">
        <v>83</v>
      </c>
      <c r="W75" s="473"/>
      <c r="X75" s="467">
        <f t="shared" si="4"/>
        <v>1749</v>
      </c>
    </row>
    <row r="76" spans="1:24">
      <c r="A76" s="471">
        <v>43067</v>
      </c>
      <c r="B76" s="469" t="s">
        <v>5074</v>
      </c>
      <c r="C76" s="417"/>
      <c r="D76" s="273"/>
      <c r="E76" s="277"/>
      <c r="F76" s="420"/>
      <c r="G76" s="417"/>
      <c r="H76" s="462"/>
      <c r="I76" s="417"/>
      <c r="J76" s="462"/>
      <c r="K76" s="417"/>
      <c r="L76" s="462"/>
      <c r="M76" s="463"/>
      <c r="N76" s="462"/>
      <c r="O76" s="464"/>
      <c r="P76" s="464"/>
      <c r="Q76" s="464"/>
      <c r="R76" s="464"/>
      <c r="S76" s="464"/>
      <c r="T76" s="464"/>
      <c r="U76" s="465">
        <v>1642</v>
      </c>
      <c r="V76" s="473">
        <v>82</v>
      </c>
      <c r="W76" s="473"/>
      <c r="X76" s="467">
        <f t="shared" si="4"/>
        <v>1724</v>
      </c>
    </row>
    <row r="77" spans="1:24">
      <c r="A77" s="471">
        <v>43095</v>
      </c>
      <c r="B77" s="469" t="s">
        <v>5073</v>
      </c>
      <c r="C77" s="417"/>
      <c r="D77" s="273"/>
      <c r="E77" s="277"/>
      <c r="F77" s="420"/>
      <c r="G77" s="417"/>
      <c r="H77" s="462"/>
      <c r="I77" s="417"/>
      <c r="J77" s="462"/>
      <c r="K77" s="417"/>
      <c r="L77" s="462"/>
      <c r="M77" s="463"/>
      <c r="N77" s="462"/>
      <c r="O77" s="464"/>
      <c r="P77" s="464"/>
      <c r="Q77" s="464"/>
      <c r="R77" s="464"/>
      <c r="S77" s="464"/>
      <c r="T77" s="464"/>
      <c r="U77" s="465">
        <v>1699</v>
      </c>
      <c r="V77" s="473">
        <v>85</v>
      </c>
      <c r="W77" s="473"/>
      <c r="X77" s="467">
        <f t="shared" si="4"/>
        <v>1784</v>
      </c>
    </row>
    <row r="78" spans="1:24">
      <c r="A78" s="477">
        <v>42760</v>
      </c>
      <c r="B78" s="460" t="s">
        <v>5152</v>
      </c>
      <c r="C78" s="417"/>
      <c r="D78" s="273"/>
      <c r="E78" s="277"/>
      <c r="F78" s="420"/>
      <c r="G78" s="417"/>
      <c r="H78" s="462"/>
      <c r="I78" s="417"/>
      <c r="J78" s="462"/>
      <c r="K78" s="417"/>
      <c r="L78" s="462"/>
      <c r="M78" s="463"/>
      <c r="N78" s="462"/>
      <c r="O78" s="464"/>
      <c r="P78" s="464"/>
      <c r="Q78" s="464"/>
      <c r="R78" s="464"/>
      <c r="S78" s="464"/>
      <c r="T78" s="464"/>
      <c r="U78" s="465">
        <v>2407</v>
      </c>
      <c r="V78" s="466">
        <v>120</v>
      </c>
      <c r="W78" s="466"/>
      <c r="X78" s="467">
        <f t="shared" si="4"/>
        <v>2527</v>
      </c>
    </row>
    <row r="79" spans="1:24">
      <c r="A79" s="468">
        <v>42795</v>
      </c>
      <c r="B79" s="469" t="s">
        <v>5137</v>
      </c>
      <c r="C79" s="417"/>
      <c r="D79" s="273"/>
      <c r="E79" s="277"/>
      <c r="F79" s="420"/>
      <c r="G79" s="417"/>
      <c r="H79" s="462"/>
      <c r="I79" s="417"/>
      <c r="J79" s="462"/>
      <c r="K79" s="417"/>
      <c r="L79" s="462"/>
      <c r="M79" s="463"/>
      <c r="N79" s="462"/>
      <c r="O79" s="464"/>
      <c r="P79" s="464"/>
      <c r="Q79" s="464"/>
      <c r="R79" s="464"/>
      <c r="S79" s="464"/>
      <c r="T79" s="464"/>
      <c r="U79" s="465">
        <v>2128</v>
      </c>
      <c r="V79" s="466">
        <v>106</v>
      </c>
      <c r="W79" s="466"/>
      <c r="X79" s="467">
        <f t="shared" si="4"/>
        <v>2234</v>
      </c>
    </row>
    <row r="80" spans="1:24">
      <c r="A80" s="468">
        <v>42821</v>
      </c>
      <c r="B80" s="469" t="s">
        <v>5138</v>
      </c>
      <c r="C80" s="417"/>
      <c r="D80" s="273"/>
      <c r="E80" s="277"/>
      <c r="F80" s="420"/>
      <c r="G80" s="417"/>
      <c r="H80" s="462"/>
      <c r="I80" s="417"/>
      <c r="J80" s="462"/>
      <c r="K80" s="417"/>
      <c r="L80" s="462"/>
      <c r="M80" s="463"/>
      <c r="N80" s="462"/>
      <c r="O80" s="464"/>
      <c r="P80" s="464"/>
      <c r="Q80" s="464"/>
      <c r="R80" s="464"/>
      <c r="S80" s="464"/>
      <c r="T80" s="464"/>
      <c r="U80" s="465">
        <v>2003</v>
      </c>
      <c r="V80" s="466">
        <v>100</v>
      </c>
      <c r="W80" s="466"/>
      <c r="X80" s="467">
        <f t="shared" si="4"/>
        <v>2103</v>
      </c>
    </row>
    <row r="81" spans="1:29" s="416" customFormat="1">
      <c r="A81" s="470">
        <v>42850</v>
      </c>
      <c r="B81" s="469" t="s">
        <v>5139</v>
      </c>
      <c r="C81" s="417"/>
      <c r="D81" s="273"/>
      <c r="E81" s="277"/>
      <c r="F81" s="420"/>
      <c r="G81" s="417"/>
      <c r="H81" s="462"/>
      <c r="I81" s="417"/>
      <c r="J81" s="462"/>
      <c r="K81" s="417"/>
      <c r="L81" s="462"/>
      <c r="M81" s="463"/>
      <c r="N81" s="462"/>
      <c r="O81" s="464"/>
      <c r="P81" s="464"/>
      <c r="Q81" s="464"/>
      <c r="R81" s="464"/>
      <c r="S81" s="464"/>
      <c r="T81" s="464"/>
      <c r="U81" s="465">
        <v>1964</v>
      </c>
      <c r="V81" s="466">
        <v>98</v>
      </c>
      <c r="W81" s="466"/>
      <c r="X81" s="467">
        <f t="shared" si="4"/>
        <v>2062</v>
      </c>
      <c r="Y81" s="415"/>
      <c r="AB81" s="415"/>
      <c r="AC81" s="415"/>
    </row>
    <row r="82" spans="1:29" s="416" customFormat="1">
      <c r="A82" s="471">
        <v>42880</v>
      </c>
      <c r="B82" s="469" t="s">
        <v>5117</v>
      </c>
      <c r="C82" s="417"/>
      <c r="D82" s="273"/>
      <c r="E82" s="277"/>
      <c r="F82" s="420"/>
      <c r="G82" s="417"/>
      <c r="H82" s="462"/>
      <c r="I82" s="417"/>
      <c r="J82" s="462"/>
      <c r="K82" s="417"/>
      <c r="L82" s="462"/>
      <c r="M82" s="463"/>
      <c r="N82" s="462"/>
      <c r="O82" s="464"/>
      <c r="P82" s="464"/>
      <c r="Q82" s="464"/>
      <c r="R82" s="464"/>
      <c r="S82" s="464"/>
      <c r="T82" s="464"/>
      <c r="U82" s="465">
        <v>1993</v>
      </c>
      <c r="V82" s="472">
        <v>100</v>
      </c>
      <c r="W82" s="472"/>
      <c r="X82" s="467">
        <f t="shared" si="4"/>
        <v>2093</v>
      </c>
      <c r="Y82" s="415"/>
      <c r="AB82" s="415"/>
      <c r="AC82" s="415"/>
    </row>
    <row r="83" spans="1:29" s="416" customFormat="1">
      <c r="A83" s="471">
        <v>42912</v>
      </c>
      <c r="B83" s="469" t="s">
        <v>5118</v>
      </c>
      <c r="C83" s="417"/>
      <c r="D83" s="273"/>
      <c r="E83" s="277"/>
      <c r="F83" s="420"/>
      <c r="G83" s="417"/>
      <c r="H83" s="462"/>
      <c r="I83" s="417"/>
      <c r="J83" s="462"/>
      <c r="K83" s="417"/>
      <c r="L83" s="462"/>
      <c r="M83" s="463"/>
      <c r="N83" s="462"/>
      <c r="O83" s="464"/>
      <c r="P83" s="464"/>
      <c r="Q83" s="464"/>
      <c r="R83" s="464"/>
      <c r="S83" s="464"/>
      <c r="T83" s="464"/>
      <c r="U83" s="465">
        <v>2076</v>
      </c>
      <c r="V83" s="473">
        <v>104</v>
      </c>
      <c r="W83" s="473"/>
      <c r="X83" s="467">
        <f t="shared" si="4"/>
        <v>2180</v>
      </c>
      <c r="Y83" s="415"/>
      <c r="AB83" s="415"/>
      <c r="AC83" s="415"/>
    </row>
    <row r="84" spans="1:29" s="416" customFormat="1">
      <c r="A84" s="471">
        <v>42941</v>
      </c>
      <c r="B84" s="469" t="s">
        <v>5101</v>
      </c>
      <c r="C84" s="417"/>
      <c r="D84" s="273"/>
      <c r="E84" s="277"/>
      <c r="F84" s="420"/>
      <c r="G84" s="417"/>
      <c r="H84" s="462"/>
      <c r="I84" s="417"/>
      <c r="J84" s="462"/>
      <c r="K84" s="417"/>
      <c r="L84" s="462"/>
      <c r="M84" s="463"/>
      <c r="N84" s="462"/>
      <c r="O84" s="464"/>
      <c r="P84" s="464"/>
      <c r="Q84" s="464"/>
      <c r="R84" s="464"/>
      <c r="S84" s="464"/>
      <c r="T84" s="464"/>
      <c r="U84" s="465">
        <v>1987</v>
      </c>
      <c r="V84" s="473">
        <v>99</v>
      </c>
      <c r="W84" s="473"/>
      <c r="X84" s="467">
        <f t="shared" si="4"/>
        <v>2086</v>
      </c>
      <c r="Y84" s="415"/>
      <c r="AB84" s="415"/>
      <c r="AC84" s="415"/>
    </row>
    <row r="85" spans="1:29" s="416" customFormat="1">
      <c r="A85" s="471">
        <v>42972</v>
      </c>
      <c r="B85" s="469" t="s">
        <v>5102</v>
      </c>
      <c r="C85" s="417"/>
      <c r="D85" s="273"/>
      <c r="E85" s="277"/>
      <c r="F85" s="420"/>
      <c r="G85" s="417"/>
      <c r="H85" s="462"/>
      <c r="I85" s="417"/>
      <c r="J85" s="462"/>
      <c r="K85" s="417"/>
      <c r="L85" s="462"/>
      <c r="M85" s="463"/>
      <c r="N85" s="462"/>
      <c r="O85" s="464"/>
      <c r="P85" s="464"/>
      <c r="Q85" s="464"/>
      <c r="R85" s="464"/>
      <c r="S85" s="464"/>
      <c r="T85" s="464"/>
      <c r="U85" s="465">
        <v>2009</v>
      </c>
      <c r="V85" s="466">
        <v>100</v>
      </c>
      <c r="W85" s="466"/>
      <c r="X85" s="467">
        <f t="shared" si="4"/>
        <v>2109</v>
      </c>
      <c r="Y85" s="415"/>
      <c r="AB85" s="415"/>
      <c r="AC85" s="415"/>
    </row>
    <row r="86" spans="1:29" s="416" customFormat="1">
      <c r="A86" s="568">
        <v>43004</v>
      </c>
      <c r="B86" s="469" t="s">
        <v>5088</v>
      </c>
      <c r="C86" s="417"/>
      <c r="D86" s="273"/>
      <c r="E86" s="277"/>
      <c r="F86" s="420"/>
      <c r="G86" s="417"/>
      <c r="H86" s="462"/>
      <c r="I86" s="417"/>
      <c r="J86" s="462"/>
      <c r="K86" s="417"/>
      <c r="L86" s="462"/>
      <c r="M86" s="463"/>
      <c r="N86" s="462"/>
      <c r="O86" s="464"/>
      <c r="P86" s="464"/>
      <c r="Q86" s="464"/>
      <c r="R86" s="464"/>
      <c r="S86" s="464"/>
      <c r="T86" s="464"/>
      <c r="U86" s="465">
        <v>2103</v>
      </c>
      <c r="V86" s="466">
        <v>105</v>
      </c>
      <c r="W86" s="466"/>
      <c r="X86" s="467">
        <f t="shared" si="4"/>
        <v>2208</v>
      </c>
      <c r="Y86" s="415"/>
      <c r="AB86" s="415"/>
      <c r="AC86" s="415"/>
    </row>
    <row r="87" spans="1:29" s="416" customFormat="1">
      <c r="A87" s="471">
        <v>43034</v>
      </c>
      <c r="B87" s="469" t="s">
        <v>5089</v>
      </c>
      <c r="C87" s="417"/>
      <c r="D87" s="273"/>
      <c r="E87" s="277"/>
      <c r="F87" s="420"/>
      <c r="G87" s="417"/>
      <c r="H87" s="462"/>
      <c r="I87" s="417"/>
      <c r="J87" s="462"/>
      <c r="K87" s="417"/>
      <c r="L87" s="462"/>
      <c r="M87" s="463"/>
      <c r="N87" s="462"/>
      <c r="O87" s="464"/>
      <c r="P87" s="464"/>
      <c r="Q87" s="464"/>
      <c r="R87" s="464"/>
      <c r="S87" s="464"/>
      <c r="T87" s="464"/>
      <c r="U87" s="465">
        <v>1941</v>
      </c>
      <c r="V87" s="473">
        <v>97</v>
      </c>
      <c r="W87" s="473"/>
      <c r="X87" s="467">
        <f t="shared" si="4"/>
        <v>2038</v>
      </c>
      <c r="Y87" s="415"/>
      <c r="AB87" s="415"/>
      <c r="AC87" s="415"/>
    </row>
    <row r="88" spans="1:29" s="416" customFormat="1">
      <c r="A88" s="471">
        <v>43066</v>
      </c>
      <c r="B88" s="469" t="s">
        <v>5075</v>
      </c>
      <c r="C88" s="417"/>
      <c r="D88" s="273"/>
      <c r="E88" s="277"/>
      <c r="F88" s="420"/>
      <c r="G88" s="417"/>
      <c r="H88" s="462"/>
      <c r="I88" s="417"/>
      <c r="J88" s="462"/>
      <c r="K88" s="417"/>
      <c r="L88" s="462"/>
      <c r="M88" s="463"/>
      <c r="N88" s="462"/>
      <c r="O88" s="464"/>
      <c r="P88" s="464"/>
      <c r="Q88" s="464"/>
      <c r="R88" s="464"/>
      <c r="S88" s="464"/>
      <c r="T88" s="464"/>
      <c r="U88" s="465">
        <v>1955</v>
      </c>
      <c r="V88" s="473">
        <v>98</v>
      </c>
      <c r="W88" s="473"/>
      <c r="X88" s="467">
        <f t="shared" si="4"/>
        <v>2053</v>
      </c>
      <c r="Y88" s="415"/>
      <c r="AB88" s="415"/>
      <c r="AC88" s="415"/>
    </row>
    <row r="89" spans="1:29" s="416" customFormat="1">
      <c r="A89" s="471">
        <v>43094</v>
      </c>
      <c r="B89" s="469" t="s">
        <v>5076</v>
      </c>
      <c r="C89" s="417"/>
      <c r="D89" s="273"/>
      <c r="E89" s="277"/>
      <c r="F89" s="420"/>
      <c r="G89" s="417"/>
      <c r="H89" s="462"/>
      <c r="I89" s="417"/>
      <c r="J89" s="462"/>
      <c r="K89" s="417"/>
      <c r="L89" s="462"/>
      <c r="M89" s="463"/>
      <c r="N89" s="462"/>
      <c r="O89" s="464"/>
      <c r="P89" s="464"/>
      <c r="Q89" s="464"/>
      <c r="R89" s="464"/>
      <c r="S89" s="464"/>
      <c r="T89" s="464"/>
      <c r="U89" s="465">
        <v>1911</v>
      </c>
      <c r="V89" s="473">
        <v>96</v>
      </c>
      <c r="W89" s="473"/>
      <c r="X89" s="467">
        <f t="shared" si="4"/>
        <v>2007</v>
      </c>
      <c r="Y89" s="415"/>
      <c r="AB89" s="415"/>
      <c r="AC89" s="415"/>
    </row>
    <row r="90" spans="1:29">
      <c r="A90" s="477">
        <v>42760</v>
      </c>
      <c r="B90" s="460" t="s">
        <v>5153</v>
      </c>
      <c r="C90" s="417"/>
      <c r="D90" s="273"/>
      <c r="E90" s="277"/>
      <c r="F90" s="420"/>
      <c r="G90" s="417"/>
      <c r="H90" s="462"/>
      <c r="I90" s="417"/>
      <c r="J90" s="462"/>
      <c r="K90" s="417"/>
      <c r="L90" s="462"/>
      <c r="M90" s="463"/>
      <c r="N90" s="462"/>
      <c r="O90" s="464"/>
      <c r="P90" s="464"/>
      <c r="Q90" s="464"/>
      <c r="R90" s="464"/>
      <c r="S90" s="464"/>
      <c r="T90" s="464"/>
      <c r="U90" s="465">
        <v>1172</v>
      </c>
      <c r="V90" s="466">
        <v>59</v>
      </c>
      <c r="W90" s="466"/>
      <c r="X90" s="467">
        <f t="shared" si="4"/>
        <v>1231</v>
      </c>
    </row>
    <row r="91" spans="1:29">
      <c r="A91" s="468">
        <v>42795</v>
      </c>
      <c r="B91" s="469" t="s">
        <v>5140</v>
      </c>
      <c r="C91" s="417"/>
      <c r="D91" s="273"/>
      <c r="E91" s="277"/>
      <c r="F91" s="420"/>
      <c r="G91" s="417"/>
      <c r="H91" s="462"/>
      <c r="I91" s="417"/>
      <c r="J91" s="462"/>
      <c r="K91" s="417"/>
      <c r="L91" s="462"/>
      <c r="M91" s="463"/>
      <c r="N91" s="462"/>
      <c r="O91" s="464"/>
      <c r="P91" s="464"/>
      <c r="Q91" s="464"/>
      <c r="R91" s="464"/>
      <c r="S91" s="464"/>
      <c r="T91" s="464"/>
      <c r="U91" s="465">
        <v>1177</v>
      </c>
      <c r="V91" s="466">
        <v>59</v>
      </c>
      <c r="W91" s="466"/>
      <c r="X91" s="467">
        <f t="shared" si="4"/>
        <v>1236</v>
      </c>
    </row>
    <row r="92" spans="1:29">
      <c r="A92" s="468">
        <v>42821</v>
      </c>
      <c r="B92" s="469" t="s">
        <v>5141</v>
      </c>
      <c r="C92" s="417"/>
      <c r="D92" s="273"/>
      <c r="E92" s="277"/>
      <c r="F92" s="420"/>
      <c r="G92" s="417"/>
      <c r="H92" s="462"/>
      <c r="I92" s="417"/>
      <c r="J92" s="462"/>
      <c r="K92" s="417"/>
      <c r="L92" s="462"/>
      <c r="M92" s="463"/>
      <c r="N92" s="462"/>
      <c r="O92" s="464"/>
      <c r="P92" s="464"/>
      <c r="Q92" s="464"/>
      <c r="R92" s="464"/>
      <c r="S92" s="464"/>
      <c r="T92" s="464"/>
      <c r="U92" s="465">
        <v>1181</v>
      </c>
      <c r="V92" s="466">
        <v>59</v>
      </c>
      <c r="W92" s="466"/>
      <c r="X92" s="467">
        <f t="shared" si="4"/>
        <v>1240</v>
      </c>
    </row>
    <row r="93" spans="1:29">
      <c r="A93" s="470">
        <v>42851</v>
      </c>
      <c r="B93" s="469" t="s">
        <v>5142</v>
      </c>
      <c r="C93" s="417"/>
      <c r="D93" s="273"/>
      <c r="E93" s="277"/>
      <c r="F93" s="420"/>
      <c r="G93" s="417"/>
      <c r="H93" s="462"/>
      <c r="I93" s="417"/>
      <c r="J93" s="462"/>
      <c r="K93" s="417"/>
      <c r="L93" s="462"/>
      <c r="M93" s="463"/>
      <c r="N93" s="462"/>
      <c r="O93" s="464"/>
      <c r="P93" s="464"/>
      <c r="Q93" s="464"/>
      <c r="R93" s="464"/>
      <c r="S93" s="464"/>
      <c r="T93" s="464"/>
      <c r="U93" s="465">
        <v>1181</v>
      </c>
      <c r="V93" s="466">
        <v>59</v>
      </c>
      <c r="W93" s="466"/>
      <c r="X93" s="467">
        <f t="shared" si="4"/>
        <v>1240</v>
      </c>
    </row>
    <row r="94" spans="1:29">
      <c r="A94" s="471">
        <v>42880</v>
      </c>
      <c r="B94" s="469" t="s">
        <v>5119</v>
      </c>
      <c r="C94" s="417"/>
      <c r="D94" s="273"/>
      <c r="E94" s="277"/>
      <c r="F94" s="420"/>
      <c r="G94" s="417"/>
      <c r="H94" s="462"/>
      <c r="I94" s="417"/>
      <c r="J94" s="462"/>
      <c r="K94" s="417"/>
      <c r="L94" s="462"/>
      <c r="M94" s="463"/>
      <c r="N94" s="462"/>
      <c r="O94" s="464"/>
      <c r="P94" s="464"/>
      <c r="Q94" s="464"/>
      <c r="R94" s="464"/>
      <c r="S94" s="464"/>
      <c r="T94" s="464"/>
      <c r="U94" s="465">
        <v>1175</v>
      </c>
      <c r="V94" s="472">
        <v>59</v>
      </c>
      <c r="W94" s="472"/>
      <c r="X94" s="467">
        <f t="shared" si="4"/>
        <v>1234</v>
      </c>
    </row>
    <row r="95" spans="1:29">
      <c r="A95" s="471">
        <v>42912</v>
      </c>
      <c r="B95" s="469" t="s">
        <v>5120</v>
      </c>
      <c r="C95" s="417"/>
      <c r="D95" s="273"/>
      <c r="E95" s="277"/>
      <c r="F95" s="420"/>
      <c r="G95" s="417"/>
      <c r="H95" s="462"/>
      <c r="I95" s="417"/>
      <c r="J95" s="462"/>
      <c r="K95" s="417"/>
      <c r="L95" s="462"/>
      <c r="M95" s="463"/>
      <c r="N95" s="462"/>
      <c r="O95" s="464"/>
      <c r="P95" s="464"/>
      <c r="Q95" s="464"/>
      <c r="R95" s="464"/>
      <c r="S95" s="464"/>
      <c r="T95" s="464"/>
      <c r="U95" s="465">
        <v>1173</v>
      </c>
      <c r="V95" s="473">
        <v>59</v>
      </c>
      <c r="W95" s="473"/>
      <c r="X95" s="467">
        <f t="shared" si="4"/>
        <v>1232</v>
      </c>
    </row>
    <row r="96" spans="1:29">
      <c r="A96" s="471">
        <v>42941</v>
      </c>
      <c r="B96" s="469" t="s">
        <v>5103</v>
      </c>
      <c r="C96" s="417"/>
      <c r="D96" s="273"/>
      <c r="E96" s="277"/>
      <c r="F96" s="420"/>
      <c r="G96" s="417"/>
      <c r="H96" s="462"/>
      <c r="I96" s="417"/>
      <c r="J96" s="462"/>
      <c r="K96" s="417"/>
      <c r="L96" s="462"/>
      <c r="M96" s="463"/>
      <c r="N96" s="462"/>
      <c r="O96" s="464"/>
      <c r="P96" s="464"/>
      <c r="Q96" s="464"/>
      <c r="R96" s="464"/>
      <c r="S96" s="464"/>
      <c r="T96" s="464"/>
      <c r="U96" s="465">
        <v>1173</v>
      </c>
      <c r="V96" s="473">
        <v>59</v>
      </c>
      <c r="W96" s="473"/>
      <c r="X96" s="467">
        <f t="shared" si="4"/>
        <v>1232</v>
      </c>
    </row>
    <row r="97" spans="1:29">
      <c r="A97" s="471">
        <v>42972</v>
      </c>
      <c r="B97" s="469" t="s">
        <v>5104</v>
      </c>
      <c r="C97" s="417"/>
      <c r="D97" s="273"/>
      <c r="E97" s="277"/>
      <c r="F97" s="420"/>
      <c r="G97" s="417"/>
      <c r="H97" s="462"/>
      <c r="I97" s="417"/>
      <c r="J97" s="462"/>
      <c r="K97" s="417"/>
      <c r="L97" s="462"/>
      <c r="M97" s="463"/>
      <c r="N97" s="462"/>
      <c r="O97" s="464"/>
      <c r="P97" s="464"/>
      <c r="Q97" s="464"/>
      <c r="R97" s="464"/>
      <c r="S97" s="464"/>
      <c r="T97" s="464"/>
      <c r="U97" s="465">
        <v>1170</v>
      </c>
      <c r="V97" s="466">
        <v>59</v>
      </c>
      <c r="W97" s="466"/>
      <c r="X97" s="467">
        <f t="shared" si="4"/>
        <v>1229</v>
      </c>
    </row>
    <row r="98" spans="1:29">
      <c r="A98" s="471">
        <v>43004</v>
      </c>
      <c r="B98" s="469" t="s">
        <v>5090</v>
      </c>
      <c r="C98" s="417"/>
      <c r="D98" s="273"/>
      <c r="E98" s="277"/>
      <c r="F98" s="420"/>
      <c r="G98" s="417"/>
      <c r="H98" s="462"/>
      <c r="I98" s="417"/>
      <c r="J98" s="462"/>
      <c r="K98" s="417"/>
      <c r="L98" s="462"/>
      <c r="M98" s="463"/>
      <c r="N98" s="462"/>
      <c r="O98" s="464"/>
      <c r="P98" s="464"/>
      <c r="Q98" s="464"/>
      <c r="R98" s="464"/>
      <c r="S98" s="464"/>
      <c r="T98" s="464"/>
      <c r="U98" s="465">
        <v>1176</v>
      </c>
      <c r="V98" s="466">
        <v>59</v>
      </c>
      <c r="W98" s="466"/>
      <c r="X98" s="467">
        <f t="shared" si="4"/>
        <v>1235</v>
      </c>
    </row>
    <row r="99" spans="1:29">
      <c r="A99" s="471">
        <v>43034</v>
      </c>
      <c r="B99" s="469" t="s">
        <v>5091</v>
      </c>
      <c r="C99" s="417"/>
      <c r="D99" s="273"/>
      <c r="E99" s="277"/>
      <c r="F99" s="420"/>
      <c r="G99" s="417"/>
      <c r="H99" s="462"/>
      <c r="I99" s="417"/>
      <c r="J99" s="462"/>
      <c r="K99" s="417"/>
      <c r="L99" s="462"/>
      <c r="M99" s="463"/>
      <c r="N99" s="462"/>
      <c r="O99" s="464"/>
      <c r="P99" s="464"/>
      <c r="Q99" s="464"/>
      <c r="R99" s="464"/>
      <c r="S99" s="464"/>
      <c r="T99" s="464"/>
      <c r="U99" s="465">
        <v>1172</v>
      </c>
      <c r="V99" s="473">
        <v>59</v>
      </c>
      <c r="W99" s="473"/>
      <c r="X99" s="467">
        <f t="shared" si="4"/>
        <v>1231</v>
      </c>
    </row>
    <row r="100" spans="1:29">
      <c r="A100" s="471">
        <v>43066</v>
      </c>
      <c r="B100" s="469" t="s">
        <v>5077</v>
      </c>
      <c r="C100" s="417"/>
      <c r="D100" s="273"/>
      <c r="E100" s="277"/>
      <c r="F100" s="420"/>
      <c r="G100" s="417"/>
      <c r="H100" s="462"/>
      <c r="I100" s="417"/>
      <c r="J100" s="462"/>
      <c r="K100" s="417"/>
      <c r="L100" s="462"/>
      <c r="M100" s="463"/>
      <c r="N100" s="462"/>
      <c r="O100" s="464"/>
      <c r="P100" s="464"/>
      <c r="Q100" s="464"/>
      <c r="R100" s="464"/>
      <c r="S100" s="464"/>
      <c r="T100" s="464"/>
      <c r="U100" s="465">
        <v>1170</v>
      </c>
      <c r="V100" s="473">
        <v>59</v>
      </c>
      <c r="W100" s="473"/>
      <c r="X100" s="467">
        <f t="shared" si="4"/>
        <v>1229</v>
      </c>
    </row>
    <row r="101" spans="1:29">
      <c r="A101" s="471">
        <v>43094</v>
      </c>
      <c r="B101" s="469" t="s">
        <v>5078</v>
      </c>
      <c r="C101" s="417"/>
      <c r="D101" s="273"/>
      <c r="E101" s="277"/>
      <c r="F101" s="420"/>
      <c r="G101" s="417"/>
      <c r="H101" s="462"/>
      <c r="I101" s="417"/>
      <c r="J101" s="462"/>
      <c r="K101" s="417"/>
      <c r="L101" s="462"/>
      <c r="M101" s="463"/>
      <c r="N101" s="462"/>
      <c r="O101" s="464"/>
      <c r="P101" s="464"/>
      <c r="Q101" s="464"/>
      <c r="R101" s="464"/>
      <c r="S101" s="464"/>
      <c r="T101" s="464"/>
      <c r="U101" s="465">
        <v>1170</v>
      </c>
      <c r="V101" s="473">
        <v>59</v>
      </c>
      <c r="W101" s="473"/>
      <c r="X101" s="467">
        <f t="shared" si="4"/>
        <v>1229</v>
      </c>
    </row>
    <row r="102" spans="1:29" s="416" customFormat="1">
      <c r="A102" s="474"/>
      <c r="B102" s="460"/>
      <c r="C102" s="417"/>
      <c r="D102" s="461"/>
      <c r="E102" s="417"/>
      <c r="F102" s="420"/>
      <c r="G102" s="417"/>
      <c r="H102" s="462"/>
      <c r="I102" s="417"/>
      <c r="J102" s="462"/>
      <c r="K102" s="417"/>
      <c r="L102" s="462"/>
      <c r="M102" s="463"/>
      <c r="N102" s="462"/>
      <c r="O102" s="464"/>
      <c r="P102" s="464"/>
      <c r="Q102" s="464"/>
      <c r="R102" s="464"/>
      <c r="S102" s="464"/>
      <c r="T102" s="464">
        <f>U102+V102</f>
        <v>61746</v>
      </c>
      <c r="U102" s="465">
        <f>SUM(U66:U101)</f>
        <v>58803</v>
      </c>
      <c r="V102" s="465">
        <f>SUM(V66:V101)</f>
        <v>2943</v>
      </c>
      <c r="W102" s="465">
        <f>SUM(W66:W101)</f>
        <v>0</v>
      </c>
      <c r="X102" s="467">
        <f t="shared" si="4"/>
        <v>61746</v>
      </c>
      <c r="Y102" s="415"/>
      <c r="AB102" s="415"/>
      <c r="AC102" s="415"/>
    </row>
    <row r="103" spans="1:29" s="416" customFormat="1">
      <c r="A103" s="475">
        <v>42768</v>
      </c>
      <c r="B103" s="460" t="s">
        <v>5150</v>
      </c>
      <c r="C103" s="417"/>
      <c r="D103" s="461"/>
      <c r="E103" s="417"/>
      <c r="F103" s="420"/>
      <c r="G103" s="417"/>
      <c r="H103" s="462"/>
      <c r="I103" s="417"/>
      <c r="J103" s="462"/>
      <c r="K103" s="417"/>
      <c r="L103" s="462"/>
      <c r="M103" s="463"/>
      <c r="N103" s="462"/>
      <c r="O103" s="464"/>
      <c r="P103" s="464"/>
      <c r="Q103" s="464"/>
      <c r="R103" s="464"/>
      <c r="S103" s="464"/>
      <c r="T103" s="464"/>
      <c r="U103" s="465">
        <v>163</v>
      </c>
      <c r="V103" s="472">
        <v>8</v>
      </c>
      <c r="W103" s="476">
        <v>39</v>
      </c>
      <c r="X103" s="467">
        <f t="shared" si="4"/>
        <v>210</v>
      </c>
      <c r="Y103" s="451"/>
      <c r="AB103" s="415"/>
      <c r="AC103" s="415"/>
    </row>
    <row r="104" spans="1:29" s="416" customFormat="1">
      <c r="A104" s="468">
        <v>42830</v>
      </c>
      <c r="B104" s="469" t="s">
        <v>5133</v>
      </c>
      <c r="C104" s="417"/>
      <c r="D104" s="461"/>
      <c r="E104" s="417"/>
      <c r="F104" s="420"/>
      <c r="G104" s="417"/>
      <c r="H104" s="462"/>
      <c r="I104" s="417"/>
      <c r="J104" s="462"/>
      <c r="K104" s="417"/>
      <c r="L104" s="462"/>
      <c r="M104" s="463"/>
      <c r="N104" s="462"/>
      <c r="O104" s="464"/>
      <c r="P104" s="464"/>
      <c r="Q104" s="464"/>
      <c r="R104" s="464"/>
      <c r="S104" s="464"/>
      <c r="T104" s="464"/>
      <c r="U104" s="465">
        <v>149</v>
      </c>
      <c r="V104" s="466">
        <v>7</v>
      </c>
      <c r="W104" s="466">
        <v>22</v>
      </c>
      <c r="X104" s="467">
        <f t="shared" si="4"/>
        <v>178</v>
      </c>
      <c r="Y104" s="415"/>
      <c r="AB104" s="415"/>
      <c r="AC104" s="415"/>
    </row>
    <row r="105" spans="1:29" s="416" customFormat="1">
      <c r="A105" s="470">
        <v>42888</v>
      </c>
      <c r="B105" s="469" t="s">
        <v>5114</v>
      </c>
      <c r="C105" s="417"/>
      <c r="D105" s="461"/>
      <c r="E105" s="417"/>
      <c r="F105" s="420"/>
      <c r="G105" s="417"/>
      <c r="H105" s="462"/>
      <c r="I105" s="417"/>
      <c r="J105" s="462"/>
      <c r="K105" s="417"/>
      <c r="L105" s="462"/>
      <c r="M105" s="463"/>
      <c r="N105" s="462"/>
      <c r="O105" s="464"/>
      <c r="P105" s="464"/>
      <c r="Q105" s="464"/>
      <c r="R105" s="464"/>
      <c r="S105" s="464"/>
      <c r="T105" s="464"/>
      <c r="U105" s="465">
        <v>158</v>
      </c>
      <c r="V105" s="473">
        <v>8</v>
      </c>
      <c r="W105" s="473">
        <v>33</v>
      </c>
      <c r="X105" s="467">
        <f t="shared" si="4"/>
        <v>199</v>
      </c>
      <c r="Y105" s="415"/>
      <c r="AB105" s="415"/>
      <c r="AC105" s="415"/>
    </row>
    <row r="106" spans="1:29" s="416" customFormat="1">
      <c r="A106" s="470">
        <v>42942</v>
      </c>
      <c r="B106" s="469" t="s">
        <v>5098</v>
      </c>
      <c r="C106" s="417"/>
      <c r="D106" s="461"/>
      <c r="E106" s="417"/>
      <c r="F106" s="420"/>
      <c r="G106" s="417"/>
      <c r="H106" s="462"/>
      <c r="I106" s="417"/>
      <c r="J106" s="462"/>
      <c r="K106" s="417"/>
      <c r="L106" s="462"/>
      <c r="M106" s="463"/>
      <c r="N106" s="462"/>
      <c r="O106" s="464"/>
      <c r="P106" s="464"/>
      <c r="Q106" s="464"/>
      <c r="R106" s="464"/>
      <c r="S106" s="464"/>
      <c r="T106" s="464"/>
      <c r="U106" s="465">
        <v>153</v>
      </c>
      <c r="V106" s="466">
        <v>8</v>
      </c>
      <c r="W106" s="466">
        <v>28</v>
      </c>
      <c r="X106" s="467">
        <f t="shared" si="4"/>
        <v>189</v>
      </c>
      <c r="Y106" s="415"/>
      <c r="AB106" s="415"/>
      <c r="AC106" s="415"/>
    </row>
    <row r="107" spans="1:29" s="416" customFormat="1">
      <c r="A107" s="470">
        <v>43368</v>
      </c>
      <c r="B107" s="469" t="s">
        <v>5085</v>
      </c>
      <c r="C107" s="417"/>
      <c r="D107" s="461"/>
      <c r="E107" s="417"/>
      <c r="F107" s="420"/>
      <c r="G107" s="417"/>
      <c r="H107" s="462"/>
      <c r="I107" s="417"/>
      <c r="J107" s="462"/>
      <c r="K107" s="417"/>
      <c r="L107" s="462"/>
      <c r="M107" s="463"/>
      <c r="N107" s="462"/>
      <c r="O107" s="464"/>
      <c r="P107" s="464"/>
      <c r="Q107" s="464"/>
      <c r="R107" s="464"/>
      <c r="S107" s="464"/>
      <c r="T107" s="464"/>
      <c r="U107" s="465">
        <v>158</v>
      </c>
      <c r="V107" s="466">
        <v>8</v>
      </c>
      <c r="W107" s="466">
        <v>33</v>
      </c>
      <c r="X107" s="467">
        <f t="shared" si="4"/>
        <v>199</v>
      </c>
      <c r="Y107" s="415"/>
      <c r="AB107" s="415"/>
      <c r="AC107" s="415"/>
    </row>
    <row r="108" spans="1:29" s="416" customFormat="1">
      <c r="A108" s="470">
        <v>43066</v>
      </c>
      <c r="B108" s="469" t="s">
        <v>5079</v>
      </c>
      <c r="C108" s="417"/>
      <c r="D108" s="461"/>
      <c r="E108" s="417"/>
      <c r="F108" s="420"/>
      <c r="G108" s="417"/>
      <c r="H108" s="462"/>
      <c r="I108" s="417"/>
      <c r="J108" s="462"/>
      <c r="K108" s="417"/>
      <c r="L108" s="462"/>
      <c r="M108" s="463"/>
      <c r="N108" s="462"/>
      <c r="O108" s="464"/>
      <c r="P108" s="464"/>
      <c r="Q108" s="464"/>
      <c r="R108" s="464"/>
      <c r="S108" s="464"/>
      <c r="T108" s="464"/>
      <c r="U108" s="465">
        <v>158</v>
      </c>
      <c r="V108" s="473">
        <v>8</v>
      </c>
      <c r="W108" s="473">
        <v>33</v>
      </c>
      <c r="X108" s="467">
        <f t="shared" si="4"/>
        <v>199</v>
      </c>
      <c r="Y108" s="415"/>
      <c r="AB108" s="415"/>
      <c r="AC108" s="415"/>
    </row>
    <row r="109" spans="1:29" s="416" customFormat="1">
      <c r="A109" s="474"/>
      <c r="B109" s="460"/>
      <c r="C109" s="417"/>
      <c r="D109" s="461"/>
      <c r="E109" s="417"/>
      <c r="F109" s="420"/>
      <c r="G109" s="417"/>
      <c r="H109" s="462"/>
      <c r="I109" s="417"/>
      <c r="J109" s="462"/>
      <c r="K109" s="417"/>
      <c r="L109" s="462"/>
      <c r="M109" s="463"/>
      <c r="N109" s="462"/>
      <c r="O109" s="464"/>
      <c r="P109" s="464"/>
      <c r="Q109" s="464"/>
      <c r="R109" s="464"/>
      <c r="S109" s="464"/>
      <c r="T109" s="464">
        <f>U109+V109</f>
        <v>986</v>
      </c>
      <c r="U109" s="465">
        <f>SUM(U103:U108)</f>
        <v>939</v>
      </c>
      <c r="V109" s="465">
        <f>SUM(V103:V108)</f>
        <v>47</v>
      </c>
      <c r="W109" s="465">
        <f>SUM(W103:W108)</f>
        <v>188</v>
      </c>
      <c r="X109" s="467">
        <f t="shared" si="4"/>
        <v>1174</v>
      </c>
      <c r="Y109" s="415"/>
      <c r="AB109" s="415"/>
      <c r="AC109" s="415"/>
    </row>
    <row r="110" spans="1:29" s="416" customFormat="1">
      <c r="A110" s="477">
        <v>42782</v>
      </c>
      <c r="B110" s="460" t="s">
        <v>5149</v>
      </c>
      <c r="C110" s="417"/>
      <c r="D110" s="461"/>
      <c r="E110" s="417"/>
      <c r="F110" s="420"/>
      <c r="G110" s="417"/>
      <c r="H110" s="462"/>
      <c r="I110" s="417"/>
      <c r="J110" s="462"/>
      <c r="K110" s="417"/>
      <c r="L110" s="462"/>
      <c r="M110" s="463"/>
      <c r="N110" s="462"/>
      <c r="O110" s="464"/>
      <c r="P110" s="464"/>
      <c r="Q110" s="464"/>
      <c r="R110" s="464"/>
      <c r="S110" s="464"/>
      <c r="T110" s="464"/>
      <c r="U110" s="465">
        <v>1341</v>
      </c>
      <c r="V110" s="472">
        <v>67</v>
      </c>
      <c r="W110" s="476"/>
      <c r="X110" s="467">
        <f t="shared" si="4"/>
        <v>1408</v>
      </c>
      <c r="Y110" s="451"/>
      <c r="AB110" s="415"/>
      <c r="AC110" s="415"/>
    </row>
    <row r="111" spans="1:29" s="416" customFormat="1">
      <c r="A111" s="468">
        <v>42842</v>
      </c>
      <c r="B111" s="469" t="s">
        <v>5132</v>
      </c>
      <c r="C111" s="417"/>
      <c r="D111" s="461"/>
      <c r="E111" s="417"/>
      <c r="F111" s="420"/>
      <c r="G111" s="417"/>
      <c r="H111" s="462"/>
      <c r="I111" s="417"/>
      <c r="J111" s="462"/>
      <c r="K111" s="417"/>
      <c r="L111" s="462"/>
      <c r="M111" s="463"/>
      <c r="N111" s="462"/>
      <c r="O111" s="464"/>
      <c r="P111" s="464"/>
      <c r="Q111" s="464"/>
      <c r="R111" s="464"/>
      <c r="S111" s="464"/>
      <c r="T111" s="464"/>
      <c r="U111" s="465">
        <v>1410</v>
      </c>
      <c r="V111" s="466">
        <v>71</v>
      </c>
      <c r="W111" s="466"/>
      <c r="X111" s="467">
        <f t="shared" si="4"/>
        <v>1481</v>
      </c>
      <c r="Y111" s="415"/>
      <c r="AB111" s="415"/>
      <c r="AC111" s="415"/>
    </row>
    <row r="112" spans="1:29" s="416" customFormat="1">
      <c r="A112" s="470">
        <v>42902</v>
      </c>
      <c r="B112" s="469" t="s">
        <v>5113</v>
      </c>
      <c r="C112" s="417"/>
      <c r="D112" s="461"/>
      <c r="E112" s="417"/>
      <c r="F112" s="420"/>
      <c r="G112" s="417"/>
      <c r="H112" s="462"/>
      <c r="I112" s="417"/>
      <c r="J112" s="462"/>
      <c r="K112" s="417"/>
      <c r="L112" s="462"/>
      <c r="M112" s="463"/>
      <c r="N112" s="462"/>
      <c r="O112" s="464"/>
      <c r="P112" s="464"/>
      <c r="Q112" s="464"/>
      <c r="R112" s="464"/>
      <c r="S112" s="464"/>
      <c r="T112" s="464"/>
      <c r="U112" s="465">
        <v>1756</v>
      </c>
      <c r="V112" s="473">
        <v>88</v>
      </c>
      <c r="W112" s="473"/>
      <c r="X112" s="467">
        <f t="shared" si="4"/>
        <v>1844</v>
      </c>
      <c r="Y112" s="415"/>
      <c r="AB112" s="415"/>
      <c r="AC112" s="415"/>
    </row>
    <row r="113" spans="1:29" s="416" customFormat="1">
      <c r="A113" s="470">
        <v>42963</v>
      </c>
      <c r="B113" s="469" t="s">
        <v>5097</v>
      </c>
      <c r="C113" s="417"/>
      <c r="D113" s="461"/>
      <c r="E113" s="417"/>
      <c r="F113" s="420"/>
      <c r="G113" s="417"/>
      <c r="H113" s="462"/>
      <c r="I113" s="417"/>
      <c r="J113" s="462"/>
      <c r="K113" s="417"/>
      <c r="L113" s="462"/>
      <c r="M113" s="463"/>
      <c r="N113" s="462"/>
      <c r="O113" s="464"/>
      <c r="P113" s="464"/>
      <c r="Q113" s="464"/>
      <c r="R113" s="464"/>
      <c r="S113" s="464"/>
      <c r="T113" s="464"/>
      <c r="U113" s="465">
        <v>2562</v>
      </c>
      <c r="V113" s="466">
        <v>128</v>
      </c>
      <c r="W113" s="466"/>
      <c r="X113" s="467">
        <f t="shared" si="4"/>
        <v>2690</v>
      </c>
      <c r="Y113" s="415"/>
      <c r="AB113" s="415"/>
      <c r="AC113" s="415"/>
    </row>
    <row r="114" spans="1:29" s="416" customFormat="1">
      <c r="A114" s="470">
        <v>43024</v>
      </c>
      <c r="B114" s="469" t="s">
        <v>5084</v>
      </c>
      <c r="C114" s="417"/>
      <c r="D114" s="461"/>
      <c r="E114" s="417"/>
      <c r="F114" s="420"/>
      <c r="G114" s="417"/>
      <c r="H114" s="462"/>
      <c r="I114" s="417"/>
      <c r="J114" s="462"/>
      <c r="K114" s="417"/>
      <c r="L114" s="462"/>
      <c r="M114" s="463"/>
      <c r="N114" s="462"/>
      <c r="O114" s="464"/>
      <c r="P114" s="464"/>
      <c r="Q114" s="464"/>
      <c r="R114" s="464"/>
      <c r="S114" s="464"/>
      <c r="T114" s="464"/>
      <c r="U114" s="465">
        <v>2865</v>
      </c>
      <c r="V114" s="466">
        <v>143</v>
      </c>
      <c r="W114" s="466"/>
      <c r="X114" s="467">
        <f t="shared" si="4"/>
        <v>3008</v>
      </c>
      <c r="Y114" s="415"/>
      <c r="AB114" s="415"/>
      <c r="AC114" s="415"/>
    </row>
    <row r="115" spans="1:29" s="416" customFormat="1">
      <c r="A115" s="470">
        <v>43088</v>
      </c>
      <c r="B115" s="469" t="s">
        <v>5080</v>
      </c>
      <c r="C115" s="417"/>
      <c r="D115" s="461"/>
      <c r="E115" s="417"/>
      <c r="F115" s="420"/>
      <c r="G115" s="417"/>
      <c r="H115" s="462"/>
      <c r="I115" s="417"/>
      <c r="J115" s="462"/>
      <c r="K115" s="417"/>
      <c r="L115" s="462"/>
      <c r="M115" s="463"/>
      <c r="N115" s="462"/>
      <c r="O115" s="464"/>
      <c r="P115" s="464"/>
      <c r="Q115" s="464"/>
      <c r="R115" s="464"/>
      <c r="S115" s="464"/>
      <c r="T115" s="464"/>
      <c r="U115" s="465">
        <v>2097</v>
      </c>
      <c r="V115" s="473">
        <v>105</v>
      </c>
      <c r="W115" s="473"/>
      <c r="X115" s="467">
        <f t="shared" si="4"/>
        <v>2202</v>
      </c>
      <c r="Y115" s="415"/>
      <c r="AB115" s="415"/>
      <c r="AC115" s="415"/>
    </row>
    <row r="116" spans="1:29" s="416" customFormat="1">
      <c r="A116" s="474"/>
      <c r="B116" s="460"/>
      <c r="C116" s="417"/>
      <c r="D116" s="461"/>
      <c r="E116" s="417"/>
      <c r="F116" s="420"/>
      <c r="G116" s="417"/>
      <c r="H116" s="462"/>
      <c r="I116" s="417"/>
      <c r="J116" s="462"/>
      <c r="K116" s="417"/>
      <c r="L116" s="462"/>
      <c r="M116" s="463"/>
      <c r="N116" s="462"/>
      <c r="O116" s="464"/>
      <c r="P116" s="464"/>
      <c r="Q116" s="464"/>
      <c r="R116" s="464"/>
      <c r="S116" s="464"/>
      <c r="T116" s="464">
        <f>U116+V116</f>
        <v>12633</v>
      </c>
      <c r="U116" s="465">
        <f>SUM(U110:U115)</f>
        <v>12031</v>
      </c>
      <c r="V116" s="465">
        <f>SUM(V110:V115)</f>
        <v>602</v>
      </c>
      <c r="W116" s="465">
        <f>SUM(W110:W115)</f>
        <v>0</v>
      </c>
      <c r="X116" s="467">
        <f t="shared" si="4"/>
        <v>12633</v>
      </c>
      <c r="Y116" s="415"/>
      <c r="AB116" s="415"/>
      <c r="AC116" s="415"/>
    </row>
    <row r="117" spans="1:29" s="416" customFormat="1">
      <c r="A117" s="442"/>
      <c r="B117" s="413"/>
      <c r="C117" s="442"/>
      <c r="D117" s="441"/>
      <c r="E117" s="442"/>
      <c r="F117" s="443"/>
      <c r="G117" s="442"/>
      <c r="H117" s="444"/>
      <c r="I117" s="442"/>
      <c r="J117" s="444"/>
      <c r="K117" s="442"/>
      <c r="L117" s="444"/>
      <c r="M117" s="445"/>
      <c r="N117" s="444"/>
      <c r="S117" s="416" t="s">
        <v>594</v>
      </c>
      <c r="U117" s="416">
        <f>U102+U109+U116</f>
        <v>71773</v>
      </c>
      <c r="V117" s="416">
        <f>V102+V109+V116</f>
        <v>3592</v>
      </c>
      <c r="W117" s="416">
        <f>W102+W109+W116</f>
        <v>188</v>
      </c>
      <c r="X117" s="467">
        <f t="shared" si="4"/>
        <v>75553</v>
      </c>
      <c r="Y117" s="415"/>
      <c r="AB117" s="415"/>
      <c r="AC117" s="415"/>
    </row>
    <row r="118" spans="1:29" s="416" customFormat="1">
      <c r="A118" s="442"/>
      <c r="B118" s="413"/>
      <c r="C118" s="442"/>
      <c r="D118" s="441"/>
      <c r="E118" s="442"/>
      <c r="F118" s="443"/>
      <c r="G118" s="442"/>
      <c r="H118" s="444"/>
      <c r="I118" s="442"/>
      <c r="J118" s="444"/>
      <c r="K118" s="442"/>
      <c r="L118" s="444"/>
      <c r="M118" s="445"/>
      <c r="N118" s="444"/>
      <c r="S118" s="478" t="s">
        <v>5169</v>
      </c>
      <c r="U118" s="416">
        <f>U117+U36+U1</f>
        <v>300578.76714285708</v>
      </c>
      <c r="V118" s="479">
        <f>V117+V36+V1</f>
        <v>15030</v>
      </c>
      <c r="W118" s="479"/>
      <c r="X118" s="616">
        <f t="shared" si="4"/>
        <v>315608.76714285708</v>
      </c>
      <c r="Y118" s="415"/>
      <c r="Z118" s="416">
        <f>16361-V118</f>
        <v>1331</v>
      </c>
      <c r="AB118" s="415"/>
      <c r="AC118" s="415"/>
    </row>
    <row r="120" spans="1:29">
      <c r="S120" s="478" t="s">
        <v>5672</v>
      </c>
      <c r="U120" s="451">
        <v>300579</v>
      </c>
      <c r="V120" s="451">
        <v>15030</v>
      </c>
    </row>
    <row r="121" spans="1:29">
      <c r="U121" s="416">
        <f>U118-U120</f>
        <v>-0.23285714292433113</v>
      </c>
      <c r="V121" s="416">
        <f>V118-V120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3"/>
  <sheetViews>
    <sheetView topLeftCell="A37" zoomScale="90" zoomScaleNormal="90" workbookViewId="0">
      <selection activeCell="Y83" sqref="Y83"/>
    </sheetView>
  </sheetViews>
  <sheetFormatPr defaultColWidth="9" defaultRowHeight="16.5"/>
  <cols>
    <col min="1" max="1" width="10.875" style="442" customWidth="1"/>
    <col min="2" max="2" width="18.375" style="413" customWidth="1"/>
    <col min="3" max="3" width="3.625" style="442" customWidth="1"/>
    <col min="4" max="4" width="16.25" style="441" customWidth="1"/>
    <col min="5" max="5" width="8" style="442" customWidth="1"/>
    <col min="6" max="6" width="10.375" style="443" bestFit="1" customWidth="1"/>
    <col min="7" max="7" width="4.125" style="442" bestFit="1" customWidth="1"/>
    <col min="8" max="8" width="8.625" style="444" bestFit="1" customWidth="1"/>
    <col min="9" max="9" width="4" style="442" bestFit="1" customWidth="1"/>
    <col min="10" max="10" width="12.125" style="444" bestFit="1" customWidth="1"/>
    <col min="11" max="11" width="5" style="442" bestFit="1" customWidth="1"/>
    <col min="12" max="12" width="7.5" style="444" bestFit="1" customWidth="1"/>
    <col min="13" max="13" width="5.125" style="445" bestFit="1" customWidth="1"/>
    <col min="14" max="14" width="6" style="444" customWidth="1"/>
    <col min="15" max="15" width="5.5" style="416" customWidth="1"/>
    <col min="16" max="16" width="7.5" style="416" bestFit="1" customWidth="1"/>
    <col min="17" max="17" width="5.125" style="416" bestFit="1" customWidth="1"/>
    <col min="18" max="19" width="7" style="416" customWidth="1"/>
    <col min="20" max="20" width="7.5" style="416" customWidth="1"/>
    <col min="21" max="21" width="9.875" style="451" customWidth="1"/>
    <col min="22" max="22" width="8.375" style="451" customWidth="1"/>
    <col min="23" max="23" width="6.625" style="451" customWidth="1"/>
    <col min="24" max="24" width="7.625" style="451" customWidth="1"/>
    <col min="25" max="25" width="6.625" style="415" customWidth="1"/>
    <col min="26" max="26" width="8.125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9958</v>
      </c>
      <c r="C1" s="414">
        <f t="shared" ref="C1:V1" si="0">SUM(C3:C17)</f>
        <v>14</v>
      </c>
      <c r="D1" s="414">
        <f t="shared" si="0"/>
        <v>36161.038571428573</v>
      </c>
      <c r="E1" s="414">
        <f t="shared" si="0"/>
        <v>12</v>
      </c>
      <c r="F1" s="414">
        <f t="shared" si="0"/>
        <v>33451.402380952379</v>
      </c>
      <c r="G1" s="414">
        <f t="shared" si="0"/>
        <v>13</v>
      </c>
      <c r="H1" s="414">
        <f t="shared" si="0"/>
        <v>19658.092380952377</v>
      </c>
      <c r="I1" s="414">
        <f t="shared" si="0"/>
        <v>20</v>
      </c>
      <c r="J1" s="414">
        <f t="shared" si="0"/>
        <v>56767.622857142866</v>
      </c>
      <c r="K1" s="414">
        <f t="shared" si="0"/>
        <v>27</v>
      </c>
      <c r="L1" s="414">
        <f t="shared" si="0"/>
        <v>16084.804761904759</v>
      </c>
      <c r="M1" s="414">
        <f t="shared" si="0"/>
        <v>24</v>
      </c>
      <c r="N1" s="414">
        <f t="shared" si="0"/>
        <v>6692.4438095238083</v>
      </c>
      <c r="O1" s="414">
        <f t="shared" si="0"/>
        <v>13</v>
      </c>
      <c r="P1" s="414">
        <f t="shared" si="0"/>
        <v>20179.080952380951</v>
      </c>
      <c r="Q1" s="414">
        <f t="shared" si="0"/>
        <v>8</v>
      </c>
      <c r="R1" s="414">
        <f t="shared" si="0"/>
        <v>16082.849523809524</v>
      </c>
      <c r="S1" s="414">
        <f t="shared" si="0"/>
        <v>4</v>
      </c>
      <c r="T1" s="414">
        <f t="shared" si="0"/>
        <v>2356.1933333333332</v>
      </c>
      <c r="U1" s="414">
        <f>SUM(U3:U17)</f>
        <v>207604.47857142857</v>
      </c>
      <c r="V1" s="414">
        <f t="shared" si="0"/>
        <v>10378</v>
      </c>
      <c r="W1" s="414"/>
      <c r="X1" s="414">
        <f>SUM(X3:X17)</f>
        <v>217982.47857142857</v>
      </c>
    </row>
    <row r="2" spans="1:27">
      <c r="A2" s="417" t="s">
        <v>241</v>
      </c>
      <c r="B2" s="418" t="s">
        <v>894</v>
      </c>
      <c r="C2" s="418" t="s">
        <v>895</v>
      </c>
      <c r="D2" s="419" t="s">
        <v>896</v>
      </c>
      <c r="E2" s="418" t="s">
        <v>897</v>
      </c>
      <c r="F2" s="420" t="s">
        <v>896</v>
      </c>
      <c r="G2" s="418" t="s">
        <v>898</v>
      </c>
      <c r="H2" s="420" t="s">
        <v>896</v>
      </c>
      <c r="I2" s="418" t="s">
        <v>899</v>
      </c>
      <c r="J2" s="420" t="s">
        <v>896</v>
      </c>
      <c r="K2" s="418" t="s">
        <v>900</v>
      </c>
      <c r="L2" s="420" t="s">
        <v>896</v>
      </c>
      <c r="M2" s="421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1" t="s">
        <v>3755</v>
      </c>
      <c r="T2" s="420" t="s">
        <v>896</v>
      </c>
      <c r="U2" s="421" t="s">
        <v>592</v>
      </c>
      <c r="V2" s="417" t="s">
        <v>2683</v>
      </c>
      <c r="W2" s="417" t="s">
        <v>593</v>
      </c>
      <c r="X2" s="417" t="s">
        <v>2378</v>
      </c>
      <c r="Y2" s="423" t="s">
        <v>903</v>
      </c>
      <c r="Z2" s="422"/>
      <c r="AA2" s="422"/>
    </row>
    <row r="3" spans="1:27">
      <c r="A3" s="424">
        <v>43122</v>
      </c>
      <c r="B3" s="412" t="s">
        <v>9971</v>
      </c>
      <c r="C3" s="425"/>
      <c r="D3" s="426"/>
      <c r="E3" s="425"/>
      <c r="F3" s="426"/>
      <c r="G3" s="425"/>
      <c r="H3" s="427"/>
      <c r="I3" s="425"/>
      <c r="J3" s="426"/>
      <c r="K3" s="425">
        <v>4</v>
      </c>
      <c r="L3" s="426">
        <f>314.29*4</f>
        <v>1257.1600000000001</v>
      </c>
      <c r="M3" s="428">
        <v>4</v>
      </c>
      <c r="N3" s="426">
        <f>256.19*4</f>
        <v>1024.76</v>
      </c>
      <c r="O3" s="428">
        <v>3</v>
      </c>
      <c r="P3" s="426">
        <f>1514.29*3</f>
        <v>4542.87</v>
      </c>
      <c r="Q3" s="428">
        <v>2</v>
      </c>
      <c r="R3" s="426">
        <f>2189.52*2</f>
        <v>4379.04</v>
      </c>
      <c r="S3" s="428"/>
      <c r="T3" s="426"/>
      <c r="U3" s="414">
        <f>D3+F3+H3+J3+L3+N3+T3+P3+R3-219.05</f>
        <v>10984.78</v>
      </c>
      <c r="V3" s="414">
        <v>549</v>
      </c>
      <c r="W3" s="414"/>
      <c r="X3" s="429">
        <f t="shared" ref="X3:X16" si="1">U3+V3</f>
        <v>11533.78</v>
      </c>
      <c r="Y3" s="430" t="s">
        <v>5069</v>
      </c>
      <c r="Z3" s="431"/>
      <c r="AA3" s="432"/>
    </row>
    <row r="4" spans="1:27">
      <c r="A4" s="424">
        <v>43123</v>
      </c>
      <c r="B4" s="412" t="s">
        <v>9972</v>
      </c>
      <c r="C4" s="425">
        <v>3</v>
      </c>
      <c r="D4" s="426">
        <f>(3600/1.05)</f>
        <v>3428.5714285714284</v>
      </c>
      <c r="E4" s="425">
        <v>2</v>
      </c>
      <c r="F4" s="426">
        <f>5380/1.05</f>
        <v>5123.8095238095239</v>
      </c>
      <c r="G4" s="425">
        <v>2</v>
      </c>
      <c r="H4" s="427">
        <f>2800/1.05</f>
        <v>2666.6666666666665</v>
      </c>
      <c r="I4" s="425">
        <v>2</v>
      </c>
      <c r="J4" s="426">
        <f>6198/1.05</f>
        <v>5902.8571428571422</v>
      </c>
      <c r="K4" s="425"/>
      <c r="L4" s="426"/>
      <c r="M4" s="428"/>
      <c r="N4" s="426"/>
      <c r="O4" s="428"/>
      <c r="P4" s="426"/>
      <c r="Q4" s="428"/>
      <c r="R4" s="426"/>
      <c r="S4" s="428"/>
      <c r="T4" s="426"/>
      <c r="U4" s="414">
        <f>D4+F4+H4+J4+L4+N4+T4+P4+R4+90</f>
        <v>17211.90476190476</v>
      </c>
      <c r="V4" s="414">
        <v>861</v>
      </c>
      <c r="W4" s="414"/>
      <c r="X4" s="429">
        <f t="shared" si="1"/>
        <v>18072.90476190476</v>
      </c>
      <c r="Y4" s="430" t="s">
        <v>9973</v>
      </c>
      <c r="Z4" s="431"/>
      <c r="AA4" s="432"/>
    </row>
    <row r="5" spans="1:27">
      <c r="A5" s="424">
        <v>43200</v>
      </c>
      <c r="B5" s="412" t="s">
        <v>9974</v>
      </c>
      <c r="C5" s="425">
        <v>1</v>
      </c>
      <c r="D5" s="426">
        <v>1133.33</v>
      </c>
      <c r="E5" s="425">
        <v>1</v>
      </c>
      <c r="F5" s="426">
        <v>3222.85</v>
      </c>
      <c r="G5" s="425">
        <v>1</v>
      </c>
      <c r="H5" s="427">
        <v>1427.62</v>
      </c>
      <c r="I5" s="425">
        <v>3</v>
      </c>
      <c r="J5" s="426">
        <f>3141.9*3</f>
        <v>9425.7000000000007</v>
      </c>
      <c r="K5" s="425">
        <v>2</v>
      </c>
      <c r="L5" s="426">
        <f>314.29*2</f>
        <v>628.58000000000004</v>
      </c>
      <c r="M5" s="428">
        <v>2</v>
      </c>
      <c r="N5" s="426">
        <f>282.86*2</f>
        <v>565.72</v>
      </c>
      <c r="O5" s="428"/>
      <c r="P5" s="426"/>
      <c r="Q5" s="428"/>
      <c r="R5" s="426"/>
      <c r="S5" s="428"/>
      <c r="T5" s="426"/>
      <c r="U5" s="414">
        <f t="shared" ref="U5:U13" si="2">D5+F5+H5+J5+L5+N5+T5+P5+R5</f>
        <v>16403.8</v>
      </c>
      <c r="V5" s="414">
        <v>820</v>
      </c>
      <c r="W5" s="414"/>
      <c r="X5" s="429">
        <f t="shared" si="1"/>
        <v>17223.8</v>
      </c>
      <c r="Y5" s="430" t="s">
        <v>9975</v>
      </c>
      <c r="Z5" s="431"/>
      <c r="AA5" s="432"/>
    </row>
    <row r="6" spans="1:27" ht="15.75" customHeight="1">
      <c r="A6" s="424">
        <v>43235</v>
      </c>
      <c r="B6" s="412" t="s">
        <v>9976</v>
      </c>
      <c r="C6" s="425">
        <v>2</v>
      </c>
      <c r="D6" s="426">
        <f>1133.33*2</f>
        <v>2266.66</v>
      </c>
      <c r="E6" s="425">
        <v>2</v>
      </c>
      <c r="F6" s="426">
        <f>2657.14*2</f>
        <v>5314.28</v>
      </c>
      <c r="G6" s="425">
        <v>2</v>
      </c>
      <c r="H6" s="427">
        <f>1427.62*2</f>
        <v>2855.24</v>
      </c>
      <c r="I6" s="425">
        <v>1</v>
      </c>
      <c r="J6" s="426">
        <v>2942.86</v>
      </c>
      <c r="K6" s="425">
        <v>4</v>
      </c>
      <c r="L6" s="426">
        <f>314.29*2+1105.71*2</f>
        <v>2840</v>
      </c>
      <c r="M6" s="428">
        <v>2</v>
      </c>
      <c r="N6" s="426">
        <f>314.29*2</f>
        <v>628.58000000000004</v>
      </c>
      <c r="O6" s="428">
        <v>1</v>
      </c>
      <c r="P6" s="426">
        <v>1514.29</v>
      </c>
      <c r="Q6" s="428"/>
      <c r="R6" s="426"/>
      <c r="S6" s="428"/>
      <c r="T6" s="426"/>
      <c r="U6" s="414">
        <f t="shared" si="2"/>
        <v>18361.910000000003</v>
      </c>
      <c r="V6" s="414">
        <v>918</v>
      </c>
      <c r="W6" s="414"/>
      <c r="X6" s="429">
        <f t="shared" si="1"/>
        <v>19279.910000000003</v>
      </c>
      <c r="Y6" s="430" t="s">
        <v>9975</v>
      </c>
      <c r="Z6" s="431"/>
      <c r="AA6" s="432"/>
    </row>
    <row r="7" spans="1:27">
      <c r="A7" s="424">
        <v>43245</v>
      </c>
      <c r="B7" s="412" t="s">
        <v>9977</v>
      </c>
      <c r="C7" s="425"/>
      <c r="D7" s="426"/>
      <c r="E7" s="425"/>
      <c r="F7" s="426"/>
      <c r="G7" s="425"/>
      <c r="H7" s="427"/>
      <c r="I7" s="425"/>
      <c r="J7" s="426"/>
      <c r="K7" s="425">
        <v>1</v>
      </c>
      <c r="L7" s="426">
        <v>1105.71</v>
      </c>
      <c r="M7" s="428"/>
      <c r="N7" s="426"/>
      <c r="O7" s="428"/>
      <c r="P7" s="426"/>
      <c r="Q7" s="428"/>
      <c r="R7" s="426"/>
      <c r="S7" s="428"/>
      <c r="T7" s="426"/>
      <c r="U7" s="414">
        <f t="shared" si="2"/>
        <v>1105.71</v>
      </c>
      <c r="V7" s="414">
        <v>55</v>
      </c>
      <c r="W7" s="414"/>
      <c r="X7" s="429">
        <f t="shared" si="1"/>
        <v>1160.71</v>
      </c>
      <c r="Y7" s="430" t="s">
        <v>9975</v>
      </c>
      <c r="Z7" s="431"/>
      <c r="AA7" s="432"/>
    </row>
    <row r="8" spans="1:27">
      <c r="A8" s="424">
        <v>43282</v>
      </c>
      <c r="B8" s="412" t="s">
        <v>9978</v>
      </c>
      <c r="C8" s="425">
        <v>1</v>
      </c>
      <c r="D8" s="426">
        <v>2046.67</v>
      </c>
      <c r="E8" s="425">
        <v>1</v>
      </c>
      <c r="F8" s="426">
        <v>1943.81</v>
      </c>
      <c r="G8" s="425">
        <v>1</v>
      </c>
      <c r="H8" s="427">
        <v>2380</v>
      </c>
      <c r="I8" s="425">
        <v>2</v>
      </c>
      <c r="J8" s="426">
        <f>2942.86*2</f>
        <v>5885.72</v>
      </c>
      <c r="K8" s="425">
        <v>2</v>
      </c>
      <c r="L8" s="426">
        <f>314.29*2</f>
        <v>628.58000000000004</v>
      </c>
      <c r="M8" s="428">
        <v>2</v>
      </c>
      <c r="N8" s="426">
        <f>298.58*2</f>
        <v>597.16</v>
      </c>
      <c r="O8" s="428">
        <v>1</v>
      </c>
      <c r="P8" s="426">
        <v>1514.29</v>
      </c>
      <c r="Q8" s="428"/>
      <c r="R8" s="426"/>
      <c r="S8" s="428"/>
      <c r="T8" s="426"/>
      <c r="U8" s="414">
        <f t="shared" si="2"/>
        <v>14996.23</v>
      </c>
      <c r="V8" s="414">
        <v>750</v>
      </c>
      <c r="W8" s="414"/>
      <c r="X8" s="429">
        <f t="shared" si="1"/>
        <v>15746.23</v>
      </c>
      <c r="Y8" s="430" t="s">
        <v>5069</v>
      </c>
      <c r="Z8" s="431"/>
      <c r="AA8" s="432"/>
    </row>
    <row r="9" spans="1:27">
      <c r="A9" s="424">
        <v>43289</v>
      </c>
      <c r="B9" s="412" t="s">
        <v>9979</v>
      </c>
      <c r="C9" s="425">
        <v>1</v>
      </c>
      <c r="D9" s="426">
        <v>5514.29</v>
      </c>
      <c r="E9" s="425">
        <v>1</v>
      </c>
      <c r="F9" s="426">
        <v>2657.14</v>
      </c>
      <c r="G9" s="425">
        <v>1</v>
      </c>
      <c r="H9" s="427">
        <v>2380</v>
      </c>
      <c r="I9" s="425"/>
      <c r="J9" s="426"/>
      <c r="K9" s="425">
        <v>3</v>
      </c>
      <c r="L9" s="426">
        <f>1228.57*3</f>
        <v>3685.71</v>
      </c>
      <c r="M9" s="428">
        <v>2</v>
      </c>
      <c r="N9" s="426">
        <f>298.58*2</f>
        <v>597.16</v>
      </c>
      <c r="O9" s="428">
        <v>2</v>
      </c>
      <c r="P9" s="426">
        <f>1514.29*2</f>
        <v>3028.58</v>
      </c>
      <c r="Q9" s="428"/>
      <c r="R9" s="426"/>
      <c r="S9" s="428"/>
      <c r="T9" s="426"/>
      <c r="U9" s="414">
        <f t="shared" si="2"/>
        <v>17862.879999999997</v>
      </c>
      <c r="V9" s="414">
        <v>893</v>
      </c>
      <c r="W9" s="414"/>
      <c r="X9" s="429">
        <f t="shared" si="1"/>
        <v>18755.879999999997</v>
      </c>
      <c r="Y9" s="430" t="s">
        <v>5069</v>
      </c>
      <c r="Z9" s="431"/>
      <c r="AA9" s="432"/>
    </row>
    <row r="10" spans="1:27">
      <c r="A10" s="424">
        <v>43299</v>
      </c>
      <c r="B10" s="412" t="s">
        <v>9980</v>
      </c>
      <c r="C10" s="425">
        <v>2</v>
      </c>
      <c r="D10" s="426">
        <f>3281*2</f>
        <v>6562</v>
      </c>
      <c r="E10" s="425"/>
      <c r="F10" s="426"/>
      <c r="G10" s="425"/>
      <c r="H10" s="427"/>
      <c r="I10" s="425">
        <v>5</v>
      </c>
      <c r="J10" s="426">
        <f>2592.38*5</f>
        <v>12961.900000000001</v>
      </c>
      <c r="K10" s="425"/>
      <c r="L10" s="426"/>
      <c r="M10" s="428"/>
      <c r="N10" s="426"/>
      <c r="O10" s="428"/>
      <c r="P10" s="426"/>
      <c r="Q10" s="428">
        <v>4</v>
      </c>
      <c r="R10" s="426">
        <f>2000*4</f>
        <v>8000</v>
      </c>
      <c r="S10" s="428"/>
      <c r="T10" s="426"/>
      <c r="U10" s="414">
        <f t="shared" si="2"/>
        <v>27523.9</v>
      </c>
      <c r="V10" s="414">
        <v>1376</v>
      </c>
      <c r="W10" s="414"/>
      <c r="X10" s="429">
        <f t="shared" si="1"/>
        <v>28899.9</v>
      </c>
      <c r="Y10" s="430" t="s">
        <v>5067</v>
      </c>
      <c r="Z10" s="431"/>
      <c r="AA10" s="432"/>
    </row>
    <row r="11" spans="1:27">
      <c r="A11" s="424">
        <v>43304</v>
      </c>
      <c r="B11" s="412" t="s">
        <v>9981</v>
      </c>
      <c r="C11" s="425">
        <v>1</v>
      </c>
      <c r="D11" s="426">
        <v>1133.33</v>
      </c>
      <c r="E11" s="425">
        <v>1</v>
      </c>
      <c r="F11" s="426">
        <v>3418.09</v>
      </c>
      <c r="G11" s="425">
        <v>1</v>
      </c>
      <c r="H11" s="427">
        <v>1237.1400000000001</v>
      </c>
      <c r="I11" s="425">
        <v>1</v>
      </c>
      <c r="J11" s="426">
        <v>2942.86</v>
      </c>
      <c r="K11" s="425">
        <v>2</v>
      </c>
      <c r="L11" s="426">
        <f>314.29*2</f>
        <v>628.58000000000004</v>
      </c>
      <c r="M11" s="428">
        <v>2</v>
      </c>
      <c r="N11" s="426">
        <f>298.58*2</f>
        <v>597.16</v>
      </c>
      <c r="O11" s="428">
        <v>1</v>
      </c>
      <c r="P11" s="426">
        <v>1332.38</v>
      </c>
      <c r="Q11" s="428"/>
      <c r="R11" s="426"/>
      <c r="S11" s="428"/>
      <c r="T11" s="426"/>
      <c r="U11" s="414">
        <f t="shared" si="2"/>
        <v>11289.54</v>
      </c>
      <c r="V11" s="414">
        <v>564</v>
      </c>
      <c r="W11" s="414"/>
      <c r="X11" s="429">
        <f t="shared" si="1"/>
        <v>11853.54</v>
      </c>
      <c r="Y11" s="430" t="s">
        <v>5069</v>
      </c>
      <c r="Z11" s="431"/>
      <c r="AA11" s="432"/>
    </row>
    <row r="12" spans="1:27">
      <c r="A12" s="424">
        <v>43339</v>
      </c>
      <c r="B12" s="412" t="s">
        <v>9982</v>
      </c>
      <c r="C12" s="425">
        <v>1</v>
      </c>
      <c r="D12" s="426">
        <v>1133.33</v>
      </c>
      <c r="E12" s="425">
        <v>2</v>
      </c>
      <c r="F12" s="426">
        <f>2657.14*2</f>
        <v>5314.28</v>
      </c>
      <c r="G12" s="425">
        <v>1</v>
      </c>
      <c r="H12" s="427">
        <v>1237.1400000000001</v>
      </c>
      <c r="I12" s="425">
        <v>2</v>
      </c>
      <c r="J12" s="426">
        <f>2795.72*2</f>
        <v>5591.44</v>
      </c>
      <c r="K12" s="425">
        <v>2</v>
      </c>
      <c r="L12" s="426">
        <f>314.29*2</f>
        <v>628.58000000000004</v>
      </c>
      <c r="M12" s="428">
        <v>2</v>
      </c>
      <c r="N12" s="426">
        <f>256.19*2</f>
        <v>512.38</v>
      </c>
      <c r="O12" s="428">
        <v>1</v>
      </c>
      <c r="P12" s="426">
        <v>1514.29</v>
      </c>
      <c r="Q12" s="428"/>
      <c r="R12" s="426"/>
      <c r="S12" s="428">
        <v>1</v>
      </c>
      <c r="T12" s="426">
        <v>942.86</v>
      </c>
      <c r="U12" s="414">
        <f t="shared" si="2"/>
        <v>16874.3</v>
      </c>
      <c r="V12" s="414">
        <v>844</v>
      </c>
      <c r="W12" s="414"/>
      <c r="X12" s="429">
        <f t="shared" si="1"/>
        <v>17718.3</v>
      </c>
      <c r="Y12" s="430" t="s">
        <v>9975</v>
      </c>
      <c r="Z12" s="431"/>
      <c r="AA12" s="432"/>
    </row>
    <row r="13" spans="1:27">
      <c r="A13" s="424">
        <v>43419</v>
      </c>
      <c r="B13" s="412" t="s">
        <v>9983</v>
      </c>
      <c r="C13" s="425"/>
      <c r="D13" s="426"/>
      <c r="E13" s="425"/>
      <c r="F13" s="426"/>
      <c r="G13" s="425"/>
      <c r="H13" s="427"/>
      <c r="I13" s="425"/>
      <c r="J13" s="426"/>
      <c r="K13" s="425"/>
      <c r="L13" s="426"/>
      <c r="M13" s="428">
        <v>2</v>
      </c>
      <c r="N13" s="426">
        <f>778/1.05</f>
        <v>740.95238095238096</v>
      </c>
      <c r="O13" s="428">
        <v>1</v>
      </c>
      <c r="P13" s="426">
        <f>2299/1.05</f>
        <v>2189.5238095238096</v>
      </c>
      <c r="Q13" s="428">
        <v>1</v>
      </c>
      <c r="R13" s="426">
        <f>1590/1.05</f>
        <v>1514.2857142857142</v>
      </c>
      <c r="S13" s="428"/>
      <c r="T13" s="426"/>
      <c r="U13" s="414">
        <f t="shared" si="2"/>
        <v>4444.7619047619046</v>
      </c>
      <c r="V13" s="414">
        <v>222</v>
      </c>
      <c r="W13" s="414"/>
      <c r="X13" s="429">
        <f t="shared" si="1"/>
        <v>4666.7619047619046</v>
      </c>
      <c r="Y13" s="430" t="s">
        <v>5069</v>
      </c>
      <c r="Z13" s="431"/>
      <c r="AA13" s="432"/>
    </row>
    <row r="14" spans="1:27">
      <c r="A14" s="424">
        <v>43417</v>
      </c>
      <c r="B14" s="412" t="s">
        <v>9984</v>
      </c>
      <c r="C14" s="425">
        <v>1</v>
      </c>
      <c r="D14" s="426">
        <f>6900/1.05</f>
        <v>6571.4285714285716</v>
      </c>
      <c r="E14" s="425">
        <v>1</v>
      </c>
      <c r="F14" s="426">
        <f>3390/1.05</f>
        <v>3228.5714285714284</v>
      </c>
      <c r="G14" s="425">
        <v>1</v>
      </c>
      <c r="H14" s="427">
        <f>1850/1.05</f>
        <v>1761.9047619047619</v>
      </c>
      <c r="I14" s="425">
        <v>1</v>
      </c>
      <c r="J14" s="426">
        <f>2890/1.05</f>
        <v>2752.3809523809523</v>
      </c>
      <c r="K14" s="425">
        <v>2</v>
      </c>
      <c r="L14" s="426">
        <f>1860/1.05</f>
        <v>1771.4285714285713</v>
      </c>
      <c r="M14" s="428"/>
      <c r="N14" s="426"/>
      <c r="O14" s="428"/>
      <c r="P14" s="426"/>
      <c r="Q14" s="428"/>
      <c r="R14" s="426"/>
      <c r="S14" s="428"/>
      <c r="T14" s="426"/>
      <c r="U14" s="414">
        <f>D14+F14+H14+J14+L14+N14+T14+P14+R14+157</f>
        <v>16242.714285714284</v>
      </c>
      <c r="V14" s="414">
        <v>812</v>
      </c>
      <c r="W14" s="414"/>
      <c r="X14" s="429">
        <f t="shared" si="1"/>
        <v>17054.714285714283</v>
      </c>
      <c r="Y14" s="430" t="s">
        <v>9973</v>
      </c>
      <c r="Z14" s="431"/>
      <c r="AA14" s="432"/>
    </row>
    <row r="15" spans="1:27">
      <c r="A15" s="424">
        <v>43426</v>
      </c>
      <c r="B15" s="412" t="s">
        <v>9985</v>
      </c>
      <c r="C15" s="425"/>
      <c r="D15" s="426"/>
      <c r="E15" s="425"/>
      <c r="F15" s="426"/>
      <c r="G15" s="425"/>
      <c r="H15" s="427"/>
      <c r="I15" s="425"/>
      <c r="J15" s="426"/>
      <c r="K15" s="425"/>
      <c r="L15" s="426"/>
      <c r="M15" s="428">
        <v>2</v>
      </c>
      <c r="N15" s="426">
        <f>500/1.05</f>
        <v>476.19047619047615</v>
      </c>
      <c r="O15" s="428">
        <v>1</v>
      </c>
      <c r="P15" s="426">
        <f>1590/1.05</f>
        <v>1514.2857142857142</v>
      </c>
      <c r="Q15" s="428">
        <v>1</v>
      </c>
      <c r="R15" s="426">
        <f>2299/1.05</f>
        <v>2189.5238095238096</v>
      </c>
      <c r="S15" s="428">
        <v>2</v>
      </c>
      <c r="T15" s="426">
        <f>579/1.05+869/1.05</f>
        <v>1379.047619047619</v>
      </c>
      <c r="U15" s="414">
        <f>D15+F15+H15+J15+L15+N15+T15+P15+R15-95</f>
        <v>5464.0476190476184</v>
      </c>
      <c r="V15" s="414">
        <v>273</v>
      </c>
      <c r="W15" s="414"/>
      <c r="X15" s="429">
        <f t="shared" si="1"/>
        <v>5737.0476190476184</v>
      </c>
      <c r="Y15" s="430" t="s">
        <v>5069</v>
      </c>
      <c r="Z15" s="431"/>
      <c r="AA15" s="432"/>
    </row>
    <row r="16" spans="1:27">
      <c r="A16" s="424">
        <v>43427</v>
      </c>
      <c r="B16" s="412" t="s">
        <v>9986</v>
      </c>
      <c r="C16" s="425">
        <v>1</v>
      </c>
      <c r="D16" s="426">
        <f>6690/1.05</f>
        <v>6371.4285714285716</v>
      </c>
      <c r="E16" s="425">
        <v>1</v>
      </c>
      <c r="F16" s="426">
        <f>3390/1.05</f>
        <v>3228.5714285714284</v>
      </c>
      <c r="G16" s="425">
        <v>1</v>
      </c>
      <c r="H16" s="427">
        <f>1800/1.05</f>
        <v>1714.2857142857142</v>
      </c>
      <c r="I16" s="425">
        <v>1</v>
      </c>
      <c r="J16" s="426">
        <f>2890/1.05</f>
        <v>2752.3809523809523</v>
      </c>
      <c r="K16" s="425">
        <v>1</v>
      </c>
      <c r="L16" s="426">
        <f>1860/1.05</f>
        <v>1771.4285714285713</v>
      </c>
      <c r="M16" s="428"/>
      <c r="N16" s="426"/>
      <c r="O16" s="428"/>
      <c r="P16" s="426"/>
      <c r="Q16" s="428"/>
      <c r="R16" s="426"/>
      <c r="S16" s="428"/>
      <c r="T16" s="426"/>
      <c r="U16" s="414">
        <f>D16+F16+H16+J16+L16+N16+T16+P16+R16+152</f>
        <v>15990.095238095237</v>
      </c>
      <c r="V16" s="414">
        <v>799</v>
      </c>
      <c r="W16" s="414"/>
      <c r="X16" s="429">
        <f t="shared" si="1"/>
        <v>16789.095238095237</v>
      </c>
      <c r="Y16" s="430" t="s">
        <v>9973</v>
      </c>
      <c r="Z16" s="431"/>
      <c r="AA16" s="432"/>
    </row>
    <row r="17" spans="1:28">
      <c r="A17" s="424">
        <v>43459</v>
      </c>
      <c r="B17" s="412" t="s">
        <v>10035</v>
      </c>
      <c r="C17" s="425"/>
      <c r="D17" s="426"/>
      <c r="E17" s="425"/>
      <c r="F17" s="426"/>
      <c r="G17" s="425">
        <v>2</v>
      </c>
      <c r="H17" s="427">
        <f>1099/1.05+999/1.05</f>
        <v>1998.0952380952381</v>
      </c>
      <c r="I17" s="425">
        <v>2</v>
      </c>
      <c r="J17" s="426">
        <f>5890/1.05</f>
        <v>5609.5238095238092</v>
      </c>
      <c r="K17" s="425">
        <v>4</v>
      </c>
      <c r="L17" s="426">
        <f>1196/1.05</f>
        <v>1139.047619047619</v>
      </c>
      <c r="M17" s="428">
        <v>4</v>
      </c>
      <c r="N17" s="426">
        <f>1000/1.05</f>
        <v>952.38095238095229</v>
      </c>
      <c r="O17" s="428">
        <v>2</v>
      </c>
      <c r="P17" s="426">
        <f>3180/1.05</f>
        <v>3028.5714285714284</v>
      </c>
      <c r="Q17" s="428"/>
      <c r="R17" s="426"/>
      <c r="S17" s="428">
        <v>1</v>
      </c>
      <c r="T17" s="426">
        <f>36/1.05</f>
        <v>34.285714285714285</v>
      </c>
      <c r="U17" s="414">
        <f>D17+F17+H17+J17+L17+N17+T17+P17+R17+152-66</f>
        <v>12847.90476190476</v>
      </c>
      <c r="V17" s="414">
        <v>642</v>
      </c>
      <c r="W17" s="414"/>
      <c r="X17" s="429">
        <f>U17+V17</f>
        <v>13489.90476190476</v>
      </c>
      <c r="Y17" s="430" t="s">
        <v>5069</v>
      </c>
      <c r="Z17" s="431"/>
      <c r="AA17" s="432"/>
    </row>
    <row r="18" spans="1:28" s="439" customFormat="1" ht="18.75" customHeight="1">
      <c r="A18" s="433"/>
      <c r="B18" s="434"/>
      <c r="C18" s="433"/>
      <c r="D18" s="435"/>
      <c r="E18" s="433"/>
      <c r="F18" s="436"/>
      <c r="G18" s="433"/>
      <c r="H18" s="437"/>
      <c r="I18" s="433"/>
      <c r="J18" s="437"/>
      <c r="K18" s="433"/>
      <c r="L18" s="437"/>
      <c r="M18" s="433"/>
      <c r="N18" s="437"/>
      <c r="O18" s="437"/>
      <c r="P18" s="437"/>
      <c r="Q18" s="437"/>
      <c r="R18" s="437"/>
      <c r="S18" s="437"/>
      <c r="T18" s="437"/>
      <c r="U18" s="438">
        <f>SUM(U19)</f>
        <v>0</v>
      </c>
      <c r="V18" s="438">
        <f>SUM(V19)</f>
        <v>0</v>
      </c>
      <c r="W18" s="438"/>
      <c r="X18" s="438">
        <f>SUM(X27:X30)</f>
        <v>1600</v>
      </c>
      <c r="Z18" s="437"/>
      <c r="AA18" s="437"/>
    </row>
    <row r="19" spans="1:28">
      <c r="A19" s="440"/>
      <c r="B19" s="448"/>
      <c r="C19" s="415"/>
      <c r="U19" s="414"/>
      <c r="V19" s="445"/>
      <c r="W19" s="445"/>
      <c r="X19" s="571">
        <f>U19+V19</f>
        <v>0</v>
      </c>
      <c r="Y19" s="612"/>
    </row>
    <row r="20" spans="1:28" s="439" customFormat="1">
      <c r="A20" s="449"/>
      <c r="B20" s="434"/>
      <c r="D20" s="435"/>
      <c r="E20" s="433"/>
      <c r="F20" s="436"/>
      <c r="G20" s="433"/>
      <c r="H20" s="437"/>
      <c r="I20" s="433"/>
      <c r="J20" s="437"/>
      <c r="K20" s="433"/>
      <c r="L20" s="437"/>
      <c r="M20" s="433"/>
      <c r="N20" s="437"/>
      <c r="O20" s="437"/>
      <c r="P20" s="437"/>
      <c r="Q20" s="437"/>
      <c r="R20" s="437"/>
      <c r="S20" s="437"/>
      <c r="T20" s="437"/>
      <c r="U20" s="638" t="s">
        <v>5674</v>
      </c>
      <c r="V20" s="438"/>
      <c r="W20" s="438"/>
      <c r="X20" s="450"/>
      <c r="Y20" s="433"/>
      <c r="Z20" s="437"/>
      <c r="AA20" s="437"/>
    </row>
    <row r="21" spans="1:28">
      <c r="A21" s="440">
        <v>43107</v>
      </c>
      <c r="B21" s="448" t="s">
        <v>4828</v>
      </c>
      <c r="C21" s="415"/>
      <c r="U21" s="572">
        <f>1527+22</f>
        <v>1549</v>
      </c>
      <c r="V21" s="446"/>
      <c r="W21" s="446"/>
      <c r="X21" s="447">
        <f>U21+V21</f>
        <v>1549</v>
      </c>
      <c r="Y21" s="612"/>
    </row>
    <row r="22" spans="1:28">
      <c r="A22" s="440">
        <v>43216</v>
      </c>
      <c r="B22" s="448" t="s">
        <v>4828</v>
      </c>
      <c r="C22" s="415"/>
      <c r="U22" s="572">
        <f>2179+32</f>
        <v>2211</v>
      </c>
      <c r="V22" s="446"/>
      <c r="W22" s="446"/>
      <c r="X22" s="447">
        <f>U22+V22</f>
        <v>2211</v>
      </c>
      <c r="Y22" s="612"/>
    </row>
    <row r="23" spans="1:28">
      <c r="A23" s="440">
        <v>43326</v>
      </c>
      <c r="B23" s="448" t="s">
        <v>4828</v>
      </c>
      <c r="C23" s="415"/>
      <c r="U23" s="572">
        <f>509+7</f>
        <v>516</v>
      </c>
      <c r="V23" s="446"/>
      <c r="W23" s="446"/>
      <c r="X23" s="447">
        <f>U23+V23</f>
        <v>516</v>
      </c>
      <c r="Y23" s="612"/>
    </row>
    <row r="24" spans="1:28">
      <c r="A24" s="440">
        <v>43352</v>
      </c>
      <c r="B24" s="448" t="s">
        <v>4423</v>
      </c>
      <c r="C24" s="415"/>
      <c r="U24" s="572">
        <f>1171+18</f>
        <v>1189</v>
      </c>
      <c r="V24" s="446"/>
      <c r="W24" s="446"/>
      <c r="X24" s="447">
        <f>U24+V24</f>
        <v>1189</v>
      </c>
      <c r="Y24" s="612"/>
    </row>
    <row r="25" spans="1:28">
      <c r="A25" s="440">
        <v>43375</v>
      </c>
      <c r="B25" s="448" t="s">
        <v>4828</v>
      </c>
      <c r="C25" s="415"/>
      <c r="U25" s="572">
        <f>8017+120</f>
        <v>8137</v>
      </c>
      <c r="V25" s="446"/>
      <c r="W25" s="446"/>
      <c r="X25" s="447">
        <f>U25+V25</f>
        <v>8137</v>
      </c>
      <c r="Y25" s="612"/>
    </row>
    <row r="26" spans="1:28" s="439" customFormat="1">
      <c r="A26" s="449"/>
      <c r="B26" s="434"/>
      <c r="D26" s="435"/>
      <c r="E26" s="433"/>
      <c r="F26" s="436"/>
      <c r="G26" s="433"/>
      <c r="H26" s="437"/>
      <c r="I26" s="433"/>
      <c r="J26" s="437"/>
      <c r="K26" s="433"/>
      <c r="L26" s="437"/>
      <c r="M26" s="433"/>
      <c r="N26" s="437"/>
      <c r="O26" s="437"/>
      <c r="P26" s="437"/>
      <c r="Q26" s="437"/>
      <c r="R26" s="437"/>
      <c r="S26" s="437"/>
      <c r="T26" s="437"/>
      <c r="U26" s="438"/>
      <c r="V26" s="438"/>
      <c r="W26" s="438"/>
      <c r="X26" s="450"/>
      <c r="Y26" s="433"/>
      <c r="Z26" s="437"/>
      <c r="AA26" s="437"/>
    </row>
    <row r="27" spans="1:28">
      <c r="A27" s="440">
        <v>43109</v>
      </c>
      <c r="B27" s="448" t="s">
        <v>4474</v>
      </c>
      <c r="C27" s="415"/>
      <c r="U27" s="414">
        <v>381</v>
      </c>
      <c r="V27" s="445">
        <v>19</v>
      </c>
      <c r="W27" s="445"/>
      <c r="X27" s="447">
        <f>U27+V27</f>
        <v>400</v>
      </c>
      <c r="Y27" s="612"/>
    </row>
    <row r="28" spans="1:28">
      <c r="A28" s="440">
        <v>43214</v>
      </c>
      <c r="B28" s="448" t="s">
        <v>4474</v>
      </c>
      <c r="C28" s="415"/>
      <c r="U28" s="414">
        <v>381</v>
      </c>
      <c r="V28" s="445">
        <v>19</v>
      </c>
      <c r="W28" s="445"/>
      <c r="X28" s="447">
        <f>U28+V28</f>
        <v>400</v>
      </c>
      <c r="Y28" s="612"/>
    </row>
    <row r="29" spans="1:28">
      <c r="A29" s="440">
        <v>43326</v>
      </c>
      <c r="B29" s="448" t="s">
        <v>4474</v>
      </c>
      <c r="C29" s="415"/>
      <c r="U29" s="414">
        <v>381</v>
      </c>
      <c r="V29" s="445">
        <v>19</v>
      </c>
      <c r="W29" s="445"/>
      <c r="X29" s="447">
        <f>U29+V29</f>
        <v>400</v>
      </c>
      <c r="Y29" s="612"/>
    </row>
    <row r="30" spans="1:28">
      <c r="A30" s="440">
        <v>43409</v>
      </c>
      <c r="B30" s="448" t="s">
        <v>4474</v>
      </c>
      <c r="C30" s="415"/>
      <c r="U30" s="414">
        <v>381</v>
      </c>
      <c r="V30" s="445">
        <v>19</v>
      </c>
      <c r="W30" s="445"/>
      <c r="X30" s="447">
        <f>U30+V30</f>
        <v>400</v>
      </c>
      <c r="Y30" s="612"/>
    </row>
    <row r="31" spans="1:28" s="439" customFormat="1">
      <c r="A31" s="449"/>
      <c r="B31" s="434"/>
      <c r="D31" s="435"/>
      <c r="E31" s="433"/>
      <c r="F31" s="436"/>
      <c r="G31" s="433"/>
      <c r="H31" s="437"/>
      <c r="I31" s="433"/>
      <c r="J31" s="437"/>
      <c r="K31" s="433"/>
      <c r="L31" s="437"/>
      <c r="M31" s="433"/>
      <c r="N31" s="437"/>
      <c r="O31" s="437"/>
      <c r="P31" s="437"/>
      <c r="Q31" s="437"/>
      <c r="R31" s="437"/>
      <c r="S31" s="437"/>
      <c r="T31" s="437"/>
      <c r="U31" s="438"/>
      <c r="V31" s="438"/>
      <c r="W31" s="438"/>
      <c r="X31" s="450"/>
      <c r="Y31" s="433"/>
      <c r="Z31" s="437"/>
      <c r="AA31" s="437"/>
    </row>
    <row r="32" spans="1:28">
      <c r="A32" s="569">
        <v>43137</v>
      </c>
      <c r="B32" s="448" t="s">
        <v>9961</v>
      </c>
      <c r="C32" s="451"/>
      <c r="D32" s="452">
        <v>31556</v>
      </c>
      <c r="F32" s="447">
        <f>X3+X4+X21+X27</f>
        <v>31555.684761904762</v>
      </c>
      <c r="G32" s="415"/>
      <c r="H32" s="614"/>
      <c r="I32" s="444"/>
      <c r="J32" s="442"/>
      <c r="K32" s="273"/>
      <c r="L32" s="277"/>
      <c r="M32" s="444"/>
      <c r="N32" s="445"/>
      <c r="O32" s="273"/>
      <c r="P32" s="277"/>
      <c r="U32" s="416"/>
      <c r="V32" s="415"/>
      <c r="W32" s="415"/>
      <c r="X32" s="415"/>
      <c r="Z32" s="415"/>
      <c r="AB32" s="416"/>
    </row>
    <row r="33" spans="1:28">
      <c r="A33" s="569"/>
      <c r="B33" s="448" t="s">
        <v>9962</v>
      </c>
      <c r="C33" s="451"/>
      <c r="D33" s="454"/>
      <c r="F33" s="674"/>
      <c r="G33" s="415"/>
      <c r="H33" s="415"/>
      <c r="I33" s="444"/>
      <c r="J33" s="442"/>
      <c r="K33" s="273"/>
      <c r="L33" s="277"/>
      <c r="N33" s="445"/>
      <c r="O33" s="273"/>
      <c r="P33" s="277"/>
      <c r="U33" s="416"/>
      <c r="V33" s="415"/>
      <c r="W33" s="415"/>
      <c r="X33" s="415"/>
      <c r="Z33" s="415"/>
      <c r="AB33" s="416"/>
    </row>
    <row r="34" spans="1:28">
      <c r="A34" s="569"/>
      <c r="B34" s="448" t="s">
        <v>9963</v>
      </c>
      <c r="C34" s="451"/>
      <c r="D34" s="454"/>
      <c r="F34" s="674"/>
      <c r="G34" s="415"/>
      <c r="H34" s="415"/>
      <c r="I34" s="444"/>
      <c r="J34" s="442"/>
      <c r="K34" s="273"/>
      <c r="L34" s="277"/>
      <c r="N34" s="445"/>
      <c r="O34" s="444"/>
      <c r="U34" s="416"/>
      <c r="V34" s="415"/>
      <c r="W34" s="415"/>
      <c r="X34" s="415"/>
      <c r="Z34" s="415"/>
      <c r="AB34" s="416"/>
    </row>
    <row r="35" spans="1:28">
      <c r="A35" s="569">
        <v>43227</v>
      </c>
      <c r="B35" s="448" t="s">
        <v>9960</v>
      </c>
      <c r="C35" s="451"/>
      <c r="D35" s="454">
        <v>17624</v>
      </c>
      <c r="F35" s="453">
        <f>X5+X28</f>
        <v>17623.8</v>
      </c>
      <c r="G35" s="415"/>
      <c r="H35" s="415"/>
      <c r="I35" s="444"/>
      <c r="J35" s="442"/>
      <c r="K35" s="273"/>
      <c r="L35" s="277"/>
      <c r="N35" s="445"/>
      <c r="O35" s="444"/>
      <c r="U35" s="416"/>
      <c r="V35" s="415"/>
      <c r="W35" s="415"/>
      <c r="X35" s="415"/>
      <c r="Z35" s="415"/>
      <c r="AB35" s="416"/>
    </row>
    <row r="36" spans="1:28">
      <c r="A36" s="440">
        <v>43256</v>
      </c>
      <c r="B36" s="448" t="s">
        <v>9964</v>
      </c>
      <c r="C36" s="451"/>
      <c r="D36" s="454">
        <v>21491</v>
      </c>
      <c r="F36" s="447">
        <f>X6+X22</f>
        <v>21490.910000000003</v>
      </c>
      <c r="G36" s="415"/>
      <c r="H36" s="415"/>
      <c r="I36" s="444"/>
      <c r="J36" s="442"/>
      <c r="K36" s="273"/>
      <c r="L36" s="277"/>
      <c r="N36" s="445"/>
      <c r="O36" s="444"/>
      <c r="U36" s="416"/>
      <c r="V36" s="415"/>
      <c r="W36" s="415"/>
      <c r="X36" s="415"/>
      <c r="Z36" s="415"/>
      <c r="AB36" s="416"/>
    </row>
    <row r="37" spans="1:28">
      <c r="A37" s="440">
        <v>43290</v>
      </c>
      <c r="B37" s="448" t="s">
        <v>9965</v>
      </c>
      <c r="C37" s="451"/>
      <c r="D37" s="454">
        <v>1161</v>
      </c>
      <c r="F37" s="447">
        <f>X7</f>
        <v>1160.71</v>
      </c>
      <c r="G37" s="415"/>
      <c r="H37" s="415"/>
      <c r="I37" s="444"/>
      <c r="J37" s="442"/>
      <c r="K37" s="273"/>
      <c r="L37" s="277"/>
      <c r="N37" s="445"/>
      <c r="O37" s="444"/>
      <c r="U37" s="416"/>
      <c r="V37" s="415"/>
      <c r="W37" s="415"/>
      <c r="X37" s="415"/>
      <c r="Z37" s="415"/>
      <c r="AB37" s="416"/>
    </row>
    <row r="38" spans="1:28">
      <c r="A38" s="455">
        <v>43319</v>
      </c>
      <c r="B38" s="448" t="s">
        <v>9959</v>
      </c>
      <c r="C38" s="451"/>
      <c r="D38" s="673">
        <f>13502+21000</f>
        <v>34502</v>
      </c>
      <c r="F38" s="447">
        <f>X8+X9</f>
        <v>34502.11</v>
      </c>
      <c r="G38" s="415"/>
      <c r="H38" s="456"/>
      <c r="I38" s="444"/>
      <c r="J38" s="442"/>
      <c r="K38" s="273"/>
      <c r="L38" s="277"/>
      <c r="N38" s="445"/>
      <c r="O38" s="444"/>
      <c r="U38" s="416"/>
      <c r="V38" s="415"/>
      <c r="W38" s="415"/>
      <c r="X38" s="415"/>
      <c r="Z38" s="415"/>
      <c r="AB38" s="416"/>
    </row>
    <row r="39" spans="1:28">
      <c r="A39" s="455">
        <v>43348</v>
      </c>
      <c r="B39" s="448" t="s">
        <v>9966</v>
      </c>
      <c r="C39" s="451"/>
      <c r="D39" s="570">
        <f>516+41154</f>
        <v>41670</v>
      </c>
      <c r="F39" s="447">
        <f>X29+X10+X11+X23</f>
        <v>41669.440000000002</v>
      </c>
      <c r="G39" s="415"/>
      <c r="H39" s="456"/>
      <c r="I39" s="444"/>
      <c r="J39" s="442"/>
      <c r="K39" s="273"/>
      <c r="L39" s="277"/>
      <c r="N39" s="445"/>
      <c r="O39" s="444"/>
      <c r="U39" s="416"/>
      <c r="V39" s="415"/>
      <c r="W39" s="415"/>
      <c r="X39" s="415"/>
      <c r="Z39" s="415"/>
      <c r="AB39" s="416"/>
    </row>
    <row r="40" spans="1:28">
      <c r="A40" s="440">
        <v>43381</v>
      </c>
      <c r="B40" s="448" t="s">
        <v>9967</v>
      </c>
      <c r="C40" s="451"/>
      <c r="D40" s="454">
        <v>18907</v>
      </c>
      <c r="F40" s="447">
        <f>X12+X24</f>
        <v>18907.3</v>
      </c>
      <c r="G40" s="415"/>
      <c r="H40" s="415"/>
      <c r="I40" s="444"/>
      <c r="J40" s="442"/>
      <c r="K40" s="273"/>
      <c r="L40" s="277"/>
      <c r="N40" s="445"/>
      <c r="O40" s="444"/>
      <c r="U40" s="416"/>
      <c r="V40" s="415"/>
      <c r="W40" s="415"/>
      <c r="X40" s="415"/>
      <c r="Z40" s="415"/>
      <c r="AB40" s="416"/>
    </row>
    <row r="41" spans="1:28">
      <c r="A41" s="440">
        <v>43413</v>
      </c>
      <c r="B41" s="448" t="s">
        <v>9968</v>
      </c>
      <c r="D41" s="454">
        <v>8137</v>
      </c>
      <c r="F41" s="447">
        <f>X25</f>
        <v>8137</v>
      </c>
      <c r="K41" s="273"/>
      <c r="L41" s="277"/>
    </row>
    <row r="42" spans="1:28">
      <c r="A42" s="440">
        <v>43441</v>
      </c>
      <c r="B42" s="448" t="s">
        <v>9969</v>
      </c>
      <c r="D42" s="454">
        <v>44648</v>
      </c>
      <c r="F42" s="447">
        <f>X30+X13+X14+X15+X16</f>
        <v>44647.619047619039</v>
      </c>
      <c r="H42" s="444">
        <f>X18</f>
        <v>1600</v>
      </c>
      <c r="K42" s="273"/>
      <c r="L42" s="277"/>
    </row>
    <row r="43" spans="1:28">
      <c r="A43" s="440"/>
      <c r="B43" s="676" t="s">
        <v>9970</v>
      </c>
      <c r="D43" s="454">
        <v>13490</v>
      </c>
      <c r="F43" s="447">
        <f>X17</f>
        <v>13489.90476190476</v>
      </c>
      <c r="K43" s="273"/>
      <c r="L43" s="277"/>
    </row>
    <row r="44" spans="1:28">
      <c r="D44" s="441">
        <f>SUM(D32:D43)</f>
        <v>233186</v>
      </c>
      <c r="F44" s="457">
        <f>SUM(F32:F43)</f>
        <v>233184.4785714286</v>
      </c>
      <c r="G44" s="458"/>
      <c r="H44" s="459">
        <f>SUM(H42:H42)</f>
        <v>1600</v>
      </c>
    </row>
    <row r="45" spans="1:28">
      <c r="F45" s="441">
        <f>D44-F44</f>
        <v>1.5214285714027938</v>
      </c>
    </row>
    <row r="48" spans="1:28">
      <c r="A48" s="477">
        <v>43126</v>
      </c>
      <c r="B48" s="675" t="s">
        <v>9987</v>
      </c>
      <c r="C48" s="417"/>
      <c r="D48" s="273"/>
      <c r="E48" s="277"/>
      <c r="F48" s="420"/>
      <c r="G48" s="417"/>
      <c r="H48" s="462"/>
      <c r="I48" s="417"/>
      <c r="J48" s="462"/>
      <c r="K48" s="417"/>
      <c r="L48" s="462"/>
      <c r="M48" s="463"/>
      <c r="N48" s="462"/>
      <c r="O48" s="464"/>
      <c r="P48" s="464"/>
      <c r="Q48" s="464"/>
      <c r="R48" s="464"/>
      <c r="S48" s="464"/>
      <c r="T48" s="464"/>
      <c r="U48" s="465">
        <v>1669</v>
      </c>
      <c r="V48" s="466">
        <v>83</v>
      </c>
      <c r="W48" s="473">
        <f t="shared" ref="W48:W70" si="3">V48/U48</f>
        <v>4.9730377471539841E-2</v>
      </c>
      <c r="X48" s="467">
        <f t="shared" ref="X48:X79" si="4">U48+V48+W48</f>
        <v>1752.0497303774716</v>
      </c>
      <c r="Y48" s="658">
        <v>1229</v>
      </c>
    </row>
    <row r="49" spans="1:29">
      <c r="A49" s="468">
        <v>43165</v>
      </c>
      <c r="B49" s="469" t="s">
        <v>9988</v>
      </c>
      <c r="C49" s="417"/>
      <c r="D49" s="273"/>
      <c r="E49" s="277"/>
      <c r="F49" s="420"/>
      <c r="G49" s="417"/>
      <c r="H49" s="462"/>
      <c r="I49" s="417"/>
      <c r="J49" s="462"/>
      <c r="K49" s="417"/>
      <c r="L49" s="462"/>
      <c r="M49" s="463"/>
      <c r="N49" s="462"/>
      <c r="O49" s="464"/>
      <c r="P49" s="464"/>
      <c r="Q49" s="464"/>
      <c r="R49" s="464"/>
      <c r="S49" s="464"/>
      <c r="T49" s="464"/>
      <c r="U49" s="465">
        <v>1626</v>
      </c>
      <c r="V49" s="466">
        <v>81</v>
      </c>
      <c r="W49" s="473">
        <f t="shared" si="3"/>
        <v>4.9815498154981548E-2</v>
      </c>
      <c r="X49" s="467">
        <f t="shared" si="4"/>
        <v>1707.0498154981549</v>
      </c>
      <c r="Y49" s="658">
        <v>1229</v>
      </c>
    </row>
    <row r="50" spans="1:29">
      <c r="A50" s="468">
        <v>43189</v>
      </c>
      <c r="B50" s="469" t="s">
        <v>9989</v>
      </c>
      <c r="C50" s="417"/>
      <c r="D50" s="273"/>
      <c r="E50" s="277"/>
      <c r="F50" s="420"/>
      <c r="G50" s="417"/>
      <c r="H50" s="462"/>
      <c r="I50" s="417"/>
      <c r="J50" s="462"/>
      <c r="K50" s="417"/>
      <c r="L50" s="462"/>
      <c r="M50" s="463"/>
      <c r="N50" s="462"/>
      <c r="O50" s="464"/>
      <c r="P50" s="464"/>
      <c r="Q50" s="464"/>
      <c r="R50" s="464"/>
      <c r="S50" s="464"/>
      <c r="T50" s="464"/>
      <c r="U50" s="613">
        <v>1623</v>
      </c>
      <c r="V50" s="613">
        <v>81</v>
      </c>
      <c r="W50" s="473">
        <f t="shared" si="3"/>
        <v>4.9907578558225509E-2</v>
      </c>
      <c r="X50" s="467">
        <f t="shared" si="4"/>
        <v>1704.0499075785583</v>
      </c>
      <c r="Y50" s="658">
        <v>1229</v>
      </c>
    </row>
    <row r="51" spans="1:29">
      <c r="A51" s="470">
        <v>43217</v>
      </c>
      <c r="B51" s="469" t="s">
        <v>9990</v>
      </c>
      <c r="C51" s="417"/>
      <c r="D51" s="273"/>
      <c r="E51" s="277"/>
      <c r="F51" s="420"/>
      <c r="G51" s="417"/>
      <c r="H51" s="462"/>
      <c r="I51" s="417"/>
      <c r="J51" s="462"/>
      <c r="K51" s="417"/>
      <c r="L51" s="462"/>
      <c r="M51" s="463"/>
      <c r="N51" s="462"/>
      <c r="O51" s="464"/>
      <c r="P51" s="464"/>
      <c r="Q51" s="464"/>
      <c r="R51" s="464"/>
      <c r="S51" s="464"/>
      <c r="T51" s="464"/>
      <c r="U51" s="613">
        <v>1679</v>
      </c>
      <c r="V51" s="613">
        <v>84</v>
      </c>
      <c r="W51" s="473">
        <f t="shared" si="3"/>
        <v>5.0029779630732581E-2</v>
      </c>
      <c r="X51" s="467">
        <f t="shared" si="4"/>
        <v>1763.0500297796307</v>
      </c>
      <c r="Y51" s="658">
        <v>1231</v>
      </c>
    </row>
    <row r="52" spans="1:29">
      <c r="A52" s="471">
        <v>43248</v>
      </c>
      <c r="B52" s="469" t="s">
        <v>9991</v>
      </c>
      <c r="C52" s="417"/>
      <c r="D52" s="273"/>
      <c r="E52" s="277"/>
      <c r="F52" s="420"/>
      <c r="G52" s="417"/>
      <c r="H52" s="462"/>
      <c r="I52" s="417"/>
      <c r="J52" s="462"/>
      <c r="K52" s="417"/>
      <c r="L52" s="462"/>
      <c r="M52" s="463"/>
      <c r="N52" s="462"/>
      <c r="O52" s="464"/>
      <c r="P52" s="464"/>
      <c r="Q52" s="464"/>
      <c r="R52" s="464"/>
      <c r="S52" s="464"/>
      <c r="T52" s="464"/>
      <c r="U52" s="465">
        <v>1613</v>
      </c>
      <c r="V52" s="472">
        <v>81</v>
      </c>
      <c r="W52" s="473">
        <f t="shared" si="3"/>
        <v>5.0216986980781156E-2</v>
      </c>
      <c r="X52" s="467">
        <f t="shared" si="4"/>
        <v>1694.0502169869808</v>
      </c>
      <c r="Y52" s="658">
        <v>1231</v>
      </c>
    </row>
    <row r="53" spans="1:29">
      <c r="A53" s="471">
        <v>43277</v>
      </c>
      <c r="B53" s="469" t="s">
        <v>9992</v>
      </c>
      <c r="C53" s="417"/>
      <c r="D53" s="273"/>
      <c r="E53" s="277"/>
      <c r="F53" s="420"/>
      <c r="G53" s="417"/>
      <c r="H53" s="462"/>
      <c r="I53" s="417"/>
      <c r="J53" s="462"/>
      <c r="K53" s="417"/>
      <c r="L53" s="462"/>
      <c r="M53" s="463"/>
      <c r="N53" s="462"/>
      <c r="O53" s="464"/>
      <c r="P53" s="464"/>
      <c r="Q53" s="464"/>
      <c r="R53" s="464"/>
      <c r="S53" s="464"/>
      <c r="T53" s="464"/>
      <c r="U53" s="465">
        <v>1705</v>
      </c>
      <c r="V53" s="473">
        <v>85</v>
      </c>
      <c r="W53" s="473">
        <f t="shared" si="3"/>
        <v>4.9853372434017593E-2</v>
      </c>
      <c r="X53" s="467">
        <f t="shared" si="4"/>
        <v>1790.049853372434</v>
      </c>
      <c r="Y53" s="658">
        <v>1231</v>
      </c>
    </row>
    <row r="54" spans="1:29">
      <c r="A54" s="471">
        <v>43307</v>
      </c>
      <c r="B54" s="469" t="s">
        <v>9993</v>
      </c>
      <c r="C54" s="417"/>
      <c r="D54" s="273"/>
      <c r="E54" s="277"/>
      <c r="F54" s="420"/>
      <c r="G54" s="417"/>
      <c r="H54" s="462"/>
      <c r="I54" s="417"/>
      <c r="J54" s="462"/>
      <c r="K54" s="417"/>
      <c r="L54" s="462"/>
      <c r="M54" s="463"/>
      <c r="N54" s="462"/>
      <c r="O54" s="464"/>
      <c r="P54" s="464"/>
      <c r="Q54" s="464"/>
      <c r="R54" s="464"/>
      <c r="S54" s="464"/>
      <c r="T54" s="464"/>
      <c r="U54" s="465">
        <v>1604</v>
      </c>
      <c r="V54" s="473">
        <v>80</v>
      </c>
      <c r="W54" s="473">
        <f t="shared" si="3"/>
        <v>4.9875311720698257E-2</v>
      </c>
      <c r="X54" s="467">
        <f t="shared" si="4"/>
        <v>1684.0498753117206</v>
      </c>
      <c r="Y54" s="658">
        <v>1232</v>
      </c>
    </row>
    <row r="55" spans="1:29">
      <c r="A55" s="471">
        <v>43340</v>
      </c>
      <c r="B55" s="469" t="s">
        <v>9994</v>
      </c>
      <c r="C55" s="417"/>
      <c r="D55" s="273"/>
      <c r="E55" s="277"/>
      <c r="F55" s="420"/>
      <c r="G55" s="417"/>
      <c r="H55" s="462"/>
      <c r="I55" s="417"/>
      <c r="J55" s="462"/>
      <c r="K55" s="417"/>
      <c r="L55" s="462"/>
      <c r="M55" s="463"/>
      <c r="N55" s="462"/>
      <c r="O55" s="464"/>
      <c r="P55" s="464"/>
      <c r="Q55" s="464"/>
      <c r="R55" s="464"/>
      <c r="S55" s="464"/>
      <c r="T55" s="464"/>
      <c r="U55" s="465">
        <v>1696</v>
      </c>
      <c r="V55" s="466">
        <v>85</v>
      </c>
      <c r="W55" s="473">
        <f t="shared" si="3"/>
        <v>5.011792452830189E-2</v>
      </c>
      <c r="X55" s="467">
        <f t="shared" si="4"/>
        <v>1781.0501179245282</v>
      </c>
      <c r="Y55" s="658">
        <v>1232</v>
      </c>
    </row>
    <row r="56" spans="1:29">
      <c r="A56" s="568">
        <v>43369</v>
      </c>
      <c r="B56" s="469" t="s">
        <v>9995</v>
      </c>
      <c r="C56" s="417"/>
      <c r="D56" s="273"/>
      <c r="E56" s="277"/>
      <c r="F56" s="420"/>
      <c r="G56" s="417"/>
      <c r="H56" s="462"/>
      <c r="I56" s="417"/>
      <c r="J56" s="462"/>
      <c r="K56" s="417"/>
      <c r="L56" s="462"/>
      <c r="M56" s="463"/>
      <c r="N56" s="462"/>
      <c r="O56" s="464"/>
      <c r="P56" s="464"/>
      <c r="Q56" s="464"/>
      <c r="R56" s="464"/>
      <c r="S56" s="464"/>
      <c r="T56" s="464"/>
      <c r="U56" s="465">
        <v>1590</v>
      </c>
      <c r="V56" s="466">
        <v>80</v>
      </c>
      <c r="W56" s="473">
        <f t="shared" si="3"/>
        <v>5.0314465408805034E-2</v>
      </c>
      <c r="X56" s="467">
        <f t="shared" si="4"/>
        <v>1670.0503144654087</v>
      </c>
      <c r="Y56" s="658">
        <v>1234</v>
      </c>
    </row>
    <row r="57" spans="1:29">
      <c r="A57" s="471">
        <v>43399</v>
      </c>
      <c r="B57" s="469" t="s">
        <v>9996</v>
      </c>
      <c r="C57" s="417"/>
      <c r="D57" s="273"/>
      <c r="E57" s="277"/>
      <c r="F57" s="420"/>
      <c r="G57" s="417"/>
      <c r="H57" s="462"/>
      <c r="I57" s="417"/>
      <c r="J57" s="462"/>
      <c r="K57" s="417"/>
      <c r="L57" s="462"/>
      <c r="M57" s="463"/>
      <c r="N57" s="462"/>
      <c r="O57" s="464"/>
      <c r="P57" s="464"/>
      <c r="Q57" s="464"/>
      <c r="R57" s="464"/>
      <c r="S57" s="464"/>
      <c r="T57" s="464"/>
      <c r="U57" s="465">
        <v>1770</v>
      </c>
      <c r="V57" s="473">
        <v>89</v>
      </c>
      <c r="W57" s="473">
        <f t="shared" si="3"/>
        <v>5.0282485875706218E-2</v>
      </c>
      <c r="X57" s="467">
        <f t="shared" si="4"/>
        <v>1859.0502824858756</v>
      </c>
      <c r="Y57" s="658">
        <v>1236</v>
      </c>
    </row>
    <row r="58" spans="1:29">
      <c r="A58" s="471">
        <v>43431</v>
      </c>
      <c r="B58" s="469" t="s">
        <v>9997</v>
      </c>
      <c r="C58" s="417"/>
      <c r="D58" s="273"/>
      <c r="E58" s="277"/>
      <c r="F58" s="420"/>
      <c r="G58" s="417"/>
      <c r="H58" s="462"/>
      <c r="I58" s="417"/>
      <c r="J58" s="462"/>
      <c r="K58" s="417"/>
      <c r="L58" s="462"/>
      <c r="M58" s="463"/>
      <c r="N58" s="462"/>
      <c r="O58" s="464"/>
      <c r="P58" s="464"/>
      <c r="Q58" s="464"/>
      <c r="R58" s="464"/>
      <c r="S58" s="464"/>
      <c r="T58" s="464"/>
      <c r="U58" s="465">
        <v>1626</v>
      </c>
      <c r="V58" s="473">
        <v>81</v>
      </c>
      <c r="W58" s="473">
        <f t="shared" si="3"/>
        <v>4.9815498154981548E-2</v>
      </c>
      <c r="X58" s="467">
        <f t="shared" si="4"/>
        <v>1707.0498154981549</v>
      </c>
      <c r="Y58" s="658">
        <v>1237</v>
      </c>
    </row>
    <row r="59" spans="1:29">
      <c r="A59" s="471">
        <v>43460</v>
      </c>
      <c r="B59" s="469" t="s">
        <v>9998</v>
      </c>
      <c r="C59" s="417"/>
      <c r="D59" s="273"/>
      <c r="E59" s="277"/>
      <c r="F59" s="420"/>
      <c r="G59" s="417"/>
      <c r="H59" s="462"/>
      <c r="I59" s="417"/>
      <c r="J59" s="462"/>
      <c r="K59" s="417"/>
      <c r="L59" s="462"/>
      <c r="M59" s="463"/>
      <c r="N59" s="462"/>
      <c r="O59" s="464"/>
      <c r="P59" s="464"/>
      <c r="Q59" s="464"/>
      <c r="R59" s="464"/>
      <c r="S59" s="464"/>
      <c r="T59" s="464"/>
      <c r="U59" s="465">
        <v>1677</v>
      </c>
      <c r="V59" s="473">
        <v>84</v>
      </c>
      <c r="W59" s="473">
        <f t="shared" si="3"/>
        <v>5.008944543828265E-2</v>
      </c>
      <c r="X59" s="467">
        <f t="shared" si="4"/>
        <v>1761.0500894454383</v>
      </c>
      <c r="Y59" s="658">
        <v>1239</v>
      </c>
    </row>
    <row r="60" spans="1:29">
      <c r="A60" s="477">
        <v>43126</v>
      </c>
      <c r="B60" s="675" t="s">
        <v>9999</v>
      </c>
      <c r="C60" s="417"/>
      <c r="D60" s="273"/>
      <c r="E60" s="277"/>
      <c r="F60" s="420"/>
      <c r="G60" s="417"/>
      <c r="H60" s="462"/>
      <c r="I60" s="417"/>
      <c r="J60" s="462"/>
      <c r="K60" s="417"/>
      <c r="L60" s="462"/>
      <c r="M60" s="463"/>
      <c r="N60" s="462"/>
      <c r="O60" s="464"/>
      <c r="P60" s="464"/>
      <c r="Q60" s="464"/>
      <c r="R60" s="464"/>
      <c r="S60" s="464"/>
      <c r="T60" s="464"/>
      <c r="U60" s="465">
        <v>2011</v>
      </c>
      <c r="V60" s="466">
        <v>101</v>
      </c>
      <c r="W60" s="473">
        <f t="shared" si="3"/>
        <v>5.0223769269020391E-2</v>
      </c>
      <c r="X60" s="467">
        <f t="shared" si="4"/>
        <v>2112.050223769269</v>
      </c>
      <c r="Y60" s="658">
        <v>1670</v>
      </c>
    </row>
    <row r="61" spans="1:29">
      <c r="A61" s="468">
        <v>43165</v>
      </c>
      <c r="B61" s="469" t="s">
        <v>10000</v>
      </c>
      <c r="C61" s="417"/>
      <c r="D61" s="273"/>
      <c r="E61" s="277"/>
      <c r="F61" s="420"/>
      <c r="G61" s="417"/>
      <c r="H61" s="462"/>
      <c r="I61" s="417"/>
      <c r="J61" s="462"/>
      <c r="K61" s="417"/>
      <c r="L61" s="462"/>
      <c r="M61" s="463"/>
      <c r="N61" s="462"/>
      <c r="O61" s="464"/>
      <c r="P61" s="464"/>
      <c r="Q61" s="464"/>
      <c r="R61" s="464"/>
      <c r="S61" s="464"/>
      <c r="T61" s="464"/>
      <c r="U61" s="465">
        <v>1932</v>
      </c>
      <c r="V61" s="466">
        <v>97</v>
      </c>
      <c r="W61" s="473">
        <f t="shared" si="3"/>
        <v>5.020703933747412E-2</v>
      </c>
      <c r="X61" s="467">
        <f t="shared" si="4"/>
        <v>2029.0502070393375</v>
      </c>
      <c r="Y61" s="658">
        <v>1684</v>
      </c>
    </row>
    <row r="62" spans="1:29">
      <c r="A62" s="468">
        <v>43189</v>
      </c>
      <c r="B62" s="469" t="s">
        <v>10001</v>
      </c>
      <c r="C62" s="417"/>
      <c r="D62" s="273"/>
      <c r="E62" s="277"/>
      <c r="F62" s="420"/>
      <c r="G62" s="417"/>
      <c r="H62" s="462"/>
      <c r="I62" s="417"/>
      <c r="J62" s="462"/>
      <c r="K62" s="417"/>
      <c r="L62" s="462"/>
      <c r="M62" s="463"/>
      <c r="N62" s="462"/>
      <c r="O62" s="464"/>
      <c r="P62" s="464"/>
      <c r="Q62" s="464"/>
      <c r="R62" s="464"/>
      <c r="S62" s="464"/>
      <c r="T62" s="464"/>
      <c r="U62" s="465">
        <v>1962</v>
      </c>
      <c r="V62" s="466">
        <v>98</v>
      </c>
      <c r="W62" s="473">
        <f t="shared" si="3"/>
        <v>4.9949031600407749E-2</v>
      </c>
      <c r="X62" s="467">
        <f t="shared" si="4"/>
        <v>2060.0499490316006</v>
      </c>
      <c r="Y62" s="658">
        <v>1694</v>
      </c>
    </row>
    <row r="63" spans="1:29" s="416" customFormat="1">
      <c r="A63" s="470">
        <v>43217</v>
      </c>
      <c r="B63" s="469" t="s">
        <v>10002</v>
      </c>
      <c r="C63" s="417"/>
      <c r="D63" s="273"/>
      <c r="E63" s="277"/>
      <c r="F63" s="420"/>
      <c r="G63" s="417"/>
      <c r="H63" s="462"/>
      <c r="I63" s="417"/>
      <c r="J63" s="462"/>
      <c r="K63" s="417"/>
      <c r="L63" s="462"/>
      <c r="M63" s="463"/>
      <c r="N63" s="462"/>
      <c r="O63" s="464"/>
      <c r="P63" s="464"/>
      <c r="Q63" s="464"/>
      <c r="R63" s="464"/>
      <c r="S63" s="464"/>
      <c r="T63" s="464"/>
      <c r="U63" s="465">
        <v>1967</v>
      </c>
      <c r="V63" s="466">
        <v>98</v>
      </c>
      <c r="W63" s="473">
        <f t="shared" si="3"/>
        <v>4.9822064056939501E-2</v>
      </c>
      <c r="X63" s="467">
        <f t="shared" si="4"/>
        <v>2065.049822064057</v>
      </c>
      <c r="Y63" s="658">
        <v>1704</v>
      </c>
      <c r="AB63" s="415"/>
      <c r="AC63" s="415"/>
    </row>
    <row r="64" spans="1:29" s="416" customFormat="1">
      <c r="A64" s="471">
        <v>43248</v>
      </c>
      <c r="B64" s="469" t="s">
        <v>10003</v>
      </c>
      <c r="C64" s="417"/>
      <c r="D64" s="273"/>
      <c r="E64" s="277"/>
      <c r="F64" s="420"/>
      <c r="G64" s="417"/>
      <c r="H64" s="462"/>
      <c r="I64" s="417"/>
      <c r="J64" s="462"/>
      <c r="K64" s="417"/>
      <c r="L64" s="462"/>
      <c r="M64" s="463"/>
      <c r="N64" s="462"/>
      <c r="O64" s="464"/>
      <c r="P64" s="464"/>
      <c r="Q64" s="464"/>
      <c r="R64" s="464"/>
      <c r="S64" s="464"/>
      <c r="T64" s="464"/>
      <c r="U64" s="465">
        <v>1955</v>
      </c>
      <c r="V64" s="472">
        <v>98</v>
      </c>
      <c r="W64" s="473">
        <f t="shared" si="3"/>
        <v>5.0127877237851663E-2</v>
      </c>
      <c r="X64" s="467">
        <f t="shared" si="4"/>
        <v>2053.0501278772376</v>
      </c>
      <c r="Y64" s="658">
        <v>1707</v>
      </c>
      <c r="AB64" s="415"/>
      <c r="AC64" s="415"/>
    </row>
    <row r="65" spans="1:29" s="416" customFormat="1">
      <c r="A65" s="471">
        <v>43277</v>
      </c>
      <c r="B65" s="469" t="s">
        <v>10004</v>
      </c>
      <c r="C65" s="417"/>
      <c r="D65" s="273"/>
      <c r="E65" s="277"/>
      <c r="F65" s="420"/>
      <c r="G65" s="417"/>
      <c r="H65" s="462"/>
      <c r="I65" s="417"/>
      <c r="J65" s="462"/>
      <c r="K65" s="417"/>
      <c r="L65" s="462"/>
      <c r="M65" s="463"/>
      <c r="N65" s="462"/>
      <c r="O65" s="464"/>
      <c r="P65" s="464"/>
      <c r="Q65" s="464"/>
      <c r="R65" s="464"/>
      <c r="S65" s="464"/>
      <c r="T65" s="464"/>
      <c r="U65" s="465">
        <v>1896</v>
      </c>
      <c r="V65" s="473">
        <v>95</v>
      </c>
      <c r="W65" s="473">
        <f t="shared" si="3"/>
        <v>5.0105485232067509E-2</v>
      </c>
      <c r="X65" s="467">
        <f t="shared" si="4"/>
        <v>1991.0501054852321</v>
      </c>
      <c r="Y65" s="658">
        <v>1707</v>
      </c>
      <c r="AB65" s="415"/>
      <c r="AC65" s="415"/>
    </row>
    <row r="66" spans="1:29" s="416" customFormat="1">
      <c r="A66" s="471">
        <v>43307</v>
      </c>
      <c r="B66" s="469" t="s">
        <v>10005</v>
      </c>
      <c r="C66" s="417"/>
      <c r="D66" s="273"/>
      <c r="E66" s="277"/>
      <c r="F66" s="420"/>
      <c r="G66" s="417"/>
      <c r="H66" s="462"/>
      <c r="I66" s="417"/>
      <c r="J66" s="462"/>
      <c r="K66" s="417"/>
      <c r="L66" s="462"/>
      <c r="M66" s="463"/>
      <c r="N66" s="462"/>
      <c r="O66" s="464"/>
      <c r="P66" s="464"/>
      <c r="Q66" s="464"/>
      <c r="R66" s="464"/>
      <c r="S66" s="464"/>
      <c r="T66" s="464"/>
      <c r="U66" s="465">
        <v>1942</v>
      </c>
      <c r="V66" s="473">
        <v>97</v>
      </c>
      <c r="W66" s="473">
        <f t="shared" si="3"/>
        <v>4.9948506694129764E-2</v>
      </c>
      <c r="X66" s="467">
        <f t="shared" si="4"/>
        <v>2039.0499485066941</v>
      </c>
      <c r="Y66" s="658">
        <v>1752</v>
      </c>
      <c r="AB66" s="415"/>
      <c r="AC66" s="415"/>
    </row>
    <row r="67" spans="1:29" s="416" customFormat="1">
      <c r="A67" s="471">
        <v>43340</v>
      </c>
      <c r="B67" s="469" t="s">
        <v>10006</v>
      </c>
      <c r="C67" s="417"/>
      <c r="D67" s="273"/>
      <c r="E67" s="277"/>
      <c r="F67" s="420"/>
      <c r="G67" s="417"/>
      <c r="H67" s="462"/>
      <c r="I67" s="417"/>
      <c r="J67" s="462"/>
      <c r="K67" s="417"/>
      <c r="L67" s="462"/>
      <c r="M67" s="463"/>
      <c r="N67" s="462"/>
      <c r="O67" s="464"/>
      <c r="P67" s="464"/>
      <c r="Q67" s="464"/>
      <c r="R67" s="464"/>
      <c r="S67" s="464"/>
      <c r="T67" s="464"/>
      <c r="U67" s="465">
        <v>1953</v>
      </c>
      <c r="V67" s="466">
        <v>98</v>
      </c>
      <c r="W67" s="473">
        <f t="shared" si="3"/>
        <v>5.0179211469534052E-2</v>
      </c>
      <c r="X67" s="467">
        <f t="shared" si="4"/>
        <v>2051.0501792114696</v>
      </c>
      <c r="Y67" s="658">
        <v>1761</v>
      </c>
      <c r="AB67" s="415"/>
      <c r="AC67" s="415"/>
    </row>
    <row r="68" spans="1:29" s="416" customFormat="1">
      <c r="A68" s="568">
        <v>43369</v>
      </c>
      <c r="B68" s="469" t="s">
        <v>10007</v>
      </c>
      <c r="C68" s="417"/>
      <c r="D68" s="273"/>
      <c r="E68" s="277"/>
      <c r="F68" s="420"/>
      <c r="G68" s="417"/>
      <c r="H68" s="462"/>
      <c r="I68" s="417"/>
      <c r="J68" s="462"/>
      <c r="K68" s="417"/>
      <c r="L68" s="462"/>
      <c r="M68" s="463"/>
      <c r="N68" s="462"/>
      <c r="O68" s="464"/>
      <c r="P68" s="464"/>
      <c r="Q68" s="464"/>
      <c r="R68" s="464"/>
      <c r="S68" s="464"/>
      <c r="T68" s="464"/>
      <c r="U68" s="465">
        <v>1968</v>
      </c>
      <c r="V68" s="466">
        <v>98</v>
      </c>
      <c r="W68" s="473">
        <f t="shared" si="3"/>
        <v>4.9796747967479675E-2</v>
      </c>
      <c r="X68" s="467">
        <f t="shared" si="4"/>
        <v>2066.0497967479673</v>
      </c>
      <c r="Y68" s="658">
        <v>1763</v>
      </c>
      <c r="AB68" s="415"/>
      <c r="AC68" s="415"/>
    </row>
    <row r="69" spans="1:29" s="416" customFormat="1">
      <c r="A69" s="471">
        <v>43399</v>
      </c>
      <c r="B69" s="469" t="s">
        <v>10008</v>
      </c>
      <c r="C69" s="417"/>
      <c r="D69" s="273"/>
      <c r="E69" s="277"/>
      <c r="F69" s="420"/>
      <c r="G69" s="417"/>
      <c r="H69" s="462"/>
      <c r="I69" s="417"/>
      <c r="J69" s="462"/>
      <c r="K69" s="417"/>
      <c r="L69" s="462"/>
      <c r="M69" s="463"/>
      <c r="N69" s="462"/>
      <c r="O69" s="464"/>
      <c r="P69" s="464"/>
      <c r="Q69" s="464"/>
      <c r="R69" s="464"/>
      <c r="S69" s="464"/>
      <c r="T69" s="464"/>
      <c r="U69" s="465">
        <v>2138</v>
      </c>
      <c r="V69" s="473">
        <v>107</v>
      </c>
      <c r="W69" s="473">
        <f t="shared" si="3"/>
        <v>5.0046772684752105E-2</v>
      </c>
      <c r="X69" s="467">
        <f t="shared" si="4"/>
        <v>2245.0500467726847</v>
      </c>
      <c r="Y69" s="658">
        <v>1781</v>
      </c>
      <c r="AB69" s="415"/>
      <c r="AC69" s="415"/>
    </row>
    <row r="70" spans="1:29" s="416" customFormat="1">
      <c r="A70" s="471">
        <v>43431</v>
      </c>
      <c r="B70" s="469" t="s">
        <v>10009</v>
      </c>
      <c r="C70" s="417"/>
      <c r="D70" s="273"/>
      <c r="E70" s="277"/>
      <c r="F70" s="420"/>
      <c r="G70" s="417"/>
      <c r="H70" s="462"/>
      <c r="I70" s="417"/>
      <c r="J70" s="462"/>
      <c r="K70" s="417"/>
      <c r="L70" s="462"/>
      <c r="M70" s="463"/>
      <c r="N70" s="462"/>
      <c r="O70" s="464"/>
      <c r="P70" s="464"/>
      <c r="Q70" s="464"/>
      <c r="R70" s="464"/>
      <c r="S70" s="464"/>
      <c r="T70" s="464"/>
      <c r="U70" s="465">
        <v>1921</v>
      </c>
      <c r="V70" s="473">
        <v>96</v>
      </c>
      <c r="W70" s="473">
        <f t="shared" si="3"/>
        <v>4.9973971889640811E-2</v>
      </c>
      <c r="X70" s="467">
        <f t="shared" si="4"/>
        <v>2017.0499739718896</v>
      </c>
      <c r="Y70" s="658">
        <v>1790</v>
      </c>
      <c r="AB70" s="415"/>
      <c r="AC70" s="415"/>
    </row>
    <row r="71" spans="1:29" s="416" customFormat="1">
      <c r="A71" s="471">
        <v>43460</v>
      </c>
      <c r="B71" s="469" t="s">
        <v>10010</v>
      </c>
      <c r="C71" s="417"/>
      <c r="D71" s="273"/>
      <c r="E71" s="277"/>
      <c r="F71" s="420"/>
      <c r="G71" s="417"/>
      <c r="H71" s="462"/>
      <c r="I71" s="417"/>
      <c r="J71" s="462"/>
      <c r="K71" s="417"/>
      <c r="L71" s="462"/>
      <c r="M71" s="463"/>
      <c r="N71" s="462"/>
      <c r="O71" s="464"/>
      <c r="P71" s="464"/>
      <c r="Q71" s="464"/>
      <c r="R71" s="464"/>
      <c r="S71" s="464"/>
      <c r="T71" s="464"/>
      <c r="U71" s="465">
        <v>1957</v>
      </c>
      <c r="V71" s="473">
        <v>98</v>
      </c>
      <c r="W71" s="473">
        <f>V71/U71</f>
        <v>5.0076647930505876E-2</v>
      </c>
      <c r="X71" s="467">
        <f t="shared" si="4"/>
        <v>2055.0500766479304</v>
      </c>
      <c r="Y71" s="658">
        <v>1859</v>
      </c>
      <c r="AB71" s="415"/>
      <c r="AC71" s="415"/>
    </row>
    <row r="72" spans="1:29">
      <c r="A72" s="477">
        <v>43126</v>
      </c>
      <c r="B72" s="675" t="s">
        <v>10011</v>
      </c>
      <c r="C72" s="417"/>
      <c r="D72" s="273"/>
      <c r="E72" s="277"/>
      <c r="F72" s="420"/>
      <c r="G72" s="417"/>
      <c r="H72" s="462"/>
      <c r="I72" s="417"/>
      <c r="J72" s="462"/>
      <c r="K72" s="417"/>
      <c r="L72" s="462"/>
      <c r="M72" s="463"/>
      <c r="N72" s="462"/>
      <c r="O72" s="464"/>
      <c r="P72" s="464"/>
      <c r="Q72" s="464"/>
      <c r="R72" s="464"/>
      <c r="S72" s="464"/>
      <c r="T72" s="464"/>
      <c r="U72" s="465">
        <v>1175</v>
      </c>
      <c r="V72" s="466">
        <v>59</v>
      </c>
      <c r="W72" s="473">
        <f t="shared" ref="W72:W83" si="5">V72/U72</f>
        <v>5.0212765957446809E-2</v>
      </c>
      <c r="X72" s="467">
        <f t="shared" si="4"/>
        <v>1234.0502127659574</v>
      </c>
      <c r="Y72" s="658">
        <v>1991</v>
      </c>
    </row>
    <row r="73" spans="1:29">
      <c r="A73" s="468">
        <v>43165</v>
      </c>
      <c r="B73" s="469" t="s">
        <v>10012</v>
      </c>
      <c r="C73" s="417"/>
      <c r="D73" s="273"/>
      <c r="E73" s="277"/>
      <c r="F73" s="420"/>
      <c r="G73" s="417"/>
      <c r="H73" s="462"/>
      <c r="I73" s="417"/>
      <c r="J73" s="462"/>
      <c r="K73" s="417"/>
      <c r="L73" s="462"/>
      <c r="M73" s="463"/>
      <c r="N73" s="462"/>
      <c r="O73" s="464"/>
      <c r="P73" s="464"/>
      <c r="Q73" s="464"/>
      <c r="R73" s="464"/>
      <c r="S73" s="464"/>
      <c r="T73" s="464"/>
      <c r="U73" s="465">
        <v>1173</v>
      </c>
      <c r="V73" s="466">
        <v>59</v>
      </c>
      <c r="W73" s="473">
        <f t="shared" si="5"/>
        <v>5.0298380221653879E-2</v>
      </c>
      <c r="X73" s="467">
        <f t="shared" si="4"/>
        <v>1232.0502983802216</v>
      </c>
      <c r="Y73" s="658">
        <v>2017</v>
      </c>
    </row>
    <row r="74" spans="1:29">
      <c r="A74" s="468">
        <v>43189</v>
      </c>
      <c r="B74" s="469" t="s">
        <v>10136</v>
      </c>
      <c r="C74" s="417"/>
      <c r="D74" s="273"/>
      <c r="E74" s="277"/>
      <c r="F74" s="420"/>
      <c r="G74" s="417"/>
      <c r="H74" s="462"/>
      <c r="I74" s="417"/>
      <c r="J74" s="462"/>
      <c r="K74" s="417"/>
      <c r="L74" s="462"/>
      <c r="M74" s="463"/>
      <c r="N74" s="462"/>
      <c r="O74" s="464"/>
      <c r="P74" s="464"/>
      <c r="Q74" s="464"/>
      <c r="R74" s="464"/>
      <c r="S74" s="464"/>
      <c r="T74" s="464"/>
      <c r="U74" s="465">
        <v>1172</v>
      </c>
      <c r="V74" s="466">
        <v>59</v>
      </c>
      <c r="W74" s="473">
        <f t="shared" si="5"/>
        <v>5.0341296928327645E-2</v>
      </c>
      <c r="X74" s="467">
        <f t="shared" si="4"/>
        <v>1231.0503412969283</v>
      </c>
      <c r="Y74" s="658">
        <v>2029</v>
      </c>
    </row>
    <row r="75" spans="1:29">
      <c r="A75" s="470">
        <v>43217</v>
      </c>
      <c r="B75" s="469" t="s">
        <v>10013</v>
      </c>
      <c r="C75" s="417"/>
      <c r="D75" s="273"/>
      <c r="E75" s="277"/>
      <c r="F75" s="420"/>
      <c r="G75" s="417"/>
      <c r="H75" s="462"/>
      <c r="I75" s="417"/>
      <c r="J75" s="462"/>
      <c r="K75" s="417"/>
      <c r="L75" s="462"/>
      <c r="M75" s="463"/>
      <c r="N75" s="462"/>
      <c r="O75" s="464"/>
      <c r="P75" s="464"/>
      <c r="Q75" s="464"/>
      <c r="R75" s="464"/>
      <c r="S75" s="464"/>
      <c r="T75" s="464"/>
      <c r="U75" s="465">
        <v>1180</v>
      </c>
      <c r="V75" s="466">
        <v>59</v>
      </c>
      <c r="W75" s="473">
        <f t="shared" si="5"/>
        <v>0.05</v>
      </c>
      <c r="X75" s="467">
        <f t="shared" si="4"/>
        <v>1239.05</v>
      </c>
      <c r="Y75" s="658">
        <v>2039</v>
      </c>
    </row>
    <row r="76" spans="1:29">
      <c r="A76" s="471">
        <v>43248</v>
      </c>
      <c r="B76" s="469" t="s">
        <v>10014</v>
      </c>
      <c r="C76" s="417"/>
      <c r="D76" s="273"/>
      <c r="E76" s="277"/>
      <c r="F76" s="420"/>
      <c r="G76" s="417"/>
      <c r="H76" s="462"/>
      <c r="I76" s="417"/>
      <c r="J76" s="462"/>
      <c r="K76" s="417"/>
      <c r="L76" s="462"/>
      <c r="M76" s="463"/>
      <c r="N76" s="462"/>
      <c r="O76" s="464"/>
      <c r="P76" s="464"/>
      <c r="Q76" s="464"/>
      <c r="R76" s="464"/>
      <c r="S76" s="464"/>
      <c r="T76" s="464"/>
      <c r="U76" s="465">
        <v>1170</v>
      </c>
      <c r="V76" s="472">
        <v>59</v>
      </c>
      <c r="W76" s="473">
        <f t="shared" si="5"/>
        <v>5.0427350427350429E-2</v>
      </c>
      <c r="X76" s="467">
        <f t="shared" si="4"/>
        <v>1229.0504273504273</v>
      </c>
      <c r="Y76" s="658">
        <v>2051</v>
      </c>
    </row>
    <row r="77" spans="1:29">
      <c r="A77" s="471">
        <v>43277</v>
      </c>
      <c r="B77" s="469" t="s">
        <v>10015</v>
      </c>
      <c r="C77" s="417"/>
      <c r="D77" s="273"/>
      <c r="E77" s="277"/>
      <c r="F77" s="420"/>
      <c r="G77" s="417"/>
      <c r="H77" s="462"/>
      <c r="I77" s="417"/>
      <c r="J77" s="462"/>
      <c r="K77" s="417"/>
      <c r="L77" s="462"/>
      <c r="M77" s="463"/>
      <c r="N77" s="462"/>
      <c r="O77" s="464"/>
      <c r="P77" s="464"/>
      <c r="Q77" s="464"/>
      <c r="R77" s="464"/>
      <c r="S77" s="464"/>
      <c r="T77" s="464"/>
      <c r="U77" s="465">
        <v>1173</v>
      </c>
      <c r="V77" s="473">
        <v>59</v>
      </c>
      <c r="W77" s="473">
        <f t="shared" si="5"/>
        <v>5.0298380221653879E-2</v>
      </c>
      <c r="X77" s="467">
        <f t="shared" si="4"/>
        <v>1232.0502983802216</v>
      </c>
      <c r="Y77" s="658">
        <v>2053</v>
      </c>
    </row>
    <row r="78" spans="1:29">
      <c r="A78" s="471">
        <v>43307</v>
      </c>
      <c r="B78" s="469" t="s">
        <v>10016</v>
      </c>
      <c r="C78" s="417"/>
      <c r="D78" s="273"/>
      <c r="E78" s="277"/>
      <c r="F78" s="420"/>
      <c r="G78" s="417"/>
      <c r="H78" s="462"/>
      <c r="I78" s="417"/>
      <c r="J78" s="462"/>
      <c r="K78" s="417"/>
      <c r="L78" s="462"/>
      <c r="M78" s="463"/>
      <c r="N78" s="462"/>
      <c r="O78" s="464"/>
      <c r="P78" s="464"/>
      <c r="Q78" s="464"/>
      <c r="R78" s="464"/>
      <c r="S78" s="464"/>
      <c r="T78" s="464"/>
      <c r="U78" s="465">
        <v>1172</v>
      </c>
      <c r="V78" s="473">
        <v>59</v>
      </c>
      <c r="W78" s="473">
        <f t="shared" si="5"/>
        <v>5.0341296928327645E-2</v>
      </c>
      <c r="X78" s="467">
        <f t="shared" si="4"/>
        <v>1231.0503412969283</v>
      </c>
      <c r="Y78" s="658">
        <v>2055</v>
      </c>
    </row>
    <row r="79" spans="1:29">
      <c r="A79" s="471">
        <v>43340</v>
      </c>
      <c r="B79" s="469" t="s">
        <v>10017</v>
      </c>
      <c r="C79" s="417"/>
      <c r="D79" s="273"/>
      <c r="E79" s="277"/>
      <c r="F79" s="420"/>
      <c r="G79" s="417"/>
      <c r="H79" s="462"/>
      <c r="I79" s="417"/>
      <c r="J79" s="462"/>
      <c r="K79" s="417"/>
      <c r="L79" s="462"/>
      <c r="M79" s="463"/>
      <c r="N79" s="462"/>
      <c r="O79" s="464"/>
      <c r="P79" s="464"/>
      <c r="Q79" s="464"/>
      <c r="R79" s="464"/>
      <c r="S79" s="464"/>
      <c r="T79" s="464"/>
      <c r="U79" s="465">
        <v>1172</v>
      </c>
      <c r="V79" s="466">
        <v>59</v>
      </c>
      <c r="W79" s="473">
        <f t="shared" si="5"/>
        <v>5.0341296928327645E-2</v>
      </c>
      <c r="X79" s="467">
        <f t="shared" si="4"/>
        <v>1231.0503412969283</v>
      </c>
      <c r="Y79" s="658">
        <v>2060</v>
      </c>
    </row>
    <row r="80" spans="1:29">
      <c r="A80" s="471">
        <v>43369</v>
      </c>
      <c r="B80" s="469" t="s">
        <v>10018</v>
      </c>
      <c r="C80" s="417"/>
      <c r="D80" s="273"/>
      <c r="E80" s="277"/>
      <c r="F80" s="420"/>
      <c r="G80" s="417"/>
      <c r="H80" s="462"/>
      <c r="I80" s="417"/>
      <c r="J80" s="462"/>
      <c r="K80" s="417"/>
      <c r="L80" s="462"/>
      <c r="M80" s="463"/>
      <c r="N80" s="462"/>
      <c r="O80" s="464"/>
      <c r="P80" s="464"/>
      <c r="Q80" s="464"/>
      <c r="R80" s="464"/>
      <c r="S80" s="464"/>
      <c r="T80" s="464"/>
      <c r="U80" s="465">
        <v>1177</v>
      </c>
      <c r="V80" s="466">
        <v>59</v>
      </c>
      <c r="W80" s="473">
        <f t="shared" si="5"/>
        <v>5.0127442650807139E-2</v>
      </c>
      <c r="X80" s="467">
        <f t="shared" ref="X80:X100" si="6">U80+V80+W80</f>
        <v>1236.0501274426508</v>
      </c>
      <c r="Y80" s="658">
        <v>2065</v>
      </c>
    </row>
    <row r="81" spans="1:29">
      <c r="A81" s="471">
        <v>43399</v>
      </c>
      <c r="B81" s="469" t="s">
        <v>10019</v>
      </c>
      <c r="C81" s="417"/>
      <c r="D81" s="273"/>
      <c r="E81" s="277"/>
      <c r="F81" s="420"/>
      <c r="G81" s="417"/>
      <c r="H81" s="462"/>
      <c r="I81" s="417"/>
      <c r="J81" s="462"/>
      <c r="K81" s="417"/>
      <c r="L81" s="462"/>
      <c r="M81" s="463"/>
      <c r="N81" s="462"/>
      <c r="O81" s="464"/>
      <c r="P81" s="464"/>
      <c r="Q81" s="464"/>
      <c r="R81" s="464"/>
      <c r="S81" s="464"/>
      <c r="T81" s="464"/>
      <c r="U81" s="465">
        <v>1170</v>
      </c>
      <c r="V81" s="473">
        <v>59</v>
      </c>
      <c r="W81" s="473">
        <f t="shared" si="5"/>
        <v>5.0427350427350429E-2</v>
      </c>
      <c r="X81" s="467">
        <f t="shared" si="6"/>
        <v>1229.0504273504273</v>
      </c>
      <c r="Y81" s="658">
        <v>2066</v>
      </c>
    </row>
    <row r="82" spans="1:29">
      <c r="A82" s="471">
        <v>43431</v>
      </c>
      <c r="B82" s="469" t="s">
        <v>10020</v>
      </c>
      <c r="C82" s="417"/>
      <c r="D82" s="273"/>
      <c r="E82" s="277"/>
      <c r="F82" s="420"/>
      <c r="G82" s="417"/>
      <c r="H82" s="462"/>
      <c r="I82" s="417"/>
      <c r="J82" s="462"/>
      <c r="K82" s="417"/>
      <c r="L82" s="462"/>
      <c r="M82" s="463"/>
      <c r="N82" s="462"/>
      <c r="O82" s="464"/>
      <c r="P82" s="464"/>
      <c r="Q82" s="464"/>
      <c r="R82" s="464"/>
      <c r="S82" s="464"/>
      <c r="T82" s="464"/>
      <c r="U82" s="465">
        <v>1178</v>
      </c>
      <c r="V82" s="473">
        <v>59</v>
      </c>
      <c r="W82" s="473">
        <f t="shared" si="5"/>
        <v>5.0084889643463498E-2</v>
      </c>
      <c r="X82" s="467">
        <f t="shared" si="6"/>
        <v>1237.0500848896434</v>
      </c>
      <c r="Y82" s="658">
        <v>2112</v>
      </c>
    </row>
    <row r="83" spans="1:29">
      <c r="A83" s="471">
        <v>43460</v>
      </c>
      <c r="B83" s="469" t="s">
        <v>10021</v>
      </c>
      <c r="C83" s="417"/>
      <c r="D83" s="273"/>
      <c r="E83" s="277"/>
      <c r="F83" s="420"/>
      <c r="G83" s="417"/>
      <c r="H83" s="462"/>
      <c r="I83" s="417"/>
      <c r="J83" s="462"/>
      <c r="K83" s="417"/>
      <c r="L83" s="462"/>
      <c r="M83" s="463"/>
      <c r="N83" s="462"/>
      <c r="O83" s="464"/>
      <c r="P83" s="464"/>
      <c r="Q83" s="464"/>
      <c r="R83" s="464"/>
      <c r="S83" s="464"/>
      <c r="T83" s="464"/>
      <c r="U83" s="465">
        <v>1170</v>
      </c>
      <c r="V83" s="473">
        <v>59</v>
      </c>
      <c r="W83" s="473">
        <f t="shared" si="5"/>
        <v>5.0427350427350429E-2</v>
      </c>
      <c r="X83" s="467">
        <f t="shared" si="6"/>
        <v>1229.0504273504273</v>
      </c>
      <c r="Y83" s="658">
        <v>2245</v>
      </c>
    </row>
    <row r="84" spans="1:29" s="416" customFormat="1">
      <c r="A84" s="474"/>
      <c r="B84" s="460"/>
      <c r="C84" s="417"/>
      <c r="D84" s="461"/>
      <c r="E84" s="417"/>
      <c r="F84" s="420"/>
      <c r="G84" s="417"/>
      <c r="H84" s="462"/>
      <c r="I84" s="417"/>
      <c r="J84" s="462"/>
      <c r="K84" s="417"/>
      <c r="L84" s="462"/>
      <c r="M84" s="463"/>
      <c r="N84" s="462"/>
      <c r="O84" s="464"/>
      <c r="P84" s="464"/>
      <c r="Q84" s="464"/>
      <c r="R84" s="464"/>
      <c r="S84" s="464"/>
      <c r="T84" s="683">
        <f>U84+V84</f>
        <v>60445</v>
      </c>
      <c r="U84" s="465">
        <f>SUM(U48:U83)</f>
        <v>57562</v>
      </c>
      <c r="V84" s="465">
        <f>SUM(V48:V83)</f>
        <v>2883</v>
      </c>
      <c r="W84" s="465">
        <f>SUM(W48:W83)</f>
        <v>1.8038336504889168</v>
      </c>
      <c r="X84" s="467">
        <f t="shared" si="6"/>
        <v>60446.803833650491</v>
      </c>
      <c r="Y84" s="415"/>
      <c r="AB84" s="415"/>
      <c r="AC84" s="415"/>
    </row>
    <row r="85" spans="1:29" s="416" customFormat="1">
      <c r="A85" s="475">
        <v>43130</v>
      </c>
      <c r="B85" s="460" t="s">
        <v>10032</v>
      </c>
      <c r="C85" s="417"/>
      <c r="D85" s="461"/>
      <c r="E85" s="417"/>
      <c r="F85" s="420"/>
      <c r="G85" s="417"/>
      <c r="H85" s="462"/>
      <c r="I85" s="417"/>
      <c r="J85" s="462"/>
      <c r="K85" s="417"/>
      <c r="L85" s="462"/>
      <c r="M85" s="463"/>
      <c r="N85" s="462"/>
      <c r="O85" s="464"/>
      <c r="P85" s="464"/>
      <c r="Q85" s="464"/>
      <c r="R85" s="464"/>
      <c r="S85" s="464"/>
      <c r="T85" s="464"/>
      <c r="U85" s="465">
        <v>153</v>
      </c>
      <c r="V85" s="472">
        <v>8</v>
      </c>
      <c r="W85" s="476">
        <v>28</v>
      </c>
      <c r="X85" s="467">
        <f t="shared" si="6"/>
        <v>189</v>
      </c>
      <c r="Y85" s="451"/>
      <c r="AB85" s="415"/>
      <c r="AC85" s="415"/>
    </row>
    <row r="86" spans="1:29" s="416" customFormat="1">
      <c r="A86" s="468">
        <v>43199</v>
      </c>
      <c r="B86" s="469" t="s">
        <v>10031</v>
      </c>
      <c r="C86" s="417"/>
      <c r="D86" s="461"/>
      <c r="E86" s="417"/>
      <c r="F86" s="420"/>
      <c r="G86" s="417"/>
      <c r="H86" s="462"/>
      <c r="I86" s="417"/>
      <c r="J86" s="462"/>
      <c r="K86" s="417"/>
      <c r="L86" s="462"/>
      <c r="M86" s="463"/>
      <c r="N86" s="462"/>
      <c r="O86" s="464"/>
      <c r="P86" s="464"/>
      <c r="Q86" s="464"/>
      <c r="R86" s="464"/>
      <c r="S86" s="464"/>
      <c r="T86" s="464"/>
      <c r="U86" s="465">
        <v>153</v>
      </c>
      <c r="V86" s="466">
        <v>8</v>
      </c>
      <c r="W86" s="466">
        <v>28</v>
      </c>
      <c r="X86" s="467">
        <f t="shared" si="6"/>
        <v>189</v>
      </c>
      <c r="Y86" s="415"/>
      <c r="AB86" s="415"/>
      <c r="AC86" s="415"/>
    </row>
    <row r="87" spans="1:29" s="416" customFormat="1">
      <c r="A87" s="470">
        <v>43257</v>
      </c>
      <c r="B87" s="469" t="s">
        <v>10030</v>
      </c>
      <c r="C87" s="417"/>
      <c r="D87" s="461"/>
      <c r="E87" s="417"/>
      <c r="F87" s="420"/>
      <c r="G87" s="417"/>
      <c r="H87" s="462"/>
      <c r="I87" s="417"/>
      <c r="J87" s="462"/>
      <c r="K87" s="417"/>
      <c r="L87" s="462"/>
      <c r="M87" s="463"/>
      <c r="N87" s="462"/>
      <c r="O87" s="464"/>
      <c r="P87" s="464"/>
      <c r="Q87" s="464"/>
      <c r="R87" s="464"/>
      <c r="S87" s="464"/>
      <c r="T87" s="464"/>
      <c r="U87" s="465">
        <v>153</v>
      </c>
      <c r="V87" s="473">
        <v>8</v>
      </c>
      <c r="W87" s="473">
        <v>28</v>
      </c>
      <c r="X87" s="467">
        <f t="shared" si="6"/>
        <v>189</v>
      </c>
      <c r="Y87" s="415"/>
      <c r="AB87" s="415"/>
      <c r="AC87" s="415"/>
    </row>
    <row r="88" spans="1:29" s="416" customFormat="1">
      <c r="A88" s="470">
        <v>43306</v>
      </c>
      <c r="B88" s="469" t="s">
        <v>10029</v>
      </c>
      <c r="C88" s="417"/>
      <c r="D88" s="461"/>
      <c r="E88" s="417"/>
      <c r="F88" s="420"/>
      <c r="G88" s="417"/>
      <c r="H88" s="462"/>
      <c r="I88" s="417"/>
      <c r="J88" s="462"/>
      <c r="K88" s="417"/>
      <c r="L88" s="462"/>
      <c r="M88" s="463"/>
      <c r="N88" s="462"/>
      <c r="O88" s="464"/>
      <c r="P88" s="464"/>
      <c r="Q88" s="464"/>
      <c r="R88" s="464"/>
      <c r="S88" s="464"/>
      <c r="T88" s="464"/>
      <c r="U88" s="465">
        <v>149</v>
      </c>
      <c r="V88" s="466">
        <v>7</v>
      </c>
      <c r="W88" s="466">
        <v>22</v>
      </c>
      <c r="X88" s="467">
        <f t="shared" si="6"/>
        <v>178</v>
      </c>
      <c r="Y88" s="415"/>
      <c r="AB88" s="415"/>
      <c r="AC88" s="415"/>
    </row>
    <row r="89" spans="1:29" s="416" customFormat="1">
      <c r="A89" s="470">
        <v>43364</v>
      </c>
      <c r="B89" s="469" t="s">
        <v>10028</v>
      </c>
      <c r="C89" s="417"/>
      <c r="D89" s="461"/>
      <c r="E89" s="417"/>
      <c r="F89" s="420"/>
      <c r="G89" s="417"/>
      <c r="H89" s="462"/>
      <c r="I89" s="417"/>
      <c r="J89" s="462"/>
      <c r="K89" s="417"/>
      <c r="L89" s="462"/>
      <c r="M89" s="463"/>
      <c r="N89" s="462"/>
      <c r="O89" s="464"/>
      <c r="P89" s="464"/>
      <c r="Q89" s="464"/>
      <c r="R89" s="464"/>
      <c r="S89" s="464"/>
      <c r="T89" s="464"/>
      <c r="U89" s="465">
        <v>144</v>
      </c>
      <c r="V89" s="466">
        <v>7</v>
      </c>
      <c r="W89" s="466">
        <v>17</v>
      </c>
      <c r="X89" s="467">
        <f t="shared" si="6"/>
        <v>168</v>
      </c>
      <c r="Y89" s="415"/>
      <c r="AB89" s="415"/>
      <c r="AC89" s="415"/>
    </row>
    <row r="90" spans="1:29" s="416" customFormat="1">
      <c r="A90" s="470">
        <v>43431</v>
      </c>
      <c r="B90" s="469" t="s">
        <v>10027</v>
      </c>
      <c r="C90" s="417"/>
      <c r="D90" s="461"/>
      <c r="E90" s="417"/>
      <c r="F90" s="420"/>
      <c r="G90" s="417"/>
      <c r="H90" s="462"/>
      <c r="I90" s="417"/>
      <c r="J90" s="462"/>
      <c r="K90" s="417"/>
      <c r="L90" s="462"/>
      <c r="M90" s="463"/>
      <c r="N90" s="462"/>
      <c r="O90" s="464"/>
      <c r="P90" s="464"/>
      <c r="Q90" s="464"/>
      <c r="R90" s="464"/>
      <c r="S90" s="464"/>
      <c r="T90" s="464"/>
      <c r="U90" s="465">
        <v>149</v>
      </c>
      <c r="V90" s="473">
        <v>7</v>
      </c>
      <c r="W90" s="473">
        <v>22</v>
      </c>
      <c r="X90" s="467">
        <f t="shared" si="6"/>
        <v>178</v>
      </c>
      <c r="Y90" s="415"/>
      <c r="AB90" s="415"/>
      <c r="AC90" s="415"/>
    </row>
    <row r="91" spans="1:29" s="416" customFormat="1">
      <c r="A91" s="474"/>
      <c r="B91" s="460"/>
      <c r="C91" s="417"/>
      <c r="D91" s="461"/>
      <c r="E91" s="417"/>
      <c r="F91" s="420"/>
      <c r="G91" s="417"/>
      <c r="H91" s="462"/>
      <c r="I91" s="417"/>
      <c r="J91" s="462"/>
      <c r="K91" s="417"/>
      <c r="L91" s="462"/>
      <c r="M91" s="463"/>
      <c r="N91" s="462"/>
      <c r="O91" s="464"/>
      <c r="P91" s="464"/>
      <c r="Q91" s="464"/>
      <c r="R91" s="464"/>
      <c r="S91" s="464"/>
      <c r="T91" s="464">
        <f>U91+V91</f>
        <v>946</v>
      </c>
      <c r="U91" s="465">
        <f>SUM(U85:U90)</f>
        <v>901</v>
      </c>
      <c r="V91" s="465">
        <f>SUM(V85:V90)</f>
        <v>45</v>
      </c>
      <c r="W91" s="465">
        <f>SUM(W85:W90)</f>
        <v>145</v>
      </c>
      <c r="X91" s="467">
        <f t="shared" si="6"/>
        <v>1091</v>
      </c>
      <c r="Y91" s="415"/>
      <c r="AB91" s="415"/>
      <c r="AC91" s="415"/>
    </row>
    <row r="92" spans="1:29" s="416" customFormat="1">
      <c r="A92" s="477">
        <v>43164</v>
      </c>
      <c r="B92" s="460" t="s">
        <v>10033</v>
      </c>
      <c r="C92" s="417"/>
      <c r="D92" s="461"/>
      <c r="E92" s="417"/>
      <c r="F92" s="420"/>
      <c r="G92" s="417"/>
      <c r="H92" s="462"/>
      <c r="I92" s="417"/>
      <c r="J92" s="462"/>
      <c r="K92" s="417"/>
      <c r="L92" s="462"/>
      <c r="M92" s="463"/>
      <c r="N92" s="462"/>
      <c r="O92" s="464"/>
      <c r="P92" s="464"/>
      <c r="Q92" s="464"/>
      <c r="R92" s="464"/>
      <c r="S92" s="464"/>
      <c r="T92" s="464"/>
      <c r="U92" s="465">
        <v>1435</v>
      </c>
      <c r="V92" s="472">
        <v>72</v>
      </c>
      <c r="W92" s="476"/>
      <c r="X92" s="467">
        <f t="shared" si="6"/>
        <v>1507</v>
      </c>
      <c r="Y92" s="451"/>
      <c r="AB92" s="415"/>
      <c r="AC92" s="415"/>
    </row>
    <row r="93" spans="1:29" s="416" customFormat="1">
      <c r="A93" s="468">
        <v>43206</v>
      </c>
      <c r="B93" s="469" t="s">
        <v>10022</v>
      </c>
      <c r="C93" s="417"/>
      <c r="D93" s="461"/>
      <c r="E93" s="417"/>
      <c r="F93" s="420"/>
      <c r="G93" s="417"/>
      <c r="H93" s="462"/>
      <c r="I93" s="417"/>
      <c r="J93" s="462"/>
      <c r="K93" s="417"/>
      <c r="L93" s="462"/>
      <c r="M93" s="463"/>
      <c r="N93" s="462"/>
      <c r="O93" s="464"/>
      <c r="P93" s="464"/>
      <c r="Q93" s="464"/>
      <c r="R93" s="464"/>
      <c r="S93" s="464"/>
      <c r="T93" s="464"/>
      <c r="U93" s="465">
        <v>1242</v>
      </c>
      <c r="V93" s="466">
        <v>62</v>
      </c>
      <c r="W93" s="466"/>
      <c r="X93" s="467">
        <f t="shared" si="6"/>
        <v>1304</v>
      </c>
      <c r="Y93" s="415"/>
      <c r="AB93" s="415"/>
      <c r="AC93" s="415"/>
    </row>
    <row r="94" spans="1:29" s="416" customFormat="1">
      <c r="A94" s="470">
        <v>43270</v>
      </c>
      <c r="B94" s="469" t="s">
        <v>10023</v>
      </c>
      <c r="C94" s="417"/>
      <c r="D94" s="461"/>
      <c r="E94" s="417"/>
      <c r="F94" s="420"/>
      <c r="G94" s="417"/>
      <c r="H94" s="462"/>
      <c r="I94" s="417"/>
      <c r="J94" s="462"/>
      <c r="K94" s="417"/>
      <c r="L94" s="462"/>
      <c r="M94" s="463"/>
      <c r="N94" s="462"/>
      <c r="O94" s="464"/>
      <c r="P94" s="464"/>
      <c r="Q94" s="464"/>
      <c r="R94" s="464"/>
      <c r="S94" s="464"/>
      <c r="T94" s="464"/>
      <c r="U94" s="465">
        <v>1782</v>
      </c>
      <c r="V94" s="473">
        <v>89</v>
      </c>
      <c r="W94" s="473"/>
      <c r="X94" s="467">
        <f t="shared" si="6"/>
        <v>1871</v>
      </c>
      <c r="Y94" s="415"/>
      <c r="AB94" s="415"/>
      <c r="AC94" s="415"/>
    </row>
    <row r="95" spans="1:29" s="416" customFormat="1">
      <c r="A95" s="470">
        <v>43328</v>
      </c>
      <c r="B95" s="469" t="s">
        <v>10024</v>
      </c>
      <c r="C95" s="417"/>
      <c r="D95" s="461"/>
      <c r="E95" s="417"/>
      <c r="F95" s="420"/>
      <c r="G95" s="417"/>
      <c r="H95" s="462"/>
      <c r="I95" s="417"/>
      <c r="J95" s="462"/>
      <c r="K95" s="417"/>
      <c r="L95" s="462"/>
      <c r="M95" s="463"/>
      <c r="N95" s="462"/>
      <c r="O95" s="464"/>
      <c r="P95" s="464"/>
      <c r="Q95" s="464"/>
      <c r="R95" s="464"/>
      <c r="S95" s="464"/>
      <c r="T95" s="464"/>
      <c r="U95" s="465">
        <v>2670</v>
      </c>
      <c r="V95" s="466">
        <v>134</v>
      </c>
      <c r="W95" s="466"/>
      <c r="X95" s="467">
        <f t="shared" si="6"/>
        <v>2804</v>
      </c>
      <c r="Y95" s="415"/>
      <c r="AB95" s="415"/>
      <c r="AC95" s="415"/>
    </row>
    <row r="96" spans="1:29" s="416" customFormat="1">
      <c r="A96" s="470">
        <v>43389</v>
      </c>
      <c r="B96" s="469" t="s">
        <v>10025</v>
      </c>
      <c r="C96" s="417"/>
      <c r="D96" s="461"/>
      <c r="E96" s="417"/>
      <c r="F96" s="420"/>
      <c r="G96" s="417"/>
      <c r="H96" s="462"/>
      <c r="I96" s="417"/>
      <c r="J96" s="462"/>
      <c r="K96" s="417"/>
      <c r="L96" s="462"/>
      <c r="M96" s="463"/>
      <c r="N96" s="462"/>
      <c r="O96" s="464"/>
      <c r="P96" s="464"/>
      <c r="Q96" s="464"/>
      <c r="R96" s="464"/>
      <c r="S96" s="464"/>
      <c r="T96" s="464"/>
      <c r="U96" s="465">
        <v>2770</v>
      </c>
      <c r="V96" s="466">
        <v>139</v>
      </c>
      <c r="W96" s="466"/>
      <c r="X96" s="467">
        <f t="shared" si="6"/>
        <v>2909</v>
      </c>
      <c r="Y96" s="415"/>
      <c r="AB96" s="415"/>
      <c r="AC96" s="415"/>
    </row>
    <row r="97" spans="1:29" s="416" customFormat="1">
      <c r="A97" s="470">
        <v>43451</v>
      </c>
      <c r="B97" s="469" t="s">
        <v>10026</v>
      </c>
      <c r="C97" s="417"/>
      <c r="D97" s="461"/>
      <c r="E97" s="417"/>
      <c r="F97" s="420"/>
      <c r="G97" s="417"/>
      <c r="H97" s="462"/>
      <c r="I97" s="417"/>
      <c r="J97" s="462"/>
      <c r="K97" s="417"/>
      <c r="L97" s="462"/>
      <c r="M97" s="463"/>
      <c r="N97" s="462"/>
      <c r="O97" s="464"/>
      <c r="P97" s="464"/>
      <c r="Q97" s="464"/>
      <c r="R97" s="464"/>
      <c r="S97" s="464"/>
      <c r="T97" s="464"/>
      <c r="U97" s="465">
        <v>1816</v>
      </c>
      <c r="V97" s="473">
        <v>91</v>
      </c>
      <c r="W97" s="473"/>
      <c r="X97" s="467">
        <f t="shared" si="6"/>
        <v>1907</v>
      </c>
      <c r="Y97" s="415"/>
      <c r="AB97" s="415"/>
      <c r="AC97" s="415"/>
    </row>
    <row r="98" spans="1:29" s="416" customFormat="1">
      <c r="A98" s="474"/>
      <c r="B98" s="460"/>
      <c r="C98" s="417"/>
      <c r="D98" s="461"/>
      <c r="E98" s="417"/>
      <c r="F98" s="420"/>
      <c r="G98" s="417"/>
      <c r="H98" s="462"/>
      <c r="I98" s="417"/>
      <c r="J98" s="462"/>
      <c r="K98" s="417"/>
      <c r="L98" s="462"/>
      <c r="M98" s="463"/>
      <c r="N98" s="462"/>
      <c r="O98" s="464"/>
      <c r="P98" s="464"/>
      <c r="Q98" s="464"/>
      <c r="R98" s="464"/>
      <c r="S98" s="464"/>
      <c r="T98" s="464">
        <f>U98+V98</f>
        <v>12302</v>
      </c>
      <c r="U98" s="465">
        <f>SUM(U92:U97)</f>
        <v>11715</v>
      </c>
      <c r="V98" s="465">
        <f>SUM(V92:V97)</f>
        <v>587</v>
      </c>
      <c r="W98" s="465">
        <f>SUM(W92:W97)</f>
        <v>0</v>
      </c>
      <c r="X98" s="467">
        <f t="shared" si="6"/>
        <v>12302</v>
      </c>
      <c r="Y98" s="415"/>
      <c r="AB98" s="415"/>
      <c r="AC98" s="415"/>
    </row>
    <row r="99" spans="1:29" s="416" customFormat="1">
      <c r="A99" s="442"/>
      <c r="B99" s="413"/>
      <c r="C99" s="442"/>
      <c r="D99" s="441"/>
      <c r="E99" s="442"/>
      <c r="F99" s="443"/>
      <c r="G99" s="442"/>
      <c r="H99" s="444"/>
      <c r="I99" s="442"/>
      <c r="J99" s="444"/>
      <c r="K99" s="442"/>
      <c r="L99" s="444"/>
      <c r="M99" s="445"/>
      <c r="N99" s="444"/>
      <c r="S99" s="416" t="s">
        <v>594</v>
      </c>
      <c r="U99" s="416">
        <f>U84+U91+U98</f>
        <v>70178</v>
      </c>
      <c r="V99" s="416">
        <f>V84+V91+V98</f>
        <v>3515</v>
      </c>
      <c r="W99" s="416">
        <f>W84+W91+W98</f>
        <v>146.80383365048891</v>
      </c>
      <c r="X99" s="467">
        <f t="shared" si="6"/>
        <v>73839.803833650483</v>
      </c>
      <c r="Y99" s="415"/>
      <c r="AB99" s="415"/>
      <c r="AC99" s="415"/>
    </row>
    <row r="100" spans="1:29" s="416" customFormat="1">
      <c r="A100" s="442"/>
      <c r="B100" s="413"/>
      <c r="C100" s="442"/>
      <c r="D100" s="441"/>
      <c r="E100" s="442"/>
      <c r="F100" s="443"/>
      <c r="G100" s="442"/>
      <c r="H100" s="444"/>
      <c r="I100" s="442"/>
      <c r="J100" s="444"/>
      <c r="K100" s="442"/>
      <c r="L100" s="444"/>
      <c r="M100" s="445"/>
      <c r="N100" s="444"/>
      <c r="S100" s="478" t="s">
        <v>10034</v>
      </c>
      <c r="U100" s="416">
        <f>U99+U18+U1</f>
        <v>277782.47857142857</v>
      </c>
      <c r="V100" s="479">
        <f>V99+V18+V1</f>
        <v>13893</v>
      </c>
      <c r="W100" s="479"/>
      <c r="X100" s="616">
        <f t="shared" si="6"/>
        <v>291675.47857142857</v>
      </c>
      <c r="Y100" s="415"/>
      <c r="Z100" s="677">
        <f>16361-V100</f>
        <v>2468</v>
      </c>
      <c r="AB100" s="415"/>
      <c r="AC100" s="415"/>
    </row>
    <row r="102" spans="1:29">
      <c r="S102" s="478" t="s">
        <v>5672</v>
      </c>
      <c r="U102" s="451">
        <v>277784</v>
      </c>
      <c r="V102" s="451">
        <v>13893</v>
      </c>
    </row>
    <row r="103" spans="1:29">
      <c r="U103" s="677">
        <f>U100-U102</f>
        <v>-1.5214285714318976</v>
      </c>
      <c r="V103" s="416">
        <f>V100-V102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9"/>
  <sheetViews>
    <sheetView topLeftCell="H1" zoomScaleNormal="100" workbookViewId="0">
      <selection activeCell="Z7" sqref="Z7"/>
    </sheetView>
  </sheetViews>
  <sheetFormatPr defaultColWidth="9" defaultRowHeight="16.5"/>
  <cols>
    <col min="1" max="1" width="10.875" style="442" customWidth="1"/>
    <col min="2" max="2" width="18.375" style="413" customWidth="1"/>
    <col min="3" max="3" width="3.625" style="442" customWidth="1"/>
    <col min="4" max="4" width="16.25" style="441" customWidth="1"/>
    <col min="5" max="5" width="8.25" style="442" customWidth="1"/>
    <col min="6" max="6" width="11.625" style="443" bestFit="1" customWidth="1"/>
    <col min="7" max="7" width="8" style="442" bestFit="1" customWidth="1"/>
    <col min="8" max="8" width="11.625" style="444" bestFit="1" customWidth="1"/>
    <col min="9" max="9" width="8" style="442" bestFit="1" customWidth="1"/>
    <col min="10" max="10" width="12.625" style="444" bestFit="1" customWidth="1"/>
    <col min="11" max="11" width="8" style="442" bestFit="1" customWidth="1"/>
    <col min="12" max="12" width="10.5" style="444" bestFit="1" customWidth="1"/>
    <col min="13" max="13" width="8" style="445" bestFit="1" customWidth="1"/>
    <col min="14" max="14" width="7.5" style="444" customWidth="1"/>
    <col min="15" max="15" width="5.5" style="416" customWidth="1"/>
    <col min="16" max="16" width="11.625" style="416" bestFit="1" customWidth="1"/>
    <col min="17" max="17" width="7" style="416" bestFit="1" customWidth="1"/>
    <col min="18" max="18" width="10.5" style="416" customWidth="1"/>
    <col min="19" max="19" width="7" style="416" customWidth="1"/>
    <col min="20" max="20" width="7.75" style="416" customWidth="1"/>
    <col min="21" max="21" width="9.875" style="451" customWidth="1"/>
    <col min="22" max="22" width="8.375" style="451" customWidth="1"/>
    <col min="23" max="23" width="6.625" style="451" customWidth="1"/>
    <col min="24" max="24" width="8.25" style="451" customWidth="1"/>
    <col min="25" max="25" width="6.625" style="415" customWidth="1"/>
    <col min="26" max="26" width="8.125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14858</v>
      </c>
      <c r="C1" s="414">
        <f t="shared" ref="C1:V1" si="0">SUM(C3:C17)</f>
        <v>10</v>
      </c>
      <c r="D1" s="769">
        <f t="shared" si="0"/>
        <v>24023.580000000005</v>
      </c>
      <c r="E1" s="769">
        <f t="shared" si="0"/>
        <v>9</v>
      </c>
      <c r="F1" s="769">
        <f t="shared" si="0"/>
        <v>22104.75</v>
      </c>
      <c r="G1" s="769">
        <f t="shared" si="0"/>
        <v>10</v>
      </c>
      <c r="H1" s="769">
        <f t="shared" si="0"/>
        <v>10276.190000000002</v>
      </c>
      <c r="I1" s="769">
        <f t="shared" si="0"/>
        <v>11</v>
      </c>
      <c r="J1" s="769">
        <f t="shared" si="0"/>
        <v>29363.800000000003</v>
      </c>
      <c r="K1" s="769">
        <f t="shared" si="0"/>
        <v>21</v>
      </c>
      <c r="L1" s="769">
        <f t="shared" si="0"/>
        <v>7943.7800000000007</v>
      </c>
      <c r="M1" s="769">
        <f t="shared" si="0"/>
        <v>19</v>
      </c>
      <c r="N1" s="769">
        <f t="shared" si="0"/>
        <v>3624.78</v>
      </c>
      <c r="O1" s="769">
        <f t="shared" si="0"/>
        <v>13</v>
      </c>
      <c r="P1" s="769">
        <f t="shared" si="0"/>
        <v>21949.471428571429</v>
      </c>
      <c r="Q1" s="769">
        <f t="shared" si="0"/>
        <v>7</v>
      </c>
      <c r="R1" s="769">
        <f t="shared" si="0"/>
        <v>15168.52</v>
      </c>
      <c r="S1" s="769">
        <f t="shared" si="0"/>
        <v>4</v>
      </c>
      <c r="T1" s="769">
        <f t="shared" si="0"/>
        <v>1074.3400000000001</v>
      </c>
      <c r="U1" s="769">
        <f t="shared" si="0"/>
        <v>135529.21142857143</v>
      </c>
      <c r="V1" s="414">
        <f t="shared" si="0"/>
        <v>6776</v>
      </c>
      <c r="W1" s="414"/>
      <c r="X1" s="414">
        <f>SUM(X3:X17)</f>
        <v>142305.21142857143</v>
      </c>
    </row>
    <row r="2" spans="1:27">
      <c r="A2" s="417" t="s">
        <v>241</v>
      </c>
      <c r="B2" s="418" t="s">
        <v>894</v>
      </c>
      <c r="C2" s="418" t="s">
        <v>895</v>
      </c>
      <c r="D2" s="419" t="s">
        <v>896</v>
      </c>
      <c r="E2" s="418" t="s">
        <v>897</v>
      </c>
      <c r="F2" s="420" t="s">
        <v>896</v>
      </c>
      <c r="G2" s="418" t="s">
        <v>898</v>
      </c>
      <c r="H2" s="420" t="s">
        <v>896</v>
      </c>
      <c r="I2" s="418" t="s">
        <v>899</v>
      </c>
      <c r="J2" s="420" t="s">
        <v>896</v>
      </c>
      <c r="K2" s="418" t="s">
        <v>900</v>
      </c>
      <c r="L2" s="420" t="s">
        <v>896</v>
      </c>
      <c r="M2" s="421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1" t="s">
        <v>3755</v>
      </c>
      <c r="T2" s="420" t="s">
        <v>896</v>
      </c>
      <c r="U2" s="421" t="s">
        <v>592</v>
      </c>
      <c r="V2" s="417" t="s">
        <v>2683</v>
      </c>
      <c r="W2" s="417" t="s">
        <v>593</v>
      </c>
      <c r="X2" s="417" t="s">
        <v>2378</v>
      </c>
      <c r="Y2" s="423" t="s">
        <v>903</v>
      </c>
      <c r="Z2" s="422"/>
      <c r="AA2" s="422"/>
    </row>
    <row r="3" spans="1:27">
      <c r="A3" s="424">
        <v>43530</v>
      </c>
      <c r="B3" s="412" t="s">
        <v>15093</v>
      </c>
      <c r="C3" s="425"/>
      <c r="D3" s="426"/>
      <c r="E3" s="425"/>
      <c r="F3" s="426"/>
      <c r="G3" s="425">
        <v>1</v>
      </c>
      <c r="H3" s="427">
        <v>856.19</v>
      </c>
      <c r="I3" s="425">
        <v>1</v>
      </c>
      <c r="J3" s="426">
        <v>2847.62</v>
      </c>
      <c r="K3" s="425">
        <v>3</v>
      </c>
      <c r="L3" s="426">
        <f>284.76*3</f>
        <v>854.28</v>
      </c>
      <c r="M3" s="428">
        <v>2</v>
      </c>
      <c r="N3" s="426">
        <f>238.1*2</f>
        <v>476.2</v>
      </c>
      <c r="O3" s="428">
        <v>1</v>
      </c>
      <c r="P3" s="426">
        <v>1704.76</v>
      </c>
      <c r="Q3" s="428">
        <v>1</v>
      </c>
      <c r="R3" s="426">
        <v>2189.52</v>
      </c>
      <c r="S3" s="428"/>
      <c r="T3" s="426"/>
      <c r="U3" s="414">
        <f>D3+F3+H3+J3+L3+N3+T3+P3+R3</f>
        <v>8928.57</v>
      </c>
      <c r="V3" s="414">
        <v>446</v>
      </c>
      <c r="W3" s="414"/>
      <c r="X3" s="429">
        <f t="shared" ref="X3:X16" si="1">U3+V3</f>
        <v>9374.57</v>
      </c>
      <c r="Y3" s="430" t="s">
        <v>9975</v>
      </c>
      <c r="Z3" s="431"/>
      <c r="AA3" s="432"/>
    </row>
    <row r="4" spans="1:27">
      <c r="A4" s="424">
        <v>43530</v>
      </c>
      <c r="B4" s="412" t="s">
        <v>15111</v>
      </c>
      <c r="C4" s="425">
        <v>1</v>
      </c>
      <c r="D4" s="426">
        <v>3895</v>
      </c>
      <c r="E4" s="425"/>
      <c r="F4" s="426"/>
      <c r="G4" s="425"/>
      <c r="H4" s="427"/>
      <c r="I4" s="425"/>
      <c r="J4" s="426"/>
      <c r="K4" s="425"/>
      <c r="L4" s="426"/>
      <c r="M4" s="428"/>
      <c r="N4" s="426"/>
      <c r="O4" s="428"/>
      <c r="P4" s="426"/>
      <c r="Q4" s="428"/>
      <c r="R4" s="426"/>
      <c r="S4" s="428"/>
      <c r="T4" s="426"/>
      <c r="U4" s="414">
        <f>D4+F4+H4+J4+L4+N4+T4+P4+R4</f>
        <v>3895</v>
      </c>
      <c r="V4" s="414">
        <v>195</v>
      </c>
      <c r="W4" s="414"/>
      <c r="X4" s="759">
        <f t="shared" ref="X4" si="2">U4+V4</f>
        <v>4090</v>
      </c>
      <c r="Y4" s="760" t="s">
        <v>15176</v>
      </c>
      <c r="Z4" s="431"/>
      <c r="AA4" s="432"/>
    </row>
    <row r="5" spans="1:27">
      <c r="A5" s="424">
        <v>43599</v>
      </c>
      <c r="B5" s="412" t="s">
        <v>15094</v>
      </c>
      <c r="C5" s="425">
        <v>2</v>
      </c>
      <c r="D5" s="426">
        <f>1895.24*2</f>
        <v>3790.48</v>
      </c>
      <c r="E5" s="425">
        <v>2</v>
      </c>
      <c r="F5" s="426">
        <f>2180.95*2</f>
        <v>4361.8999999999996</v>
      </c>
      <c r="G5" s="425">
        <v>2</v>
      </c>
      <c r="H5" s="427">
        <f>1237.14*2</f>
        <v>2474.2800000000002</v>
      </c>
      <c r="I5" s="425">
        <v>4</v>
      </c>
      <c r="J5" s="426">
        <f>2657.14*2-265.71+2657.14*2-265.71</f>
        <v>10097.14</v>
      </c>
      <c r="K5" s="425">
        <v>4</v>
      </c>
      <c r="L5" s="426">
        <f>284.76*4</f>
        <v>1139.04</v>
      </c>
      <c r="M5" s="428">
        <v>4</v>
      </c>
      <c r="N5" s="426">
        <f>200*3+219.05</f>
        <v>819.05</v>
      </c>
      <c r="O5" s="428">
        <v>2</v>
      </c>
      <c r="P5" s="426">
        <f>1704.76*2</f>
        <v>3409.52</v>
      </c>
      <c r="Q5" s="428"/>
      <c r="R5" s="426"/>
      <c r="S5" s="428">
        <v>2</v>
      </c>
      <c r="T5" s="426">
        <f>274.29+94.29</f>
        <v>368.58000000000004</v>
      </c>
      <c r="U5" s="414">
        <f t="shared" ref="U5:U13" si="3">D5+F5+H5+J5+L5+N5+T5+P5+R5</f>
        <v>26459.99</v>
      </c>
      <c r="V5" s="414">
        <v>1323</v>
      </c>
      <c r="W5" s="414"/>
      <c r="X5" s="429">
        <f t="shared" si="1"/>
        <v>27782.99</v>
      </c>
      <c r="Y5" s="430" t="s">
        <v>5069</v>
      </c>
      <c r="Z5" s="431"/>
      <c r="AA5" s="432"/>
    </row>
    <row r="6" spans="1:27" ht="15.75" customHeight="1">
      <c r="A6" s="424">
        <v>43607</v>
      </c>
      <c r="B6" s="412" t="s">
        <v>15095</v>
      </c>
      <c r="C6" s="425"/>
      <c r="D6" s="426"/>
      <c r="E6" s="425"/>
      <c r="F6" s="426"/>
      <c r="G6" s="425"/>
      <c r="H6" s="427"/>
      <c r="I6" s="425"/>
      <c r="J6" s="426"/>
      <c r="K6" s="425"/>
      <c r="L6" s="426"/>
      <c r="M6" s="428"/>
      <c r="N6" s="426"/>
      <c r="O6" s="428"/>
      <c r="P6" s="426"/>
      <c r="Q6" s="428">
        <v>1</v>
      </c>
      <c r="R6" s="426">
        <v>2047</v>
      </c>
      <c r="S6" s="428"/>
      <c r="T6" s="426"/>
      <c r="U6" s="414">
        <f t="shared" si="3"/>
        <v>2047</v>
      </c>
      <c r="V6" s="414">
        <v>102</v>
      </c>
      <c r="W6" s="414"/>
      <c r="X6" s="429">
        <f t="shared" si="1"/>
        <v>2149</v>
      </c>
      <c r="Y6" s="430" t="s">
        <v>15099</v>
      </c>
      <c r="Z6" s="431"/>
      <c r="AA6" s="432"/>
    </row>
    <row r="7" spans="1:27">
      <c r="A7" s="424">
        <v>43607</v>
      </c>
      <c r="B7" s="412" t="s">
        <v>15096</v>
      </c>
      <c r="C7" s="425"/>
      <c r="D7" s="426"/>
      <c r="E7" s="425"/>
      <c r="F7" s="426"/>
      <c r="G7" s="425"/>
      <c r="H7" s="427"/>
      <c r="I7" s="425"/>
      <c r="J7" s="426"/>
      <c r="K7" s="425"/>
      <c r="L7" s="426"/>
      <c r="M7" s="428"/>
      <c r="N7" s="426"/>
      <c r="O7" s="428"/>
      <c r="P7" s="426"/>
      <c r="Q7" s="428">
        <v>1</v>
      </c>
      <c r="R7" s="426">
        <v>2047</v>
      </c>
      <c r="S7" s="428"/>
      <c r="T7" s="426"/>
      <c r="U7" s="414">
        <f t="shared" si="3"/>
        <v>2047</v>
      </c>
      <c r="V7" s="414">
        <v>102</v>
      </c>
      <c r="W7" s="414"/>
      <c r="X7" s="429">
        <f t="shared" si="1"/>
        <v>2149</v>
      </c>
      <c r="Y7" s="430" t="s">
        <v>15099</v>
      </c>
      <c r="Z7" s="431"/>
      <c r="AA7" s="432"/>
    </row>
    <row r="8" spans="1:27">
      <c r="A8" s="424">
        <v>43607</v>
      </c>
      <c r="B8" s="412" t="s">
        <v>15097</v>
      </c>
      <c r="C8" s="425"/>
      <c r="D8" s="426"/>
      <c r="E8" s="425"/>
      <c r="F8" s="426"/>
      <c r="G8" s="425"/>
      <c r="H8" s="427"/>
      <c r="I8" s="425"/>
      <c r="J8" s="426"/>
      <c r="K8" s="425"/>
      <c r="L8" s="426"/>
      <c r="M8" s="428"/>
      <c r="N8" s="426"/>
      <c r="O8" s="428"/>
      <c r="P8" s="426"/>
      <c r="Q8" s="428">
        <v>1</v>
      </c>
      <c r="R8" s="426">
        <v>2047</v>
      </c>
      <c r="S8" s="428"/>
      <c r="T8" s="426"/>
      <c r="U8" s="414">
        <f t="shared" si="3"/>
        <v>2047</v>
      </c>
      <c r="V8" s="414">
        <v>102</v>
      </c>
      <c r="W8" s="414"/>
      <c r="X8" s="429">
        <f t="shared" si="1"/>
        <v>2149</v>
      </c>
      <c r="Y8" s="430" t="s">
        <v>15099</v>
      </c>
      <c r="Z8" s="431"/>
      <c r="AA8" s="432"/>
    </row>
    <row r="9" spans="1:27">
      <c r="A9" s="424">
        <v>43612</v>
      </c>
      <c r="B9" s="412" t="s">
        <v>15098</v>
      </c>
      <c r="C9" s="425">
        <v>1</v>
      </c>
      <c r="D9" s="426">
        <v>5903.81</v>
      </c>
      <c r="E9" s="425">
        <v>1</v>
      </c>
      <c r="F9" s="426">
        <v>4276.1899999999996</v>
      </c>
      <c r="G9" s="425">
        <v>1</v>
      </c>
      <c r="H9" s="427">
        <v>1237.1400000000001</v>
      </c>
      <c r="I9" s="425"/>
      <c r="J9" s="426"/>
      <c r="K9" s="425">
        <v>2</v>
      </c>
      <c r="L9" s="426">
        <f>1228.57*2</f>
        <v>2457.14</v>
      </c>
      <c r="M9" s="428">
        <v>2</v>
      </c>
      <c r="N9" s="426">
        <f>219.05*2</f>
        <v>438.1</v>
      </c>
      <c r="O9" s="428">
        <v>1</v>
      </c>
      <c r="P9" s="426">
        <v>1346.67</v>
      </c>
      <c r="Q9" s="428"/>
      <c r="R9" s="426"/>
      <c r="S9" s="428">
        <v>1</v>
      </c>
      <c r="T9" s="426">
        <v>152.38</v>
      </c>
      <c r="U9" s="414">
        <f t="shared" si="3"/>
        <v>15811.429999999998</v>
      </c>
      <c r="V9" s="414">
        <v>791</v>
      </c>
      <c r="W9" s="414"/>
      <c r="X9" s="429">
        <f t="shared" si="1"/>
        <v>16602.43</v>
      </c>
      <c r="Y9" s="430" t="s">
        <v>5069</v>
      </c>
      <c r="Z9" s="431"/>
      <c r="AA9" s="432"/>
    </row>
    <row r="10" spans="1:27">
      <c r="A10" s="424">
        <v>43655</v>
      </c>
      <c r="B10" s="412" t="s">
        <v>15100</v>
      </c>
      <c r="C10" s="425">
        <v>1</v>
      </c>
      <c r="D10" s="426">
        <v>1600</v>
      </c>
      <c r="E10" s="425">
        <v>1</v>
      </c>
      <c r="F10" s="426">
        <v>2180.9499999999998</v>
      </c>
      <c r="G10" s="425">
        <v>1</v>
      </c>
      <c r="H10" s="427">
        <v>951.43</v>
      </c>
      <c r="I10" s="425">
        <v>1</v>
      </c>
      <c r="J10" s="426">
        <v>2657.14</v>
      </c>
      <c r="K10" s="425">
        <v>4</v>
      </c>
      <c r="L10" s="426">
        <f>284.76*2+322.86*2</f>
        <v>1215.24</v>
      </c>
      <c r="M10" s="428"/>
      <c r="N10" s="426"/>
      <c r="O10" s="428">
        <v>1</v>
      </c>
      <c r="P10" s="426">
        <v>1704.76</v>
      </c>
      <c r="Q10" s="428"/>
      <c r="R10" s="426"/>
      <c r="S10" s="428"/>
      <c r="T10" s="426"/>
      <c r="U10" s="414">
        <f t="shared" si="3"/>
        <v>10309.52</v>
      </c>
      <c r="V10" s="414">
        <v>515</v>
      </c>
      <c r="W10" s="414"/>
      <c r="X10" s="429">
        <f t="shared" si="1"/>
        <v>10824.52</v>
      </c>
      <c r="Y10" s="430" t="s">
        <v>9975</v>
      </c>
      <c r="Z10" s="431"/>
      <c r="AA10" s="432"/>
    </row>
    <row r="11" spans="1:27">
      <c r="A11" s="424">
        <v>43668</v>
      </c>
      <c r="B11" s="412" t="s">
        <v>15101</v>
      </c>
      <c r="C11" s="425">
        <v>1</v>
      </c>
      <c r="D11" s="426">
        <v>1600</v>
      </c>
      <c r="E11" s="425">
        <v>1</v>
      </c>
      <c r="F11" s="426">
        <v>2180.9499999999998</v>
      </c>
      <c r="G11" s="425">
        <v>1</v>
      </c>
      <c r="H11" s="427">
        <v>951.43</v>
      </c>
      <c r="I11" s="425">
        <v>1</v>
      </c>
      <c r="J11" s="426">
        <v>2752.38</v>
      </c>
      <c r="K11" s="425"/>
      <c r="L11" s="426"/>
      <c r="M11" s="428">
        <v>1</v>
      </c>
      <c r="N11" s="426">
        <v>219.05</v>
      </c>
      <c r="O11" s="428">
        <v>1</v>
      </c>
      <c r="P11" s="426">
        <v>1704.76</v>
      </c>
      <c r="Q11" s="428"/>
      <c r="R11" s="426"/>
      <c r="S11" s="428">
        <v>1</v>
      </c>
      <c r="T11" s="426">
        <v>553.38</v>
      </c>
      <c r="U11" s="414">
        <f t="shared" si="3"/>
        <v>9961.9500000000007</v>
      </c>
      <c r="V11" s="414">
        <v>498</v>
      </c>
      <c r="W11" s="414"/>
      <c r="X11" s="429">
        <f t="shared" si="1"/>
        <v>10459.950000000001</v>
      </c>
      <c r="Y11" s="430" t="s">
        <v>5069</v>
      </c>
      <c r="Z11" s="431"/>
      <c r="AA11" s="432"/>
    </row>
    <row r="12" spans="1:27">
      <c r="A12" s="424">
        <v>43752</v>
      </c>
      <c r="B12" s="412" t="s">
        <v>15102</v>
      </c>
      <c r="C12" s="425">
        <v>1</v>
      </c>
      <c r="D12" s="426">
        <v>1522.86</v>
      </c>
      <c r="E12" s="425">
        <v>1</v>
      </c>
      <c r="F12" s="426">
        <v>2276.19</v>
      </c>
      <c r="G12" s="425">
        <v>1</v>
      </c>
      <c r="H12" s="427">
        <v>951.43</v>
      </c>
      <c r="I12" s="425">
        <v>1</v>
      </c>
      <c r="J12" s="426">
        <v>2752.38</v>
      </c>
      <c r="K12" s="425">
        <v>2</v>
      </c>
      <c r="L12" s="426">
        <f>284.76*2</f>
        <v>569.52</v>
      </c>
      <c r="M12" s="428">
        <v>2</v>
      </c>
      <c r="N12" s="426">
        <f>219.05*2</f>
        <v>438.1</v>
      </c>
      <c r="O12" s="428"/>
      <c r="P12" s="426"/>
      <c r="Q12" s="428"/>
      <c r="R12" s="426"/>
      <c r="S12" s="428"/>
      <c r="T12" s="426"/>
      <c r="U12" s="414">
        <f t="shared" si="3"/>
        <v>8510.4800000000014</v>
      </c>
      <c r="V12" s="414">
        <v>426</v>
      </c>
      <c r="W12" s="414"/>
      <c r="X12" s="429">
        <f t="shared" si="1"/>
        <v>8936.4800000000014</v>
      </c>
      <c r="Y12" s="430" t="s">
        <v>5069</v>
      </c>
      <c r="Z12" s="431"/>
      <c r="AA12" s="432"/>
    </row>
    <row r="13" spans="1:27">
      <c r="A13" s="424">
        <v>43762</v>
      </c>
      <c r="B13" s="412" t="s">
        <v>15103</v>
      </c>
      <c r="C13" s="425">
        <v>1</v>
      </c>
      <c r="D13" s="426">
        <v>1903.81</v>
      </c>
      <c r="E13" s="425">
        <v>1</v>
      </c>
      <c r="F13" s="426">
        <v>2276.19</v>
      </c>
      <c r="G13" s="425">
        <v>1</v>
      </c>
      <c r="H13" s="427">
        <v>951.43</v>
      </c>
      <c r="I13" s="425">
        <v>1</v>
      </c>
      <c r="J13" s="426">
        <v>2752.38</v>
      </c>
      <c r="K13" s="425">
        <v>2</v>
      </c>
      <c r="L13" s="426">
        <f>284.76*2</f>
        <v>569.52</v>
      </c>
      <c r="M13" s="428">
        <v>2</v>
      </c>
      <c r="N13" s="426">
        <f>219.05*2</f>
        <v>438.1</v>
      </c>
      <c r="O13" s="428"/>
      <c r="P13" s="426"/>
      <c r="Q13" s="428"/>
      <c r="R13" s="426"/>
      <c r="S13" s="428"/>
      <c r="T13" s="426"/>
      <c r="U13" s="414">
        <f t="shared" si="3"/>
        <v>8891.43</v>
      </c>
      <c r="V13" s="414">
        <v>445</v>
      </c>
      <c r="W13" s="414"/>
      <c r="X13" s="429">
        <f t="shared" si="1"/>
        <v>9336.43</v>
      </c>
      <c r="Y13" s="430" t="s">
        <v>5069</v>
      </c>
      <c r="Z13" s="431"/>
      <c r="AA13" s="432"/>
    </row>
    <row r="14" spans="1:27">
      <c r="A14" s="424">
        <v>43762</v>
      </c>
      <c r="B14" s="412" t="s">
        <v>15104</v>
      </c>
      <c r="C14" s="425"/>
      <c r="D14" s="426"/>
      <c r="E14" s="425"/>
      <c r="F14" s="426"/>
      <c r="G14" s="425"/>
      <c r="H14" s="427"/>
      <c r="I14" s="425"/>
      <c r="J14" s="426"/>
      <c r="K14" s="425"/>
      <c r="L14" s="426"/>
      <c r="M14" s="428"/>
      <c r="N14" s="426"/>
      <c r="O14" s="428"/>
      <c r="P14" s="426"/>
      <c r="Q14" s="428">
        <v>1</v>
      </c>
      <c r="R14" s="426">
        <v>2562</v>
      </c>
      <c r="S14" s="428"/>
      <c r="T14" s="426"/>
      <c r="U14" s="414">
        <f>D14+F14+H14+J14+L14+N14+T14+P14+R14</f>
        <v>2562</v>
      </c>
      <c r="V14" s="414">
        <v>128</v>
      </c>
      <c r="W14" s="414"/>
      <c r="X14" s="757">
        <f t="shared" si="1"/>
        <v>2690</v>
      </c>
      <c r="Y14" s="430" t="s">
        <v>15105</v>
      </c>
      <c r="Z14" s="431"/>
      <c r="AA14" s="432"/>
    </row>
    <row r="15" spans="1:27">
      <c r="A15" s="424">
        <v>43762</v>
      </c>
      <c r="B15" s="412" t="s">
        <v>15106</v>
      </c>
      <c r="C15" s="425"/>
      <c r="D15" s="426"/>
      <c r="E15" s="425"/>
      <c r="F15" s="426"/>
      <c r="G15" s="425"/>
      <c r="H15" s="427"/>
      <c r="I15" s="425"/>
      <c r="J15" s="426"/>
      <c r="K15" s="425"/>
      <c r="L15" s="426"/>
      <c r="M15" s="428"/>
      <c r="N15" s="426"/>
      <c r="O15" s="428">
        <v>3</v>
      </c>
      <c r="P15" s="426">
        <f>1690/1.05*3</f>
        <v>4828.5714285714284</v>
      </c>
      <c r="Q15" s="428"/>
      <c r="R15" s="426"/>
      <c r="S15" s="428"/>
      <c r="T15" s="426"/>
      <c r="U15" s="414">
        <f>D15+F15+H15+J15+L15+N15+T15+P15+R15</f>
        <v>4828.5714285714284</v>
      </c>
      <c r="V15" s="414">
        <v>241</v>
      </c>
      <c r="W15" s="414"/>
      <c r="X15" s="429">
        <f t="shared" si="1"/>
        <v>5069.5714285714284</v>
      </c>
      <c r="Y15" s="430" t="s">
        <v>15107</v>
      </c>
      <c r="Z15" s="431"/>
      <c r="AA15" s="432"/>
    </row>
    <row r="16" spans="1:27">
      <c r="A16" s="424">
        <v>43790</v>
      </c>
      <c r="B16" s="412" t="s">
        <v>15109</v>
      </c>
      <c r="C16" s="425">
        <v>1</v>
      </c>
      <c r="D16" s="426">
        <v>1903.81</v>
      </c>
      <c r="E16" s="425">
        <v>1</v>
      </c>
      <c r="F16" s="426">
        <v>2276.19</v>
      </c>
      <c r="G16" s="425">
        <v>1</v>
      </c>
      <c r="H16" s="427">
        <v>951.43</v>
      </c>
      <c r="I16" s="425">
        <v>1</v>
      </c>
      <c r="J16" s="426">
        <v>2752.38</v>
      </c>
      <c r="K16" s="425">
        <v>2</v>
      </c>
      <c r="L16" s="426">
        <f>284.76*2</f>
        <v>569.52</v>
      </c>
      <c r="M16" s="428">
        <v>4</v>
      </c>
      <c r="N16" s="426">
        <f>113.33*4</f>
        <v>453.32</v>
      </c>
      <c r="O16" s="428">
        <v>1</v>
      </c>
      <c r="P16" s="426">
        <v>1893.33</v>
      </c>
      <c r="Q16" s="428">
        <v>2</v>
      </c>
      <c r="R16" s="426">
        <f>2138*2</f>
        <v>4276</v>
      </c>
      <c r="S16" s="428"/>
      <c r="T16" s="426"/>
      <c r="U16" s="414">
        <f>D16+F16+H16+J16+L16+N16+T16+P16+R16</f>
        <v>15075.98</v>
      </c>
      <c r="V16" s="414">
        <v>754</v>
      </c>
      <c r="W16" s="414"/>
      <c r="X16" s="429">
        <f t="shared" si="1"/>
        <v>15829.98</v>
      </c>
      <c r="Y16" s="430" t="s">
        <v>9975</v>
      </c>
      <c r="Z16" s="431"/>
      <c r="AA16" s="432"/>
    </row>
    <row r="17" spans="1:27">
      <c r="A17" s="424">
        <v>43810</v>
      </c>
      <c r="B17" s="412" t="s">
        <v>15110</v>
      </c>
      <c r="C17" s="425">
        <v>1</v>
      </c>
      <c r="D17" s="426">
        <v>1903.81</v>
      </c>
      <c r="E17" s="425">
        <v>1</v>
      </c>
      <c r="F17" s="426">
        <v>2276.19</v>
      </c>
      <c r="G17" s="425">
        <v>1</v>
      </c>
      <c r="H17" s="427">
        <v>951.43</v>
      </c>
      <c r="I17" s="425">
        <v>1</v>
      </c>
      <c r="J17" s="426">
        <v>2752.38</v>
      </c>
      <c r="K17" s="425">
        <v>2</v>
      </c>
      <c r="L17" s="426">
        <f>284.76*2</f>
        <v>569.52</v>
      </c>
      <c r="M17" s="428">
        <v>2</v>
      </c>
      <c r="N17" s="426">
        <f>171.43*2</f>
        <v>342.86</v>
      </c>
      <c r="O17" s="428">
        <v>3</v>
      </c>
      <c r="P17" s="426">
        <f>1785.7*3</f>
        <v>5357.1</v>
      </c>
      <c r="Q17" s="428"/>
      <c r="R17" s="426"/>
      <c r="S17" s="428"/>
      <c r="T17" s="426"/>
      <c r="U17" s="414">
        <f>D17+F17+H17+J17+L17+N17+T17+P17+R17</f>
        <v>14153.29</v>
      </c>
      <c r="V17" s="414">
        <v>708</v>
      </c>
      <c r="W17" s="414"/>
      <c r="X17" s="429">
        <f>U17+V17</f>
        <v>14861.29</v>
      </c>
      <c r="Y17" s="430" t="s">
        <v>5069</v>
      </c>
      <c r="Z17" s="431"/>
      <c r="AA17" s="432"/>
    </row>
    <row r="18" spans="1:27" s="439" customFormat="1" ht="18.75" customHeight="1">
      <c r="A18" s="433"/>
      <c r="B18" s="434"/>
      <c r="C18" s="433"/>
      <c r="D18" s="435"/>
      <c r="E18" s="433"/>
      <c r="F18" s="436"/>
      <c r="G18" s="433"/>
      <c r="H18" s="437"/>
      <c r="I18" s="433"/>
      <c r="J18" s="437"/>
      <c r="K18" s="433"/>
      <c r="L18" s="437"/>
      <c r="M18" s="433"/>
      <c r="N18" s="437"/>
      <c r="O18" s="437"/>
      <c r="P18" s="437"/>
      <c r="Q18" s="437"/>
      <c r="R18" s="437"/>
      <c r="S18" s="437"/>
      <c r="T18" s="437"/>
      <c r="U18" s="438">
        <f>SUM(U19:U20)</f>
        <v>3048</v>
      </c>
      <c r="V18" s="438">
        <f>SUM(V19:V20)</f>
        <v>152</v>
      </c>
      <c r="W18" s="438"/>
      <c r="X18" s="429">
        <f>U18+V18</f>
        <v>3200</v>
      </c>
      <c r="Z18" s="437"/>
      <c r="AA18" s="437"/>
    </row>
    <row r="19" spans="1:27">
      <c r="A19" s="440">
        <v>43475</v>
      </c>
      <c r="B19" s="448" t="s">
        <v>15091</v>
      </c>
      <c r="C19" s="415"/>
      <c r="U19" s="572">
        <f>1524</f>
        <v>1524</v>
      </c>
      <c r="V19" s="446">
        <v>76</v>
      </c>
      <c r="W19" s="446"/>
      <c r="X19" s="447">
        <f>U19+V19</f>
        <v>1600</v>
      </c>
      <c r="Y19" s="612"/>
    </row>
    <row r="20" spans="1:27">
      <c r="A20" s="440">
        <v>43808</v>
      </c>
      <c r="B20" s="448" t="s">
        <v>15091</v>
      </c>
      <c r="C20" s="415"/>
      <c r="U20" s="572">
        <f>1524</f>
        <v>1524</v>
      </c>
      <c r="V20" s="446">
        <v>76</v>
      </c>
      <c r="W20" s="446"/>
      <c r="X20" s="447">
        <f>U20+V20</f>
        <v>1600</v>
      </c>
      <c r="Y20" s="612"/>
    </row>
    <row r="21" spans="1:27" s="439" customFormat="1">
      <c r="A21" s="449"/>
      <c r="B21" s="434"/>
      <c r="D21" s="435"/>
      <c r="E21" s="433"/>
      <c r="F21" s="436"/>
      <c r="G21" s="433"/>
      <c r="H21" s="437"/>
      <c r="I21" s="433"/>
      <c r="J21" s="437"/>
      <c r="K21" s="433"/>
      <c r="L21" s="437"/>
      <c r="M21" s="433"/>
      <c r="N21" s="437"/>
      <c r="O21" s="437"/>
      <c r="P21" s="437"/>
      <c r="Q21" s="437"/>
      <c r="R21" s="437"/>
      <c r="S21" s="437"/>
      <c r="T21" s="437"/>
      <c r="U21" s="638" t="s">
        <v>15092</v>
      </c>
      <c r="V21" s="438"/>
      <c r="W21" s="438"/>
      <c r="X21" s="450">
        <f>SUM(X22:X29)</f>
        <v>7401.62</v>
      </c>
      <c r="Y21" s="433"/>
      <c r="Z21" s="437"/>
      <c r="AA21" s="437"/>
    </row>
    <row r="22" spans="1:27">
      <c r="A22" s="440">
        <v>43475</v>
      </c>
      <c r="B22" s="448" t="s">
        <v>4828</v>
      </c>
      <c r="C22" s="415"/>
      <c r="U22" s="572">
        <f>469+7</f>
        <v>476</v>
      </c>
      <c r="V22" s="446"/>
      <c r="W22" s="446"/>
      <c r="X22" s="447">
        <f t="shared" ref="X22" si="4">U22+V22</f>
        <v>476</v>
      </c>
      <c r="Y22" s="612"/>
    </row>
    <row r="23" spans="1:27">
      <c r="A23" s="440">
        <v>43579</v>
      </c>
      <c r="B23" s="448" t="s">
        <v>4828</v>
      </c>
      <c r="C23" s="415"/>
      <c r="U23" s="572">
        <f>2179+32</f>
        <v>2211</v>
      </c>
      <c r="V23" s="446"/>
      <c r="W23" s="446"/>
      <c r="X23" s="447">
        <f t="shared" ref="X23:X27" si="5">U23+V23</f>
        <v>2211</v>
      </c>
      <c r="Y23" s="612"/>
    </row>
    <row r="24" spans="1:27">
      <c r="A24" s="440">
        <v>43688</v>
      </c>
      <c r="B24" s="448" t="s">
        <v>4828</v>
      </c>
      <c r="C24" s="415"/>
      <c r="U24" s="572">
        <f>1153+17</f>
        <v>1170</v>
      </c>
      <c r="V24" s="446"/>
      <c r="W24" s="446"/>
      <c r="X24" s="447">
        <f t="shared" si="5"/>
        <v>1170</v>
      </c>
      <c r="Y24" s="612"/>
    </row>
    <row r="25" spans="1:27">
      <c r="A25" s="440">
        <v>43689</v>
      </c>
      <c r="B25" s="448" t="s">
        <v>4828</v>
      </c>
      <c r="C25" s="415"/>
      <c r="U25" s="572">
        <f>570+8</f>
        <v>578</v>
      </c>
      <c r="V25" s="446"/>
      <c r="W25" s="446"/>
      <c r="X25" s="447">
        <f t="shared" si="5"/>
        <v>578</v>
      </c>
      <c r="Y25" s="612"/>
    </row>
    <row r="26" spans="1:27">
      <c r="A26" s="440">
        <v>43716</v>
      </c>
      <c r="B26" s="448" t="s">
        <v>4828</v>
      </c>
      <c r="C26" s="415"/>
      <c r="U26" s="572">
        <v>283</v>
      </c>
      <c r="V26" s="446"/>
      <c r="W26" s="446"/>
      <c r="X26" s="447">
        <f t="shared" si="5"/>
        <v>283</v>
      </c>
      <c r="Y26" s="612"/>
    </row>
    <row r="27" spans="1:27">
      <c r="A27" s="440">
        <v>43717</v>
      </c>
      <c r="B27" s="448" t="s">
        <v>4423</v>
      </c>
      <c r="C27" s="415"/>
      <c r="U27" s="572">
        <v>317</v>
      </c>
      <c r="V27" s="446"/>
      <c r="W27" s="446"/>
      <c r="X27" s="447">
        <f t="shared" si="5"/>
        <v>317</v>
      </c>
      <c r="Y27" s="612"/>
    </row>
    <row r="28" spans="1:27">
      <c r="A28" s="440">
        <v>43803</v>
      </c>
      <c r="B28" s="448" t="s">
        <v>4828</v>
      </c>
      <c r="C28" s="415"/>
      <c r="U28" s="572">
        <f>463+6</f>
        <v>469</v>
      </c>
      <c r="V28" s="446"/>
      <c r="W28" s="446"/>
      <c r="X28" s="447">
        <f t="shared" ref="X28" si="6">U28+V28</f>
        <v>469</v>
      </c>
      <c r="Y28" s="612"/>
    </row>
    <row r="29" spans="1:27">
      <c r="A29" s="440">
        <v>43768</v>
      </c>
      <c r="B29" s="448" t="s">
        <v>15108</v>
      </c>
      <c r="C29" s="415"/>
      <c r="U29" s="572">
        <f>903.81*2+90</f>
        <v>1897.62</v>
      </c>
      <c r="V29" s="446"/>
      <c r="W29" s="446"/>
      <c r="X29" s="447">
        <f>U29+V29</f>
        <v>1897.62</v>
      </c>
      <c r="Y29" s="612"/>
    </row>
    <row r="30" spans="1:27" s="439" customFormat="1">
      <c r="A30" s="449"/>
      <c r="B30" s="434"/>
      <c r="D30" s="435"/>
      <c r="E30" s="433"/>
      <c r="F30" s="436"/>
      <c r="G30" s="433"/>
      <c r="H30" s="437"/>
      <c r="I30" s="433"/>
      <c r="J30" s="437"/>
      <c r="K30" s="433"/>
      <c r="L30" s="437"/>
      <c r="M30" s="433"/>
      <c r="N30" s="437"/>
      <c r="O30" s="437"/>
      <c r="P30" s="437"/>
      <c r="Q30" s="437"/>
      <c r="R30" s="437"/>
      <c r="S30" s="437"/>
      <c r="T30" s="437"/>
      <c r="U30" s="438"/>
      <c r="V30" s="438"/>
      <c r="W30" s="438"/>
      <c r="X30" s="450">
        <f>SUM(X31:X35)</f>
        <v>2000</v>
      </c>
      <c r="Y30" s="433"/>
      <c r="Z30" s="437"/>
      <c r="AA30" s="437"/>
    </row>
    <row r="31" spans="1:27">
      <c r="A31" s="440">
        <v>43494</v>
      </c>
      <c r="B31" s="448" t="s">
        <v>4474</v>
      </c>
      <c r="C31" s="415"/>
      <c r="U31" s="414">
        <v>381</v>
      </c>
      <c r="V31" s="445">
        <v>19</v>
      </c>
      <c r="W31" s="445"/>
      <c r="X31" s="447">
        <f>U31+V31</f>
        <v>400</v>
      </c>
      <c r="Y31" s="612"/>
    </row>
    <row r="32" spans="1:27">
      <c r="A32" s="440">
        <v>43626</v>
      </c>
      <c r="B32" s="448" t="s">
        <v>4474</v>
      </c>
      <c r="C32" s="415"/>
      <c r="U32" s="414">
        <v>381</v>
      </c>
      <c r="V32" s="445">
        <v>19</v>
      </c>
      <c r="W32" s="445"/>
      <c r="X32" s="447">
        <f>U32+V32</f>
        <v>400</v>
      </c>
      <c r="Y32" s="612"/>
    </row>
    <row r="33" spans="1:28">
      <c r="A33" s="440">
        <v>43626</v>
      </c>
      <c r="B33" s="448" t="s">
        <v>4474</v>
      </c>
      <c r="C33" s="415"/>
      <c r="U33" s="414">
        <v>381</v>
      </c>
      <c r="V33" s="445">
        <v>19</v>
      </c>
      <c r="W33" s="445"/>
      <c r="X33" s="447">
        <f>U33+V33</f>
        <v>400</v>
      </c>
      <c r="Y33" s="612"/>
    </row>
    <row r="34" spans="1:28">
      <c r="A34" s="440">
        <v>43697</v>
      </c>
      <c r="B34" s="448" t="s">
        <v>4474</v>
      </c>
      <c r="C34" s="415"/>
      <c r="U34" s="414">
        <v>381</v>
      </c>
      <c r="V34" s="445">
        <v>19</v>
      </c>
      <c r="W34" s="445"/>
      <c r="X34" s="447">
        <f>U34+V34</f>
        <v>400</v>
      </c>
      <c r="Y34" s="612"/>
    </row>
    <row r="35" spans="1:28">
      <c r="A35" s="440">
        <v>43787</v>
      </c>
      <c r="B35" s="448" t="s">
        <v>4474</v>
      </c>
      <c r="C35" s="415"/>
      <c r="U35" s="414">
        <v>381</v>
      </c>
      <c r="V35" s="445">
        <v>19</v>
      </c>
      <c r="W35" s="445"/>
      <c r="X35" s="447">
        <f>U35+V35</f>
        <v>400</v>
      </c>
      <c r="Y35" s="612"/>
    </row>
    <row r="36" spans="1:28" s="439" customFormat="1">
      <c r="A36" s="449"/>
      <c r="B36" s="434"/>
      <c r="D36" s="435"/>
      <c r="E36" s="433"/>
      <c r="F36" s="436"/>
      <c r="G36" s="433"/>
      <c r="H36" s="437"/>
      <c r="I36" s="433"/>
      <c r="J36" s="437"/>
      <c r="K36" s="433"/>
      <c r="L36" s="437"/>
      <c r="M36" s="433"/>
      <c r="N36" s="437"/>
      <c r="O36" s="437"/>
      <c r="P36" s="437"/>
      <c r="Q36" s="437"/>
      <c r="R36" s="437"/>
      <c r="S36" s="437"/>
      <c r="T36" s="437"/>
      <c r="U36" s="438"/>
      <c r="V36" s="438"/>
      <c r="W36" s="438"/>
      <c r="X36" s="450"/>
      <c r="Y36" s="433"/>
      <c r="Z36" s="437"/>
      <c r="AA36" s="437"/>
    </row>
    <row r="37" spans="1:28">
      <c r="A37" s="569">
        <v>43507</v>
      </c>
      <c r="B37" s="448" t="s">
        <v>14860</v>
      </c>
      <c r="C37" s="451"/>
      <c r="D37" s="452">
        <v>1600</v>
      </c>
      <c r="F37" s="447">
        <f>X19</f>
        <v>1600</v>
      </c>
      <c r="G37" s="415"/>
      <c r="H37" s="614"/>
      <c r="I37" s="444"/>
      <c r="J37" s="442"/>
      <c r="K37" s="273"/>
      <c r="L37" s="277"/>
      <c r="M37" s="444"/>
      <c r="N37" s="445"/>
      <c r="O37" s="273"/>
      <c r="P37" s="277"/>
      <c r="U37" s="416"/>
      <c r="V37" s="415"/>
      <c r="W37" s="415"/>
      <c r="Z37" s="415"/>
      <c r="AB37" s="416"/>
    </row>
    <row r="38" spans="1:28">
      <c r="A38" s="569">
        <v>43510</v>
      </c>
      <c r="B38" s="448" t="s">
        <v>14860</v>
      </c>
      <c r="C38" s="451"/>
      <c r="D38" s="452">
        <v>476</v>
      </c>
      <c r="F38" s="447">
        <f>X22</f>
        <v>476</v>
      </c>
      <c r="G38" s="415"/>
      <c r="H38" s="614"/>
      <c r="I38" s="444"/>
      <c r="J38" s="442"/>
      <c r="K38" s="273"/>
      <c r="L38" s="277"/>
      <c r="M38" s="444"/>
      <c r="N38" s="445"/>
      <c r="O38" s="273"/>
      <c r="P38" s="277"/>
      <c r="U38" s="416"/>
      <c r="V38" s="415"/>
      <c r="W38" s="415"/>
      <c r="X38" s="415"/>
      <c r="Z38" s="415"/>
      <c r="AB38" s="416"/>
    </row>
    <row r="39" spans="1:28">
      <c r="A39" s="569">
        <v>43531</v>
      </c>
      <c r="B39" s="448" t="s">
        <v>14861</v>
      </c>
      <c r="C39" s="451"/>
      <c r="D39" s="454">
        <v>400</v>
      </c>
      <c r="F39" s="453">
        <f>X31</f>
        <v>400</v>
      </c>
      <c r="G39" s="415"/>
      <c r="H39" s="415"/>
      <c r="I39" s="444"/>
      <c r="J39" s="442"/>
      <c r="K39" s="273"/>
      <c r="L39" s="277"/>
      <c r="N39" s="445"/>
      <c r="O39" s="273"/>
      <c r="P39" s="277"/>
      <c r="U39" s="416"/>
      <c r="V39" s="415"/>
      <c r="W39" s="415"/>
      <c r="X39" s="415"/>
      <c r="Z39" s="415"/>
      <c r="AB39" s="416"/>
    </row>
    <row r="40" spans="1:28">
      <c r="A40" s="569">
        <v>43564</v>
      </c>
      <c r="B40" s="448" t="s">
        <v>14862</v>
      </c>
      <c r="C40" s="451"/>
      <c r="D40" s="454">
        <v>9375</v>
      </c>
      <c r="F40" s="453">
        <f>X3</f>
        <v>9374.57</v>
      </c>
      <c r="G40" s="415"/>
      <c r="H40" s="415"/>
      <c r="I40" s="444"/>
      <c r="J40" s="442"/>
      <c r="K40" s="273"/>
      <c r="L40" s="277"/>
      <c r="N40" s="445"/>
      <c r="O40" s="444"/>
      <c r="U40" s="416"/>
      <c r="V40" s="415"/>
      <c r="W40" s="415"/>
      <c r="X40" s="415"/>
      <c r="Z40" s="415"/>
      <c r="AB40" s="416"/>
    </row>
    <row r="41" spans="1:28">
      <c r="A41" s="569"/>
      <c r="B41" s="448" t="s">
        <v>14863</v>
      </c>
      <c r="C41" s="451"/>
      <c r="D41" s="454"/>
      <c r="F41" s="453"/>
      <c r="G41" s="415"/>
      <c r="H41" s="415"/>
      <c r="I41" s="444"/>
      <c r="J41" s="442"/>
      <c r="K41" s="273"/>
      <c r="L41" s="277"/>
      <c r="N41" s="445"/>
      <c r="O41" s="444"/>
      <c r="U41" s="416"/>
      <c r="V41" s="415"/>
      <c r="W41" s="415"/>
      <c r="X41" s="415"/>
      <c r="Z41" s="415"/>
      <c r="AB41" s="416"/>
    </row>
    <row r="42" spans="1:28">
      <c r="A42" s="440">
        <v>43621</v>
      </c>
      <c r="B42" s="448" t="s">
        <v>14864</v>
      </c>
      <c r="C42" s="451"/>
      <c r="D42" s="454">
        <v>36441</v>
      </c>
      <c r="F42" s="447">
        <f>X5+X6+X7+X8+X23</f>
        <v>36440.990000000005</v>
      </c>
      <c r="G42" s="415"/>
      <c r="H42" s="415"/>
      <c r="I42" s="444"/>
      <c r="J42" s="442"/>
      <c r="K42" s="273"/>
      <c r="L42" s="277"/>
      <c r="N42" s="445"/>
      <c r="O42" s="444"/>
      <c r="U42" s="416"/>
      <c r="V42" s="415"/>
      <c r="W42" s="415"/>
      <c r="X42" s="415"/>
      <c r="Z42" s="415"/>
      <c r="AB42" s="416"/>
    </row>
    <row r="43" spans="1:28">
      <c r="A43" s="440">
        <v>43651</v>
      </c>
      <c r="B43" s="448" t="s">
        <v>14865</v>
      </c>
      <c r="C43" s="451"/>
      <c r="D43" s="756">
        <f>800+16602</f>
        <v>17402</v>
      </c>
      <c r="F43" s="447">
        <f>X9+X32+X33</f>
        <v>17402.43</v>
      </c>
      <c r="G43" s="415"/>
      <c r="H43" s="415"/>
      <c r="I43" s="444"/>
      <c r="J43" s="442"/>
      <c r="K43" s="273"/>
      <c r="L43" s="277"/>
      <c r="N43" s="445"/>
      <c r="O43" s="444"/>
      <c r="U43" s="416"/>
      <c r="V43" s="415"/>
      <c r="W43" s="415"/>
      <c r="X43" s="415"/>
      <c r="Z43" s="415"/>
      <c r="AB43" s="416"/>
    </row>
    <row r="44" spans="1:28">
      <c r="A44" s="455">
        <v>43682</v>
      </c>
      <c r="B44" s="448" t="s">
        <v>14866</v>
      </c>
      <c r="C44" s="451"/>
      <c r="D44" s="673">
        <f>11285+10000</f>
        <v>21285</v>
      </c>
      <c r="F44" s="447">
        <f>X10+X11</f>
        <v>21284.47</v>
      </c>
      <c r="G44" s="415"/>
      <c r="H44" s="456"/>
      <c r="I44" s="444"/>
      <c r="J44" s="442"/>
      <c r="K44" s="273"/>
      <c r="L44" s="277"/>
      <c r="N44" s="445"/>
      <c r="O44" s="444"/>
      <c r="U44" s="416"/>
      <c r="V44" s="415"/>
      <c r="W44" s="415"/>
      <c r="X44" s="415"/>
      <c r="Z44" s="415"/>
      <c r="AB44" s="416"/>
    </row>
    <row r="45" spans="1:28">
      <c r="A45" s="455">
        <v>43714</v>
      </c>
      <c r="B45" s="448" t="s">
        <v>14867</v>
      </c>
      <c r="C45" s="451"/>
      <c r="D45" s="570">
        <v>2148</v>
      </c>
      <c r="F45" s="447">
        <f>X24+X25+X34</f>
        <v>2148</v>
      </c>
      <c r="G45" s="415"/>
      <c r="H45" s="456"/>
      <c r="I45" s="444"/>
      <c r="J45" s="442"/>
      <c r="K45" s="273"/>
      <c r="L45" s="277"/>
      <c r="N45" s="445"/>
      <c r="O45" s="444"/>
      <c r="U45" s="416"/>
      <c r="V45" s="415"/>
      <c r="W45" s="415"/>
      <c r="X45" s="415"/>
      <c r="Z45" s="415"/>
      <c r="AB45" s="416"/>
    </row>
    <row r="46" spans="1:28">
      <c r="A46" s="440">
        <v>43743</v>
      </c>
      <c r="B46" s="448" t="s">
        <v>14868</v>
      </c>
      <c r="C46" s="451"/>
      <c r="D46" s="454">
        <f>317+283</f>
        <v>600</v>
      </c>
      <c r="F46" s="447">
        <f>X26+X27</f>
        <v>600</v>
      </c>
      <c r="G46" s="415"/>
      <c r="H46" s="415"/>
      <c r="I46" s="444"/>
      <c r="J46" s="442"/>
      <c r="K46" s="273"/>
      <c r="L46" s="277"/>
      <c r="N46" s="445"/>
      <c r="O46" s="444"/>
      <c r="U46" s="416"/>
      <c r="V46" s="415"/>
      <c r="W46" s="415"/>
      <c r="X46" s="415"/>
      <c r="Z46" s="415"/>
      <c r="AB46" s="416"/>
    </row>
    <row r="47" spans="1:28">
      <c r="A47" s="440">
        <v>43784</v>
      </c>
      <c r="B47" s="448" t="s">
        <v>14869</v>
      </c>
      <c r="D47" s="454">
        <v>23342</v>
      </c>
      <c r="F47" s="758">
        <f>X12+X13+X15</f>
        <v>23342.481428571431</v>
      </c>
      <c r="K47" s="273"/>
      <c r="L47" s="277"/>
    </row>
    <row r="48" spans="1:28">
      <c r="A48" s="440">
        <v>43808</v>
      </c>
      <c r="B48" s="448" t="s">
        <v>14870</v>
      </c>
      <c r="D48" s="454">
        <v>4988</v>
      </c>
      <c r="F48" s="447">
        <f>X14+X29+X35</f>
        <v>4987.62</v>
      </c>
      <c r="H48" s="444">
        <f>X18</f>
        <v>3200</v>
      </c>
      <c r="K48" s="273"/>
      <c r="L48" s="277"/>
    </row>
    <row r="49" spans="1:25">
      <c r="A49" s="440">
        <v>43836</v>
      </c>
      <c r="B49" s="676" t="s">
        <v>14871</v>
      </c>
      <c r="D49" s="454">
        <f>15830+16930</f>
        <v>32760</v>
      </c>
      <c r="F49" s="447">
        <f>X16+X17+X28+X20</f>
        <v>32760.27</v>
      </c>
      <c r="K49" s="273"/>
      <c r="L49" s="277"/>
    </row>
    <row r="50" spans="1:25">
      <c r="D50" s="441">
        <f>SUM(D37:D49)</f>
        <v>150817</v>
      </c>
      <c r="F50" s="457">
        <f>SUM(F37:F49)</f>
        <v>150816.83142857143</v>
      </c>
      <c r="G50" s="458"/>
      <c r="H50" s="459">
        <f>SUM(H48:H48)</f>
        <v>3200</v>
      </c>
    </row>
    <row r="51" spans="1:25">
      <c r="E51" s="412" t="s">
        <v>15249</v>
      </c>
      <c r="F51" s="819">
        <f>X30+X21+X18+X1-X4</f>
        <v>150816.83142857143</v>
      </c>
    </row>
    <row r="52" spans="1:25">
      <c r="F52" s="441">
        <f>D50-F50</f>
        <v>0.16857142857043073</v>
      </c>
    </row>
    <row r="54" spans="1:25">
      <c r="A54" s="477">
        <v>43493</v>
      </c>
      <c r="B54" s="460" t="s">
        <v>14822</v>
      </c>
      <c r="C54" s="417"/>
      <c r="D54" s="273"/>
      <c r="E54" s="277"/>
      <c r="F54" s="420"/>
      <c r="G54" s="417"/>
      <c r="H54" s="462"/>
      <c r="I54" s="417"/>
      <c r="J54" s="462"/>
      <c r="K54" s="417"/>
      <c r="L54" s="462"/>
      <c r="M54" s="463"/>
      <c r="N54" s="462"/>
      <c r="O54" s="464"/>
      <c r="P54" s="464"/>
      <c r="Q54" s="464"/>
      <c r="R54" s="464"/>
      <c r="S54" s="464"/>
      <c r="T54" s="464"/>
      <c r="U54" s="465">
        <v>1615</v>
      </c>
      <c r="V54" s="466">
        <v>81</v>
      </c>
      <c r="W54" s="473">
        <f t="shared" ref="W54:W76" si="7">V54/U54</f>
        <v>5.0154798761609908E-2</v>
      </c>
      <c r="X54" s="467">
        <f t="shared" ref="X54:X106" si="8">U54+V54+W54</f>
        <v>1696.0501547987617</v>
      </c>
      <c r="Y54" s="658">
        <v>1229</v>
      </c>
    </row>
    <row r="55" spans="1:25">
      <c r="A55" s="468">
        <v>43523</v>
      </c>
      <c r="B55" s="469" t="s">
        <v>14823</v>
      </c>
      <c r="C55" s="417"/>
      <c r="D55" s="273"/>
      <c r="E55" s="277"/>
      <c r="F55" s="420"/>
      <c r="G55" s="417"/>
      <c r="H55" s="462"/>
      <c r="I55" s="417"/>
      <c r="J55" s="462"/>
      <c r="K55" s="417"/>
      <c r="L55" s="462"/>
      <c r="M55" s="463"/>
      <c r="N55" s="462"/>
      <c r="O55" s="464"/>
      <c r="P55" s="464"/>
      <c r="Q55" s="464"/>
      <c r="R55" s="464"/>
      <c r="S55" s="464"/>
      <c r="T55" s="464"/>
      <c r="U55" s="465">
        <v>1605</v>
      </c>
      <c r="V55" s="466">
        <v>80</v>
      </c>
      <c r="W55" s="473">
        <f t="shared" si="7"/>
        <v>4.9844236760124609E-2</v>
      </c>
      <c r="X55" s="467">
        <f t="shared" si="8"/>
        <v>1685.0498442367602</v>
      </c>
      <c r="Y55" s="658">
        <v>1229</v>
      </c>
    </row>
    <row r="56" spans="1:25">
      <c r="A56" s="468">
        <v>43552</v>
      </c>
      <c r="B56" s="469" t="s">
        <v>14824</v>
      </c>
      <c r="C56" s="417"/>
      <c r="D56" s="273"/>
      <c r="E56" s="277"/>
      <c r="F56" s="420"/>
      <c r="G56" s="417"/>
      <c r="H56" s="462"/>
      <c r="I56" s="417"/>
      <c r="J56" s="462"/>
      <c r="K56" s="417"/>
      <c r="L56" s="462"/>
      <c r="M56" s="463"/>
      <c r="N56" s="462"/>
      <c r="O56" s="464"/>
      <c r="P56" s="464"/>
      <c r="Q56" s="464"/>
      <c r="R56" s="464"/>
      <c r="S56" s="464"/>
      <c r="T56" s="464"/>
      <c r="U56" s="613">
        <v>1598</v>
      </c>
      <c r="V56" s="613">
        <v>80</v>
      </c>
      <c r="W56" s="473">
        <f t="shared" si="7"/>
        <v>5.0062578222778473E-2</v>
      </c>
      <c r="X56" s="467">
        <f t="shared" si="8"/>
        <v>1678.0500625782229</v>
      </c>
      <c r="Y56" s="658">
        <v>1229</v>
      </c>
    </row>
    <row r="57" spans="1:25">
      <c r="A57" s="470">
        <v>43580</v>
      </c>
      <c r="B57" s="469" t="s">
        <v>14825</v>
      </c>
      <c r="C57" s="417"/>
      <c r="D57" s="273"/>
      <c r="E57" s="277"/>
      <c r="F57" s="420"/>
      <c r="G57" s="417"/>
      <c r="H57" s="462"/>
      <c r="I57" s="417"/>
      <c r="J57" s="462"/>
      <c r="K57" s="417"/>
      <c r="L57" s="462"/>
      <c r="M57" s="463"/>
      <c r="N57" s="462"/>
      <c r="O57" s="464"/>
      <c r="P57" s="464"/>
      <c r="Q57" s="464"/>
      <c r="R57" s="464"/>
      <c r="S57" s="464"/>
      <c r="T57" s="464"/>
      <c r="U57" s="613">
        <v>1626</v>
      </c>
      <c r="V57" s="613">
        <v>81</v>
      </c>
      <c r="W57" s="473">
        <f t="shared" si="7"/>
        <v>4.9815498154981548E-2</v>
      </c>
      <c r="X57" s="467">
        <f t="shared" si="8"/>
        <v>1707.0498154981549</v>
      </c>
      <c r="Y57" s="658">
        <v>1231</v>
      </c>
    </row>
    <row r="58" spans="1:25">
      <c r="A58" s="471">
        <v>43613</v>
      </c>
      <c r="B58" s="469" t="s">
        <v>14826</v>
      </c>
      <c r="C58" s="417"/>
      <c r="D58" s="273"/>
      <c r="E58" s="277"/>
      <c r="F58" s="420"/>
      <c r="G58" s="417"/>
      <c r="H58" s="462"/>
      <c r="I58" s="417"/>
      <c r="J58" s="462"/>
      <c r="K58" s="417"/>
      <c r="L58" s="462"/>
      <c r="M58" s="463"/>
      <c r="N58" s="462"/>
      <c r="O58" s="464"/>
      <c r="P58" s="464"/>
      <c r="Q58" s="464"/>
      <c r="R58" s="464"/>
      <c r="S58" s="464"/>
      <c r="T58" s="464"/>
      <c r="U58" s="465">
        <v>1613</v>
      </c>
      <c r="V58" s="472">
        <v>81</v>
      </c>
      <c r="W58" s="473">
        <f t="shared" si="7"/>
        <v>5.0216986980781156E-2</v>
      </c>
      <c r="X58" s="467">
        <f t="shared" si="8"/>
        <v>1694.0502169869808</v>
      </c>
      <c r="Y58" s="658">
        <v>1231</v>
      </c>
    </row>
    <row r="59" spans="1:25">
      <c r="A59" s="471">
        <v>43641</v>
      </c>
      <c r="B59" s="469" t="s">
        <v>14827</v>
      </c>
      <c r="C59" s="417"/>
      <c r="D59" s="273"/>
      <c r="E59" s="277"/>
      <c r="F59" s="420"/>
      <c r="G59" s="417"/>
      <c r="H59" s="462"/>
      <c r="I59" s="417"/>
      <c r="J59" s="462"/>
      <c r="K59" s="417"/>
      <c r="L59" s="462"/>
      <c r="M59" s="463"/>
      <c r="N59" s="462"/>
      <c r="O59" s="464"/>
      <c r="P59" s="464"/>
      <c r="Q59" s="464"/>
      <c r="R59" s="464"/>
      <c r="S59" s="464"/>
      <c r="T59" s="464"/>
      <c r="U59" s="465">
        <v>1623</v>
      </c>
      <c r="V59" s="473">
        <v>81</v>
      </c>
      <c r="W59" s="473">
        <f t="shared" si="7"/>
        <v>4.9907578558225509E-2</v>
      </c>
      <c r="X59" s="467">
        <f t="shared" si="8"/>
        <v>1704.0499075785583</v>
      </c>
      <c r="Y59" s="658">
        <v>1231</v>
      </c>
    </row>
    <row r="60" spans="1:25">
      <c r="A60" s="471">
        <v>43672</v>
      </c>
      <c r="B60" s="469" t="s">
        <v>14828</v>
      </c>
      <c r="C60" s="417"/>
      <c r="D60" s="273"/>
      <c r="E60" s="277"/>
      <c r="F60" s="420"/>
      <c r="G60" s="417"/>
      <c r="H60" s="462"/>
      <c r="I60" s="417"/>
      <c r="J60" s="462"/>
      <c r="K60" s="417"/>
      <c r="L60" s="462"/>
      <c r="M60" s="463"/>
      <c r="N60" s="462"/>
      <c r="O60" s="464"/>
      <c r="P60" s="464"/>
      <c r="Q60" s="464"/>
      <c r="R60" s="464"/>
      <c r="S60" s="464"/>
      <c r="T60" s="464"/>
      <c r="U60" s="465">
        <v>1600</v>
      </c>
      <c r="V60" s="473">
        <v>80</v>
      </c>
      <c r="W60" s="473">
        <f t="shared" si="7"/>
        <v>0.05</v>
      </c>
      <c r="X60" s="467">
        <f t="shared" si="8"/>
        <v>1680.05</v>
      </c>
      <c r="Y60" s="658">
        <v>1232</v>
      </c>
    </row>
    <row r="61" spans="1:25">
      <c r="A61" s="471">
        <v>43704</v>
      </c>
      <c r="B61" s="469" t="s">
        <v>14829</v>
      </c>
      <c r="C61" s="417"/>
      <c r="D61" s="273"/>
      <c r="E61" s="277"/>
      <c r="F61" s="420"/>
      <c r="G61" s="417"/>
      <c r="H61" s="462"/>
      <c r="I61" s="417"/>
      <c r="J61" s="462"/>
      <c r="K61" s="417"/>
      <c r="L61" s="462"/>
      <c r="M61" s="463"/>
      <c r="N61" s="462"/>
      <c r="O61" s="464"/>
      <c r="P61" s="464"/>
      <c r="Q61" s="464"/>
      <c r="R61" s="464"/>
      <c r="S61" s="464"/>
      <c r="T61" s="464"/>
      <c r="U61" s="465">
        <v>1590</v>
      </c>
      <c r="V61" s="466">
        <v>79</v>
      </c>
      <c r="W61" s="473">
        <f t="shared" si="7"/>
        <v>4.9685534591194971E-2</v>
      </c>
      <c r="X61" s="467">
        <f t="shared" si="8"/>
        <v>1669.0496855345912</v>
      </c>
      <c r="Y61" s="658">
        <v>1232</v>
      </c>
    </row>
    <row r="62" spans="1:25">
      <c r="A62" s="568">
        <v>43734</v>
      </c>
      <c r="B62" s="469" t="s">
        <v>14830</v>
      </c>
      <c r="C62" s="417"/>
      <c r="D62" s="273"/>
      <c r="E62" s="277"/>
      <c r="F62" s="420"/>
      <c r="G62" s="417"/>
      <c r="H62" s="462"/>
      <c r="I62" s="417"/>
      <c r="J62" s="462"/>
      <c r="K62" s="417"/>
      <c r="L62" s="462"/>
      <c r="M62" s="463"/>
      <c r="N62" s="462"/>
      <c r="O62" s="464"/>
      <c r="P62" s="464"/>
      <c r="Q62" s="464"/>
      <c r="R62" s="464"/>
      <c r="S62" s="464"/>
      <c r="T62" s="464"/>
      <c r="U62" s="465">
        <v>1625</v>
      </c>
      <c r="V62" s="466">
        <v>81</v>
      </c>
      <c r="W62" s="473">
        <f t="shared" si="7"/>
        <v>4.9846153846153846E-2</v>
      </c>
      <c r="X62" s="467">
        <f t="shared" si="8"/>
        <v>1706.0498461538461</v>
      </c>
      <c r="Y62" s="658">
        <v>1234</v>
      </c>
    </row>
    <row r="63" spans="1:25">
      <c r="A63" s="471">
        <v>43766</v>
      </c>
      <c r="B63" s="469" t="s">
        <v>14831</v>
      </c>
      <c r="C63" s="417"/>
      <c r="D63" s="273"/>
      <c r="E63" s="277"/>
      <c r="F63" s="420"/>
      <c r="G63" s="417"/>
      <c r="H63" s="462"/>
      <c r="I63" s="417"/>
      <c r="J63" s="462"/>
      <c r="K63" s="417"/>
      <c r="L63" s="462"/>
      <c r="M63" s="463"/>
      <c r="N63" s="462"/>
      <c r="O63" s="464"/>
      <c r="P63" s="464"/>
      <c r="Q63" s="464"/>
      <c r="R63" s="464"/>
      <c r="S63" s="464"/>
      <c r="T63" s="464"/>
      <c r="U63" s="465">
        <v>1617</v>
      </c>
      <c r="V63" s="473">
        <v>81</v>
      </c>
      <c r="W63" s="473">
        <f t="shared" si="7"/>
        <v>5.0092764378478663E-2</v>
      </c>
      <c r="X63" s="467">
        <f t="shared" si="8"/>
        <v>1698.0500927643784</v>
      </c>
      <c r="Y63" s="658">
        <v>1236</v>
      </c>
    </row>
    <row r="64" spans="1:25">
      <c r="A64" s="471">
        <v>43795</v>
      </c>
      <c r="B64" s="469" t="s">
        <v>14832</v>
      </c>
      <c r="C64" s="417"/>
      <c r="D64" s="273"/>
      <c r="E64" s="277"/>
      <c r="F64" s="420"/>
      <c r="G64" s="417"/>
      <c r="H64" s="462"/>
      <c r="I64" s="417"/>
      <c r="J64" s="462"/>
      <c r="K64" s="417"/>
      <c r="L64" s="462"/>
      <c r="M64" s="463"/>
      <c r="N64" s="462"/>
      <c r="O64" s="464"/>
      <c r="P64" s="464"/>
      <c r="Q64" s="464"/>
      <c r="R64" s="464"/>
      <c r="S64" s="464"/>
      <c r="T64" s="464"/>
      <c r="U64" s="465">
        <v>1687</v>
      </c>
      <c r="V64" s="473">
        <v>84</v>
      </c>
      <c r="W64" s="473">
        <f t="shared" si="7"/>
        <v>4.9792531120331947E-2</v>
      </c>
      <c r="X64" s="467">
        <f t="shared" si="8"/>
        <v>1771.0497925311204</v>
      </c>
      <c r="Y64" s="658">
        <v>1237</v>
      </c>
    </row>
    <row r="65" spans="1:29">
      <c r="A65" s="471">
        <v>43825</v>
      </c>
      <c r="B65" s="469" t="s">
        <v>14833</v>
      </c>
      <c r="C65" s="417"/>
      <c r="D65" s="273"/>
      <c r="E65" s="277"/>
      <c r="F65" s="420"/>
      <c r="G65" s="417"/>
      <c r="H65" s="462"/>
      <c r="I65" s="417"/>
      <c r="J65" s="462"/>
      <c r="K65" s="417"/>
      <c r="L65" s="462"/>
      <c r="M65" s="463"/>
      <c r="N65" s="462"/>
      <c r="O65" s="464"/>
      <c r="P65" s="464"/>
      <c r="Q65" s="464"/>
      <c r="R65" s="464"/>
      <c r="S65" s="464"/>
      <c r="T65" s="464"/>
      <c r="U65" s="465">
        <v>1593</v>
      </c>
      <c r="V65" s="473">
        <v>80</v>
      </c>
      <c r="W65" s="473">
        <f t="shared" si="7"/>
        <v>5.0219711236660386E-2</v>
      </c>
      <c r="X65" s="467">
        <f t="shared" si="8"/>
        <v>1673.0502197112367</v>
      </c>
      <c r="Y65" s="658">
        <v>1239</v>
      </c>
    </row>
    <row r="66" spans="1:29">
      <c r="A66" s="477">
        <v>43493</v>
      </c>
      <c r="B66" s="460" t="s">
        <v>14834</v>
      </c>
      <c r="C66" s="417"/>
      <c r="D66" s="273"/>
      <c r="E66" s="277"/>
      <c r="F66" s="420"/>
      <c r="G66" s="417"/>
      <c r="H66" s="462"/>
      <c r="I66" s="417"/>
      <c r="J66" s="462"/>
      <c r="K66" s="417"/>
      <c r="L66" s="462"/>
      <c r="M66" s="463"/>
      <c r="N66" s="462"/>
      <c r="O66" s="464"/>
      <c r="P66" s="464"/>
      <c r="Q66" s="464"/>
      <c r="R66" s="464"/>
      <c r="S66" s="464"/>
      <c r="T66" s="464"/>
      <c r="U66" s="465">
        <v>2081</v>
      </c>
      <c r="V66" s="466">
        <v>104</v>
      </c>
      <c r="W66" s="473">
        <f t="shared" si="7"/>
        <v>4.9975973089860647E-2</v>
      </c>
      <c r="X66" s="467">
        <f t="shared" si="8"/>
        <v>2185.0499759730897</v>
      </c>
      <c r="Y66" s="658">
        <v>1670</v>
      </c>
    </row>
    <row r="67" spans="1:29">
      <c r="A67" s="468">
        <v>43523</v>
      </c>
      <c r="B67" s="469" t="s">
        <v>14835</v>
      </c>
      <c r="C67" s="417"/>
      <c r="D67" s="273"/>
      <c r="E67" s="277"/>
      <c r="F67" s="420"/>
      <c r="G67" s="417"/>
      <c r="H67" s="462"/>
      <c r="I67" s="417"/>
      <c r="J67" s="462"/>
      <c r="K67" s="417"/>
      <c r="L67" s="462"/>
      <c r="M67" s="463"/>
      <c r="N67" s="462"/>
      <c r="O67" s="464"/>
      <c r="P67" s="464"/>
      <c r="Q67" s="464"/>
      <c r="R67" s="464"/>
      <c r="S67" s="464"/>
      <c r="T67" s="464"/>
      <c r="U67" s="465">
        <v>1930</v>
      </c>
      <c r="V67" s="466">
        <v>97</v>
      </c>
      <c r="W67" s="473">
        <f t="shared" si="7"/>
        <v>5.0259067357512954E-2</v>
      </c>
      <c r="X67" s="467">
        <f t="shared" si="8"/>
        <v>2027.0502590673575</v>
      </c>
      <c r="Y67" s="658">
        <v>1684</v>
      </c>
    </row>
    <row r="68" spans="1:29">
      <c r="A68" s="468">
        <v>43552</v>
      </c>
      <c r="B68" s="469" t="s">
        <v>14836</v>
      </c>
      <c r="C68" s="417"/>
      <c r="D68" s="273"/>
      <c r="E68" s="277"/>
      <c r="F68" s="420"/>
      <c r="G68" s="417"/>
      <c r="H68" s="462"/>
      <c r="I68" s="417"/>
      <c r="J68" s="462"/>
      <c r="K68" s="417"/>
      <c r="L68" s="462"/>
      <c r="M68" s="463"/>
      <c r="N68" s="462"/>
      <c r="O68" s="464"/>
      <c r="P68" s="464"/>
      <c r="Q68" s="464"/>
      <c r="R68" s="464"/>
      <c r="S68" s="464"/>
      <c r="T68" s="464"/>
      <c r="U68" s="465">
        <v>1909</v>
      </c>
      <c r="V68" s="466">
        <v>95</v>
      </c>
      <c r="W68" s="473">
        <f t="shared" si="7"/>
        <v>4.9764274489261393E-2</v>
      </c>
      <c r="X68" s="467">
        <f t="shared" si="8"/>
        <v>2004.0497642744892</v>
      </c>
      <c r="Y68" s="658">
        <v>1694</v>
      </c>
    </row>
    <row r="69" spans="1:29" s="416" customFormat="1">
      <c r="A69" s="470">
        <v>43580</v>
      </c>
      <c r="B69" s="469" t="s">
        <v>14837</v>
      </c>
      <c r="C69" s="417"/>
      <c r="D69" s="273"/>
      <c r="E69" s="277"/>
      <c r="F69" s="420"/>
      <c r="G69" s="417"/>
      <c r="H69" s="462"/>
      <c r="I69" s="417"/>
      <c r="J69" s="462"/>
      <c r="K69" s="417"/>
      <c r="L69" s="462"/>
      <c r="M69" s="463"/>
      <c r="N69" s="462"/>
      <c r="O69" s="464"/>
      <c r="P69" s="464"/>
      <c r="Q69" s="464"/>
      <c r="R69" s="464"/>
      <c r="S69" s="464"/>
      <c r="T69" s="464"/>
      <c r="U69" s="465">
        <v>1927</v>
      </c>
      <c r="V69" s="466">
        <v>96</v>
      </c>
      <c r="W69" s="473">
        <f t="shared" si="7"/>
        <v>4.9818370524130774E-2</v>
      </c>
      <c r="X69" s="467">
        <f t="shared" si="8"/>
        <v>2023.0498183705242</v>
      </c>
      <c r="Y69" s="658">
        <v>1704</v>
      </c>
      <c r="AB69" s="415"/>
      <c r="AC69" s="415"/>
    </row>
    <row r="70" spans="1:29" s="416" customFormat="1">
      <c r="A70" s="471">
        <v>43613</v>
      </c>
      <c r="B70" s="469" t="s">
        <v>14838</v>
      </c>
      <c r="C70" s="417"/>
      <c r="D70" s="273"/>
      <c r="E70" s="277"/>
      <c r="F70" s="420"/>
      <c r="G70" s="417"/>
      <c r="H70" s="462"/>
      <c r="I70" s="417"/>
      <c r="J70" s="462"/>
      <c r="K70" s="417"/>
      <c r="L70" s="462"/>
      <c r="M70" s="463"/>
      <c r="N70" s="462"/>
      <c r="O70" s="464"/>
      <c r="P70" s="464"/>
      <c r="Q70" s="464"/>
      <c r="R70" s="464"/>
      <c r="S70" s="464"/>
      <c r="T70" s="464"/>
      <c r="U70" s="465">
        <v>1974</v>
      </c>
      <c r="V70" s="472">
        <v>99</v>
      </c>
      <c r="W70" s="473">
        <f t="shared" si="7"/>
        <v>5.0151975683890578E-2</v>
      </c>
      <c r="X70" s="467">
        <f t="shared" si="8"/>
        <v>2073.050151975684</v>
      </c>
      <c r="Y70" s="658">
        <v>1707</v>
      </c>
      <c r="AB70" s="415"/>
      <c r="AC70" s="415"/>
    </row>
    <row r="71" spans="1:29" s="416" customFormat="1">
      <c r="A71" s="471">
        <v>43641</v>
      </c>
      <c r="B71" s="469" t="s">
        <v>14839</v>
      </c>
      <c r="C71" s="417"/>
      <c r="D71" s="273"/>
      <c r="E71" s="277"/>
      <c r="F71" s="420"/>
      <c r="G71" s="417"/>
      <c r="H71" s="462"/>
      <c r="I71" s="417"/>
      <c r="J71" s="462"/>
      <c r="K71" s="417"/>
      <c r="L71" s="462"/>
      <c r="M71" s="463"/>
      <c r="N71" s="462"/>
      <c r="O71" s="464"/>
      <c r="P71" s="464"/>
      <c r="Q71" s="464"/>
      <c r="R71" s="464"/>
      <c r="S71" s="464"/>
      <c r="T71" s="464"/>
      <c r="U71" s="465">
        <v>1899</v>
      </c>
      <c r="V71" s="473">
        <v>95</v>
      </c>
      <c r="W71" s="473">
        <f t="shared" si="7"/>
        <v>5.0026329647182725E-2</v>
      </c>
      <c r="X71" s="467">
        <f t="shared" si="8"/>
        <v>1994.0500263296472</v>
      </c>
      <c r="Y71" s="658">
        <v>1707</v>
      </c>
      <c r="AB71" s="415"/>
      <c r="AC71" s="415"/>
    </row>
    <row r="72" spans="1:29" s="416" customFormat="1">
      <c r="A72" s="471">
        <v>43672</v>
      </c>
      <c r="B72" s="469" t="s">
        <v>14840</v>
      </c>
      <c r="C72" s="417"/>
      <c r="D72" s="273"/>
      <c r="E72" s="277"/>
      <c r="F72" s="420"/>
      <c r="G72" s="417"/>
      <c r="H72" s="462"/>
      <c r="I72" s="417"/>
      <c r="J72" s="462"/>
      <c r="K72" s="417"/>
      <c r="L72" s="462"/>
      <c r="M72" s="463"/>
      <c r="N72" s="462"/>
      <c r="O72" s="464"/>
      <c r="P72" s="464"/>
      <c r="Q72" s="464"/>
      <c r="R72" s="464"/>
      <c r="S72" s="464"/>
      <c r="T72" s="464"/>
      <c r="U72" s="465">
        <v>2053</v>
      </c>
      <c r="V72" s="473">
        <v>103</v>
      </c>
      <c r="W72" s="473">
        <f t="shared" si="7"/>
        <v>5.0170482221139796E-2</v>
      </c>
      <c r="X72" s="467">
        <f t="shared" si="8"/>
        <v>2156.0501704822213</v>
      </c>
      <c r="Y72" s="658">
        <v>1752</v>
      </c>
      <c r="AB72" s="415"/>
      <c r="AC72" s="415"/>
    </row>
    <row r="73" spans="1:29" s="416" customFormat="1">
      <c r="A73" s="471">
        <v>43704</v>
      </c>
      <c r="B73" s="469" t="s">
        <v>14841</v>
      </c>
      <c r="C73" s="417"/>
      <c r="D73" s="273"/>
      <c r="E73" s="277"/>
      <c r="F73" s="420"/>
      <c r="G73" s="417"/>
      <c r="H73" s="462"/>
      <c r="I73" s="417"/>
      <c r="J73" s="462"/>
      <c r="K73" s="417"/>
      <c r="L73" s="462"/>
      <c r="M73" s="463"/>
      <c r="N73" s="462"/>
      <c r="O73" s="464"/>
      <c r="P73" s="464"/>
      <c r="Q73" s="464"/>
      <c r="R73" s="464"/>
      <c r="S73" s="464"/>
      <c r="T73" s="464"/>
      <c r="U73" s="465">
        <v>1931</v>
      </c>
      <c r="V73" s="466">
        <v>97</v>
      </c>
      <c r="W73" s="473">
        <f t="shared" si="7"/>
        <v>5.0233039875712066E-2</v>
      </c>
      <c r="X73" s="467">
        <f t="shared" si="8"/>
        <v>2028.0502330398758</v>
      </c>
      <c r="Y73" s="658">
        <v>1761</v>
      </c>
      <c r="AB73" s="415"/>
      <c r="AC73" s="415"/>
    </row>
    <row r="74" spans="1:29" s="416" customFormat="1">
      <c r="A74" s="568">
        <v>43734</v>
      </c>
      <c r="B74" s="469" t="s">
        <v>14842</v>
      </c>
      <c r="C74" s="417"/>
      <c r="D74" s="273"/>
      <c r="E74" s="277"/>
      <c r="F74" s="420"/>
      <c r="G74" s="417"/>
      <c r="H74" s="462"/>
      <c r="I74" s="417"/>
      <c r="J74" s="462"/>
      <c r="K74" s="417"/>
      <c r="L74" s="462"/>
      <c r="M74" s="463"/>
      <c r="N74" s="462"/>
      <c r="O74" s="464"/>
      <c r="P74" s="464"/>
      <c r="Q74" s="464"/>
      <c r="R74" s="464"/>
      <c r="S74" s="464"/>
      <c r="T74" s="464"/>
      <c r="U74" s="465">
        <v>1936</v>
      </c>
      <c r="V74" s="466">
        <v>97</v>
      </c>
      <c r="W74" s="473">
        <f t="shared" si="7"/>
        <v>5.0103305785123967E-2</v>
      </c>
      <c r="X74" s="467">
        <f t="shared" si="8"/>
        <v>2033.0501033057851</v>
      </c>
      <c r="Y74" s="658">
        <v>1763</v>
      </c>
      <c r="AB74" s="415"/>
      <c r="AC74" s="415"/>
    </row>
    <row r="75" spans="1:29" s="416" customFormat="1">
      <c r="A75" s="471">
        <v>43766</v>
      </c>
      <c r="B75" s="469" t="s">
        <v>14843</v>
      </c>
      <c r="C75" s="417"/>
      <c r="D75" s="273"/>
      <c r="E75" s="277"/>
      <c r="F75" s="420"/>
      <c r="G75" s="417"/>
      <c r="H75" s="462"/>
      <c r="I75" s="417"/>
      <c r="J75" s="462"/>
      <c r="K75" s="417"/>
      <c r="L75" s="462"/>
      <c r="M75" s="463"/>
      <c r="N75" s="462"/>
      <c r="O75" s="464"/>
      <c r="P75" s="464"/>
      <c r="Q75" s="464"/>
      <c r="R75" s="464"/>
      <c r="S75" s="464"/>
      <c r="T75" s="464"/>
      <c r="U75" s="465">
        <v>1894</v>
      </c>
      <c r="V75" s="473">
        <v>95</v>
      </c>
      <c r="W75" s="473">
        <f t="shared" si="7"/>
        <v>5.0158394931362198E-2</v>
      </c>
      <c r="X75" s="467">
        <f t="shared" si="8"/>
        <v>1989.0501583949313</v>
      </c>
      <c r="Y75" s="658">
        <v>1781</v>
      </c>
      <c r="AB75" s="415"/>
      <c r="AC75" s="415"/>
    </row>
    <row r="76" spans="1:29" s="416" customFormat="1">
      <c r="A76" s="471">
        <v>43795</v>
      </c>
      <c r="B76" s="469" t="s">
        <v>14844</v>
      </c>
      <c r="C76" s="417"/>
      <c r="D76" s="273"/>
      <c r="E76" s="277"/>
      <c r="F76" s="420"/>
      <c r="G76" s="417"/>
      <c r="H76" s="462"/>
      <c r="I76" s="417"/>
      <c r="J76" s="462"/>
      <c r="K76" s="417"/>
      <c r="L76" s="462"/>
      <c r="M76" s="463"/>
      <c r="N76" s="462"/>
      <c r="O76" s="464"/>
      <c r="P76" s="464"/>
      <c r="Q76" s="464"/>
      <c r="R76" s="464"/>
      <c r="S76" s="464"/>
      <c r="T76" s="464"/>
      <c r="U76" s="465">
        <v>1946</v>
      </c>
      <c r="V76" s="473">
        <v>97</v>
      </c>
      <c r="W76" s="473">
        <f t="shared" si="7"/>
        <v>4.9845837615621787E-2</v>
      </c>
      <c r="X76" s="467">
        <f t="shared" si="8"/>
        <v>2043.0498458376155</v>
      </c>
      <c r="Y76" s="658">
        <v>1790</v>
      </c>
      <c r="AB76" s="415"/>
      <c r="AC76" s="415"/>
    </row>
    <row r="77" spans="1:29" s="416" customFormat="1">
      <c r="A77" s="471">
        <v>43825</v>
      </c>
      <c r="B77" s="469" t="s">
        <v>14845</v>
      </c>
      <c r="C77" s="417"/>
      <c r="D77" s="273"/>
      <c r="E77" s="277"/>
      <c r="F77" s="420"/>
      <c r="G77" s="417"/>
      <c r="H77" s="462"/>
      <c r="I77" s="417"/>
      <c r="J77" s="462"/>
      <c r="K77" s="417"/>
      <c r="L77" s="462"/>
      <c r="M77" s="463"/>
      <c r="N77" s="462"/>
      <c r="O77" s="464"/>
      <c r="P77" s="464"/>
      <c r="Q77" s="464"/>
      <c r="R77" s="464"/>
      <c r="S77" s="464"/>
      <c r="T77" s="464"/>
      <c r="U77" s="465">
        <v>1916</v>
      </c>
      <c r="V77" s="473">
        <v>96</v>
      </c>
      <c r="W77" s="473">
        <f>V77/U77</f>
        <v>5.0104384133611693E-2</v>
      </c>
      <c r="X77" s="467">
        <f t="shared" si="8"/>
        <v>2012.0501043841336</v>
      </c>
      <c r="Y77" s="658">
        <v>1859</v>
      </c>
      <c r="AB77" s="415"/>
      <c r="AC77" s="415"/>
    </row>
    <row r="78" spans="1:29">
      <c r="A78" s="477">
        <v>43493</v>
      </c>
      <c r="B78" s="460" t="s">
        <v>14846</v>
      </c>
      <c r="C78" s="417"/>
      <c r="D78" s="273"/>
      <c r="E78" s="277"/>
      <c r="F78" s="420"/>
      <c r="G78" s="417"/>
      <c r="H78" s="462"/>
      <c r="I78" s="417"/>
      <c r="J78" s="462"/>
      <c r="K78" s="417"/>
      <c r="L78" s="462"/>
      <c r="M78" s="463"/>
      <c r="N78" s="462"/>
      <c r="O78" s="464"/>
      <c r="P78" s="464"/>
      <c r="Q78" s="464"/>
      <c r="R78" s="464"/>
      <c r="S78" s="464"/>
      <c r="T78" s="464"/>
      <c r="U78" s="465">
        <v>1176</v>
      </c>
      <c r="V78" s="466">
        <v>59</v>
      </c>
      <c r="W78" s="473">
        <f t="shared" ref="W78:W89" si="9">V78/U78</f>
        <v>5.0170068027210885E-2</v>
      </c>
      <c r="X78" s="467">
        <f t="shared" si="8"/>
        <v>1235.0501700680272</v>
      </c>
      <c r="Y78" s="658">
        <v>1991</v>
      </c>
    </row>
    <row r="79" spans="1:29">
      <c r="A79" s="468">
        <v>43523</v>
      </c>
      <c r="B79" s="469" t="s">
        <v>14847</v>
      </c>
      <c r="C79" s="417"/>
      <c r="D79" s="273"/>
      <c r="E79" s="277"/>
      <c r="F79" s="420"/>
      <c r="G79" s="417"/>
      <c r="H79" s="462"/>
      <c r="I79" s="417"/>
      <c r="J79" s="462"/>
      <c r="K79" s="417"/>
      <c r="L79" s="462"/>
      <c r="M79" s="463"/>
      <c r="N79" s="462"/>
      <c r="O79" s="464"/>
      <c r="P79" s="464"/>
      <c r="Q79" s="464"/>
      <c r="R79" s="464"/>
      <c r="S79" s="464"/>
      <c r="T79" s="464"/>
      <c r="U79" s="465">
        <v>1173</v>
      </c>
      <c r="V79" s="466">
        <v>59</v>
      </c>
      <c r="W79" s="473">
        <f t="shared" si="9"/>
        <v>5.0298380221653879E-2</v>
      </c>
      <c r="X79" s="467">
        <f t="shared" si="8"/>
        <v>1232.0502983802216</v>
      </c>
      <c r="Y79" s="658">
        <v>2017</v>
      </c>
    </row>
    <row r="80" spans="1:29">
      <c r="A80" s="468">
        <v>43552</v>
      </c>
      <c r="B80" s="469" t="s">
        <v>14848</v>
      </c>
      <c r="C80" s="417"/>
      <c r="D80" s="273"/>
      <c r="E80" s="277"/>
      <c r="F80" s="420"/>
      <c r="G80" s="417"/>
      <c r="H80" s="462"/>
      <c r="I80" s="417"/>
      <c r="J80" s="462"/>
      <c r="K80" s="417"/>
      <c r="L80" s="462"/>
      <c r="M80" s="463"/>
      <c r="N80" s="462"/>
      <c r="O80" s="464"/>
      <c r="P80" s="464"/>
      <c r="Q80" s="464"/>
      <c r="R80" s="464"/>
      <c r="S80" s="464"/>
      <c r="T80" s="464"/>
      <c r="U80" s="465">
        <v>1175</v>
      </c>
      <c r="V80" s="466">
        <v>59</v>
      </c>
      <c r="W80" s="473">
        <f t="shared" si="9"/>
        <v>5.0212765957446809E-2</v>
      </c>
      <c r="X80" s="467">
        <f t="shared" si="8"/>
        <v>1234.0502127659574</v>
      </c>
      <c r="Y80" s="658">
        <v>2029</v>
      </c>
    </row>
    <row r="81" spans="1:29">
      <c r="A81" s="470">
        <v>43580</v>
      </c>
      <c r="B81" s="469" t="s">
        <v>14849</v>
      </c>
      <c r="C81" s="417"/>
      <c r="D81" s="273"/>
      <c r="E81" s="277"/>
      <c r="F81" s="420"/>
      <c r="G81" s="417"/>
      <c r="H81" s="462"/>
      <c r="I81" s="417"/>
      <c r="J81" s="462"/>
      <c r="K81" s="417"/>
      <c r="L81" s="462"/>
      <c r="M81" s="463"/>
      <c r="N81" s="462"/>
      <c r="O81" s="464"/>
      <c r="P81" s="464"/>
      <c r="Q81" s="464"/>
      <c r="R81" s="464"/>
      <c r="S81" s="464"/>
      <c r="T81" s="464"/>
      <c r="U81" s="465">
        <v>1170</v>
      </c>
      <c r="V81" s="466">
        <v>59</v>
      </c>
      <c r="W81" s="473">
        <f t="shared" si="9"/>
        <v>5.0427350427350429E-2</v>
      </c>
      <c r="X81" s="467">
        <f t="shared" si="8"/>
        <v>1229.0504273504273</v>
      </c>
      <c r="Y81" s="658">
        <v>2039</v>
      </c>
    </row>
    <row r="82" spans="1:29">
      <c r="A82" s="471">
        <v>43613</v>
      </c>
      <c r="B82" s="469" t="s">
        <v>14850</v>
      </c>
      <c r="C82" s="417"/>
      <c r="D82" s="273"/>
      <c r="E82" s="277"/>
      <c r="F82" s="420"/>
      <c r="G82" s="417"/>
      <c r="H82" s="462"/>
      <c r="I82" s="417"/>
      <c r="J82" s="462"/>
      <c r="K82" s="417"/>
      <c r="L82" s="462"/>
      <c r="M82" s="463"/>
      <c r="N82" s="462"/>
      <c r="O82" s="464"/>
      <c r="P82" s="464"/>
      <c r="Q82" s="464"/>
      <c r="R82" s="464"/>
      <c r="S82" s="464"/>
      <c r="T82" s="464"/>
      <c r="U82" s="465">
        <v>1170</v>
      </c>
      <c r="V82" s="472">
        <v>58</v>
      </c>
      <c r="W82" s="473">
        <f t="shared" si="9"/>
        <v>4.957264957264957E-2</v>
      </c>
      <c r="X82" s="467">
        <f t="shared" si="8"/>
        <v>1228.0495726495726</v>
      </c>
      <c r="Y82" s="658">
        <v>2051</v>
      </c>
    </row>
    <row r="83" spans="1:29">
      <c r="A83" s="471">
        <v>43641</v>
      </c>
      <c r="B83" s="469" t="s">
        <v>14851</v>
      </c>
      <c r="C83" s="417"/>
      <c r="D83" s="273"/>
      <c r="E83" s="277"/>
      <c r="F83" s="420"/>
      <c r="G83" s="417"/>
      <c r="H83" s="462"/>
      <c r="I83" s="417"/>
      <c r="J83" s="462"/>
      <c r="K83" s="417"/>
      <c r="L83" s="462"/>
      <c r="M83" s="463"/>
      <c r="N83" s="462"/>
      <c r="O83" s="464"/>
      <c r="P83" s="464"/>
      <c r="Q83" s="464"/>
      <c r="R83" s="464"/>
      <c r="S83" s="464"/>
      <c r="T83" s="464"/>
      <c r="U83" s="465">
        <v>1172</v>
      </c>
      <c r="V83" s="473">
        <v>59</v>
      </c>
      <c r="W83" s="473">
        <f t="shared" si="9"/>
        <v>5.0341296928327645E-2</v>
      </c>
      <c r="X83" s="467">
        <f t="shared" si="8"/>
        <v>1231.0503412969283</v>
      </c>
      <c r="Y83" s="658">
        <v>2053</v>
      </c>
    </row>
    <row r="84" spans="1:29">
      <c r="A84" s="471">
        <v>43672</v>
      </c>
      <c r="B84" s="469" t="s">
        <v>14852</v>
      </c>
      <c r="C84" s="417"/>
      <c r="D84" s="273"/>
      <c r="E84" s="277"/>
      <c r="F84" s="420"/>
      <c r="G84" s="417"/>
      <c r="H84" s="462"/>
      <c r="I84" s="417"/>
      <c r="J84" s="462"/>
      <c r="K84" s="417"/>
      <c r="L84" s="462"/>
      <c r="M84" s="463"/>
      <c r="N84" s="462"/>
      <c r="O84" s="464"/>
      <c r="P84" s="464"/>
      <c r="Q84" s="464"/>
      <c r="R84" s="464"/>
      <c r="S84" s="464"/>
      <c r="T84" s="464"/>
      <c r="U84" s="465">
        <v>1172</v>
      </c>
      <c r="V84" s="473">
        <v>59</v>
      </c>
      <c r="W84" s="473">
        <f t="shared" si="9"/>
        <v>5.0341296928327645E-2</v>
      </c>
      <c r="X84" s="467">
        <f t="shared" si="8"/>
        <v>1231.0503412969283</v>
      </c>
      <c r="Y84" s="658">
        <v>2055</v>
      </c>
    </row>
    <row r="85" spans="1:29">
      <c r="A85" s="471">
        <v>43704</v>
      </c>
      <c r="B85" s="469" t="s">
        <v>14853</v>
      </c>
      <c r="C85" s="417"/>
      <c r="D85" s="273"/>
      <c r="E85" s="277"/>
      <c r="F85" s="420"/>
      <c r="G85" s="417"/>
      <c r="H85" s="462"/>
      <c r="I85" s="417"/>
      <c r="J85" s="462"/>
      <c r="K85" s="417"/>
      <c r="L85" s="462"/>
      <c r="M85" s="463"/>
      <c r="N85" s="462"/>
      <c r="O85" s="464"/>
      <c r="P85" s="464"/>
      <c r="Q85" s="464"/>
      <c r="R85" s="464"/>
      <c r="S85" s="464"/>
      <c r="T85" s="464"/>
      <c r="U85" s="465">
        <v>1176</v>
      </c>
      <c r="V85" s="466">
        <v>59</v>
      </c>
      <c r="W85" s="473">
        <f t="shared" si="9"/>
        <v>5.0170068027210885E-2</v>
      </c>
      <c r="X85" s="467">
        <f t="shared" si="8"/>
        <v>1235.0501700680272</v>
      </c>
      <c r="Y85" s="658">
        <v>2060</v>
      </c>
    </row>
    <row r="86" spans="1:29">
      <c r="A86" s="568">
        <v>43734</v>
      </c>
      <c r="B86" s="469" t="s">
        <v>14854</v>
      </c>
      <c r="C86" s="417"/>
      <c r="D86" s="273"/>
      <c r="E86" s="277"/>
      <c r="F86" s="420"/>
      <c r="G86" s="417"/>
      <c r="H86" s="462"/>
      <c r="I86" s="417"/>
      <c r="J86" s="462"/>
      <c r="K86" s="417"/>
      <c r="L86" s="462"/>
      <c r="M86" s="463"/>
      <c r="N86" s="462"/>
      <c r="O86" s="464"/>
      <c r="P86" s="464"/>
      <c r="Q86" s="464"/>
      <c r="R86" s="464"/>
      <c r="S86" s="464"/>
      <c r="T86" s="464"/>
      <c r="U86" s="465">
        <v>1175</v>
      </c>
      <c r="V86" s="466">
        <v>59</v>
      </c>
      <c r="W86" s="473">
        <f t="shared" si="9"/>
        <v>5.0212765957446809E-2</v>
      </c>
      <c r="X86" s="467">
        <f t="shared" si="8"/>
        <v>1234.0502127659574</v>
      </c>
      <c r="Y86" s="658">
        <v>2065</v>
      </c>
    </row>
    <row r="87" spans="1:29">
      <c r="A87" s="471">
        <v>43766</v>
      </c>
      <c r="B87" s="469" t="s">
        <v>14855</v>
      </c>
      <c r="C87" s="417"/>
      <c r="D87" s="273"/>
      <c r="E87" s="277"/>
      <c r="F87" s="420"/>
      <c r="G87" s="417"/>
      <c r="H87" s="462"/>
      <c r="I87" s="417"/>
      <c r="J87" s="462"/>
      <c r="K87" s="417"/>
      <c r="L87" s="462"/>
      <c r="M87" s="463"/>
      <c r="N87" s="462"/>
      <c r="O87" s="464"/>
      <c r="P87" s="464"/>
      <c r="Q87" s="464"/>
      <c r="R87" s="464"/>
      <c r="S87" s="464"/>
      <c r="T87" s="464"/>
      <c r="U87" s="465">
        <v>1170</v>
      </c>
      <c r="V87" s="473">
        <v>58</v>
      </c>
      <c r="W87" s="473">
        <f t="shared" si="9"/>
        <v>4.957264957264957E-2</v>
      </c>
      <c r="X87" s="467">
        <f t="shared" si="8"/>
        <v>1228.0495726495726</v>
      </c>
      <c r="Y87" s="658">
        <v>2066</v>
      </c>
    </row>
    <row r="88" spans="1:29">
      <c r="A88" s="471">
        <v>43795</v>
      </c>
      <c r="B88" s="469" t="s">
        <v>14856</v>
      </c>
      <c r="C88" s="417"/>
      <c r="D88" s="273"/>
      <c r="E88" s="277"/>
      <c r="F88" s="420"/>
      <c r="G88" s="417"/>
      <c r="H88" s="462"/>
      <c r="I88" s="417"/>
      <c r="J88" s="462"/>
      <c r="K88" s="417"/>
      <c r="L88" s="462"/>
      <c r="M88" s="463"/>
      <c r="N88" s="462"/>
      <c r="O88" s="464"/>
      <c r="P88" s="464"/>
      <c r="Q88" s="464"/>
      <c r="R88" s="464"/>
      <c r="S88" s="464"/>
      <c r="T88" s="464"/>
      <c r="U88" s="465">
        <v>1171</v>
      </c>
      <c r="V88" s="473">
        <v>59</v>
      </c>
      <c r="W88" s="473">
        <f t="shared" si="9"/>
        <v>5.0384286934244238E-2</v>
      </c>
      <c r="X88" s="467">
        <f t="shared" si="8"/>
        <v>1230.0503842869343</v>
      </c>
      <c r="Y88" s="658">
        <v>2112</v>
      </c>
    </row>
    <row r="89" spans="1:29">
      <c r="A89" s="471">
        <v>43825</v>
      </c>
      <c r="B89" s="469" t="s">
        <v>14857</v>
      </c>
      <c r="C89" s="417"/>
      <c r="D89" s="273"/>
      <c r="E89" s="277"/>
      <c r="F89" s="420"/>
      <c r="G89" s="417"/>
      <c r="H89" s="462"/>
      <c r="I89" s="417"/>
      <c r="J89" s="462"/>
      <c r="K89" s="417"/>
      <c r="L89" s="462"/>
      <c r="M89" s="463"/>
      <c r="N89" s="462"/>
      <c r="O89" s="464"/>
      <c r="P89" s="464"/>
      <c r="Q89" s="464"/>
      <c r="R89" s="464"/>
      <c r="S89" s="464"/>
      <c r="T89" s="464"/>
      <c r="U89" s="465">
        <v>1173</v>
      </c>
      <c r="V89" s="473">
        <v>59</v>
      </c>
      <c r="W89" s="473">
        <f t="shared" si="9"/>
        <v>5.0298380221653879E-2</v>
      </c>
      <c r="X89" s="467">
        <f t="shared" si="8"/>
        <v>1232.0502983802216</v>
      </c>
      <c r="Y89" s="658">
        <v>2245</v>
      </c>
    </row>
    <row r="90" spans="1:29" s="416" customFormat="1">
      <c r="A90" s="474"/>
      <c r="B90" s="460"/>
      <c r="C90" s="417"/>
      <c r="D90" s="461"/>
      <c r="E90" s="417"/>
      <c r="F90" s="420"/>
      <c r="G90" s="417"/>
      <c r="H90" s="462"/>
      <c r="I90" s="417"/>
      <c r="J90" s="462"/>
      <c r="K90" s="417"/>
      <c r="L90" s="462"/>
      <c r="M90" s="463"/>
      <c r="N90" s="462"/>
      <c r="O90" s="464"/>
      <c r="P90" s="464"/>
      <c r="Q90" s="464"/>
      <c r="R90" s="464"/>
      <c r="S90" s="464"/>
      <c r="T90" s="755">
        <f>U90+V90</f>
        <v>59707</v>
      </c>
      <c r="U90" s="465">
        <f>SUM(U54:U89)</f>
        <v>56861</v>
      </c>
      <c r="V90" s="465">
        <f>SUM(V54:V89)</f>
        <v>2846</v>
      </c>
      <c r="W90" s="465">
        <f>SUM(W54:W89)</f>
        <v>1.8022517667419038</v>
      </c>
      <c r="X90" s="467">
        <f t="shared" si="8"/>
        <v>59708.802251766741</v>
      </c>
      <c r="Y90" s="415"/>
      <c r="AB90" s="415"/>
      <c r="AC90" s="415"/>
    </row>
    <row r="91" spans="1:29" s="416" customFormat="1">
      <c r="A91" s="475">
        <v>43496</v>
      </c>
      <c r="B91" s="460" t="s">
        <v>14816</v>
      </c>
      <c r="C91" s="417"/>
      <c r="D91" s="461"/>
      <c r="E91" s="417"/>
      <c r="F91" s="420"/>
      <c r="G91" s="417"/>
      <c r="H91" s="462"/>
      <c r="I91" s="417"/>
      <c r="J91" s="462"/>
      <c r="K91" s="417"/>
      <c r="L91" s="462"/>
      <c r="M91" s="463"/>
      <c r="N91" s="462"/>
      <c r="O91" s="464"/>
      <c r="P91" s="464"/>
      <c r="Q91" s="464"/>
      <c r="R91" s="464"/>
      <c r="S91" s="464"/>
      <c r="T91" s="464"/>
      <c r="U91" s="465">
        <v>153</v>
      </c>
      <c r="V91" s="472">
        <v>8</v>
      </c>
      <c r="W91" s="476">
        <v>28</v>
      </c>
      <c r="X91" s="467">
        <f t="shared" si="8"/>
        <v>189</v>
      </c>
      <c r="Y91" s="451"/>
      <c r="AB91" s="415"/>
      <c r="AC91" s="415"/>
    </row>
    <row r="92" spans="1:29" s="416" customFormat="1">
      <c r="A92" s="468">
        <v>43567</v>
      </c>
      <c r="B92" s="469" t="s">
        <v>14817</v>
      </c>
      <c r="C92" s="417"/>
      <c r="D92" s="461"/>
      <c r="E92" s="417"/>
      <c r="F92" s="420"/>
      <c r="G92" s="417"/>
      <c r="H92" s="462"/>
      <c r="I92" s="417"/>
      <c r="J92" s="462"/>
      <c r="K92" s="417"/>
      <c r="L92" s="462"/>
      <c r="M92" s="463"/>
      <c r="N92" s="462"/>
      <c r="O92" s="464"/>
      <c r="P92" s="464"/>
      <c r="Q92" s="464"/>
      <c r="R92" s="464"/>
      <c r="S92" s="464"/>
      <c r="T92" s="464"/>
      <c r="U92" s="465">
        <v>144</v>
      </c>
      <c r="V92" s="466">
        <v>7</v>
      </c>
      <c r="W92" s="466">
        <v>17</v>
      </c>
      <c r="X92" s="467">
        <f t="shared" si="8"/>
        <v>168</v>
      </c>
      <c r="Y92" s="415"/>
      <c r="AB92" s="415"/>
      <c r="AC92" s="415"/>
    </row>
    <row r="93" spans="1:29" s="416" customFormat="1">
      <c r="A93" s="470">
        <v>43619</v>
      </c>
      <c r="B93" s="469" t="s">
        <v>14818</v>
      </c>
      <c r="C93" s="417"/>
      <c r="D93" s="461"/>
      <c r="E93" s="417"/>
      <c r="F93" s="420"/>
      <c r="G93" s="417"/>
      <c r="H93" s="462"/>
      <c r="I93" s="417"/>
      <c r="J93" s="462"/>
      <c r="K93" s="417"/>
      <c r="L93" s="462"/>
      <c r="M93" s="463"/>
      <c r="N93" s="462"/>
      <c r="O93" s="464"/>
      <c r="P93" s="464"/>
      <c r="Q93" s="464"/>
      <c r="R93" s="464"/>
      <c r="S93" s="464"/>
      <c r="T93" s="464"/>
      <c r="U93" s="465">
        <v>149</v>
      </c>
      <c r="V93" s="473">
        <v>7</v>
      </c>
      <c r="W93" s="473">
        <v>22</v>
      </c>
      <c r="X93" s="467">
        <f t="shared" si="8"/>
        <v>178</v>
      </c>
      <c r="Y93" s="415"/>
      <c r="AB93" s="415"/>
      <c r="AC93" s="415"/>
    </row>
    <row r="94" spans="1:29" s="416" customFormat="1">
      <c r="A94" s="470">
        <v>43670</v>
      </c>
      <c r="B94" s="469" t="s">
        <v>14819</v>
      </c>
      <c r="C94" s="417"/>
      <c r="D94" s="461"/>
      <c r="E94" s="417"/>
      <c r="F94" s="420"/>
      <c r="G94" s="417"/>
      <c r="H94" s="462"/>
      <c r="I94" s="417"/>
      <c r="J94" s="462"/>
      <c r="K94" s="417"/>
      <c r="L94" s="462"/>
      <c r="M94" s="463"/>
      <c r="N94" s="462"/>
      <c r="O94" s="464"/>
      <c r="P94" s="464"/>
      <c r="Q94" s="464"/>
      <c r="R94" s="464"/>
      <c r="S94" s="464"/>
      <c r="T94" s="464"/>
      <c r="U94" s="465">
        <v>149</v>
      </c>
      <c r="V94" s="466">
        <v>7</v>
      </c>
      <c r="W94" s="466">
        <v>22</v>
      </c>
      <c r="X94" s="467">
        <f t="shared" si="8"/>
        <v>178</v>
      </c>
      <c r="Y94" s="415"/>
      <c r="AB94" s="415"/>
      <c r="AC94" s="415"/>
    </row>
    <row r="95" spans="1:29" s="416" customFormat="1">
      <c r="A95" s="470">
        <v>43734</v>
      </c>
      <c r="B95" s="469" t="s">
        <v>14820</v>
      </c>
      <c r="C95" s="417"/>
      <c r="D95" s="461"/>
      <c r="E95" s="417"/>
      <c r="F95" s="420"/>
      <c r="G95" s="417"/>
      <c r="H95" s="462"/>
      <c r="I95" s="417"/>
      <c r="J95" s="462"/>
      <c r="K95" s="417"/>
      <c r="L95" s="462"/>
      <c r="M95" s="463"/>
      <c r="N95" s="462"/>
      <c r="O95" s="464"/>
      <c r="P95" s="464"/>
      <c r="Q95" s="464"/>
      <c r="R95" s="464"/>
      <c r="S95" s="464"/>
      <c r="T95" s="464"/>
      <c r="U95" s="465">
        <v>153</v>
      </c>
      <c r="V95" s="466">
        <v>8</v>
      </c>
      <c r="W95" s="466">
        <v>28</v>
      </c>
      <c r="X95" s="467">
        <f t="shared" si="8"/>
        <v>189</v>
      </c>
      <c r="Y95" s="415"/>
      <c r="AB95" s="415"/>
      <c r="AC95" s="415"/>
    </row>
    <row r="96" spans="1:29" s="416" customFormat="1">
      <c r="A96" s="470">
        <v>43796</v>
      </c>
      <c r="B96" s="469" t="s">
        <v>14821</v>
      </c>
      <c r="C96" s="417"/>
      <c r="D96" s="461"/>
      <c r="E96" s="417"/>
      <c r="F96" s="420"/>
      <c r="G96" s="417"/>
      <c r="H96" s="462"/>
      <c r="I96" s="417"/>
      <c r="J96" s="462"/>
      <c r="K96" s="417"/>
      <c r="L96" s="462"/>
      <c r="M96" s="463"/>
      <c r="N96" s="462"/>
      <c r="O96" s="464"/>
      <c r="P96" s="464"/>
      <c r="Q96" s="464"/>
      <c r="R96" s="464"/>
      <c r="S96" s="464"/>
      <c r="T96" s="464"/>
      <c r="U96" s="465">
        <v>149</v>
      </c>
      <c r="V96" s="473">
        <v>7</v>
      </c>
      <c r="W96" s="473">
        <v>22</v>
      </c>
      <c r="X96" s="467">
        <f t="shared" si="8"/>
        <v>178</v>
      </c>
      <c r="Y96" s="415"/>
      <c r="AB96" s="415"/>
      <c r="AC96" s="415"/>
    </row>
    <row r="97" spans="1:29" s="416" customFormat="1">
      <c r="A97" s="474"/>
      <c r="B97" s="460"/>
      <c r="C97" s="417"/>
      <c r="D97" s="461"/>
      <c r="E97" s="417"/>
      <c r="F97" s="420"/>
      <c r="G97" s="417"/>
      <c r="H97" s="462"/>
      <c r="I97" s="417"/>
      <c r="J97" s="462"/>
      <c r="K97" s="417"/>
      <c r="L97" s="462"/>
      <c r="M97" s="463"/>
      <c r="N97" s="462"/>
      <c r="O97" s="464"/>
      <c r="P97" s="464"/>
      <c r="Q97" s="464"/>
      <c r="R97" s="464"/>
      <c r="S97" s="464"/>
      <c r="T97" s="464">
        <f>U97+V97</f>
        <v>941</v>
      </c>
      <c r="U97" s="465">
        <f>SUM(U91:U96)</f>
        <v>897</v>
      </c>
      <c r="V97" s="465">
        <f>SUM(V91:V96)</f>
        <v>44</v>
      </c>
      <c r="W97" s="465">
        <f>SUM(W91:W96)</f>
        <v>139</v>
      </c>
      <c r="X97" s="467">
        <f t="shared" si="8"/>
        <v>1080</v>
      </c>
      <c r="Y97" s="415"/>
      <c r="AB97" s="415"/>
      <c r="AC97" s="415"/>
    </row>
    <row r="98" spans="1:29" s="416" customFormat="1">
      <c r="A98" s="477">
        <v>43496</v>
      </c>
      <c r="B98" s="460" t="s">
        <v>14810</v>
      </c>
      <c r="C98" s="417"/>
      <c r="D98" s="461"/>
      <c r="E98" s="417"/>
      <c r="F98" s="420"/>
      <c r="G98" s="417"/>
      <c r="H98" s="462"/>
      <c r="I98" s="417"/>
      <c r="J98" s="462"/>
      <c r="K98" s="417"/>
      <c r="L98" s="462"/>
      <c r="M98" s="463"/>
      <c r="N98" s="462"/>
      <c r="O98" s="464"/>
      <c r="P98" s="464"/>
      <c r="Q98" s="464"/>
      <c r="R98" s="464"/>
      <c r="S98" s="464"/>
      <c r="T98" s="464"/>
      <c r="U98" s="465">
        <v>1582</v>
      </c>
      <c r="V98" s="472">
        <v>79</v>
      </c>
      <c r="W98" s="476"/>
      <c r="X98" s="467">
        <f t="shared" si="8"/>
        <v>1661</v>
      </c>
      <c r="Y98" s="451"/>
      <c r="AB98" s="415"/>
      <c r="AC98" s="415"/>
    </row>
    <row r="99" spans="1:29" s="416" customFormat="1">
      <c r="A99" s="468">
        <v>43571</v>
      </c>
      <c r="B99" s="469" t="s">
        <v>14811</v>
      </c>
      <c r="C99" s="417"/>
      <c r="D99" s="461"/>
      <c r="E99" s="417"/>
      <c r="F99" s="420"/>
      <c r="G99" s="417"/>
      <c r="H99" s="462"/>
      <c r="I99" s="417"/>
      <c r="J99" s="462"/>
      <c r="K99" s="417"/>
      <c r="L99" s="462"/>
      <c r="M99" s="463"/>
      <c r="N99" s="462"/>
      <c r="O99" s="464"/>
      <c r="P99" s="464"/>
      <c r="Q99" s="464"/>
      <c r="R99" s="464"/>
      <c r="S99" s="464"/>
      <c r="T99" s="464"/>
      <c r="U99" s="465">
        <v>1215</v>
      </c>
      <c r="V99" s="466">
        <v>61</v>
      </c>
      <c r="W99" s="466"/>
      <c r="X99" s="467">
        <f t="shared" si="8"/>
        <v>1276</v>
      </c>
      <c r="Y99" s="415"/>
      <c r="AB99" s="415"/>
      <c r="AC99" s="415"/>
    </row>
    <row r="100" spans="1:29" s="416" customFormat="1">
      <c r="A100" s="470">
        <v>43633</v>
      </c>
      <c r="B100" s="469" t="s">
        <v>14812</v>
      </c>
      <c r="C100" s="417"/>
      <c r="D100" s="461"/>
      <c r="E100" s="417"/>
      <c r="F100" s="420"/>
      <c r="G100" s="417"/>
      <c r="H100" s="462"/>
      <c r="I100" s="417"/>
      <c r="J100" s="462"/>
      <c r="K100" s="417"/>
      <c r="L100" s="462"/>
      <c r="M100" s="463"/>
      <c r="N100" s="462"/>
      <c r="O100" s="464"/>
      <c r="P100" s="464"/>
      <c r="Q100" s="464"/>
      <c r="R100" s="464"/>
      <c r="S100" s="464"/>
      <c r="T100" s="464"/>
      <c r="U100" s="465">
        <v>1618</v>
      </c>
      <c r="V100" s="473">
        <v>81</v>
      </c>
      <c r="W100" s="473"/>
      <c r="X100" s="467">
        <f t="shared" si="8"/>
        <v>1699</v>
      </c>
      <c r="Y100" s="415"/>
      <c r="AB100" s="415"/>
      <c r="AC100" s="415"/>
    </row>
    <row r="101" spans="1:29" s="416" customFormat="1">
      <c r="A101" s="470">
        <v>43696</v>
      </c>
      <c r="B101" s="469" t="s">
        <v>14813</v>
      </c>
      <c r="C101" s="417"/>
      <c r="D101" s="461"/>
      <c r="E101" s="417"/>
      <c r="F101" s="420"/>
      <c r="G101" s="417"/>
      <c r="H101" s="462"/>
      <c r="I101" s="417"/>
      <c r="J101" s="462"/>
      <c r="K101" s="417"/>
      <c r="L101" s="462"/>
      <c r="M101" s="463"/>
      <c r="N101" s="462"/>
      <c r="O101" s="464"/>
      <c r="P101" s="464"/>
      <c r="Q101" s="464"/>
      <c r="R101" s="464"/>
      <c r="S101" s="464"/>
      <c r="T101" s="464"/>
      <c r="U101" s="465">
        <v>2394</v>
      </c>
      <c r="V101" s="466">
        <v>120</v>
      </c>
      <c r="W101" s="466"/>
      <c r="X101" s="467">
        <f t="shared" si="8"/>
        <v>2514</v>
      </c>
      <c r="Y101" s="415"/>
      <c r="AB101" s="415"/>
      <c r="AC101" s="415"/>
    </row>
    <row r="102" spans="1:29" s="416" customFormat="1">
      <c r="A102" s="470">
        <v>43754</v>
      </c>
      <c r="B102" s="469" t="s">
        <v>14814</v>
      </c>
      <c r="C102" s="417"/>
      <c r="D102" s="461"/>
      <c r="E102" s="417"/>
      <c r="F102" s="420"/>
      <c r="G102" s="417"/>
      <c r="H102" s="462"/>
      <c r="I102" s="417"/>
      <c r="J102" s="462"/>
      <c r="K102" s="417"/>
      <c r="L102" s="462"/>
      <c r="M102" s="463"/>
      <c r="N102" s="462"/>
      <c r="O102" s="464"/>
      <c r="P102" s="464"/>
      <c r="Q102" s="464"/>
      <c r="R102" s="464"/>
      <c r="S102" s="464"/>
      <c r="T102" s="464"/>
      <c r="U102" s="465">
        <v>2915</v>
      </c>
      <c r="V102" s="466">
        <v>146</v>
      </c>
      <c r="W102" s="466"/>
      <c r="X102" s="467">
        <f t="shared" si="8"/>
        <v>3061</v>
      </c>
      <c r="Y102" s="415"/>
      <c r="AB102" s="415"/>
      <c r="AC102" s="415"/>
    </row>
    <row r="103" spans="1:29" s="416" customFormat="1">
      <c r="A103" s="470">
        <v>43815</v>
      </c>
      <c r="B103" s="469" t="s">
        <v>14815</v>
      </c>
      <c r="C103" s="417"/>
      <c r="D103" s="461"/>
      <c r="E103" s="417"/>
      <c r="F103" s="420"/>
      <c r="G103" s="417"/>
      <c r="H103" s="462"/>
      <c r="I103" s="417"/>
      <c r="J103" s="462"/>
      <c r="K103" s="417"/>
      <c r="L103" s="462"/>
      <c r="M103" s="463"/>
      <c r="N103" s="462"/>
      <c r="O103" s="464"/>
      <c r="P103" s="464"/>
      <c r="Q103" s="464"/>
      <c r="R103" s="464"/>
      <c r="S103" s="464"/>
      <c r="T103" s="464"/>
      <c r="U103" s="465">
        <v>1912</v>
      </c>
      <c r="V103" s="473">
        <v>96</v>
      </c>
      <c r="W103" s="473"/>
      <c r="X103" s="467">
        <f t="shared" si="8"/>
        <v>2008</v>
      </c>
      <c r="Y103" s="415"/>
      <c r="AB103" s="415"/>
      <c r="AC103" s="415"/>
    </row>
    <row r="104" spans="1:29" s="416" customFormat="1">
      <c r="A104" s="474"/>
      <c r="B104" s="460"/>
      <c r="C104" s="417"/>
      <c r="D104" s="461"/>
      <c r="E104" s="417"/>
      <c r="F104" s="420"/>
      <c r="G104" s="417"/>
      <c r="H104" s="462"/>
      <c r="I104" s="417"/>
      <c r="J104" s="462"/>
      <c r="K104" s="417"/>
      <c r="L104" s="462"/>
      <c r="M104" s="463"/>
      <c r="N104" s="462"/>
      <c r="O104" s="464"/>
      <c r="P104" s="464"/>
      <c r="Q104" s="464"/>
      <c r="R104" s="464"/>
      <c r="S104" s="464"/>
      <c r="T104" s="464">
        <f>U104+V104</f>
        <v>12219</v>
      </c>
      <c r="U104" s="465">
        <f>SUM(U98:U103)</f>
        <v>11636</v>
      </c>
      <c r="V104" s="465">
        <f>SUM(V98:V103)</f>
        <v>583</v>
      </c>
      <c r="W104" s="465">
        <f>SUM(W98:W103)</f>
        <v>0</v>
      </c>
      <c r="X104" s="467">
        <f t="shared" si="8"/>
        <v>12219</v>
      </c>
      <c r="Y104" s="415"/>
      <c r="AB104" s="415"/>
      <c r="AC104" s="415"/>
    </row>
    <row r="105" spans="1:29" s="416" customFormat="1">
      <c r="A105" s="442"/>
      <c r="B105" s="413"/>
      <c r="C105" s="442"/>
      <c r="D105" s="441"/>
      <c r="E105" s="442"/>
      <c r="F105" s="443"/>
      <c r="G105" s="442"/>
      <c r="H105" s="444"/>
      <c r="I105" s="442"/>
      <c r="J105" s="444"/>
      <c r="K105" s="442"/>
      <c r="L105" s="444"/>
      <c r="M105" s="445"/>
      <c r="N105" s="444"/>
      <c r="S105" s="416" t="s">
        <v>594</v>
      </c>
      <c r="U105" s="416">
        <f>U90+U97+U104</f>
        <v>69394</v>
      </c>
      <c r="V105" s="416">
        <f>V90+V97+V104</f>
        <v>3473</v>
      </c>
      <c r="W105" s="416">
        <f>W90+W97+W104</f>
        <v>140.8022517667419</v>
      </c>
      <c r="X105" s="467">
        <f t="shared" si="8"/>
        <v>73007.802251766741</v>
      </c>
      <c r="Y105" s="415"/>
      <c r="AB105" s="415"/>
      <c r="AC105" s="415"/>
    </row>
    <row r="106" spans="1:29" s="416" customFormat="1">
      <c r="A106" s="442"/>
      <c r="B106" s="413"/>
      <c r="C106" s="442"/>
      <c r="D106" s="441"/>
      <c r="E106" s="442"/>
      <c r="F106" s="443"/>
      <c r="G106" s="442"/>
      <c r="H106" s="444"/>
      <c r="I106" s="442"/>
      <c r="J106" s="444"/>
      <c r="K106" s="442"/>
      <c r="L106" s="444"/>
      <c r="M106" s="445"/>
      <c r="N106" s="444"/>
      <c r="S106" s="478" t="s">
        <v>14859</v>
      </c>
      <c r="U106" s="416">
        <f>U105+U18+U1</f>
        <v>207971.21142857143</v>
      </c>
      <c r="V106" s="479">
        <f>V105+V18+V1</f>
        <v>10401</v>
      </c>
      <c r="W106" s="479"/>
      <c r="X106" s="616">
        <f t="shared" si="8"/>
        <v>218372.21142857143</v>
      </c>
      <c r="Y106" s="415"/>
      <c r="Z106" s="677">
        <f>16361-V106</f>
        <v>5960</v>
      </c>
      <c r="AB106" s="415"/>
      <c r="AC106" s="415"/>
    </row>
    <row r="108" spans="1:29">
      <c r="S108" s="478" t="s">
        <v>5672</v>
      </c>
      <c r="U108" s="451">
        <v>207971</v>
      </c>
      <c r="V108" s="451">
        <v>10401</v>
      </c>
    </row>
    <row r="109" spans="1:29">
      <c r="U109" s="677">
        <f>U106-U108</f>
        <v>0.21142857143422589</v>
      </c>
      <c r="V109" s="416">
        <f>V106-V108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13"/>
  <sheetViews>
    <sheetView zoomScale="80" zoomScaleNormal="80" workbookViewId="0">
      <selection activeCell="U20" sqref="U20"/>
    </sheetView>
  </sheetViews>
  <sheetFormatPr defaultColWidth="9" defaultRowHeight="16.5"/>
  <cols>
    <col min="1" max="1" width="11.125" style="442" customWidth="1"/>
    <col min="2" max="2" width="19.625" style="413" customWidth="1"/>
    <col min="3" max="3" width="4.125" style="443" bestFit="1" customWidth="1"/>
    <col min="4" max="4" width="7.5" style="444" bestFit="1" customWidth="1"/>
    <col min="5" max="5" width="10" style="443" bestFit="1" customWidth="1"/>
    <col min="6" max="6" width="9.125" style="443" bestFit="1" customWidth="1"/>
    <col min="7" max="7" width="4.5" style="443" bestFit="1" customWidth="1"/>
    <col min="8" max="8" width="7" style="444" bestFit="1" customWidth="1"/>
    <col min="9" max="9" width="4" style="443" bestFit="1" customWidth="1"/>
    <col min="10" max="10" width="7.5" style="444" bestFit="1" customWidth="1"/>
    <col min="11" max="11" width="5.5" style="443" bestFit="1" customWidth="1"/>
    <col min="12" max="12" width="6.375" style="444" bestFit="1" customWidth="1"/>
    <col min="13" max="13" width="5.625" style="875" bestFit="1" customWidth="1"/>
    <col min="14" max="14" width="6" style="444" bestFit="1" customWidth="1"/>
    <col min="15" max="15" width="5.625" style="416" bestFit="1" customWidth="1"/>
    <col min="16" max="16" width="7" style="416" bestFit="1" customWidth="1"/>
    <col min="17" max="17" width="5.625" style="416" bestFit="1" customWidth="1"/>
    <col min="18" max="18" width="7" style="416" bestFit="1" customWidth="1"/>
    <col min="19" max="19" width="5.25" style="416" customWidth="1"/>
    <col min="20" max="20" width="7" style="416" bestFit="1" customWidth="1"/>
    <col min="21" max="21" width="8.625" style="416" bestFit="1" customWidth="1"/>
    <col min="22" max="22" width="7" style="416" bestFit="1" customWidth="1"/>
    <col min="23" max="23" width="4.625" style="416" customWidth="1"/>
    <col min="24" max="24" width="8" style="416" bestFit="1" customWidth="1"/>
    <col min="25" max="25" width="8" style="415" customWidth="1"/>
    <col min="26" max="26" width="6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19006</v>
      </c>
      <c r="C1" s="416">
        <f t="shared" ref="C1:V1" si="0">SUM(C3:C19)</f>
        <v>9</v>
      </c>
      <c r="D1" s="416">
        <f t="shared" si="0"/>
        <v>24420.95</v>
      </c>
      <c r="E1" s="416">
        <f t="shared" si="0"/>
        <v>8</v>
      </c>
      <c r="F1" s="416">
        <f t="shared" si="0"/>
        <v>21293.329999999998</v>
      </c>
      <c r="G1" s="416">
        <f t="shared" si="0"/>
        <v>10</v>
      </c>
      <c r="H1" s="416">
        <f t="shared" si="0"/>
        <v>7972.72</v>
      </c>
      <c r="I1" s="416">
        <f t="shared" si="0"/>
        <v>18</v>
      </c>
      <c r="J1" s="416">
        <f t="shared" si="0"/>
        <v>46765.22</v>
      </c>
      <c r="K1" s="416">
        <f t="shared" si="0"/>
        <v>27</v>
      </c>
      <c r="L1" s="416">
        <f t="shared" si="0"/>
        <v>24509.309999999998</v>
      </c>
      <c r="M1" s="416">
        <f t="shared" si="0"/>
        <v>18</v>
      </c>
      <c r="N1" s="416">
        <f t="shared" si="0"/>
        <v>3630.82</v>
      </c>
      <c r="O1" s="416">
        <f t="shared" si="0"/>
        <v>8</v>
      </c>
      <c r="P1" s="416">
        <f t="shared" si="0"/>
        <v>12019.03</v>
      </c>
      <c r="Q1" s="416">
        <f t="shared" si="0"/>
        <v>1</v>
      </c>
      <c r="R1" s="416">
        <f t="shared" si="0"/>
        <v>1610</v>
      </c>
      <c r="S1" s="416">
        <f t="shared" si="0"/>
        <v>7</v>
      </c>
      <c r="T1" s="416">
        <f t="shared" si="0"/>
        <v>8236.67</v>
      </c>
      <c r="U1" s="416">
        <f t="shared" si="0"/>
        <v>149845.04999999999</v>
      </c>
      <c r="V1" s="416">
        <f t="shared" si="0"/>
        <v>7491</v>
      </c>
      <c r="X1" s="416">
        <f>SUM(X3:X19)</f>
        <v>157336.05000000002</v>
      </c>
    </row>
    <row r="2" spans="1:27">
      <c r="A2" s="417" t="s">
        <v>241</v>
      </c>
      <c r="B2" s="418" t="s">
        <v>894</v>
      </c>
      <c r="C2" s="420" t="s">
        <v>895</v>
      </c>
      <c r="D2" s="420" t="s">
        <v>896</v>
      </c>
      <c r="E2" s="420" t="s">
        <v>897</v>
      </c>
      <c r="F2" s="420" t="s">
        <v>896</v>
      </c>
      <c r="G2" s="420" t="s">
        <v>898</v>
      </c>
      <c r="H2" s="420" t="s">
        <v>896</v>
      </c>
      <c r="I2" s="420" t="s">
        <v>899</v>
      </c>
      <c r="J2" s="420" t="s">
        <v>896</v>
      </c>
      <c r="K2" s="420" t="s">
        <v>900</v>
      </c>
      <c r="L2" s="420" t="s">
        <v>896</v>
      </c>
      <c r="M2" s="422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2" t="s">
        <v>3755</v>
      </c>
      <c r="T2" s="420" t="s">
        <v>896</v>
      </c>
      <c r="U2" s="422" t="s">
        <v>592</v>
      </c>
      <c r="V2" s="420" t="s">
        <v>2683</v>
      </c>
      <c r="W2" s="420" t="s">
        <v>593</v>
      </c>
      <c r="X2" s="420" t="s">
        <v>2378</v>
      </c>
      <c r="Y2" s="423" t="s">
        <v>903</v>
      </c>
      <c r="Z2" s="422"/>
      <c r="AA2" s="422"/>
    </row>
    <row r="3" spans="1:27">
      <c r="A3" s="424">
        <v>43844</v>
      </c>
      <c r="B3" s="412" t="s">
        <v>19038</v>
      </c>
      <c r="C3" s="872"/>
      <c r="D3" s="426"/>
      <c r="E3" s="872"/>
      <c r="F3" s="426"/>
      <c r="G3" s="872"/>
      <c r="H3" s="427"/>
      <c r="I3" s="872">
        <v>4</v>
      </c>
      <c r="J3" s="426">
        <f>2752.38*4</f>
        <v>11009.52</v>
      </c>
      <c r="K3" s="872">
        <v>5</v>
      </c>
      <c r="L3" s="426">
        <f>1228.57*5</f>
        <v>6142.8499999999995</v>
      </c>
      <c r="M3" s="432"/>
      <c r="N3" s="426"/>
      <c r="O3" s="432"/>
      <c r="P3" s="426"/>
      <c r="Q3" s="432"/>
      <c r="R3" s="426"/>
      <c r="S3" s="432"/>
      <c r="T3" s="426"/>
      <c r="U3" s="416">
        <f>D3+F3+H3+J3+L3+N3+T3+P3+R3</f>
        <v>17152.37</v>
      </c>
      <c r="V3" s="416">
        <v>858</v>
      </c>
      <c r="X3" s="873">
        <f t="shared" ref="X3:X19" si="1">U3+V3</f>
        <v>18010.37</v>
      </c>
      <c r="Y3" s="430" t="s">
        <v>5069</v>
      </c>
      <c r="Z3" s="431"/>
      <c r="AA3" s="432"/>
    </row>
    <row r="4" spans="1:27">
      <c r="A4" s="424">
        <v>43949</v>
      </c>
      <c r="B4" s="412" t="s">
        <v>19039</v>
      </c>
      <c r="C4" s="872"/>
      <c r="D4" s="426"/>
      <c r="E4" s="872"/>
      <c r="F4" s="426"/>
      <c r="G4" s="872"/>
      <c r="H4" s="427"/>
      <c r="I4" s="872">
        <v>2</v>
      </c>
      <c r="J4" s="426">
        <f>2752.38*2</f>
        <v>5504.76</v>
      </c>
      <c r="K4" s="872">
        <v>3</v>
      </c>
      <c r="L4" s="426">
        <f>1228.57*3</f>
        <v>3685.71</v>
      </c>
      <c r="M4" s="432"/>
      <c r="N4" s="426"/>
      <c r="O4" s="432"/>
      <c r="P4" s="426"/>
      <c r="Q4" s="432"/>
      <c r="R4" s="426"/>
      <c r="S4" s="432">
        <v>2</v>
      </c>
      <c r="T4" s="426">
        <f>618.1+428.57</f>
        <v>1046.67</v>
      </c>
      <c r="U4" s="416">
        <f>D4+F4+H4+J4+L4+N4+T4+P4+R4</f>
        <v>10237.140000000001</v>
      </c>
      <c r="V4" s="416">
        <v>512</v>
      </c>
      <c r="X4" s="874">
        <f t="shared" si="1"/>
        <v>10749.140000000001</v>
      </c>
      <c r="Y4" s="430" t="s">
        <v>5069</v>
      </c>
      <c r="Z4" s="431"/>
      <c r="AA4" s="432"/>
    </row>
    <row r="5" spans="1:27">
      <c r="A5" s="424">
        <v>43962</v>
      </c>
      <c r="B5" s="412" t="s">
        <v>19040</v>
      </c>
      <c r="C5" s="872">
        <v>1</v>
      </c>
      <c r="D5" s="426">
        <f>1903.81</f>
        <v>1903.81</v>
      </c>
      <c r="E5" s="872"/>
      <c r="F5" s="426"/>
      <c r="G5" s="872"/>
      <c r="H5" s="427"/>
      <c r="I5" s="872"/>
      <c r="J5" s="426"/>
      <c r="K5" s="872"/>
      <c r="L5" s="426"/>
      <c r="M5" s="432"/>
      <c r="N5" s="426"/>
      <c r="O5" s="432"/>
      <c r="P5" s="426"/>
      <c r="Q5" s="432"/>
      <c r="R5" s="426"/>
      <c r="S5" s="432"/>
      <c r="T5" s="426"/>
      <c r="U5" s="416">
        <f t="shared" ref="U5:U15" si="2">D5+F5+H5+J5+L5+N5+T5+P5+R5</f>
        <v>1903.81</v>
      </c>
      <c r="V5" s="416">
        <v>95</v>
      </c>
      <c r="X5" s="873">
        <f t="shared" si="1"/>
        <v>1998.81</v>
      </c>
      <c r="Y5" s="430" t="s">
        <v>5069</v>
      </c>
      <c r="Z5" s="431"/>
      <c r="AA5" s="432"/>
    </row>
    <row r="6" spans="1:27" ht="15.75" customHeight="1">
      <c r="A6" s="424">
        <v>43977</v>
      </c>
      <c r="B6" s="412" t="s">
        <v>19041</v>
      </c>
      <c r="C6" s="872">
        <v>1</v>
      </c>
      <c r="D6" s="426">
        <f>4180.95</f>
        <v>4180.95</v>
      </c>
      <c r="E6" s="872">
        <v>1</v>
      </c>
      <c r="F6" s="426">
        <v>2657.14</v>
      </c>
      <c r="G6" s="872">
        <v>3</v>
      </c>
      <c r="H6" s="427">
        <f>843.81*3</f>
        <v>2531.4299999999998</v>
      </c>
      <c r="I6" s="872">
        <v>2</v>
      </c>
      <c r="J6" s="426">
        <f>2752.38*2</f>
        <v>5504.76</v>
      </c>
      <c r="K6" s="872">
        <v>5</v>
      </c>
      <c r="L6" s="426">
        <f>1228.57*3+284.76*2</f>
        <v>4255.2299999999996</v>
      </c>
      <c r="M6" s="432">
        <v>6</v>
      </c>
      <c r="N6" s="426">
        <f>171.43*4+122.86*2</f>
        <v>931.44</v>
      </c>
      <c r="O6" s="432">
        <v>3</v>
      </c>
      <c r="P6" s="426">
        <f>1323.81*3</f>
        <v>3971.43</v>
      </c>
      <c r="Q6" s="432"/>
      <c r="R6" s="426"/>
      <c r="S6" s="432"/>
      <c r="T6" s="426"/>
      <c r="U6" s="416">
        <f t="shared" si="2"/>
        <v>24032.38</v>
      </c>
      <c r="V6" s="416">
        <v>1202</v>
      </c>
      <c r="X6" s="897">
        <f t="shared" si="1"/>
        <v>25234.38</v>
      </c>
      <c r="Y6" s="430" t="s">
        <v>5069</v>
      </c>
      <c r="Z6" s="431"/>
      <c r="AA6" s="432"/>
    </row>
    <row r="7" spans="1:27">
      <c r="A7" s="424">
        <v>43990</v>
      </c>
      <c r="B7" s="412" t="s">
        <v>19042</v>
      </c>
      <c r="C7" s="872"/>
      <c r="D7" s="426"/>
      <c r="E7" s="872"/>
      <c r="F7" s="426"/>
      <c r="G7" s="872"/>
      <c r="H7" s="427"/>
      <c r="I7" s="872">
        <v>1</v>
      </c>
      <c r="J7" s="426">
        <v>3704.76</v>
      </c>
      <c r="K7" s="872">
        <v>2</v>
      </c>
      <c r="L7" s="426">
        <f>284.76*2</f>
        <v>569.52</v>
      </c>
      <c r="M7" s="432">
        <v>2</v>
      </c>
      <c r="N7" s="426">
        <f>171.43*2</f>
        <v>342.86</v>
      </c>
      <c r="O7" s="432"/>
      <c r="P7" s="426"/>
      <c r="Q7" s="432"/>
      <c r="R7" s="426"/>
      <c r="S7" s="432"/>
      <c r="T7" s="426"/>
      <c r="U7" s="416">
        <f t="shared" si="2"/>
        <v>4617.1400000000003</v>
      </c>
      <c r="V7" s="416">
        <v>231</v>
      </c>
      <c r="X7" s="897">
        <f t="shared" si="1"/>
        <v>4848.1400000000003</v>
      </c>
      <c r="Y7" s="430" t="s">
        <v>5069</v>
      </c>
      <c r="Z7" s="431"/>
      <c r="AA7" s="432"/>
    </row>
    <row r="8" spans="1:27">
      <c r="A8" s="424">
        <v>44048</v>
      </c>
      <c r="B8" s="412" t="s">
        <v>19043</v>
      </c>
      <c r="C8" s="872"/>
      <c r="D8" s="426"/>
      <c r="E8" s="872"/>
      <c r="F8" s="426"/>
      <c r="G8" s="872"/>
      <c r="H8" s="427"/>
      <c r="I8" s="872">
        <v>2</v>
      </c>
      <c r="J8" s="426">
        <f>2786.66</f>
        <v>2786.66</v>
      </c>
      <c r="K8" s="872"/>
      <c r="L8" s="426"/>
      <c r="M8" s="432"/>
      <c r="N8" s="426"/>
      <c r="O8" s="432"/>
      <c r="P8" s="426"/>
      <c r="Q8" s="432"/>
      <c r="R8" s="426"/>
      <c r="S8" s="432"/>
      <c r="T8" s="426"/>
      <c r="U8" s="416">
        <f t="shared" si="2"/>
        <v>2786.66</v>
      </c>
      <c r="V8" s="416">
        <v>139</v>
      </c>
      <c r="X8" s="897">
        <f t="shared" si="1"/>
        <v>2925.66</v>
      </c>
      <c r="Y8" s="430" t="s">
        <v>5069</v>
      </c>
      <c r="Z8" s="431"/>
      <c r="AA8" s="432"/>
    </row>
    <row r="9" spans="1:27">
      <c r="A9" s="424">
        <v>44049</v>
      </c>
      <c r="B9" s="412" t="s">
        <v>19044</v>
      </c>
      <c r="C9" s="872">
        <v>1</v>
      </c>
      <c r="D9" s="426">
        <v>1580</v>
      </c>
      <c r="E9" s="872">
        <v>1</v>
      </c>
      <c r="F9" s="426">
        <v>2190</v>
      </c>
      <c r="G9" s="872">
        <v>1</v>
      </c>
      <c r="H9" s="427">
        <v>799</v>
      </c>
      <c r="I9" s="872">
        <v>1</v>
      </c>
      <c r="J9" s="426">
        <v>2550</v>
      </c>
      <c r="K9" s="872">
        <v>2</v>
      </c>
      <c r="L9" s="426">
        <f>278*2</f>
        <v>556</v>
      </c>
      <c r="M9" s="432">
        <v>2</v>
      </c>
      <c r="N9" s="426">
        <f>99*2</f>
        <v>198</v>
      </c>
      <c r="O9" s="432"/>
      <c r="P9" s="426"/>
      <c r="Q9" s="432"/>
      <c r="R9" s="426"/>
      <c r="S9" s="432"/>
      <c r="T9" s="426"/>
      <c r="U9" s="677">
        <f>D9+F9+H9+J9+L9+N9+T9+P9+R9-143</f>
        <v>7730</v>
      </c>
      <c r="V9" s="416">
        <v>386</v>
      </c>
      <c r="X9" s="897">
        <f t="shared" si="1"/>
        <v>8116</v>
      </c>
      <c r="Y9" s="760" t="s">
        <v>19045</v>
      </c>
      <c r="Z9" s="431"/>
      <c r="AA9" s="432"/>
    </row>
    <row r="10" spans="1:27">
      <c r="A10" s="424">
        <v>44049</v>
      </c>
      <c r="B10" s="412" t="s">
        <v>19046</v>
      </c>
      <c r="C10" s="872"/>
      <c r="D10" s="426"/>
      <c r="E10" s="872"/>
      <c r="F10" s="426"/>
      <c r="G10" s="872"/>
      <c r="H10" s="427"/>
      <c r="I10" s="872"/>
      <c r="J10" s="426"/>
      <c r="K10" s="872"/>
      <c r="L10" s="426"/>
      <c r="M10" s="432">
        <v>2</v>
      </c>
      <c r="N10" s="426">
        <f>52+142+52+143</f>
        <v>389</v>
      </c>
      <c r="O10" s="432"/>
      <c r="P10" s="426"/>
      <c r="Q10" s="432"/>
      <c r="R10" s="426"/>
      <c r="S10" s="432"/>
      <c r="T10" s="426"/>
      <c r="U10" s="416">
        <f t="shared" si="2"/>
        <v>389</v>
      </c>
      <c r="V10" s="416">
        <v>19</v>
      </c>
      <c r="X10" s="873">
        <f t="shared" si="1"/>
        <v>408</v>
      </c>
      <c r="Y10" s="760" t="s">
        <v>19047</v>
      </c>
      <c r="Z10" s="431"/>
      <c r="AA10" s="432"/>
    </row>
    <row r="11" spans="1:27">
      <c r="A11" s="424">
        <v>44137</v>
      </c>
      <c r="B11" s="412" t="s">
        <v>19048</v>
      </c>
      <c r="C11" s="872"/>
      <c r="D11" s="426"/>
      <c r="E11" s="872"/>
      <c r="F11" s="426"/>
      <c r="G11" s="872"/>
      <c r="H11" s="427"/>
      <c r="I11" s="872"/>
      <c r="J11" s="426"/>
      <c r="K11" s="872"/>
      <c r="L11" s="426"/>
      <c r="M11" s="432"/>
      <c r="N11" s="426"/>
      <c r="O11" s="432">
        <v>4</v>
      </c>
      <c r="P11" s="426">
        <f>1609.52*4</f>
        <v>6438.08</v>
      </c>
      <c r="Q11" s="432"/>
      <c r="R11" s="426"/>
      <c r="S11" s="432"/>
      <c r="T11" s="426"/>
      <c r="U11" s="416">
        <f t="shared" si="2"/>
        <v>6438.08</v>
      </c>
      <c r="V11" s="416">
        <v>322</v>
      </c>
      <c r="X11" s="897">
        <f t="shared" si="1"/>
        <v>6760.08</v>
      </c>
      <c r="Y11" s="430" t="s">
        <v>5069</v>
      </c>
      <c r="Z11" s="431"/>
      <c r="AA11" s="432"/>
    </row>
    <row r="12" spans="1:27">
      <c r="A12" s="424">
        <v>44137</v>
      </c>
      <c r="B12" s="412" t="s">
        <v>19055</v>
      </c>
      <c r="C12" s="872">
        <v>4</v>
      </c>
      <c r="D12" s="426">
        <f>2150*2+3790*2</f>
        <v>11880</v>
      </c>
      <c r="E12" s="872">
        <v>4</v>
      </c>
      <c r="F12" s="426">
        <f>2590*2+3000*2</f>
        <v>11180</v>
      </c>
      <c r="G12" s="872">
        <v>4</v>
      </c>
      <c r="H12" s="427">
        <f>810*4</f>
        <v>3240</v>
      </c>
      <c r="I12" s="872">
        <v>4</v>
      </c>
      <c r="J12" s="426">
        <f>2550*4</f>
        <v>10200</v>
      </c>
      <c r="K12" s="872">
        <v>8</v>
      </c>
      <c r="L12" s="426">
        <f>930*8</f>
        <v>7440</v>
      </c>
      <c r="M12" s="432"/>
      <c r="N12" s="426"/>
      <c r="O12" s="432"/>
      <c r="P12" s="426"/>
      <c r="Q12" s="432"/>
      <c r="R12" s="426"/>
      <c r="S12" s="432">
        <v>4</v>
      </c>
      <c r="T12" s="426">
        <f>1450*4</f>
        <v>5800</v>
      </c>
      <c r="U12" s="677">
        <f>D12+F12+H12+J12+L12+N12+T12+P12+R12-394</f>
        <v>49346</v>
      </c>
      <c r="V12" s="416">
        <v>2467</v>
      </c>
      <c r="X12" s="897">
        <f>U12+V12</f>
        <v>51813</v>
      </c>
      <c r="Y12" s="760" t="s">
        <v>19045</v>
      </c>
      <c r="Z12" s="431"/>
      <c r="AA12" s="432"/>
    </row>
    <row r="13" spans="1:27">
      <c r="A13" s="424">
        <v>44140</v>
      </c>
      <c r="B13" s="412" t="s">
        <v>19056</v>
      </c>
      <c r="C13" s="872"/>
      <c r="D13" s="426"/>
      <c r="E13" s="872"/>
      <c r="F13" s="426"/>
      <c r="G13" s="872"/>
      <c r="H13" s="427"/>
      <c r="I13" s="872"/>
      <c r="J13" s="426"/>
      <c r="K13" s="872"/>
      <c r="L13" s="426"/>
      <c r="M13" s="432"/>
      <c r="N13" s="426"/>
      <c r="O13" s="432"/>
      <c r="P13" s="426"/>
      <c r="Q13" s="432">
        <v>1</v>
      </c>
      <c r="R13" s="426">
        <v>1610</v>
      </c>
      <c r="S13" s="432"/>
      <c r="T13" s="426"/>
      <c r="U13" s="416">
        <f t="shared" ref="U13" si="3">D13+F13+H13+J13+L13+N13+T13+P13+R13</f>
        <v>1610</v>
      </c>
      <c r="V13" s="416">
        <v>80</v>
      </c>
      <c r="X13" s="873">
        <f>U13+V13</f>
        <v>1690</v>
      </c>
      <c r="Y13" s="430" t="s">
        <v>19057</v>
      </c>
      <c r="Z13" s="431"/>
      <c r="AA13" s="432"/>
    </row>
    <row r="14" spans="1:27">
      <c r="A14" s="424">
        <v>44151</v>
      </c>
      <c r="B14" s="412" t="s">
        <v>19049</v>
      </c>
      <c r="C14" s="872"/>
      <c r="D14" s="426"/>
      <c r="E14" s="872"/>
      <c r="F14" s="426"/>
      <c r="G14" s="872"/>
      <c r="H14" s="427"/>
      <c r="I14" s="872"/>
      <c r="J14" s="426"/>
      <c r="K14" s="872"/>
      <c r="L14" s="426"/>
      <c r="M14" s="432">
        <v>2</v>
      </c>
      <c r="N14" s="426">
        <v>685.7</v>
      </c>
      <c r="O14" s="432"/>
      <c r="P14" s="426"/>
      <c r="Q14" s="432"/>
      <c r="R14" s="426"/>
      <c r="S14" s="432"/>
      <c r="T14" s="426"/>
      <c r="U14" s="416">
        <f t="shared" si="2"/>
        <v>685.7</v>
      </c>
      <c r="V14" s="416">
        <v>34</v>
      </c>
      <c r="X14" s="873">
        <f t="shared" si="1"/>
        <v>719.7</v>
      </c>
      <c r="Y14" s="430" t="s">
        <v>5069</v>
      </c>
      <c r="Z14" s="431"/>
      <c r="AA14" s="432"/>
    </row>
    <row r="15" spans="1:27">
      <c r="A15" s="424">
        <v>44165</v>
      </c>
      <c r="B15" s="412" t="s">
        <v>19050</v>
      </c>
      <c r="C15" s="872">
        <v>1</v>
      </c>
      <c r="D15" s="426">
        <v>2476.19</v>
      </c>
      <c r="E15" s="872">
        <v>1</v>
      </c>
      <c r="F15" s="426">
        <v>2276.19</v>
      </c>
      <c r="G15" s="872">
        <v>1</v>
      </c>
      <c r="H15" s="427">
        <v>514.29</v>
      </c>
      <c r="I15" s="872">
        <v>1</v>
      </c>
      <c r="J15" s="426">
        <v>2752.38</v>
      </c>
      <c r="K15" s="872"/>
      <c r="L15" s="426"/>
      <c r="M15" s="432"/>
      <c r="N15" s="426"/>
      <c r="O15" s="432"/>
      <c r="P15" s="426"/>
      <c r="Q15" s="432"/>
      <c r="R15" s="426"/>
      <c r="S15" s="432"/>
      <c r="T15" s="426"/>
      <c r="U15" s="416">
        <f t="shared" si="2"/>
        <v>8019.05</v>
      </c>
      <c r="V15" s="416">
        <v>401</v>
      </c>
      <c r="X15" s="897">
        <f t="shared" si="1"/>
        <v>8420.0499999999993</v>
      </c>
      <c r="Y15" s="430" t="s">
        <v>5069</v>
      </c>
      <c r="Z15" s="431"/>
      <c r="AA15" s="432"/>
    </row>
    <row r="16" spans="1:27">
      <c r="A16" s="424">
        <v>44186</v>
      </c>
      <c r="B16" s="412" t="s">
        <v>19051</v>
      </c>
      <c r="C16" s="872"/>
      <c r="D16" s="426"/>
      <c r="E16" s="872"/>
      <c r="F16" s="426"/>
      <c r="G16" s="872"/>
      <c r="H16" s="427"/>
      <c r="I16" s="872">
        <v>1</v>
      </c>
      <c r="J16" s="426">
        <v>2752.38</v>
      </c>
      <c r="K16" s="872"/>
      <c r="L16" s="426"/>
      <c r="M16" s="432">
        <v>2</v>
      </c>
      <c r="N16" s="426">
        <f>322.86*2</f>
        <v>645.72</v>
      </c>
      <c r="O16" s="432"/>
      <c r="P16" s="426"/>
      <c r="Q16" s="432"/>
      <c r="R16" s="426"/>
      <c r="S16" s="432"/>
      <c r="T16" s="426"/>
      <c r="U16" s="416">
        <f>D16+F16+H16+J16+L16+N16+T16+P16+R16</f>
        <v>3398.1000000000004</v>
      </c>
      <c r="V16" s="416">
        <v>170</v>
      </c>
      <c r="X16" s="898">
        <f t="shared" si="1"/>
        <v>3568.1000000000004</v>
      </c>
      <c r="Y16" s="430" t="s">
        <v>5069</v>
      </c>
      <c r="Z16" s="431"/>
      <c r="AA16" s="432"/>
    </row>
    <row r="17" spans="1:28">
      <c r="A17" s="424">
        <v>44188</v>
      </c>
      <c r="B17" s="412" t="s">
        <v>19052</v>
      </c>
      <c r="C17" s="872"/>
      <c r="D17" s="426"/>
      <c r="E17" s="872"/>
      <c r="F17" s="426"/>
      <c r="G17" s="872"/>
      <c r="H17" s="427"/>
      <c r="I17" s="872"/>
      <c r="J17" s="426"/>
      <c r="K17" s="872"/>
      <c r="L17" s="426"/>
      <c r="M17" s="432"/>
      <c r="N17" s="426"/>
      <c r="O17" s="432">
        <v>1</v>
      </c>
      <c r="P17" s="426">
        <v>1609.52</v>
      </c>
      <c r="Q17" s="432"/>
      <c r="R17" s="426"/>
      <c r="S17" s="432"/>
      <c r="T17" s="426"/>
      <c r="U17" s="416">
        <f>D17+F17+H17+J17+L17+N17+T17+P17+R17</f>
        <v>1609.52</v>
      </c>
      <c r="V17" s="416">
        <v>80</v>
      </c>
      <c r="X17" s="897">
        <f t="shared" si="1"/>
        <v>1689.52</v>
      </c>
      <c r="Y17" s="430" t="s">
        <v>5069</v>
      </c>
      <c r="Z17" s="431"/>
      <c r="AA17" s="432"/>
    </row>
    <row r="18" spans="1:28">
      <c r="A18" s="424">
        <v>44188</v>
      </c>
      <c r="B18" s="412" t="s">
        <v>19058</v>
      </c>
      <c r="C18" s="872">
        <v>1</v>
      </c>
      <c r="D18" s="426">
        <v>2400</v>
      </c>
      <c r="E18" s="872">
        <v>1</v>
      </c>
      <c r="F18" s="426">
        <v>2990</v>
      </c>
      <c r="G18" s="872">
        <v>1</v>
      </c>
      <c r="H18" s="427">
        <v>888</v>
      </c>
      <c r="I18" s="872"/>
      <c r="J18" s="426"/>
      <c r="K18" s="872">
        <v>2</v>
      </c>
      <c r="L18" s="426">
        <f>930*2</f>
        <v>1860</v>
      </c>
      <c r="M18" s="432"/>
      <c r="N18" s="426"/>
      <c r="O18" s="432"/>
      <c r="P18" s="426"/>
      <c r="Q18" s="432"/>
      <c r="R18" s="426"/>
      <c r="S18" s="432">
        <v>1</v>
      </c>
      <c r="T18" s="426">
        <v>1390</v>
      </c>
      <c r="U18" s="416">
        <f>D18+F18+H18+J18+L18+N18+T18+P18+R18-76</f>
        <v>9452</v>
      </c>
      <c r="V18" s="416">
        <v>473</v>
      </c>
      <c r="X18" s="897">
        <f t="shared" ref="X18" si="4">U18+V18</f>
        <v>9925</v>
      </c>
      <c r="Y18" s="760" t="s">
        <v>9973</v>
      </c>
      <c r="Z18" s="431"/>
      <c r="AA18" s="432"/>
    </row>
    <row r="19" spans="1:28">
      <c r="A19" s="424">
        <v>44190</v>
      </c>
      <c r="B19" s="412" t="s">
        <v>19053</v>
      </c>
      <c r="C19" s="872"/>
      <c r="D19" s="426"/>
      <c r="E19" s="872"/>
      <c r="F19" s="426"/>
      <c r="G19" s="872"/>
      <c r="H19" s="427"/>
      <c r="I19" s="872"/>
      <c r="J19" s="426"/>
      <c r="K19" s="872"/>
      <c r="L19" s="426"/>
      <c r="M19" s="432">
        <v>2</v>
      </c>
      <c r="N19" s="426">
        <f>219.05*2</f>
        <v>438.1</v>
      </c>
      <c r="O19" s="432"/>
      <c r="P19" s="426"/>
      <c r="Q19" s="432"/>
      <c r="R19" s="426"/>
      <c r="S19" s="432"/>
      <c r="T19" s="426"/>
      <c r="U19" s="416">
        <f>D19+F19+H19+J19+L19+N19+T19+P19+R19</f>
        <v>438.1</v>
      </c>
      <c r="V19" s="416">
        <v>22</v>
      </c>
      <c r="X19" s="873">
        <f t="shared" si="1"/>
        <v>460.1</v>
      </c>
      <c r="Y19" s="430" t="s">
        <v>5069</v>
      </c>
      <c r="Z19" s="431"/>
      <c r="AA19" s="432"/>
    </row>
    <row r="20" spans="1:28" s="439" customFormat="1" ht="18.75" customHeight="1">
      <c r="A20" s="433"/>
      <c r="B20" s="434"/>
      <c r="C20" s="436"/>
      <c r="D20" s="437"/>
      <c r="E20" s="436"/>
      <c r="F20" s="436"/>
      <c r="G20" s="436"/>
      <c r="H20" s="437"/>
      <c r="I20" s="436"/>
      <c r="J20" s="437"/>
      <c r="K20" s="436"/>
      <c r="L20" s="437"/>
      <c r="M20" s="436"/>
      <c r="N20" s="437"/>
      <c r="O20" s="437"/>
      <c r="P20" s="437"/>
      <c r="Q20" s="437"/>
      <c r="R20" s="437"/>
      <c r="S20" s="437"/>
      <c r="T20" s="437"/>
      <c r="U20" s="437">
        <f>SUM(U21:U23)</f>
        <v>6488</v>
      </c>
      <c r="V20" s="437">
        <f>SUM(V21:V23)</f>
        <v>324</v>
      </c>
      <c r="W20" s="437"/>
      <c r="X20" s="896">
        <f>U20+V20</f>
        <v>6812</v>
      </c>
      <c r="Z20" s="437"/>
      <c r="AA20" s="437"/>
    </row>
    <row r="21" spans="1:28">
      <c r="A21" s="914">
        <v>43978</v>
      </c>
      <c r="B21" s="916" t="s">
        <v>19108</v>
      </c>
      <c r="C21" s="444"/>
      <c r="Q21" s="915">
        <v>2</v>
      </c>
      <c r="R21" s="915">
        <v>3196</v>
      </c>
      <c r="U21" s="416">
        <f>D21+F21+H21+J21+L21+N21+T21+P21+R21</f>
        <v>3196</v>
      </c>
      <c r="V21" s="917">
        <v>160</v>
      </c>
      <c r="W21" s="876"/>
      <c r="X21" s="895">
        <f>U21+V21</f>
        <v>3356</v>
      </c>
      <c r="Y21" s="913" t="s">
        <v>19109</v>
      </c>
      <c r="AA21" s="416">
        <v>10</v>
      </c>
      <c r="AB21" s="456" t="s">
        <v>19110</v>
      </c>
    </row>
    <row r="22" spans="1:28">
      <c r="A22" s="440">
        <v>44187</v>
      </c>
      <c r="B22" s="922" t="s">
        <v>19117</v>
      </c>
      <c r="C22" s="444"/>
      <c r="Q22" s="875">
        <v>1</v>
      </c>
      <c r="R22" s="875">
        <v>1646</v>
      </c>
      <c r="U22" s="478">
        <v>1646</v>
      </c>
      <c r="V22" s="917">
        <v>82</v>
      </c>
      <c r="W22" s="876"/>
      <c r="X22" s="895">
        <f t="shared" ref="X22:X23" si="5">U22+V22</f>
        <v>1728</v>
      </c>
      <c r="Y22" s="913" t="s">
        <v>19109</v>
      </c>
      <c r="AA22" s="416">
        <v>10</v>
      </c>
      <c r="AB22" s="456" t="s">
        <v>5011</v>
      </c>
    </row>
    <row r="23" spans="1:28">
      <c r="A23" s="440">
        <v>44187</v>
      </c>
      <c r="B23" s="922" t="s">
        <v>19118</v>
      </c>
      <c r="C23" s="444"/>
      <c r="Q23" s="875">
        <v>1</v>
      </c>
      <c r="R23" s="875">
        <v>1646</v>
      </c>
      <c r="U23" s="478">
        <v>1646</v>
      </c>
      <c r="V23" s="917">
        <v>82</v>
      </c>
      <c r="W23" s="876"/>
      <c r="X23" s="895">
        <f t="shared" si="5"/>
        <v>1728</v>
      </c>
      <c r="Y23" s="913" t="s">
        <v>19109</v>
      </c>
      <c r="AA23" s="416">
        <v>10</v>
      </c>
      <c r="AB23" s="456" t="s">
        <v>5011</v>
      </c>
    </row>
    <row r="24" spans="1:28" s="439" customFormat="1">
      <c r="A24" s="449"/>
      <c r="B24" s="434"/>
      <c r="C24" s="437"/>
      <c r="D24" s="437"/>
      <c r="E24" s="436"/>
      <c r="F24" s="436"/>
      <c r="G24" s="436"/>
      <c r="H24" s="437"/>
      <c r="I24" s="436"/>
      <c r="J24" s="437"/>
      <c r="K24" s="436"/>
      <c r="L24" s="437"/>
      <c r="M24" s="436"/>
      <c r="N24" s="437"/>
      <c r="O24" s="437"/>
      <c r="P24" s="437"/>
      <c r="Q24" s="437"/>
      <c r="R24" s="437"/>
      <c r="S24" s="437"/>
      <c r="T24" s="437"/>
      <c r="U24" s="877" t="s">
        <v>15092</v>
      </c>
      <c r="V24" s="437"/>
      <c r="W24" s="437"/>
      <c r="X24" s="436">
        <f>SUM(X25:X30)</f>
        <v>5263</v>
      </c>
      <c r="Y24" s="433"/>
      <c r="Z24" s="437"/>
      <c r="AA24" s="437"/>
    </row>
    <row r="25" spans="1:28">
      <c r="A25" s="440">
        <v>43825</v>
      </c>
      <c r="B25" s="448" t="s">
        <v>19037</v>
      </c>
      <c r="C25" s="444"/>
      <c r="U25" s="478">
        <v>724</v>
      </c>
      <c r="V25" s="876">
        <v>36</v>
      </c>
      <c r="W25" s="876"/>
      <c r="X25" s="447">
        <f t="shared" ref="X25:X28" si="6">U25+V25</f>
        <v>760</v>
      </c>
      <c r="Y25" s="612"/>
    </row>
    <row r="26" spans="1:28">
      <c r="A26" s="440">
        <v>43866</v>
      </c>
      <c r="B26" s="448" t="s">
        <v>4828</v>
      </c>
      <c r="C26" s="444"/>
      <c r="U26" s="478">
        <f>549+8</f>
        <v>557</v>
      </c>
      <c r="V26" s="876"/>
      <c r="W26" s="876"/>
      <c r="X26" s="447">
        <f t="shared" si="6"/>
        <v>557</v>
      </c>
      <c r="Y26" s="612"/>
    </row>
    <row r="27" spans="1:28">
      <c r="A27" s="440">
        <v>44049</v>
      </c>
      <c r="B27" s="448" t="s">
        <v>4828</v>
      </c>
      <c r="C27" s="444"/>
      <c r="U27" s="478">
        <f>1098+16</f>
        <v>1114</v>
      </c>
      <c r="V27" s="876"/>
      <c r="W27" s="876"/>
      <c r="X27" s="447">
        <f t="shared" si="6"/>
        <v>1114</v>
      </c>
      <c r="Y27" s="612"/>
    </row>
    <row r="28" spans="1:28">
      <c r="A28" s="440">
        <v>44082</v>
      </c>
      <c r="B28" s="448" t="s">
        <v>4423</v>
      </c>
      <c r="C28" s="444"/>
      <c r="U28" s="478">
        <f>2043+31</f>
        <v>2074</v>
      </c>
      <c r="V28" s="876"/>
      <c r="W28" s="876"/>
      <c r="X28" s="447">
        <f t="shared" si="6"/>
        <v>2074</v>
      </c>
      <c r="Y28" s="612"/>
    </row>
    <row r="29" spans="1:28">
      <c r="A29" s="440">
        <v>44132</v>
      </c>
      <c r="B29" s="448" t="s">
        <v>19054</v>
      </c>
      <c r="C29" s="444"/>
      <c r="U29" s="901">
        <v>379</v>
      </c>
      <c r="V29" s="876"/>
      <c r="W29" s="876"/>
      <c r="X29" s="447">
        <f>U29+V29</f>
        <v>379</v>
      </c>
      <c r="Y29" s="612"/>
    </row>
    <row r="30" spans="1:28">
      <c r="A30" s="440">
        <v>44134</v>
      </c>
      <c r="B30" s="448" t="s">
        <v>19054</v>
      </c>
      <c r="C30" s="444"/>
      <c r="U30" s="901">
        <v>379</v>
      </c>
      <c r="V30" s="876"/>
      <c r="W30" s="876"/>
      <c r="X30" s="447">
        <f>U30+V30</f>
        <v>379</v>
      </c>
      <c r="Y30" s="612"/>
    </row>
    <row r="31" spans="1:28" s="439" customFormat="1">
      <c r="A31" s="449"/>
      <c r="B31" s="434"/>
      <c r="C31" s="437"/>
      <c r="D31" s="437"/>
      <c r="E31" s="436"/>
      <c r="F31" s="436"/>
      <c r="G31" s="436"/>
      <c r="H31" s="437"/>
      <c r="I31" s="436"/>
      <c r="J31" s="437"/>
      <c r="K31" s="436"/>
      <c r="L31" s="437"/>
      <c r="M31" s="436"/>
      <c r="N31" s="437"/>
      <c r="O31" s="437"/>
      <c r="P31" s="437"/>
      <c r="Q31" s="437"/>
      <c r="R31" s="437"/>
      <c r="S31" s="437"/>
      <c r="T31" s="437"/>
      <c r="U31" s="437"/>
      <c r="V31" s="437"/>
      <c r="W31" s="437"/>
      <c r="X31" s="436">
        <f>SUM(X32:X35)</f>
        <v>1600</v>
      </c>
      <c r="Y31" s="433"/>
      <c r="Z31" s="437"/>
      <c r="AA31" s="437"/>
    </row>
    <row r="32" spans="1:28">
      <c r="A32" s="440">
        <v>43955</v>
      </c>
      <c r="B32" s="448" t="s">
        <v>4474</v>
      </c>
      <c r="C32" s="444"/>
      <c r="U32" s="416">
        <v>381</v>
      </c>
      <c r="V32" s="875">
        <v>19</v>
      </c>
      <c r="W32" s="875"/>
      <c r="X32" s="447">
        <f>U32+V32</f>
        <v>400</v>
      </c>
      <c r="Y32" s="612"/>
    </row>
    <row r="33" spans="1:28">
      <c r="A33" s="440">
        <v>44004</v>
      </c>
      <c r="B33" s="448" t="s">
        <v>4474</v>
      </c>
      <c r="C33" s="444"/>
      <c r="U33" s="416">
        <v>381</v>
      </c>
      <c r="V33" s="875">
        <v>19</v>
      </c>
      <c r="W33" s="875"/>
      <c r="X33" s="447">
        <f>U33+V33</f>
        <v>400</v>
      </c>
      <c r="Y33" s="612"/>
    </row>
    <row r="34" spans="1:28">
      <c r="A34" s="440">
        <v>44092</v>
      </c>
      <c r="B34" s="448" t="s">
        <v>4474</v>
      </c>
      <c r="C34" s="444"/>
      <c r="U34" s="416">
        <v>381</v>
      </c>
      <c r="V34" s="875">
        <v>19</v>
      </c>
      <c r="W34" s="875"/>
      <c r="X34" s="447">
        <f>U34+V34</f>
        <v>400</v>
      </c>
      <c r="Y34" s="612"/>
    </row>
    <row r="35" spans="1:28">
      <c r="A35" s="440">
        <v>44176</v>
      </c>
      <c r="B35" s="448" t="s">
        <v>4474</v>
      </c>
      <c r="C35" s="444"/>
      <c r="U35" s="416">
        <v>381</v>
      </c>
      <c r="V35" s="875">
        <v>19</v>
      </c>
      <c r="W35" s="875"/>
      <c r="X35" s="447">
        <f>U35+V35</f>
        <v>400</v>
      </c>
      <c r="Y35" s="612"/>
    </row>
    <row r="36" spans="1:28" s="439" customFormat="1">
      <c r="A36" s="449"/>
      <c r="B36" s="434"/>
      <c r="C36" s="437"/>
      <c r="D36" s="437"/>
      <c r="E36" s="436"/>
      <c r="F36" s="436"/>
      <c r="G36" s="436"/>
      <c r="H36" s="437"/>
      <c r="I36" s="436"/>
      <c r="J36" s="437"/>
      <c r="K36" s="436"/>
      <c r="L36" s="437"/>
      <c r="M36" s="436"/>
      <c r="N36" s="437"/>
      <c r="O36" s="437"/>
      <c r="P36" s="437"/>
      <c r="Q36" s="437"/>
      <c r="R36" s="437"/>
      <c r="S36" s="437"/>
      <c r="T36" s="437"/>
      <c r="U36" s="437"/>
      <c r="V36" s="437"/>
      <c r="W36" s="437"/>
      <c r="X36" s="436"/>
      <c r="Y36" s="433"/>
      <c r="Z36" s="437"/>
      <c r="AA36" s="437"/>
    </row>
    <row r="37" spans="1:28">
      <c r="A37" s="569"/>
      <c r="B37" s="448" t="s">
        <v>19008</v>
      </c>
      <c r="C37" s="416"/>
      <c r="D37" s="878"/>
      <c r="F37" s="571"/>
      <c r="G37" s="444"/>
      <c r="H37" s="879"/>
      <c r="I37" s="444"/>
      <c r="J37" s="443"/>
      <c r="K37" s="880"/>
      <c r="L37" s="881"/>
      <c r="M37" s="444"/>
      <c r="N37" s="875"/>
      <c r="O37" s="880"/>
      <c r="P37" s="881"/>
      <c r="V37" s="444"/>
      <c r="W37" s="444"/>
      <c r="Z37" s="415"/>
      <c r="AB37" s="416"/>
    </row>
    <row r="38" spans="1:28">
      <c r="A38" s="569" t="s">
        <v>19009</v>
      </c>
      <c r="B38" s="448" t="s">
        <v>19010</v>
      </c>
      <c r="C38" s="416"/>
      <c r="D38" s="878">
        <v>760</v>
      </c>
      <c r="F38" s="447">
        <f>X25</f>
        <v>760</v>
      </c>
      <c r="G38" s="444"/>
      <c r="H38" s="879"/>
      <c r="I38" s="444"/>
      <c r="J38" s="443"/>
      <c r="K38" s="880"/>
      <c r="L38" s="881"/>
      <c r="M38" s="444"/>
      <c r="N38" s="875"/>
      <c r="O38" s="880"/>
      <c r="P38" s="881"/>
      <c r="V38" s="444"/>
      <c r="W38" s="444"/>
      <c r="X38" s="444"/>
      <c r="Z38" s="415"/>
      <c r="AB38" s="416"/>
    </row>
    <row r="39" spans="1:28">
      <c r="A39" s="569" t="s">
        <v>19007</v>
      </c>
      <c r="B39" s="448" t="s">
        <v>19011</v>
      </c>
      <c r="C39" s="416"/>
      <c r="D39" s="882">
        <v>18010</v>
      </c>
      <c r="F39" s="447">
        <f>X3</f>
        <v>18010.37</v>
      </c>
      <c r="G39" s="444"/>
      <c r="I39" s="444"/>
      <c r="J39" s="443"/>
      <c r="K39" s="880"/>
      <c r="L39" s="881"/>
      <c r="N39" s="875"/>
      <c r="O39" s="880"/>
      <c r="P39" s="881"/>
      <c r="V39" s="444"/>
      <c r="W39" s="444"/>
      <c r="X39" s="444"/>
      <c r="Z39" s="415"/>
      <c r="AB39" s="416"/>
    </row>
    <row r="40" spans="1:28">
      <c r="A40" s="569" t="s">
        <v>19012</v>
      </c>
      <c r="B40" s="448" t="s">
        <v>19013</v>
      </c>
      <c r="C40" s="416"/>
      <c r="D40" s="882">
        <v>557</v>
      </c>
      <c r="F40" s="447">
        <f>X26</f>
        <v>557</v>
      </c>
      <c r="G40" s="444"/>
      <c r="I40" s="444"/>
      <c r="J40" s="443"/>
      <c r="K40" s="880"/>
      <c r="L40" s="881"/>
      <c r="N40" s="875"/>
      <c r="O40" s="444"/>
      <c r="V40" s="444"/>
      <c r="W40" s="444"/>
      <c r="X40" s="444"/>
      <c r="Z40" s="415"/>
      <c r="AB40" s="416"/>
    </row>
    <row r="41" spans="1:28">
      <c r="A41" s="569"/>
      <c r="B41" s="448" t="s">
        <v>19014</v>
      </c>
      <c r="C41" s="416"/>
      <c r="D41" s="882"/>
      <c r="F41" s="571"/>
      <c r="G41" s="444"/>
      <c r="I41" s="444"/>
      <c r="J41" s="443"/>
      <c r="K41" s="880"/>
      <c r="L41" s="881"/>
      <c r="N41" s="875"/>
      <c r="O41" s="444"/>
      <c r="V41" s="444"/>
      <c r="W41" s="444"/>
      <c r="X41" s="444"/>
      <c r="Z41" s="415"/>
      <c r="AB41" s="416"/>
    </row>
    <row r="42" spans="1:28">
      <c r="A42" s="569" t="s">
        <v>19015</v>
      </c>
      <c r="B42" s="448" t="s">
        <v>19017</v>
      </c>
      <c r="C42" s="416"/>
      <c r="D42" s="882">
        <v>400</v>
      </c>
      <c r="F42" s="447">
        <f>X32</f>
        <v>400</v>
      </c>
      <c r="G42" s="444"/>
      <c r="I42" s="444"/>
      <c r="J42" s="443"/>
      <c r="K42" s="880"/>
      <c r="L42" s="881"/>
      <c r="N42" s="875"/>
      <c r="O42" s="444"/>
      <c r="V42" s="444"/>
      <c r="W42" s="444"/>
      <c r="X42" s="444"/>
      <c r="Z42" s="415"/>
      <c r="AB42" s="416"/>
    </row>
    <row r="43" spans="1:28">
      <c r="A43" s="569" t="s">
        <v>19016</v>
      </c>
      <c r="B43" s="448" t="s">
        <v>19018</v>
      </c>
      <c r="C43" s="416"/>
      <c r="D43" s="883">
        <v>16957</v>
      </c>
      <c r="F43" s="447">
        <f>X4+X5+(X6-4205*5)</f>
        <v>16957.330000000002</v>
      </c>
      <c r="G43" s="444"/>
      <c r="I43" s="444"/>
      <c r="J43" s="443"/>
      <c r="K43" s="880"/>
      <c r="L43" s="881"/>
      <c r="N43" s="875"/>
      <c r="O43" s="444"/>
      <c r="V43" s="444"/>
      <c r="W43" s="444"/>
      <c r="X43" s="444"/>
      <c r="Z43" s="415"/>
      <c r="AB43" s="416"/>
    </row>
    <row r="44" spans="1:28">
      <c r="A44" s="870" t="s">
        <v>19019</v>
      </c>
      <c r="B44" s="448" t="s">
        <v>19020</v>
      </c>
      <c r="C44" s="416"/>
      <c r="D44" s="884">
        <v>5413</v>
      </c>
      <c r="F44" s="447">
        <f>X6-4209-4205*4+4848/6+X33</f>
        <v>5413.380000000001</v>
      </c>
      <c r="G44" s="444"/>
      <c r="H44" s="884"/>
      <c r="I44" s="444"/>
      <c r="J44" s="443"/>
      <c r="K44" s="880"/>
      <c r="L44" s="881"/>
      <c r="N44" s="875"/>
      <c r="O44" s="444"/>
      <c r="V44" s="444"/>
      <c r="W44" s="444"/>
      <c r="X44" s="444"/>
      <c r="Z44" s="415"/>
      <c r="AB44" s="416"/>
    </row>
    <row r="45" spans="1:28">
      <c r="A45" s="870"/>
      <c r="B45" s="448" t="s">
        <v>19021</v>
      </c>
      <c r="C45" s="416"/>
      <c r="D45" s="884"/>
      <c r="F45" s="571"/>
      <c r="G45" s="444"/>
      <c r="H45" s="884"/>
      <c r="I45" s="444"/>
      <c r="J45" s="443"/>
      <c r="K45" s="880"/>
      <c r="L45" s="881"/>
      <c r="N45" s="875"/>
      <c r="O45" s="444"/>
      <c r="V45" s="444"/>
      <c r="W45" s="444"/>
      <c r="X45" s="444"/>
      <c r="Z45" s="415"/>
      <c r="AB45" s="416"/>
    </row>
    <row r="46" spans="1:28">
      <c r="A46" s="870" t="s">
        <v>19022</v>
      </c>
      <c r="B46" s="448" t="s">
        <v>19024</v>
      </c>
      <c r="C46" s="416"/>
      <c r="D46" s="444">
        <v>9324</v>
      </c>
      <c r="F46" s="447">
        <f>X6-4209-4205*4+X7/6+X8-487*5+X9-2705*2+X27</f>
        <v>9324.0633333333353</v>
      </c>
      <c r="G46" s="444"/>
      <c r="H46" s="884"/>
      <c r="I46" s="444"/>
      <c r="J46" s="443"/>
      <c r="K46" s="880"/>
      <c r="L46" s="881"/>
      <c r="N46" s="875"/>
      <c r="O46" s="444"/>
      <c r="V46" s="444"/>
      <c r="W46" s="444"/>
      <c r="X46" s="444"/>
      <c r="Z46" s="415"/>
      <c r="AB46" s="416"/>
    </row>
    <row r="47" spans="1:28">
      <c r="A47" s="569" t="s">
        <v>19023</v>
      </c>
      <c r="B47" s="448" t="s">
        <v>19025</v>
      </c>
      <c r="C47" s="416"/>
      <c r="D47" s="882">
        <v>408</v>
      </c>
      <c r="F47" s="447">
        <f>X10</f>
        <v>408</v>
      </c>
      <c r="G47" s="444"/>
      <c r="I47" s="444"/>
      <c r="J47" s="443"/>
      <c r="K47" s="880"/>
      <c r="L47" s="881"/>
      <c r="N47" s="875"/>
      <c r="O47" s="444"/>
      <c r="V47" s="444"/>
      <c r="W47" s="444"/>
      <c r="X47" s="444"/>
      <c r="Z47" s="415"/>
      <c r="AB47" s="416"/>
    </row>
    <row r="48" spans="1:28">
      <c r="A48" s="569" t="s">
        <v>19026</v>
      </c>
      <c r="B48" s="448" t="s">
        <v>19027</v>
      </c>
      <c r="D48" s="882">
        <v>8584</v>
      </c>
      <c r="F48" s="758">
        <f>X6-4209-4205*4+X7/6+X8-491-487*4+X9-2706-2705+X30</f>
        <v>8584.0633333333353</v>
      </c>
      <c r="K48" s="880"/>
      <c r="L48" s="881"/>
    </row>
    <row r="49" spans="1:27">
      <c r="A49" s="569" t="s">
        <v>19026</v>
      </c>
      <c r="B49" s="448" t="s">
        <v>19028</v>
      </c>
      <c r="D49" s="882">
        <v>2474</v>
      </c>
      <c r="F49" s="447">
        <f>X28+X34</f>
        <v>2474</v>
      </c>
      <c r="H49" s="444">
        <f>X20</f>
        <v>6812</v>
      </c>
      <c r="K49" s="880"/>
      <c r="L49" s="881"/>
    </row>
    <row r="50" spans="1:27">
      <c r="A50" s="569" t="s">
        <v>19029</v>
      </c>
      <c r="B50" s="871" t="s">
        <v>19030</v>
      </c>
      <c r="D50" s="882">
        <v>8584</v>
      </c>
      <c r="F50" s="447">
        <f>X6-4209-4205*4+X7/6+X8-491-487*4+X9-2706-2705+X29</f>
        <v>8584.0633333333353</v>
      </c>
      <c r="K50" s="880"/>
      <c r="L50" s="881"/>
    </row>
    <row r="51" spans="1:27">
      <c r="A51" s="569" t="s">
        <v>19031</v>
      </c>
      <c r="B51" s="871" t="s">
        <v>19032</v>
      </c>
      <c r="D51" s="882">
        <v>13473</v>
      </c>
      <c r="F51" s="758">
        <f>(X7-808*5)+(X8-491-487*4)+(X11-1126*5)+(X12-8635*5)+X14+X13</f>
        <v>13472.580000000002</v>
      </c>
      <c r="K51" s="880"/>
      <c r="L51" s="881"/>
    </row>
    <row r="52" spans="1:27">
      <c r="A52" s="569" t="s">
        <v>19033</v>
      </c>
      <c r="B52" s="871" t="s">
        <v>19035</v>
      </c>
      <c r="D52" s="882">
        <v>13867</v>
      </c>
      <c r="F52" s="758">
        <f>(X8-491-487*4)+(X11-1130-1126*4)+(X15-1403*5)+(X16-1189*2)+(X17-563*2)+X19+(X12-8638-8635*4)</f>
        <v>13866.51</v>
      </c>
      <c r="K52" s="880"/>
      <c r="L52" s="881"/>
    </row>
    <row r="53" spans="1:27">
      <c r="A53" s="569" t="s">
        <v>19034</v>
      </c>
      <c r="B53" s="871" t="s">
        <v>19036</v>
      </c>
      <c r="D53" s="882">
        <v>400</v>
      </c>
      <c r="F53" s="447">
        <f>X35</f>
        <v>400</v>
      </c>
      <c r="K53" s="880"/>
      <c r="L53" s="881"/>
    </row>
    <row r="54" spans="1:27">
      <c r="D54" s="444">
        <f>SUM(D37:D53)</f>
        <v>99211</v>
      </c>
      <c r="F54" s="459">
        <f>SUM(F37:F53)</f>
        <v>99211.360000000015</v>
      </c>
      <c r="G54" s="885"/>
      <c r="H54" s="459">
        <f>SUM(H49:H49)</f>
        <v>6812</v>
      </c>
    </row>
    <row r="55" spans="1:27">
      <c r="E55" s="886" t="s">
        <v>15249</v>
      </c>
      <c r="F55" s="444">
        <f>X31+X24+X20+X1</f>
        <v>171011.05000000002</v>
      </c>
    </row>
    <row r="56" spans="1:27">
      <c r="F56" s="444">
        <f>D54-F54</f>
        <v>-0.36000000001513399</v>
      </c>
    </row>
    <row r="58" spans="1:27" s="912" customFormat="1">
      <c r="A58" s="903">
        <v>43864</v>
      </c>
      <c r="B58" s="902" t="s">
        <v>19071</v>
      </c>
      <c r="C58" s="904"/>
      <c r="D58" s="905"/>
      <c r="E58" s="906"/>
      <c r="F58" s="904"/>
      <c r="G58" s="904"/>
      <c r="H58" s="907"/>
      <c r="I58" s="904"/>
      <c r="J58" s="907"/>
      <c r="K58" s="904"/>
      <c r="L58" s="907"/>
      <c r="M58" s="904"/>
      <c r="N58" s="907"/>
      <c r="O58" s="907"/>
      <c r="P58" s="907"/>
      <c r="Q58" s="907"/>
      <c r="R58" s="907"/>
      <c r="S58" s="907"/>
      <c r="T58" s="907"/>
      <c r="U58" s="908">
        <v>1604</v>
      </c>
      <c r="V58" s="908">
        <v>80</v>
      </c>
      <c r="W58" s="918">
        <f t="shared" ref="W58:W80" si="7">V58/U58</f>
        <v>4.9875311720698257E-2</v>
      </c>
      <c r="X58" s="909">
        <f t="shared" ref="X58:X110" si="8">U58+V58+W58</f>
        <v>1684.0498753117206</v>
      </c>
      <c r="Y58" s="910"/>
      <c r="Z58" s="911"/>
      <c r="AA58" s="911"/>
    </row>
    <row r="59" spans="1:27">
      <c r="A59" s="468">
        <v>43887</v>
      </c>
      <c r="B59" s="469" t="s">
        <v>19072</v>
      </c>
      <c r="C59" s="420"/>
      <c r="D59" s="880"/>
      <c r="E59" s="881"/>
      <c r="F59" s="420"/>
      <c r="G59" s="420"/>
      <c r="H59" s="462"/>
      <c r="I59" s="420"/>
      <c r="J59" s="462"/>
      <c r="K59" s="420"/>
      <c r="L59" s="462"/>
      <c r="M59" s="422"/>
      <c r="N59" s="462"/>
      <c r="O59" s="464"/>
      <c r="P59" s="464"/>
      <c r="Q59" s="464"/>
      <c r="R59" s="464"/>
      <c r="S59" s="464"/>
      <c r="T59" s="464"/>
      <c r="U59" s="887">
        <v>1587</v>
      </c>
      <c r="V59" s="888">
        <v>79</v>
      </c>
      <c r="W59" s="919">
        <f t="shared" si="7"/>
        <v>4.9779458097038438E-2</v>
      </c>
      <c r="X59" s="890">
        <f t="shared" si="8"/>
        <v>1666.049779458097</v>
      </c>
      <c r="Y59" s="658"/>
    </row>
    <row r="60" spans="1:27">
      <c r="A60" s="468">
        <v>43916</v>
      </c>
      <c r="B60" s="469" t="s">
        <v>19073</v>
      </c>
      <c r="C60" s="420"/>
      <c r="D60" s="880"/>
      <c r="E60" s="881"/>
      <c r="F60" s="420"/>
      <c r="G60" s="420"/>
      <c r="H60" s="462"/>
      <c r="I60" s="420"/>
      <c r="J60" s="462"/>
      <c r="K60" s="420"/>
      <c r="L60" s="462"/>
      <c r="M60" s="422"/>
      <c r="N60" s="462"/>
      <c r="O60" s="464"/>
      <c r="P60" s="464"/>
      <c r="Q60" s="464"/>
      <c r="R60" s="464"/>
      <c r="S60" s="464"/>
      <c r="T60" s="464"/>
      <c r="U60" s="891">
        <v>1609</v>
      </c>
      <c r="V60" s="891">
        <v>80</v>
      </c>
      <c r="W60" s="919">
        <f t="shared" si="7"/>
        <v>4.9720323182100686E-2</v>
      </c>
      <c r="X60" s="890">
        <f t="shared" si="8"/>
        <v>1689.0497203231821</v>
      </c>
      <c r="Y60" s="658"/>
    </row>
    <row r="61" spans="1:27">
      <c r="A61" s="470">
        <v>43949</v>
      </c>
      <c r="B61" s="469" t="s">
        <v>19074</v>
      </c>
      <c r="C61" s="420"/>
      <c r="D61" s="880"/>
      <c r="E61" s="881"/>
      <c r="F61" s="420"/>
      <c r="G61" s="420"/>
      <c r="H61" s="462"/>
      <c r="I61" s="420"/>
      <c r="J61" s="462"/>
      <c r="K61" s="420"/>
      <c r="L61" s="462"/>
      <c r="M61" s="422"/>
      <c r="N61" s="462"/>
      <c r="O61" s="464"/>
      <c r="P61" s="464"/>
      <c r="Q61" s="464"/>
      <c r="R61" s="464"/>
      <c r="S61" s="464"/>
      <c r="T61" s="464"/>
      <c r="U61" s="891">
        <v>1621</v>
      </c>
      <c r="V61" s="891">
        <v>81</v>
      </c>
      <c r="W61" s="919">
        <f t="shared" si="7"/>
        <v>4.9969154842689698E-2</v>
      </c>
      <c r="X61" s="890">
        <f t="shared" si="8"/>
        <v>1702.0499691548428</v>
      </c>
      <c r="Y61" s="658"/>
    </row>
    <row r="62" spans="1:27">
      <c r="A62" s="471">
        <v>43977</v>
      </c>
      <c r="B62" s="469" t="s">
        <v>19075</v>
      </c>
      <c r="C62" s="420"/>
      <c r="D62" s="880"/>
      <c r="E62" s="881"/>
      <c r="F62" s="420"/>
      <c r="G62" s="420"/>
      <c r="H62" s="462"/>
      <c r="I62" s="420"/>
      <c r="J62" s="462"/>
      <c r="K62" s="420"/>
      <c r="L62" s="462"/>
      <c r="M62" s="422"/>
      <c r="N62" s="462"/>
      <c r="O62" s="464"/>
      <c r="P62" s="464"/>
      <c r="Q62" s="464"/>
      <c r="R62" s="464"/>
      <c r="S62" s="464"/>
      <c r="T62" s="464"/>
      <c r="U62" s="887">
        <v>1600</v>
      </c>
      <c r="V62" s="892">
        <v>80</v>
      </c>
      <c r="W62" s="919">
        <f t="shared" si="7"/>
        <v>0.05</v>
      </c>
      <c r="X62" s="890">
        <f t="shared" si="8"/>
        <v>1680.05</v>
      </c>
      <c r="Y62" s="658"/>
    </row>
    <row r="63" spans="1:27">
      <c r="A63" s="471">
        <v>44011</v>
      </c>
      <c r="B63" s="469" t="s">
        <v>19076</v>
      </c>
      <c r="C63" s="420"/>
      <c r="D63" s="880"/>
      <c r="E63" s="881"/>
      <c r="F63" s="420"/>
      <c r="G63" s="420"/>
      <c r="H63" s="462"/>
      <c r="I63" s="420"/>
      <c r="J63" s="462"/>
      <c r="K63" s="420"/>
      <c r="L63" s="462"/>
      <c r="M63" s="422"/>
      <c r="N63" s="462"/>
      <c r="O63" s="464"/>
      <c r="P63" s="464"/>
      <c r="Q63" s="464"/>
      <c r="R63" s="464"/>
      <c r="S63" s="464"/>
      <c r="T63" s="464"/>
      <c r="U63" s="887">
        <v>1655</v>
      </c>
      <c r="V63" s="889">
        <v>83</v>
      </c>
      <c r="W63" s="919">
        <f t="shared" si="7"/>
        <v>5.0151057401812686E-2</v>
      </c>
      <c r="X63" s="890">
        <f t="shared" si="8"/>
        <v>1738.0501510574018</v>
      </c>
      <c r="Y63" s="658"/>
    </row>
    <row r="64" spans="1:27">
      <c r="A64" s="471">
        <v>44040</v>
      </c>
      <c r="B64" s="469" t="s">
        <v>19077</v>
      </c>
      <c r="C64" s="420"/>
      <c r="D64" s="880"/>
      <c r="E64" s="881"/>
      <c r="F64" s="420"/>
      <c r="G64" s="420"/>
      <c r="H64" s="462"/>
      <c r="I64" s="420"/>
      <c r="J64" s="462"/>
      <c r="K64" s="420"/>
      <c r="L64" s="462"/>
      <c r="M64" s="422"/>
      <c r="N64" s="462"/>
      <c r="O64" s="464"/>
      <c r="P64" s="464"/>
      <c r="Q64" s="464"/>
      <c r="R64" s="464"/>
      <c r="S64" s="464"/>
      <c r="T64" s="464"/>
      <c r="U64" s="887">
        <v>1603</v>
      </c>
      <c r="V64" s="889">
        <v>80</v>
      </c>
      <c r="W64" s="919">
        <f t="shared" si="7"/>
        <v>4.9906425452276984E-2</v>
      </c>
      <c r="X64" s="890">
        <f t="shared" si="8"/>
        <v>1683.0499064254523</v>
      </c>
      <c r="Y64" s="658"/>
    </row>
    <row r="65" spans="1:29">
      <c r="A65" s="471">
        <v>44068</v>
      </c>
      <c r="B65" s="469" t="s">
        <v>19078</v>
      </c>
      <c r="C65" s="420"/>
      <c r="D65" s="880"/>
      <c r="E65" s="881"/>
      <c r="F65" s="420"/>
      <c r="G65" s="420"/>
      <c r="H65" s="462"/>
      <c r="I65" s="420"/>
      <c r="J65" s="462"/>
      <c r="K65" s="420"/>
      <c r="L65" s="462"/>
      <c r="M65" s="422"/>
      <c r="N65" s="462"/>
      <c r="O65" s="464"/>
      <c r="P65" s="464"/>
      <c r="Q65" s="464"/>
      <c r="R65" s="464"/>
      <c r="S65" s="464"/>
      <c r="T65" s="464"/>
      <c r="U65" s="887">
        <v>1585</v>
      </c>
      <c r="V65" s="888">
        <v>79</v>
      </c>
      <c r="W65" s="919">
        <f t="shared" si="7"/>
        <v>4.9842271293375394E-2</v>
      </c>
      <c r="X65" s="890">
        <f t="shared" si="8"/>
        <v>1664.0498422712933</v>
      </c>
      <c r="Y65" s="658"/>
    </row>
    <row r="66" spans="1:29">
      <c r="A66" s="568">
        <v>44099</v>
      </c>
      <c r="B66" s="469" t="s">
        <v>19079</v>
      </c>
      <c r="C66" s="420"/>
      <c r="D66" s="880"/>
      <c r="E66" s="881"/>
      <c r="F66" s="420"/>
      <c r="G66" s="420"/>
      <c r="H66" s="462"/>
      <c r="I66" s="420"/>
      <c r="J66" s="462"/>
      <c r="K66" s="420"/>
      <c r="L66" s="462"/>
      <c r="M66" s="422"/>
      <c r="N66" s="462"/>
      <c r="O66" s="464"/>
      <c r="P66" s="464"/>
      <c r="Q66" s="464"/>
      <c r="R66" s="464"/>
      <c r="S66" s="464"/>
      <c r="T66" s="464"/>
      <c r="U66" s="887">
        <v>1619</v>
      </c>
      <c r="V66" s="888">
        <v>81</v>
      </c>
      <c r="W66" s="919">
        <f t="shared" si="7"/>
        <v>5.0030883261272391E-2</v>
      </c>
      <c r="X66" s="890">
        <f t="shared" si="8"/>
        <v>1700.0500308832613</v>
      </c>
      <c r="Y66" s="658"/>
    </row>
    <row r="67" spans="1:29">
      <c r="A67" s="471">
        <v>44130</v>
      </c>
      <c r="B67" s="469" t="s">
        <v>19080</v>
      </c>
      <c r="C67" s="420"/>
      <c r="D67" s="880"/>
      <c r="E67" s="881"/>
      <c r="F67" s="420"/>
      <c r="G67" s="420"/>
      <c r="H67" s="462"/>
      <c r="I67" s="420"/>
      <c r="J67" s="462"/>
      <c r="K67" s="420"/>
      <c r="L67" s="462"/>
      <c r="M67" s="422"/>
      <c r="N67" s="462"/>
      <c r="O67" s="464"/>
      <c r="P67" s="464"/>
      <c r="Q67" s="464"/>
      <c r="R67" s="464"/>
      <c r="S67" s="464"/>
      <c r="T67" s="464"/>
      <c r="U67" s="887">
        <v>1590</v>
      </c>
      <c r="V67" s="889">
        <v>80</v>
      </c>
      <c r="W67" s="919">
        <f t="shared" si="7"/>
        <v>5.0314465408805034E-2</v>
      </c>
      <c r="X67" s="890">
        <f t="shared" si="8"/>
        <v>1670.0503144654087</v>
      </c>
      <c r="Y67" s="658"/>
    </row>
    <row r="68" spans="1:29">
      <c r="A68" s="471">
        <v>44160</v>
      </c>
      <c r="B68" s="469" t="s">
        <v>19081</v>
      </c>
      <c r="C68" s="420"/>
      <c r="D68" s="880"/>
      <c r="E68" s="881"/>
      <c r="F68" s="420"/>
      <c r="G68" s="420"/>
      <c r="H68" s="462"/>
      <c r="I68" s="420"/>
      <c r="J68" s="462"/>
      <c r="K68" s="420"/>
      <c r="L68" s="462"/>
      <c r="M68" s="422"/>
      <c r="N68" s="462"/>
      <c r="O68" s="464"/>
      <c r="P68" s="464"/>
      <c r="Q68" s="464"/>
      <c r="R68" s="464"/>
      <c r="S68" s="464"/>
      <c r="T68" s="464"/>
      <c r="U68" s="887">
        <v>1593</v>
      </c>
      <c r="V68" s="889">
        <v>80</v>
      </c>
      <c r="W68" s="919">
        <f t="shared" si="7"/>
        <v>5.0219711236660386E-2</v>
      </c>
      <c r="X68" s="890">
        <f t="shared" si="8"/>
        <v>1673.0502197112367</v>
      </c>
      <c r="Y68" s="658"/>
    </row>
    <row r="69" spans="1:29">
      <c r="A69" s="471">
        <v>44190</v>
      </c>
      <c r="B69" s="469" t="s">
        <v>19082</v>
      </c>
      <c r="C69" s="420"/>
      <c r="D69" s="880"/>
      <c r="E69" s="881"/>
      <c r="F69" s="420"/>
      <c r="G69" s="420"/>
      <c r="H69" s="462"/>
      <c r="I69" s="420"/>
      <c r="J69" s="462"/>
      <c r="K69" s="420"/>
      <c r="L69" s="462"/>
      <c r="M69" s="422"/>
      <c r="N69" s="462"/>
      <c r="O69" s="464"/>
      <c r="P69" s="464"/>
      <c r="Q69" s="464"/>
      <c r="R69" s="464"/>
      <c r="S69" s="464"/>
      <c r="T69" s="464"/>
      <c r="U69" s="887">
        <v>1593</v>
      </c>
      <c r="V69" s="889">
        <v>80</v>
      </c>
      <c r="W69" s="919">
        <f t="shared" si="7"/>
        <v>5.0219711236660386E-2</v>
      </c>
      <c r="X69" s="890">
        <f t="shared" si="8"/>
        <v>1673.0502197112367</v>
      </c>
      <c r="Y69" s="658"/>
    </row>
    <row r="70" spans="1:29" s="912" customFormat="1">
      <c r="A70" s="903">
        <v>43864</v>
      </c>
      <c r="B70" s="902" t="s">
        <v>19083</v>
      </c>
      <c r="C70" s="904"/>
      <c r="D70" s="905"/>
      <c r="E70" s="906"/>
      <c r="F70" s="904"/>
      <c r="G70" s="904"/>
      <c r="H70" s="907"/>
      <c r="I70" s="904"/>
      <c r="J70" s="907"/>
      <c r="K70" s="904"/>
      <c r="L70" s="907"/>
      <c r="M70" s="904"/>
      <c r="N70" s="907"/>
      <c r="O70" s="907"/>
      <c r="P70" s="907"/>
      <c r="Q70" s="907"/>
      <c r="R70" s="907"/>
      <c r="S70" s="907"/>
      <c r="T70" s="907"/>
      <c r="U70" s="908">
        <v>2042</v>
      </c>
      <c r="V70" s="908">
        <v>102</v>
      </c>
      <c r="W70" s="918">
        <f t="shared" si="7"/>
        <v>4.9951028403525957E-2</v>
      </c>
      <c r="X70" s="909">
        <f t="shared" si="8"/>
        <v>2144.0499510284035</v>
      </c>
      <c r="Y70" s="910"/>
      <c r="Z70" s="911"/>
      <c r="AA70" s="911"/>
    </row>
    <row r="71" spans="1:29">
      <c r="A71" s="468">
        <v>43887</v>
      </c>
      <c r="B71" s="469" t="s">
        <v>19084</v>
      </c>
      <c r="C71" s="420"/>
      <c r="D71" s="880"/>
      <c r="E71" s="881"/>
      <c r="F71" s="420"/>
      <c r="G71" s="420"/>
      <c r="H71" s="462"/>
      <c r="I71" s="420"/>
      <c r="J71" s="462"/>
      <c r="K71" s="420"/>
      <c r="L71" s="462"/>
      <c r="M71" s="422"/>
      <c r="N71" s="462"/>
      <c r="O71" s="464"/>
      <c r="P71" s="464"/>
      <c r="Q71" s="464"/>
      <c r="R71" s="464"/>
      <c r="S71" s="464"/>
      <c r="T71" s="464"/>
      <c r="U71" s="887">
        <v>1966</v>
      </c>
      <c r="V71" s="888">
        <v>98</v>
      </c>
      <c r="W71" s="919">
        <f t="shared" si="7"/>
        <v>4.9847405900305189E-2</v>
      </c>
      <c r="X71" s="890">
        <f t="shared" si="8"/>
        <v>2064.0498474059004</v>
      </c>
      <c r="Y71" s="658"/>
    </row>
    <row r="72" spans="1:29">
      <c r="A72" s="468">
        <v>43916</v>
      </c>
      <c r="B72" s="469" t="s">
        <v>19085</v>
      </c>
      <c r="C72" s="420"/>
      <c r="D72" s="880"/>
      <c r="E72" s="881"/>
      <c r="F72" s="420"/>
      <c r="G72" s="420"/>
      <c r="H72" s="462"/>
      <c r="I72" s="420"/>
      <c r="J72" s="462"/>
      <c r="K72" s="420"/>
      <c r="L72" s="462"/>
      <c r="M72" s="422"/>
      <c r="N72" s="462"/>
      <c r="O72" s="464"/>
      <c r="P72" s="464"/>
      <c r="Q72" s="464"/>
      <c r="R72" s="464"/>
      <c r="S72" s="464"/>
      <c r="T72" s="464"/>
      <c r="U72" s="887">
        <v>1881</v>
      </c>
      <c r="V72" s="888">
        <v>94</v>
      </c>
      <c r="W72" s="919">
        <f t="shared" si="7"/>
        <v>4.9973418394471024E-2</v>
      </c>
      <c r="X72" s="890">
        <f t="shared" si="8"/>
        <v>1975.0499734183945</v>
      </c>
      <c r="Y72" s="658"/>
    </row>
    <row r="73" spans="1:29" s="416" customFormat="1">
      <c r="A73" s="470">
        <v>43949</v>
      </c>
      <c r="B73" s="469" t="s">
        <v>19086</v>
      </c>
      <c r="C73" s="420"/>
      <c r="D73" s="880"/>
      <c r="E73" s="881"/>
      <c r="F73" s="420"/>
      <c r="G73" s="420"/>
      <c r="H73" s="462"/>
      <c r="I73" s="420"/>
      <c r="J73" s="462"/>
      <c r="K73" s="420"/>
      <c r="L73" s="462"/>
      <c r="M73" s="422"/>
      <c r="N73" s="462"/>
      <c r="O73" s="464"/>
      <c r="P73" s="464"/>
      <c r="Q73" s="464"/>
      <c r="R73" s="464"/>
      <c r="S73" s="464"/>
      <c r="T73" s="464"/>
      <c r="U73" s="887">
        <v>1919</v>
      </c>
      <c r="V73" s="888">
        <v>96</v>
      </c>
      <c r="W73" s="919">
        <f t="shared" si="7"/>
        <v>5.0026055237102657E-2</v>
      </c>
      <c r="X73" s="890">
        <f t="shared" si="8"/>
        <v>2015.0500260552371</v>
      </c>
      <c r="Y73" s="658"/>
      <c r="AB73" s="415"/>
      <c r="AC73" s="415"/>
    </row>
    <row r="74" spans="1:29" s="416" customFormat="1">
      <c r="A74" s="471">
        <v>43977</v>
      </c>
      <c r="B74" s="469" t="s">
        <v>19087</v>
      </c>
      <c r="C74" s="420"/>
      <c r="D74" s="880"/>
      <c r="E74" s="881"/>
      <c r="F74" s="420"/>
      <c r="G74" s="420"/>
      <c r="H74" s="462"/>
      <c r="I74" s="420"/>
      <c r="J74" s="462"/>
      <c r="K74" s="420"/>
      <c r="L74" s="462"/>
      <c r="M74" s="422"/>
      <c r="N74" s="462"/>
      <c r="O74" s="464"/>
      <c r="P74" s="464"/>
      <c r="Q74" s="464"/>
      <c r="R74" s="464"/>
      <c r="S74" s="464"/>
      <c r="T74" s="464"/>
      <c r="U74" s="887">
        <v>2016</v>
      </c>
      <c r="V74" s="892">
        <v>101</v>
      </c>
      <c r="W74" s="919">
        <f t="shared" si="7"/>
        <v>5.0099206349206352E-2</v>
      </c>
      <c r="X74" s="890">
        <f t="shared" si="8"/>
        <v>2117.0500992063494</v>
      </c>
      <c r="Y74" s="658"/>
      <c r="AB74" s="415"/>
      <c r="AC74" s="415"/>
    </row>
    <row r="75" spans="1:29" s="416" customFormat="1">
      <c r="A75" s="471">
        <v>44011</v>
      </c>
      <c r="B75" s="469" t="s">
        <v>19088</v>
      </c>
      <c r="C75" s="420"/>
      <c r="D75" s="880"/>
      <c r="E75" s="881"/>
      <c r="F75" s="420"/>
      <c r="G75" s="420"/>
      <c r="H75" s="462"/>
      <c r="I75" s="420"/>
      <c r="J75" s="462"/>
      <c r="K75" s="420"/>
      <c r="L75" s="462"/>
      <c r="M75" s="422"/>
      <c r="N75" s="462"/>
      <c r="O75" s="464"/>
      <c r="P75" s="464"/>
      <c r="Q75" s="464"/>
      <c r="R75" s="464"/>
      <c r="S75" s="464"/>
      <c r="T75" s="464"/>
      <c r="U75" s="887">
        <v>1902</v>
      </c>
      <c r="V75" s="889">
        <v>95</v>
      </c>
      <c r="W75" s="919">
        <f t="shared" si="7"/>
        <v>4.9947423764458466E-2</v>
      </c>
      <c r="X75" s="890">
        <f t="shared" si="8"/>
        <v>1997.0499474237645</v>
      </c>
      <c r="Y75" s="658"/>
      <c r="AB75" s="415"/>
      <c r="AC75" s="415"/>
    </row>
    <row r="76" spans="1:29" s="416" customFormat="1">
      <c r="A76" s="471">
        <v>44040</v>
      </c>
      <c r="B76" s="469" t="s">
        <v>19089</v>
      </c>
      <c r="C76" s="420"/>
      <c r="D76" s="880"/>
      <c r="E76" s="881"/>
      <c r="F76" s="420"/>
      <c r="G76" s="420"/>
      <c r="H76" s="462"/>
      <c r="I76" s="420"/>
      <c r="J76" s="462"/>
      <c r="K76" s="420"/>
      <c r="L76" s="462"/>
      <c r="M76" s="422"/>
      <c r="N76" s="462"/>
      <c r="O76" s="464"/>
      <c r="P76" s="464"/>
      <c r="Q76" s="464"/>
      <c r="R76" s="464"/>
      <c r="S76" s="464"/>
      <c r="T76" s="464"/>
      <c r="U76" s="887">
        <v>1942</v>
      </c>
      <c r="V76" s="889">
        <v>97</v>
      </c>
      <c r="W76" s="919">
        <f t="shared" si="7"/>
        <v>4.9948506694129764E-2</v>
      </c>
      <c r="X76" s="890">
        <f t="shared" si="8"/>
        <v>2039.0499485066941</v>
      </c>
      <c r="Y76" s="658"/>
      <c r="AB76" s="415"/>
      <c r="AC76" s="415"/>
    </row>
    <row r="77" spans="1:29" s="416" customFormat="1">
      <c r="A77" s="471">
        <v>44068</v>
      </c>
      <c r="B77" s="469" t="s">
        <v>19090</v>
      </c>
      <c r="C77" s="420"/>
      <c r="D77" s="880"/>
      <c r="E77" s="881"/>
      <c r="F77" s="420"/>
      <c r="G77" s="420"/>
      <c r="H77" s="462"/>
      <c r="I77" s="420"/>
      <c r="J77" s="462"/>
      <c r="K77" s="420"/>
      <c r="L77" s="462"/>
      <c r="M77" s="422"/>
      <c r="N77" s="462"/>
      <c r="O77" s="464"/>
      <c r="P77" s="464"/>
      <c r="Q77" s="464"/>
      <c r="R77" s="464"/>
      <c r="S77" s="464"/>
      <c r="T77" s="464"/>
      <c r="U77" s="887">
        <v>1916</v>
      </c>
      <c r="V77" s="888">
        <v>96</v>
      </c>
      <c r="W77" s="919">
        <f t="shared" si="7"/>
        <v>5.0104384133611693E-2</v>
      </c>
      <c r="X77" s="890">
        <f t="shared" si="8"/>
        <v>2012.0501043841336</v>
      </c>
      <c r="Y77" s="658"/>
      <c r="AB77" s="415"/>
      <c r="AC77" s="415"/>
    </row>
    <row r="78" spans="1:29" s="416" customFormat="1">
      <c r="A78" s="568">
        <v>44099</v>
      </c>
      <c r="B78" s="469" t="s">
        <v>19091</v>
      </c>
      <c r="C78" s="420"/>
      <c r="D78" s="880"/>
      <c r="E78" s="881"/>
      <c r="F78" s="420"/>
      <c r="G78" s="420"/>
      <c r="H78" s="462"/>
      <c r="I78" s="420"/>
      <c r="J78" s="462"/>
      <c r="K78" s="420"/>
      <c r="L78" s="462"/>
      <c r="M78" s="422"/>
      <c r="N78" s="462"/>
      <c r="O78" s="464"/>
      <c r="P78" s="464"/>
      <c r="Q78" s="464"/>
      <c r="R78" s="464"/>
      <c r="S78" s="464"/>
      <c r="T78" s="464"/>
      <c r="U78" s="887">
        <v>1896</v>
      </c>
      <c r="V78" s="888">
        <v>95</v>
      </c>
      <c r="W78" s="919">
        <f t="shared" si="7"/>
        <v>5.0105485232067509E-2</v>
      </c>
      <c r="X78" s="890">
        <f t="shared" si="8"/>
        <v>1991.0501054852321</v>
      </c>
      <c r="Y78" s="658"/>
      <c r="AB78" s="415"/>
      <c r="AC78" s="415"/>
    </row>
    <row r="79" spans="1:29" s="416" customFormat="1">
      <c r="A79" s="471">
        <v>44130</v>
      </c>
      <c r="B79" s="469" t="s">
        <v>19092</v>
      </c>
      <c r="C79" s="420"/>
      <c r="D79" s="880"/>
      <c r="E79" s="881"/>
      <c r="F79" s="420"/>
      <c r="G79" s="420"/>
      <c r="H79" s="462"/>
      <c r="I79" s="420"/>
      <c r="J79" s="462"/>
      <c r="K79" s="420"/>
      <c r="L79" s="462"/>
      <c r="M79" s="422"/>
      <c r="N79" s="462"/>
      <c r="O79" s="464"/>
      <c r="P79" s="464"/>
      <c r="Q79" s="464"/>
      <c r="R79" s="464"/>
      <c r="S79" s="464"/>
      <c r="T79" s="464"/>
      <c r="U79" s="887">
        <v>2050</v>
      </c>
      <c r="V79" s="889">
        <v>103</v>
      </c>
      <c r="W79" s="919">
        <f t="shared" si="7"/>
        <v>5.0243902439024393E-2</v>
      </c>
      <c r="X79" s="890">
        <f t="shared" si="8"/>
        <v>2153.050243902439</v>
      </c>
      <c r="Y79" s="658"/>
      <c r="AB79" s="415"/>
      <c r="AC79" s="415"/>
    </row>
    <row r="80" spans="1:29" s="416" customFormat="1">
      <c r="A80" s="471">
        <v>44160</v>
      </c>
      <c r="B80" s="469" t="s">
        <v>19093</v>
      </c>
      <c r="C80" s="420"/>
      <c r="D80" s="880"/>
      <c r="E80" s="881"/>
      <c r="F80" s="420"/>
      <c r="G80" s="420"/>
      <c r="H80" s="462"/>
      <c r="I80" s="420"/>
      <c r="J80" s="462"/>
      <c r="K80" s="420"/>
      <c r="L80" s="462"/>
      <c r="M80" s="422"/>
      <c r="N80" s="462"/>
      <c r="O80" s="464"/>
      <c r="P80" s="464"/>
      <c r="Q80" s="464"/>
      <c r="R80" s="464"/>
      <c r="S80" s="464"/>
      <c r="T80" s="464"/>
      <c r="U80" s="887">
        <v>1916</v>
      </c>
      <c r="V80" s="889">
        <v>96</v>
      </c>
      <c r="W80" s="919">
        <f t="shared" si="7"/>
        <v>5.0104384133611693E-2</v>
      </c>
      <c r="X80" s="890">
        <f t="shared" si="8"/>
        <v>2012.0501043841336</v>
      </c>
      <c r="Y80" s="658"/>
      <c r="AB80" s="415"/>
      <c r="AC80" s="415"/>
    </row>
    <row r="81" spans="1:29" s="416" customFormat="1">
      <c r="A81" s="471">
        <v>44190</v>
      </c>
      <c r="B81" s="469" t="s">
        <v>19094</v>
      </c>
      <c r="C81" s="420"/>
      <c r="D81" s="880"/>
      <c r="E81" s="881"/>
      <c r="F81" s="420"/>
      <c r="G81" s="420"/>
      <c r="H81" s="462"/>
      <c r="I81" s="420"/>
      <c r="J81" s="462"/>
      <c r="K81" s="420"/>
      <c r="L81" s="462"/>
      <c r="M81" s="422"/>
      <c r="N81" s="462"/>
      <c r="O81" s="464"/>
      <c r="P81" s="464"/>
      <c r="Q81" s="464"/>
      <c r="R81" s="464"/>
      <c r="S81" s="464"/>
      <c r="T81" s="464"/>
      <c r="U81" s="887">
        <v>1896</v>
      </c>
      <c r="V81" s="889">
        <v>95</v>
      </c>
      <c r="W81" s="919">
        <f>V81/U81</f>
        <v>5.0105485232067509E-2</v>
      </c>
      <c r="X81" s="890">
        <f t="shared" si="8"/>
        <v>1991.0501054852321</v>
      </c>
      <c r="Y81" s="658"/>
      <c r="AB81" s="415"/>
      <c r="AC81" s="415"/>
    </row>
    <row r="82" spans="1:29" s="912" customFormat="1">
      <c r="A82" s="903">
        <v>43864</v>
      </c>
      <c r="B82" s="902" t="s">
        <v>19095</v>
      </c>
      <c r="C82" s="904"/>
      <c r="D82" s="905"/>
      <c r="E82" s="906"/>
      <c r="F82" s="904"/>
      <c r="G82" s="904"/>
      <c r="H82" s="907"/>
      <c r="I82" s="904"/>
      <c r="J82" s="907"/>
      <c r="K82" s="904"/>
      <c r="L82" s="907"/>
      <c r="M82" s="904"/>
      <c r="N82" s="907"/>
      <c r="O82" s="907"/>
      <c r="P82" s="907"/>
      <c r="Q82" s="907"/>
      <c r="R82" s="907"/>
      <c r="S82" s="907"/>
      <c r="T82" s="907"/>
      <c r="U82" s="908">
        <v>1170</v>
      </c>
      <c r="V82" s="908">
        <v>58</v>
      </c>
      <c r="W82" s="918">
        <f t="shared" ref="W82:W93" si="9">V82/U82</f>
        <v>4.957264957264957E-2</v>
      </c>
      <c r="X82" s="909">
        <f t="shared" si="8"/>
        <v>1228.0495726495726</v>
      </c>
      <c r="Y82" s="910"/>
      <c r="Z82" s="911"/>
      <c r="AA82" s="911"/>
    </row>
    <row r="83" spans="1:29">
      <c r="A83" s="468">
        <v>43887</v>
      </c>
      <c r="B83" s="469" t="s">
        <v>19096</v>
      </c>
      <c r="C83" s="420"/>
      <c r="D83" s="880"/>
      <c r="E83" s="881"/>
      <c r="F83" s="420"/>
      <c r="G83" s="420"/>
      <c r="H83" s="462"/>
      <c r="I83" s="420"/>
      <c r="J83" s="462"/>
      <c r="K83" s="420"/>
      <c r="L83" s="462"/>
      <c r="M83" s="422"/>
      <c r="N83" s="462"/>
      <c r="O83" s="464"/>
      <c r="P83" s="464"/>
      <c r="Q83" s="464"/>
      <c r="R83" s="464"/>
      <c r="S83" s="464"/>
      <c r="T83" s="464"/>
      <c r="U83" s="887">
        <v>1171</v>
      </c>
      <c r="V83" s="888">
        <v>59</v>
      </c>
      <c r="W83" s="919">
        <f t="shared" si="9"/>
        <v>5.0384286934244238E-2</v>
      </c>
      <c r="X83" s="890">
        <f t="shared" si="8"/>
        <v>1230.0503842869343</v>
      </c>
      <c r="Y83" s="658"/>
    </row>
    <row r="84" spans="1:29">
      <c r="A84" s="468">
        <v>43916</v>
      </c>
      <c r="B84" s="469" t="s">
        <v>19097</v>
      </c>
      <c r="C84" s="420"/>
      <c r="D84" s="880"/>
      <c r="E84" s="881"/>
      <c r="F84" s="420"/>
      <c r="G84" s="420"/>
      <c r="H84" s="462"/>
      <c r="I84" s="420"/>
      <c r="J84" s="462"/>
      <c r="K84" s="420"/>
      <c r="L84" s="462"/>
      <c r="M84" s="422"/>
      <c r="N84" s="462"/>
      <c r="O84" s="464"/>
      <c r="P84" s="464"/>
      <c r="Q84" s="464"/>
      <c r="R84" s="464"/>
      <c r="S84" s="464"/>
      <c r="T84" s="464"/>
      <c r="U84" s="887">
        <v>1171</v>
      </c>
      <c r="V84" s="888">
        <v>59</v>
      </c>
      <c r="W84" s="919">
        <f t="shared" si="9"/>
        <v>5.0384286934244238E-2</v>
      </c>
      <c r="X84" s="890">
        <f t="shared" si="8"/>
        <v>1230.0503842869343</v>
      </c>
      <c r="Y84" s="658"/>
    </row>
    <row r="85" spans="1:29">
      <c r="A85" s="470">
        <v>43949</v>
      </c>
      <c r="B85" s="469" t="s">
        <v>19098</v>
      </c>
      <c r="C85" s="420"/>
      <c r="D85" s="880"/>
      <c r="E85" s="881"/>
      <c r="F85" s="420"/>
      <c r="G85" s="420"/>
      <c r="H85" s="462"/>
      <c r="I85" s="420"/>
      <c r="J85" s="462"/>
      <c r="K85" s="420"/>
      <c r="L85" s="462"/>
      <c r="M85" s="422"/>
      <c r="N85" s="462"/>
      <c r="O85" s="464"/>
      <c r="P85" s="464"/>
      <c r="Q85" s="464"/>
      <c r="R85" s="464"/>
      <c r="S85" s="464"/>
      <c r="T85" s="464"/>
      <c r="U85" s="887">
        <v>1170</v>
      </c>
      <c r="V85" s="888">
        <v>58</v>
      </c>
      <c r="W85" s="919">
        <f t="shared" si="9"/>
        <v>4.957264957264957E-2</v>
      </c>
      <c r="X85" s="890">
        <f t="shared" si="8"/>
        <v>1228.0495726495726</v>
      </c>
      <c r="Y85" s="658"/>
    </row>
    <row r="86" spans="1:29">
      <c r="A86" s="471">
        <v>43977</v>
      </c>
      <c r="B86" s="469" t="s">
        <v>19099</v>
      </c>
      <c r="C86" s="420"/>
      <c r="D86" s="880"/>
      <c r="E86" s="881"/>
      <c r="F86" s="420"/>
      <c r="G86" s="420"/>
      <c r="H86" s="462"/>
      <c r="I86" s="420"/>
      <c r="J86" s="462"/>
      <c r="K86" s="420"/>
      <c r="L86" s="462"/>
      <c r="M86" s="422"/>
      <c r="N86" s="462"/>
      <c r="O86" s="464"/>
      <c r="P86" s="464"/>
      <c r="Q86" s="464"/>
      <c r="R86" s="464"/>
      <c r="S86" s="464"/>
      <c r="T86" s="464"/>
      <c r="U86" s="887">
        <v>1164</v>
      </c>
      <c r="V86" s="892">
        <v>58</v>
      </c>
      <c r="W86" s="919">
        <f t="shared" si="9"/>
        <v>4.9828178694158079E-2</v>
      </c>
      <c r="X86" s="890">
        <f t="shared" si="8"/>
        <v>1222.0498281786943</v>
      </c>
      <c r="Y86" s="658"/>
    </row>
    <row r="87" spans="1:29">
      <c r="A87" s="471">
        <v>44011</v>
      </c>
      <c r="B87" s="469" t="s">
        <v>19100</v>
      </c>
      <c r="C87" s="420"/>
      <c r="D87" s="880"/>
      <c r="E87" s="881"/>
      <c r="F87" s="420"/>
      <c r="G87" s="420"/>
      <c r="H87" s="462"/>
      <c r="I87" s="420"/>
      <c r="J87" s="462"/>
      <c r="K87" s="420"/>
      <c r="L87" s="462"/>
      <c r="M87" s="422"/>
      <c r="N87" s="462"/>
      <c r="O87" s="464"/>
      <c r="P87" s="464"/>
      <c r="Q87" s="464"/>
      <c r="R87" s="464"/>
      <c r="S87" s="464"/>
      <c r="T87" s="464"/>
      <c r="U87" s="887">
        <v>1164</v>
      </c>
      <c r="V87" s="889">
        <v>58</v>
      </c>
      <c r="W87" s="919">
        <f t="shared" si="9"/>
        <v>4.9828178694158079E-2</v>
      </c>
      <c r="X87" s="890">
        <f t="shared" si="8"/>
        <v>1222.0498281786943</v>
      </c>
      <c r="Y87" s="658"/>
    </row>
    <row r="88" spans="1:29">
      <c r="A88" s="471">
        <v>44040</v>
      </c>
      <c r="B88" s="469" t="s">
        <v>19101</v>
      </c>
      <c r="C88" s="420"/>
      <c r="D88" s="880"/>
      <c r="E88" s="881"/>
      <c r="F88" s="420"/>
      <c r="G88" s="420"/>
      <c r="H88" s="462"/>
      <c r="I88" s="420"/>
      <c r="J88" s="462"/>
      <c r="K88" s="420"/>
      <c r="L88" s="462"/>
      <c r="M88" s="422"/>
      <c r="N88" s="462"/>
      <c r="O88" s="464"/>
      <c r="P88" s="464"/>
      <c r="Q88" s="464"/>
      <c r="R88" s="464"/>
      <c r="S88" s="464"/>
      <c r="T88" s="464"/>
      <c r="U88" s="887">
        <v>1162</v>
      </c>
      <c r="V88" s="889">
        <v>58</v>
      </c>
      <c r="W88" s="919">
        <f t="shared" si="9"/>
        <v>4.9913941480206538E-2</v>
      </c>
      <c r="X88" s="890">
        <f t="shared" si="8"/>
        <v>1220.0499139414801</v>
      </c>
      <c r="Y88" s="658"/>
    </row>
    <row r="89" spans="1:29">
      <c r="A89" s="471">
        <v>44068</v>
      </c>
      <c r="B89" s="469" t="s">
        <v>19102</v>
      </c>
      <c r="C89" s="420"/>
      <c r="D89" s="880"/>
      <c r="E89" s="881"/>
      <c r="F89" s="420"/>
      <c r="G89" s="420"/>
      <c r="H89" s="462"/>
      <c r="I89" s="420"/>
      <c r="J89" s="462"/>
      <c r="K89" s="420"/>
      <c r="L89" s="462"/>
      <c r="M89" s="422"/>
      <c r="N89" s="462"/>
      <c r="O89" s="464"/>
      <c r="P89" s="464"/>
      <c r="Q89" s="464"/>
      <c r="R89" s="464"/>
      <c r="S89" s="464"/>
      <c r="T89" s="464"/>
      <c r="U89" s="887">
        <v>1164</v>
      </c>
      <c r="V89" s="888">
        <v>58</v>
      </c>
      <c r="W89" s="919">
        <f t="shared" si="9"/>
        <v>4.9828178694158079E-2</v>
      </c>
      <c r="X89" s="890">
        <f t="shared" si="8"/>
        <v>1222.0498281786943</v>
      </c>
      <c r="Y89" s="658"/>
    </row>
    <row r="90" spans="1:29">
      <c r="A90" s="568">
        <v>44099</v>
      </c>
      <c r="B90" s="469" t="s">
        <v>19103</v>
      </c>
      <c r="C90" s="420"/>
      <c r="D90" s="880"/>
      <c r="E90" s="881"/>
      <c r="F90" s="420"/>
      <c r="G90" s="420"/>
      <c r="H90" s="462"/>
      <c r="I90" s="420"/>
      <c r="J90" s="462"/>
      <c r="K90" s="420"/>
      <c r="L90" s="462"/>
      <c r="M90" s="422"/>
      <c r="N90" s="462"/>
      <c r="O90" s="464"/>
      <c r="P90" s="464"/>
      <c r="Q90" s="464"/>
      <c r="R90" s="464"/>
      <c r="S90" s="464"/>
      <c r="T90" s="464"/>
      <c r="U90" s="887">
        <v>1170</v>
      </c>
      <c r="V90" s="888">
        <v>58</v>
      </c>
      <c r="W90" s="919">
        <f t="shared" si="9"/>
        <v>4.957264957264957E-2</v>
      </c>
      <c r="X90" s="890">
        <f t="shared" si="8"/>
        <v>1228.0495726495726</v>
      </c>
      <c r="Y90" s="658"/>
    </row>
    <row r="91" spans="1:29">
      <c r="A91" s="471">
        <v>44130</v>
      </c>
      <c r="B91" s="469" t="s">
        <v>19104</v>
      </c>
      <c r="C91" s="420"/>
      <c r="D91" s="880"/>
      <c r="E91" s="881"/>
      <c r="F91" s="420"/>
      <c r="G91" s="420"/>
      <c r="H91" s="462"/>
      <c r="I91" s="420"/>
      <c r="J91" s="462"/>
      <c r="K91" s="420"/>
      <c r="L91" s="462"/>
      <c r="M91" s="422"/>
      <c r="N91" s="462"/>
      <c r="O91" s="464"/>
      <c r="P91" s="464"/>
      <c r="Q91" s="464"/>
      <c r="R91" s="464"/>
      <c r="S91" s="464"/>
      <c r="T91" s="464"/>
      <c r="U91" s="887">
        <v>1162</v>
      </c>
      <c r="V91" s="889">
        <v>58</v>
      </c>
      <c r="W91" s="919">
        <f t="shared" si="9"/>
        <v>4.9913941480206538E-2</v>
      </c>
      <c r="X91" s="890">
        <f t="shared" si="8"/>
        <v>1220.0499139414801</v>
      </c>
      <c r="Y91" s="658"/>
    </row>
    <row r="92" spans="1:29">
      <c r="A92" s="471">
        <v>44160</v>
      </c>
      <c r="B92" s="469" t="s">
        <v>19105</v>
      </c>
      <c r="C92" s="420"/>
      <c r="D92" s="880"/>
      <c r="E92" s="881"/>
      <c r="F92" s="420"/>
      <c r="G92" s="420"/>
      <c r="H92" s="462"/>
      <c r="I92" s="420"/>
      <c r="J92" s="462"/>
      <c r="K92" s="420"/>
      <c r="L92" s="462"/>
      <c r="M92" s="422"/>
      <c r="N92" s="462"/>
      <c r="O92" s="464"/>
      <c r="P92" s="464"/>
      <c r="Q92" s="464"/>
      <c r="R92" s="464"/>
      <c r="S92" s="464"/>
      <c r="T92" s="464"/>
      <c r="U92" s="887">
        <v>1262</v>
      </c>
      <c r="V92" s="889">
        <v>63</v>
      </c>
      <c r="W92" s="919">
        <f t="shared" si="9"/>
        <v>4.992076069730586E-2</v>
      </c>
      <c r="X92" s="890">
        <f t="shared" si="8"/>
        <v>1325.0499207606972</v>
      </c>
      <c r="Y92" s="658"/>
    </row>
    <row r="93" spans="1:29">
      <c r="A93" s="471">
        <v>44190</v>
      </c>
      <c r="B93" s="469" t="s">
        <v>19106</v>
      </c>
      <c r="C93" s="420"/>
      <c r="D93" s="880"/>
      <c r="E93" s="881"/>
      <c r="F93" s="420"/>
      <c r="G93" s="420"/>
      <c r="H93" s="462"/>
      <c r="I93" s="420"/>
      <c r="J93" s="462"/>
      <c r="K93" s="420"/>
      <c r="L93" s="462"/>
      <c r="M93" s="422"/>
      <c r="N93" s="462"/>
      <c r="O93" s="464"/>
      <c r="P93" s="464"/>
      <c r="Q93" s="464"/>
      <c r="R93" s="464"/>
      <c r="S93" s="464"/>
      <c r="T93" s="464"/>
      <c r="U93" s="887">
        <v>1164</v>
      </c>
      <c r="V93" s="889">
        <v>58</v>
      </c>
      <c r="W93" s="919">
        <f t="shared" si="9"/>
        <v>4.9828178694158079E-2</v>
      </c>
      <c r="X93" s="890">
        <f t="shared" si="8"/>
        <v>1222.0498281786943</v>
      </c>
      <c r="Y93" s="658"/>
    </row>
    <row r="94" spans="1:29" s="416" customFormat="1">
      <c r="A94" s="474"/>
      <c r="B94" s="460"/>
      <c r="C94" s="420"/>
      <c r="D94" s="462"/>
      <c r="E94" s="420"/>
      <c r="F94" s="420"/>
      <c r="G94" s="420"/>
      <c r="H94" s="462"/>
      <c r="I94" s="420"/>
      <c r="J94" s="462"/>
      <c r="K94" s="420"/>
      <c r="L94" s="462"/>
      <c r="M94" s="422"/>
      <c r="N94" s="462"/>
      <c r="O94" s="464"/>
      <c r="P94" s="464"/>
      <c r="Q94" s="464"/>
      <c r="R94" s="464"/>
      <c r="S94" s="464"/>
      <c r="T94" s="755">
        <f>U94+V94</f>
        <v>59529</v>
      </c>
      <c r="U94" s="887">
        <f>SUM(U58:U93)</f>
        <v>56695</v>
      </c>
      <c r="V94" s="887">
        <f>SUM(V58:V93)</f>
        <v>2834</v>
      </c>
      <c r="W94" s="920">
        <f>SUM(W58:W93)</f>
        <v>1.7990333400677612</v>
      </c>
      <c r="X94" s="890">
        <f>U94+V94+W94</f>
        <v>59530.799033340067</v>
      </c>
      <c r="Y94" s="415"/>
      <c r="AB94" s="415"/>
      <c r="AC94" s="415"/>
    </row>
    <row r="95" spans="1:29" s="416" customFormat="1">
      <c r="A95" s="475">
        <v>43860</v>
      </c>
      <c r="B95" s="460" t="s">
        <v>19059</v>
      </c>
      <c r="C95" s="420"/>
      <c r="D95" s="462"/>
      <c r="E95" s="420"/>
      <c r="F95" s="420"/>
      <c r="G95" s="420"/>
      <c r="H95" s="462"/>
      <c r="I95" s="420"/>
      <c r="J95" s="462"/>
      <c r="K95" s="420"/>
      <c r="L95" s="462"/>
      <c r="M95" s="422"/>
      <c r="N95" s="462"/>
      <c r="O95" s="464"/>
      <c r="P95" s="464"/>
      <c r="Q95" s="464"/>
      <c r="R95" s="464"/>
      <c r="S95" s="464"/>
      <c r="T95" s="464"/>
      <c r="U95" s="887">
        <v>158</v>
      </c>
      <c r="V95" s="892">
        <v>8</v>
      </c>
      <c r="W95" s="893">
        <v>33</v>
      </c>
      <c r="X95" s="890">
        <f t="shared" si="8"/>
        <v>199</v>
      </c>
      <c r="Y95" s="451"/>
      <c r="AB95" s="415"/>
      <c r="AC95" s="415"/>
    </row>
    <row r="96" spans="1:29" s="416" customFormat="1">
      <c r="A96" s="468">
        <v>43928</v>
      </c>
      <c r="B96" s="469" t="s">
        <v>19060</v>
      </c>
      <c r="C96" s="420"/>
      <c r="D96" s="462"/>
      <c r="E96" s="420"/>
      <c r="F96" s="420"/>
      <c r="G96" s="420"/>
      <c r="H96" s="462"/>
      <c r="I96" s="420"/>
      <c r="J96" s="462"/>
      <c r="K96" s="420"/>
      <c r="L96" s="462"/>
      <c r="M96" s="422"/>
      <c r="N96" s="462"/>
      <c r="O96" s="464"/>
      <c r="P96" s="464"/>
      <c r="Q96" s="464"/>
      <c r="R96" s="464"/>
      <c r="S96" s="464"/>
      <c r="T96" s="464"/>
      <c r="U96" s="887">
        <v>158</v>
      </c>
      <c r="V96" s="888">
        <v>8</v>
      </c>
      <c r="W96" s="888">
        <v>33</v>
      </c>
      <c r="X96" s="890">
        <f t="shared" si="8"/>
        <v>199</v>
      </c>
      <c r="Y96" s="415"/>
      <c r="AB96" s="415"/>
      <c r="AC96" s="415"/>
    </row>
    <row r="97" spans="1:29" s="416" customFormat="1">
      <c r="A97" s="470">
        <v>43984</v>
      </c>
      <c r="B97" s="469" t="s">
        <v>19061</v>
      </c>
      <c r="C97" s="420"/>
      <c r="D97" s="462"/>
      <c r="E97" s="420"/>
      <c r="F97" s="420"/>
      <c r="G97" s="420"/>
      <c r="H97" s="462"/>
      <c r="I97" s="420"/>
      <c r="J97" s="462"/>
      <c r="K97" s="420"/>
      <c r="L97" s="462"/>
      <c r="M97" s="422"/>
      <c r="N97" s="462"/>
      <c r="O97" s="464"/>
      <c r="P97" s="464"/>
      <c r="Q97" s="464"/>
      <c r="R97" s="464"/>
      <c r="S97" s="464"/>
      <c r="T97" s="464"/>
      <c r="U97" s="887">
        <v>150</v>
      </c>
      <c r="V97" s="889">
        <v>7</v>
      </c>
      <c r="W97" s="889">
        <v>28</v>
      </c>
      <c r="X97" s="890">
        <f t="shared" si="8"/>
        <v>185</v>
      </c>
      <c r="Y97" s="415"/>
      <c r="AB97" s="415"/>
      <c r="AC97" s="415"/>
    </row>
    <row r="98" spans="1:29" s="416" customFormat="1">
      <c r="A98" s="470">
        <v>44039</v>
      </c>
      <c r="B98" s="469" t="s">
        <v>19062</v>
      </c>
      <c r="C98" s="420"/>
      <c r="D98" s="462"/>
      <c r="E98" s="420"/>
      <c r="F98" s="420"/>
      <c r="G98" s="420"/>
      <c r="H98" s="462"/>
      <c r="I98" s="420"/>
      <c r="J98" s="462"/>
      <c r="K98" s="420"/>
      <c r="L98" s="462"/>
      <c r="M98" s="422"/>
      <c r="N98" s="462"/>
      <c r="O98" s="464"/>
      <c r="P98" s="464"/>
      <c r="Q98" s="464"/>
      <c r="R98" s="464"/>
      <c r="S98" s="464"/>
      <c r="T98" s="464"/>
      <c r="U98" s="887">
        <v>153</v>
      </c>
      <c r="V98" s="888">
        <v>8</v>
      </c>
      <c r="W98" s="888">
        <v>33</v>
      </c>
      <c r="X98" s="890">
        <f t="shared" si="8"/>
        <v>194</v>
      </c>
      <c r="Y98" s="415"/>
      <c r="AB98" s="415"/>
      <c r="AC98" s="415"/>
    </row>
    <row r="99" spans="1:29" s="416" customFormat="1">
      <c r="A99" s="470">
        <v>44100</v>
      </c>
      <c r="B99" s="469" t="s">
        <v>19063</v>
      </c>
      <c r="C99" s="420"/>
      <c r="D99" s="462"/>
      <c r="E99" s="420"/>
      <c r="F99" s="420"/>
      <c r="G99" s="420"/>
      <c r="H99" s="462"/>
      <c r="I99" s="420"/>
      <c r="J99" s="462"/>
      <c r="K99" s="420"/>
      <c r="L99" s="462"/>
      <c r="M99" s="422"/>
      <c r="N99" s="462"/>
      <c r="O99" s="464"/>
      <c r="P99" s="464"/>
      <c r="Q99" s="464"/>
      <c r="R99" s="464"/>
      <c r="S99" s="464"/>
      <c r="T99" s="464"/>
      <c r="U99" s="887">
        <v>150</v>
      </c>
      <c r="V99" s="888">
        <v>7</v>
      </c>
      <c r="W99" s="888">
        <v>28</v>
      </c>
      <c r="X99" s="890">
        <f t="shared" si="8"/>
        <v>185</v>
      </c>
      <c r="Y99" s="415"/>
      <c r="AB99" s="415"/>
      <c r="AC99" s="415"/>
    </row>
    <row r="100" spans="1:29" s="416" customFormat="1">
      <c r="A100" s="470">
        <v>44162</v>
      </c>
      <c r="B100" s="469" t="s">
        <v>19064</v>
      </c>
      <c r="C100" s="420"/>
      <c r="D100" s="462"/>
      <c r="E100" s="420"/>
      <c r="F100" s="420"/>
      <c r="G100" s="420"/>
      <c r="H100" s="462"/>
      <c r="I100" s="420"/>
      <c r="J100" s="462"/>
      <c r="K100" s="420"/>
      <c r="L100" s="462"/>
      <c r="M100" s="422"/>
      <c r="N100" s="462"/>
      <c r="O100" s="464"/>
      <c r="P100" s="464"/>
      <c r="Q100" s="464"/>
      <c r="R100" s="464"/>
      <c r="S100" s="464"/>
      <c r="T100" s="464"/>
      <c r="U100" s="887">
        <v>149</v>
      </c>
      <c r="V100" s="889">
        <v>7</v>
      </c>
      <c r="W100" s="889">
        <v>22</v>
      </c>
      <c r="X100" s="890">
        <f t="shared" si="8"/>
        <v>178</v>
      </c>
      <c r="Y100" s="415"/>
      <c r="AB100" s="415"/>
      <c r="AC100" s="415"/>
    </row>
    <row r="101" spans="1:29" s="416" customFormat="1">
      <c r="A101" s="474"/>
      <c r="B101" s="460"/>
      <c r="C101" s="420"/>
      <c r="D101" s="462"/>
      <c r="E101" s="420"/>
      <c r="F101" s="420"/>
      <c r="G101" s="420"/>
      <c r="H101" s="462"/>
      <c r="I101" s="420"/>
      <c r="J101" s="462"/>
      <c r="K101" s="420"/>
      <c r="L101" s="462"/>
      <c r="M101" s="422"/>
      <c r="N101" s="462"/>
      <c r="O101" s="464"/>
      <c r="P101" s="464"/>
      <c r="Q101" s="464"/>
      <c r="R101" s="464"/>
      <c r="S101" s="464"/>
      <c r="T101" s="464">
        <f>U101+V101</f>
        <v>963</v>
      </c>
      <c r="U101" s="887">
        <f>SUM(U95:U100)</f>
        <v>918</v>
      </c>
      <c r="V101" s="887">
        <f>SUM(V95:V100)</f>
        <v>45</v>
      </c>
      <c r="W101" s="887">
        <f>SUM(W95:W100)</f>
        <v>177</v>
      </c>
      <c r="X101" s="890">
        <f t="shared" si="8"/>
        <v>1140</v>
      </c>
      <c r="Y101" s="415"/>
      <c r="AB101" s="415"/>
      <c r="AC101" s="415"/>
    </row>
    <row r="102" spans="1:29" s="416" customFormat="1">
      <c r="A102" s="477">
        <v>43878</v>
      </c>
      <c r="B102" s="460" t="s">
        <v>19065</v>
      </c>
      <c r="C102" s="420"/>
      <c r="D102" s="462"/>
      <c r="E102" s="420"/>
      <c r="F102" s="420"/>
      <c r="G102" s="420"/>
      <c r="H102" s="462"/>
      <c r="I102" s="420"/>
      <c r="J102" s="462"/>
      <c r="K102" s="420"/>
      <c r="L102" s="462"/>
      <c r="M102" s="422"/>
      <c r="N102" s="462"/>
      <c r="O102" s="464"/>
      <c r="P102" s="464"/>
      <c r="Q102" s="464"/>
      <c r="R102" s="464"/>
      <c r="S102" s="464"/>
      <c r="T102" s="464"/>
      <c r="U102" s="887">
        <v>1618</v>
      </c>
      <c r="V102" s="892">
        <v>81</v>
      </c>
      <c r="W102" s="893"/>
      <c r="X102" s="890">
        <f t="shared" si="8"/>
        <v>1699</v>
      </c>
      <c r="Y102" s="451"/>
      <c r="AB102" s="415"/>
      <c r="AC102" s="415"/>
    </row>
    <row r="103" spans="1:29" s="416" customFormat="1">
      <c r="A103" s="468">
        <v>43937</v>
      </c>
      <c r="B103" s="469" t="s">
        <v>19066</v>
      </c>
      <c r="C103" s="420"/>
      <c r="D103" s="462"/>
      <c r="E103" s="420"/>
      <c r="F103" s="420"/>
      <c r="G103" s="420"/>
      <c r="H103" s="462"/>
      <c r="I103" s="420"/>
      <c r="J103" s="462"/>
      <c r="K103" s="420"/>
      <c r="L103" s="462"/>
      <c r="M103" s="422"/>
      <c r="N103" s="462"/>
      <c r="O103" s="464"/>
      <c r="P103" s="464"/>
      <c r="Q103" s="464"/>
      <c r="R103" s="464"/>
      <c r="S103" s="464"/>
      <c r="T103" s="464"/>
      <c r="U103" s="887">
        <v>1521</v>
      </c>
      <c r="V103" s="888">
        <v>76</v>
      </c>
      <c r="W103" s="888"/>
      <c r="X103" s="890">
        <f t="shared" si="8"/>
        <v>1597</v>
      </c>
      <c r="Y103" s="415"/>
      <c r="AB103" s="415"/>
      <c r="AC103" s="415"/>
    </row>
    <row r="104" spans="1:29" s="416" customFormat="1">
      <c r="A104" s="470">
        <v>43998</v>
      </c>
      <c r="B104" s="469" t="s">
        <v>19067</v>
      </c>
      <c r="C104" s="420"/>
      <c r="D104" s="462"/>
      <c r="E104" s="420"/>
      <c r="F104" s="420"/>
      <c r="G104" s="420"/>
      <c r="H104" s="462"/>
      <c r="I104" s="420"/>
      <c r="J104" s="462"/>
      <c r="K104" s="420"/>
      <c r="L104" s="462"/>
      <c r="M104" s="422"/>
      <c r="N104" s="462"/>
      <c r="O104" s="464"/>
      <c r="P104" s="464"/>
      <c r="Q104" s="464"/>
      <c r="R104" s="464"/>
      <c r="S104" s="464"/>
      <c r="T104" s="464"/>
      <c r="U104" s="887">
        <v>1571</v>
      </c>
      <c r="V104" s="889">
        <v>79</v>
      </c>
      <c r="W104" s="889"/>
      <c r="X104" s="890">
        <f t="shared" si="8"/>
        <v>1650</v>
      </c>
      <c r="Y104" s="415"/>
      <c r="AB104" s="415"/>
      <c r="AC104" s="415"/>
    </row>
    <row r="105" spans="1:29" s="416" customFormat="1">
      <c r="A105" s="470">
        <v>44061</v>
      </c>
      <c r="B105" s="469" t="s">
        <v>19068</v>
      </c>
      <c r="C105" s="420"/>
      <c r="D105" s="462"/>
      <c r="E105" s="420"/>
      <c r="F105" s="420"/>
      <c r="G105" s="420"/>
      <c r="H105" s="462"/>
      <c r="I105" s="420"/>
      <c r="J105" s="462"/>
      <c r="K105" s="420"/>
      <c r="L105" s="462"/>
      <c r="M105" s="422"/>
      <c r="N105" s="462"/>
      <c r="O105" s="464"/>
      <c r="P105" s="464"/>
      <c r="Q105" s="464"/>
      <c r="R105" s="464"/>
      <c r="S105" s="464"/>
      <c r="T105" s="464"/>
      <c r="U105" s="887">
        <v>1973</v>
      </c>
      <c r="V105" s="888">
        <v>99</v>
      </c>
      <c r="W105" s="888"/>
      <c r="X105" s="890">
        <f t="shared" si="8"/>
        <v>2072</v>
      </c>
      <c r="Y105" s="415"/>
      <c r="AB105" s="415"/>
      <c r="AC105" s="415"/>
    </row>
    <row r="106" spans="1:29" s="416" customFormat="1">
      <c r="A106" s="470">
        <v>44120</v>
      </c>
      <c r="B106" s="469" t="s">
        <v>19069</v>
      </c>
      <c r="C106" s="420"/>
      <c r="D106" s="462"/>
      <c r="E106" s="420"/>
      <c r="F106" s="420"/>
      <c r="G106" s="420"/>
      <c r="H106" s="462"/>
      <c r="I106" s="420"/>
      <c r="J106" s="462"/>
      <c r="K106" s="420"/>
      <c r="L106" s="462"/>
      <c r="M106" s="422"/>
      <c r="N106" s="462"/>
      <c r="O106" s="464"/>
      <c r="P106" s="464"/>
      <c r="Q106" s="464"/>
      <c r="R106" s="464"/>
      <c r="S106" s="464"/>
      <c r="T106" s="464"/>
      <c r="U106" s="887">
        <v>1577</v>
      </c>
      <c r="V106" s="888">
        <v>79</v>
      </c>
      <c r="W106" s="888"/>
      <c r="X106" s="890">
        <f t="shared" si="8"/>
        <v>1656</v>
      </c>
      <c r="Y106" s="415"/>
      <c r="AB106" s="415"/>
      <c r="AC106" s="415"/>
    </row>
    <row r="107" spans="1:29" s="416" customFormat="1">
      <c r="A107" s="470">
        <v>44181</v>
      </c>
      <c r="B107" s="469" t="s">
        <v>19070</v>
      </c>
      <c r="C107" s="420"/>
      <c r="D107" s="462"/>
      <c r="E107" s="420"/>
      <c r="F107" s="420"/>
      <c r="G107" s="420"/>
      <c r="H107" s="462"/>
      <c r="I107" s="420"/>
      <c r="J107" s="462"/>
      <c r="K107" s="420"/>
      <c r="L107" s="462"/>
      <c r="M107" s="422"/>
      <c r="N107" s="462"/>
      <c r="O107" s="464"/>
      <c r="P107" s="464"/>
      <c r="Q107" s="464"/>
      <c r="R107" s="464"/>
      <c r="S107" s="464"/>
      <c r="T107" s="464"/>
      <c r="U107" s="887">
        <v>1710</v>
      </c>
      <c r="V107" s="889">
        <v>85</v>
      </c>
      <c r="W107" s="889"/>
      <c r="X107" s="890">
        <f t="shared" si="8"/>
        <v>1795</v>
      </c>
      <c r="Y107" s="415"/>
      <c r="AB107" s="415"/>
      <c r="AC107" s="415"/>
    </row>
    <row r="108" spans="1:29" s="416" customFormat="1">
      <c r="A108" s="474"/>
      <c r="B108" s="460"/>
      <c r="C108" s="420"/>
      <c r="D108" s="462"/>
      <c r="E108" s="420"/>
      <c r="F108" s="420"/>
      <c r="G108" s="420"/>
      <c r="H108" s="462"/>
      <c r="I108" s="420"/>
      <c r="J108" s="462"/>
      <c r="K108" s="420"/>
      <c r="L108" s="462"/>
      <c r="M108" s="422"/>
      <c r="N108" s="462"/>
      <c r="O108" s="464"/>
      <c r="P108" s="464"/>
      <c r="Q108" s="464"/>
      <c r="R108" s="464"/>
      <c r="S108" s="464"/>
      <c r="T108" s="464">
        <f>U108+V108</f>
        <v>10469</v>
      </c>
      <c r="U108" s="887">
        <f>SUM(U102:U107)</f>
        <v>9970</v>
      </c>
      <c r="V108" s="887">
        <f>SUM(V102:V107)</f>
        <v>499</v>
      </c>
      <c r="W108" s="887">
        <f>SUM(W102:W107)</f>
        <v>0</v>
      </c>
      <c r="X108" s="890">
        <f t="shared" si="8"/>
        <v>10469</v>
      </c>
      <c r="Y108" s="415"/>
      <c r="AB108" s="415"/>
      <c r="AC108" s="415"/>
    </row>
    <row r="109" spans="1:29" s="416" customFormat="1">
      <c r="A109" s="442"/>
      <c r="B109" s="413"/>
      <c r="C109" s="443"/>
      <c r="D109" s="444"/>
      <c r="E109" s="443"/>
      <c r="F109" s="443"/>
      <c r="G109" s="443"/>
      <c r="H109" s="444"/>
      <c r="I109" s="443"/>
      <c r="J109" s="444"/>
      <c r="K109" s="443"/>
      <c r="L109" s="444"/>
      <c r="M109" s="875"/>
      <c r="N109" s="444"/>
      <c r="S109" s="416" t="s">
        <v>594</v>
      </c>
      <c r="U109" s="416">
        <f>U94+U101+U108</f>
        <v>67583</v>
      </c>
      <c r="V109" s="416">
        <f>V94+V101+V108</f>
        <v>3378</v>
      </c>
      <c r="W109" s="416">
        <f>W94+W101+W108</f>
        <v>178.79903334006775</v>
      </c>
      <c r="X109" s="890">
        <f t="shared" si="8"/>
        <v>71139.799033340067</v>
      </c>
      <c r="Y109" s="415"/>
      <c r="AB109" s="415"/>
      <c r="AC109" s="415"/>
    </row>
    <row r="110" spans="1:29" s="416" customFormat="1">
      <c r="A110" s="442"/>
      <c r="B110" s="413"/>
      <c r="C110" s="443"/>
      <c r="D110" s="444"/>
      <c r="E110" s="443"/>
      <c r="F110" s="443"/>
      <c r="G110" s="443"/>
      <c r="H110" s="444"/>
      <c r="I110" s="443"/>
      <c r="J110" s="444"/>
      <c r="K110" s="443"/>
      <c r="L110" s="444"/>
      <c r="M110" s="875"/>
      <c r="N110" s="444"/>
      <c r="S110" s="478" t="s">
        <v>19107</v>
      </c>
      <c r="U110" s="416">
        <f>U109+U20+U1</f>
        <v>223916.05</v>
      </c>
      <c r="V110" s="416">
        <f>V109+V20+V1</f>
        <v>11193</v>
      </c>
      <c r="X110" s="894">
        <f t="shared" si="8"/>
        <v>235109.05</v>
      </c>
      <c r="Y110" s="415"/>
      <c r="Z110" s="677"/>
      <c r="AB110" s="415"/>
      <c r="AC110" s="415"/>
    </row>
    <row r="112" spans="1:29">
      <c r="S112" s="478" t="s">
        <v>5672</v>
      </c>
      <c r="U112" s="416">
        <v>223916</v>
      </c>
      <c r="V112" s="416">
        <v>11193</v>
      </c>
    </row>
    <row r="113" spans="21:22">
      <c r="U113" s="677">
        <f>U110-U112</f>
        <v>4.9999999988358468E-2</v>
      </c>
      <c r="V113" s="416">
        <f>V110-V112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06"/>
  <sheetViews>
    <sheetView topLeftCell="A155" zoomScale="80" zoomScaleNormal="80" workbookViewId="0">
      <selection activeCell="A167" sqref="A167"/>
    </sheetView>
  </sheetViews>
  <sheetFormatPr defaultColWidth="8" defaultRowHeight="16.5"/>
  <cols>
    <col min="1" max="1" width="11.875" style="506" customWidth="1"/>
    <col min="2" max="2" width="12.625" style="500" customWidth="1"/>
    <col min="3" max="3" width="10.125" style="500" customWidth="1"/>
    <col min="4" max="4" width="7.625" style="500" bestFit="1" customWidth="1"/>
    <col min="5" max="5" width="12.625" style="500" bestFit="1" customWidth="1"/>
    <col min="6" max="6" width="16.5" style="500" bestFit="1" customWidth="1"/>
    <col min="7" max="7" width="9.125" style="500" bestFit="1" customWidth="1"/>
    <col min="8" max="8" width="7.125" style="500" bestFit="1" customWidth="1"/>
    <col min="9" max="9" width="5.125" style="500" bestFit="1" customWidth="1"/>
    <col min="10" max="16384" width="8" style="500"/>
  </cols>
  <sheetData>
    <row r="1" spans="1:9">
      <c r="A1" s="498" t="s">
        <v>10036</v>
      </c>
      <c r="B1" s="499"/>
      <c r="C1" s="499"/>
      <c r="D1" s="499"/>
      <c r="E1" s="499"/>
      <c r="F1" s="499"/>
      <c r="G1" s="499"/>
      <c r="H1" s="499"/>
      <c r="I1" s="499"/>
    </row>
    <row r="2" spans="1:9">
      <c r="A2" s="501" t="s">
        <v>241</v>
      </c>
      <c r="B2" s="502" t="s">
        <v>1373</v>
      </c>
      <c r="C2" s="502" t="s">
        <v>3796</v>
      </c>
      <c r="D2" s="502" t="s">
        <v>2969</v>
      </c>
      <c r="E2" s="502" t="s">
        <v>3797</v>
      </c>
      <c r="G2" s="502"/>
      <c r="I2" s="503"/>
    </row>
    <row r="3" spans="1:9">
      <c r="A3" s="500"/>
      <c r="B3" s="504" t="s">
        <v>282</v>
      </c>
      <c r="C3" s="505">
        <v>14</v>
      </c>
      <c r="D3" s="505">
        <f t="shared" ref="D3:D11" si="0">E3/C3</f>
        <v>2582.9285714285716</v>
      </c>
      <c r="E3" s="505">
        <v>36161</v>
      </c>
      <c r="F3" s="505"/>
      <c r="I3" s="503"/>
    </row>
    <row r="4" spans="1:9">
      <c r="B4" s="504" t="s">
        <v>897</v>
      </c>
      <c r="C4" s="505">
        <v>12</v>
      </c>
      <c r="D4" s="505">
        <f t="shared" si="0"/>
        <v>2787.5833333333335</v>
      </c>
      <c r="E4" s="505">
        <v>33451</v>
      </c>
      <c r="F4" s="505"/>
      <c r="I4" s="503"/>
    </row>
    <row r="5" spans="1:9">
      <c r="B5" s="504" t="s">
        <v>283</v>
      </c>
      <c r="C5" s="505">
        <v>13</v>
      </c>
      <c r="D5" s="505">
        <f t="shared" si="0"/>
        <v>1512.1538461538462</v>
      </c>
      <c r="E5" s="505">
        <v>19658</v>
      </c>
      <c r="F5" s="505"/>
      <c r="I5" s="503"/>
    </row>
    <row r="6" spans="1:9">
      <c r="A6" s="500"/>
      <c r="B6" s="507" t="s">
        <v>1</v>
      </c>
      <c r="C6" s="505">
        <v>20</v>
      </c>
      <c r="D6" s="505">
        <f t="shared" si="0"/>
        <v>2838.4</v>
      </c>
      <c r="E6" s="505">
        <v>56768</v>
      </c>
      <c r="F6" s="505"/>
      <c r="I6" s="503"/>
    </row>
    <row r="7" spans="1:9">
      <c r="A7" s="500"/>
      <c r="B7" s="504" t="s">
        <v>900</v>
      </c>
      <c r="C7" s="505">
        <v>27</v>
      </c>
      <c r="D7" s="505">
        <f t="shared" si="0"/>
        <v>595.74074074074076</v>
      </c>
      <c r="E7" s="505">
        <v>16085</v>
      </c>
      <c r="F7" s="505"/>
      <c r="I7" s="503"/>
    </row>
    <row r="8" spans="1:9">
      <c r="A8" s="500"/>
      <c r="B8" s="507" t="s">
        <v>3820</v>
      </c>
      <c r="C8" s="505">
        <v>24</v>
      </c>
      <c r="D8" s="505">
        <f t="shared" si="0"/>
        <v>278.83333333333331</v>
      </c>
      <c r="E8" s="505">
        <v>6692</v>
      </c>
      <c r="F8" s="505"/>
      <c r="I8" s="503"/>
    </row>
    <row r="9" spans="1:9">
      <c r="A9" s="500"/>
      <c r="B9" s="507" t="s">
        <v>1452</v>
      </c>
      <c r="C9" s="505">
        <v>13</v>
      </c>
      <c r="D9" s="505">
        <f t="shared" si="0"/>
        <v>1552.2307692307693</v>
      </c>
      <c r="E9" s="505">
        <v>20179</v>
      </c>
      <c r="F9" s="505"/>
      <c r="I9" s="503"/>
    </row>
    <row r="10" spans="1:9">
      <c r="A10" s="500"/>
      <c r="B10" s="507" t="s">
        <v>1453</v>
      </c>
      <c r="C10" s="505">
        <v>8</v>
      </c>
      <c r="D10" s="505">
        <f t="shared" si="0"/>
        <v>2010.375</v>
      </c>
      <c r="E10" s="505">
        <v>16083</v>
      </c>
      <c r="F10" s="505"/>
      <c r="I10" s="503"/>
    </row>
    <row r="11" spans="1:9">
      <c r="A11" s="500"/>
      <c r="B11" s="507" t="s">
        <v>3755</v>
      </c>
      <c r="C11" s="505">
        <v>4</v>
      </c>
      <c r="D11" s="505">
        <f t="shared" si="0"/>
        <v>631.75</v>
      </c>
      <c r="E11" s="684">
        <f>2356+171</f>
        <v>2527</v>
      </c>
      <c r="F11" s="505"/>
      <c r="I11" s="503"/>
    </row>
    <row r="12" spans="1:9">
      <c r="B12" s="508" t="s">
        <v>2985</v>
      </c>
      <c r="C12" s="509"/>
      <c r="D12" s="510" t="s">
        <v>2378</v>
      </c>
      <c r="E12" s="511">
        <f>SUM(E3:E11)</f>
        <v>207604</v>
      </c>
      <c r="F12" s="641"/>
      <c r="I12" s="503"/>
    </row>
    <row r="13" spans="1:9">
      <c r="A13" s="498" t="s">
        <v>5619</v>
      </c>
      <c r="B13" s="499"/>
      <c r="C13" s="499"/>
      <c r="D13" s="499"/>
      <c r="E13" s="499"/>
      <c r="F13" s="499"/>
      <c r="G13" s="499"/>
      <c r="H13" s="499"/>
      <c r="I13" s="499"/>
    </row>
    <row r="14" spans="1:9">
      <c r="A14" s="501" t="s">
        <v>241</v>
      </c>
      <c r="B14" s="502" t="s">
        <v>1373</v>
      </c>
      <c r="C14" s="502" t="s">
        <v>3796</v>
      </c>
      <c r="D14" s="502" t="s">
        <v>2969</v>
      </c>
      <c r="E14" s="502" t="s">
        <v>3797</v>
      </c>
      <c r="G14" s="502"/>
      <c r="I14" s="503"/>
    </row>
    <row r="15" spans="1:9">
      <c r="A15" s="500"/>
      <c r="B15" s="504" t="s">
        <v>282</v>
      </c>
      <c r="C15" s="505">
        <v>16</v>
      </c>
      <c r="D15" s="505">
        <f t="shared" ref="D15:D23" si="1">E15/C15</f>
        <v>2348.8125</v>
      </c>
      <c r="E15" s="505">
        <v>37581</v>
      </c>
      <c r="F15" s="505"/>
      <c r="I15" s="503"/>
    </row>
    <row r="16" spans="1:9">
      <c r="B16" s="504" t="s">
        <v>897</v>
      </c>
      <c r="C16" s="505">
        <v>13</v>
      </c>
      <c r="D16" s="505">
        <f t="shared" si="1"/>
        <v>2693.8461538461538</v>
      </c>
      <c r="E16" s="505">
        <v>35020</v>
      </c>
      <c r="F16" s="505"/>
      <c r="I16" s="503"/>
    </row>
    <row r="17" spans="1:9">
      <c r="B17" s="504" t="s">
        <v>283</v>
      </c>
      <c r="C17" s="505">
        <v>12</v>
      </c>
      <c r="D17" s="505">
        <f t="shared" si="1"/>
        <v>1149.9166666666667</v>
      </c>
      <c r="E17" s="505">
        <v>13799</v>
      </c>
      <c r="F17" s="505"/>
      <c r="I17" s="503"/>
    </row>
    <row r="18" spans="1:9">
      <c r="A18" s="500"/>
      <c r="B18" s="507" t="s">
        <v>1</v>
      </c>
      <c r="C18" s="505">
        <v>19</v>
      </c>
      <c r="D18" s="505">
        <f t="shared" si="1"/>
        <v>3031.6315789473683</v>
      </c>
      <c r="E18" s="505">
        <v>57601</v>
      </c>
      <c r="F18" s="505"/>
      <c r="I18" s="503"/>
    </row>
    <row r="19" spans="1:9">
      <c r="A19" s="500"/>
      <c r="B19" s="504" t="s">
        <v>900</v>
      </c>
      <c r="C19" s="505">
        <v>32</v>
      </c>
      <c r="D19" s="505">
        <f t="shared" si="1"/>
        <v>525.96875</v>
      </c>
      <c r="E19" s="505">
        <v>16831</v>
      </c>
      <c r="F19" s="505"/>
      <c r="I19" s="503"/>
    </row>
    <row r="20" spans="1:9">
      <c r="A20" s="500"/>
      <c r="B20" s="507" t="s">
        <v>3820</v>
      </c>
      <c r="C20" s="505">
        <v>32</v>
      </c>
      <c r="D20" s="505">
        <f t="shared" si="1"/>
        <v>274.125</v>
      </c>
      <c r="E20" s="505">
        <v>8772</v>
      </c>
      <c r="F20" s="505"/>
      <c r="I20" s="503"/>
    </row>
    <row r="21" spans="1:9">
      <c r="A21" s="500"/>
      <c r="B21" s="507" t="s">
        <v>1452</v>
      </c>
      <c r="C21" s="505">
        <v>14</v>
      </c>
      <c r="D21" s="505">
        <f t="shared" si="1"/>
        <v>1380.1428571428571</v>
      </c>
      <c r="E21" s="505">
        <v>19322</v>
      </c>
      <c r="F21" s="505"/>
      <c r="I21" s="503"/>
    </row>
    <row r="22" spans="1:9">
      <c r="A22" s="500"/>
      <c r="B22" s="507" t="s">
        <v>1453</v>
      </c>
      <c r="C22" s="505">
        <v>11</v>
      </c>
      <c r="D22" s="505">
        <f t="shared" si="1"/>
        <v>2206.818181818182</v>
      </c>
      <c r="E22" s="505">
        <v>24275</v>
      </c>
      <c r="F22" s="505"/>
      <c r="I22" s="503"/>
    </row>
    <row r="23" spans="1:9">
      <c r="A23" s="500"/>
      <c r="B23" s="507" t="s">
        <v>3755</v>
      </c>
      <c r="C23" s="505">
        <v>10</v>
      </c>
      <c r="D23" s="505">
        <f t="shared" si="1"/>
        <v>1408.1</v>
      </c>
      <c r="E23" s="505">
        <f>13864+185+33-1</f>
        <v>14081</v>
      </c>
      <c r="F23" s="505"/>
      <c r="I23" s="503"/>
    </row>
    <row r="24" spans="1:9">
      <c r="B24" s="508" t="s">
        <v>2985</v>
      </c>
      <c r="C24" s="509"/>
      <c r="D24" s="510" t="s">
        <v>2378</v>
      </c>
      <c r="E24" s="511">
        <f>SUM(E15:E23)</f>
        <v>227282</v>
      </c>
      <c r="F24" s="641"/>
      <c r="I24" s="503"/>
    </row>
    <row r="25" spans="1:9">
      <c r="A25" s="498" t="s">
        <v>4829</v>
      </c>
      <c r="B25" s="499"/>
      <c r="C25" s="499"/>
      <c r="D25" s="499"/>
      <c r="E25" s="499"/>
      <c r="F25" s="499"/>
      <c r="G25" s="499"/>
      <c r="H25" s="499"/>
      <c r="I25" s="499"/>
    </row>
    <row r="26" spans="1:9">
      <c r="A26" s="501" t="s">
        <v>241</v>
      </c>
      <c r="B26" s="502" t="s">
        <v>1373</v>
      </c>
      <c r="C26" s="502" t="s">
        <v>3796</v>
      </c>
      <c r="D26" s="502" t="s">
        <v>2969</v>
      </c>
      <c r="E26" s="502" t="s">
        <v>3797</v>
      </c>
      <c r="G26" s="502"/>
      <c r="I26" s="503"/>
    </row>
    <row r="27" spans="1:9">
      <c r="A27" s="500"/>
      <c r="B27" s="504" t="s">
        <v>282</v>
      </c>
      <c r="C27" s="505">
        <v>13</v>
      </c>
      <c r="D27" s="505">
        <f t="shared" ref="D27:D35" si="2">E27/C27</f>
        <v>2189.5384615384614</v>
      </c>
      <c r="E27" s="505">
        <v>28464</v>
      </c>
      <c r="F27" s="505"/>
      <c r="I27" s="503"/>
    </row>
    <row r="28" spans="1:9">
      <c r="B28" s="504" t="s">
        <v>897</v>
      </c>
      <c r="C28" s="505">
        <v>14</v>
      </c>
      <c r="D28" s="505">
        <f t="shared" si="2"/>
        <v>2289.8571428571427</v>
      </c>
      <c r="E28" s="505">
        <v>32058</v>
      </c>
      <c r="F28" s="505"/>
      <c r="I28" s="503"/>
    </row>
    <row r="29" spans="1:9">
      <c r="B29" s="504" t="s">
        <v>283</v>
      </c>
      <c r="C29" s="505">
        <v>15</v>
      </c>
      <c r="D29" s="505">
        <f t="shared" si="2"/>
        <v>828.26666666666665</v>
      </c>
      <c r="E29" s="505">
        <v>12424</v>
      </c>
      <c r="F29" s="505"/>
      <c r="I29" s="503"/>
    </row>
    <row r="30" spans="1:9">
      <c r="A30" s="500"/>
      <c r="B30" s="507" t="s">
        <v>1</v>
      </c>
      <c r="C30" s="505">
        <v>17</v>
      </c>
      <c r="D30" s="505">
        <f t="shared" si="2"/>
        <v>3197.294117647059</v>
      </c>
      <c r="E30" s="505">
        <v>54354</v>
      </c>
      <c r="F30" s="505"/>
      <c r="I30" s="503"/>
    </row>
    <row r="31" spans="1:9">
      <c r="A31" s="500"/>
      <c r="B31" s="504" t="s">
        <v>900</v>
      </c>
      <c r="C31" s="505">
        <v>29</v>
      </c>
      <c r="D31" s="505">
        <f t="shared" si="2"/>
        <v>492.9655172413793</v>
      </c>
      <c r="E31" s="505">
        <v>14296</v>
      </c>
      <c r="F31" s="505"/>
      <c r="I31" s="503"/>
    </row>
    <row r="32" spans="1:9">
      <c r="A32" s="500"/>
      <c r="B32" s="507" t="s">
        <v>3820</v>
      </c>
      <c r="C32" s="505">
        <v>22</v>
      </c>
      <c r="D32" s="505">
        <f t="shared" si="2"/>
        <v>254.63636363636363</v>
      </c>
      <c r="E32" s="505">
        <v>5602</v>
      </c>
      <c r="F32" s="505"/>
      <c r="I32" s="503"/>
    </row>
    <row r="33" spans="1:9">
      <c r="A33" s="500"/>
      <c r="B33" s="507" t="s">
        <v>1452</v>
      </c>
      <c r="C33" s="505">
        <v>12</v>
      </c>
      <c r="D33" s="505">
        <f t="shared" si="2"/>
        <v>1377.8333333333333</v>
      </c>
      <c r="E33" s="505">
        <v>16534</v>
      </c>
      <c r="F33" s="505"/>
      <c r="I33" s="503"/>
    </row>
    <row r="34" spans="1:9">
      <c r="A34" s="500"/>
      <c r="B34" s="507" t="s">
        <v>1453</v>
      </c>
      <c r="C34" s="505">
        <v>12</v>
      </c>
      <c r="D34" s="505">
        <f t="shared" si="2"/>
        <v>2057.0833333333335</v>
      </c>
      <c r="E34" s="505">
        <v>24685</v>
      </c>
      <c r="F34" s="505"/>
      <c r="I34" s="503"/>
    </row>
    <row r="35" spans="1:9">
      <c r="A35" s="500"/>
      <c r="B35" s="507" t="s">
        <v>3755</v>
      </c>
      <c r="C35" s="505">
        <v>1</v>
      </c>
      <c r="D35" s="505">
        <f t="shared" si="2"/>
        <v>1513</v>
      </c>
      <c r="E35" s="505">
        <v>1513</v>
      </c>
      <c r="F35" s="505"/>
      <c r="I35" s="503"/>
    </row>
    <row r="36" spans="1:9">
      <c r="B36" s="508" t="s">
        <v>2985</v>
      </c>
      <c r="C36" s="509"/>
      <c r="D36" s="510" t="s">
        <v>2378</v>
      </c>
      <c r="E36" s="511">
        <f>SUM(E27:E35)</f>
        <v>189930</v>
      </c>
      <c r="I36" s="503"/>
    </row>
    <row r="37" spans="1:9">
      <c r="A37" s="498" t="s">
        <v>4440</v>
      </c>
      <c r="B37" s="499"/>
      <c r="C37" s="499"/>
      <c r="D37" s="499"/>
      <c r="E37" s="499"/>
      <c r="F37" s="499"/>
      <c r="G37" s="499"/>
      <c r="H37" s="499"/>
      <c r="I37" s="499"/>
    </row>
    <row r="38" spans="1:9">
      <c r="A38" s="501" t="s">
        <v>241</v>
      </c>
      <c r="B38" s="502" t="s">
        <v>1373</v>
      </c>
      <c r="C38" s="502" t="s">
        <v>3796</v>
      </c>
      <c r="D38" s="502" t="s">
        <v>2969</v>
      </c>
      <c r="E38" s="502" t="s">
        <v>3797</v>
      </c>
      <c r="G38" s="502"/>
      <c r="I38" s="503"/>
    </row>
    <row r="39" spans="1:9">
      <c r="A39" s="500"/>
      <c r="B39" s="504" t="s">
        <v>282</v>
      </c>
      <c r="C39" s="505">
        <v>15</v>
      </c>
      <c r="D39" s="505">
        <f t="shared" ref="D39:D47" si="3">E39/C39</f>
        <v>1887.8</v>
      </c>
      <c r="E39" s="505">
        <v>28317</v>
      </c>
      <c r="F39" s="505"/>
      <c r="I39" s="503"/>
    </row>
    <row r="40" spans="1:9">
      <c r="B40" s="504" t="s">
        <v>897</v>
      </c>
      <c r="C40" s="505">
        <v>16</v>
      </c>
      <c r="D40" s="505">
        <f t="shared" si="3"/>
        <v>1913.25</v>
      </c>
      <c r="E40" s="505">
        <v>30612</v>
      </c>
      <c r="F40" s="505"/>
      <c r="I40" s="503"/>
    </row>
    <row r="41" spans="1:9">
      <c r="B41" s="504" t="s">
        <v>283</v>
      </c>
      <c r="C41" s="505">
        <v>18</v>
      </c>
      <c r="D41" s="505">
        <f t="shared" si="3"/>
        <v>1002</v>
      </c>
      <c r="E41" s="505">
        <v>18036</v>
      </c>
      <c r="F41" s="505"/>
      <c r="I41" s="503"/>
    </row>
    <row r="42" spans="1:9">
      <c r="A42" s="500"/>
      <c r="B42" s="507" t="s">
        <v>1</v>
      </c>
      <c r="C42" s="505">
        <v>28</v>
      </c>
      <c r="D42" s="505">
        <f t="shared" si="3"/>
        <v>2818.4642857142858</v>
      </c>
      <c r="E42" s="505">
        <v>78917</v>
      </c>
      <c r="F42" s="505"/>
      <c r="I42" s="503"/>
    </row>
    <row r="43" spans="1:9">
      <c r="A43" s="500"/>
      <c r="B43" s="504" t="s">
        <v>900</v>
      </c>
      <c r="C43" s="505">
        <v>36</v>
      </c>
      <c r="D43" s="505">
        <f t="shared" si="3"/>
        <v>432.36111111111109</v>
      </c>
      <c r="E43" s="505">
        <v>15565</v>
      </c>
      <c r="F43" s="505"/>
      <c r="I43" s="503"/>
    </row>
    <row r="44" spans="1:9">
      <c r="A44" s="500"/>
      <c r="B44" s="507" t="s">
        <v>3820</v>
      </c>
      <c r="C44" s="505">
        <v>32</v>
      </c>
      <c r="D44" s="505">
        <f t="shared" si="3"/>
        <v>221.375</v>
      </c>
      <c r="E44" s="505">
        <v>7084</v>
      </c>
      <c r="F44" s="505"/>
      <c r="I44" s="503"/>
    </row>
    <row r="45" spans="1:9">
      <c r="A45" s="500"/>
      <c r="B45" s="507" t="s">
        <v>1452</v>
      </c>
      <c r="C45" s="505">
        <v>15</v>
      </c>
      <c r="D45" s="505">
        <f t="shared" si="3"/>
        <v>1363.4</v>
      </c>
      <c r="E45" s="505">
        <v>20451</v>
      </c>
      <c r="F45" s="505"/>
      <c r="I45" s="503"/>
    </row>
    <row r="46" spans="1:9">
      <c r="A46" s="500"/>
      <c r="B46" s="507" t="s">
        <v>1453</v>
      </c>
      <c r="C46" s="505">
        <v>16</v>
      </c>
      <c r="D46" s="505">
        <f t="shared" si="3"/>
        <v>2142.375</v>
      </c>
      <c r="E46" s="505">
        <v>34278</v>
      </c>
      <c r="F46" s="505"/>
      <c r="I46" s="503"/>
    </row>
    <row r="47" spans="1:9">
      <c r="A47" s="500"/>
      <c r="B47" s="507" t="s">
        <v>3755</v>
      </c>
      <c r="C47" s="505">
        <v>6</v>
      </c>
      <c r="D47" s="505">
        <f t="shared" si="3"/>
        <v>1222.1666666666667</v>
      </c>
      <c r="E47" s="505">
        <v>7333</v>
      </c>
      <c r="F47" s="505"/>
      <c r="I47" s="503"/>
    </row>
    <row r="48" spans="1:9">
      <c r="B48" s="508" t="s">
        <v>2985</v>
      </c>
      <c r="C48" s="509"/>
      <c r="D48" s="510" t="s">
        <v>2378</v>
      </c>
      <c r="E48" s="511">
        <f>SUM(E39:E47)</f>
        <v>240593</v>
      </c>
      <c r="I48" s="503"/>
    </row>
    <row r="49" spans="1:9">
      <c r="A49" s="499" t="s">
        <v>2613</v>
      </c>
      <c r="B49" s="499"/>
      <c r="C49" s="499"/>
      <c r="D49" s="499"/>
      <c r="E49" s="499"/>
      <c r="F49" s="499"/>
      <c r="G49" s="499"/>
      <c r="H49" s="499"/>
      <c r="I49" s="499"/>
    </row>
    <row r="50" spans="1:9">
      <c r="A50" s="501" t="s">
        <v>241</v>
      </c>
      <c r="B50" s="502" t="s">
        <v>1373</v>
      </c>
      <c r="C50" s="502" t="s">
        <v>3796</v>
      </c>
      <c r="D50" s="502" t="s">
        <v>2969</v>
      </c>
      <c r="E50" s="502" t="s">
        <v>3797</v>
      </c>
      <c r="G50" s="502"/>
      <c r="I50" s="503"/>
    </row>
    <row r="51" spans="1:9">
      <c r="A51" s="500"/>
      <c r="B51" s="504" t="s">
        <v>282</v>
      </c>
      <c r="C51" s="505">
        <v>17</v>
      </c>
      <c r="D51" s="505">
        <f t="shared" ref="D51:D59" si="4">E51/C51</f>
        <v>2613.2352941176468</v>
      </c>
      <c r="E51" s="505">
        <v>44425</v>
      </c>
      <c r="F51" s="505"/>
      <c r="I51" s="503"/>
    </row>
    <row r="52" spans="1:9">
      <c r="B52" s="504" t="s">
        <v>897</v>
      </c>
      <c r="C52" s="505">
        <v>16</v>
      </c>
      <c r="D52" s="505">
        <f t="shared" si="4"/>
        <v>2168.9375</v>
      </c>
      <c r="E52" s="505">
        <v>34703</v>
      </c>
      <c r="F52" s="505"/>
      <c r="I52" s="503"/>
    </row>
    <row r="53" spans="1:9">
      <c r="B53" s="504" t="s">
        <v>283</v>
      </c>
      <c r="C53" s="505">
        <v>21</v>
      </c>
      <c r="D53" s="505">
        <f t="shared" si="4"/>
        <v>1465.047619047619</v>
      </c>
      <c r="E53" s="505">
        <v>30766</v>
      </c>
      <c r="F53" s="505"/>
      <c r="I53" s="503"/>
    </row>
    <row r="54" spans="1:9">
      <c r="A54" s="500"/>
      <c r="B54" s="507" t="s">
        <v>1</v>
      </c>
      <c r="C54" s="505">
        <v>23</v>
      </c>
      <c r="D54" s="505">
        <f t="shared" si="4"/>
        <v>2543.8695652173915</v>
      </c>
      <c r="E54" s="505">
        <v>58509</v>
      </c>
      <c r="F54" s="505"/>
      <c r="I54" s="503"/>
    </row>
    <row r="55" spans="1:9">
      <c r="A55" s="500"/>
      <c r="B55" s="504" t="s">
        <v>900</v>
      </c>
      <c r="C55" s="505">
        <v>40</v>
      </c>
      <c r="D55" s="505">
        <f t="shared" si="4"/>
        <v>538.82500000000005</v>
      </c>
      <c r="E55" s="505">
        <v>21553</v>
      </c>
      <c r="F55" s="505"/>
      <c r="I55" s="503"/>
    </row>
    <row r="56" spans="1:9">
      <c r="A56" s="500"/>
      <c r="B56" s="507" t="s">
        <v>3820</v>
      </c>
      <c r="C56" s="505">
        <v>32</v>
      </c>
      <c r="D56" s="505">
        <f t="shared" si="4"/>
        <v>226.1875</v>
      </c>
      <c r="E56" s="505">
        <v>7238</v>
      </c>
      <c r="F56" s="505"/>
      <c r="I56" s="503"/>
    </row>
    <row r="57" spans="1:9">
      <c r="A57" s="500"/>
      <c r="B57" s="507" t="s">
        <v>1452</v>
      </c>
      <c r="C57" s="505">
        <v>18</v>
      </c>
      <c r="D57" s="505">
        <f t="shared" si="4"/>
        <v>1648.0555555555557</v>
      </c>
      <c r="E57" s="505">
        <v>29665</v>
      </c>
      <c r="F57" s="505"/>
      <c r="I57" s="503"/>
    </row>
    <row r="58" spans="1:9">
      <c r="A58" s="500"/>
      <c r="B58" s="507" t="s">
        <v>1453</v>
      </c>
      <c r="C58" s="505">
        <v>14</v>
      </c>
      <c r="D58" s="505">
        <f t="shared" si="4"/>
        <v>2331.4285714285716</v>
      </c>
      <c r="E58" s="505">
        <v>32640</v>
      </c>
      <c r="F58" s="505"/>
      <c r="I58" s="503"/>
    </row>
    <row r="59" spans="1:9">
      <c r="A59" s="500"/>
      <c r="B59" s="507" t="s">
        <v>3755</v>
      </c>
      <c r="C59" s="505">
        <v>11</v>
      </c>
      <c r="D59" s="505">
        <f t="shared" si="4"/>
        <v>409.36363636363637</v>
      </c>
      <c r="E59" s="505">
        <v>4503</v>
      </c>
      <c r="F59" s="505"/>
      <c r="I59" s="503"/>
    </row>
    <row r="60" spans="1:9">
      <c r="B60" s="508" t="s">
        <v>2985</v>
      </c>
      <c r="C60" s="509"/>
      <c r="D60" s="510" t="s">
        <v>2378</v>
      </c>
      <c r="E60" s="511">
        <f>SUM(E51:E59)</f>
        <v>264002</v>
      </c>
      <c r="I60" s="503"/>
    </row>
    <row r="61" spans="1:9">
      <c r="A61" s="499" t="s">
        <v>1451</v>
      </c>
      <c r="B61" s="499"/>
      <c r="C61" s="499"/>
      <c r="D61" s="499"/>
      <c r="E61" s="499"/>
      <c r="F61" s="499"/>
      <c r="G61" s="499"/>
      <c r="H61" s="499"/>
      <c r="I61" s="499"/>
    </row>
    <row r="62" spans="1:9">
      <c r="A62" s="501" t="s">
        <v>241</v>
      </c>
      <c r="B62" s="502" t="s">
        <v>1373</v>
      </c>
      <c r="C62" s="502" t="s">
        <v>3796</v>
      </c>
      <c r="D62" s="502" t="s">
        <v>2969</v>
      </c>
      <c r="E62" s="502" t="s">
        <v>3797</v>
      </c>
      <c r="G62" s="502"/>
      <c r="I62" s="503"/>
    </row>
    <row r="63" spans="1:9">
      <c r="A63" s="500"/>
      <c r="B63" s="504" t="s">
        <v>282</v>
      </c>
      <c r="C63" s="505">
        <v>15</v>
      </c>
      <c r="D63" s="505">
        <f t="shared" ref="D63:D71" si="5">E63/C63</f>
        <v>1970.9333333333334</v>
      </c>
      <c r="E63" s="505">
        <v>29564</v>
      </c>
      <c r="F63" s="505"/>
      <c r="I63" s="503"/>
    </row>
    <row r="64" spans="1:9">
      <c r="B64" s="504" t="s">
        <v>897</v>
      </c>
      <c r="C64" s="505">
        <v>15</v>
      </c>
      <c r="D64" s="505">
        <f t="shared" si="5"/>
        <v>2568.2666666666669</v>
      </c>
      <c r="E64" s="505">
        <v>38524</v>
      </c>
      <c r="F64" s="505"/>
      <c r="I64" s="503"/>
    </row>
    <row r="65" spans="1:9" s="512" customFormat="1">
      <c r="A65" s="506"/>
      <c r="B65" s="504" t="s">
        <v>283</v>
      </c>
      <c r="C65" s="505">
        <v>14</v>
      </c>
      <c r="D65" s="505">
        <f t="shared" si="5"/>
        <v>937.78571428571433</v>
      </c>
      <c r="E65" s="505">
        <v>13129</v>
      </c>
      <c r="F65" s="505"/>
      <c r="G65" s="500"/>
      <c r="H65" s="500"/>
      <c r="I65" s="503"/>
    </row>
    <row r="66" spans="1:9">
      <c r="A66" s="500"/>
      <c r="B66" s="507" t="s">
        <v>1</v>
      </c>
      <c r="C66" s="505">
        <v>16</v>
      </c>
      <c r="D66" s="505">
        <f t="shared" si="5"/>
        <v>2447.8125</v>
      </c>
      <c r="E66" s="505">
        <v>39165</v>
      </c>
      <c r="F66" s="505"/>
      <c r="I66" s="503"/>
    </row>
    <row r="67" spans="1:9">
      <c r="A67" s="500"/>
      <c r="B67" s="504" t="s">
        <v>900</v>
      </c>
      <c r="C67" s="505">
        <v>22</v>
      </c>
      <c r="D67" s="505">
        <f t="shared" si="5"/>
        <v>573.4545454545455</v>
      </c>
      <c r="E67" s="505">
        <v>12616</v>
      </c>
      <c r="F67" s="505"/>
      <c r="I67" s="503"/>
    </row>
    <row r="68" spans="1:9">
      <c r="A68" s="500"/>
      <c r="B68" s="507" t="s">
        <v>3820</v>
      </c>
      <c r="C68" s="505">
        <v>10</v>
      </c>
      <c r="D68" s="505">
        <f t="shared" si="5"/>
        <v>179</v>
      </c>
      <c r="E68" s="505">
        <v>1790</v>
      </c>
      <c r="F68" s="505"/>
      <c r="I68" s="503"/>
    </row>
    <row r="69" spans="1:9">
      <c r="A69" s="500"/>
      <c r="B69" s="507" t="s">
        <v>1452</v>
      </c>
      <c r="C69" s="505">
        <v>14</v>
      </c>
      <c r="D69" s="505">
        <f t="shared" si="5"/>
        <v>1704.7857142857142</v>
      </c>
      <c r="E69" s="505">
        <v>23867</v>
      </c>
      <c r="F69" s="505"/>
      <c r="I69" s="503"/>
    </row>
    <row r="70" spans="1:9">
      <c r="A70" s="500"/>
      <c r="B70" s="507" t="s">
        <v>1453</v>
      </c>
      <c r="C70" s="505">
        <v>13</v>
      </c>
      <c r="D70" s="505">
        <f t="shared" si="5"/>
        <v>2287.1538461538462</v>
      </c>
      <c r="E70" s="505">
        <v>29733</v>
      </c>
      <c r="F70" s="505"/>
      <c r="I70" s="503"/>
    </row>
    <row r="71" spans="1:9">
      <c r="A71" s="500"/>
      <c r="B71" s="507" t="s">
        <v>3755</v>
      </c>
      <c r="C71" s="505">
        <v>9</v>
      </c>
      <c r="D71" s="505">
        <f t="shared" si="5"/>
        <v>165.77777777777777</v>
      </c>
      <c r="E71" s="505">
        <v>1492</v>
      </c>
      <c r="F71" s="505"/>
      <c r="I71" s="503"/>
    </row>
    <row r="72" spans="1:9">
      <c r="B72" s="508" t="s">
        <v>2985</v>
      </c>
      <c r="C72" s="509"/>
      <c r="D72" s="510" t="s">
        <v>2378</v>
      </c>
      <c r="E72" s="511">
        <f>SUM(E63:E71)</f>
        <v>189880</v>
      </c>
      <c r="I72" s="503"/>
    </row>
    <row r="73" spans="1:9">
      <c r="A73" s="499" t="s">
        <v>1454</v>
      </c>
      <c r="B73" s="499"/>
      <c r="C73" s="499"/>
      <c r="D73" s="499"/>
      <c r="E73" s="499"/>
      <c r="F73" s="499"/>
      <c r="G73" s="499"/>
      <c r="H73" s="499"/>
      <c r="I73" s="499"/>
    </row>
    <row r="74" spans="1:9" s="515" customFormat="1">
      <c r="A74" s="501" t="s">
        <v>241</v>
      </c>
      <c r="B74" s="502" t="s">
        <v>1373</v>
      </c>
      <c r="C74" s="502" t="s">
        <v>3796</v>
      </c>
      <c r="D74" s="502" t="s">
        <v>2969</v>
      </c>
      <c r="E74" s="502" t="s">
        <v>3797</v>
      </c>
      <c r="F74" s="500"/>
      <c r="G74" s="502"/>
      <c r="H74" s="500"/>
      <c r="I74" s="503"/>
    </row>
    <row r="75" spans="1:9">
      <c r="A75" s="500"/>
      <c r="B75" s="504" t="s">
        <v>282</v>
      </c>
      <c r="C75" s="505">
        <v>7</v>
      </c>
      <c r="D75" s="505">
        <f t="shared" ref="D75:D82" si="6">E75/C75</f>
        <v>3016</v>
      </c>
      <c r="E75" s="505">
        <v>21112</v>
      </c>
      <c r="F75" s="505"/>
      <c r="I75" s="503"/>
    </row>
    <row r="76" spans="1:9">
      <c r="B76" s="504" t="s">
        <v>897</v>
      </c>
      <c r="C76" s="505">
        <v>20</v>
      </c>
      <c r="D76" s="505">
        <f t="shared" si="6"/>
        <v>2190.9</v>
      </c>
      <c r="E76" s="505">
        <v>43818</v>
      </c>
      <c r="F76" s="505"/>
      <c r="I76" s="503"/>
    </row>
    <row r="77" spans="1:9">
      <c r="B77" s="504" t="s">
        <v>283</v>
      </c>
      <c r="C77" s="505">
        <v>16</v>
      </c>
      <c r="D77" s="505">
        <f t="shared" si="6"/>
        <v>499.9375</v>
      </c>
      <c r="E77" s="505">
        <v>7999</v>
      </c>
      <c r="F77" s="505"/>
      <c r="I77" s="503"/>
    </row>
    <row r="78" spans="1:9">
      <c r="A78" s="500"/>
      <c r="B78" s="507" t="s">
        <v>1</v>
      </c>
      <c r="C78" s="505">
        <v>20</v>
      </c>
      <c r="D78" s="505">
        <f t="shared" si="6"/>
        <v>2445.0500000000002</v>
      </c>
      <c r="E78" s="505">
        <v>48901</v>
      </c>
      <c r="F78" s="505"/>
      <c r="I78" s="503"/>
    </row>
    <row r="79" spans="1:9">
      <c r="A79" s="500"/>
      <c r="B79" s="504" t="s">
        <v>900</v>
      </c>
      <c r="C79" s="505">
        <v>39</v>
      </c>
      <c r="D79" s="505">
        <f t="shared" si="6"/>
        <v>308.30769230769232</v>
      </c>
      <c r="E79" s="505">
        <v>12024</v>
      </c>
      <c r="F79" s="505"/>
      <c r="I79" s="503"/>
    </row>
    <row r="80" spans="1:9" s="512" customFormat="1">
      <c r="A80" s="500"/>
      <c r="B80" s="507" t="s">
        <v>3820</v>
      </c>
      <c r="C80" s="505">
        <v>11</v>
      </c>
      <c r="D80" s="505">
        <f t="shared" si="6"/>
        <v>163.54545454545453</v>
      </c>
      <c r="E80" s="505">
        <v>1799</v>
      </c>
      <c r="F80" s="505"/>
      <c r="G80" s="500"/>
      <c r="H80" s="500"/>
      <c r="I80" s="503"/>
    </row>
    <row r="81" spans="1:9" s="512" customFormat="1">
      <c r="A81" s="500"/>
      <c r="B81" s="507" t="s">
        <v>1452</v>
      </c>
      <c r="C81" s="505">
        <v>18</v>
      </c>
      <c r="D81" s="505">
        <f t="shared" si="6"/>
        <v>1215.6111111111111</v>
      </c>
      <c r="E81" s="505">
        <v>21881</v>
      </c>
      <c r="F81" s="505"/>
      <c r="G81" s="500"/>
      <c r="H81" s="500"/>
      <c r="I81" s="503"/>
    </row>
    <row r="82" spans="1:9" s="512" customFormat="1">
      <c r="A82" s="500"/>
      <c r="B82" s="507" t="s">
        <v>1453</v>
      </c>
      <c r="C82" s="505">
        <v>9</v>
      </c>
      <c r="D82" s="505">
        <f t="shared" si="6"/>
        <v>2343.8888888888887</v>
      </c>
      <c r="E82" s="505">
        <v>21095</v>
      </c>
      <c r="F82" s="505"/>
      <c r="G82" s="500"/>
      <c r="H82" s="500"/>
      <c r="I82" s="503"/>
    </row>
    <row r="83" spans="1:9" s="512" customFormat="1">
      <c r="A83" s="506"/>
      <c r="B83" s="508" t="s">
        <v>2985</v>
      </c>
      <c r="C83" s="509"/>
      <c r="D83" s="510" t="s">
        <v>2378</v>
      </c>
      <c r="E83" s="511">
        <f>SUM(E75:E82)</f>
        <v>178629</v>
      </c>
      <c r="F83" s="500"/>
      <c r="G83" s="500"/>
      <c r="H83" s="500"/>
      <c r="I83" s="503"/>
    </row>
    <row r="84" spans="1:9" s="512" customFormat="1">
      <c r="A84" s="516" t="s">
        <v>252</v>
      </c>
      <c r="B84" s="516"/>
      <c r="C84" s="516"/>
      <c r="D84" s="516"/>
      <c r="E84" s="516"/>
      <c r="F84" s="516"/>
      <c r="G84" s="516"/>
      <c r="H84" s="516"/>
      <c r="I84" s="516"/>
    </row>
    <row r="85" spans="1:9" s="512" customFormat="1">
      <c r="A85" s="501" t="s">
        <v>241</v>
      </c>
      <c r="B85" s="502" t="s">
        <v>1373</v>
      </c>
      <c r="C85" s="502" t="s">
        <v>3796</v>
      </c>
      <c r="D85" s="502" t="s">
        <v>2969</v>
      </c>
      <c r="E85" s="502" t="s">
        <v>3797</v>
      </c>
      <c r="F85" s="500"/>
      <c r="G85" s="502"/>
      <c r="H85" s="500"/>
      <c r="I85" s="503"/>
    </row>
    <row r="86" spans="1:9" s="512" customFormat="1">
      <c r="A86" s="500"/>
      <c r="B86" s="504" t="s">
        <v>282</v>
      </c>
      <c r="C86" s="505">
        <v>9</v>
      </c>
      <c r="D86" s="505">
        <f t="shared" ref="D86:D94" si="7">E86/C86</f>
        <v>1976.7777777777778</v>
      </c>
      <c r="E86" s="505">
        <v>17791</v>
      </c>
      <c r="F86" s="505"/>
      <c r="G86" s="500"/>
      <c r="H86" s="500"/>
      <c r="I86" s="503"/>
    </row>
    <row r="87" spans="1:9" s="515" customFormat="1">
      <c r="A87" s="506"/>
      <c r="B87" s="504" t="s">
        <v>897</v>
      </c>
      <c r="C87" s="505">
        <v>8</v>
      </c>
      <c r="D87" s="505">
        <f t="shared" si="7"/>
        <v>2277.375</v>
      </c>
      <c r="E87" s="505">
        <v>18219</v>
      </c>
      <c r="F87" s="505"/>
      <c r="G87" s="500"/>
      <c r="H87" s="500"/>
      <c r="I87" s="503"/>
    </row>
    <row r="88" spans="1:9" s="515" customFormat="1">
      <c r="A88" s="506"/>
      <c r="B88" s="504" t="s">
        <v>283</v>
      </c>
      <c r="C88" s="505">
        <v>10</v>
      </c>
      <c r="D88" s="505">
        <f t="shared" si="7"/>
        <v>1027.4000000000001</v>
      </c>
      <c r="E88" s="505">
        <v>10274</v>
      </c>
      <c r="F88" s="505"/>
      <c r="G88" s="500"/>
      <c r="H88" s="500"/>
      <c r="I88" s="503"/>
    </row>
    <row r="89" spans="1:9" s="515" customFormat="1">
      <c r="A89" s="500"/>
      <c r="B89" s="507" t="s">
        <v>1</v>
      </c>
      <c r="C89" s="505">
        <v>19</v>
      </c>
      <c r="D89" s="505">
        <f t="shared" si="7"/>
        <v>1592.5263157894738</v>
      </c>
      <c r="E89" s="505">
        <v>30258</v>
      </c>
      <c r="F89" s="505"/>
      <c r="G89" s="500"/>
      <c r="H89" s="500"/>
      <c r="I89" s="503"/>
    </row>
    <row r="90" spans="1:9" s="513" customFormat="1">
      <c r="A90" s="500"/>
      <c r="B90" s="504" t="s">
        <v>900</v>
      </c>
      <c r="C90" s="505">
        <v>21</v>
      </c>
      <c r="D90" s="505">
        <f t="shared" si="7"/>
        <v>380.95238095238096</v>
      </c>
      <c r="E90" s="505">
        <v>8000</v>
      </c>
      <c r="F90" s="505"/>
      <c r="G90" s="500"/>
      <c r="H90" s="500"/>
      <c r="I90" s="503"/>
    </row>
    <row r="91" spans="1:9" s="513" customFormat="1">
      <c r="A91" s="500"/>
      <c r="B91" s="507" t="s">
        <v>3820</v>
      </c>
      <c r="C91" s="505">
        <v>1</v>
      </c>
      <c r="D91" s="505">
        <f t="shared" si="7"/>
        <v>152.4</v>
      </c>
      <c r="E91" s="505">
        <v>152.4</v>
      </c>
      <c r="F91" s="505"/>
      <c r="G91" s="500"/>
      <c r="H91" s="500"/>
      <c r="I91" s="503"/>
    </row>
    <row r="92" spans="1:9" s="517" customFormat="1">
      <c r="A92" s="500"/>
      <c r="B92" s="507" t="s">
        <v>253</v>
      </c>
      <c r="C92" s="505">
        <v>2</v>
      </c>
      <c r="D92" s="505">
        <f t="shared" si="7"/>
        <v>1133.5</v>
      </c>
      <c r="E92" s="505">
        <v>2267</v>
      </c>
      <c r="F92" s="505"/>
      <c r="G92" s="500"/>
      <c r="H92" s="500"/>
      <c r="I92" s="503"/>
    </row>
    <row r="93" spans="1:9" s="515" customFormat="1">
      <c r="A93" s="500"/>
      <c r="B93" s="507" t="s">
        <v>1452</v>
      </c>
      <c r="C93" s="505">
        <v>12</v>
      </c>
      <c r="D93" s="505">
        <f t="shared" si="7"/>
        <v>1483.25</v>
      </c>
      <c r="E93" s="505">
        <v>17799</v>
      </c>
      <c r="F93" s="505"/>
      <c r="G93" s="500"/>
      <c r="H93" s="500"/>
      <c r="I93" s="503"/>
    </row>
    <row r="94" spans="1:9" s="518" customFormat="1">
      <c r="A94" s="500"/>
      <c r="B94" s="507" t="s">
        <v>1453</v>
      </c>
      <c r="C94" s="505">
        <v>8</v>
      </c>
      <c r="D94" s="505">
        <f t="shared" si="7"/>
        <v>2381</v>
      </c>
      <c r="E94" s="505">
        <v>19048</v>
      </c>
      <c r="F94" s="505"/>
      <c r="G94" s="500"/>
      <c r="H94" s="500"/>
      <c r="I94" s="503"/>
    </row>
    <row r="95" spans="1:9" s="515" customFormat="1">
      <c r="A95" s="506"/>
      <c r="B95" s="508" t="s">
        <v>2985</v>
      </c>
      <c r="C95" s="509"/>
      <c r="D95" s="510" t="s">
        <v>2378</v>
      </c>
      <c r="E95" s="511">
        <f>SUM(E86:E94)</f>
        <v>123808.4</v>
      </c>
      <c r="F95" s="500"/>
      <c r="G95" s="500"/>
      <c r="H95" s="500"/>
      <c r="I95" s="503"/>
    </row>
    <row r="96" spans="1:9" s="513" customFormat="1">
      <c r="A96" s="519" t="s">
        <v>2138</v>
      </c>
      <c r="B96" s="519"/>
      <c r="C96" s="519"/>
      <c r="D96" s="519"/>
      <c r="E96" s="519"/>
      <c r="F96" s="519"/>
      <c r="G96" s="519"/>
      <c r="H96" s="519"/>
      <c r="I96" s="519"/>
    </row>
    <row r="97" spans="1:9" s="513" customFormat="1">
      <c r="A97" s="501" t="s">
        <v>241</v>
      </c>
      <c r="B97" s="502" t="s">
        <v>1373</v>
      </c>
      <c r="C97" s="502" t="s">
        <v>3796</v>
      </c>
      <c r="D97" s="502" t="s">
        <v>2969</v>
      </c>
      <c r="E97" s="502" t="s">
        <v>3797</v>
      </c>
      <c r="F97" s="500"/>
      <c r="G97" s="502"/>
      <c r="H97" s="500"/>
      <c r="I97" s="503"/>
    </row>
    <row r="98" spans="1:9" s="515" customFormat="1">
      <c r="A98" s="500"/>
      <c r="B98" s="504" t="s">
        <v>282</v>
      </c>
      <c r="C98" s="505">
        <v>18</v>
      </c>
      <c r="D98" s="505">
        <f t="shared" ref="D98:D105" si="8">E98/C98</f>
        <v>1815.7222222222222</v>
      </c>
      <c r="E98" s="505">
        <v>32683</v>
      </c>
      <c r="F98" s="505"/>
      <c r="G98" s="500"/>
      <c r="H98" s="500"/>
      <c r="I98" s="503"/>
    </row>
    <row r="99" spans="1:9" s="515" customFormat="1">
      <c r="A99" s="506"/>
      <c r="B99" s="504" t="s">
        <v>897</v>
      </c>
      <c r="C99" s="505">
        <v>18</v>
      </c>
      <c r="D99" s="505">
        <f t="shared" si="8"/>
        <v>1985.7222222222222</v>
      </c>
      <c r="E99" s="505">
        <v>35743</v>
      </c>
      <c r="F99" s="505"/>
      <c r="G99" s="500"/>
      <c r="H99" s="500"/>
      <c r="I99" s="503"/>
    </row>
    <row r="100" spans="1:9" s="515" customFormat="1">
      <c r="A100" s="506"/>
      <c r="B100" s="504" t="s">
        <v>283</v>
      </c>
      <c r="C100" s="505">
        <v>19</v>
      </c>
      <c r="D100" s="505">
        <f t="shared" si="8"/>
        <v>1070.3684210526317</v>
      </c>
      <c r="E100" s="505">
        <v>20337</v>
      </c>
      <c r="F100" s="505"/>
      <c r="G100" s="500"/>
      <c r="H100" s="500"/>
      <c r="I100" s="503"/>
    </row>
    <row r="101" spans="1:9" s="515" customFormat="1">
      <c r="A101" s="500"/>
      <c r="B101" s="507" t="s">
        <v>1</v>
      </c>
      <c r="C101" s="505">
        <v>23</v>
      </c>
      <c r="D101" s="505">
        <f t="shared" si="8"/>
        <v>1599</v>
      </c>
      <c r="E101" s="505">
        <v>36777</v>
      </c>
      <c r="F101" s="505"/>
      <c r="G101" s="500"/>
      <c r="H101" s="500"/>
      <c r="I101" s="503"/>
    </row>
    <row r="102" spans="1:9" s="515" customFormat="1">
      <c r="A102" s="500"/>
      <c r="B102" s="504" t="s">
        <v>900</v>
      </c>
      <c r="C102" s="505">
        <v>38</v>
      </c>
      <c r="D102" s="505">
        <f t="shared" si="8"/>
        <v>294.73684210526318</v>
      </c>
      <c r="E102" s="505">
        <v>11200</v>
      </c>
      <c r="F102" s="505"/>
      <c r="G102" s="500"/>
      <c r="H102" s="500"/>
      <c r="I102" s="503"/>
    </row>
    <row r="103" spans="1:9" s="515" customFormat="1">
      <c r="A103" s="500"/>
      <c r="B103" s="507" t="s">
        <v>3820</v>
      </c>
      <c r="C103" s="505">
        <v>4</v>
      </c>
      <c r="D103" s="505">
        <f t="shared" si="8"/>
        <v>133</v>
      </c>
      <c r="E103" s="505">
        <v>532</v>
      </c>
      <c r="F103" s="505"/>
      <c r="G103" s="500"/>
      <c r="H103" s="500"/>
      <c r="I103" s="503"/>
    </row>
    <row r="104" spans="1:9" s="515" customFormat="1">
      <c r="A104" s="500"/>
      <c r="B104" s="507" t="s">
        <v>1452</v>
      </c>
      <c r="C104" s="505">
        <v>19</v>
      </c>
      <c r="D104" s="505">
        <f t="shared" si="8"/>
        <v>1324.2631578947369</v>
      </c>
      <c r="E104" s="505">
        <v>25161</v>
      </c>
      <c r="F104" s="505"/>
      <c r="G104" s="500"/>
      <c r="H104" s="500"/>
      <c r="I104" s="503"/>
    </row>
    <row r="105" spans="1:9" s="515" customFormat="1">
      <c r="A105" s="500"/>
      <c r="B105" s="507" t="s">
        <v>1453</v>
      </c>
      <c r="C105" s="505">
        <v>13</v>
      </c>
      <c r="D105" s="505">
        <f t="shared" si="8"/>
        <v>2318.6923076923076</v>
      </c>
      <c r="E105" s="505">
        <v>30143</v>
      </c>
      <c r="F105" s="505"/>
      <c r="G105" s="500"/>
      <c r="H105" s="500"/>
      <c r="I105" s="503"/>
    </row>
    <row r="106" spans="1:9" s="515" customFormat="1">
      <c r="A106" s="506"/>
      <c r="B106" s="508" t="s">
        <v>2985</v>
      </c>
      <c r="C106" s="509"/>
      <c r="D106" s="510" t="s">
        <v>2378</v>
      </c>
      <c r="E106" s="511">
        <f>SUM(E98:E105)</f>
        <v>192576</v>
      </c>
      <c r="F106" s="500"/>
      <c r="G106" s="500"/>
      <c r="H106" s="500"/>
      <c r="I106" s="503"/>
    </row>
    <row r="107" spans="1:9" s="515" customFormat="1">
      <c r="A107" s="520" t="s">
        <v>2853</v>
      </c>
      <c r="B107" s="520"/>
      <c r="C107" s="520"/>
      <c r="D107" s="520"/>
      <c r="E107" s="520"/>
      <c r="F107" s="520"/>
      <c r="G107" s="520"/>
      <c r="H107" s="520"/>
      <c r="I107" s="520"/>
    </row>
    <row r="108" spans="1:9" s="515" customFormat="1">
      <c r="A108" s="501" t="s">
        <v>241</v>
      </c>
      <c r="B108" s="502" t="s">
        <v>1373</v>
      </c>
      <c r="C108" s="502" t="s">
        <v>3796</v>
      </c>
      <c r="D108" s="502" t="s">
        <v>2969</v>
      </c>
      <c r="E108" s="502" t="s">
        <v>3797</v>
      </c>
      <c r="F108" s="500"/>
      <c r="G108" s="502"/>
      <c r="H108" s="500"/>
      <c r="I108" s="503"/>
    </row>
    <row r="109" spans="1:9" s="515" customFormat="1">
      <c r="A109" s="500"/>
      <c r="B109" s="504" t="s">
        <v>282</v>
      </c>
      <c r="C109" s="505">
        <v>9</v>
      </c>
      <c r="D109" s="505">
        <f t="shared" ref="D109:D115" si="9">E109/C109</f>
        <v>2712.6666666666665</v>
      </c>
      <c r="E109" s="505">
        <v>24414</v>
      </c>
      <c r="F109" s="505"/>
      <c r="G109" s="500"/>
      <c r="H109" s="500"/>
      <c r="I109" s="503"/>
    </row>
    <row r="110" spans="1:9" s="515" customFormat="1">
      <c r="A110" s="506"/>
      <c r="B110" s="504" t="s">
        <v>897</v>
      </c>
      <c r="C110" s="505">
        <v>8</v>
      </c>
      <c r="D110" s="505">
        <f t="shared" si="9"/>
        <v>2413.375</v>
      </c>
      <c r="E110" s="505">
        <v>19307</v>
      </c>
      <c r="F110" s="505"/>
      <c r="G110" s="500"/>
      <c r="H110" s="500"/>
      <c r="I110" s="503"/>
    </row>
    <row r="111" spans="1:9" s="515" customFormat="1">
      <c r="A111" s="506"/>
      <c r="B111" s="504" t="s">
        <v>283</v>
      </c>
      <c r="C111" s="505">
        <v>7</v>
      </c>
      <c r="D111" s="505">
        <f t="shared" si="9"/>
        <v>1019.4285714285714</v>
      </c>
      <c r="E111" s="505">
        <v>7136</v>
      </c>
      <c r="F111" s="505"/>
      <c r="G111" s="500"/>
      <c r="H111" s="500"/>
      <c r="I111" s="503"/>
    </row>
    <row r="112" spans="1:9" s="515" customFormat="1">
      <c r="A112" s="500"/>
      <c r="B112" s="507" t="s">
        <v>1</v>
      </c>
      <c r="C112" s="505">
        <v>13</v>
      </c>
      <c r="D112" s="505">
        <f t="shared" si="9"/>
        <v>2084.3846153846152</v>
      </c>
      <c r="E112" s="505">
        <v>27097</v>
      </c>
      <c r="F112" s="505"/>
      <c r="G112" s="500"/>
      <c r="H112" s="500"/>
      <c r="I112" s="503"/>
    </row>
    <row r="113" spans="1:9">
      <c r="A113" s="500"/>
      <c r="B113" s="504" t="s">
        <v>900</v>
      </c>
      <c r="C113" s="505">
        <v>18</v>
      </c>
      <c r="D113" s="505">
        <f t="shared" si="9"/>
        <v>230.83333333333334</v>
      </c>
      <c r="E113" s="505">
        <v>4155</v>
      </c>
      <c r="F113" s="505"/>
      <c r="I113" s="503"/>
    </row>
    <row r="114" spans="1:9">
      <c r="A114" s="500"/>
      <c r="B114" s="507" t="s">
        <v>1452</v>
      </c>
      <c r="C114" s="505">
        <v>10</v>
      </c>
      <c r="D114" s="505">
        <f t="shared" si="9"/>
        <v>1436.4</v>
      </c>
      <c r="E114" s="505">
        <v>14364</v>
      </c>
      <c r="F114" s="505"/>
      <c r="I114" s="503"/>
    </row>
    <row r="115" spans="1:9">
      <c r="A115" s="500"/>
      <c r="B115" s="507" t="s">
        <v>1453</v>
      </c>
      <c r="C115" s="505">
        <v>10</v>
      </c>
      <c r="D115" s="505">
        <f t="shared" si="9"/>
        <v>2278</v>
      </c>
      <c r="E115" s="505">
        <v>22780</v>
      </c>
      <c r="F115" s="505"/>
      <c r="I115" s="503"/>
    </row>
    <row r="116" spans="1:9">
      <c r="B116" s="508" t="s">
        <v>2985</v>
      </c>
      <c r="C116" s="509"/>
      <c r="D116" s="510" t="s">
        <v>2378</v>
      </c>
      <c r="E116" s="511">
        <f>SUM(E109:E115)</f>
        <v>119253</v>
      </c>
      <c r="I116" s="503"/>
    </row>
    <row r="117" spans="1:9">
      <c r="A117" s="521" t="s">
        <v>344</v>
      </c>
      <c r="B117" s="521"/>
      <c r="C117" s="521"/>
      <c r="D117" s="521"/>
      <c r="E117" s="521"/>
      <c r="F117" s="521"/>
      <c r="G117" s="521"/>
      <c r="H117" s="521"/>
      <c r="I117" s="521"/>
    </row>
    <row r="118" spans="1:9">
      <c r="A118" s="501" t="s">
        <v>241</v>
      </c>
      <c r="B118" s="502" t="s">
        <v>281</v>
      </c>
      <c r="C118" s="502" t="s">
        <v>1373</v>
      </c>
      <c r="D118" s="502" t="s">
        <v>3796</v>
      </c>
      <c r="E118" s="502" t="s">
        <v>2969</v>
      </c>
      <c r="F118" s="502" t="s">
        <v>3797</v>
      </c>
      <c r="G118" s="502" t="s">
        <v>3798</v>
      </c>
      <c r="H118" s="502" t="s">
        <v>2377</v>
      </c>
    </row>
    <row r="119" spans="1:9">
      <c r="A119" s="500"/>
      <c r="B119" s="504" t="s">
        <v>2426</v>
      </c>
      <c r="C119" s="504" t="s">
        <v>282</v>
      </c>
      <c r="D119" s="505" t="e">
        <f>#REF!</f>
        <v>#REF!</v>
      </c>
      <c r="E119" s="505" t="e">
        <f>F119/D119</f>
        <v>#REF!</v>
      </c>
      <c r="F119" s="505" t="e">
        <f>#REF!</f>
        <v>#REF!</v>
      </c>
      <c r="G119" s="101"/>
    </row>
    <row r="120" spans="1:9">
      <c r="B120" s="504" t="s">
        <v>2426</v>
      </c>
      <c r="C120" s="504" t="s">
        <v>897</v>
      </c>
      <c r="D120" s="505" t="e">
        <f>#REF!</f>
        <v>#REF!</v>
      </c>
      <c r="E120" s="505" t="e">
        <f>F120/D120</f>
        <v>#REF!</v>
      </c>
      <c r="F120" s="505" t="e">
        <f>#REF!</f>
        <v>#REF!</v>
      </c>
    </row>
    <row r="121" spans="1:9">
      <c r="B121" s="504" t="s">
        <v>2426</v>
      </c>
      <c r="C121" s="504" t="s">
        <v>283</v>
      </c>
      <c r="D121" s="505" t="e">
        <f>#REF!</f>
        <v>#REF!</v>
      </c>
      <c r="E121" s="505" t="e">
        <f>F121/D121</f>
        <v>#REF!</v>
      </c>
      <c r="F121" s="505" t="e">
        <f>#REF!</f>
        <v>#REF!</v>
      </c>
    </row>
    <row r="122" spans="1:9">
      <c r="A122" s="500"/>
      <c r="B122" s="504" t="s">
        <v>2426</v>
      </c>
      <c r="C122" s="507" t="s">
        <v>1</v>
      </c>
      <c r="D122" s="505">
        <v>46</v>
      </c>
      <c r="E122" s="505">
        <v>1523.695652173913</v>
      </c>
      <c r="F122" s="505">
        <v>70090</v>
      </c>
    </row>
    <row r="123" spans="1:9">
      <c r="A123" s="500"/>
      <c r="B123" s="504" t="s">
        <v>2426</v>
      </c>
      <c r="C123" s="504" t="s">
        <v>900</v>
      </c>
      <c r="D123" s="505">
        <v>65</v>
      </c>
      <c r="E123" s="505">
        <v>182.98923076923074</v>
      </c>
      <c r="F123" s="505">
        <v>11894.3</v>
      </c>
    </row>
    <row r="124" spans="1:9">
      <c r="A124" s="500"/>
      <c r="B124" s="504" t="s">
        <v>2426</v>
      </c>
      <c r="C124" s="507" t="s">
        <v>3821</v>
      </c>
      <c r="D124" s="505">
        <v>40</v>
      </c>
      <c r="E124" s="505">
        <v>1326.25</v>
      </c>
      <c r="F124" s="505">
        <v>53050</v>
      </c>
    </row>
    <row r="125" spans="1:9">
      <c r="A125" s="500"/>
      <c r="B125" s="504" t="s">
        <v>2426</v>
      </c>
      <c r="C125" s="507" t="s">
        <v>915</v>
      </c>
      <c r="D125" s="505">
        <v>33</v>
      </c>
      <c r="E125" s="505">
        <v>2300</v>
      </c>
      <c r="F125" s="505">
        <v>75900</v>
      </c>
    </row>
    <row r="126" spans="1:9">
      <c r="A126" s="500"/>
      <c r="B126" s="504"/>
      <c r="C126" s="507"/>
      <c r="D126" s="509"/>
      <c r="E126" s="502" t="s">
        <v>2988</v>
      </c>
      <c r="F126" s="522">
        <v>360469.3</v>
      </c>
    </row>
    <row r="127" spans="1:9">
      <c r="C127" s="508" t="s">
        <v>2985</v>
      </c>
      <c r="D127" s="515"/>
      <c r="E127" s="510" t="s">
        <v>2378</v>
      </c>
      <c r="F127" s="523">
        <v>360469.3</v>
      </c>
    </row>
    <row r="128" spans="1:9">
      <c r="A128" s="499" t="s">
        <v>4441</v>
      </c>
      <c r="B128" s="499"/>
      <c r="C128" s="499"/>
      <c r="D128" s="499"/>
      <c r="E128" s="499"/>
      <c r="F128" s="499"/>
      <c r="G128" s="499"/>
      <c r="H128" s="499"/>
      <c r="I128" s="499"/>
    </row>
    <row r="129" spans="1:9">
      <c r="A129" s="501" t="s">
        <v>241</v>
      </c>
      <c r="B129" s="502" t="s">
        <v>281</v>
      </c>
      <c r="C129" s="502" t="s">
        <v>1373</v>
      </c>
      <c r="D129" s="502" t="s">
        <v>3796</v>
      </c>
      <c r="E129" s="502" t="s">
        <v>2969</v>
      </c>
      <c r="F129" s="502" t="s">
        <v>3797</v>
      </c>
      <c r="G129" s="502" t="s">
        <v>3798</v>
      </c>
      <c r="H129" s="502" t="s">
        <v>2377</v>
      </c>
    </row>
    <row r="130" spans="1:9">
      <c r="A130" s="500"/>
      <c r="B130" s="504" t="s">
        <v>2426</v>
      </c>
      <c r="C130" s="504" t="s">
        <v>282</v>
      </c>
      <c r="D130" s="524">
        <v>19</v>
      </c>
      <c r="E130" s="525">
        <v>2280</v>
      </c>
      <c r="F130" s="524">
        <v>43320</v>
      </c>
      <c r="G130" s="101"/>
    </row>
    <row r="131" spans="1:9">
      <c r="B131" s="504" t="s">
        <v>2426</v>
      </c>
      <c r="C131" s="504" t="s">
        <v>897</v>
      </c>
      <c r="D131" s="524">
        <v>19</v>
      </c>
      <c r="E131" s="525">
        <v>2226.3157894736842</v>
      </c>
      <c r="F131" s="524">
        <v>42300</v>
      </c>
    </row>
    <row r="132" spans="1:9">
      <c r="B132" s="504" t="s">
        <v>2426</v>
      </c>
      <c r="C132" s="504" t="s">
        <v>283</v>
      </c>
      <c r="D132" s="524">
        <v>25</v>
      </c>
      <c r="E132" s="525">
        <v>1925.88</v>
      </c>
      <c r="F132" s="524">
        <v>48147</v>
      </c>
    </row>
    <row r="133" spans="1:9">
      <c r="A133" s="500"/>
      <c r="B133" s="504" t="s">
        <v>2426</v>
      </c>
      <c r="C133" s="507" t="s">
        <v>1</v>
      </c>
      <c r="D133" s="524">
        <v>44</v>
      </c>
      <c r="E133" s="525">
        <v>2055.4545454545455</v>
      </c>
      <c r="F133" s="524">
        <v>90440</v>
      </c>
    </row>
    <row r="134" spans="1:9">
      <c r="A134" s="500"/>
      <c r="B134" s="504" t="s">
        <v>2426</v>
      </c>
      <c r="C134" s="504" t="s">
        <v>900</v>
      </c>
      <c r="D134" s="524">
        <v>42</v>
      </c>
      <c r="E134" s="525">
        <v>208.57142857142858</v>
      </c>
      <c r="F134" s="524">
        <v>8760</v>
      </c>
    </row>
    <row r="135" spans="1:9">
      <c r="A135" s="500"/>
      <c r="B135" s="504" t="s">
        <v>2426</v>
      </c>
      <c r="C135" s="507" t="s">
        <v>3821</v>
      </c>
      <c r="D135" s="524">
        <v>41</v>
      </c>
      <c r="E135" s="525">
        <v>926.14634146341461</v>
      </c>
      <c r="F135" s="524">
        <v>37972</v>
      </c>
    </row>
    <row r="136" spans="1:9">
      <c r="A136" s="500"/>
      <c r="B136" s="504" t="s">
        <v>2426</v>
      </c>
      <c r="C136" s="507" t="s">
        <v>915</v>
      </c>
      <c r="D136" s="524">
        <v>22</v>
      </c>
      <c r="E136" s="525">
        <v>2299.9545454545455</v>
      </c>
      <c r="F136" s="524">
        <v>50599</v>
      </c>
    </row>
    <row r="137" spans="1:9">
      <c r="A137" s="500"/>
      <c r="B137" s="504"/>
      <c r="C137" s="507"/>
      <c r="D137" s="509"/>
      <c r="E137" s="502" t="s">
        <v>2988</v>
      </c>
      <c r="F137" s="522">
        <v>321538</v>
      </c>
    </row>
    <row r="138" spans="1:9">
      <c r="A138" s="526">
        <v>96043003</v>
      </c>
      <c r="B138" s="527" t="s">
        <v>298</v>
      </c>
      <c r="C138" s="500" t="s">
        <v>916</v>
      </c>
      <c r="D138" s="500">
        <v>1</v>
      </c>
      <c r="E138" s="500">
        <v>1585</v>
      </c>
      <c r="F138" s="57">
        <v>1585</v>
      </c>
      <c r="G138" s="500">
        <v>79</v>
      </c>
      <c r="H138" s="500">
        <v>1664</v>
      </c>
    </row>
    <row r="139" spans="1:9">
      <c r="A139" s="528">
        <v>96100302</v>
      </c>
      <c r="B139" s="510" t="s">
        <v>2</v>
      </c>
      <c r="C139" s="510" t="s">
        <v>917</v>
      </c>
      <c r="D139" s="515">
        <v>1</v>
      </c>
      <c r="E139" s="97">
        <v>253</v>
      </c>
      <c r="F139" s="529">
        <v>253</v>
      </c>
      <c r="G139" s="530">
        <v>13</v>
      </c>
      <c r="H139" s="500">
        <v>266</v>
      </c>
    </row>
    <row r="140" spans="1:9">
      <c r="E140" s="502" t="s">
        <v>2988</v>
      </c>
      <c r="F140" s="531">
        <v>1838</v>
      </c>
      <c r="G140" s="515">
        <v>92</v>
      </c>
      <c r="H140" s="500">
        <v>1930</v>
      </c>
    </row>
    <row r="141" spans="1:9">
      <c r="C141" s="508" t="s">
        <v>2985</v>
      </c>
      <c r="D141" s="515"/>
      <c r="E141" s="510" t="s">
        <v>2378</v>
      </c>
      <c r="F141" s="523">
        <v>323376</v>
      </c>
    </row>
    <row r="142" spans="1:9">
      <c r="A142" s="532" t="s">
        <v>4442</v>
      </c>
      <c r="B142" s="532"/>
      <c r="C142" s="532"/>
      <c r="D142" s="532"/>
      <c r="E142" s="532"/>
      <c r="F142" s="532"/>
      <c r="G142" s="532"/>
      <c r="H142" s="532"/>
      <c r="I142" s="532"/>
    </row>
    <row r="143" spans="1:9">
      <c r="A143" s="501" t="s">
        <v>241</v>
      </c>
      <c r="B143" s="502" t="s">
        <v>281</v>
      </c>
      <c r="C143" s="502" t="s">
        <v>1373</v>
      </c>
      <c r="D143" s="502" t="s">
        <v>3796</v>
      </c>
      <c r="E143" s="502" t="s">
        <v>2969</v>
      </c>
      <c r="F143" s="502" t="s">
        <v>3797</v>
      </c>
      <c r="G143" s="502" t="s">
        <v>3798</v>
      </c>
      <c r="H143" s="502" t="s">
        <v>2377</v>
      </c>
    </row>
    <row r="144" spans="1:9">
      <c r="A144" s="500"/>
      <c r="B144" s="504" t="s">
        <v>2426</v>
      </c>
      <c r="C144" s="504" t="s">
        <v>282</v>
      </c>
      <c r="D144" s="509">
        <v>47</v>
      </c>
      <c r="E144" s="525">
        <v>4756.5957446808507</v>
      </c>
      <c r="F144" s="509">
        <v>223560</v>
      </c>
      <c r="G144" s="101"/>
    </row>
    <row r="145" spans="1:9">
      <c r="B145" s="504" t="s">
        <v>2426</v>
      </c>
      <c r="C145" s="504" t="s">
        <v>897</v>
      </c>
      <c r="D145" s="509">
        <v>40</v>
      </c>
      <c r="E145" s="525">
        <v>2060.8000000000002</v>
      </c>
      <c r="F145" s="509">
        <v>82432</v>
      </c>
    </row>
    <row r="146" spans="1:9">
      <c r="B146" s="504" t="s">
        <v>2426</v>
      </c>
      <c r="C146" s="504" t="s">
        <v>283</v>
      </c>
      <c r="D146" s="509">
        <v>90</v>
      </c>
      <c r="E146" s="525">
        <v>1427.6888888888889</v>
      </c>
      <c r="F146" s="509">
        <v>128492</v>
      </c>
    </row>
    <row r="147" spans="1:9">
      <c r="A147" s="500"/>
      <c r="B147" s="504" t="s">
        <v>2426</v>
      </c>
      <c r="C147" s="507" t="s">
        <v>1</v>
      </c>
      <c r="D147" s="509">
        <v>68</v>
      </c>
      <c r="E147" s="525">
        <v>1728.9558823529412</v>
      </c>
      <c r="F147" s="509">
        <v>117569</v>
      </c>
    </row>
    <row r="148" spans="1:9">
      <c r="A148" s="500"/>
      <c r="B148" s="504" t="s">
        <v>2426</v>
      </c>
      <c r="C148" s="504" t="s">
        <v>900</v>
      </c>
      <c r="D148" s="509">
        <v>95</v>
      </c>
      <c r="E148" s="525">
        <v>201.66315789473686</v>
      </c>
      <c r="F148" s="509">
        <v>19158</v>
      </c>
    </row>
    <row r="149" spans="1:9">
      <c r="A149" s="500"/>
      <c r="B149" s="504" t="s">
        <v>2426</v>
      </c>
      <c r="C149" s="507" t="s">
        <v>3820</v>
      </c>
      <c r="D149" s="509">
        <v>36</v>
      </c>
      <c r="E149" s="525">
        <v>551.38888888888891</v>
      </c>
      <c r="F149" s="509">
        <v>19850</v>
      </c>
    </row>
    <row r="150" spans="1:9">
      <c r="A150" s="500"/>
      <c r="B150" s="504"/>
      <c r="C150" s="507"/>
      <c r="D150" s="509"/>
      <c r="E150" s="502" t="s">
        <v>2988</v>
      </c>
      <c r="F150" s="522">
        <v>591061</v>
      </c>
    </row>
    <row r="151" spans="1:9">
      <c r="A151" s="500"/>
      <c r="B151" s="504" t="s">
        <v>2426</v>
      </c>
      <c r="C151" s="507" t="s">
        <v>3821</v>
      </c>
      <c r="D151" s="533" t="s">
        <v>3822</v>
      </c>
      <c r="E151" s="525">
        <v>700.04761904761904</v>
      </c>
      <c r="F151" s="514">
        <v>29402</v>
      </c>
    </row>
    <row r="152" spans="1:9">
      <c r="E152" s="502" t="s">
        <v>2988</v>
      </c>
      <c r="F152" s="534">
        <v>29402</v>
      </c>
      <c r="G152" s="535"/>
      <c r="H152" s="515"/>
    </row>
    <row r="153" spans="1:9">
      <c r="A153" s="506">
        <v>95020304</v>
      </c>
      <c r="B153" s="500" t="s">
        <v>875</v>
      </c>
      <c r="C153" s="500" t="s">
        <v>3823</v>
      </c>
      <c r="D153" s="500">
        <v>1</v>
      </c>
      <c r="E153" s="500">
        <v>667</v>
      </c>
      <c r="F153" s="500">
        <v>667</v>
      </c>
      <c r="G153" s="500">
        <v>33.35</v>
      </c>
      <c r="H153" s="500">
        <v>700</v>
      </c>
    </row>
    <row r="154" spans="1:9">
      <c r="A154" s="506">
        <v>95031402</v>
      </c>
      <c r="B154" s="510" t="s">
        <v>2</v>
      </c>
      <c r="C154" s="515" t="s">
        <v>2978</v>
      </c>
      <c r="D154" s="515">
        <v>1</v>
      </c>
      <c r="E154" s="97">
        <v>4200</v>
      </c>
      <c r="F154" s="97">
        <v>4200</v>
      </c>
      <c r="G154" s="500">
        <v>210</v>
      </c>
      <c r="H154" s="500">
        <v>4410</v>
      </c>
    </row>
    <row r="155" spans="1:9">
      <c r="A155" s="506">
        <v>95042606</v>
      </c>
      <c r="B155" t="s">
        <v>3824</v>
      </c>
      <c r="C155" s="500" t="s">
        <v>1</v>
      </c>
      <c r="D155" s="500">
        <v>1</v>
      </c>
      <c r="E155" s="500">
        <v>952</v>
      </c>
      <c r="F155" s="500">
        <v>952</v>
      </c>
      <c r="G155" s="500">
        <v>48</v>
      </c>
      <c r="H155" s="500">
        <v>1000</v>
      </c>
    </row>
    <row r="156" spans="1:9">
      <c r="A156" s="506">
        <v>95080702</v>
      </c>
      <c r="B156" t="s">
        <v>3825</v>
      </c>
      <c r="C156" s="500" t="s">
        <v>1</v>
      </c>
      <c r="D156" s="500">
        <v>1</v>
      </c>
      <c r="E156" s="500">
        <v>2200</v>
      </c>
      <c r="F156" s="500">
        <v>2200</v>
      </c>
      <c r="G156" s="500">
        <v>110</v>
      </c>
      <c r="H156" s="500">
        <v>2310</v>
      </c>
    </row>
    <row r="157" spans="1:9">
      <c r="E157" s="502" t="s">
        <v>2988</v>
      </c>
      <c r="F157" s="522">
        <v>8019</v>
      </c>
      <c r="G157" s="515">
        <v>401.35</v>
      </c>
      <c r="H157" s="515">
        <v>8420</v>
      </c>
    </row>
    <row r="158" spans="1:9">
      <c r="C158" s="508" t="s">
        <v>2985</v>
      </c>
      <c r="D158" s="515"/>
      <c r="E158" s="510" t="s">
        <v>2378</v>
      </c>
      <c r="F158" s="523">
        <v>599080</v>
      </c>
    </row>
    <row r="159" spans="1:9">
      <c r="A159" s="521" t="s">
        <v>0</v>
      </c>
      <c r="B159" s="536"/>
      <c r="C159" s="536"/>
      <c r="D159" s="536"/>
      <c r="E159" s="536"/>
      <c r="F159" s="536"/>
      <c r="G159" s="536"/>
      <c r="H159" s="536"/>
      <c r="I159" s="536"/>
    </row>
    <row r="160" spans="1:9">
      <c r="A160" s="501" t="s">
        <v>241</v>
      </c>
      <c r="B160" s="502" t="s">
        <v>281</v>
      </c>
      <c r="C160" s="502" t="s">
        <v>1373</v>
      </c>
      <c r="D160" s="502" t="s">
        <v>3796</v>
      </c>
      <c r="E160" s="502" t="s">
        <v>2969</v>
      </c>
      <c r="F160" s="502" t="s">
        <v>3797</v>
      </c>
      <c r="G160" s="502" t="s">
        <v>3798</v>
      </c>
      <c r="H160" s="502" t="s">
        <v>2377</v>
      </c>
      <c r="I160" s="512"/>
    </row>
    <row r="161" spans="1:9">
      <c r="A161" s="500"/>
      <c r="B161" s="504" t="s">
        <v>2426</v>
      </c>
      <c r="C161" s="504" t="s">
        <v>282</v>
      </c>
      <c r="D161" s="504">
        <v>63</v>
      </c>
      <c r="E161" s="525">
        <f>F161/D161</f>
        <v>3695.8253968253966</v>
      </c>
      <c r="F161" s="504">
        <v>232837</v>
      </c>
      <c r="G161" s="101" t="s">
        <v>6</v>
      </c>
    </row>
    <row r="162" spans="1:9">
      <c r="B162" s="504" t="s">
        <v>2426</v>
      </c>
      <c r="C162" s="504" t="s">
        <v>897</v>
      </c>
      <c r="D162" s="504">
        <v>112</v>
      </c>
      <c r="E162" s="525">
        <f>F162/D162</f>
        <v>1861.2321428571429</v>
      </c>
      <c r="F162" s="504">
        <v>208458</v>
      </c>
    </row>
    <row r="163" spans="1:9">
      <c r="B163" s="504" t="s">
        <v>2426</v>
      </c>
      <c r="C163" s="504" t="s">
        <v>283</v>
      </c>
      <c r="D163" s="504">
        <v>69</v>
      </c>
      <c r="E163" s="525">
        <f>F163/D163</f>
        <v>843.02898550724638</v>
      </c>
      <c r="F163" s="504">
        <v>58169</v>
      </c>
    </row>
    <row r="164" spans="1:9">
      <c r="A164" s="500"/>
      <c r="B164" s="504" t="s">
        <v>2426</v>
      </c>
      <c r="C164" s="507" t="s">
        <v>1</v>
      </c>
      <c r="D164" s="504">
        <v>66</v>
      </c>
      <c r="E164" s="525">
        <f>F164/D164</f>
        <v>2004.6060606060605</v>
      </c>
      <c r="F164" s="504">
        <v>132304</v>
      </c>
    </row>
    <row r="165" spans="1:9">
      <c r="A165" s="500"/>
      <c r="B165" s="504" t="s">
        <v>2426</v>
      </c>
      <c r="C165" s="504" t="s">
        <v>900</v>
      </c>
      <c r="D165" s="504">
        <v>117</v>
      </c>
      <c r="E165" s="525">
        <f>F165/D165</f>
        <v>165.7948717948718</v>
      </c>
      <c r="F165" s="504">
        <v>19398</v>
      </c>
    </row>
    <row r="166" spans="1:9">
      <c r="E166" s="502" t="s">
        <v>2988</v>
      </c>
      <c r="F166" s="522">
        <f>SUM(F161:F165)</f>
        <v>651166</v>
      </c>
      <c r="G166" s="515"/>
      <c r="H166" s="515"/>
    </row>
    <row r="167" spans="1:9">
      <c r="A167" s="7">
        <v>94012601</v>
      </c>
      <c r="B167" s="7" t="s">
        <v>2</v>
      </c>
      <c r="C167" s="515" t="s">
        <v>2978</v>
      </c>
      <c r="D167" s="515">
        <v>1</v>
      </c>
      <c r="E167" s="97">
        <v>4200</v>
      </c>
      <c r="F167" s="97">
        <v>4200</v>
      </c>
      <c r="G167" s="500">
        <v>210</v>
      </c>
      <c r="H167" s="500">
        <v>4410</v>
      </c>
      <c r="I167" s="515" t="s">
        <v>3800</v>
      </c>
    </row>
    <row r="168" spans="1:9">
      <c r="A168" s="7">
        <v>94090507</v>
      </c>
      <c r="B168" s="7" t="s">
        <v>2979</v>
      </c>
      <c r="C168" s="515" t="s">
        <v>2978</v>
      </c>
      <c r="D168" s="515">
        <v>1</v>
      </c>
      <c r="E168" s="97">
        <v>4200</v>
      </c>
      <c r="F168" s="97">
        <v>4200</v>
      </c>
      <c r="G168" s="500">
        <v>210</v>
      </c>
      <c r="H168" s="500">
        <v>4410</v>
      </c>
      <c r="I168" s="515" t="s">
        <v>3800</v>
      </c>
    </row>
    <row r="169" spans="1:9">
      <c r="A169" s="7">
        <v>94102102</v>
      </c>
      <c r="B169" s="7" t="s">
        <v>2982</v>
      </c>
      <c r="C169" s="515" t="s">
        <v>2978</v>
      </c>
      <c r="D169" s="515">
        <v>1</v>
      </c>
      <c r="E169" s="97">
        <v>4200</v>
      </c>
      <c r="F169" s="97">
        <v>4200</v>
      </c>
      <c r="G169" s="500">
        <v>210</v>
      </c>
      <c r="H169" s="500">
        <v>4410</v>
      </c>
      <c r="I169" s="515" t="s">
        <v>3800</v>
      </c>
    </row>
    <row r="170" spans="1:9">
      <c r="E170" s="502" t="s">
        <v>2988</v>
      </c>
      <c r="F170" s="522">
        <f>SUM(F167:F169)</f>
        <v>12600</v>
      </c>
      <c r="G170" s="515">
        <f>SUM(G167:G169)</f>
        <v>630</v>
      </c>
      <c r="H170" s="515">
        <f>SUM(H167:H169)</f>
        <v>13230</v>
      </c>
    </row>
    <row r="171" spans="1:9">
      <c r="A171" s="7">
        <v>940331</v>
      </c>
      <c r="B171" s="500" t="s">
        <v>3</v>
      </c>
      <c r="C171" s="81" t="s">
        <v>4</v>
      </c>
      <c r="D171" s="500">
        <v>1</v>
      </c>
      <c r="E171" s="98">
        <v>-2000</v>
      </c>
      <c r="F171" s="537">
        <v>-2000</v>
      </c>
      <c r="G171" s="510" t="s">
        <v>5</v>
      </c>
      <c r="H171" s="515"/>
    </row>
    <row r="172" spans="1:9">
      <c r="A172" s="538"/>
      <c r="B172" s="539"/>
      <c r="C172" s="508" t="s">
        <v>2985</v>
      </c>
      <c r="D172" s="515"/>
      <c r="E172" s="510" t="s">
        <v>2378</v>
      </c>
      <c r="F172" s="523">
        <f>F166+F170</f>
        <v>663766</v>
      </c>
      <c r="G172" s="518"/>
      <c r="H172" s="518"/>
      <c r="I172" s="539"/>
    </row>
    <row r="173" spans="1:9">
      <c r="A173" s="540" t="s">
        <v>3398</v>
      </c>
      <c r="B173" s="541"/>
      <c r="C173" s="541"/>
      <c r="D173" s="541"/>
      <c r="E173" s="541"/>
      <c r="F173" s="541"/>
      <c r="G173" s="541"/>
      <c r="H173" s="541"/>
      <c r="I173" s="541"/>
    </row>
    <row r="174" spans="1:9">
      <c r="A174" s="501" t="s">
        <v>241</v>
      </c>
      <c r="B174" s="502" t="s">
        <v>281</v>
      </c>
      <c r="C174" s="502" t="s">
        <v>1373</v>
      </c>
      <c r="D174" s="502" t="s">
        <v>3796</v>
      </c>
      <c r="E174" s="502" t="s">
        <v>2969</v>
      </c>
      <c r="F174" s="502" t="s">
        <v>3797</v>
      </c>
      <c r="G174" s="502" t="s">
        <v>3798</v>
      </c>
      <c r="H174" s="502" t="s">
        <v>2377</v>
      </c>
      <c r="I174" s="512"/>
    </row>
    <row r="175" spans="1:9">
      <c r="A175" s="501"/>
      <c r="B175" s="515" t="s">
        <v>285</v>
      </c>
      <c r="C175" s="542" t="s">
        <v>282</v>
      </c>
      <c r="D175" s="502">
        <v>93</v>
      </c>
      <c r="E175" s="502">
        <v>2350</v>
      </c>
      <c r="F175" s="502">
        <f>D175*E175</f>
        <v>218550</v>
      </c>
      <c r="G175" s="502"/>
      <c r="H175" s="502"/>
      <c r="I175" s="512"/>
    </row>
    <row r="176" spans="1:9">
      <c r="A176" s="501"/>
      <c r="B176" s="515" t="s">
        <v>285</v>
      </c>
      <c r="C176" s="542" t="s">
        <v>3799</v>
      </c>
      <c r="D176" s="502">
        <v>93</v>
      </c>
      <c r="E176" s="502">
        <v>1975</v>
      </c>
      <c r="F176" s="502">
        <f>D176*E176</f>
        <v>183675</v>
      </c>
      <c r="G176" s="502"/>
      <c r="H176" s="502"/>
      <c r="I176" s="512"/>
    </row>
    <row r="177" spans="1:9">
      <c r="A177" s="501"/>
      <c r="B177" s="515" t="s">
        <v>285</v>
      </c>
      <c r="C177" s="542" t="s">
        <v>283</v>
      </c>
      <c r="D177" s="502">
        <v>93</v>
      </c>
      <c r="E177" s="502">
        <v>1350</v>
      </c>
      <c r="F177" s="502">
        <f>D177*E177</f>
        <v>125550</v>
      </c>
      <c r="G177" s="502"/>
      <c r="H177" s="502"/>
      <c r="I177" s="512"/>
    </row>
    <row r="178" spans="1:9">
      <c r="A178" s="501"/>
      <c r="B178" s="515" t="s">
        <v>285</v>
      </c>
      <c r="C178" s="542" t="s">
        <v>2983</v>
      </c>
      <c r="D178" s="502">
        <v>93</v>
      </c>
      <c r="E178" s="502">
        <v>2534.7199999999998</v>
      </c>
      <c r="F178" s="502">
        <f>D178*E178</f>
        <v>235728.96</v>
      </c>
      <c r="G178" s="502"/>
      <c r="H178" s="502"/>
      <c r="I178" s="512"/>
    </row>
    <row r="179" spans="1:9">
      <c r="A179" s="501"/>
      <c r="B179" s="515" t="s">
        <v>285</v>
      </c>
      <c r="C179" s="542" t="s">
        <v>2984</v>
      </c>
      <c r="D179" s="502">
        <v>220</v>
      </c>
      <c r="E179" s="502">
        <v>200</v>
      </c>
      <c r="F179" s="502">
        <f>D179*E179</f>
        <v>44000</v>
      </c>
      <c r="G179" s="502"/>
      <c r="H179" s="502"/>
      <c r="I179" s="512"/>
    </row>
    <row r="180" spans="1:9">
      <c r="A180" s="501"/>
      <c r="B180" s="515"/>
      <c r="C180" s="542"/>
      <c r="D180" s="502"/>
      <c r="E180" s="502"/>
      <c r="F180" s="502"/>
      <c r="G180" s="502"/>
      <c r="H180" s="502"/>
      <c r="I180" s="512"/>
    </row>
    <row r="181" spans="1:9">
      <c r="A181" s="543" t="s">
        <v>2986</v>
      </c>
      <c r="B181" s="515" t="s">
        <v>3801</v>
      </c>
      <c r="C181" s="510" t="s">
        <v>2971</v>
      </c>
      <c r="D181" s="544">
        <v>30</v>
      </c>
      <c r="E181" s="515">
        <v>1150</v>
      </c>
      <c r="F181" s="502">
        <f>D181*E181</f>
        <v>34500</v>
      </c>
      <c r="G181" s="515">
        <v>1725</v>
      </c>
      <c r="H181" s="515">
        <v>36225</v>
      </c>
      <c r="I181" s="515"/>
    </row>
    <row r="182" spans="1:9">
      <c r="A182" s="543" t="s">
        <v>2972</v>
      </c>
      <c r="B182" s="513" t="s">
        <v>3801</v>
      </c>
      <c r="C182" s="513" t="s">
        <v>2971</v>
      </c>
      <c r="D182" s="545">
        <v>5</v>
      </c>
      <c r="E182" s="513">
        <v>1150</v>
      </c>
      <c r="F182" s="502">
        <f>D182*E182</f>
        <v>5750</v>
      </c>
      <c r="G182" s="513">
        <v>288</v>
      </c>
      <c r="H182" s="513">
        <v>6038</v>
      </c>
      <c r="I182" s="515"/>
    </row>
    <row r="183" spans="1:9">
      <c r="A183" s="543" t="s">
        <v>2973</v>
      </c>
      <c r="B183" s="513" t="s">
        <v>3801</v>
      </c>
      <c r="C183" s="513" t="s">
        <v>2971</v>
      </c>
      <c r="D183" s="545">
        <v>15</v>
      </c>
      <c r="E183" s="513">
        <v>1150</v>
      </c>
      <c r="F183" s="502">
        <f>D183*E183</f>
        <v>17250</v>
      </c>
      <c r="G183" s="513">
        <v>863</v>
      </c>
      <c r="H183" s="513">
        <v>18113</v>
      </c>
      <c r="I183" s="515"/>
    </row>
    <row r="184" spans="1:9">
      <c r="A184" s="543" t="s">
        <v>2976</v>
      </c>
      <c r="B184" s="513" t="s">
        <v>3801</v>
      </c>
      <c r="C184" s="513" t="s">
        <v>2971</v>
      </c>
      <c r="D184" s="545">
        <v>20</v>
      </c>
      <c r="E184" s="513">
        <v>1150</v>
      </c>
      <c r="F184" s="502">
        <f>D184*E184</f>
        <v>23000</v>
      </c>
      <c r="G184" s="513">
        <v>1150</v>
      </c>
      <c r="H184" s="513">
        <v>24150</v>
      </c>
      <c r="I184" s="513"/>
    </row>
    <row r="185" spans="1:9">
      <c r="A185" s="543"/>
      <c r="B185" s="513"/>
      <c r="C185" s="513"/>
      <c r="D185" s="517"/>
      <c r="E185" s="502"/>
      <c r="F185" s="546">
        <f>SUM(F181:F184)</f>
        <v>80500</v>
      </c>
      <c r="G185" s="513"/>
      <c r="H185" s="513"/>
      <c r="I185" s="513"/>
    </row>
    <row r="186" spans="1:9">
      <c r="A186" s="547"/>
      <c r="B186" s="517"/>
      <c r="C186" s="517"/>
      <c r="D186" s="517"/>
      <c r="E186" s="502"/>
      <c r="F186" s="502"/>
      <c r="G186" s="517"/>
      <c r="H186" s="517"/>
      <c r="I186" s="517"/>
    </row>
    <row r="187" spans="1:9">
      <c r="A187" s="543" t="s">
        <v>2987</v>
      </c>
      <c r="B187" s="515" t="s">
        <v>2970</v>
      </c>
      <c r="C187" s="510" t="s">
        <v>4443</v>
      </c>
      <c r="D187" s="518">
        <v>200</v>
      </c>
      <c r="E187" s="515">
        <v>118</v>
      </c>
      <c r="F187" s="502">
        <f>D187*E187</f>
        <v>23600</v>
      </c>
      <c r="G187" s="515">
        <v>1180</v>
      </c>
      <c r="H187" s="515">
        <v>24780</v>
      </c>
      <c r="I187" s="515"/>
    </row>
    <row r="188" spans="1:9">
      <c r="A188" s="547"/>
      <c r="B188" s="518"/>
      <c r="C188" s="548"/>
      <c r="D188" s="518"/>
      <c r="E188" s="518"/>
      <c r="F188" s="502"/>
      <c r="G188" s="518"/>
      <c r="H188" s="518"/>
      <c r="I188" s="518"/>
    </row>
    <row r="189" spans="1:9">
      <c r="A189" s="543" t="s">
        <v>2974</v>
      </c>
      <c r="B189" s="513" t="s">
        <v>286</v>
      </c>
      <c r="C189" s="549" t="s">
        <v>2975</v>
      </c>
      <c r="D189" s="545">
        <v>1</v>
      </c>
      <c r="E189" s="513">
        <v>940</v>
      </c>
      <c r="F189" s="502">
        <f>D189*E189</f>
        <v>940</v>
      </c>
      <c r="G189" s="513">
        <v>47</v>
      </c>
      <c r="H189" s="513">
        <v>987</v>
      </c>
      <c r="I189" s="515"/>
    </row>
    <row r="190" spans="1:9">
      <c r="A190" s="543" t="s">
        <v>2977</v>
      </c>
      <c r="B190" s="513" t="s">
        <v>286</v>
      </c>
      <c r="C190" s="549" t="s">
        <v>2975</v>
      </c>
      <c r="D190" s="545">
        <v>100</v>
      </c>
      <c r="E190" s="513">
        <v>850</v>
      </c>
      <c r="F190" s="502">
        <f>D190*E190</f>
        <v>85000</v>
      </c>
      <c r="G190" s="513">
        <v>0</v>
      </c>
      <c r="H190" s="513"/>
      <c r="I190" s="513"/>
    </row>
    <row r="191" spans="1:9">
      <c r="A191" s="543" t="s">
        <v>2977</v>
      </c>
      <c r="B191" s="513" t="s">
        <v>286</v>
      </c>
      <c r="C191" s="549" t="s">
        <v>2975</v>
      </c>
      <c r="D191" s="545">
        <v>10</v>
      </c>
      <c r="E191" s="513">
        <v>25</v>
      </c>
      <c r="F191" s="502">
        <f>D191*E191</f>
        <v>250</v>
      </c>
      <c r="G191" s="513">
        <v>4263</v>
      </c>
      <c r="H191" s="513">
        <v>89813</v>
      </c>
      <c r="I191" s="513"/>
    </row>
    <row r="192" spans="1:9">
      <c r="A192" s="550"/>
      <c r="B192" s="515"/>
      <c r="C192" s="551"/>
      <c r="D192" s="515"/>
      <c r="E192" s="515"/>
      <c r="F192" s="552">
        <f>SUM(F189:F191)</f>
        <v>86190</v>
      </c>
      <c r="G192" s="510">
        <f>SUM(G187:G191)</f>
        <v>5490</v>
      </c>
      <c r="H192" s="510">
        <f>SUM(H187:H191)</f>
        <v>115580</v>
      </c>
      <c r="I192" s="515"/>
    </row>
    <row r="193" spans="1:9">
      <c r="A193" s="550"/>
      <c r="B193" s="515"/>
      <c r="C193" s="515"/>
      <c r="D193" s="515"/>
      <c r="E193" s="502" t="s">
        <v>2988</v>
      </c>
      <c r="F193" s="552">
        <f>SUM(F175:F179)+F185+F187+F192</f>
        <v>997793.96</v>
      </c>
      <c r="G193" s="515"/>
      <c r="H193" s="515"/>
      <c r="I193" s="515"/>
    </row>
    <row r="194" spans="1:9">
      <c r="A194" s="550"/>
      <c r="B194" s="515"/>
      <c r="C194" s="551"/>
      <c r="D194" s="515"/>
      <c r="E194" s="515"/>
      <c r="F194" s="510"/>
      <c r="G194" s="515"/>
      <c r="H194" s="515"/>
      <c r="I194" s="515"/>
    </row>
    <row r="195" spans="1:9">
      <c r="A195" s="550">
        <v>38395</v>
      </c>
      <c r="B195" s="515" t="s">
        <v>2424</v>
      </c>
      <c r="C195" s="515" t="s">
        <v>2978</v>
      </c>
      <c r="D195" s="515">
        <v>1</v>
      </c>
      <c r="E195" s="515">
        <v>8400</v>
      </c>
      <c r="F195" s="502">
        <f t="shared" ref="F195:F202" si="10">D195*E195</f>
        <v>8400</v>
      </c>
      <c r="G195" s="510">
        <v>420</v>
      </c>
      <c r="H195" s="510">
        <v>8820</v>
      </c>
      <c r="I195" s="515" t="s">
        <v>3800</v>
      </c>
    </row>
    <row r="196" spans="1:9">
      <c r="A196" s="550">
        <v>38395</v>
      </c>
      <c r="B196" s="515" t="s">
        <v>1270</v>
      </c>
      <c r="C196" s="515" t="s">
        <v>2978</v>
      </c>
      <c r="D196" s="515">
        <v>1</v>
      </c>
      <c r="E196" s="515">
        <v>8400</v>
      </c>
      <c r="F196" s="502">
        <f t="shared" si="10"/>
        <v>8400</v>
      </c>
      <c r="G196" s="510">
        <v>420</v>
      </c>
      <c r="H196" s="510">
        <v>8820</v>
      </c>
      <c r="I196" s="515" t="s">
        <v>3800</v>
      </c>
    </row>
    <row r="197" spans="1:9">
      <c r="A197" s="550">
        <v>38410</v>
      </c>
      <c r="B197" s="515" t="s">
        <v>1298</v>
      </c>
      <c r="C197" s="515" t="s">
        <v>2978</v>
      </c>
      <c r="D197" s="515">
        <v>1</v>
      </c>
      <c r="E197" s="515">
        <v>8400</v>
      </c>
      <c r="F197" s="502">
        <f t="shared" si="10"/>
        <v>8400</v>
      </c>
      <c r="G197" s="510">
        <v>420</v>
      </c>
      <c r="H197" s="510">
        <v>8820</v>
      </c>
      <c r="I197" s="515" t="s">
        <v>3800</v>
      </c>
    </row>
    <row r="198" spans="1:9">
      <c r="A198" s="550">
        <v>38458</v>
      </c>
      <c r="B198" s="515" t="s">
        <v>2979</v>
      </c>
      <c r="C198" s="515" t="s">
        <v>2978</v>
      </c>
      <c r="D198" s="515">
        <v>1</v>
      </c>
      <c r="E198" s="515">
        <v>8400</v>
      </c>
      <c r="F198" s="502">
        <f t="shared" si="10"/>
        <v>8400</v>
      </c>
      <c r="G198" s="510">
        <v>420</v>
      </c>
      <c r="H198" s="510">
        <v>8820</v>
      </c>
      <c r="I198" s="515" t="s">
        <v>3800</v>
      </c>
    </row>
    <row r="199" spans="1:9">
      <c r="A199" s="550">
        <v>38464</v>
      </c>
      <c r="B199" s="515" t="s">
        <v>2980</v>
      </c>
      <c r="C199" s="515" t="s">
        <v>2978</v>
      </c>
      <c r="D199" s="515">
        <v>1</v>
      </c>
      <c r="E199" s="515">
        <v>8400</v>
      </c>
      <c r="F199" s="502">
        <f t="shared" si="10"/>
        <v>8400</v>
      </c>
      <c r="G199" s="510">
        <v>420</v>
      </c>
      <c r="H199" s="510">
        <v>8820</v>
      </c>
      <c r="I199" s="515" t="s">
        <v>3800</v>
      </c>
    </row>
    <row r="200" spans="1:9">
      <c r="A200" s="550">
        <v>38497</v>
      </c>
      <c r="B200" s="515" t="s">
        <v>1302</v>
      </c>
      <c r="C200" s="515" t="s">
        <v>2978</v>
      </c>
      <c r="D200" s="515">
        <v>1</v>
      </c>
      <c r="E200" s="515">
        <v>8400</v>
      </c>
      <c r="F200" s="502">
        <f t="shared" si="10"/>
        <v>8400</v>
      </c>
      <c r="G200" s="510">
        <v>420</v>
      </c>
      <c r="H200" s="510">
        <v>8820</v>
      </c>
      <c r="I200" s="515" t="s">
        <v>3800</v>
      </c>
    </row>
    <row r="201" spans="1:9">
      <c r="A201" s="550">
        <v>38595</v>
      </c>
      <c r="B201" s="515" t="s">
        <v>2981</v>
      </c>
      <c r="C201" s="515" t="s">
        <v>2978</v>
      </c>
      <c r="D201" s="515">
        <v>1</v>
      </c>
      <c r="E201" s="515">
        <v>4200</v>
      </c>
      <c r="F201" s="502">
        <f t="shared" si="10"/>
        <v>4200</v>
      </c>
      <c r="G201" s="515">
        <v>210</v>
      </c>
      <c r="H201" s="510">
        <v>4410</v>
      </c>
      <c r="I201" s="515" t="s">
        <v>3800</v>
      </c>
    </row>
    <row r="202" spans="1:9">
      <c r="A202" s="550">
        <v>38612</v>
      </c>
      <c r="B202" s="515" t="s">
        <v>2982</v>
      </c>
      <c r="C202" s="515" t="s">
        <v>2978</v>
      </c>
      <c r="D202" s="515">
        <v>1</v>
      </c>
      <c r="E202" s="515">
        <v>4200</v>
      </c>
      <c r="F202" s="502">
        <f t="shared" si="10"/>
        <v>4200</v>
      </c>
      <c r="G202" s="515">
        <v>210</v>
      </c>
      <c r="H202" s="510">
        <v>4410</v>
      </c>
      <c r="I202" s="515" t="s">
        <v>3800</v>
      </c>
    </row>
    <row r="203" spans="1:9">
      <c r="A203" s="550"/>
      <c r="B203" s="515"/>
      <c r="C203" s="515"/>
      <c r="D203" s="515"/>
      <c r="E203" s="502" t="s">
        <v>2988</v>
      </c>
      <c r="F203" s="544">
        <f>SUM(F195:F202)</f>
        <v>58800</v>
      </c>
      <c r="G203" s="515">
        <f>SUM(G195:G202)</f>
        <v>2940</v>
      </c>
      <c r="H203" s="515">
        <f>SUM(H195:H202)</f>
        <v>61740</v>
      </c>
      <c r="I203" s="515"/>
    </row>
    <row r="204" spans="1:9">
      <c r="A204" s="550"/>
      <c r="B204" s="515"/>
      <c r="C204" s="508" t="s">
        <v>2985</v>
      </c>
      <c r="D204" s="515"/>
      <c r="E204" s="510" t="s">
        <v>2378</v>
      </c>
      <c r="F204" s="553">
        <f>F193+F203</f>
        <v>1056593.96</v>
      </c>
      <c r="G204" s="515"/>
      <c r="H204" s="515"/>
      <c r="I204" s="515"/>
    </row>
    <row r="205" spans="1:9">
      <c r="A205" s="550"/>
      <c r="B205" s="515"/>
      <c r="C205" s="515"/>
      <c r="D205" s="515"/>
      <c r="E205" s="515"/>
      <c r="F205" s="515"/>
      <c r="G205" s="515"/>
      <c r="H205" s="515"/>
      <c r="I205" s="515"/>
    </row>
    <row r="206" spans="1:9">
      <c r="A206" s="550"/>
      <c r="B206" s="515"/>
      <c r="C206" s="515"/>
      <c r="D206" s="515"/>
      <c r="E206" s="515"/>
      <c r="F206" s="515"/>
      <c r="G206" s="515"/>
      <c r="H206" s="510"/>
      <c r="I206" s="515"/>
    </row>
  </sheetData>
  <phoneticPr fontId="3" type="noConversion"/>
  <pageMargins left="0.78749999999999998" right="0.78749999999999998" top="0.78749999999999998" bottom="0.78749999999999998" header="0.5" footer="0.5"/>
  <pageSetup paperSize="9" firstPageNumber="0" fitToHeight="0" orientation="portrait" horizontalDpi="300" verticalDpi="300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18"/>
  <sheetViews>
    <sheetView zoomScaleNormal="100" workbookViewId="0">
      <selection activeCell="A179" sqref="A179"/>
    </sheetView>
  </sheetViews>
  <sheetFormatPr defaultColWidth="8" defaultRowHeight="16.5"/>
  <cols>
    <col min="1" max="1" width="11.875" style="506" customWidth="1"/>
    <col min="2" max="2" width="12.625" style="500" customWidth="1"/>
    <col min="3" max="3" width="10.125" style="500" customWidth="1"/>
    <col min="4" max="4" width="7.625" style="500" bestFit="1" customWidth="1"/>
    <col min="5" max="5" width="12.625" style="500" bestFit="1" customWidth="1"/>
    <col min="6" max="6" width="20.5" style="500" bestFit="1" customWidth="1"/>
    <col min="7" max="7" width="9.125" style="500" bestFit="1" customWidth="1"/>
    <col min="8" max="8" width="7.125" style="500" bestFit="1" customWidth="1"/>
    <col min="9" max="9" width="5.125" style="500" bestFit="1" customWidth="1"/>
    <col min="10" max="16384" width="8" style="500"/>
  </cols>
  <sheetData>
    <row r="1" spans="1:9">
      <c r="A1" s="498" t="s">
        <v>15112</v>
      </c>
      <c r="B1" s="499"/>
      <c r="C1" s="499"/>
      <c r="D1" s="499"/>
      <c r="E1" s="499"/>
      <c r="F1" s="499"/>
      <c r="G1" s="499"/>
      <c r="H1" s="499"/>
      <c r="I1" s="499"/>
    </row>
    <row r="2" spans="1:9">
      <c r="A2" s="501" t="s">
        <v>241</v>
      </c>
      <c r="B2" s="502" t="s">
        <v>1373</v>
      </c>
      <c r="C2" s="502" t="s">
        <v>3796</v>
      </c>
      <c r="D2" s="502" t="s">
        <v>2969</v>
      </c>
      <c r="E2" s="502" t="s">
        <v>3797</v>
      </c>
      <c r="G2" s="502"/>
      <c r="I2" s="503"/>
    </row>
    <row r="3" spans="1:9">
      <c r="A3" s="500"/>
      <c r="B3" s="504" t="s">
        <v>282</v>
      </c>
      <c r="C3" s="505">
        <v>10</v>
      </c>
      <c r="D3" s="505">
        <f t="shared" ref="D3:D11" si="0">E3/C3</f>
        <v>2402.4</v>
      </c>
      <c r="E3" s="505">
        <v>24024</v>
      </c>
      <c r="F3" s="505"/>
      <c r="I3" s="503"/>
    </row>
    <row r="4" spans="1:9">
      <c r="B4" s="504" t="s">
        <v>897</v>
      </c>
      <c r="C4" s="505">
        <v>9</v>
      </c>
      <c r="D4" s="505">
        <f t="shared" si="0"/>
        <v>2456.1111111111113</v>
      </c>
      <c r="E4" s="505">
        <v>22105</v>
      </c>
      <c r="F4" s="505"/>
      <c r="I4" s="503"/>
    </row>
    <row r="5" spans="1:9">
      <c r="B5" s="504" t="s">
        <v>283</v>
      </c>
      <c r="C5" s="505">
        <v>10</v>
      </c>
      <c r="D5" s="505">
        <f t="shared" si="0"/>
        <v>1027.5999999999999</v>
      </c>
      <c r="E5" s="505">
        <v>10276</v>
      </c>
      <c r="F5" s="505"/>
      <c r="I5" s="503"/>
    </row>
    <row r="6" spans="1:9">
      <c r="A6" s="500"/>
      <c r="B6" s="507" t="s">
        <v>1</v>
      </c>
      <c r="C6" s="505">
        <v>11</v>
      </c>
      <c r="D6" s="505">
        <f t="shared" si="0"/>
        <v>2669.4545454545455</v>
      </c>
      <c r="E6" s="505">
        <v>29364</v>
      </c>
      <c r="F6" s="505"/>
      <c r="I6" s="503"/>
    </row>
    <row r="7" spans="1:9">
      <c r="A7" s="500"/>
      <c r="B7" s="504" t="s">
        <v>900</v>
      </c>
      <c r="C7" s="505">
        <v>21</v>
      </c>
      <c r="D7" s="505">
        <f t="shared" si="0"/>
        <v>378.28571428571428</v>
      </c>
      <c r="E7" s="505">
        <v>7944</v>
      </c>
      <c r="F7" s="505"/>
      <c r="I7" s="503"/>
    </row>
    <row r="8" spans="1:9">
      <c r="A8" s="500"/>
      <c r="B8" s="507" t="s">
        <v>3820</v>
      </c>
      <c r="C8" s="505">
        <v>19</v>
      </c>
      <c r="D8" s="505">
        <f t="shared" si="0"/>
        <v>190.78947368421052</v>
      </c>
      <c r="E8" s="818">
        <v>3625</v>
      </c>
      <c r="F8" s="505"/>
      <c r="I8" s="503"/>
    </row>
    <row r="9" spans="1:9">
      <c r="A9" s="500"/>
      <c r="B9" s="507" t="s">
        <v>1452</v>
      </c>
      <c r="C9" s="505">
        <v>13</v>
      </c>
      <c r="D9" s="505">
        <f t="shared" si="0"/>
        <v>1688.3846153846155</v>
      </c>
      <c r="E9" s="505">
        <v>21949</v>
      </c>
      <c r="F9" s="505"/>
      <c r="I9" s="503"/>
    </row>
    <row r="10" spans="1:9">
      <c r="A10" s="500"/>
      <c r="B10" s="507" t="s">
        <v>1453</v>
      </c>
      <c r="C10" s="505">
        <v>7</v>
      </c>
      <c r="D10" s="505">
        <f t="shared" si="0"/>
        <v>2167</v>
      </c>
      <c r="E10" s="505">
        <v>15169</v>
      </c>
      <c r="F10" s="505"/>
      <c r="I10" s="503"/>
    </row>
    <row r="11" spans="1:9">
      <c r="A11" s="500"/>
      <c r="B11" s="507" t="s">
        <v>3755</v>
      </c>
      <c r="C11" s="505">
        <v>4</v>
      </c>
      <c r="D11" s="505">
        <f t="shared" si="0"/>
        <v>268.5</v>
      </c>
      <c r="E11" s="761">
        <v>1074</v>
      </c>
      <c r="F11" s="505"/>
      <c r="I11" s="503"/>
    </row>
    <row r="12" spans="1:9">
      <c r="B12" s="508" t="s">
        <v>2985</v>
      </c>
      <c r="C12" s="509"/>
      <c r="D12" s="510" t="s">
        <v>2378</v>
      </c>
      <c r="E12" s="762">
        <f>SUM(E3:E11)-1</f>
        <v>135529</v>
      </c>
      <c r="F12" s="641"/>
      <c r="G12" s="530"/>
      <c r="I12" s="503"/>
    </row>
    <row r="13" spans="1:9">
      <c r="A13" s="498" t="s">
        <v>10036</v>
      </c>
      <c r="B13" s="499"/>
      <c r="C13" s="499"/>
      <c r="D13" s="499"/>
      <c r="E13" s="499"/>
      <c r="F13" s="499"/>
      <c r="G13" s="499"/>
      <c r="H13" s="499"/>
      <c r="I13" s="499"/>
    </row>
    <row r="14" spans="1:9">
      <c r="A14" s="501" t="s">
        <v>241</v>
      </c>
      <c r="B14" s="502" t="s">
        <v>1373</v>
      </c>
      <c r="C14" s="502" t="s">
        <v>3796</v>
      </c>
      <c r="D14" s="502" t="s">
        <v>2969</v>
      </c>
      <c r="E14" s="502" t="s">
        <v>3797</v>
      </c>
      <c r="G14" s="502"/>
      <c r="I14" s="503"/>
    </row>
    <row r="15" spans="1:9">
      <c r="A15" s="500"/>
      <c r="B15" s="504" t="s">
        <v>282</v>
      </c>
      <c r="C15" s="505">
        <v>14</v>
      </c>
      <c r="D15" s="505">
        <f t="shared" ref="D15:D23" si="1">E15/C15</f>
        <v>2582.9285714285716</v>
      </c>
      <c r="E15" s="505">
        <v>36161</v>
      </c>
      <c r="F15" s="505"/>
      <c r="I15" s="503"/>
    </row>
    <row r="16" spans="1:9">
      <c r="B16" s="504" t="s">
        <v>897</v>
      </c>
      <c r="C16" s="505">
        <v>12</v>
      </c>
      <c r="D16" s="505">
        <f t="shared" si="1"/>
        <v>2787.5833333333335</v>
      </c>
      <c r="E16" s="505">
        <v>33451</v>
      </c>
      <c r="F16" s="505"/>
      <c r="I16" s="503"/>
    </row>
    <row r="17" spans="1:9">
      <c r="B17" s="504" t="s">
        <v>283</v>
      </c>
      <c r="C17" s="505">
        <v>13</v>
      </c>
      <c r="D17" s="505">
        <f t="shared" si="1"/>
        <v>1512.1538461538462</v>
      </c>
      <c r="E17" s="505">
        <v>19658</v>
      </c>
      <c r="F17" s="505"/>
      <c r="I17" s="503"/>
    </row>
    <row r="18" spans="1:9">
      <c r="A18" s="500"/>
      <c r="B18" s="507" t="s">
        <v>1</v>
      </c>
      <c r="C18" s="505">
        <v>20</v>
      </c>
      <c r="D18" s="505">
        <f t="shared" si="1"/>
        <v>2838.4</v>
      </c>
      <c r="E18" s="505">
        <v>56768</v>
      </c>
      <c r="F18" s="505"/>
      <c r="I18" s="503"/>
    </row>
    <row r="19" spans="1:9">
      <c r="A19" s="500"/>
      <c r="B19" s="504" t="s">
        <v>900</v>
      </c>
      <c r="C19" s="505">
        <v>27</v>
      </c>
      <c r="D19" s="505">
        <f t="shared" si="1"/>
        <v>595.74074074074076</v>
      </c>
      <c r="E19" s="505">
        <v>16085</v>
      </c>
      <c r="F19" s="505"/>
      <c r="I19" s="503"/>
    </row>
    <row r="20" spans="1:9">
      <c r="A20" s="500"/>
      <c r="B20" s="507" t="s">
        <v>3820</v>
      </c>
      <c r="C20" s="505">
        <v>24</v>
      </c>
      <c r="D20" s="505">
        <f t="shared" si="1"/>
        <v>278.83333333333331</v>
      </c>
      <c r="E20" s="505">
        <v>6692</v>
      </c>
      <c r="F20" s="505"/>
      <c r="I20" s="503"/>
    </row>
    <row r="21" spans="1:9">
      <c r="A21" s="500"/>
      <c r="B21" s="507" t="s">
        <v>1452</v>
      </c>
      <c r="C21" s="505">
        <v>13</v>
      </c>
      <c r="D21" s="505">
        <f t="shared" si="1"/>
        <v>1552.2307692307693</v>
      </c>
      <c r="E21" s="505">
        <v>20179</v>
      </c>
      <c r="F21" s="505"/>
      <c r="I21" s="503"/>
    </row>
    <row r="22" spans="1:9">
      <c r="A22" s="500"/>
      <c r="B22" s="507" t="s">
        <v>1453</v>
      </c>
      <c r="C22" s="505">
        <v>8</v>
      </c>
      <c r="D22" s="505">
        <f t="shared" si="1"/>
        <v>2010.375</v>
      </c>
      <c r="E22" s="505">
        <v>16083</v>
      </c>
      <c r="F22" s="505"/>
      <c r="I22" s="503"/>
    </row>
    <row r="23" spans="1:9">
      <c r="A23" s="500"/>
      <c r="B23" s="507" t="s">
        <v>3755</v>
      </c>
      <c r="C23" s="505">
        <v>4</v>
      </c>
      <c r="D23" s="505">
        <f t="shared" si="1"/>
        <v>631.75</v>
      </c>
      <c r="E23" s="684">
        <f>2356+171</f>
        <v>2527</v>
      </c>
      <c r="F23" s="505"/>
      <c r="I23" s="503"/>
    </row>
    <row r="24" spans="1:9">
      <c r="B24" s="508" t="s">
        <v>2985</v>
      </c>
      <c r="C24" s="509"/>
      <c r="D24" s="510" t="s">
        <v>2378</v>
      </c>
      <c r="E24" s="511">
        <f>SUM(E15:E23)</f>
        <v>207604</v>
      </c>
      <c r="F24" s="641"/>
      <c r="I24" s="503"/>
    </row>
    <row r="25" spans="1:9">
      <c r="A25" s="498" t="s">
        <v>5619</v>
      </c>
      <c r="B25" s="499"/>
      <c r="C25" s="499"/>
      <c r="D25" s="499"/>
      <c r="E25" s="499"/>
      <c r="F25" s="499"/>
      <c r="G25" s="499"/>
      <c r="H25" s="499"/>
      <c r="I25" s="499"/>
    </row>
    <row r="26" spans="1:9">
      <c r="A26" s="501" t="s">
        <v>241</v>
      </c>
      <c r="B26" s="502" t="s">
        <v>1373</v>
      </c>
      <c r="C26" s="502" t="s">
        <v>3796</v>
      </c>
      <c r="D26" s="502" t="s">
        <v>2969</v>
      </c>
      <c r="E26" s="502" t="s">
        <v>3797</v>
      </c>
      <c r="G26" s="502"/>
      <c r="I26" s="503"/>
    </row>
    <row r="27" spans="1:9">
      <c r="A27" s="500"/>
      <c r="B27" s="504" t="s">
        <v>282</v>
      </c>
      <c r="C27" s="505">
        <v>16</v>
      </c>
      <c r="D27" s="505">
        <f t="shared" ref="D27:D35" si="2">E27/C27</f>
        <v>2348.8125</v>
      </c>
      <c r="E27" s="505">
        <v>37581</v>
      </c>
      <c r="F27" s="505"/>
      <c r="I27" s="503"/>
    </row>
    <row r="28" spans="1:9">
      <c r="B28" s="504" t="s">
        <v>897</v>
      </c>
      <c r="C28" s="505">
        <v>13</v>
      </c>
      <c r="D28" s="505">
        <f t="shared" si="2"/>
        <v>2693.8461538461538</v>
      </c>
      <c r="E28" s="505">
        <v>35020</v>
      </c>
      <c r="F28" s="505"/>
      <c r="I28" s="503"/>
    </row>
    <row r="29" spans="1:9">
      <c r="B29" s="504" t="s">
        <v>283</v>
      </c>
      <c r="C29" s="505">
        <v>12</v>
      </c>
      <c r="D29" s="505">
        <f t="shared" si="2"/>
        <v>1149.9166666666667</v>
      </c>
      <c r="E29" s="505">
        <v>13799</v>
      </c>
      <c r="F29" s="505"/>
      <c r="I29" s="503"/>
    </row>
    <row r="30" spans="1:9">
      <c r="A30" s="500"/>
      <c r="B30" s="507" t="s">
        <v>1</v>
      </c>
      <c r="C30" s="505">
        <v>19</v>
      </c>
      <c r="D30" s="505">
        <f t="shared" si="2"/>
        <v>3031.6315789473683</v>
      </c>
      <c r="E30" s="505">
        <v>57601</v>
      </c>
      <c r="F30" s="505"/>
      <c r="I30" s="503"/>
    </row>
    <row r="31" spans="1:9">
      <c r="A31" s="500"/>
      <c r="B31" s="504" t="s">
        <v>900</v>
      </c>
      <c r="C31" s="505">
        <v>32</v>
      </c>
      <c r="D31" s="505">
        <f t="shared" si="2"/>
        <v>525.96875</v>
      </c>
      <c r="E31" s="505">
        <v>16831</v>
      </c>
      <c r="F31" s="505"/>
      <c r="I31" s="503"/>
    </row>
    <row r="32" spans="1:9">
      <c r="A32" s="500"/>
      <c r="B32" s="507" t="s">
        <v>3820</v>
      </c>
      <c r="C32" s="505">
        <v>32</v>
      </c>
      <c r="D32" s="505">
        <f t="shared" si="2"/>
        <v>274.125</v>
      </c>
      <c r="E32" s="505">
        <v>8772</v>
      </c>
      <c r="F32" s="505"/>
      <c r="I32" s="503"/>
    </row>
    <row r="33" spans="1:9">
      <c r="A33" s="500"/>
      <c r="B33" s="507" t="s">
        <v>1452</v>
      </c>
      <c r="C33" s="505">
        <v>14</v>
      </c>
      <c r="D33" s="505">
        <f t="shared" si="2"/>
        <v>1380.1428571428571</v>
      </c>
      <c r="E33" s="505">
        <v>19322</v>
      </c>
      <c r="F33" s="505"/>
      <c r="I33" s="503"/>
    </row>
    <row r="34" spans="1:9">
      <c r="A34" s="500"/>
      <c r="B34" s="507" t="s">
        <v>1453</v>
      </c>
      <c r="C34" s="505">
        <v>11</v>
      </c>
      <c r="D34" s="505">
        <f t="shared" si="2"/>
        <v>2206.818181818182</v>
      </c>
      <c r="E34" s="505">
        <v>24275</v>
      </c>
      <c r="F34" s="505"/>
      <c r="I34" s="503"/>
    </row>
    <row r="35" spans="1:9">
      <c r="A35" s="500"/>
      <c r="B35" s="507" t="s">
        <v>3755</v>
      </c>
      <c r="C35" s="505">
        <v>10</v>
      </c>
      <c r="D35" s="505">
        <f t="shared" si="2"/>
        <v>1408.1</v>
      </c>
      <c r="E35" s="505">
        <f>13864+185+33-1</f>
        <v>14081</v>
      </c>
      <c r="F35" s="505"/>
      <c r="I35" s="503"/>
    </row>
    <row r="36" spans="1:9">
      <c r="B36" s="508" t="s">
        <v>2985</v>
      </c>
      <c r="C36" s="509"/>
      <c r="D36" s="510" t="s">
        <v>2378</v>
      </c>
      <c r="E36" s="511">
        <f>SUM(E27:E35)</f>
        <v>227282</v>
      </c>
      <c r="F36" s="641"/>
      <c r="I36" s="503"/>
    </row>
    <row r="37" spans="1:9">
      <c r="A37" s="498" t="s">
        <v>4829</v>
      </c>
      <c r="B37" s="499"/>
      <c r="C37" s="499"/>
      <c r="D37" s="499"/>
      <c r="E37" s="499"/>
      <c r="F37" s="499"/>
      <c r="G37" s="499"/>
      <c r="H37" s="499"/>
      <c r="I37" s="499"/>
    </row>
    <row r="38" spans="1:9">
      <c r="A38" s="501" t="s">
        <v>241</v>
      </c>
      <c r="B38" s="502" t="s">
        <v>1373</v>
      </c>
      <c r="C38" s="502" t="s">
        <v>3796</v>
      </c>
      <c r="D38" s="502" t="s">
        <v>2969</v>
      </c>
      <c r="E38" s="502" t="s">
        <v>3797</v>
      </c>
      <c r="G38" s="502"/>
      <c r="I38" s="503"/>
    </row>
    <row r="39" spans="1:9">
      <c r="A39" s="500"/>
      <c r="B39" s="504" t="s">
        <v>282</v>
      </c>
      <c r="C39" s="505">
        <v>13</v>
      </c>
      <c r="D39" s="505">
        <f t="shared" ref="D39:D47" si="3">E39/C39</f>
        <v>2189.5384615384614</v>
      </c>
      <c r="E39" s="505">
        <v>28464</v>
      </c>
      <c r="F39" s="505"/>
      <c r="I39" s="503"/>
    </row>
    <row r="40" spans="1:9">
      <c r="B40" s="504" t="s">
        <v>897</v>
      </c>
      <c r="C40" s="505">
        <v>14</v>
      </c>
      <c r="D40" s="505">
        <f t="shared" si="3"/>
        <v>2289.8571428571427</v>
      </c>
      <c r="E40" s="505">
        <v>32058</v>
      </c>
      <c r="F40" s="505"/>
      <c r="I40" s="503"/>
    </row>
    <row r="41" spans="1:9">
      <c r="B41" s="504" t="s">
        <v>283</v>
      </c>
      <c r="C41" s="505">
        <v>15</v>
      </c>
      <c r="D41" s="505">
        <f t="shared" si="3"/>
        <v>828.26666666666665</v>
      </c>
      <c r="E41" s="505">
        <v>12424</v>
      </c>
      <c r="F41" s="505"/>
      <c r="I41" s="503"/>
    </row>
    <row r="42" spans="1:9">
      <c r="A42" s="500"/>
      <c r="B42" s="507" t="s">
        <v>1</v>
      </c>
      <c r="C42" s="505">
        <v>17</v>
      </c>
      <c r="D42" s="505">
        <f t="shared" si="3"/>
        <v>3197.294117647059</v>
      </c>
      <c r="E42" s="505">
        <v>54354</v>
      </c>
      <c r="F42" s="505"/>
      <c r="I42" s="503"/>
    </row>
    <row r="43" spans="1:9">
      <c r="A43" s="500"/>
      <c r="B43" s="504" t="s">
        <v>900</v>
      </c>
      <c r="C43" s="505">
        <v>29</v>
      </c>
      <c r="D43" s="505">
        <f t="shared" si="3"/>
        <v>492.9655172413793</v>
      </c>
      <c r="E43" s="505">
        <v>14296</v>
      </c>
      <c r="F43" s="505"/>
      <c r="I43" s="503"/>
    </row>
    <row r="44" spans="1:9">
      <c r="A44" s="500"/>
      <c r="B44" s="507" t="s">
        <v>3820</v>
      </c>
      <c r="C44" s="505">
        <v>22</v>
      </c>
      <c r="D44" s="505">
        <f t="shared" si="3"/>
        <v>254.63636363636363</v>
      </c>
      <c r="E44" s="505">
        <v>5602</v>
      </c>
      <c r="F44" s="505"/>
      <c r="I44" s="503"/>
    </row>
    <row r="45" spans="1:9">
      <c r="A45" s="500"/>
      <c r="B45" s="507" t="s">
        <v>1452</v>
      </c>
      <c r="C45" s="505">
        <v>12</v>
      </c>
      <c r="D45" s="505">
        <f t="shared" si="3"/>
        <v>1377.8333333333333</v>
      </c>
      <c r="E45" s="505">
        <v>16534</v>
      </c>
      <c r="F45" s="505"/>
      <c r="I45" s="503"/>
    </row>
    <row r="46" spans="1:9">
      <c r="A46" s="500"/>
      <c r="B46" s="507" t="s">
        <v>1453</v>
      </c>
      <c r="C46" s="505">
        <v>12</v>
      </c>
      <c r="D46" s="505">
        <f t="shared" si="3"/>
        <v>2057.0833333333335</v>
      </c>
      <c r="E46" s="505">
        <v>24685</v>
      </c>
      <c r="F46" s="505"/>
      <c r="I46" s="503"/>
    </row>
    <row r="47" spans="1:9">
      <c r="A47" s="500"/>
      <c r="B47" s="507" t="s">
        <v>3755</v>
      </c>
      <c r="C47" s="505">
        <v>1</v>
      </c>
      <c r="D47" s="505">
        <f t="shared" si="3"/>
        <v>1513</v>
      </c>
      <c r="E47" s="505">
        <v>1513</v>
      </c>
      <c r="F47" s="505"/>
      <c r="I47" s="503"/>
    </row>
    <row r="48" spans="1:9">
      <c r="B48" s="508" t="s">
        <v>2985</v>
      </c>
      <c r="C48" s="509"/>
      <c r="D48" s="510" t="s">
        <v>2378</v>
      </c>
      <c r="E48" s="511">
        <f>SUM(E39:E47)</f>
        <v>189930</v>
      </c>
      <c r="I48" s="503"/>
    </row>
    <row r="49" spans="1:9">
      <c r="A49" s="498" t="s">
        <v>4440</v>
      </c>
      <c r="B49" s="499"/>
      <c r="C49" s="499"/>
      <c r="D49" s="499"/>
      <c r="E49" s="499"/>
      <c r="F49" s="499"/>
      <c r="G49" s="499"/>
      <c r="H49" s="499"/>
      <c r="I49" s="499"/>
    </row>
    <row r="50" spans="1:9">
      <c r="A50" s="501" t="s">
        <v>241</v>
      </c>
      <c r="B50" s="502" t="s">
        <v>1373</v>
      </c>
      <c r="C50" s="502" t="s">
        <v>3796</v>
      </c>
      <c r="D50" s="502" t="s">
        <v>2969</v>
      </c>
      <c r="E50" s="502" t="s">
        <v>3797</v>
      </c>
      <c r="G50" s="502"/>
      <c r="I50" s="503"/>
    </row>
    <row r="51" spans="1:9">
      <c r="A51" s="500"/>
      <c r="B51" s="504" t="s">
        <v>282</v>
      </c>
      <c r="C51" s="505">
        <v>15</v>
      </c>
      <c r="D51" s="505">
        <f t="shared" ref="D51:D59" si="4">E51/C51</f>
        <v>1887.8</v>
      </c>
      <c r="E51" s="505">
        <v>28317</v>
      </c>
      <c r="F51" s="505"/>
      <c r="I51" s="503"/>
    </row>
    <row r="52" spans="1:9">
      <c r="B52" s="504" t="s">
        <v>897</v>
      </c>
      <c r="C52" s="505">
        <v>16</v>
      </c>
      <c r="D52" s="505">
        <f t="shared" si="4"/>
        <v>1913.25</v>
      </c>
      <c r="E52" s="505">
        <v>30612</v>
      </c>
      <c r="F52" s="505"/>
      <c r="I52" s="503"/>
    </row>
    <row r="53" spans="1:9">
      <c r="B53" s="504" t="s">
        <v>283</v>
      </c>
      <c r="C53" s="505">
        <v>18</v>
      </c>
      <c r="D53" s="505">
        <f t="shared" si="4"/>
        <v>1002</v>
      </c>
      <c r="E53" s="505">
        <v>18036</v>
      </c>
      <c r="F53" s="505"/>
      <c r="I53" s="503"/>
    </row>
    <row r="54" spans="1:9">
      <c r="A54" s="500"/>
      <c r="B54" s="507" t="s">
        <v>1</v>
      </c>
      <c r="C54" s="505">
        <v>28</v>
      </c>
      <c r="D54" s="505">
        <f t="shared" si="4"/>
        <v>2818.4642857142858</v>
      </c>
      <c r="E54" s="505">
        <v>78917</v>
      </c>
      <c r="F54" s="505"/>
      <c r="I54" s="503"/>
    </row>
    <row r="55" spans="1:9">
      <c r="A55" s="500"/>
      <c r="B55" s="504" t="s">
        <v>900</v>
      </c>
      <c r="C55" s="505">
        <v>36</v>
      </c>
      <c r="D55" s="505">
        <f t="shared" si="4"/>
        <v>432.36111111111109</v>
      </c>
      <c r="E55" s="505">
        <v>15565</v>
      </c>
      <c r="F55" s="505"/>
      <c r="I55" s="503"/>
    </row>
    <row r="56" spans="1:9">
      <c r="A56" s="500"/>
      <c r="B56" s="507" t="s">
        <v>3820</v>
      </c>
      <c r="C56" s="505">
        <v>32</v>
      </c>
      <c r="D56" s="505">
        <f t="shared" si="4"/>
        <v>221.375</v>
      </c>
      <c r="E56" s="505">
        <v>7084</v>
      </c>
      <c r="F56" s="505"/>
      <c r="I56" s="503"/>
    </row>
    <row r="57" spans="1:9">
      <c r="A57" s="500"/>
      <c r="B57" s="507" t="s">
        <v>1452</v>
      </c>
      <c r="C57" s="505">
        <v>15</v>
      </c>
      <c r="D57" s="505">
        <f t="shared" si="4"/>
        <v>1363.4</v>
      </c>
      <c r="E57" s="505">
        <v>20451</v>
      </c>
      <c r="F57" s="505"/>
      <c r="I57" s="503"/>
    </row>
    <row r="58" spans="1:9">
      <c r="A58" s="500"/>
      <c r="B58" s="507" t="s">
        <v>1453</v>
      </c>
      <c r="C58" s="505">
        <v>16</v>
      </c>
      <c r="D58" s="505">
        <f t="shared" si="4"/>
        <v>2142.375</v>
      </c>
      <c r="E58" s="505">
        <v>34278</v>
      </c>
      <c r="F58" s="505"/>
      <c r="I58" s="503"/>
    </row>
    <row r="59" spans="1:9">
      <c r="A59" s="500"/>
      <c r="B59" s="507" t="s">
        <v>3755</v>
      </c>
      <c r="C59" s="505">
        <v>6</v>
      </c>
      <c r="D59" s="505">
        <f t="shared" si="4"/>
        <v>1222.1666666666667</v>
      </c>
      <c r="E59" s="505">
        <v>7333</v>
      </c>
      <c r="F59" s="505"/>
      <c r="I59" s="503"/>
    </row>
    <row r="60" spans="1:9">
      <c r="B60" s="508" t="s">
        <v>2985</v>
      </c>
      <c r="C60" s="509"/>
      <c r="D60" s="510" t="s">
        <v>2378</v>
      </c>
      <c r="E60" s="511">
        <f>SUM(E51:E59)</f>
        <v>240593</v>
      </c>
      <c r="I60" s="503"/>
    </row>
    <row r="61" spans="1:9">
      <c r="A61" s="499" t="s">
        <v>2613</v>
      </c>
      <c r="B61" s="499"/>
      <c r="C61" s="499"/>
      <c r="D61" s="499"/>
      <c r="E61" s="499"/>
      <c r="F61" s="499"/>
      <c r="G61" s="499"/>
      <c r="H61" s="499"/>
      <c r="I61" s="499"/>
    </row>
    <row r="62" spans="1:9">
      <c r="A62" s="501" t="s">
        <v>241</v>
      </c>
      <c r="B62" s="502" t="s">
        <v>1373</v>
      </c>
      <c r="C62" s="502" t="s">
        <v>3796</v>
      </c>
      <c r="D62" s="502" t="s">
        <v>2969</v>
      </c>
      <c r="E62" s="502" t="s">
        <v>3797</v>
      </c>
      <c r="G62" s="502"/>
      <c r="I62" s="503"/>
    </row>
    <row r="63" spans="1:9">
      <c r="A63" s="500"/>
      <c r="B63" s="504" t="s">
        <v>282</v>
      </c>
      <c r="C63" s="505">
        <v>17</v>
      </c>
      <c r="D63" s="505">
        <f t="shared" ref="D63:D71" si="5">E63/C63</f>
        <v>2613.2352941176468</v>
      </c>
      <c r="E63" s="505">
        <v>44425</v>
      </c>
      <c r="F63" s="505"/>
      <c r="I63" s="503"/>
    </row>
    <row r="64" spans="1:9">
      <c r="B64" s="504" t="s">
        <v>897</v>
      </c>
      <c r="C64" s="505">
        <v>16</v>
      </c>
      <c r="D64" s="505">
        <f t="shared" si="5"/>
        <v>2168.9375</v>
      </c>
      <c r="E64" s="505">
        <v>34703</v>
      </c>
      <c r="F64" s="505"/>
      <c r="I64" s="503"/>
    </row>
    <row r="65" spans="1:9">
      <c r="B65" s="504" t="s">
        <v>283</v>
      </c>
      <c r="C65" s="505">
        <v>21</v>
      </c>
      <c r="D65" s="505">
        <f t="shared" si="5"/>
        <v>1465.047619047619</v>
      </c>
      <c r="E65" s="505">
        <v>30766</v>
      </c>
      <c r="F65" s="505"/>
      <c r="I65" s="503"/>
    </row>
    <row r="66" spans="1:9">
      <c r="A66" s="500"/>
      <c r="B66" s="507" t="s">
        <v>1</v>
      </c>
      <c r="C66" s="505">
        <v>23</v>
      </c>
      <c r="D66" s="505">
        <f t="shared" si="5"/>
        <v>2543.8695652173915</v>
      </c>
      <c r="E66" s="505">
        <v>58509</v>
      </c>
      <c r="F66" s="505"/>
      <c r="I66" s="503"/>
    </row>
    <row r="67" spans="1:9">
      <c r="A67" s="500"/>
      <c r="B67" s="504" t="s">
        <v>900</v>
      </c>
      <c r="C67" s="505">
        <v>40</v>
      </c>
      <c r="D67" s="505">
        <f t="shared" si="5"/>
        <v>538.82500000000005</v>
      </c>
      <c r="E67" s="505">
        <v>21553</v>
      </c>
      <c r="F67" s="505"/>
      <c r="I67" s="503"/>
    </row>
    <row r="68" spans="1:9">
      <c r="A68" s="500"/>
      <c r="B68" s="507" t="s">
        <v>3820</v>
      </c>
      <c r="C68" s="505">
        <v>32</v>
      </c>
      <c r="D68" s="505">
        <f t="shared" si="5"/>
        <v>226.1875</v>
      </c>
      <c r="E68" s="505">
        <v>7238</v>
      </c>
      <c r="F68" s="505"/>
      <c r="I68" s="503"/>
    </row>
    <row r="69" spans="1:9">
      <c r="A69" s="500"/>
      <c r="B69" s="507" t="s">
        <v>1452</v>
      </c>
      <c r="C69" s="505">
        <v>18</v>
      </c>
      <c r="D69" s="505">
        <f t="shared" si="5"/>
        <v>1648.0555555555557</v>
      </c>
      <c r="E69" s="505">
        <v>29665</v>
      </c>
      <c r="F69" s="505"/>
      <c r="I69" s="503"/>
    </row>
    <row r="70" spans="1:9">
      <c r="A70" s="500"/>
      <c r="B70" s="507" t="s">
        <v>1453</v>
      </c>
      <c r="C70" s="505">
        <v>14</v>
      </c>
      <c r="D70" s="505">
        <f t="shared" si="5"/>
        <v>2331.4285714285716</v>
      </c>
      <c r="E70" s="505">
        <v>32640</v>
      </c>
      <c r="F70" s="505"/>
      <c r="I70" s="503"/>
    </row>
    <row r="71" spans="1:9">
      <c r="A71" s="500"/>
      <c r="B71" s="507" t="s">
        <v>3755</v>
      </c>
      <c r="C71" s="505">
        <v>11</v>
      </c>
      <c r="D71" s="505">
        <f t="shared" si="5"/>
        <v>409.36363636363637</v>
      </c>
      <c r="E71" s="505">
        <v>4503</v>
      </c>
      <c r="F71" s="505"/>
      <c r="I71" s="503"/>
    </row>
    <row r="72" spans="1:9">
      <c r="B72" s="508" t="s">
        <v>2985</v>
      </c>
      <c r="C72" s="509"/>
      <c r="D72" s="510" t="s">
        <v>2378</v>
      </c>
      <c r="E72" s="511">
        <f>SUM(E63:E71)</f>
        <v>264002</v>
      </c>
      <c r="I72" s="503"/>
    </row>
    <row r="73" spans="1:9">
      <c r="A73" s="499" t="s">
        <v>1451</v>
      </c>
      <c r="B73" s="499"/>
      <c r="C73" s="499"/>
      <c r="D73" s="499"/>
      <c r="E73" s="499"/>
      <c r="F73" s="499"/>
      <c r="G73" s="499"/>
      <c r="H73" s="499"/>
      <c r="I73" s="499"/>
    </row>
    <row r="74" spans="1:9">
      <c r="A74" s="501" t="s">
        <v>241</v>
      </c>
      <c r="B74" s="502" t="s">
        <v>1373</v>
      </c>
      <c r="C74" s="502" t="s">
        <v>3796</v>
      </c>
      <c r="D74" s="502" t="s">
        <v>2969</v>
      </c>
      <c r="E74" s="502" t="s">
        <v>3797</v>
      </c>
      <c r="G74" s="502"/>
      <c r="I74" s="503"/>
    </row>
    <row r="75" spans="1:9">
      <c r="A75" s="500"/>
      <c r="B75" s="504" t="s">
        <v>282</v>
      </c>
      <c r="C75" s="505">
        <v>15</v>
      </c>
      <c r="D75" s="505">
        <f t="shared" ref="D75:D83" si="6">E75/C75</f>
        <v>1970.9333333333334</v>
      </c>
      <c r="E75" s="505">
        <v>29564</v>
      </c>
      <c r="F75" s="505"/>
      <c r="I75" s="503"/>
    </row>
    <row r="76" spans="1:9">
      <c r="B76" s="504" t="s">
        <v>897</v>
      </c>
      <c r="C76" s="505">
        <v>15</v>
      </c>
      <c r="D76" s="505">
        <f t="shared" si="6"/>
        <v>2568.2666666666669</v>
      </c>
      <c r="E76" s="505">
        <v>38524</v>
      </c>
      <c r="F76" s="505"/>
      <c r="I76" s="503"/>
    </row>
    <row r="77" spans="1:9" s="512" customFormat="1">
      <c r="A77" s="506"/>
      <c r="B77" s="504" t="s">
        <v>283</v>
      </c>
      <c r="C77" s="505">
        <v>14</v>
      </c>
      <c r="D77" s="505">
        <f t="shared" si="6"/>
        <v>937.78571428571433</v>
      </c>
      <c r="E77" s="505">
        <v>13129</v>
      </c>
      <c r="F77" s="505"/>
      <c r="G77" s="500"/>
      <c r="H77" s="500"/>
      <c r="I77" s="503"/>
    </row>
    <row r="78" spans="1:9">
      <c r="A78" s="500"/>
      <c r="B78" s="507" t="s">
        <v>1</v>
      </c>
      <c r="C78" s="505">
        <v>16</v>
      </c>
      <c r="D78" s="505">
        <f t="shared" si="6"/>
        <v>2447.8125</v>
      </c>
      <c r="E78" s="505">
        <v>39165</v>
      </c>
      <c r="F78" s="505"/>
      <c r="I78" s="503"/>
    </row>
    <row r="79" spans="1:9">
      <c r="A79" s="500"/>
      <c r="B79" s="504" t="s">
        <v>900</v>
      </c>
      <c r="C79" s="505">
        <v>22</v>
      </c>
      <c r="D79" s="505">
        <f t="shared" si="6"/>
        <v>573.4545454545455</v>
      </c>
      <c r="E79" s="505">
        <v>12616</v>
      </c>
      <c r="F79" s="505"/>
      <c r="I79" s="503"/>
    </row>
    <row r="80" spans="1:9">
      <c r="A80" s="500"/>
      <c r="B80" s="507" t="s">
        <v>3820</v>
      </c>
      <c r="C80" s="505">
        <v>10</v>
      </c>
      <c r="D80" s="505">
        <f t="shared" si="6"/>
        <v>179</v>
      </c>
      <c r="E80" s="505">
        <v>1790</v>
      </c>
      <c r="F80" s="505"/>
      <c r="I80" s="503"/>
    </row>
    <row r="81" spans="1:9">
      <c r="A81" s="500"/>
      <c r="B81" s="507" t="s">
        <v>1452</v>
      </c>
      <c r="C81" s="505">
        <v>14</v>
      </c>
      <c r="D81" s="505">
        <f t="shared" si="6"/>
        <v>1704.7857142857142</v>
      </c>
      <c r="E81" s="505">
        <v>23867</v>
      </c>
      <c r="F81" s="505"/>
      <c r="I81" s="503"/>
    </row>
    <row r="82" spans="1:9">
      <c r="A82" s="500"/>
      <c r="B82" s="507" t="s">
        <v>1453</v>
      </c>
      <c r="C82" s="505">
        <v>13</v>
      </c>
      <c r="D82" s="505">
        <f t="shared" si="6"/>
        <v>2287.1538461538462</v>
      </c>
      <c r="E82" s="505">
        <v>29733</v>
      </c>
      <c r="F82" s="505"/>
      <c r="I82" s="503"/>
    </row>
    <row r="83" spans="1:9">
      <c r="A83" s="500"/>
      <c r="B83" s="507" t="s">
        <v>3755</v>
      </c>
      <c r="C83" s="505">
        <v>9</v>
      </c>
      <c r="D83" s="505">
        <f t="shared" si="6"/>
        <v>165.77777777777777</v>
      </c>
      <c r="E83" s="505">
        <v>1492</v>
      </c>
      <c r="F83" s="505"/>
      <c r="I83" s="503"/>
    </row>
    <row r="84" spans="1:9">
      <c r="B84" s="508" t="s">
        <v>2985</v>
      </c>
      <c r="C84" s="509"/>
      <c r="D84" s="510" t="s">
        <v>2378</v>
      </c>
      <c r="E84" s="511">
        <f>SUM(E75:E83)</f>
        <v>189880</v>
      </c>
      <c r="I84" s="503"/>
    </row>
    <row r="85" spans="1:9">
      <c r="A85" s="499" t="s">
        <v>1454</v>
      </c>
      <c r="B85" s="499"/>
      <c r="C85" s="499"/>
      <c r="D85" s="499"/>
      <c r="E85" s="499"/>
      <c r="F85" s="499"/>
      <c r="G85" s="499"/>
      <c r="H85" s="499"/>
      <c r="I85" s="499"/>
    </row>
    <row r="86" spans="1:9" s="515" customFormat="1">
      <c r="A86" s="501" t="s">
        <v>241</v>
      </c>
      <c r="B86" s="502" t="s">
        <v>1373</v>
      </c>
      <c r="C86" s="502" t="s">
        <v>3796</v>
      </c>
      <c r="D86" s="502" t="s">
        <v>2969</v>
      </c>
      <c r="E86" s="502" t="s">
        <v>3797</v>
      </c>
      <c r="F86" s="500"/>
      <c r="G86" s="502"/>
      <c r="H86" s="500"/>
      <c r="I86" s="503"/>
    </row>
    <row r="87" spans="1:9">
      <c r="A87" s="500"/>
      <c r="B87" s="504" t="s">
        <v>282</v>
      </c>
      <c r="C87" s="505">
        <v>7</v>
      </c>
      <c r="D87" s="505">
        <f t="shared" ref="D87:D94" si="7">E87/C87</f>
        <v>3016</v>
      </c>
      <c r="E87" s="505">
        <v>21112</v>
      </c>
      <c r="F87" s="505"/>
      <c r="I87" s="503"/>
    </row>
    <row r="88" spans="1:9">
      <c r="B88" s="504" t="s">
        <v>897</v>
      </c>
      <c r="C88" s="505">
        <v>20</v>
      </c>
      <c r="D88" s="505">
        <f t="shared" si="7"/>
        <v>2190.9</v>
      </c>
      <c r="E88" s="505">
        <v>43818</v>
      </c>
      <c r="F88" s="505"/>
      <c r="I88" s="503"/>
    </row>
    <row r="89" spans="1:9">
      <c r="B89" s="504" t="s">
        <v>283</v>
      </c>
      <c r="C89" s="505">
        <v>16</v>
      </c>
      <c r="D89" s="505">
        <f t="shared" si="7"/>
        <v>499.9375</v>
      </c>
      <c r="E89" s="505">
        <v>7999</v>
      </c>
      <c r="F89" s="505"/>
      <c r="I89" s="503"/>
    </row>
    <row r="90" spans="1:9">
      <c r="A90" s="500"/>
      <c r="B90" s="507" t="s">
        <v>1</v>
      </c>
      <c r="C90" s="505">
        <v>20</v>
      </c>
      <c r="D90" s="505">
        <f t="shared" si="7"/>
        <v>2445.0500000000002</v>
      </c>
      <c r="E90" s="505">
        <v>48901</v>
      </c>
      <c r="F90" s="505"/>
      <c r="I90" s="503"/>
    </row>
    <row r="91" spans="1:9">
      <c r="A91" s="500"/>
      <c r="B91" s="504" t="s">
        <v>900</v>
      </c>
      <c r="C91" s="505">
        <v>39</v>
      </c>
      <c r="D91" s="505">
        <f t="shared" si="7"/>
        <v>308.30769230769232</v>
      </c>
      <c r="E91" s="505">
        <v>12024</v>
      </c>
      <c r="F91" s="505"/>
      <c r="I91" s="503"/>
    </row>
    <row r="92" spans="1:9" s="512" customFormat="1">
      <c r="A92" s="500"/>
      <c r="B92" s="507" t="s">
        <v>3820</v>
      </c>
      <c r="C92" s="505">
        <v>11</v>
      </c>
      <c r="D92" s="505">
        <f t="shared" si="7"/>
        <v>163.54545454545453</v>
      </c>
      <c r="E92" s="505">
        <v>1799</v>
      </c>
      <c r="F92" s="505"/>
      <c r="G92" s="500"/>
      <c r="H92" s="500"/>
      <c r="I92" s="503"/>
    </row>
    <row r="93" spans="1:9" s="512" customFormat="1">
      <c r="A93" s="500"/>
      <c r="B93" s="507" t="s">
        <v>1452</v>
      </c>
      <c r="C93" s="505">
        <v>18</v>
      </c>
      <c r="D93" s="505">
        <f t="shared" si="7"/>
        <v>1215.6111111111111</v>
      </c>
      <c r="E93" s="505">
        <v>21881</v>
      </c>
      <c r="F93" s="505"/>
      <c r="G93" s="500"/>
      <c r="H93" s="500"/>
      <c r="I93" s="503"/>
    </row>
    <row r="94" spans="1:9" s="512" customFormat="1">
      <c r="A94" s="500"/>
      <c r="B94" s="507" t="s">
        <v>1453</v>
      </c>
      <c r="C94" s="505">
        <v>9</v>
      </c>
      <c r="D94" s="505">
        <f t="shared" si="7"/>
        <v>2343.8888888888887</v>
      </c>
      <c r="E94" s="505">
        <v>21095</v>
      </c>
      <c r="F94" s="505"/>
      <c r="G94" s="500"/>
      <c r="H94" s="500"/>
      <c r="I94" s="503"/>
    </row>
    <row r="95" spans="1:9" s="512" customFormat="1">
      <c r="A95" s="506"/>
      <c r="B95" s="508" t="s">
        <v>2985</v>
      </c>
      <c r="C95" s="509"/>
      <c r="D95" s="510" t="s">
        <v>2378</v>
      </c>
      <c r="E95" s="511">
        <f>SUM(E87:E94)</f>
        <v>178629</v>
      </c>
      <c r="F95" s="500"/>
      <c r="G95" s="500"/>
      <c r="H95" s="500"/>
      <c r="I95" s="503"/>
    </row>
    <row r="96" spans="1:9" s="512" customFormat="1">
      <c r="A96" s="516" t="s">
        <v>252</v>
      </c>
      <c r="B96" s="516"/>
      <c r="C96" s="516"/>
      <c r="D96" s="516"/>
      <c r="E96" s="516"/>
      <c r="F96" s="516"/>
      <c r="G96" s="516"/>
      <c r="H96" s="516"/>
      <c r="I96" s="516"/>
    </row>
    <row r="97" spans="1:9" s="512" customFormat="1">
      <c r="A97" s="501" t="s">
        <v>241</v>
      </c>
      <c r="B97" s="502" t="s">
        <v>1373</v>
      </c>
      <c r="C97" s="502" t="s">
        <v>3796</v>
      </c>
      <c r="D97" s="502" t="s">
        <v>2969</v>
      </c>
      <c r="E97" s="502" t="s">
        <v>3797</v>
      </c>
      <c r="F97" s="500"/>
      <c r="G97" s="502"/>
      <c r="H97" s="500"/>
      <c r="I97" s="503"/>
    </row>
    <row r="98" spans="1:9" s="512" customFormat="1">
      <c r="A98" s="500"/>
      <c r="B98" s="504" t="s">
        <v>282</v>
      </c>
      <c r="C98" s="505">
        <v>9</v>
      </c>
      <c r="D98" s="505">
        <f t="shared" ref="D98:D106" si="8">E98/C98</f>
        <v>1976.7777777777778</v>
      </c>
      <c r="E98" s="505">
        <v>17791</v>
      </c>
      <c r="F98" s="505"/>
      <c r="G98" s="500"/>
      <c r="H98" s="500"/>
      <c r="I98" s="503"/>
    </row>
    <row r="99" spans="1:9" s="515" customFormat="1">
      <c r="A99" s="506"/>
      <c r="B99" s="504" t="s">
        <v>897</v>
      </c>
      <c r="C99" s="505">
        <v>8</v>
      </c>
      <c r="D99" s="505">
        <f t="shared" si="8"/>
        <v>2277.375</v>
      </c>
      <c r="E99" s="505">
        <v>18219</v>
      </c>
      <c r="F99" s="505"/>
      <c r="G99" s="500"/>
      <c r="H99" s="500"/>
      <c r="I99" s="503"/>
    </row>
    <row r="100" spans="1:9" s="515" customFormat="1">
      <c r="A100" s="506"/>
      <c r="B100" s="504" t="s">
        <v>283</v>
      </c>
      <c r="C100" s="505">
        <v>10</v>
      </c>
      <c r="D100" s="505">
        <f t="shared" si="8"/>
        <v>1027.4000000000001</v>
      </c>
      <c r="E100" s="505">
        <v>10274</v>
      </c>
      <c r="F100" s="505"/>
      <c r="G100" s="500"/>
      <c r="H100" s="500"/>
      <c r="I100" s="503"/>
    </row>
    <row r="101" spans="1:9" s="515" customFormat="1">
      <c r="A101" s="500"/>
      <c r="B101" s="507" t="s">
        <v>1</v>
      </c>
      <c r="C101" s="505">
        <v>19</v>
      </c>
      <c r="D101" s="505">
        <f t="shared" si="8"/>
        <v>1592.5263157894738</v>
      </c>
      <c r="E101" s="505">
        <v>30258</v>
      </c>
      <c r="F101" s="505"/>
      <c r="G101" s="500"/>
      <c r="H101" s="500"/>
      <c r="I101" s="503"/>
    </row>
    <row r="102" spans="1:9" s="513" customFormat="1">
      <c r="A102" s="500"/>
      <c r="B102" s="504" t="s">
        <v>900</v>
      </c>
      <c r="C102" s="505">
        <v>21</v>
      </c>
      <c r="D102" s="505">
        <f t="shared" si="8"/>
        <v>380.95238095238096</v>
      </c>
      <c r="E102" s="505">
        <v>8000</v>
      </c>
      <c r="F102" s="505"/>
      <c r="G102" s="500"/>
      <c r="H102" s="500"/>
      <c r="I102" s="503"/>
    </row>
    <row r="103" spans="1:9" s="513" customFormat="1">
      <c r="A103" s="500"/>
      <c r="B103" s="507" t="s">
        <v>3820</v>
      </c>
      <c r="C103" s="505">
        <v>1</v>
      </c>
      <c r="D103" s="505">
        <f t="shared" si="8"/>
        <v>152.4</v>
      </c>
      <c r="E103" s="505">
        <v>152.4</v>
      </c>
      <c r="F103" s="505"/>
      <c r="G103" s="500"/>
      <c r="H103" s="500"/>
      <c r="I103" s="503"/>
    </row>
    <row r="104" spans="1:9" s="517" customFormat="1">
      <c r="A104" s="500"/>
      <c r="B104" s="507" t="s">
        <v>253</v>
      </c>
      <c r="C104" s="505">
        <v>2</v>
      </c>
      <c r="D104" s="505">
        <f t="shared" si="8"/>
        <v>1133.5</v>
      </c>
      <c r="E104" s="505">
        <v>2267</v>
      </c>
      <c r="F104" s="505"/>
      <c r="G104" s="500"/>
      <c r="H104" s="500"/>
      <c r="I104" s="503"/>
    </row>
    <row r="105" spans="1:9" s="515" customFormat="1">
      <c r="A105" s="500"/>
      <c r="B105" s="507" t="s">
        <v>1452</v>
      </c>
      <c r="C105" s="505">
        <v>12</v>
      </c>
      <c r="D105" s="505">
        <f t="shared" si="8"/>
        <v>1483.25</v>
      </c>
      <c r="E105" s="505">
        <v>17799</v>
      </c>
      <c r="F105" s="505"/>
      <c r="G105" s="500"/>
      <c r="H105" s="500"/>
      <c r="I105" s="503"/>
    </row>
    <row r="106" spans="1:9" s="518" customFormat="1">
      <c r="A106" s="500"/>
      <c r="B106" s="507" t="s">
        <v>1453</v>
      </c>
      <c r="C106" s="505">
        <v>8</v>
      </c>
      <c r="D106" s="505">
        <f t="shared" si="8"/>
        <v>2381</v>
      </c>
      <c r="E106" s="505">
        <v>19048</v>
      </c>
      <c r="F106" s="505"/>
      <c r="G106" s="500"/>
      <c r="H106" s="500"/>
      <c r="I106" s="503"/>
    </row>
    <row r="107" spans="1:9" s="515" customFormat="1">
      <c r="A107" s="506"/>
      <c r="B107" s="508" t="s">
        <v>2985</v>
      </c>
      <c r="C107" s="509"/>
      <c r="D107" s="510" t="s">
        <v>2378</v>
      </c>
      <c r="E107" s="511">
        <f>SUM(E98:E106)</f>
        <v>123808.4</v>
      </c>
      <c r="F107" s="500"/>
      <c r="G107" s="500"/>
      <c r="H107" s="500"/>
      <c r="I107" s="503"/>
    </row>
    <row r="108" spans="1:9" s="513" customFormat="1">
      <c r="A108" s="519" t="s">
        <v>2138</v>
      </c>
      <c r="B108" s="519"/>
      <c r="C108" s="519"/>
      <c r="D108" s="519"/>
      <c r="E108" s="519"/>
      <c r="F108" s="519"/>
      <c r="G108" s="519"/>
      <c r="H108" s="519"/>
      <c r="I108" s="519"/>
    </row>
    <row r="109" spans="1:9" s="513" customFormat="1">
      <c r="A109" s="501" t="s">
        <v>241</v>
      </c>
      <c r="B109" s="502" t="s">
        <v>1373</v>
      </c>
      <c r="C109" s="502" t="s">
        <v>3796</v>
      </c>
      <c r="D109" s="502" t="s">
        <v>2969</v>
      </c>
      <c r="E109" s="502" t="s">
        <v>3797</v>
      </c>
      <c r="F109" s="500"/>
      <c r="G109" s="502"/>
      <c r="H109" s="500"/>
      <c r="I109" s="503"/>
    </row>
    <row r="110" spans="1:9" s="515" customFormat="1">
      <c r="A110" s="500"/>
      <c r="B110" s="504" t="s">
        <v>282</v>
      </c>
      <c r="C110" s="505">
        <v>18</v>
      </c>
      <c r="D110" s="505">
        <f t="shared" ref="D110:D117" si="9">E110/C110</f>
        <v>1815.7222222222222</v>
      </c>
      <c r="E110" s="505">
        <v>32683</v>
      </c>
      <c r="F110" s="505"/>
      <c r="G110" s="500"/>
      <c r="H110" s="500"/>
      <c r="I110" s="503"/>
    </row>
    <row r="111" spans="1:9" s="515" customFormat="1">
      <c r="A111" s="506"/>
      <c r="B111" s="504" t="s">
        <v>897</v>
      </c>
      <c r="C111" s="505">
        <v>18</v>
      </c>
      <c r="D111" s="505">
        <f t="shared" si="9"/>
        <v>1985.7222222222222</v>
      </c>
      <c r="E111" s="505">
        <v>35743</v>
      </c>
      <c r="F111" s="505"/>
      <c r="G111" s="500"/>
      <c r="H111" s="500"/>
      <c r="I111" s="503"/>
    </row>
    <row r="112" spans="1:9" s="515" customFormat="1">
      <c r="A112" s="506"/>
      <c r="B112" s="504" t="s">
        <v>283</v>
      </c>
      <c r="C112" s="505">
        <v>19</v>
      </c>
      <c r="D112" s="505">
        <f t="shared" si="9"/>
        <v>1070.3684210526317</v>
      </c>
      <c r="E112" s="505">
        <v>20337</v>
      </c>
      <c r="F112" s="505"/>
      <c r="G112" s="500"/>
      <c r="H112" s="500"/>
      <c r="I112" s="503"/>
    </row>
    <row r="113" spans="1:9" s="515" customFormat="1">
      <c r="A113" s="500"/>
      <c r="B113" s="507" t="s">
        <v>1</v>
      </c>
      <c r="C113" s="505">
        <v>23</v>
      </c>
      <c r="D113" s="505">
        <f t="shared" si="9"/>
        <v>1599</v>
      </c>
      <c r="E113" s="505">
        <v>36777</v>
      </c>
      <c r="F113" s="505"/>
      <c r="G113" s="500"/>
      <c r="H113" s="500"/>
      <c r="I113" s="503"/>
    </row>
    <row r="114" spans="1:9" s="515" customFormat="1">
      <c r="A114" s="500"/>
      <c r="B114" s="504" t="s">
        <v>900</v>
      </c>
      <c r="C114" s="505">
        <v>38</v>
      </c>
      <c r="D114" s="505">
        <f t="shared" si="9"/>
        <v>294.73684210526318</v>
      </c>
      <c r="E114" s="505">
        <v>11200</v>
      </c>
      <c r="F114" s="505"/>
      <c r="G114" s="500"/>
      <c r="H114" s="500"/>
      <c r="I114" s="503"/>
    </row>
    <row r="115" spans="1:9" s="515" customFormat="1">
      <c r="A115" s="500"/>
      <c r="B115" s="507" t="s">
        <v>3820</v>
      </c>
      <c r="C115" s="505">
        <v>4</v>
      </c>
      <c r="D115" s="505">
        <f t="shared" si="9"/>
        <v>133</v>
      </c>
      <c r="E115" s="505">
        <v>532</v>
      </c>
      <c r="F115" s="505"/>
      <c r="G115" s="500"/>
      <c r="H115" s="500"/>
      <c r="I115" s="503"/>
    </row>
    <row r="116" spans="1:9" s="515" customFormat="1">
      <c r="A116" s="500"/>
      <c r="B116" s="507" t="s">
        <v>1452</v>
      </c>
      <c r="C116" s="505">
        <v>19</v>
      </c>
      <c r="D116" s="505">
        <f t="shared" si="9"/>
        <v>1324.2631578947369</v>
      </c>
      <c r="E116" s="505">
        <v>25161</v>
      </c>
      <c r="F116" s="505"/>
      <c r="G116" s="500"/>
      <c r="H116" s="500"/>
      <c r="I116" s="503"/>
    </row>
    <row r="117" spans="1:9" s="515" customFormat="1">
      <c r="A117" s="500"/>
      <c r="B117" s="507" t="s">
        <v>1453</v>
      </c>
      <c r="C117" s="505">
        <v>13</v>
      </c>
      <c r="D117" s="505">
        <f t="shared" si="9"/>
        <v>2318.6923076923076</v>
      </c>
      <c r="E117" s="505">
        <v>30143</v>
      </c>
      <c r="F117" s="505"/>
      <c r="G117" s="500"/>
      <c r="H117" s="500"/>
      <c r="I117" s="503"/>
    </row>
    <row r="118" spans="1:9" s="515" customFormat="1">
      <c r="A118" s="506"/>
      <c r="B118" s="508" t="s">
        <v>2985</v>
      </c>
      <c r="C118" s="509"/>
      <c r="D118" s="510" t="s">
        <v>2378</v>
      </c>
      <c r="E118" s="511">
        <f>SUM(E110:E117)</f>
        <v>192576</v>
      </c>
      <c r="F118" s="500"/>
      <c r="G118" s="500"/>
      <c r="H118" s="500"/>
      <c r="I118" s="503"/>
    </row>
    <row r="119" spans="1:9" s="515" customFormat="1">
      <c r="A119" s="520" t="s">
        <v>2853</v>
      </c>
      <c r="B119" s="520"/>
      <c r="C119" s="520"/>
      <c r="D119" s="520"/>
      <c r="E119" s="520"/>
      <c r="F119" s="520"/>
      <c r="G119" s="520"/>
      <c r="H119" s="520"/>
      <c r="I119" s="520"/>
    </row>
    <row r="120" spans="1:9" s="515" customFormat="1">
      <c r="A120" s="501" t="s">
        <v>241</v>
      </c>
      <c r="B120" s="502" t="s">
        <v>1373</v>
      </c>
      <c r="C120" s="502" t="s">
        <v>3796</v>
      </c>
      <c r="D120" s="502" t="s">
        <v>2969</v>
      </c>
      <c r="E120" s="502" t="s">
        <v>3797</v>
      </c>
      <c r="F120" s="500"/>
      <c r="G120" s="502"/>
      <c r="H120" s="500"/>
      <c r="I120" s="503"/>
    </row>
    <row r="121" spans="1:9" s="515" customFormat="1">
      <c r="A121" s="500"/>
      <c r="B121" s="504" t="s">
        <v>282</v>
      </c>
      <c r="C121" s="505">
        <v>9</v>
      </c>
      <c r="D121" s="505">
        <f t="shared" ref="D121:D127" si="10">E121/C121</f>
        <v>2712.6666666666665</v>
      </c>
      <c r="E121" s="505">
        <v>24414</v>
      </c>
      <c r="F121" s="505"/>
      <c r="G121" s="500"/>
      <c r="H121" s="500"/>
      <c r="I121" s="503"/>
    </row>
    <row r="122" spans="1:9" s="515" customFormat="1">
      <c r="A122" s="506"/>
      <c r="B122" s="504" t="s">
        <v>897</v>
      </c>
      <c r="C122" s="505">
        <v>8</v>
      </c>
      <c r="D122" s="505">
        <f t="shared" si="10"/>
        <v>2413.375</v>
      </c>
      <c r="E122" s="505">
        <v>19307</v>
      </c>
      <c r="F122" s="505"/>
      <c r="G122" s="500"/>
      <c r="H122" s="500"/>
      <c r="I122" s="503"/>
    </row>
    <row r="123" spans="1:9" s="515" customFormat="1">
      <c r="A123" s="506"/>
      <c r="B123" s="504" t="s">
        <v>283</v>
      </c>
      <c r="C123" s="505">
        <v>7</v>
      </c>
      <c r="D123" s="505">
        <f t="shared" si="10"/>
        <v>1019.4285714285714</v>
      </c>
      <c r="E123" s="505">
        <v>7136</v>
      </c>
      <c r="F123" s="505"/>
      <c r="G123" s="500"/>
      <c r="H123" s="500"/>
      <c r="I123" s="503"/>
    </row>
    <row r="124" spans="1:9" s="515" customFormat="1">
      <c r="A124" s="500"/>
      <c r="B124" s="507" t="s">
        <v>1</v>
      </c>
      <c r="C124" s="505">
        <v>13</v>
      </c>
      <c r="D124" s="505">
        <f t="shared" si="10"/>
        <v>2084.3846153846152</v>
      </c>
      <c r="E124" s="505">
        <v>27097</v>
      </c>
      <c r="F124" s="505"/>
      <c r="G124" s="500"/>
      <c r="H124" s="500"/>
      <c r="I124" s="503"/>
    </row>
    <row r="125" spans="1:9">
      <c r="A125" s="500"/>
      <c r="B125" s="504" t="s">
        <v>900</v>
      </c>
      <c r="C125" s="505">
        <v>18</v>
      </c>
      <c r="D125" s="505">
        <f t="shared" si="10"/>
        <v>230.83333333333334</v>
      </c>
      <c r="E125" s="505">
        <v>4155</v>
      </c>
      <c r="F125" s="505"/>
      <c r="I125" s="503"/>
    </row>
    <row r="126" spans="1:9">
      <c r="A126" s="500"/>
      <c r="B126" s="507" t="s">
        <v>1452</v>
      </c>
      <c r="C126" s="505">
        <v>10</v>
      </c>
      <c r="D126" s="505">
        <f t="shared" si="10"/>
        <v>1436.4</v>
      </c>
      <c r="E126" s="505">
        <v>14364</v>
      </c>
      <c r="F126" s="505"/>
      <c r="I126" s="503"/>
    </row>
    <row r="127" spans="1:9">
      <c r="A127" s="500"/>
      <c r="B127" s="507" t="s">
        <v>1453</v>
      </c>
      <c r="C127" s="505">
        <v>10</v>
      </c>
      <c r="D127" s="505">
        <f t="shared" si="10"/>
        <v>2278</v>
      </c>
      <c r="E127" s="505">
        <v>22780</v>
      </c>
      <c r="F127" s="505"/>
      <c r="I127" s="503"/>
    </row>
    <row r="128" spans="1:9">
      <c r="B128" s="508" t="s">
        <v>2985</v>
      </c>
      <c r="C128" s="509"/>
      <c r="D128" s="510" t="s">
        <v>2378</v>
      </c>
      <c r="E128" s="511">
        <f>SUM(E121:E127)</f>
        <v>119253</v>
      </c>
      <c r="I128" s="503"/>
    </row>
    <row r="129" spans="1:9">
      <c r="A129" s="521" t="s">
        <v>344</v>
      </c>
      <c r="B129" s="521"/>
      <c r="C129" s="521"/>
      <c r="D129" s="521"/>
      <c r="E129" s="521"/>
      <c r="F129" s="521"/>
      <c r="G129" s="521"/>
      <c r="H129" s="521"/>
      <c r="I129" s="521"/>
    </row>
    <row r="130" spans="1:9">
      <c r="A130" s="501" t="s">
        <v>241</v>
      </c>
      <c r="B130" s="502" t="s">
        <v>281</v>
      </c>
      <c r="C130" s="502" t="s">
        <v>1373</v>
      </c>
      <c r="D130" s="502" t="s">
        <v>3796</v>
      </c>
      <c r="E130" s="502" t="s">
        <v>2969</v>
      </c>
      <c r="F130" s="502" t="s">
        <v>3797</v>
      </c>
      <c r="G130" s="502" t="s">
        <v>3798</v>
      </c>
      <c r="H130" s="502" t="s">
        <v>2377</v>
      </c>
    </row>
    <row r="131" spans="1:9">
      <c r="A131" s="500"/>
      <c r="B131" s="504" t="s">
        <v>2426</v>
      </c>
      <c r="C131" s="504" t="s">
        <v>282</v>
      </c>
      <c r="D131" s="505" t="e">
        <f>#REF!</f>
        <v>#REF!</v>
      </c>
      <c r="E131" s="505" t="e">
        <f>F131/D131</f>
        <v>#REF!</v>
      </c>
      <c r="F131" s="505" t="e">
        <f>#REF!</f>
        <v>#REF!</v>
      </c>
      <c r="G131" s="101"/>
    </row>
    <row r="132" spans="1:9">
      <c r="B132" s="504" t="s">
        <v>2426</v>
      </c>
      <c r="C132" s="504" t="s">
        <v>897</v>
      </c>
      <c r="D132" s="505" t="e">
        <f>#REF!</f>
        <v>#REF!</v>
      </c>
      <c r="E132" s="505" t="e">
        <f>F132/D132</f>
        <v>#REF!</v>
      </c>
      <c r="F132" s="505" t="e">
        <f>#REF!</f>
        <v>#REF!</v>
      </c>
    </row>
    <row r="133" spans="1:9">
      <c r="B133" s="504" t="s">
        <v>2426</v>
      </c>
      <c r="C133" s="504" t="s">
        <v>283</v>
      </c>
      <c r="D133" s="505" t="e">
        <f>#REF!</f>
        <v>#REF!</v>
      </c>
      <c r="E133" s="505" t="e">
        <f>F133/D133</f>
        <v>#REF!</v>
      </c>
      <c r="F133" s="505" t="e">
        <f>#REF!</f>
        <v>#REF!</v>
      </c>
    </row>
    <row r="134" spans="1:9">
      <c r="A134" s="500"/>
      <c r="B134" s="504" t="s">
        <v>2426</v>
      </c>
      <c r="C134" s="507" t="s">
        <v>1</v>
      </c>
      <c r="D134" s="505">
        <v>46</v>
      </c>
      <c r="E134" s="505">
        <v>1523.695652173913</v>
      </c>
      <c r="F134" s="505">
        <v>70090</v>
      </c>
    </row>
    <row r="135" spans="1:9">
      <c r="A135" s="500"/>
      <c r="B135" s="504" t="s">
        <v>2426</v>
      </c>
      <c r="C135" s="504" t="s">
        <v>900</v>
      </c>
      <c r="D135" s="505">
        <v>65</v>
      </c>
      <c r="E135" s="505">
        <v>182.98923076923074</v>
      </c>
      <c r="F135" s="505">
        <v>11894.3</v>
      </c>
    </row>
    <row r="136" spans="1:9">
      <c r="A136" s="500"/>
      <c r="B136" s="504" t="s">
        <v>2426</v>
      </c>
      <c r="C136" s="507" t="s">
        <v>3821</v>
      </c>
      <c r="D136" s="505">
        <v>40</v>
      </c>
      <c r="E136" s="505">
        <v>1326.25</v>
      </c>
      <c r="F136" s="505">
        <v>53050</v>
      </c>
    </row>
    <row r="137" spans="1:9">
      <c r="A137" s="500"/>
      <c r="B137" s="504" t="s">
        <v>2426</v>
      </c>
      <c r="C137" s="507" t="s">
        <v>915</v>
      </c>
      <c r="D137" s="505">
        <v>33</v>
      </c>
      <c r="E137" s="505">
        <v>2300</v>
      </c>
      <c r="F137" s="505">
        <v>75900</v>
      </c>
    </row>
    <row r="138" spans="1:9">
      <c r="A138" s="500"/>
      <c r="B138" s="504"/>
      <c r="C138" s="507"/>
      <c r="D138" s="509"/>
      <c r="E138" s="502" t="s">
        <v>2988</v>
      </c>
      <c r="F138" s="522">
        <v>360469.3</v>
      </c>
    </row>
    <row r="139" spans="1:9">
      <c r="C139" s="508" t="s">
        <v>2985</v>
      </c>
      <c r="D139" s="515"/>
      <c r="E139" s="510" t="s">
        <v>2378</v>
      </c>
      <c r="F139" s="523">
        <v>360469.3</v>
      </c>
    </row>
    <row r="140" spans="1:9">
      <c r="A140" s="499" t="s">
        <v>4441</v>
      </c>
      <c r="B140" s="499"/>
      <c r="C140" s="499"/>
      <c r="D140" s="499"/>
      <c r="E140" s="499"/>
      <c r="F140" s="499"/>
      <c r="G140" s="499"/>
      <c r="H140" s="499"/>
      <c r="I140" s="499"/>
    </row>
    <row r="141" spans="1:9">
      <c r="A141" s="501" t="s">
        <v>241</v>
      </c>
      <c r="B141" s="502" t="s">
        <v>281</v>
      </c>
      <c r="C141" s="502" t="s">
        <v>1373</v>
      </c>
      <c r="D141" s="502" t="s">
        <v>3796</v>
      </c>
      <c r="E141" s="502" t="s">
        <v>2969</v>
      </c>
      <c r="F141" s="502" t="s">
        <v>3797</v>
      </c>
      <c r="G141" s="502" t="s">
        <v>3798</v>
      </c>
      <c r="H141" s="502" t="s">
        <v>2377</v>
      </c>
    </row>
    <row r="142" spans="1:9">
      <c r="A142" s="500"/>
      <c r="B142" s="504" t="s">
        <v>2426</v>
      </c>
      <c r="C142" s="504" t="s">
        <v>282</v>
      </c>
      <c r="D142" s="524">
        <v>19</v>
      </c>
      <c r="E142" s="525">
        <v>2280</v>
      </c>
      <c r="F142" s="524">
        <v>43320</v>
      </c>
      <c r="G142" s="101"/>
    </row>
    <row r="143" spans="1:9">
      <c r="B143" s="504" t="s">
        <v>2426</v>
      </c>
      <c r="C143" s="504" t="s">
        <v>897</v>
      </c>
      <c r="D143" s="524">
        <v>19</v>
      </c>
      <c r="E143" s="525">
        <v>2226.3157894736842</v>
      </c>
      <c r="F143" s="524">
        <v>42300</v>
      </c>
    </row>
    <row r="144" spans="1:9">
      <c r="B144" s="504" t="s">
        <v>2426</v>
      </c>
      <c r="C144" s="504" t="s">
        <v>283</v>
      </c>
      <c r="D144" s="524">
        <v>25</v>
      </c>
      <c r="E144" s="525">
        <v>1925.88</v>
      </c>
      <c r="F144" s="524">
        <v>48147</v>
      </c>
    </row>
    <row r="145" spans="1:9">
      <c r="A145" s="500"/>
      <c r="B145" s="504" t="s">
        <v>2426</v>
      </c>
      <c r="C145" s="507" t="s">
        <v>1</v>
      </c>
      <c r="D145" s="524">
        <v>44</v>
      </c>
      <c r="E145" s="525">
        <v>2055.4545454545455</v>
      </c>
      <c r="F145" s="524">
        <v>90440</v>
      </c>
    </row>
    <row r="146" spans="1:9">
      <c r="A146" s="500"/>
      <c r="B146" s="504" t="s">
        <v>2426</v>
      </c>
      <c r="C146" s="504" t="s">
        <v>900</v>
      </c>
      <c r="D146" s="524">
        <v>42</v>
      </c>
      <c r="E146" s="525">
        <v>208.57142857142858</v>
      </c>
      <c r="F146" s="524">
        <v>8760</v>
      </c>
    </row>
    <row r="147" spans="1:9">
      <c r="A147" s="500"/>
      <c r="B147" s="504" t="s">
        <v>2426</v>
      </c>
      <c r="C147" s="507" t="s">
        <v>3821</v>
      </c>
      <c r="D147" s="524">
        <v>41</v>
      </c>
      <c r="E147" s="525">
        <v>926.14634146341461</v>
      </c>
      <c r="F147" s="524">
        <v>37972</v>
      </c>
    </row>
    <row r="148" spans="1:9">
      <c r="A148" s="500"/>
      <c r="B148" s="504" t="s">
        <v>2426</v>
      </c>
      <c r="C148" s="507" t="s">
        <v>915</v>
      </c>
      <c r="D148" s="524">
        <v>22</v>
      </c>
      <c r="E148" s="525">
        <v>2299.9545454545455</v>
      </c>
      <c r="F148" s="524">
        <v>50599</v>
      </c>
    </row>
    <row r="149" spans="1:9">
      <c r="A149" s="500"/>
      <c r="B149" s="504"/>
      <c r="C149" s="507"/>
      <c r="D149" s="509"/>
      <c r="E149" s="502" t="s">
        <v>2988</v>
      </c>
      <c r="F149" s="522">
        <v>321538</v>
      </c>
    </row>
    <row r="150" spans="1:9">
      <c r="A150" s="526">
        <v>96043003</v>
      </c>
      <c r="B150" s="527" t="s">
        <v>298</v>
      </c>
      <c r="C150" s="500" t="s">
        <v>916</v>
      </c>
      <c r="D150" s="500">
        <v>1</v>
      </c>
      <c r="E150" s="500">
        <v>1585</v>
      </c>
      <c r="F150" s="57">
        <v>1585</v>
      </c>
      <c r="G150" s="500">
        <v>79</v>
      </c>
      <c r="H150" s="500">
        <v>1664</v>
      </c>
    </row>
    <row r="151" spans="1:9">
      <c r="A151" s="528">
        <v>96100302</v>
      </c>
      <c r="B151" s="510" t="s">
        <v>2</v>
      </c>
      <c r="C151" s="510" t="s">
        <v>917</v>
      </c>
      <c r="D151" s="515">
        <v>1</v>
      </c>
      <c r="E151" s="97">
        <v>253</v>
      </c>
      <c r="F151" s="529">
        <v>253</v>
      </c>
      <c r="G151" s="530">
        <v>13</v>
      </c>
      <c r="H151" s="500">
        <v>266</v>
      </c>
    </row>
    <row r="152" spans="1:9">
      <c r="E152" s="502" t="s">
        <v>2988</v>
      </c>
      <c r="F152" s="531">
        <v>1838</v>
      </c>
      <c r="G152" s="515">
        <v>92</v>
      </c>
      <c r="H152" s="500">
        <v>1930</v>
      </c>
    </row>
    <row r="153" spans="1:9">
      <c r="C153" s="508" t="s">
        <v>2985</v>
      </c>
      <c r="D153" s="515"/>
      <c r="E153" s="510" t="s">
        <v>2378</v>
      </c>
      <c r="F153" s="523">
        <v>323376</v>
      </c>
    </row>
    <row r="154" spans="1:9">
      <c r="A154" s="532" t="s">
        <v>4442</v>
      </c>
      <c r="B154" s="532"/>
      <c r="C154" s="532"/>
      <c r="D154" s="532"/>
      <c r="E154" s="532"/>
      <c r="F154" s="532"/>
      <c r="G154" s="532"/>
      <c r="H154" s="532"/>
      <c r="I154" s="532"/>
    </row>
    <row r="155" spans="1:9">
      <c r="A155" s="501" t="s">
        <v>241</v>
      </c>
      <c r="B155" s="502" t="s">
        <v>281</v>
      </c>
      <c r="C155" s="502" t="s">
        <v>1373</v>
      </c>
      <c r="D155" s="502" t="s">
        <v>3796</v>
      </c>
      <c r="E155" s="502" t="s">
        <v>2969</v>
      </c>
      <c r="F155" s="502" t="s">
        <v>3797</v>
      </c>
      <c r="G155" s="502" t="s">
        <v>3798</v>
      </c>
      <c r="H155" s="502" t="s">
        <v>2377</v>
      </c>
    </row>
    <row r="156" spans="1:9">
      <c r="A156" s="500"/>
      <c r="B156" s="504" t="s">
        <v>2426</v>
      </c>
      <c r="C156" s="504" t="s">
        <v>282</v>
      </c>
      <c r="D156" s="509">
        <v>47</v>
      </c>
      <c r="E156" s="525">
        <v>4756.5957446808507</v>
      </c>
      <c r="F156" s="509">
        <v>223560</v>
      </c>
      <c r="G156" s="101"/>
    </row>
    <row r="157" spans="1:9">
      <c r="B157" s="504" t="s">
        <v>2426</v>
      </c>
      <c r="C157" s="504" t="s">
        <v>897</v>
      </c>
      <c r="D157" s="509">
        <v>40</v>
      </c>
      <c r="E157" s="525">
        <v>2060.8000000000002</v>
      </c>
      <c r="F157" s="509">
        <v>82432</v>
      </c>
    </row>
    <row r="158" spans="1:9">
      <c r="B158" s="504" t="s">
        <v>2426</v>
      </c>
      <c r="C158" s="504" t="s">
        <v>283</v>
      </c>
      <c r="D158" s="509">
        <v>90</v>
      </c>
      <c r="E158" s="525">
        <v>1427.6888888888889</v>
      </c>
      <c r="F158" s="509">
        <v>128492</v>
      </c>
    </row>
    <row r="159" spans="1:9">
      <c r="A159" s="500"/>
      <c r="B159" s="504" t="s">
        <v>2426</v>
      </c>
      <c r="C159" s="507" t="s">
        <v>1</v>
      </c>
      <c r="D159" s="509">
        <v>68</v>
      </c>
      <c r="E159" s="525">
        <v>1728.9558823529412</v>
      </c>
      <c r="F159" s="509">
        <v>117569</v>
      </c>
    </row>
    <row r="160" spans="1:9">
      <c r="A160" s="500"/>
      <c r="B160" s="504" t="s">
        <v>2426</v>
      </c>
      <c r="C160" s="504" t="s">
        <v>900</v>
      </c>
      <c r="D160" s="509">
        <v>95</v>
      </c>
      <c r="E160" s="525">
        <v>201.66315789473686</v>
      </c>
      <c r="F160" s="509">
        <v>19158</v>
      </c>
    </row>
    <row r="161" spans="1:9">
      <c r="A161" s="500"/>
      <c r="B161" s="504" t="s">
        <v>2426</v>
      </c>
      <c r="C161" s="507" t="s">
        <v>3820</v>
      </c>
      <c r="D161" s="509">
        <v>36</v>
      </c>
      <c r="E161" s="525">
        <v>551.38888888888891</v>
      </c>
      <c r="F161" s="509">
        <v>19850</v>
      </c>
    </row>
    <row r="162" spans="1:9">
      <c r="A162" s="500"/>
      <c r="B162" s="504"/>
      <c r="C162" s="507"/>
      <c r="D162" s="509"/>
      <c r="E162" s="502" t="s">
        <v>2988</v>
      </c>
      <c r="F162" s="522">
        <v>591061</v>
      </c>
    </row>
    <row r="163" spans="1:9">
      <c r="A163" s="500"/>
      <c r="B163" s="504" t="s">
        <v>2426</v>
      </c>
      <c r="C163" s="507" t="s">
        <v>3821</v>
      </c>
      <c r="D163" s="533" t="s">
        <v>3822</v>
      </c>
      <c r="E163" s="525">
        <v>700.04761904761904</v>
      </c>
      <c r="F163" s="514">
        <v>29402</v>
      </c>
    </row>
    <row r="164" spans="1:9">
      <c r="E164" s="502" t="s">
        <v>2988</v>
      </c>
      <c r="F164" s="534">
        <v>29402</v>
      </c>
      <c r="G164" s="535"/>
      <c r="H164" s="515"/>
    </row>
    <row r="165" spans="1:9">
      <c r="A165" s="506">
        <v>95020304</v>
      </c>
      <c r="B165" s="500" t="s">
        <v>875</v>
      </c>
      <c r="C165" s="500" t="s">
        <v>3823</v>
      </c>
      <c r="D165" s="500">
        <v>1</v>
      </c>
      <c r="E165" s="500">
        <v>667</v>
      </c>
      <c r="F165" s="500">
        <v>667</v>
      </c>
      <c r="G165" s="500">
        <v>33.35</v>
      </c>
      <c r="H165" s="500">
        <v>700</v>
      </c>
    </row>
    <row r="166" spans="1:9">
      <c r="A166" s="506">
        <v>95031402</v>
      </c>
      <c r="B166" s="510" t="s">
        <v>2</v>
      </c>
      <c r="C166" s="515" t="s">
        <v>2978</v>
      </c>
      <c r="D166" s="515">
        <v>1</v>
      </c>
      <c r="E166" s="97">
        <v>4200</v>
      </c>
      <c r="F166" s="97">
        <v>4200</v>
      </c>
      <c r="G166" s="500">
        <v>210</v>
      </c>
      <c r="H166" s="500">
        <v>4410</v>
      </c>
    </row>
    <row r="167" spans="1:9">
      <c r="A167" s="506">
        <v>95042606</v>
      </c>
      <c r="B167" t="s">
        <v>3824</v>
      </c>
      <c r="C167" s="500" t="s">
        <v>1</v>
      </c>
      <c r="D167" s="500">
        <v>1</v>
      </c>
      <c r="E167" s="500">
        <v>952</v>
      </c>
      <c r="F167" s="500">
        <v>952</v>
      </c>
      <c r="G167" s="500">
        <v>48</v>
      </c>
      <c r="H167" s="500">
        <v>1000</v>
      </c>
    </row>
    <row r="168" spans="1:9">
      <c r="A168" s="506">
        <v>95080702</v>
      </c>
      <c r="B168" t="s">
        <v>3825</v>
      </c>
      <c r="C168" s="500" t="s">
        <v>1</v>
      </c>
      <c r="D168" s="500">
        <v>1</v>
      </c>
      <c r="E168" s="500">
        <v>2200</v>
      </c>
      <c r="F168" s="500">
        <v>2200</v>
      </c>
      <c r="G168" s="500">
        <v>110</v>
      </c>
      <c r="H168" s="500">
        <v>2310</v>
      </c>
    </row>
    <row r="169" spans="1:9">
      <c r="E169" s="502" t="s">
        <v>2988</v>
      </c>
      <c r="F169" s="522">
        <v>8019</v>
      </c>
      <c r="G169" s="515">
        <v>401.35</v>
      </c>
      <c r="H169" s="515">
        <v>8420</v>
      </c>
    </row>
    <row r="170" spans="1:9">
      <c r="C170" s="508" t="s">
        <v>2985</v>
      </c>
      <c r="D170" s="515"/>
      <c r="E170" s="510" t="s">
        <v>2378</v>
      </c>
      <c r="F170" s="523">
        <v>599080</v>
      </c>
    </row>
    <row r="171" spans="1:9">
      <c r="A171" s="521" t="s">
        <v>0</v>
      </c>
      <c r="B171" s="536"/>
      <c r="C171" s="536"/>
      <c r="D171" s="536"/>
      <c r="E171" s="536"/>
      <c r="F171" s="536"/>
      <c r="G171" s="536"/>
      <c r="H171" s="536"/>
      <c r="I171" s="536"/>
    </row>
    <row r="172" spans="1:9">
      <c r="A172" s="501" t="s">
        <v>241</v>
      </c>
      <c r="B172" s="502" t="s">
        <v>281</v>
      </c>
      <c r="C172" s="502" t="s">
        <v>1373</v>
      </c>
      <c r="D172" s="502" t="s">
        <v>3796</v>
      </c>
      <c r="E172" s="502" t="s">
        <v>2969</v>
      </c>
      <c r="F172" s="502" t="s">
        <v>3797</v>
      </c>
      <c r="G172" s="502" t="s">
        <v>3798</v>
      </c>
      <c r="H172" s="502" t="s">
        <v>2377</v>
      </c>
      <c r="I172" s="512"/>
    </row>
    <row r="173" spans="1:9">
      <c r="A173" s="500"/>
      <c r="B173" s="504" t="s">
        <v>2426</v>
      </c>
      <c r="C173" s="504" t="s">
        <v>282</v>
      </c>
      <c r="D173" s="504">
        <v>63</v>
      </c>
      <c r="E173" s="525">
        <f>F173/D173</f>
        <v>3695.8253968253966</v>
      </c>
      <c r="F173" s="504">
        <v>232837</v>
      </c>
      <c r="G173" s="101" t="s">
        <v>6</v>
      </c>
    </row>
    <row r="174" spans="1:9">
      <c r="B174" s="504" t="s">
        <v>2426</v>
      </c>
      <c r="C174" s="504" t="s">
        <v>897</v>
      </c>
      <c r="D174" s="504">
        <v>112</v>
      </c>
      <c r="E174" s="525">
        <f>F174/D174</f>
        <v>1861.2321428571429</v>
      </c>
      <c r="F174" s="504">
        <v>208458</v>
      </c>
    </row>
    <row r="175" spans="1:9">
      <c r="B175" s="504" t="s">
        <v>2426</v>
      </c>
      <c r="C175" s="504" t="s">
        <v>283</v>
      </c>
      <c r="D175" s="504">
        <v>69</v>
      </c>
      <c r="E175" s="525">
        <f>F175/D175</f>
        <v>843.02898550724638</v>
      </c>
      <c r="F175" s="504">
        <v>58169</v>
      </c>
    </row>
    <row r="176" spans="1:9">
      <c r="A176" s="500"/>
      <c r="B176" s="504" t="s">
        <v>2426</v>
      </c>
      <c r="C176" s="507" t="s">
        <v>1</v>
      </c>
      <c r="D176" s="504">
        <v>66</v>
      </c>
      <c r="E176" s="525">
        <f>F176/D176</f>
        <v>2004.6060606060605</v>
      </c>
      <c r="F176" s="504">
        <v>132304</v>
      </c>
    </row>
    <row r="177" spans="1:9">
      <c r="A177" s="500"/>
      <c r="B177" s="504" t="s">
        <v>2426</v>
      </c>
      <c r="C177" s="504" t="s">
        <v>900</v>
      </c>
      <c r="D177" s="504">
        <v>117</v>
      </c>
      <c r="E177" s="525">
        <f>F177/D177</f>
        <v>165.7948717948718</v>
      </c>
      <c r="F177" s="504">
        <v>19398</v>
      </c>
    </row>
    <row r="178" spans="1:9">
      <c r="E178" s="502" t="s">
        <v>2988</v>
      </c>
      <c r="F178" s="522">
        <f>SUM(F173:F177)</f>
        <v>651166</v>
      </c>
      <c r="G178" s="515"/>
      <c r="H178" s="515"/>
    </row>
    <row r="179" spans="1:9">
      <c r="A179" s="7">
        <v>94012601</v>
      </c>
      <c r="B179" s="7" t="s">
        <v>2</v>
      </c>
      <c r="C179" s="515" t="s">
        <v>2978</v>
      </c>
      <c r="D179" s="515">
        <v>1</v>
      </c>
      <c r="E179" s="97">
        <v>4200</v>
      </c>
      <c r="F179" s="97">
        <v>4200</v>
      </c>
      <c r="G179" s="500">
        <v>210</v>
      </c>
      <c r="H179" s="500">
        <v>4410</v>
      </c>
      <c r="I179" s="515" t="s">
        <v>3800</v>
      </c>
    </row>
    <row r="180" spans="1:9">
      <c r="A180" s="7">
        <v>94090507</v>
      </c>
      <c r="B180" s="7" t="s">
        <v>2979</v>
      </c>
      <c r="C180" s="515" t="s">
        <v>2978</v>
      </c>
      <c r="D180" s="515">
        <v>1</v>
      </c>
      <c r="E180" s="97">
        <v>4200</v>
      </c>
      <c r="F180" s="97">
        <v>4200</v>
      </c>
      <c r="G180" s="500">
        <v>210</v>
      </c>
      <c r="H180" s="500">
        <v>4410</v>
      </c>
      <c r="I180" s="515" t="s">
        <v>3800</v>
      </c>
    </row>
    <row r="181" spans="1:9">
      <c r="A181" s="7">
        <v>94102102</v>
      </c>
      <c r="B181" s="7" t="s">
        <v>2982</v>
      </c>
      <c r="C181" s="515" t="s">
        <v>2978</v>
      </c>
      <c r="D181" s="515">
        <v>1</v>
      </c>
      <c r="E181" s="97">
        <v>4200</v>
      </c>
      <c r="F181" s="97">
        <v>4200</v>
      </c>
      <c r="G181" s="500">
        <v>210</v>
      </c>
      <c r="H181" s="500">
        <v>4410</v>
      </c>
      <c r="I181" s="515" t="s">
        <v>3800</v>
      </c>
    </row>
    <row r="182" spans="1:9">
      <c r="E182" s="502" t="s">
        <v>2988</v>
      </c>
      <c r="F182" s="522">
        <f>SUM(F179:F181)</f>
        <v>12600</v>
      </c>
      <c r="G182" s="515">
        <f>SUM(G179:G181)</f>
        <v>630</v>
      </c>
      <c r="H182" s="515">
        <f>SUM(H179:H181)</f>
        <v>13230</v>
      </c>
    </row>
    <row r="183" spans="1:9">
      <c r="A183" s="7">
        <v>940331</v>
      </c>
      <c r="B183" s="500" t="s">
        <v>3</v>
      </c>
      <c r="C183" s="81" t="s">
        <v>4</v>
      </c>
      <c r="D183" s="500">
        <v>1</v>
      </c>
      <c r="E183" s="98">
        <v>-2000</v>
      </c>
      <c r="F183" s="537">
        <v>-2000</v>
      </c>
      <c r="G183" s="510" t="s">
        <v>5</v>
      </c>
      <c r="H183" s="515"/>
    </row>
    <row r="184" spans="1:9">
      <c r="A184" s="538"/>
      <c r="B184" s="539"/>
      <c r="C184" s="508" t="s">
        <v>2985</v>
      </c>
      <c r="D184" s="515"/>
      <c r="E184" s="510" t="s">
        <v>2378</v>
      </c>
      <c r="F184" s="523">
        <f>F178+F182</f>
        <v>663766</v>
      </c>
      <c r="G184" s="518"/>
      <c r="H184" s="518"/>
      <c r="I184" s="539"/>
    </row>
    <row r="185" spans="1:9">
      <c r="A185" s="540" t="s">
        <v>3398</v>
      </c>
      <c r="B185" s="541"/>
      <c r="C185" s="541"/>
      <c r="D185" s="541"/>
      <c r="E185" s="541"/>
      <c r="F185" s="541"/>
      <c r="G185" s="541"/>
      <c r="H185" s="541"/>
      <c r="I185" s="541"/>
    </row>
    <row r="186" spans="1:9">
      <c r="A186" s="501" t="s">
        <v>241</v>
      </c>
      <c r="B186" s="502" t="s">
        <v>281</v>
      </c>
      <c r="C186" s="502" t="s">
        <v>1373</v>
      </c>
      <c r="D186" s="502" t="s">
        <v>3796</v>
      </c>
      <c r="E186" s="502" t="s">
        <v>2969</v>
      </c>
      <c r="F186" s="502" t="s">
        <v>3797</v>
      </c>
      <c r="G186" s="502" t="s">
        <v>3798</v>
      </c>
      <c r="H186" s="502" t="s">
        <v>2377</v>
      </c>
      <c r="I186" s="512"/>
    </row>
    <row r="187" spans="1:9">
      <c r="A187" s="501"/>
      <c r="B187" s="515" t="s">
        <v>285</v>
      </c>
      <c r="C187" s="542" t="s">
        <v>282</v>
      </c>
      <c r="D187" s="502">
        <v>93</v>
      </c>
      <c r="E187" s="502">
        <v>2350</v>
      </c>
      <c r="F187" s="502">
        <f>D187*E187</f>
        <v>218550</v>
      </c>
      <c r="G187" s="502"/>
      <c r="H187" s="502"/>
      <c r="I187" s="512"/>
    </row>
    <row r="188" spans="1:9">
      <c r="A188" s="501"/>
      <c r="B188" s="515" t="s">
        <v>285</v>
      </c>
      <c r="C188" s="542" t="s">
        <v>3799</v>
      </c>
      <c r="D188" s="502">
        <v>93</v>
      </c>
      <c r="E188" s="502">
        <v>1975</v>
      </c>
      <c r="F188" s="502">
        <f>D188*E188</f>
        <v>183675</v>
      </c>
      <c r="G188" s="502"/>
      <c r="H188" s="502"/>
      <c r="I188" s="512"/>
    </row>
    <row r="189" spans="1:9">
      <c r="A189" s="501"/>
      <c r="B189" s="515" t="s">
        <v>285</v>
      </c>
      <c r="C189" s="542" t="s">
        <v>283</v>
      </c>
      <c r="D189" s="502">
        <v>93</v>
      </c>
      <c r="E189" s="502">
        <v>1350</v>
      </c>
      <c r="F189" s="502">
        <f>D189*E189</f>
        <v>125550</v>
      </c>
      <c r="G189" s="502"/>
      <c r="H189" s="502"/>
      <c r="I189" s="512"/>
    </row>
    <row r="190" spans="1:9">
      <c r="A190" s="501"/>
      <c r="B190" s="515" t="s">
        <v>285</v>
      </c>
      <c r="C190" s="542" t="s">
        <v>2983</v>
      </c>
      <c r="D190" s="502">
        <v>93</v>
      </c>
      <c r="E190" s="502">
        <v>2534.7199999999998</v>
      </c>
      <c r="F190" s="502">
        <f>D190*E190</f>
        <v>235728.96</v>
      </c>
      <c r="G190" s="502"/>
      <c r="H190" s="502"/>
      <c r="I190" s="512"/>
    </row>
    <row r="191" spans="1:9">
      <c r="A191" s="501"/>
      <c r="B191" s="515" t="s">
        <v>285</v>
      </c>
      <c r="C191" s="542" t="s">
        <v>2984</v>
      </c>
      <c r="D191" s="502">
        <v>220</v>
      </c>
      <c r="E191" s="502">
        <v>200</v>
      </c>
      <c r="F191" s="502">
        <f>D191*E191</f>
        <v>44000</v>
      </c>
      <c r="G191" s="502"/>
      <c r="H191" s="502"/>
      <c r="I191" s="512"/>
    </row>
    <row r="192" spans="1:9">
      <c r="A192" s="501"/>
      <c r="B192" s="515"/>
      <c r="C192" s="542"/>
      <c r="D192" s="502"/>
      <c r="E192" s="502"/>
      <c r="F192" s="502"/>
      <c r="G192" s="502"/>
      <c r="H192" s="502"/>
      <c r="I192" s="512"/>
    </row>
    <row r="193" spans="1:9">
      <c r="A193" s="543" t="s">
        <v>2986</v>
      </c>
      <c r="B193" s="515" t="s">
        <v>3801</v>
      </c>
      <c r="C193" s="510" t="s">
        <v>2971</v>
      </c>
      <c r="D193" s="544">
        <v>30</v>
      </c>
      <c r="E193" s="515">
        <v>1150</v>
      </c>
      <c r="F193" s="502">
        <f>D193*E193</f>
        <v>34500</v>
      </c>
      <c r="G193" s="515">
        <v>1725</v>
      </c>
      <c r="H193" s="515">
        <v>36225</v>
      </c>
      <c r="I193" s="515"/>
    </row>
    <row r="194" spans="1:9">
      <c r="A194" s="543" t="s">
        <v>2972</v>
      </c>
      <c r="B194" s="513" t="s">
        <v>3801</v>
      </c>
      <c r="C194" s="513" t="s">
        <v>2971</v>
      </c>
      <c r="D194" s="545">
        <v>5</v>
      </c>
      <c r="E194" s="513">
        <v>1150</v>
      </c>
      <c r="F194" s="502">
        <f>D194*E194</f>
        <v>5750</v>
      </c>
      <c r="G194" s="513">
        <v>288</v>
      </c>
      <c r="H194" s="513">
        <v>6038</v>
      </c>
      <c r="I194" s="515"/>
    </row>
    <row r="195" spans="1:9">
      <c r="A195" s="543" t="s">
        <v>2973</v>
      </c>
      <c r="B195" s="513" t="s">
        <v>3801</v>
      </c>
      <c r="C195" s="513" t="s">
        <v>2971</v>
      </c>
      <c r="D195" s="545">
        <v>15</v>
      </c>
      <c r="E195" s="513">
        <v>1150</v>
      </c>
      <c r="F195" s="502">
        <f>D195*E195</f>
        <v>17250</v>
      </c>
      <c r="G195" s="513">
        <v>863</v>
      </c>
      <c r="H195" s="513">
        <v>18113</v>
      </c>
      <c r="I195" s="515"/>
    </row>
    <row r="196" spans="1:9">
      <c r="A196" s="543" t="s">
        <v>2976</v>
      </c>
      <c r="B196" s="513" t="s">
        <v>3801</v>
      </c>
      <c r="C196" s="513" t="s">
        <v>2971</v>
      </c>
      <c r="D196" s="545">
        <v>20</v>
      </c>
      <c r="E196" s="513">
        <v>1150</v>
      </c>
      <c r="F196" s="502">
        <f>D196*E196</f>
        <v>23000</v>
      </c>
      <c r="G196" s="513">
        <v>1150</v>
      </c>
      <c r="H196" s="513">
        <v>24150</v>
      </c>
      <c r="I196" s="513"/>
    </row>
    <row r="197" spans="1:9">
      <c r="A197" s="543"/>
      <c r="B197" s="513"/>
      <c r="C197" s="513"/>
      <c r="D197" s="517"/>
      <c r="E197" s="502"/>
      <c r="F197" s="546">
        <f>SUM(F193:F196)</f>
        <v>80500</v>
      </c>
      <c r="G197" s="513"/>
      <c r="H197" s="513"/>
      <c r="I197" s="513"/>
    </row>
    <row r="198" spans="1:9">
      <c r="A198" s="547"/>
      <c r="B198" s="517"/>
      <c r="C198" s="517"/>
      <c r="D198" s="517"/>
      <c r="E198" s="502"/>
      <c r="F198" s="502"/>
      <c r="G198" s="517"/>
      <c r="H198" s="517"/>
      <c r="I198" s="517"/>
    </row>
    <row r="199" spans="1:9">
      <c r="A199" s="543" t="s">
        <v>2987</v>
      </c>
      <c r="B199" s="515" t="s">
        <v>2970</v>
      </c>
      <c r="C199" s="510" t="s">
        <v>4443</v>
      </c>
      <c r="D199" s="518">
        <v>200</v>
      </c>
      <c r="E199" s="515">
        <v>118</v>
      </c>
      <c r="F199" s="502">
        <f>D199*E199</f>
        <v>23600</v>
      </c>
      <c r="G199" s="515">
        <v>1180</v>
      </c>
      <c r="H199" s="515">
        <v>24780</v>
      </c>
      <c r="I199" s="515"/>
    </row>
    <row r="200" spans="1:9">
      <c r="A200" s="547"/>
      <c r="B200" s="518"/>
      <c r="C200" s="548"/>
      <c r="D200" s="518"/>
      <c r="E200" s="518"/>
      <c r="F200" s="502"/>
      <c r="G200" s="518"/>
      <c r="H200" s="518"/>
      <c r="I200" s="518"/>
    </row>
    <row r="201" spans="1:9">
      <c r="A201" s="543" t="s">
        <v>2974</v>
      </c>
      <c r="B201" s="513" t="s">
        <v>286</v>
      </c>
      <c r="C201" s="549" t="s">
        <v>2975</v>
      </c>
      <c r="D201" s="545">
        <v>1</v>
      </c>
      <c r="E201" s="513">
        <v>940</v>
      </c>
      <c r="F201" s="502">
        <f>D201*E201</f>
        <v>940</v>
      </c>
      <c r="G201" s="513">
        <v>47</v>
      </c>
      <c r="H201" s="513">
        <v>987</v>
      </c>
      <c r="I201" s="515"/>
    </row>
    <row r="202" spans="1:9">
      <c r="A202" s="543" t="s">
        <v>2977</v>
      </c>
      <c r="B202" s="513" t="s">
        <v>286</v>
      </c>
      <c r="C202" s="549" t="s">
        <v>2975</v>
      </c>
      <c r="D202" s="545">
        <v>100</v>
      </c>
      <c r="E202" s="513">
        <v>850</v>
      </c>
      <c r="F202" s="502">
        <f>D202*E202</f>
        <v>85000</v>
      </c>
      <c r="G202" s="513">
        <v>0</v>
      </c>
      <c r="H202" s="513"/>
      <c r="I202" s="513"/>
    </row>
    <row r="203" spans="1:9">
      <c r="A203" s="543" t="s">
        <v>2977</v>
      </c>
      <c r="B203" s="513" t="s">
        <v>286</v>
      </c>
      <c r="C203" s="549" t="s">
        <v>2975</v>
      </c>
      <c r="D203" s="545">
        <v>10</v>
      </c>
      <c r="E203" s="513">
        <v>25</v>
      </c>
      <c r="F203" s="502">
        <f>D203*E203</f>
        <v>250</v>
      </c>
      <c r="G203" s="513">
        <v>4263</v>
      </c>
      <c r="H203" s="513">
        <v>89813</v>
      </c>
      <c r="I203" s="513"/>
    </row>
    <row r="204" spans="1:9">
      <c r="A204" s="550"/>
      <c r="B204" s="515"/>
      <c r="C204" s="551"/>
      <c r="D204" s="515"/>
      <c r="E204" s="515"/>
      <c r="F204" s="552">
        <f>SUM(F201:F203)</f>
        <v>86190</v>
      </c>
      <c r="G204" s="510">
        <f>SUM(G199:G203)</f>
        <v>5490</v>
      </c>
      <c r="H204" s="510">
        <f>SUM(H199:H203)</f>
        <v>115580</v>
      </c>
      <c r="I204" s="515"/>
    </row>
    <row r="205" spans="1:9">
      <c r="A205" s="550"/>
      <c r="B205" s="515"/>
      <c r="C205" s="515"/>
      <c r="D205" s="515"/>
      <c r="E205" s="502" t="s">
        <v>2988</v>
      </c>
      <c r="F205" s="552">
        <f>SUM(F187:F191)+F197+F199+F204</f>
        <v>997793.96</v>
      </c>
      <c r="G205" s="515"/>
      <c r="H205" s="515"/>
      <c r="I205" s="515"/>
    </row>
    <row r="206" spans="1:9">
      <c r="A206" s="550"/>
      <c r="B206" s="515"/>
      <c r="C206" s="551"/>
      <c r="D206" s="515"/>
      <c r="E206" s="515"/>
      <c r="F206" s="510"/>
      <c r="G206" s="515"/>
      <c r="H206" s="515"/>
      <c r="I206" s="515"/>
    </row>
    <row r="207" spans="1:9">
      <c r="A207" s="550">
        <v>38395</v>
      </c>
      <c r="B207" s="515" t="s">
        <v>2424</v>
      </c>
      <c r="C207" s="515" t="s">
        <v>2978</v>
      </c>
      <c r="D207" s="515">
        <v>1</v>
      </c>
      <c r="E207" s="515">
        <v>8400</v>
      </c>
      <c r="F207" s="502">
        <f t="shared" ref="F207:F214" si="11">D207*E207</f>
        <v>8400</v>
      </c>
      <c r="G207" s="510">
        <v>420</v>
      </c>
      <c r="H207" s="510">
        <v>8820</v>
      </c>
      <c r="I207" s="515" t="s">
        <v>3800</v>
      </c>
    </row>
    <row r="208" spans="1:9">
      <c r="A208" s="550">
        <v>38395</v>
      </c>
      <c r="B208" s="515" t="s">
        <v>1270</v>
      </c>
      <c r="C208" s="515" t="s">
        <v>2978</v>
      </c>
      <c r="D208" s="515">
        <v>1</v>
      </c>
      <c r="E208" s="515">
        <v>8400</v>
      </c>
      <c r="F208" s="502">
        <f t="shared" si="11"/>
        <v>8400</v>
      </c>
      <c r="G208" s="510">
        <v>420</v>
      </c>
      <c r="H208" s="510">
        <v>8820</v>
      </c>
      <c r="I208" s="515" t="s">
        <v>3800</v>
      </c>
    </row>
    <row r="209" spans="1:9">
      <c r="A209" s="550">
        <v>38410</v>
      </c>
      <c r="B209" s="515" t="s">
        <v>1298</v>
      </c>
      <c r="C209" s="515" t="s">
        <v>2978</v>
      </c>
      <c r="D209" s="515">
        <v>1</v>
      </c>
      <c r="E209" s="515">
        <v>8400</v>
      </c>
      <c r="F209" s="502">
        <f t="shared" si="11"/>
        <v>8400</v>
      </c>
      <c r="G209" s="510">
        <v>420</v>
      </c>
      <c r="H209" s="510">
        <v>8820</v>
      </c>
      <c r="I209" s="515" t="s">
        <v>3800</v>
      </c>
    </row>
    <row r="210" spans="1:9">
      <c r="A210" s="550">
        <v>38458</v>
      </c>
      <c r="B210" s="515" t="s">
        <v>2979</v>
      </c>
      <c r="C210" s="515" t="s">
        <v>2978</v>
      </c>
      <c r="D210" s="515">
        <v>1</v>
      </c>
      <c r="E210" s="515">
        <v>8400</v>
      </c>
      <c r="F210" s="502">
        <f t="shared" si="11"/>
        <v>8400</v>
      </c>
      <c r="G210" s="510">
        <v>420</v>
      </c>
      <c r="H210" s="510">
        <v>8820</v>
      </c>
      <c r="I210" s="515" t="s">
        <v>3800</v>
      </c>
    </row>
    <row r="211" spans="1:9">
      <c r="A211" s="550">
        <v>38464</v>
      </c>
      <c r="B211" s="515" t="s">
        <v>2980</v>
      </c>
      <c r="C211" s="515" t="s">
        <v>2978</v>
      </c>
      <c r="D211" s="515">
        <v>1</v>
      </c>
      <c r="E211" s="515">
        <v>8400</v>
      </c>
      <c r="F211" s="502">
        <f t="shared" si="11"/>
        <v>8400</v>
      </c>
      <c r="G211" s="510">
        <v>420</v>
      </c>
      <c r="H211" s="510">
        <v>8820</v>
      </c>
      <c r="I211" s="515" t="s">
        <v>3800</v>
      </c>
    </row>
    <row r="212" spans="1:9">
      <c r="A212" s="550">
        <v>38497</v>
      </c>
      <c r="B212" s="515" t="s">
        <v>1302</v>
      </c>
      <c r="C212" s="515" t="s">
        <v>2978</v>
      </c>
      <c r="D212" s="515">
        <v>1</v>
      </c>
      <c r="E212" s="515">
        <v>8400</v>
      </c>
      <c r="F212" s="502">
        <f t="shared" si="11"/>
        <v>8400</v>
      </c>
      <c r="G212" s="510">
        <v>420</v>
      </c>
      <c r="H212" s="510">
        <v>8820</v>
      </c>
      <c r="I212" s="515" t="s">
        <v>3800</v>
      </c>
    </row>
    <row r="213" spans="1:9">
      <c r="A213" s="550">
        <v>38595</v>
      </c>
      <c r="B213" s="515" t="s">
        <v>2981</v>
      </c>
      <c r="C213" s="515" t="s">
        <v>2978</v>
      </c>
      <c r="D213" s="515">
        <v>1</v>
      </c>
      <c r="E213" s="515">
        <v>4200</v>
      </c>
      <c r="F213" s="502">
        <f t="shared" si="11"/>
        <v>4200</v>
      </c>
      <c r="G213" s="515">
        <v>210</v>
      </c>
      <c r="H213" s="510">
        <v>4410</v>
      </c>
      <c r="I213" s="515" t="s">
        <v>3800</v>
      </c>
    </row>
    <row r="214" spans="1:9">
      <c r="A214" s="550">
        <v>38612</v>
      </c>
      <c r="B214" s="515" t="s">
        <v>2982</v>
      </c>
      <c r="C214" s="515" t="s">
        <v>2978</v>
      </c>
      <c r="D214" s="515">
        <v>1</v>
      </c>
      <c r="E214" s="515">
        <v>4200</v>
      </c>
      <c r="F214" s="502">
        <f t="shared" si="11"/>
        <v>4200</v>
      </c>
      <c r="G214" s="515">
        <v>210</v>
      </c>
      <c r="H214" s="510">
        <v>4410</v>
      </c>
      <c r="I214" s="515" t="s">
        <v>3800</v>
      </c>
    </row>
    <row r="215" spans="1:9">
      <c r="A215" s="550"/>
      <c r="B215" s="515"/>
      <c r="C215" s="515"/>
      <c r="D215" s="515"/>
      <c r="E215" s="502" t="s">
        <v>2988</v>
      </c>
      <c r="F215" s="544">
        <f>SUM(F207:F214)</f>
        <v>58800</v>
      </c>
      <c r="G215" s="515">
        <f>SUM(G207:G214)</f>
        <v>2940</v>
      </c>
      <c r="H215" s="515">
        <f>SUM(H207:H214)</f>
        <v>61740</v>
      </c>
      <c r="I215" s="515"/>
    </row>
    <row r="216" spans="1:9">
      <c r="A216" s="550"/>
      <c r="B216" s="515"/>
      <c r="C216" s="508" t="s">
        <v>2985</v>
      </c>
      <c r="D216" s="515"/>
      <c r="E216" s="510" t="s">
        <v>2378</v>
      </c>
      <c r="F216" s="553">
        <f>F205+F215</f>
        <v>1056593.96</v>
      </c>
      <c r="G216" s="515"/>
      <c r="H216" s="515"/>
      <c r="I216" s="515"/>
    </row>
    <row r="217" spans="1:9">
      <c r="A217" s="550"/>
      <c r="B217" s="515"/>
      <c r="C217" s="515"/>
      <c r="D217" s="515"/>
      <c r="E217" s="515"/>
      <c r="F217" s="515"/>
      <c r="G217" s="515"/>
      <c r="H217" s="515"/>
      <c r="I217" s="515"/>
    </row>
    <row r="218" spans="1:9">
      <c r="A218" s="550"/>
      <c r="B218" s="515"/>
      <c r="C218" s="515"/>
      <c r="D218" s="515"/>
      <c r="E218" s="515"/>
      <c r="F218" s="515"/>
      <c r="G218" s="515"/>
      <c r="H218" s="510"/>
      <c r="I218" s="515"/>
    </row>
  </sheetData>
  <phoneticPr fontId="3" type="noConversion"/>
  <pageMargins left="0.78749999999999998" right="0.78749999999999998" top="0.78749999999999998" bottom="0.78749999999999998" header="0.5" footer="0.5"/>
  <pageSetup paperSize="9" firstPageNumber="0" fitToHeight="0" orientation="portrait" horizontalDpi="300" verticalDpi="300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30"/>
  <sheetViews>
    <sheetView zoomScaleNormal="100" workbookViewId="0">
      <selection activeCell="F10" sqref="F10"/>
    </sheetView>
  </sheetViews>
  <sheetFormatPr defaultColWidth="8" defaultRowHeight="16.5"/>
  <cols>
    <col min="1" max="1" width="11.875" style="506" customWidth="1"/>
    <col min="2" max="2" width="12.625" style="500" customWidth="1"/>
    <col min="3" max="3" width="10.125" style="500" customWidth="1"/>
    <col min="4" max="4" width="7.625" style="500" bestFit="1" customWidth="1"/>
    <col min="5" max="5" width="12.625" style="500" bestFit="1" customWidth="1"/>
    <col min="6" max="6" width="20.5" style="500" bestFit="1" customWidth="1"/>
    <col min="7" max="7" width="9.125" style="500" bestFit="1" customWidth="1"/>
    <col min="8" max="8" width="7.125" style="500" bestFit="1" customWidth="1"/>
    <col min="9" max="9" width="5.125" style="500" bestFit="1" customWidth="1"/>
    <col min="10" max="16384" width="8" style="500"/>
  </cols>
  <sheetData>
    <row r="1" spans="1:9">
      <c r="A1" s="498" t="s">
        <v>19111</v>
      </c>
      <c r="B1" s="499"/>
      <c r="C1" s="499"/>
      <c r="D1" s="499"/>
      <c r="E1" s="499"/>
      <c r="F1" s="499"/>
      <c r="G1" s="499"/>
      <c r="H1" s="499"/>
      <c r="I1" s="499"/>
    </row>
    <row r="2" spans="1:9">
      <c r="A2" s="501" t="s">
        <v>241</v>
      </c>
      <c r="B2" s="502" t="s">
        <v>1373</v>
      </c>
      <c r="C2" s="502" t="s">
        <v>3796</v>
      </c>
      <c r="D2" s="502" t="s">
        <v>2969</v>
      </c>
      <c r="E2" s="502" t="s">
        <v>3797</v>
      </c>
      <c r="G2" s="502"/>
      <c r="I2" s="503"/>
    </row>
    <row r="3" spans="1:9">
      <c r="A3" s="500"/>
      <c r="B3" s="504" t="s">
        <v>282</v>
      </c>
      <c r="C3" s="505">
        <v>9</v>
      </c>
      <c r="D3" s="505">
        <f t="shared" ref="D3:D11" si="0">E3/C3</f>
        <v>2713.4444444444443</v>
      </c>
      <c r="E3" s="505">
        <v>24421</v>
      </c>
      <c r="F3" s="505"/>
      <c r="I3" s="503"/>
    </row>
    <row r="4" spans="1:9">
      <c r="B4" s="504" t="s">
        <v>897</v>
      </c>
      <c r="C4" s="505">
        <v>8</v>
      </c>
      <c r="D4" s="505">
        <f t="shared" si="0"/>
        <v>2661.625</v>
      </c>
      <c r="E4" s="505">
        <v>21293</v>
      </c>
      <c r="F4" s="505"/>
      <c r="I4" s="503"/>
    </row>
    <row r="5" spans="1:9">
      <c r="B5" s="504" t="s">
        <v>283</v>
      </c>
      <c r="C5" s="505">
        <v>10</v>
      </c>
      <c r="D5" s="505">
        <f t="shared" si="0"/>
        <v>797.3</v>
      </c>
      <c r="E5" s="505">
        <v>7973</v>
      </c>
      <c r="F5" s="505"/>
      <c r="I5" s="503"/>
    </row>
    <row r="6" spans="1:9">
      <c r="A6" s="500"/>
      <c r="B6" s="507" t="s">
        <v>1</v>
      </c>
      <c r="C6" s="505">
        <v>18</v>
      </c>
      <c r="D6" s="505">
        <f t="shared" si="0"/>
        <v>2598.0555555555557</v>
      </c>
      <c r="E6" s="505">
        <v>46765</v>
      </c>
      <c r="F6" s="505"/>
      <c r="I6" s="503"/>
    </row>
    <row r="7" spans="1:9">
      <c r="A7" s="500"/>
      <c r="B7" s="504" t="s">
        <v>900</v>
      </c>
      <c r="C7" s="505">
        <v>27</v>
      </c>
      <c r="D7" s="505">
        <f t="shared" si="0"/>
        <v>907.74074074074076</v>
      </c>
      <c r="E7" s="505">
        <v>24509</v>
      </c>
      <c r="F7" s="505"/>
      <c r="I7" s="503"/>
    </row>
    <row r="8" spans="1:9">
      <c r="A8" s="500"/>
      <c r="B8" s="507" t="s">
        <v>3820</v>
      </c>
      <c r="C8" s="505">
        <v>18</v>
      </c>
      <c r="D8" s="505">
        <f t="shared" si="0"/>
        <v>201.72222222222223</v>
      </c>
      <c r="E8" s="921">
        <v>3631</v>
      </c>
      <c r="F8" s="505"/>
      <c r="I8" s="503"/>
    </row>
    <row r="9" spans="1:9">
      <c r="A9" s="500"/>
      <c r="B9" s="507" t="s">
        <v>1452</v>
      </c>
      <c r="C9" s="505">
        <v>8</v>
      </c>
      <c r="D9" s="505">
        <f t="shared" si="0"/>
        <v>1502.375</v>
      </c>
      <c r="E9" s="505">
        <v>12019</v>
      </c>
      <c r="F9" s="505"/>
      <c r="I9" s="503"/>
    </row>
    <row r="10" spans="1:9">
      <c r="A10" s="500"/>
      <c r="B10" s="507" t="s">
        <v>1453</v>
      </c>
      <c r="C10" s="505">
        <v>5</v>
      </c>
      <c r="D10" s="505">
        <f t="shared" si="0"/>
        <v>1619.6</v>
      </c>
      <c r="E10" s="505">
        <v>8098</v>
      </c>
      <c r="F10" s="505"/>
      <c r="I10" s="503"/>
    </row>
    <row r="11" spans="1:9">
      <c r="A11" s="500"/>
      <c r="B11" s="507" t="s">
        <v>3755</v>
      </c>
      <c r="C11" s="505">
        <v>7</v>
      </c>
      <c r="D11" s="505">
        <f t="shared" si="0"/>
        <v>1176.7142857142858</v>
      </c>
      <c r="E11" s="761">
        <v>8237</v>
      </c>
      <c r="F11" s="505"/>
      <c r="I11" s="503"/>
    </row>
    <row r="12" spans="1:9">
      <c r="B12" s="508" t="s">
        <v>2985</v>
      </c>
      <c r="C12" s="509"/>
      <c r="D12" s="510" t="s">
        <v>2378</v>
      </c>
      <c r="E12" s="762">
        <f>SUM(E3:E11)-1</f>
        <v>156945</v>
      </c>
      <c r="F12" s="641"/>
      <c r="G12" s="530"/>
      <c r="I12" s="503"/>
    </row>
    <row r="13" spans="1:9">
      <c r="A13" s="498" t="s">
        <v>15112</v>
      </c>
      <c r="B13" s="499"/>
      <c r="C13" s="499"/>
      <c r="D13" s="499"/>
      <c r="E13" s="499"/>
      <c r="F13" s="499"/>
      <c r="G13" s="499"/>
      <c r="H13" s="499"/>
      <c r="I13" s="499"/>
    </row>
    <row r="14" spans="1:9">
      <c r="A14" s="501" t="s">
        <v>241</v>
      </c>
      <c r="B14" s="502" t="s">
        <v>1373</v>
      </c>
      <c r="C14" s="502" t="s">
        <v>3796</v>
      </c>
      <c r="D14" s="502" t="s">
        <v>2969</v>
      </c>
      <c r="E14" s="502" t="s">
        <v>3797</v>
      </c>
      <c r="G14" s="502"/>
      <c r="I14" s="503"/>
    </row>
    <row r="15" spans="1:9">
      <c r="A15" s="500"/>
      <c r="B15" s="504" t="s">
        <v>282</v>
      </c>
      <c r="C15" s="505">
        <v>10</v>
      </c>
      <c r="D15" s="505">
        <f t="shared" ref="D15:D23" si="1">E15/C15</f>
        <v>2402.4</v>
      </c>
      <c r="E15" s="505">
        <v>24024</v>
      </c>
      <c r="F15" s="505"/>
      <c r="I15" s="503"/>
    </row>
    <row r="16" spans="1:9">
      <c r="B16" s="504" t="s">
        <v>897</v>
      </c>
      <c r="C16" s="505">
        <v>9</v>
      </c>
      <c r="D16" s="505">
        <f t="shared" si="1"/>
        <v>2456.1111111111113</v>
      </c>
      <c r="E16" s="505">
        <v>22105</v>
      </c>
      <c r="F16" s="505"/>
      <c r="I16" s="503"/>
    </row>
    <row r="17" spans="1:9">
      <c r="B17" s="504" t="s">
        <v>283</v>
      </c>
      <c r="C17" s="505">
        <v>10</v>
      </c>
      <c r="D17" s="505">
        <f t="shared" si="1"/>
        <v>1027.5999999999999</v>
      </c>
      <c r="E17" s="505">
        <v>10276</v>
      </c>
      <c r="F17" s="505"/>
      <c r="I17" s="503"/>
    </row>
    <row r="18" spans="1:9">
      <c r="A18" s="500"/>
      <c r="B18" s="507" t="s">
        <v>1</v>
      </c>
      <c r="C18" s="505">
        <v>11</v>
      </c>
      <c r="D18" s="505">
        <f t="shared" si="1"/>
        <v>2669.4545454545455</v>
      </c>
      <c r="E18" s="505">
        <v>29364</v>
      </c>
      <c r="F18" s="505"/>
      <c r="I18" s="503"/>
    </row>
    <row r="19" spans="1:9">
      <c r="A19" s="500"/>
      <c r="B19" s="504" t="s">
        <v>900</v>
      </c>
      <c r="C19" s="505">
        <v>21</v>
      </c>
      <c r="D19" s="505">
        <f t="shared" si="1"/>
        <v>378.28571428571428</v>
      </c>
      <c r="E19" s="505">
        <v>7944</v>
      </c>
      <c r="F19" s="505"/>
      <c r="I19" s="503"/>
    </row>
    <row r="20" spans="1:9">
      <c r="A20" s="500"/>
      <c r="B20" s="507" t="s">
        <v>3820</v>
      </c>
      <c r="C20" s="505">
        <v>19</v>
      </c>
      <c r="D20" s="505">
        <f t="shared" si="1"/>
        <v>190.78947368421052</v>
      </c>
      <c r="E20" s="818">
        <v>3625</v>
      </c>
      <c r="F20" s="505"/>
      <c r="I20" s="503"/>
    </row>
    <row r="21" spans="1:9">
      <c r="A21" s="500"/>
      <c r="B21" s="507" t="s">
        <v>1452</v>
      </c>
      <c r="C21" s="505">
        <v>13</v>
      </c>
      <c r="D21" s="505">
        <f t="shared" si="1"/>
        <v>1688.3846153846155</v>
      </c>
      <c r="E21" s="505">
        <v>21949</v>
      </c>
      <c r="F21" s="505"/>
      <c r="I21" s="503"/>
    </row>
    <row r="22" spans="1:9">
      <c r="A22" s="500"/>
      <c r="B22" s="507" t="s">
        <v>1453</v>
      </c>
      <c r="C22" s="505">
        <v>7</v>
      </c>
      <c r="D22" s="505">
        <f t="shared" si="1"/>
        <v>2167</v>
      </c>
      <c r="E22" s="505">
        <v>15169</v>
      </c>
      <c r="F22" s="505"/>
      <c r="I22" s="503"/>
    </row>
    <row r="23" spans="1:9">
      <c r="A23" s="500"/>
      <c r="B23" s="507" t="s">
        <v>3755</v>
      </c>
      <c r="C23" s="505">
        <v>4</v>
      </c>
      <c r="D23" s="505">
        <f t="shared" si="1"/>
        <v>268.5</v>
      </c>
      <c r="E23" s="761">
        <v>1074</v>
      </c>
      <c r="F23" s="505"/>
      <c r="I23" s="503"/>
    </row>
    <row r="24" spans="1:9">
      <c r="B24" s="508" t="s">
        <v>2985</v>
      </c>
      <c r="C24" s="509"/>
      <c r="D24" s="510" t="s">
        <v>2378</v>
      </c>
      <c r="E24" s="762">
        <f>SUM(E15:E23)-1</f>
        <v>135529</v>
      </c>
      <c r="F24" s="641"/>
      <c r="G24" s="530"/>
      <c r="I24" s="503"/>
    </row>
    <row r="25" spans="1:9">
      <c r="A25" s="498" t="s">
        <v>10036</v>
      </c>
      <c r="B25" s="499"/>
      <c r="C25" s="499"/>
      <c r="D25" s="499"/>
      <c r="E25" s="499"/>
      <c r="F25" s="499"/>
      <c r="G25" s="499"/>
      <c r="H25" s="499"/>
      <c r="I25" s="499"/>
    </row>
    <row r="26" spans="1:9">
      <c r="A26" s="501" t="s">
        <v>241</v>
      </c>
      <c r="B26" s="502" t="s">
        <v>1373</v>
      </c>
      <c r="C26" s="502" t="s">
        <v>3796</v>
      </c>
      <c r="D26" s="502" t="s">
        <v>2969</v>
      </c>
      <c r="E26" s="502" t="s">
        <v>3797</v>
      </c>
      <c r="G26" s="502"/>
      <c r="I26" s="503"/>
    </row>
    <row r="27" spans="1:9">
      <c r="A27" s="500"/>
      <c r="B27" s="504" t="s">
        <v>282</v>
      </c>
      <c r="C27" s="505">
        <v>14</v>
      </c>
      <c r="D27" s="505">
        <f t="shared" ref="D27:D35" si="2">E27/C27</f>
        <v>2582.9285714285716</v>
      </c>
      <c r="E27" s="505">
        <v>36161</v>
      </c>
      <c r="F27" s="505"/>
      <c r="I27" s="503"/>
    </row>
    <row r="28" spans="1:9">
      <c r="B28" s="504" t="s">
        <v>897</v>
      </c>
      <c r="C28" s="505">
        <v>12</v>
      </c>
      <c r="D28" s="505">
        <f t="shared" si="2"/>
        <v>2787.5833333333335</v>
      </c>
      <c r="E28" s="505">
        <v>33451</v>
      </c>
      <c r="F28" s="505"/>
      <c r="I28" s="503"/>
    </row>
    <row r="29" spans="1:9">
      <c r="B29" s="504" t="s">
        <v>283</v>
      </c>
      <c r="C29" s="505">
        <v>13</v>
      </c>
      <c r="D29" s="505">
        <f t="shared" si="2"/>
        <v>1512.1538461538462</v>
      </c>
      <c r="E29" s="505">
        <v>19658</v>
      </c>
      <c r="F29" s="505"/>
      <c r="I29" s="503"/>
    </row>
    <row r="30" spans="1:9">
      <c r="A30" s="500"/>
      <c r="B30" s="507" t="s">
        <v>1</v>
      </c>
      <c r="C30" s="505">
        <v>20</v>
      </c>
      <c r="D30" s="505">
        <f t="shared" si="2"/>
        <v>2838.4</v>
      </c>
      <c r="E30" s="505">
        <v>56768</v>
      </c>
      <c r="F30" s="505"/>
      <c r="I30" s="503"/>
    </row>
    <row r="31" spans="1:9">
      <c r="A31" s="500"/>
      <c r="B31" s="504" t="s">
        <v>900</v>
      </c>
      <c r="C31" s="505">
        <v>27</v>
      </c>
      <c r="D31" s="505">
        <f t="shared" si="2"/>
        <v>595.74074074074076</v>
      </c>
      <c r="E31" s="505">
        <v>16085</v>
      </c>
      <c r="F31" s="505"/>
      <c r="I31" s="503"/>
    </row>
    <row r="32" spans="1:9">
      <c r="A32" s="500"/>
      <c r="B32" s="507" t="s">
        <v>3820</v>
      </c>
      <c r="C32" s="505">
        <v>24</v>
      </c>
      <c r="D32" s="505">
        <f t="shared" si="2"/>
        <v>278.83333333333331</v>
      </c>
      <c r="E32" s="505">
        <v>6692</v>
      </c>
      <c r="F32" s="505"/>
      <c r="I32" s="503"/>
    </row>
    <row r="33" spans="1:9">
      <c r="A33" s="500"/>
      <c r="B33" s="507" t="s">
        <v>1452</v>
      </c>
      <c r="C33" s="505">
        <v>13</v>
      </c>
      <c r="D33" s="505">
        <f t="shared" si="2"/>
        <v>1552.2307692307693</v>
      </c>
      <c r="E33" s="505">
        <v>20179</v>
      </c>
      <c r="F33" s="505"/>
      <c r="I33" s="503"/>
    </row>
    <row r="34" spans="1:9">
      <c r="A34" s="500"/>
      <c r="B34" s="507" t="s">
        <v>1453</v>
      </c>
      <c r="C34" s="505">
        <v>8</v>
      </c>
      <c r="D34" s="505">
        <f t="shared" si="2"/>
        <v>2010.375</v>
      </c>
      <c r="E34" s="505">
        <v>16083</v>
      </c>
      <c r="F34" s="505"/>
      <c r="I34" s="503"/>
    </row>
    <row r="35" spans="1:9">
      <c r="A35" s="500"/>
      <c r="B35" s="507" t="s">
        <v>3755</v>
      </c>
      <c r="C35" s="505">
        <v>4</v>
      </c>
      <c r="D35" s="505">
        <f t="shared" si="2"/>
        <v>631.75</v>
      </c>
      <c r="E35" s="684">
        <f>2356+171</f>
        <v>2527</v>
      </c>
      <c r="F35" s="505"/>
      <c r="I35" s="503"/>
    </row>
    <row r="36" spans="1:9">
      <c r="B36" s="508" t="s">
        <v>2985</v>
      </c>
      <c r="C36" s="509"/>
      <c r="D36" s="510" t="s">
        <v>2378</v>
      </c>
      <c r="E36" s="511">
        <f>SUM(E27:E35)</f>
        <v>207604</v>
      </c>
      <c r="F36" s="641"/>
      <c r="I36" s="503"/>
    </row>
    <row r="37" spans="1:9">
      <c r="A37" s="498" t="s">
        <v>5619</v>
      </c>
      <c r="B37" s="499"/>
      <c r="C37" s="499"/>
      <c r="D37" s="499"/>
      <c r="E37" s="499"/>
      <c r="F37" s="499"/>
      <c r="G37" s="499"/>
      <c r="H37" s="499"/>
      <c r="I37" s="499"/>
    </row>
    <row r="38" spans="1:9">
      <c r="A38" s="501" t="s">
        <v>241</v>
      </c>
      <c r="B38" s="502" t="s">
        <v>1373</v>
      </c>
      <c r="C38" s="502" t="s">
        <v>3796</v>
      </c>
      <c r="D38" s="502" t="s">
        <v>2969</v>
      </c>
      <c r="E38" s="502" t="s">
        <v>3797</v>
      </c>
      <c r="G38" s="502"/>
      <c r="I38" s="503"/>
    </row>
    <row r="39" spans="1:9">
      <c r="A39" s="500"/>
      <c r="B39" s="504" t="s">
        <v>282</v>
      </c>
      <c r="C39" s="505">
        <v>16</v>
      </c>
      <c r="D39" s="505">
        <f t="shared" ref="D39:D47" si="3">E39/C39</f>
        <v>2348.8125</v>
      </c>
      <c r="E39" s="505">
        <v>37581</v>
      </c>
      <c r="F39" s="505"/>
      <c r="I39" s="503"/>
    </row>
    <row r="40" spans="1:9">
      <c r="B40" s="504" t="s">
        <v>897</v>
      </c>
      <c r="C40" s="505">
        <v>13</v>
      </c>
      <c r="D40" s="505">
        <f t="shared" si="3"/>
        <v>2693.8461538461538</v>
      </c>
      <c r="E40" s="505">
        <v>35020</v>
      </c>
      <c r="F40" s="505"/>
      <c r="I40" s="503"/>
    </row>
    <row r="41" spans="1:9">
      <c r="B41" s="504" t="s">
        <v>283</v>
      </c>
      <c r="C41" s="505">
        <v>12</v>
      </c>
      <c r="D41" s="505">
        <f t="shared" si="3"/>
        <v>1149.9166666666667</v>
      </c>
      <c r="E41" s="505">
        <v>13799</v>
      </c>
      <c r="F41" s="505"/>
      <c r="I41" s="503"/>
    </row>
    <row r="42" spans="1:9">
      <c r="A42" s="500"/>
      <c r="B42" s="507" t="s">
        <v>1</v>
      </c>
      <c r="C42" s="505">
        <v>19</v>
      </c>
      <c r="D42" s="505">
        <f t="shared" si="3"/>
        <v>3031.6315789473683</v>
      </c>
      <c r="E42" s="505">
        <v>57601</v>
      </c>
      <c r="F42" s="505"/>
      <c r="I42" s="503"/>
    </row>
    <row r="43" spans="1:9">
      <c r="A43" s="500"/>
      <c r="B43" s="504" t="s">
        <v>900</v>
      </c>
      <c r="C43" s="505">
        <v>32</v>
      </c>
      <c r="D43" s="505">
        <f t="shared" si="3"/>
        <v>525.96875</v>
      </c>
      <c r="E43" s="505">
        <v>16831</v>
      </c>
      <c r="F43" s="505"/>
      <c r="I43" s="503"/>
    </row>
    <row r="44" spans="1:9">
      <c r="A44" s="500"/>
      <c r="B44" s="507" t="s">
        <v>3820</v>
      </c>
      <c r="C44" s="505">
        <v>32</v>
      </c>
      <c r="D44" s="505">
        <f t="shared" si="3"/>
        <v>274.125</v>
      </c>
      <c r="E44" s="505">
        <v>8772</v>
      </c>
      <c r="F44" s="505"/>
      <c r="I44" s="503"/>
    </row>
    <row r="45" spans="1:9">
      <c r="A45" s="500"/>
      <c r="B45" s="507" t="s">
        <v>1452</v>
      </c>
      <c r="C45" s="505">
        <v>14</v>
      </c>
      <c r="D45" s="505">
        <f t="shared" si="3"/>
        <v>1380.1428571428571</v>
      </c>
      <c r="E45" s="505">
        <v>19322</v>
      </c>
      <c r="F45" s="505"/>
      <c r="I45" s="503"/>
    </row>
    <row r="46" spans="1:9">
      <c r="A46" s="500"/>
      <c r="B46" s="507" t="s">
        <v>1453</v>
      </c>
      <c r="C46" s="505">
        <v>11</v>
      </c>
      <c r="D46" s="505">
        <f t="shared" si="3"/>
        <v>2206.818181818182</v>
      </c>
      <c r="E46" s="505">
        <v>24275</v>
      </c>
      <c r="F46" s="505"/>
      <c r="I46" s="503"/>
    </row>
    <row r="47" spans="1:9">
      <c r="A47" s="500"/>
      <c r="B47" s="507" t="s">
        <v>3755</v>
      </c>
      <c r="C47" s="505">
        <v>10</v>
      </c>
      <c r="D47" s="505">
        <f t="shared" si="3"/>
        <v>1408.1</v>
      </c>
      <c r="E47" s="505">
        <f>13864+185+33-1</f>
        <v>14081</v>
      </c>
      <c r="F47" s="505"/>
      <c r="I47" s="503"/>
    </row>
    <row r="48" spans="1:9">
      <c r="B48" s="508" t="s">
        <v>2985</v>
      </c>
      <c r="C48" s="509"/>
      <c r="D48" s="510" t="s">
        <v>2378</v>
      </c>
      <c r="E48" s="511">
        <f>SUM(E39:E47)</f>
        <v>227282</v>
      </c>
      <c r="F48" s="641"/>
      <c r="I48" s="503"/>
    </row>
    <row r="49" spans="1:9">
      <c r="A49" s="498" t="s">
        <v>4829</v>
      </c>
      <c r="B49" s="499"/>
      <c r="C49" s="499"/>
      <c r="D49" s="499"/>
      <c r="E49" s="499"/>
      <c r="F49" s="499"/>
      <c r="G49" s="499"/>
      <c r="H49" s="499"/>
      <c r="I49" s="499"/>
    </row>
    <row r="50" spans="1:9">
      <c r="A50" s="501" t="s">
        <v>241</v>
      </c>
      <c r="B50" s="502" t="s">
        <v>1373</v>
      </c>
      <c r="C50" s="502" t="s">
        <v>3796</v>
      </c>
      <c r="D50" s="502" t="s">
        <v>2969</v>
      </c>
      <c r="E50" s="502" t="s">
        <v>3797</v>
      </c>
      <c r="G50" s="502"/>
      <c r="I50" s="503"/>
    </row>
    <row r="51" spans="1:9">
      <c r="A51" s="500"/>
      <c r="B51" s="504" t="s">
        <v>282</v>
      </c>
      <c r="C51" s="505">
        <v>13</v>
      </c>
      <c r="D51" s="505">
        <f t="shared" ref="D51:D59" si="4">E51/C51</f>
        <v>2189.5384615384614</v>
      </c>
      <c r="E51" s="505">
        <v>28464</v>
      </c>
      <c r="F51" s="505"/>
      <c r="I51" s="503"/>
    </row>
    <row r="52" spans="1:9">
      <c r="B52" s="504" t="s">
        <v>897</v>
      </c>
      <c r="C52" s="505">
        <v>14</v>
      </c>
      <c r="D52" s="505">
        <f t="shared" si="4"/>
        <v>2289.8571428571427</v>
      </c>
      <c r="E52" s="505">
        <v>32058</v>
      </c>
      <c r="F52" s="505"/>
      <c r="I52" s="503"/>
    </row>
    <row r="53" spans="1:9">
      <c r="B53" s="504" t="s">
        <v>283</v>
      </c>
      <c r="C53" s="505">
        <v>15</v>
      </c>
      <c r="D53" s="505">
        <f t="shared" si="4"/>
        <v>828.26666666666665</v>
      </c>
      <c r="E53" s="505">
        <v>12424</v>
      </c>
      <c r="F53" s="505"/>
      <c r="I53" s="503"/>
    </row>
    <row r="54" spans="1:9">
      <c r="A54" s="500"/>
      <c r="B54" s="507" t="s">
        <v>1</v>
      </c>
      <c r="C54" s="505">
        <v>17</v>
      </c>
      <c r="D54" s="505">
        <f t="shared" si="4"/>
        <v>3197.294117647059</v>
      </c>
      <c r="E54" s="505">
        <v>54354</v>
      </c>
      <c r="F54" s="505"/>
      <c r="I54" s="503"/>
    </row>
    <row r="55" spans="1:9">
      <c r="A55" s="500"/>
      <c r="B55" s="504" t="s">
        <v>900</v>
      </c>
      <c r="C55" s="505">
        <v>29</v>
      </c>
      <c r="D55" s="505">
        <f t="shared" si="4"/>
        <v>492.9655172413793</v>
      </c>
      <c r="E55" s="505">
        <v>14296</v>
      </c>
      <c r="F55" s="505"/>
      <c r="I55" s="503"/>
    </row>
    <row r="56" spans="1:9">
      <c r="A56" s="500"/>
      <c r="B56" s="507" t="s">
        <v>3820</v>
      </c>
      <c r="C56" s="505">
        <v>22</v>
      </c>
      <c r="D56" s="505">
        <f t="shared" si="4"/>
        <v>254.63636363636363</v>
      </c>
      <c r="E56" s="505">
        <v>5602</v>
      </c>
      <c r="F56" s="505"/>
      <c r="I56" s="503"/>
    </row>
    <row r="57" spans="1:9">
      <c r="A57" s="500"/>
      <c r="B57" s="507" t="s">
        <v>1452</v>
      </c>
      <c r="C57" s="505">
        <v>12</v>
      </c>
      <c r="D57" s="505">
        <f t="shared" si="4"/>
        <v>1377.8333333333333</v>
      </c>
      <c r="E57" s="505">
        <v>16534</v>
      </c>
      <c r="F57" s="505"/>
      <c r="I57" s="503"/>
    </row>
    <row r="58" spans="1:9">
      <c r="A58" s="500"/>
      <c r="B58" s="507" t="s">
        <v>1453</v>
      </c>
      <c r="C58" s="505">
        <v>12</v>
      </c>
      <c r="D58" s="505">
        <f t="shared" si="4"/>
        <v>2057.0833333333335</v>
      </c>
      <c r="E58" s="505">
        <v>24685</v>
      </c>
      <c r="F58" s="505"/>
      <c r="I58" s="503"/>
    </row>
    <row r="59" spans="1:9">
      <c r="A59" s="500"/>
      <c r="B59" s="507" t="s">
        <v>3755</v>
      </c>
      <c r="C59" s="505">
        <v>1</v>
      </c>
      <c r="D59" s="505">
        <f t="shared" si="4"/>
        <v>1513</v>
      </c>
      <c r="E59" s="505">
        <v>1513</v>
      </c>
      <c r="F59" s="505"/>
      <c r="I59" s="503"/>
    </row>
    <row r="60" spans="1:9">
      <c r="B60" s="508" t="s">
        <v>2985</v>
      </c>
      <c r="C60" s="509"/>
      <c r="D60" s="510" t="s">
        <v>2378</v>
      </c>
      <c r="E60" s="511">
        <f>SUM(E51:E59)</f>
        <v>189930</v>
      </c>
      <c r="I60" s="503"/>
    </row>
    <row r="61" spans="1:9">
      <c r="A61" s="498" t="s">
        <v>4440</v>
      </c>
      <c r="B61" s="499"/>
      <c r="C61" s="499"/>
      <c r="D61" s="499"/>
      <c r="E61" s="499"/>
      <c r="F61" s="499"/>
      <c r="G61" s="499"/>
      <c r="H61" s="499"/>
      <c r="I61" s="499"/>
    </row>
    <row r="62" spans="1:9">
      <c r="A62" s="501" t="s">
        <v>241</v>
      </c>
      <c r="B62" s="502" t="s">
        <v>1373</v>
      </c>
      <c r="C62" s="502" t="s">
        <v>3796</v>
      </c>
      <c r="D62" s="502" t="s">
        <v>2969</v>
      </c>
      <c r="E62" s="502" t="s">
        <v>3797</v>
      </c>
      <c r="G62" s="502"/>
      <c r="I62" s="503"/>
    </row>
    <row r="63" spans="1:9">
      <c r="A63" s="500"/>
      <c r="B63" s="504" t="s">
        <v>282</v>
      </c>
      <c r="C63" s="505">
        <v>15</v>
      </c>
      <c r="D63" s="505">
        <f t="shared" ref="D63:D71" si="5">E63/C63</f>
        <v>1887.8</v>
      </c>
      <c r="E63" s="505">
        <v>28317</v>
      </c>
      <c r="F63" s="505"/>
      <c r="I63" s="503"/>
    </row>
    <row r="64" spans="1:9">
      <c r="B64" s="504" t="s">
        <v>897</v>
      </c>
      <c r="C64" s="505">
        <v>16</v>
      </c>
      <c r="D64" s="505">
        <f t="shared" si="5"/>
        <v>1913.25</v>
      </c>
      <c r="E64" s="505">
        <v>30612</v>
      </c>
      <c r="F64" s="505"/>
      <c r="I64" s="503"/>
    </row>
    <row r="65" spans="1:9">
      <c r="B65" s="504" t="s">
        <v>283</v>
      </c>
      <c r="C65" s="505">
        <v>18</v>
      </c>
      <c r="D65" s="505">
        <f t="shared" si="5"/>
        <v>1002</v>
      </c>
      <c r="E65" s="505">
        <v>18036</v>
      </c>
      <c r="F65" s="505"/>
      <c r="I65" s="503"/>
    </row>
    <row r="66" spans="1:9">
      <c r="A66" s="500"/>
      <c r="B66" s="507" t="s">
        <v>1</v>
      </c>
      <c r="C66" s="505">
        <v>28</v>
      </c>
      <c r="D66" s="505">
        <f t="shared" si="5"/>
        <v>2818.4642857142858</v>
      </c>
      <c r="E66" s="505">
        <v>78917</v>
      </c>
      <c r="F66" s="505"/>
      <c r="I66" s="503"/>
    </row>
    <row r="67" spans="1:9">
      <c r="A67" s="500"/>
      <c r="B67" s="504" t="s">
        <v>900</v>
      </c>
      <c r="C67" s="505">
        <v>36</v>
      </c>
      <c r="D67" s="505">
        <f t="shared" si="5"/>
        <v>432.36111111111109</v>
      </c>
      <c r="E67" s="505">
        <v>15565</v>
      </c>
      <c r="F67" s="505"/>
      <c r="I67" s="503"/>
    </row>
    <row r="68" spans="1:9">
      <c r="A68" s="500"/>
      <c r="B68" s="507" t="s">
        <v>3820</v>
      </c>
      <c r="C68" s="505">
        <v>32</v>
      </c>
      <c r="D68" s="505">
        <f t="shared" si="5"/>
        <v>221.375</v>
      </c>
      <c r="E68" s="505">
        <v>7084</v>
      </c>
      <c r="F68" s="505"/>
      <c r="I68" s="503"/>
    </row>
    <row r="69" spans="1:9">
      <c r="A69" s="500"/>
      <c r="B69" s="507" t="s">
        <v>1452</v>
      </c>
      <c r="C69" s="505">
        <v>15</v>
      </c>
      <c r="D69" s="505">
        <f t="shared" si="5"/>
        <v>1363.4</v>
      </c>
      <c r="E69" s="505">
        <v>20451</v>
      </c>
      <c r="F69" s="505"/>
      <c r="I69" s="503"/>
    </row>
    <row r="70" spans="1:9">
      <c r="A70" s="500"/>
      <c r="B70" s="507" t="s">
        <v>1453</v>
      </c>
      <c r="C70" s="505">
        <v>16</v>
      </c>
      <c r="D70" s="505">
        <f t="shared" si="5"/>
        <v>2142.375</v>
      </c>
      <c r="E70" s="505">
        <v>34278</v>
      </c>
      <c r="F70" s="505"/>
      <c r="I70" s="503"/>
    </row>
    <row r="71" spans="1:9">
      <c r="A71" s="500"/>
      <c r="B71" s="507" t="s">
        <v>3755</v>
      </c>
      <c r="C71" s="505">
        <v>6</v>
      </c>
      <c r="D71" s="505">
        <f t="shared" si="5"/>
        <v>1222.1666666666667</v>
      </c>
      <c r="E71" s="505">
        <v>7333</v>
      </c>
      <c r="F71" s="505"/>
      <c r="I71" s="503"/>
    </row>
    <row r="72" spans="1:9">
      <c r="B72" s="508" t="s">
        <v>2985</v>
      </c>
      <c r="C72" s="509"/>
      <c r="D72" s="510" t="s">
        <v>2378</v>
      </c>
      <c r="E72" s="511">
        <f>SUM(E63:E71)</f>
        <v>240593</v>
      </c>
      <c r="I72" s="503"/>
    </row>
    <row r="73" spans="1:9">
      <c r="A73" s="499" t="s">
        <v>2613</v>
      </c>
      <c r="B73" s="499"/>
      <c r="C73" s="499"/>
      <c r="D73" s="499"/>
      <c r="E73" s="499"/>
      <c r="F73" s="499"/>
      <c r="G73" s="499"/>
      <c r="H73" s="499"/>
      <c r="I73" s="499"/>
    </row>
    <row r="74" spans="1:9">
      <c r="A74" s="501" t="s">
        <v>241</v>
      </c>
      <c r="B74" s="502" t="s">
        <v>1373</v>
      </c>
      <c r="C74" s="502" t="s">
        <v>3796</v>
      </c>
      <c r="D74" s="502" t="s">
        <v>2969</v>
      </c>
      <c r="E74" s="502" t="s">
        <v>3797</v>
      </c>
      <c r="G74" s="502"/>
      <c r="I74" s="503"/>
    </row>
    <row r="75" spans="1:9">
      <c r="A75" s="500"/>
      <c r="B75" s="504" t="s">
        <v>282</v>
      </c>
      <c r="C75" s="505">
        <v>17</v>
      </c>
      <c r="D75" s="505">
        <f t="shared" ref="D75:D83" si="6">E75/C75</f>
        <v>2613.2352941176468</v>
      </c>
      <c r="E75" s="505">
        <v>44425</v>
      </c>
      <c r="F75" s="505"/>
      <c r="I75" s="503"/>
    </row>
    <row r="76" spans="1:9">
      <c r="B76" s="504" t="s">
        <v>897</v>
      </c>
      <c r="C76" s="505">
        <v>16</v>
      </c>
      <c r="D76" s="505">
        <f t="shared" si="6"/>
        <v>2168.9375</v>
      </c>
      <c r="E76" s="505">
        <v>34703</v>
      </c>
      <c r="F76" s="505"/>
      <c r="I76" s="503"/>
    </row>
    <row r="77" spans="1:9">
      <c r="B77" s="504" t="s">
        <v>283</v>
      </c>
      <c r="C77" s="505">
        <v>21</v>
      </c>
      <c r="D77" s="505">
        <f t="shared" si="6"/>
        <v>1465.047619047619</v>
      </c>
      <c r="E77" s="505">
        <v>30766</v>
      </c>
      <c r="F77" s="505"/>
      <c r="I77" s="503"/>
    </row>
    <row r="78" spans="1:9">
      <c r="A78" s="500"/>
      <c r="B78" s="507" t="s">
        <v>1</v>
      </c>
      <c r="C78" s="505">
        <v>23</v>
      </c>
      <c r="D78" s="505">
        <f t="shared" si="6"/>
        <v>2543.8695652173915</v>
      </c>
      <c r="E78" s="505">
        <v>58509</v>
      </c>
      <c r="F78" s="505"/>
      <c r="I78" s="503"/>
    </row>
    <row r="79" spans="1:9">
      <c r="A79" s="500"/>
      <c r="B79" s="504" t="s">
        <v>900</v>
      </c>
      <c r="C79" s="505">
        <v>40</v>
      </c>
      <c r="D79" s="505">
        <f t="shared" si="6"/>
        <v>538.82500000000005</v>
      </c>
      <c r="E79" s="505">
        <v>21553</v>
      </c>
      <c r="F79" s="505"/>
      <c r="I79" s="503"/>
    </row>
    <row r="80" spans="1:9">
      <c r="A80" s="500"/>
      <c r="B80" s="507" t="s">
        <v>3820</v>
      </c>
      <c r="C80" s="505">
        <v>32</v>
      </c>
      <c r="D80" s="505">
        <f t="shared" si="6"/>
        <v>226.1875</v>
      </c>
      <c r="E80" s="505">
        <v>7238</v>
      </c>
      <c r="F80" s="505"/>
      <c r="I80" s="503"/>
    </row>
    <row r="81" spans="1:9">
      <c r="A81" s="500"/>
      <c r="B81" s="507" t="s">
        <v>1452</v>
      </c>
      <c r="C81" s="505">
        <v>18</v>
      </c>
      <c r="D81" s="505">
        <f t="shared" si="6"/>
        <v>1648.0555555555557</v>
      </c>
      <c r="E81" s="505">
        <v>29665</v>
      </c>
      <c r="F81" s="505"/>
      <c r="I81" s="503"/>
    </row>
    <row r="82" spans="1:9">
      <c r="A82" s="500"/>
      <c r="B82" s="507" t="s">
        <v>1453</v>
      </c>
      <c r="C82" s="505">
        <v>14</v>
      </c>
      <c r="D82" s="505">
        <f t="shared" si="6"/>
        <v>2331.4285714285716</v>
      </c>
      <c r="E82" s="505">
        <v>32640</v>
      </c>
      <c r="F82" s="505"/>
      <c r="I82" s="503"/>
    </row>
    <row r="83" spans="1:9">
      <c r="A83" s="500"/>
      <c r="B83" s="507" t="s">
        <v>3755</v>
      </c>
      <c r="C83" s="505">
        <v>11</v>
      </c>
      <c r="D83" s="505">
        <f t="shared" si="6"/>
        <v>409.36363636363637</v>
      </c>
      <c r="E83" s="505">
        <v>4503</v>
      </c>
      <c r="F83" s="505"/>
      <c r="I83" s="503"/>
    </row>
    <row r="84" spans="1:9">
      <c r="B84" s="508" t="s">
        <v>2985</v>
      </c>
      <c r="C84" s="509"/>
      <c r="D84" s="510" t="s">
        <v>2378</v>
      </c>
      <c r="E84" s="511">
        <f>SUM(E75:E83)</f>
        <v>264002</v>
      </c>
      <c r="I84" s="503"/>
    </row>
    <row r="85" spans="1:9">
      <c r="A85" s="499" t="s">
        <v>1451</v>
      </c>
      <c r="B85" s="499"/>
      <c r="C85" s="499"/>
      <c r="D85" s="499"/>
      <c r="E85" s="499"/>
      <c r="F85" s="499"/>
      <c r="G85" s="499"/>
      <c r="H85" s="499"/>
      <c r="I85" s="499"/>
    </row>
    <row r="86" spans="1:9">
      <c r="A86" s="501" t="s">
        <v>241</v>
      </c>
      <c r="B86" s="502" t="s">
        <v>1373</v>
      </c>
      <c r="C86" s="502" t="s">
        <v>3796</v>
      </c>
      <c r="D86" s="502" t="s">
        <v>2969</v>
      </c>
      <c r="E86" s="502" t="s">
        <v>3797</v>
      </c>
      <c r="G86" s="502"/>
      <c r="I86" s="503"/>
    </row>
    <row r="87" spans="1:9">
      <c r="A87" s="500"/>
      <c r="B87" s="504" t="s">
        <v>282</v>
      </c>
      <c r="C87" s="505">
        <v>15</v>
      </c>
      <c r="D87" s="505">
        <f t="shared" ref="D87:D95" si="7">E87/C87</f>
        <v>1970.9333333333334</v>
      </c>
      <c r="E87" s="505">
        <v>29564</v>
      </c>
      <c r="F87" s="505"/>
      <c r="I87" s="503"/>
    </row>
    <row r="88" spans="1:9">
      <c r="B88" s="504" t="s">
        <v>897</v>
      </c>
      <c r="C88" s="505">
        <v>15</v>
      </c>
      <c r="D88" s="505">
        <f t="shared" si="7"/>
        <v>2568.2666666666669</v>
      </c>
      <c r="E88" s="505">
        <v>38524</v>
      </c>
      <c r="F88" s="505"/>
      <c r="I88" s="503"/>
    </row>
    <row r="89" spans="1:9" s="512" customFormat="1">
      <c r="A89" s="506"/>
      <c r="B89" s="504" t="s">
        <v>283</v>
      </c>
      <c r="C89" s="505">
        <v>14</v>
      </c>
      <c r="D89" s="505">
        <f t="shared" si="7"/>
        <v>937.78571428571433</v>
      </c>
      <c r="E89" s="505">
        <v>13129</v>
      </c>
      <c r="F89" s="505"/>
      <c r="G89" s="500"/>
      <c r="H89" s="500"/>
      <c r="I89" s="503"/>
    </row>
    <row r="90" spans="1:9">
      <c r="A90" s="500"/>
      <c r="B90" s="507" t="s">
        <v>1</v>
      </c>
      <c r="C90" s="505">
        <v>16</v>
      </c>
      <c r="D90" s="505">
        <f t="shared" si="7"/>
        <v>2447.8125</v>
      </c>
      <c r="E90" s="505">
        <v>39165</v>
      </c>
      <c r="F90" s="505"/>
      <c r="I90" s="503"/>
    </row>
    <row r="91" spans="1:9">
      <c r="A91" s="500"/>
      <c r="B91" s="504" t="s">
        <v>900</v>
      </c>
      <c r="C91" s="505">
        <v>22</v>
      </c>
      <c r="D91" s="505">
        <f t="shared" si="7"/>
        <v>573.4545454545455</v>
      </c>
      <c r="E91" s="505">
        <v>12616</v>
      </c>
      <c r="F91" s="505"/>
      <c r="I91" s="503"/>
    </row>
    <row r="92" spans="1:9">
      <c r="A92" s="500"/>
      <c r="B92" s="507" t="s">
        <v>3820</v>
      </c>
      <c r="C92" s="505">
        <v>10</v>
      </c>
      <c r="D92" s="505">
        <f t="shared" si="7"/>
        <v>179</v>
      </c>
      <c r="E92" s="505">
        <v>1790</v>
      </c>
      <c r="F92" s="505"/>
      <c r="I92" s="503"/>
    </row>
    <row r="93" spans="1:9">
      <c r="A93" s="500"/>
      <c r="B93" s="507" t="s">
        <v>1452</v>
      </c>
      <c r="C93" s="505">
        <v>14</v>
      </c>
      <c r="D93" s="505">
        <f t="shared" si="7"/>
        <v>1704.7857142857142</v>
      </c>
      <c r="E93" s="505">
        <v>23867</v>
      </c>
      <c r="F93" s="505"/>
      <c r="I93" s="503"/>
    </row>
    <row r="94" spans="1:9">
      <c r="A94" s="500"/>
      <c r="B94" s="507" t="s">
        <v>1453</v>
      </c>
      <c r="C94" s="505">
        <v>13</v>
      </c>
      <c r="D94" s="505">
        <f t="shared" si="7"/>
        <v>2287.1538461538462</v>
      </c>
      <c r="E94" s="505">
        <v>29733</v>
      </c>
      <c r="F94" s="505"/>
      <c r="I94" s="503"/>
    </row>
    <row r="95" spans="1:9">
      <c r="A95" s="500"/>
      <c r="B95" s="507" t="s">
        <v>3755</v>
      </c>
      <c r="C95" s="505">
        <v>9</v>
      </c>
      <c r="D95" s="505">
        <f t="shared" si="7"/>
        <v>165.77777777777777</v>
      </c>
      <c r="E95" s="505">
        <v>1492</v>
      </c>
      <c r="F95" s="505"/>
      <c r="I95" s="503"/>
    </row>
    <row r="96" spans="1:9">
      <c r="B96" s="508" t="s">
        <v>2985</v>
      </c>
      <c r="C96" s="509"/>
      <c r="D96" s="510" t="s">
        <v>2378</v>
      </c>
      <c r="E96" s="511">
        <f>SUM(E87:E95)</f>
        <v>189880</v>
      </c>
      <c r="I96" s="503"/>
    </row>
    <row r="97" spans="1:9">
      <c r="A97" s="499" t="s">
        <v>1454</v>
      </c>
      <c r="B97" s="499"/>
      <c r="C97" s="499"/>
      <c r="D97" s="499"/>
      <c r="E97" s="499"/>
      <c r="F97" s="499"/>
      <c r="G97" s="499"/>
      <c r="H97" s="499"/>
      <c r="I97" s="499"/>
    </row>
    <row r="98" spans="1:9" s="515" customFormat="1">
      <c r="A98" s="501" t="s">
        <v>241</v>
      </c>
      <c r="B98" s="502" t="s">
        <v>1373</v>
      </c>
      <c r="C98" s="502" t="s">
        <v>3796</v>
      </c>
      <c r="D98" s="502" t="s">
        <v>2969</v>
      </c>
      <c r="E98" s="502" t="s">
        <v>3797</v>
      </c>
      <c r="F98" s="500"/>
      <c r="G98" s="502"/>
      <c r="H98" s="500"/>
      <c r="I98" s="503"/>
    </row>
    <row r="99" spans="1:9">
      <c r="A99" s="500"/>
      <c r="B99" s="504" t="s">
        <v>282</v>
      </c>
      <c r="C99" s="505">
        <v>7</v>
      </c>
      <c r="D99" s="505">
        <f t="shared" ref="D99:D106" si="8">E99/C99</f>
        <v>3016</v>
      </c>
      <c r="E99" s="505">
        <v>21112</v>
      </c>
      <c r="F99" s="505"/>
      <c r="I99" s="503"/>
    </row>
    <row r="100" spans="1:9">
      <c r="B100" s="504" t="s">
        <v>897</v>
      </c>
      <c r="C100" s="505">
        <v>20</v>
      </c>
      <c r="D100" s="505">
        <f t="shared" si="8"/>
        <v>2190.9</v>
      </c>
      <c r="E100" s="505">
        <v>43818</v>
      </c>
      <c r="F100" s="505"/>
      <c r="I100" s="503"/>
    </row>
    <row r="101" spans="1:9">
      <c r="B101" s="504" t="s">
        <v>283</v>
      </c>
      <c r="C101" s="505">
        <v>16</v>
      </c>
      <c r="D101" s="505">
        <f t="shared" si="8"/>
        <v>499.9375</v>
      </c>
      <c r="E101" s="505">
        <v>7999</v>
      </c>
      <c r="F101" s="505"/>
      <c r="I101" s="503"/>
    </row>
    <row r="102" spans="1:9">
      <c r="A102" s="500"/>
      <c r="B102" s="507" t="s">
        <v>1</v>
      </c>
      <c r="C102" s="505">
        <v>20</v>
      </c>
      <c r="D102" s="505">
        <f t="shared" si="8"/>
        <v>2445.0500000000002</v>
      </c>
      <c r="E102" s="505">
        <v>48901</v>
      </c>
      <c r="F102" s="505"/>
      <c r="I102" s="503"/>
    </row>
    <row r="103" spans="1:9">
      <c r="A103" s="500"/>
      <c r="B103" s="504" t="s">
        <v>900</v>
      </c>
      <c r="C103" s="505">
        <v>39</v>
      </c>
      <c r="D103" s="505">
        <f t="shared" si="8"/>
        <v>308.30769230769232</v>
      </c>
      <c r="E103" s="505">
        <v>12024</v>
      </c>
      <c r="F103" s="505"/>
      <c r="I103" s="503"/>
    </row>
    <row r="104" spans="1:9" s="512" customFormat="1">
      <c r="A104" s="500"/>
      <c r="B104" s="507" t="s">
        <v>3820</v>
      </c>
      <c r="C104" s="505">
        <v>11</v>
      </c>
      <c r="D104" s="505">
        <f t="shared" si="8"/>
        <v>163.54545454545453</v>
      </c>
      <c r="E104" s="505">
        <v>1799</v>
      </c>
      <c r="F104" s="505"/>
      <c r="G104" s="500"/>
      <c r="H104" s="500"/>
      <c r="I104" s="503"/>
    </row>
    <row r="105" spans="1:9" s="512" customFormat="1">
      <c r="A105" s="500"/>
      <c r="B105" s="507" t="s">
        <v>1452</v>
      </c>
      <c r="C105" s="505">
        <v>18</v>
      </c>
      <c r="D105" s="505">
        <f t="shared" si="8"/>
        <v>1215.6111111111111</v>
      </c>
      <c r="E105" s="505">
        <v>21881</v>
      </c>
      <c r="F105" s="505"/>
      <c r="G105" s="500"/>
      <c r="H105" s="500"/>
      <c r="I105" s="503"/>
    </row>
    <row r="106" spans="1:9" s="512" customFormat="1">
      <c r="A106" s="500"/>
      <c r="B106" s="507" t="s">
        <v>1453</v>
      </c>
      <c r="C106" s="505">
        <v>9</v>
      </c>
      <c r="D106" s="505">
        <f t="shared" si="8"/>
        <v>2343.8888888888887</v>
      </c>
      <c r="E106" s="505">
        <v>21095</v>
      </c>
      <c r="F106" s="505"/>
      <c r="G106" s="500"/>
      <c r="H106" s="500"/>
      <c r="I106" s="503"/>
    </row>
    <row r="107" spans="1:9" s="512" customFormat="1">
      <c r="A107" s="506"/>
      <c r="B107" s="508" t="s">
        <v>2985</v>
      </c>
      <c r="C107" s="509"/>
      <c r="D107" s="510" t="s">
        <v>2378</v>
      </c>
      <c r="E107" s="511">
        <f>SUM(E99:E106)</f>
        <v>178629</v>
      </c>
      <c r="F107" s="500"/>
      <c r="G107" s="500"/>
      <c r="H107" s="500"/>
      <c r="I107" s="503"/>
    </row>
    <row r="108" spans="1:9" s="512" customFormat="1">
      <c r="A108" s="516" t="s">
        <v>252</v>
      </c>
      <c r="B108" s="516"/>
      <c r="C108" s="516"/>
      <c r="D108" s="516"/>
      <c r="E108" s="516"/>
      <c r="F108" s="516"/>
      <c r="G108" s="516"/>
      <c r="H108" s="516"/>
      <c r="I108" s="516"/>
    </row>
    <row r="109" spans="1:9" s="512" customFormat="1">
      <c r="A109" s="501" t="s">
        <v>241</v>
      </c>
      <c r="B109" s="502" t="s">
        <v>1373</v>
      </c>
      <c r="C109" s="502" t="s">
        <v>3796</v>
      </c>
      <c r="D109" s="502" t="s">
        <v>2969</v>
      </c>
      <c r="E109" s="502" t="s">
        <v>3797</v>
      </c>
      <c r="F109" s="500"/>
      <c r="G109" s="502"/>
      <c r="H109" s="500"/>
      <c r="I109" s="503"/>
    </row>
    <row r="110" spans="1:9" s="512" customFormat="1">
      <c r="A110" s="500"/>
      <c r="B110" s="504" t="s">
        <v>282</v>
      </c>
      <c r="C110" s="505">
        <v>9</v>
      </c>
      <c r="D110" s="505">
        <f t="shared" ref="D110:D118" si="9">E110/C110</f>
        <v>1976.7777777777778</v>
      </c>
      <c r="E110" s="505">
        <v>17791</v>
      </c>
      <c r="F110" s="505"/>
      <c r="G110" s="500"/>
      <c r="H110" s="500"/>
      <c r="I110" s="503"/>
    </row>
    <row r="111" spans="1:9" s="515" customFormat="1">
      <c r="A111" s="506"/>
      <c r="B111" s="504" t="s">
        <v>897</v>
      </c>
      <c r="C111" s="505">
        <v>8</v>
      </c>
      <c r="D111" s="505">
        <f t="shared" si="9"/>
        <v>2277.375</v>
      </c>
      <c r="E111" s="505">
        <v>18219</v>
      </c>
      <c r="F111" s="505"/>
      <c r="G111" s="500"/>
      <c r="H111" s="500"/>
      <c r="I111" s="503"/>
    </row>
    <row r="112" spans="1:9" s="515" customFormat="1">
      <c r="A112" s="506"/>
      <c r="B112" s="504" t="s">
        <v>283</v>
      </c>
      <c r="C112" s="505">
        <v>10</v>
      </c>
      <c r="D112" s="505">
        <f t="shared" si="9"/>
        <v>1027.4000000000001</v>
      </c>
      <c r="E112" s="505">
        <v>10274</v>
      </c>
      <c r="F112" s="505"/>
      <c r="G112" s="500"/>
      <c r="H112" s="500"/>
      <c r="I112" s="503"/>
    </row>
    <row r="113" spans="1:9" s="515" customFormat="1">
      <c r="A113" s="500"/>
      <c r="B113" s="507" t="s">
        <v>1</v>
      </c>
      <c r="C113" s="505">
        <v>19</v>
      </c>
      <c r="D113" s="505">
        <f t="shared" si="9"/>
        <v>1592.5263157894738</v>
      </c>
      <c r="E113" s="505">
        <v>30258</v>
      </c>
      <c r="F113" s="505"/>
      <c r="G113" s="500"/>
      <c r="H113" s="500"/>
      <c r="I113" s="503"/>
    </row>
    <row r="114" spans="1:9" s="513" customFormat="1">
      <c r="A114" s="500"/>
      <c r="B114" s="504" t="s">
        <v>900</v>
      </c>
      <c r="C114" s="505">
        <v>21</v>
      </c>
      <c r="D114" s="505">
        <f t="shared" si="9"/>
        <v>380.95238095238096</v>
      </c>
      <c r="E114" s="505">
        <v>8000</v>
      </c>
      <c r="F114" s="505"/>
      <c r="G114" s="500"/>
      <c r="H114" s="500"/>
      <c r="I114" s="503"/>
    </row>
    <row r="115" spans="1:9" s="513" customFormat="1">
      <c r="A115" s="500"/>
      <c r="B115" s="507" t="s">
        <v>3820</v>
      </c>
      <c r="C115" s="505">
        <v>1</v>
      </c>
      <c r="D115" s="505">
        <f t="shared" si="9"/>
        <v>152.4</v>
      </c>
      <c r="E115" s="505">
        <v>152.4</v>
      </c>
      <c r="F115" s="505"/>
      <c r="G115" s="500"/>
      <c r="H115" s="500"/>
      <c r="I115" s="503"/>
    </row>
    <row r="116" spans="1:9" s="517" customFormat="1">
      <c r="A116" s="500"/>
      <c r="B116" s="507" t="s">
        <v>253</v>
      </c>
      <c r="C116" s="505">
        <v>2</v>
      </c>
      <c r="D116" s="505">
        <f t="shared" si="9"/>
        <v>1133.5</v>
      </c>
      <c r="E116" s="505">
        <v>2267</v>
      </c>
      <c r="F116" s="505"/>
      <c r="G116" s="500"/>
      <c r="H116" s="500"/>
      <c r="I116" s="503"/>
    </row>
    <row r="117" spans="1:9" s="515" customFormat="1">
      <c r="A117" s="500"/>
      <c r="B117" s="507" t="s">
        <v>1452</v>
      </c>
      <c r="C117" s="505">
        <v>12</v>
      </c>
      <c r="D117" s="505">
        <f t="shared" si="9"/>
        <v>1483.25</v>
      </c>
      <c r="E117" s="505">
        <v>17799</v>
      </c>
      <c r="F117" s="505"/>
      <c r="G117" s="500"/>
      <c r="H117" s="500"/>
      <c r="I117" s="503"/>
    </row>
    <row r="118" spans="1:9" s="518" customFormat="1">
      <c r="A118" s="500"/>
      <c r="B118" s="507" t="s">
        <v>1453</v>
      </c>
      <c r="C118" s="505">
        <v>8</v>
      </c>
      <c r="D118" s="505">
        <f t="shared" si="9"/>
        <v>2381</v>
      </c>
      <c r="E118" s="505">
        <v>19048</v>
      </c>
      <c r="F118" s="505"/>
      <c r="G118" s="500"/>
      <c r="H118" s="500"/>
      <c r="I118" s="503"/>
    </row>
    <row r="119" spans="1:9" s="515" customFormat="1">
      <c r="A119" s="506"/>
      <c r="B119" s="508" t="s">
        <v>2985</v>
      </c>
      <c r="C119" s="509"/>
      <c r="D119" s="510" t="s">
        <v>2378</v>
      </c>
      <c r="E119" s="511">
        <f>SUM(E110:E118)</f>
        <v>123808.4</v>
      </c>
      <c r="F119" s="500"/>
      <c r="G119" s="500"/>
      <c r="H119" s="500"/>
      <c r="I119" s="503"/>
    </row>
    <row r="120" spans="1:9" s="513" customFormat="1">
      <c r="A120" s="519" t="s">
        <v>2138</v>
      </c>
      <c r="B120" s="519"/>
      <c r="C120" s="519"/>
      <c r="D120" s="519"/>
      <c r="E120" s="519"/>
      <c r="F120" s="519"/>
      <c r="G120" s="519"/>
      <c r="H120" s="519"/>
      <c r="I120" s="519"/>
    </row>
    <row r="121" spans="1:9" s="513" customFormat="1">
      <c r="A121" s="501" t="s">
        <v>241</v>
      </c>
      <c r="B121" s="502" t="s">
        <v>1373</v>
      </c>
      <c r="C121" s="502" t="s">
        <v>3796</v>
      </c>
      <c r="D121" s="502" t="s">
        <v>2969</v>
      </c>
      <c r="E121" s="502" t="s">
        <v>3797</v>
      </c>
      <c r="F121" s="500"/>
      <c r="G121" s="502"/>
      <c r="H121" s="500"/>
      <c r="I121" s="503"/>
    </row>
    <row r="122" spans="1:9" s="515" customFormat="1">
      <c r="A122" s="500"/>
      <c r="B122" s="504" t="s">
        <v>282</v>
      </c>
      <c r="C122" s="505">
        <v>18</v>
      </c>
      <c r="D122" s="505">
        <f t="shared" ref="D122:D129" si="10">E122/C122</f>
        <v>1815.7222222222222</v>
      </c>
      <c r="E122" s="505">
        <v>32683</v>
      </c>
      <c r="F122" s="505"/>
      <c r="G122" s="500"/>
      <c r="H122" s="500"/>
      <c r="I122" s="503"/>
    </row>
    <row r="123" spans="1:9" s="515" customFormat="1">
      <c r="A123" s="506"/>
      <c r="B123" s="504" t="s">
        <v>897</v>
      </c>
      <c r="C123" s="505">
        <v>18</v>
      </c>
      <c r="D123" s="505">
        <f t="shared" si="10"/>
        <v>1985.7222222222222</v>
      </c>
      <c r="E123" s="505">
        <v>35743</v>
      </c>
      <c r="F123" s="505"/>
      <c r="G123" s="500"/>
      <c r="H123" s="500"/>
      <c r="I123" s="503"/>
    </row>
    <row r="124" spans="1:9" s="515" customFormat="1">
      <c r="A124" s="506"/>
      <c r="B124" s="504" t="s">
        <v>283</v>
      </c>
      <c r="C124" s="505">
        <v>19</v>
      </c>
      <c r="D124" s="505">
        <f t="shared" si="10"/>
        <v>1070.3684210526317</v>
      </c>
      <c r="E124" s="505">
        <v>20337</v>
      </c>
      <c r="F124" s="505"/>
      <c r="G124" s="500"/>
      <c r="H124" s="500"/>
      <c r="I124" s="503"/>
    </row>
    <row r="125" spans="1:9" s="515" customFormat="1">
      <c r="A125" s="500"/>
      <c r="B125" s="507" t="s">
        <v>1</v>
      </c>
      <c r="C125" s="505">
        <v>23</v>
      </c>
      <c r="D125" s="505">
        <f t="shared" si="10"/>
        <v>1599</v>
      </c>
      <c r="E125" s="505">
        <v>36777</v>
      </c>
      <c r="F125" s="505"/>
      <c r="G125" s="500"/>
      <c r="H125" s="500"/>
      <c r="I125" s="503"/>
    </row>
    <row r="126" spans="1:9" s="515" customFormat="1">
      <c r="A126" s="500"/>
      <c r="B126" s="504" t="s">
        <v>900</v>
      </c>
      <c r="C126" s="505">
        <v>38</v>
      </c>
      <c r="D126" s="505">
        <f t="shared" si="10"/>
        <v>294.73684210526318</v>
      </c>
      <c r="E126" s="505">
        <v>11200</v>
      </c>
      <c r="F126" s="505"/>
      <c r="G126" s="500"/>
      <c r="H126" s="500"/>
      <c r="I126" s="503"/>
    </row>
    <row r="127" spans="1:9" s="515" customFormat="1">
      <c r="A127" s="500"/>
      <c r="B127" s="507" t="s">
        <v>3820</v>
      </c>
      <c r="C127" s="505">
        <v>4</v>
      </c>
      <c r="D127" s="505">
        <f t="shared" si="10"/>
        <v>133</v>
      </c>
      <c r="E127" s="505">
        <v>532</v>
      </c>
      <c r="F127" s="505"/>
      <c r="G127" s="500"/>
      <c r="H127" s="500"/>
      <c r="I127" s="503"/>
    </row>
    <row r="128" spans="1:9" s="515" customFormat="1">
      <c r="A128" s="500"/>
      <c r="B128" s="507" t="s">
        <v>1452</v>
      </c>
      <c r="C128" s="505">
        <v>19</v>
      </c>
      <c r="D128" s="505">
        <f t="shared" si="10"/>
        <v>1324.2631578947369</v>
      </c>
      <c r="E128" s="505">
        <v>25161</v>
      </c>
      <c r="F128" s="505"/>
      <c r="G128" s="500"/>
      <c r="H128" s="500"/>
      <c r="I128" s="503"/>
    </row>
    <row r="129" spans="1:9" s="515" customFormat="1">
      <c r="A129" s="500"/>
      <c r="B129" s="507" t="s">
        <v>1453</v>
      </c>
      <c r="C129" s="505">
        <v>13</v>
      </c>
      <c r="D129" s="505">
        <f t="shared" si="10"/>
        <v>2318.6923076923076</v>
      </c>
      <c r="E129" s="505">
        <v>30143</v>
      </c>
      <c r="F129" s="505"/>
      <c r="G129" s="500"/>
      <c r="H129" s="500"/>
      <c r="I129" s="503"/>
    </row>
    <row r="130" spans="1:9" s="515" customFormat="1">
      <c r="A130" s="506"/>
      <c r="B130" s="508" t="s">
        <v>2985</v>
      </c>
      <c r="C130" s="509"/>
      <c r="D130" s="510" t="s">
        <v>2378</v>
      </c>
      <c r="E130" s="511">
        <f>SUM(E122:E129)</f>
        <v>192576</v>
      </c>
      <c r="F130" s="500"/>
      <c r="G130" s="500"/>
      <c r="H130" s="500"/>
      <c r="I130" s="503"/>
    </row>
    <row r="131" spans="1:9" s="515" customFormat="1">
      <c r="A131" s="520" t="s">
        <v>2853</v>
      </c>
      <c r="B131" s="520"/>
      <c r="C131" s="520"/>
      <c r="D131" s="520"/>
      <c r="E131" s="520"/>
      <c r="F131" s="520"/>
      <c r="G131" s="520"/>
      <c r="H131" s="520"/>
      <c r="I131" s="520"/>
    </row>
    <row r="132" spans="1:9" s="515" customFormat="1">
      <c r="A132" s="501" t="s">
        <v>241</v>
      </c>
      <c r="B132" s="502" t="s">
        <v>1373</v>
      </c>
      <c r="C132" s="502" t="s">
        <v>3796</v>
      </c>
      <c r="D132" s="502" t="s">
        <v>2969</v>
      </c>
      <c r="E132" s="502" t="s">
        <v>3797</v>
      </c>
      <c r="F132" s="500"/>
      <c r="G132" s="502"/>
      <c r="H132" s="500"/>
      <c r="I132" s="503"/>
    </row>
    <row r="133" spans="1:9" s="515" customFormat="1">
      <c r="A133" s="500"/>
      <c r="B133" s="504" t="s">
        <v>282</v>
      </c>
      <c r="C133" s="505">
        <v>9</v>
      </c>
      <c r="D133" s="505">
        <f t="shared" ref="D133:D139" si="11">E133/C133</f>
        <v>2712.6666666666665</v>
      </c>
      <c r="E133" s="505">
        <v>24414</v>
      </c>
      <c r="F133" s="505"/>
      <c r="G133" s="500"/>
      <c r="H133" s="500"/>
      <c r="I133" s="503"/>
    </row>
    <row r="134" spans="1:9" s="515" customFormat="1">
      <c r="A134" s="506"/>
      <c r="B134" s="504" t="s">
        <v>897</v>
      </c>
      <c r="C134" s="505">
        <v>8</v>
      </c>
      <c r="D134" s="505">
        <f t="shared" si="11"/>
        <v>2413.375</v>
      </c>
      <c r="E134" s="505">
        <v>19307</v>
      </c>
      <c r="F134" s="505"/>
      <c r="G134" s="500"/>
      <c r="H134" s="500"/>
      <c r="I134" s="503"/>
    </row>
    <row r="135" spans="1:9" s="515" customFormat="1">
      <c r="A135" s="506"/>
      <c r="B135" s="504" t="s">
        <v>283</v>
      </c>
      <c r="C135" s="505">
        <v>7</v>
      </c>
      <c r="D135" s="505">
        <f t="shared" si="11"/>
        <v>1019.4285714285714</v>
      </c>
      <c r="E135" s="505">
        <v>7136</v>
      </c>
      <c r="F135" s="505"/>
      <c r="G135" s="500"/>
      <c r="H135" s="500"/>
      <c r="I135" s="503"/>
    </row>
    <row r="136" spans="1:9" s="515" customFormat="1">
      <c r="A136" s="500"/>
      <c r="B136" s="507" t="s">
        <v>1</v>
      </c>
      <c r="C136" s="505">
        <v>13</v>
      </c>
      <c r="D136" s="505">
        <f t="shared" si="11"/>
        <v>2084.3846153846152</v>
      </c>
      <c r="E136" s="505">
        <v>27097</v>
      </c>
      <c r="F136" s="505"/>
      <c r="G136" s="500"/>
      <c r="H136" s="500"/>
      <c r="I136" s="503"/>
    </row>
    <row r="137" spans="1:9">
      <c r="A137" s="500"/>
      <c r="B137" s="504" t="s">
        <v>900</v>
      </c>
      <c r="C137" s="505">
        <v>18</v>
      </c>
      <c r="D137" s="505">
        <f t="shared" si="11"/>
        <v>230.83333333333334</v>
      </c>
      <c r="E137" s="505">
        <v>4155</v>
      </c>
      <c r="F137" s="505"/>
      <c r="I137" s="503"/>
    </row>
    <row r="138" spans="1:9">
      <c r="A138" s="500"/>
      <c r="B138" s="507" t="s">
        <v>1452</v>
      </c>
      <c r="C138" s="505">
        <v>10</v>
      </c>
      <c r="D138" s="505">
        <f t="shared" si="11"/>
        <v>1436.4</v>
      </c>
      <c r="E138" s="505">
        <v>14364</v>
      </c>
      <c r="F138" s="505"/>
      <c r="I138" s="503"/>
    </row>
    <row r="139" spans="1:9">
      <c r="A139" s="500"/>
      <c r="B139" s="507" t="s">
        <v>1453</v>
      </c>
      <c r="C139" s="505">
        <v>10</v>
      </c>
      <c r="D139" s="505">
        <f t="shared" si="11"/>
        <v>2278</v>
      </c>
      <c r="E139" s="505">
        <v>22780</v>
      </c>
      <c r="F139" s="505"/>
      <c r="I139" s="503"/>
    </row>
    <row r="140" spans="1:9">
      <c r="B140" s="508" t="s">
        <v>2985</v>
      </c>
      <c r="C140" s="509"/>
      <c r="D140" s="510" t="s">
        <v>2378</v>
      </c>
      <c r="E140" s="511">
        <f>SUM(E133:E139)</f>
        <v>119253</v>
      </c>
      <c r="I140" s="503"/>
    </row>
    <row r="141" spans="1:9">
      <c r="A141" s="521" t="s">
        <v>344</v>
      </c>
      <c r="B141" s="521"/>
      <c r="C141" s="521"/>
      <c r="D141" s="521"/>
      <c r="E141" s="521"/>
      <c r="F141" s="521"/>
      <c r="G141" s="521"/>
      <c r="H141" s="521"/>
      <c r="I141" s="521"/>
    </row>
    <row r="142" spans="1:9">
      <c r="A142" s="501" t="s">
        <v>241</v>
      </c>
      <c r="B142" s="502" t="s">
        <v>281</v>
      </c>
      <c r="C142" s="502" t="s">
        <v>1373</v>
      </c>
      <c r="D142" s="502" t="s">
        <v>3796</v>
      </c>
      <c r="E142" s="502" t="s">
        <v>2969</v>
      </c>
      <c r="F142" s="502" t="s">
        <v>3797</v>
      </c>
      <c r="G142" s="502" t="s">
        <v>3798</v>
      </c>
      <c r="H142" s="502" t="s">
        <v>2377</v>
      </c>
    </row>
    <row r="143" spans="1:9">
      <c r="A143" s="500"/>
      <c r="B143" s="504" t="s">
        <v>2426</v>
      </c>
      <c r="C143" s="504" t="s">
        <v>282</v>
      </c>
      <c r="D143" s="505" t="e">
        <f>#REF!</f>
        <v>#REF!</v>
      </c>
      <c r="E143" s="505" t="e">
        <f>F143/D143</f>
        <v>#REF!</v>
      </c>
      <c r="F143" s="505" t="e">
        <f>#REF!</f>
        <v>#REF!</v>
      </c>
      <c r="G143" s="101"/>
    </row>
    <row r="144" spans="1:9">
      <c r="B144" s="504" t="s">
        <v>2426</v>
      </c>
      <c r="C144" s="504" t="s">
        <v>897</v>
      </c>
      <c r="D144" s="505" t="e">
        <f>#REF!</f>
        <v>#REF!</v>
      </c>
      <c r="E144" s="505" t="e">
        <f>F144/D144</f>
        <v>#REF!</v>
      </c>
      <c r="F144" s="505" t="e">
        <f>#REF!</f>
        <v>#REF!</v>
      </c>
    </row>
    <row r="145" spans="1:9">
      <c r="B145" s="504" t="s">
        <v>2426</v>
      </c>
      <c r="C145" s="504" t="s">
        <v>283</v>
      </c>
      <c r="D145" s="505" t="e">
        <f>#REF!</f>
        <v>#REF!</v>
      </c>
      <c r="E145" s="505" t="e">
        <f>F145/D145</f>
        <v>#REF!</v>
      </c>
      <c r="F145" s="505" t="e">
        <f>#REF!</f>
        <v>#REF!</v>
      </c>
    </row>
    <row r="146" spans="1:9">
      <c r="A146" s="500"/>
      <c r="B146" s="504" t="s">
        <v>2426</v>
      </c>
      <c r="C146" s="507" t="s">
        <v>1</v>
      </c>
      <c r="D146" s="505">
        <v>46</v>
      </c>
      <c r="E146" s="505">
        <v>1523.695652173913</v>
      </c>
      <c r="F146" s="505">
        <v>70090</v>
      </c>
    </row>
    <row r="147" spans="1:9">
      <c r="A147" s="500"/>
      <c r="B147" s="504" t="s">
        <v>2426</v>
      </c>
      <c r="C147" s="504" t="s">
        <v>900</v>
      </c>
      <c r="D147" s="505">
        <v>65</v>
      </c>
      <c r="E147" s="505">
        <v>182.98923076923074</v>
      </c>
      <c r="F147" s="505">
        <v>11894.3</v>
      </c>
    </row>
    <row r="148" spans="1:9">
      <c r="A148" s="500"/>
      <c r="B148" s="504" t="s">
        <v>2426</v>
      </c>
      <c r="C148" s="507" t="s">
        <v>3821</v>
      </c>
      <c r="D148" s="505">
        <v>40</v>
      </c>
      <c r="E148" s="505">
        <v>1326.25</v>
      </c>
      <c r="F148" s="505">
        <v>53050</v>
      </c>
    </row>
    <row r="149" spans="1:9">
      <c r="A149" s="500"/>
      <c r="B149" s="504" t="s">
        <v>2426</v>
      </c>
      <c r="C149" s="507" t="s">
        <v>915</v>
      </c>
      <c r="D149" s="505">
        <v>33</v>
      </c>
      <c r="E149" s="505">
        <v>2300</v>
      </c>
      <c r="F149" s="505">
        <v>75900</v>
      </c>
    </row>
    <row r="150" spans="1:9">
      <c r="A150" s="500"/>
      <c r="B150" s="504"/>
      <c r="C150" s="507"/>
      <c r="D150" s="509"/>
      <c r="E150" s="502" t="s">
        <v>2988</v>
      </c>
      <c r="F150" s="522">
        <v>360469.3</v>
      </c>
    </row>
    <row r="151" spans="1:9">
      <c r="C151" s="508" t="s">
        <v>2985</v>
      </c>
      <c r="D151" s="515"/>
      <c r="E151" s="510" t="s">
        <v>2378</v>
      </c>
      <c r="F151" s="523">
        <v>360469.3</v>
      </c>
    </row>
    <row r="152" spans="1:9">
      <c r="A152" s="499" t="s">
        <v>4441</v>
      </c>
      <c r="B152" s="499"/>
      <c r="C152" s="499"/>
      <c r="D152" s="499"/>
      <c r="E152" s="499"/>
      <c r="F152" s="499"/>
      <c r="G152" s="499"/>
      <c r="H152" s="499"/>
      <c r="I152" s="499"/>
    </row>
    <row r="153" spans="1:9">
      <c r="A153" s="501" t="s">
        <v>241</v>
      </c>
      <c r="B153" s="502" t="s">
        <v>281</v>
      </c>
      <c r="C153" s="502" t="s">
        <v>1373</v>
      </c>
      <c r="D153" s="502" t="s">
        <v>3796</v>
      </c>
      <c r="E153" s="502" t="s">
        <v>2969</v>
      </c>
      <c r="F153" s="502" t="s">
        <v>3797</v>
      </c>
      <c r="G153" s="502" t="s">
        <v>3798</v>
      </c>
      <c r="H153" s="502" t="s">
        <v>2377</v>
      </c>
    </row>
    <row r="154" spans="1:9">
      <c r="A154" s="500"/>
      <c r="B154" s="504" t="s">
        <v>2426</v>
      </c>
      <c r="C154" s="504" t="s">
        <v>282</v>
      </c>
      <c r="D154" s="524">
        <v>19</v>
      </c>
      <c r="E154" s="525">
        <v>2280</v>
      </c>
      <c r="F154" s="524">
        <v>43320</v>
      </c>
      <c r="G154" s="101"/>
    </row>
    <row r="155" spans="1:9">
      <c r="B155" s="504" t="s">
        <v>2426</v>
      </c>
      <c r="C155" s="504" t="s">
        <v>897</v>
      </c>
      <c r="D155" s="524">
        <v>19</v>
      </c>
      <c r="E155" s="525">
        <v>2226.3157894736842</v>
      </c>
      <c r="F155" s="524">
        <v>42300</v>
      </c>
    </row>
    <row r="156" spans="1:9">
      <c r="B156" s="504" t="s">
        <v>2426</v>
      </c>
      <c r="C156" s="504" t="s">
        <v>283</v>
      </c>
      <c r="D156" s="524">
        <v>25</v>
      </c>
      <c r="E156" s="525">
        <v>1925.88</v>
      </c>
      <c r="F156" s="524">
        <v>48147</v>
      </c>
    </row>
    <row r="157" spans="1:9">
      <c r="A157" s="500"/>
      <c r="B157" s="504" t="s">
        <v>2426</v>
      </c>
      <c r="C157" s="507" t="s">
        <v>1</v>
      </c>
      <c r="D157" s="524">
        <v>44</v>
      </c>
      <c r="E157" s="525">
        <v>2055.4545454545455</v>
      </c>
      <c r="F157" s="524">
        <v>90440</v>
      </c>
    </row>
    <row r="158" spans="1:9">
      <c r="A158" s="500"/>
      <c r="B158" s="504" t="s">
        <v>2426</v>
      </c>
      <c r="C158" s="504" t="s">
        <v>900</v>
      </c>
      <c r="D158" s="524">
        <v>42</v>
      </c>
      <c r="E158" s="525">
        <v>208.57142857142858</v>
      </c>
      <c r="F158" s="524">
        <v>8760</v>
      </c>
    </row>
    <row r="159" spans="1:9">
      <c r="A159" s="500"/>
      <c r="B159" s="504" t="s">
        <v>2426</v>
      </c>
      <c r="C159" s="507" t="s">
        <v>3821</v>
      </c>
      <c r="D159" s="524">
        <v>41</v>
      </c>
      <c r="E159" s="525">
        <v>926.14634146341461</v>
      </c>
      <c r="F159" s="524">
        <v>37972</v>
      </c>
    </row>
    <row r="160" spans="1:9">
      <c r="A160" s="500"/>
      <c r="B160" s="504" t="s">
        <v>2426</v>
      </c>
      <c r="C160" s="507" t="s">
        <v>915</v>
      </c>
      <c r="D160" s="524">
        <v>22</v>
      </c>
      <c r="E160" s="525">
        <v>2299.9545454545455</v>
      </c>
      <c r="F160" s="524">
        <v>50599</v>
      </c>
    </row>
    <row r="161" spans="1:9">
      <c r="A161" s="500"/>
      <c r="B161" s="504"/>
      <c r="C161" s="507"/>
      <c r="D161" s="509"/>
      <c r="E161" s="502" t="s">
        <v>2988</v>
      </c>
      <c r="F161" s="522">
        <v>321538</v>
      </c>
    </row>
    <row r="162" spans="1:9">
      <c r="A162" s="526">
        <v>96043003</v>
      </c>
      <c r="B162" s="527" t="s">
        <v>298</v>
      </c>
      <c r="C162" s="500" t="s">
        <v>916</v>
      </c>
      <c r="D162" s="500">
        <v>1</v>
      </c>
      <c r="E162" s="500">
        <v>1585</v>
      </c>
      <c r="F162" s="57">
        <v>1585</v>
      </c>
      <c r="G162" s="500">
        <v>79</v>
      </c>
      <c r="H162" s="500">
        <v>1664</v>
      </c>
    </row>
    <row r="163" spans="1:9">
      <c r="A163" s="528">
        <v>96100302</v>
      </c>
      <c r="B163" s="510" t="s">
        <v>2</v>
      </c>
      <c r="C163" s="510" t="s">
        <v>917</v>
      </c>
      <c r="D163" s="515">
        <v>1</v>
      </c>
      <c r="E163" s="97">
        <v>253</v>
      </c>
      <c r="F163" s="529">
        <v>253</v>
      </c>
      <c r="G163" s="530">
        <v>13</v>
      </c>
      <c r="H163" s="500">
        <v>266</v>
      </c>
    </row>
    <row r="164" spans="1:9">
      <c r="E164" s="502" t="s">
        <v>2988</v>
      </c>
      <c r="F164" s="531">
        <v>1838</v>
      </c>
      <c r="G164" s="515">
        <v>92</v>
      </c>
      <c r="H164" s="500">
        <v>1930</v>
      </c>
    </row>
    <row r="165" spans="1:9">
      <c r="C165" s="508" t="s">
        <v>2985</v>
      </c>
      <c r="D165" s="515"/>
      <c r="E165" s="510" t="s">
        <v>2378</v>
      </c>
      <c r="F165" s="523">
        <v>323376</v>
      </c>
    </row>
    <row r="166" spans="1:9">
      <c r="A166" s="532" t="s">
        <v>4442</v>
      </c>
      <c r="B166" s="532"/>
      <c r="C166" s="532"/>
      <c r="D166" s="532"/>
      <c r="E166" s="532"/>
      <c r="F166" s="532"/>
      <c r="G166" s="532"/>
      <c r="H166" s="532"/>
      <c r="I166" s="532"/>
    </row>
    <row r="167" spans="1:9">
      <c r="A167" s="501" t="s">
        <v>241</v>
      </c>
      <c r="B167" s="502" t="s">
        <v>281</v>
      </c>
      <c r="C167" s="502" t="s">
        <v>1373</v>
      </c>
      <c r="D167" s="502" t="s">
        <v>3796</v>
      </c>
      <c r="E167" s="502" t="s">
        <v>2969</v>
      </c>
      <c r="F167" s="502" t="s">
        <v>3797</v>
      </c>
      <c r="G167" s="502" t="s">
        <v>3798</v>
      </c>
      <c r="H167" s="502" t="s">
        <v>2377</v>
      </c>
    </row>
    <row r="168" spans="1:9">
      <c r="A168" s="500"/>
      <c r="B168" s="504" t="s">
        <v>2426</v>
      </c>
      <c r="C168" s="504" t="s">
        <v>282</v>
      </c>
      <c r="D168" s="509">
        <v>47</v>
      </c>
      <c r="E168" s="525">
        <v>4756.5957446808507</v>
      </c>
      <c r="F168" s="509">
        <v>223560</v>
      </c>
      <c r="G168" s="101"/>
    </row>
    <row r="169" spans="1:9">
      <c r="B169" s="504" t="s">
        <v>2426</v>
      </c>
      <c r="C169" s="504" t="s">
        <v>897</v>
      </c>
      <c r="D169" s="509">
        <v>40</v>
      </c>
      <c r="E169" s="525">
        <v>2060.8000000000002</v>
      </c>
      <c r="F169" s="509">
        <v>82432</v>
      </c>
    </row>
    <row r="170" spans="1:9">
      <c r="B170" s="504" t="s">
        <v>2426</v>
      </c>
      <c r="C170" s="504" t="s">
        <v>283</v>
      </c>
      <c r="D170" s="509">
        <v>90</v>
      </c>
      <c r="E170" s="525">
        <v>1427.6888888888889</v>
      </c>
      <c r="F170" s="509">
        <v>128492</v>
      </c>
    </row>
    <row r="171" spans="1:9">
      <c r="A171" s="500"/>
      <c r="B171" s="504" t="s">
        <v>2426</v>
      </c>
      <c r="C171" s="507" t="s">
        <v>1</v>
      </c>
      <c r="D171" s="509">
        <v>68</v>
      </c>
      <c r="E171" s="525">
        <v>1728.9558823529412</v>
      </c>
      <c r="F171" s="509">
        <v>117569</v>
      </c>
    </row>
    <row r="172" spans="1:9">
      <c r="A172" s="500"/>
      <c r="B172" s="504" t="s">
        <v>2426</v>
      </c>
      <c r="C172" s="504" t="s">
        <v>900</v>
      </c>
      <c r="D172" s="509">
        <v>95</v>
      </c>
      <c r="E172" s="525">
        <v>201.66315789473686</v>
      </c>
      <c r="F172" s="509">
        <v>19158</v>
      </c>
    </row>
    <row r="173" spans="1:9">
      <c r="A173" s="500"/>
      <c r="B173" s="504" t="s">
        <v>2426</v>
      </c>
      <c r="C173" s="507" t="s">
        <v>3820</v>
      </c>
      <c r="D173" s="509">
        <v>36</v>
      </c>
      <c r="E173" s="525">
        <v>551.38888888888891</v>
      </c>
      <c r="F173" s="509">
        <v>19850</v>
      </c>
    </row>
    <row r="174" spans="1:9">
      <c r="A174" s="500"/>
      <c r="B174" s="504"/>
      <c r="C174" s="507"/>
      <c r="D174" s="509"/>
      <c r="E174" s="502" t="s">
        <v>2988</v>
      </c>
      <c r="F174" s="522">
        <v>591061</v>
      </c>
    </row>
    <row r="175" spans="1:9">
      <c r="A175" s="500"/>
      <c r="B175" s="504" t="s">
        <v>2426</v>
      </c>
      <c r="C175" s="507" t="s">
        <v>3821</v>
      </c>
      <c r="D175" s="533" t="s">
        <v>3822</v>
      </c>
      <c r="E175" s="525">
        <v>700.04761904761904</v>
      </c>
      <c r="F175" s="514">
        <v>29402</v>
      </c>
    </row>
    <row r="176" spans="1:9">
      <c r="E176" s="502" t="s">
        <v>2988</v>
      </c>
      <c r="F176" s="534">
        <v>29402</v>
      </c>
      <c r="G176" s="535"/>
      <c r="H176" s="515"/>
    </row>
    <row r="177" spans="1:9">
      <c r="A177" s="506">
        <v>95020304</v>
      </c>
      <c r="B177" s="500" t="s">
        <v>875</v>
      </c>
      <c r="C177" s="500" t="s">
        <v>3823</v>
      </c>
      <c r="D177" s="500">
        <v>1</v>
      </c>
      <c r="E177" s="500">
        <v>667</v>
      </c>
      <c r="F177" s="500">
        <v>667</v>
      </c>
      <c r="G177" s="500">
        <v>33.35</v>
      </c>
      <c r="H177" s="500">
        <v>700</v>
      </c>
    </row>
    <row r="178" spans="1:9">
      <c r="A178" s="506">
        <v>95031402</v>
      </c>
      <c r="B178" s="510" t="s">
        <v>2</v>
      </c>
      <c r="C178" s="515" t="s">
        <v>2978</v>
      </c>
      <c r="D178" s="515">
        <v>1</v>
      </c>
      <c r="E178" s="97">
        <v>4200</v>
      </c>
      <c r="F178" s="97">
        <v>4200</v>
      </c>
      <c r="G178" s="500">
        <v>210</v>
      </c>
      <c r="H178" s="500">
        <v>4410</v>
      </c>
    </row>
    <row r="179" spans="1:9">
      <c r="A179" s="506">
        <v>95042606</v>
      </c>
      <c r="B179" t="s">
        <v>3824</v>
      </c>
      <c r="C179" s="500" t="s">
        <v>1</v>
      </c>
      <c r="D179" s="500">
        <v>1</v>
      </c>
      <c r="E179" s="500">
        <v>952</v>
      </c>
      <c r="F179" s="500">
        <v>952</v>
      </c>
      <c r="G179" s="500">
        <v>48</v>
      </c>
      <c r="H179" s="500">
        <v>1000</v>
      </c>
    </row>
    <row r="180" spans="1:9">
      <c r="A180" s="506">
        <v>95080702</v>
      </c>
      <c r="B180" t="s">
        <v>3825</v>
      </c>
      <c r="C180" s="500" t="s">
        <v>1</v>
      </c>
      <c r="D180" s="500">
        <v>1</v>
      </c>
      <c r="E180" s="500">
        <v>2200</v>
      </c>
      <c r="F180" s="500">
        <v>2200</v>
      </c>
      <c r="G180" s="500">
        <v>110</v>
      </c>
      <c r="H180" s="500">
        <v>2310</v>
      </c>
    </row>
    <row r="181" spans="1:9">
      <c r="E181" s="502" t="s">
        <v>2988</v>
      </c>
      <c r="F181" s="522">
        <v>8019</v>
      </c>
      <c r="G181" s="515">
        <v>401.35</v>
      </c>
      <c r="H181" s="515">
        <v>8420</v>
      </c>
    </row>
    <row r="182" spans="1:9">
      <c r="C182" s="508" t="s">
        <v>2985</v>
      </c>
      <c r="D182" s="515"/>
      <c r="E182" s="510" t="s">
        <v>2378</v>
      </c>
      <c r="F182" s="523">
        <v>599080</v>
      </c>
    </row>
    <row r="183" spans="1:9">
      <c r="A183" s="521" t="s">
        <v>0</v>
      </c>
      <c r="B183" s="536"/>
      <c r="C183" s="536"/>
      <c r="D183" s="536"/>
      <c r="E183" s="536"/>
      <c r="F183" s="536"/>
      <c r="G183" s="536"/>
      <c r="H183" s="536"/>
      <c r="I183" s="536"/>
    </row>
    <row r="184" spans="1:9">
      <c r="A184" s="501" t="s">
        <v>241</v>
      </c>
      <c r="B184" s="502" t="s">
        <v>281</v>
      </c>
      <c r="C184" s="502" t="s">
        <v>1373</v>
      </c>
      <c r="D184" s="502" t="s">
        <v>3796</v>
      </c>
      <c r="E184" s="502" t="s">
        <v>2969</v>
      </c>
      <c r="F184" s="502" t="s">
        <v>3797</v>
      </c>
      <c r="G184" s="502" t="s">
        <v>3798</v>
      </c>
      <c r="H184" s="502" t="s">
        <v>2377</v>
      </c>
      <c r="I184" s="512"/>
    </row>
    <row r="185" spans="1:9">
      <c r="A185" s="500"/>
      <c r="B185" s="504" t="s">
        <v>2426</v>
      </c>
      <c r="C185" s="504" t="s">
        <v>282</v>
      </c>
      <c r="D185" s="504">
        <v>63</v>
      </c>
      <c r="E185" s="525">
        <f>F185/D185</f>
        <v>3695.8253968253966</v>
      </c>
      <c r="F185" s="504">
        <v>232837</v>
      </c>
      <c r="G185" s="101" t="s">
        <v>6</v>
      </c>
    </row>
    <row r="186" spans="1:9">
      <c r="B186" s="504" t="s">
        <v>2426</v>
      </c>
      <c r="C186" s="504" t="s">
        <v>897</v>
      </c>
      <c r="D186" s="504">
        <v>112</v>
      </c>
      <c r="E186" s="525">
        <f>F186/D186</f>
        <v>1861.2321428571429</v>
      </c>
      <c r="F186" s="504">
        <v>208458</v>
      </c>
    </row>
    <row r="187" spans="1:9">
      <c r="B187" s="504" t="s">
        <v>2426</v>
      </c>
      <c r="C187" s="504" t="s">
        <v>283</v>
      </c>
      <c r="D187" s="504">
        <v>69</v>
      </c>
      <c r="E187" s="525">
        <f>F187/D187</f>
        <v>843.02898550724638</v>
      </c>
      <c r="F187" s="504">
        <v>58169</v>
      </c>
    </row>
    <row r="188" spans="1:9">
      <c r="A188" s="500"/>
      <c r="B188" s="504" t="s">
        <v>2426</v>
      </c>
      <c r="C188" s="507" t="s">
        <v>1</v>
      </c>
      <c r="D188" s="504">
        <v>66</v>
      </c>
      <c r="E188" s="525">
        <f>F188/D188</f>
        <v>2004.6060606060605</v>
      </c>
      <c r="F188" s="504">
        <v>132304</v>
      </c>
    </row>
    <row r="189" spans="1:9">
      <c r="A189" s="500"/>
      <c r="B189" s="504" t="s">
        <v>2426</v>
      </c>
      <c r="C189" s="504" t="s">
        <v>900</v>
      </c>
      <c r="D189" s="504">
        <v>117</v>
      </c>
      <c r="E189" s="525">
        <f>F189/D189</f>
        <v>165.7948717948718</v>
      </c>
      <c r="F189" s="504">
        <v>19398</v>
      </c>
    </row>
    <row r="190" spans="1:9">
      <c r="E190" s="502" t="s">
        <v>2988</v>
      </c>
      <c r="F190" s="522">
        <f>SUM(F185:F189)</f>
        <v>651166</v>
      </c>
      <c r="G190" s="515"/>
      <c r="H190" s="515"/>
    </row>
    <row r="191" spans="1:9">
      <c r="A191" s="770">
        <v>94012601</v>
      </c>
      <c r="B191" s="770" t="s">
        <v>2</v>
      </c>
      <c r="C191" s="515" t="s">
        <v>2978</v>
      </c>
      <c r="D191" s="515">
        <v>1</v>
      </c>
      <c r="E191" s="97">
        <v>4200</v>
      </c>
      <c r="F191" s="97">
        <v>4200</v>
      </c>
      <c r="G191" s="500">
        <v>210</v>
      </c>
      <c r="H191" s="500">
        <v>4410</v>
      </c>
      <c r="I191" s="515" t="s">
        <v>3800</v>
      </c>
    </row>
    <row r="192" spans="1:9">
      <c r="A192" s="770">
        <v>94090507</v>
      </c>
      <c r="B192" s="770" t="s">
        <v>2979</v>
      </c>
      <c r="C192" s="515" t="s">
        <v>2978</v>
      </c>
      <c r="D192" s="515">
        <v>1</v>
      </c>
      <c r="E192" s="97">
        <v>4200</v>
      </c>
      <c r="F192" s="97">
        <v>4200</v>
      </c>
      <c r="G192" s="500">
        <v>210</v>
      </c>
      <c r="H192" s="500">
        <v>4410</v>
      </c>
      <c r="I192" s="515" t="s">
        <v>3800</v>
      </c>
    </row>
    <row r="193" spans="1:9">
      <c r="A193" s="770">
        <v>94102102</v>
      </c>
      <c r="B193" s="770" t="s">
        <v>2982</v>
      </c>
      <c r="C193" s="515" t="s">
        <v>2978</v>
      </c>
      <c r="D193" s="515">
        <v>1</v>
      </c>
      <c r="E193" s="97">
        <v>4200</v>
      </c>
      <c r="F193" s="97">
        <v>4200</v>
      </c>
      <c r="G193" s="500">
        <v>210</v>
      </c>
      <c r="H193" s="500">
        <v>4410</v>
      </c>
      <c r="I193" s="515" t="s">
        <v>3800</v>
      </c>
    </row>
    <row r="194" spans="1:9">
      <c r="E194" s="502" t="s">
        <v>2988</v>
      </c>
      <c r="F194" s="522">
        <f>SUM(F191:F193)</f>
        <v>12600</v>
      </c>
      <c r="G194" s="515">
        <f>SUM(G191:G193)</f>
        <v>630</v>
      </c>
      <c r="H194" s="515">
        <f>SUM(H191:H193)</f>
        <v>13230</v>
      </c>
    </row>
    <row r="195" spans="1:9">
      <c r="A195" s="770">
        <v>940331</v>
      </c>
      <c r="B195" s="500" t="s">
        <v>3</v>
      </c>
      <c r="C195" s="81" t="s">
        <v>4</v>
      </c>
      <c r="D195" s="500">
        <v>1</v>
      </c>
      <c r="E195" s="98">
        <v>-2000</v>
      </c>
      <c r="F195" s="537">
        <v>-2000</v>
      </c>
      <c r="G195" s="510" t="s">
        <v>5</v>
      </c>
      <c r="H195" s="515"/>
    </row>
    <row r="196" spans="1:9">
      <c r="A196" s="538"/>
      <c r="B196" s="539"/>
      <c r="C196" s="508" t="s">
        <v>2985</v>
      </c>
      <c r="D196" s="515"/>
      <c r="E196" s="510" t="s">
        <v>2378</v>
      </c>
      <c r="F196" s="523">
        <f>F190+F194</f>
        <v>663766</v>
      </c>
      <c r="G196" s="518"/>
      <c r="H196" s="518"/>
      <c r="I196" s="539"/>
    </row>
    <row r="197" spans="1:9">
      <c r="A197" s="540" t="s">
        <v>3398</v>
      </c>
      <c r="B197" s="541"/>
      <c r="C197" s="541"/>
      <c r="D197" s="541"/>
      <c r="E197" s="541"/>
      <c r="F197" s="541"/>
      <c r="G197" s="541"/>
      <c r="H197" s="541"/>
      <c r="I197" s="541"/>
    </row>
    <row r="198" spans="1:9">
      <c r="A198" s="501" t="s">
        <v>241</v>
      </c>
      <c r="B198" s="502" t="s">
        <v>281</v>
      </c>
      <c r="C198" s="502" t="s">
        <v>1373</v>
      </c>
      <c r="D198" s="502" t="s">
        <v>3796</v>
      </c>
      <c r="E198" s="502" t="s">
        <v>2969</v>
      </c>
      <c r="F198" s="502" t="s">
        <v>3797</v>
      </c>
      <c r="G198" s="502" t="s">
        <v>3798</v>
      </c>
      <c r="H198" s="502" t="s">
        <v>2377</v>
      </c>
      <c r="I198" s="512"/>
    </row>
    <row r="199" spans="1:9">
      <c r="A199" s="501"/>
      <c r="B199" s="515" t="s">
        <v>285</v>
      </c>
      <c r="C199" s="542" t="s">
        <v>282</v>
      </c>
      <c r="D199" s="502">
        <v>93</v>
      </c>
      <c r="E199" s="502">
        <v>2350</v>
      </c>
      <c r="F199" s="502">
        <f>D199*E199</f>
        <v>218550</v>
      </c>
      <c r="G199" s="502"/>
      <c r="H199" s="502"/>
      <c r="I199" s="512"/>
    </row>
    <row r="200" spans="1:9">
      <c r="A200" s="501"/>
      <c r="B200" s="515" t="s">
        <v>285</v>
      </c>
      <c r="C200" s="542" t="s">
        <v>3799</v>
      </c>
      <c r="D200" s="502">
        <v>93</v>
      </c>
      <c r="E200" s="502">
        <v>1975</v>
      </c>
      <c r="F200" s="502">
        <f>D200*E200</f>
        <v>183675</v>
      </c>
      <c r="G200" s="502"/>
      <c r="H200" s="502"/>
      <c r="I200" s="512"/>
    </row>
    <row r="201" spans="1:9">
      <c r="A201" s="501"/>
      <c r="B201" s="515" t="s">
        <v>285</v>
      </c>
      <c r="C201" s="542" t="s">
        <v>283</v>
      </c>
      <c r="D201" s="502">
        <v>93</v>
      </c>
      <c r="E201" s="502">
        <v>1350</v>
      </c>
      <c r="F201" s="502">
        <f>D201*E201</f>
        <v>125550</v>
      </c>
      <c r="G201" s="502"/>
      <c r="H201" s="502"/>
      <c r="I201" s="512"/>
    </row>
    <row r="202" spans="1:9">
      <c r="A202" s="501"/>
      <c r="B202" s="515" t="s">
        <v>285</v>
      </c>
      <c r="C202" s="542" t="s">
        <v>2983</v>
      </c>
      <c r="D202" s="502">
        <v>93</v>
      </c>
      <c r="E202" s="502">
        <v>2534.7199999999998</v>
      </c>
      <c r="F202" s="502">
        <f>D202*E202</f>
        <v>235728.96</v>
      </c>
      <c r="G202" s="502"/>
      <c r="H202" s="502"/>
      <c r="I202" s="512"/>
    </row>
    <row r="203" spans="1:9">
      <c r="A203" s="501"/>
      <c r="B203" s="515" t="s">
        <v>285</v>
      </c>
      <c r="C203" s="542" t="s">
        <v>2984</v>
      </c>
      <c r="D203" s="502">
        <v>220</v>
      </c>
      <c r="E203" s="502">
        <v>200</v>
      </c>
      <c r="F203" s="502">
        <f>D203*E203</f>
        <v>44000</v>
      </c>
      <c r="G203" s="502"/>
      <c r="H203" s="502"/>
      <c r="I203" s="512"/>
    </row>
    <row r="204" spans="1:9">
      <c r="A204" s="501"/>
      <c r="B204" s="515"/>
      <c r="C204" s="542"/>
      <c r="D204" s="502"/>
      <c r="E204" s="502"/>
      <c r="F204" s="502"/>
      <c r="G204" s="502"/>
      <c r="H204" s="502"/>
      <c r="I204" s="512"/>
    </row>
    <row r="205" spans="1:9">
      <c r="A205" s="543" t="s">
        <v>2986</v>
      </c>
      <c r="B205" s="515" t="s">
        <v>3801</v>
      </c>
      <c r="C205" s="510" t="s">
        <v>2971</v>
      </c>
      <c r="D205" s="544">
        <v>30</v>
      </c>
      <c r="E205" s="515">
        <v>1150</v>
      </c>
      <c r="F205" s="502">
        <f>D205*E205</f>
        <v>34500</v>
      </c>
      <c r="G205" s="515">
        <v>1725</v>
      </c>
      <c r="H205" s="515">
        <v>36225</v>
      </c>
      <c r="I205" s="515"/>
    </row>
    <row r="206" spans="1:9">
      <c r="A206" s="543" t="s">
        <v>2972</v>
      </c>
      <c r="B206" s="513" t="s">
        <v>3801</v>
      </c>
      <c r="C206" s="513" t="s">
        <v>2971</v>
      </c>
      <c r="D206" s="545">
        <v>5</v>
      </c>
      <c r="E206" s="513">
        <v>1150</v>
      </c>
      <c r="F206" s="502">
        <f>D206*E206</f>
        <v>5750</v>
      </c>
      <c r="G206" s="513">
        <v>288</v>
      </c>
      <c r="H206" s="513">
        <v>6038</v>
      </c>
      <c r="I206" s="515"/>
    </row>
    <row r="207" spans="1:9">
      <c r="A207" s="543" t="s">
        <v>2973</v>
      </c>
      <c r="B207" s="513" t="s">
        <v>3801</v>
      </c>
      <c r="C207" s="513" t="s">
        <v>2971</v>
      </c>
      <c r="D207" s="545">
        <v>15</v>
      </c>
      <c r="E207" s="513">
        <v>1150</v>
      </c>
      <c r="F207" s="502">
        <f>D207*E207</f>
        <v>17250</v>
      </c>
      <c r="G207" s="513">
        <v>863</v>
      </c>
      <c r="H207" s="513">
        <v>18113</v>
      </c>
      <c r="I207" s="515"/>
    </row>
    <row r="208" spans="1:9">
      <c r="A208" s="543" t="s">
        <v>2976</v>
      </c>
      <c r="B208" s="513" t="s">
        <v>3801</v>
      </c>
      <c r="C208" s="513" t="s">
        <v>2971</v>
      </c>
      <c r="D208" s="545">
        <v>20</v>
      </c>
      <c r="E208" s="513">
        <v>1150</v>
      </c>
      <c r="F208" s="502">
        <f>D208*E208</f>
        <v>23000</v>
      </c>
      <c r="G208" s="513">
        <v>1150</v>
      </c>
      <c r="H208" s="513">
        <v>24150</v>
      </c>
      <c r="I208" s="513"/>
    </row>
    <row r="209" spans="1:9">
      <c r="A209" s="543"/>
      <c r="B209" s="513"/>
      <c r="C209" s="513"/>
      <c r="D209" s="517"/>
      <c r="E209" s="502"/>
      <c r="F209" s="546">
        <f>SUM(F205:F208)</f>
        <v>80500</v>
      </c>
      <c r="G209" s="513"/>
      <c r="H209" s="513"/>
      <c r="I209" s="513"/>
    </row>
    <row r="210" spans="1:9">
      <c r="A210" s="547"/>
      <c r="B210" s="517"/>
      <c r="C210" s="517"/>
      <c r="D210" s="517"/>
      <c r="E210" s="502"/>
      <c r="F210" s="502"/>
      <c r="G210" s="517"/>
      <c r="H210" s="517"/>
      <c r="I210" s="517"/>
    </row>
    <row r="211" spans="1:9">
      <c r="A211" s="543" t="s">
        <v>2987</v>
      </c>
      <c r="B211" s="515" t="s">
        <v>2970</v>
      </c>
      <c r="C211" s="510" t="s">
        <v>4443</v>
      </c>
      <c r="D211" s="518">
        <v>200</v>
      </c>
      <c r="E211" s="515">
        <v>118</v>
      </c>
      <c r="F211" s="502">
        <f>D211*E211</f>
        <v>23600</v>
      </c>
      <c r="G211" s="515">
        <v>1180</v>
      </c>
      <c r="H211" s="515">
        <v>24780</v>
      </c>
      <c r="I211" s="515"/>
    </row>
    <row r="212" spans="1:9">
      <c r="A212" s="547"/>
      <c r="B212" s="518"/>
      <c r="C212" s="548"/>
      <c r="D212" s="518"/>
      <c r="E212" s="518"/>
      <c r="F212" s="502"/>
      <c r="G212" s="518"/>
      <c r="H212" s="518"/>
      <c r="I212" s="518"/>
    </row>
    <row r="213" spans="1:9">
      <c r="A213" s="543" t="s">
        <v>2974</v>
      </c>
      <c r="B213" s="513" t="s">
        <v>286</v>
      </c>
      <c r="C213" s="549" t="s">
        <v>2975</v>
      </c>
      <c r="D213" s="545">
        <v>1</v>
      </c>
      <c r="E213" s="513">
        <v>940</v>
      </c>
      <c r="F213" s="502">
        <f>D213*E213</f>
        <v>940</v>
      </c>
      <c r="G213" s="513">
        <v>47</v>
      </c>
      <c r="H213" s="513">
        <v>987</v>
      </c>
      <c r="I213" s="515"/>
    </row>
    <row r="214" spans="1:9">
      <c r="A214" s="543" t="s">
        <v>2977</v>
      </c>
      <c r="B214" s="513" t="s">
        <v>286</v>
      </c>
      <c r="C214" s="549" t="s">
        <v>2975</v>
      </c>
      <c r="D214" s="545">
        <v>100</v>
      </c>
      <c r="E214" s="513">
        <v>850</v>
      </c>
      <c r="F214" s="502">
        <f>D214*E214</f>
        <v>85000</v>
      </c>
      <c r="G214" s="513">
        <v>0</v>
      </c>
      <c r="H214" s="513"/>
      <c r="I214" s="513"/>
    </row>
    <row r="215" spans="1:9">
      <c r="A215" s="543" t="s">
        <v>2977</v>
      </c>
      <c r="B215" s="513" t="s">
        <v>286</v>
      </c>
      <c r="C215" s="549" t="s">
        <v>2975</v>
      </c>
      <c r="D215" s="545">
        <v>10</v>
      </c>
      <c r="E215" s="513">
        <v>25</v>
      </c>
      <c r="F215" s="502">
        <f>D215*E215</f>
        <v>250</v>
      </c>
      <c r="G215" s="513">
        <v>4263</v>
      </c>
      <c r="H215" s="513">
        <v>89813</v>
      </c>
      <c r="I215" s="513"/>
    </row>
    <row r="216" spans="1:9">
      <c r="A216" s="550"/>
      <c r="B216" s="515"/>
      <c r="C216" s="551"/>
      <c r="D216" s="515"/>
      <c r="E216" s="515"/>
      <c r="F216" s="552">
        <f>SUM(F213:F215)</f>
        <v>86190</v>
      </c>
      <c r="G216" s="510">
        <f>SUM(G211:G215)</f>
        <v>5490</v>
      </c>
      <c r="H216" s="510">
        <f>SUM(H211:H215)</f>
        <v>115580</v>
      </c>
      <c r="I216" s="515"/>
    </row>
    <row r="217" spans="1:9">
      <c r="A217" s="550"/>
      <c r="B217" s="515"/>
      <c r="C217" s="515"/>
      <c r="D217" s="515"/>
      <c r="E217" s="502" t="s">
        <v>2988</v>
      </c>
      <c r="F217" s="552">
        <f>SUM(F199:F203)+F209+F211+F216</f>
        <v>997793.96</v>
      </c>
      <c r="G217" s="515"/>
      <c r="H217" s="515"/>
      <c r="I217" s="515"/>
    </row>
    <row r="218" spans="1:9">
      <c r="A218" s="550"/>
      <c r="B218" s="515"/>
      <c r="C218" s="551"/>
      <c r="D218" s="515"/>
      <c r="E218" s="515"/>
      <c r="F218" s="510"/>
      <c r="G218" s="515"/>
      <c r="H218" s="515"/>
      <c r="I218" s="515"/>
    </row>
    <row r="219" spans="1:9">
      <c r="A219" s="550">
        <v>38395</v>
      </c>
      <c r="B219" s="515" t="s">
        <v>2424</v>
      </c>
      <c r="C219" s="515" t="s">
        <v>2978</v>
      </c>
      <c r="D219" s="515">
        <v>1</v>
      </c>
      <c r="E219" s="515">
        <v>8400</v>
      </c>
      <c r="F219" s="502">
        <f t="shared" ref="F219:F226" si="12">D219*E219</f>
        <v>8400</v>
      </c>
      <c r="G219" s="510">
        <v>420</v>
      </c>
      <c r="H219" s="510">
        <v>8820</v>
      </c>
      <c r="I219" s="515" t="s">
        <v>3800</v>
      </c>
    </row>
    <row r="220" spans="1:9">
      <c r="A220" s="550">
        <v>38395</v>
      </c>
      <c r="B220" s="515" t="s">
        <v>1270</v>
      </c>
      <c r="C220" s="515" t="s">
        <v>2978</v>
      </c>
      <c r="D220" s="515">
        <v>1</v>
      </c>
      <c r="E220" s="515">
        <v>8400</v>
      </c>
      <c r="F220" s="502">
        <f t="shared" si="12"/>
        <v>8400</v>
      </c>
      <c r="G220" s="510">
        <v>420</v>
      </c>
      <c r="H220" s="510">
        <v>8820</v>
      </c>
      <c r="I220" s="515" t="s">
        <v>3800</v>
      </c>
    </row>
    <row r="221" spans="1:9">
      <c r="A221" s="550">
        <v>38410</v>
      </c>
      <c r="B221" s="515" t="s">
        <v>1298</v>
      </c>
      <c r="C221" s="515" t="s">
        <v>2978</v>
      </c>
      <c r="D221" s="515">
        <v>1</v>
      </c>
      <c r="E221" s="515">
        <v>8400</v>
      </c>
      <c r="F221" s="502">
        <f t="shared" si="12"/>
        <v>8400</v>
      </c>
      <c r="G221" s="510">
        <v>420</v>
      </c>
      <c r="H221" s="510">
        <v>8820</v>
      </c>
      <c r="I221" s="515" t="s">
        <v>3800</v>
      </c>
    </row>
    <row r="222" spans="1:9">
      <c r="A222" s="550">
        <v>38458</v>
      </c>
      <c r="B222" s="515" t="s">
        <v>2979</v>
      </c>
      <c r="C222" s="515" t="s">
        <v>2978</v>
      </c>
      <c r="D222" s="515">
        <v>1</v>
      </c>
      <c r="E222" s="515">
        <v>8400</v>
      </c>
      <c r="F222" s="502">
        <f t="shared" si="12"/>
        <v>8400</v>
      </c>
      <c r="G222" s="510">
        <v>420</v>
      </c>
      <c r="H222" s="510">
        <v>8820</v>
      </c>
      <c r="I222" s="515" t="s">
        <v>3800</v>
      </c>
    </row>
    <row r="223" spans="1:9">
      <c r="A223" s="550">
        <v>38464</v>
      </c>
      <c r="B223" s="515" t="s">
        <v>2980</v>
      </c>
      <c r="C223" s="515" t="s">
        <v>2978</v>
      </c>
      <c r="D223" s="515">
        <v>1</v>
      </c>
      <c r="E223" s="515">
        <v>8400</v>
      </c>
      <c r="F223" s="502">
        <f t="shared" si="12"/>
        <v>8400</v>
      </c>
      <c r="G223" s="510">
        <v>420</v>
      </c>
      <c r="H223" s="510">
        <v>8820</v>
      </c>
      <c r="I223" s="515" t="s">
        <v>3800</v>
      </c>
    </row>
    <row r="224" spans="1:9">
      <c r="A224" s="550">
        <v>38497</v>
      </c>
      <c r="B224" s="515" t="s">
        <v>1302</v>
      </c>
      <c r="C224" s="515" t="s">
        <v>2978</v>
      </c>
      <c r="D224" s="515">
        <v>1</v>
      </c>
      <c r="E224" s="515">
        <v>8400</v>
      </c>
      <c r="F224" s="502">
        <f t="shared" si="12"/>
        <v>8400</v>
      </c>
      <c r="G224" s="510">
        <v>420</v>
      </c>
      <c r="H224" s="510">
        <v>8820</v>
      </c>
      <c r="I224" s="515" t="s">
        <v>3800</v>
      </c>
    </row>
    <row r="225" spans="1:9">
      <c r="A225" s="550">
        <v>38595</v>
      </c>
      <c r="B225" s="515" t="s">
        <v>2981</v>
      </c>
      <c r="C225" s="515" t="s">
        <v>2978</v>
      </c>
      <c r="D225" s="515">
        <v>1</v>
      </c>
      <c r="E225" s="515">
        <v>4200</v>
      </c>
      <c r="F225" s="502">
        <f t="shared" si="12"/>
        <v>4200</v>
      </c>
      <c r="G225" s="515">
        <v>210</v>
      </c>
      <c r="H225" s="510">
        <v>4410</v>
      </c>
      <c r="I225" s="515" t="s">
        <v>3800</v>
      </c>
    </row>
    <row r="226" spans="1:9">
      <c r="A226" s="550">
        <v>38612</v>
      </c>
      <c r="B226" s="515" t="s">
        <v>2982</v>
      </c>
      <c r="C226" s="515" t="s">
        <v>2978</v>
      </c>
      <c r="D226" s="515">
        <v>1</v>
      </c>
      <c r="E226" s="515">
        <v>4200</v>
      </c>
      <c r="F226" s="502">
        <f t="shared" si="12"/>
        <v>4200</v>
      </c>
      <c r="G226" s="515">
        <v>210</v>
      </c>
      <c r="H226" s="510">
        <v>4410</v>
      </c>
      <c r="I226" s="515" t="s">
        <v>3800</v>
      </c>
    </row>
    <row r="227" spans="1:9">
      <c r="A227" s="550"/>
      <c r="B227" s="515"/>
      <c r="C227" s="515"/>
      <c r="D227" s="515"/>
      <c r="E227" s="502" t="s">
        <v>2988</v>
      </c>
      <c r="F227" s="544">
        <f>SUM(F219:F226)</f>
        <v>58800</v>
      </c>
      <c r="G227" s="515">
        <f>SUM(G219:G226)</f>
        <v>2940</v>
      </c>
      <c r="H227" s="515">
        <f>SUM(H219:H226)</f>
        <v>61740</v>
      </c>
      <c r="I227" s="515"/>
    </row>
    <row r="228" spans="1:9">
      <c r="A228" s="550"/>
      <c r="B228" s="515"/>
      <c r="C228" s="508" t="s">
        <v>2985</v>
      </c>
      <c r="D228" s="515"/>
      <c r="E228" s="510" t="s">
        <v>2378</v>
      </c>
      <c r="F228" s="553">
        <f>F217+F227</f>
        <v>1056593.96</v>
      </c>
      <c r="G228" s="515"/>
      <c r="H228" s="515"/>
      <c r="I228" s="515"/>
    </row>
    <row r="229" spans="1:9">
      <c r="A229" s="550"/>
      <c r="B229" s="515"/>
      <c r="C229" s="515"/>
      <c r="D229" s="515"/>
      <c r="E229" s="515"/>
      <c r="F229" s="515"/>
      <c r="G229" s="515"/>
      <c r="H229" s="515"/>
      <c r="I229" s="515"/>
    </row>
    <row r="230" spans="1:9">
      <c r="A230" s="550"/>
      <c r="B230" s="515"/>
      <c r="C230" s="515"/>
      <c r="D230" s="515"/>
      <c r="E230" s="515"/>
      <c r="F230" s="515"/>
      <c r="G230" s="515"/>
      <c r="H230" s="510"/>
      <c r="I230" s="515"/>
    </row>
  </sheetData>
  <phoneticPr fontId="3" type="noConversion"/>
  <pageMargins left="0.78749999999999998" right="0.78749999999999998" top="0.78749999999999998" bottom="0.78749999999999998" header="0.5" footer="0.5"/>
  <pageSetup paperSize="9" firstPageNumber="0" fitToHeight="0" orientation="portrait" horizontalDpi="300" verticalDpi="300" r:id="rId1"/>
  <headerFooter alignWithMargins="0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/>
  <dimension ref="A1:X224"/>
  <sheetViews>
    <sheetView topLeftCell="A13" zoomScale="80" zoomScaleNormal="80" workbookViewId="0">
      <selection activeCell="Q8" sqref="Q8"/>
    </sheetView>
  </sheetViews>
  <sheetFormatPr defaultColWidth="8" defaultRowHeight="16.5"/>
  <cols>
    <col min="1" max="1" width="17.5" style="36" bestFit="1" customWidth="1"/>
    <col min="2" max="2" width="12.75" style="32" customWidth="1"/>
    <col min="3" max="3" width="12.125" style="21" bestFit="1" customWidth="1"/>
    <col min="4" max="4" width="11.125" style="32" customWidth="1"/>
    <col min="5" max="5" width="8" style="21" bestFit="1" customWidth="1"/>
    <col min="6" max="6" width="7.375" style="21" bestFit="1" customWidth="1"/>
    <col min="7" max="8" width="8" style="21" bestFit="1" customWidth="1"/>
    <col min="9" max="9" width="10" style="21" bestFit="1" customWidth="1"/>
    <col min="10" max="10" width="6.75" style="22" customWidth="1"/>
    <col min="11" max="11" width="7.25" style="21" customWidth="1"/>
    <col min="12" max="12" width="6.875" style="21" customWidth="1"/>
    <col min="13" max="13" width="6.625" style="21" bestFit="1" customWidth="1"/>
    <col min="14" max="16" width="5.75" style="21" customWidth="1"/>
    <col min="17" max="17" width="11" style="21" bestFit="1" customWidth="1"/>
    <col min="18" max="18" width="7.25" style="21" customWidth="1"/>
    <col min="19" max="16384" width="8" style="22"/>
  </cols>
  <sheetData>
    <row r="1" spans="1:24" s="252" customFormat="1">
      <c r="A1" s="930" t="s">
        <v>19112</v>
      </c>
      <c r="B1" s="931"/>
      <c r="C1" s="931"/>
      <c r="D1" s="931"/>
      <c r="E1" s="931"/>
      <c r="F1" s="931"/>
      <c r="G1" s="931"/>
      <c r="H1" s="931"/>
      <c r="I1" s="931"/>
      <c r="J1" s="931"/>
      <c r="K1" s="931"/>
      <c r="L1" s="931"/>
      <c r="M1" s="931"/>
      <c r="N1" s="931"/>
      <c r="O1" s="931"/>
      <c r="P1" s="931"/>
      <c r="Q1" s="931"/>
      <c r="R1" s="931"/>
    </row>
    <row r="2" spans="1:24" s="776" customFormat="1">
      <c r="A2" s="772"/>
      <c r="B2" s="773" t="s">
        <v>3802</v>
      </c>
      <c r="C2" s="800" t="s">
        <v>3399</v>
      </c>
      <c r="D2" s="793" t="s">
        <v>3803</v>
      </c>
      <c r="E2" s="790" t="s">
        <v>282</v>
      </c>
      <c r="F2" s="791" t="s">
        <v>287</v>
      </c>
      <c r="G2" s="790" t="s">
        <v>283</v>
      </c>
      <c r="H2" s="790" t="s">
        <v>284</v>
      </c>
      <c r="I2" s="790" t="s">
        <v>900</v>
      </c>
      <c r="J2" s="789" t="s">
        <v>3820</v>
      </c>
      <c r="K2" s="789" t="s">
        <v>918</v>
      </c>
      <c r="L2" s="789" t="s">
        <v>3827</v>
      </c>
      <c r="M2" s="789" t="s">
        <v>3755</v>
      </c>
      <c r="N2" s="802"/>
    </row>
    <row r="3" spans="1:24" s="776" customFormat="1">
      <c r="A3" s="786" t="s">
        <v>1752</v>
      </c>
      <c r="B3" s="773"/>
      <c r="C3" s="801">
        <v>78.004499999999993</v>
      </c>
      <c r="D3" s="794">
        <f>D21</f>
        <v>2996.1374381341561</v>
      </c>
      <c r="E3" s="796"/>
      <c r="F3" s="796"/>
      <c r="G3" s="795"/>
      <c r="H3" s="796"/>
      <c r="I3" s="796"/>
      <c r="J3" s="784"/>
      <c r="K3" s="784"/>
      <c r="L3" s="784"/>
      <c r="M3" s="784"/>
      <c r="N3" s="801"/>
      <c r="S3" s="504"/>
      <c r="T3" s="504"/>
      <c r="V3" s="505"/>
      <c r="W3" s="505"/>
    </row>
    <row r="4" spans="1:24" s="776" customFormat="1">
      <c r="A4" s="786" t="s">
        <v>1753</v>
      </c>
      <c r="B4" s="773"/>
      <c r="C4" s="801">
        <v>7477</v>
      </c>
      <c r="D4" s="783">
        <f>D22</f>
        <v>38</v>
      </c>
      <c r="E4" s="798">
        <f>E22</f>
        <v>0</v>
      </c>
      <c r="F4" s="798">
        <f t="shared" ref="F4:M4" si="0">F22</f>
        <v>0</v>
      </c>
      <c r="G4" s="798">
        <f t="shared" si="0"/>
        <v>0</v>
      </c>
      <c r="H4" s="798">
        <f t="shared" si="0"/>
        <v>0</v>
      </c>
      <c r="I4" s="798">
        <f t="shared" si="0"/>
        <v>0</v>
      </c>
      <c r="J4" s="798">
        <f t="shared" si="0"/>
        <v>0</v>
      </c>
      <c r="K4" s="798">
        <f t="shared" si="0"/>
        <v>0</v>
      </c>
      <c r="L4" s="798">
        <f t="shared" si="0"/>
        <v>0</v>
      </c>
      <c r="M4" s="798">
        <f t="shared" si="0"/>
        <v>0</v>
      </c>
      <c r="N4" s="798"/>
      <c r="S4" s="505"/>
      <c r="T4" s="505"/>
      <c r="V4" s="505"/>
      <c r="W4" s="505"/>
    </row>
    <row r="5" spans="1:24" s="792" customFormat="1">
      <c r="A5" s="786" t="s">
        <v>1754</v>
      </c>
      <c r="B5" s="808">
        <f>SUM(C5:N5)</f>
        <v>697093.22264909791</v>
      </c>
      <c r="C5" s="137">
        <v>583240</v>
      </c>
      <c r="D5" s="247">
        <f>D3*D4</f>
        <v>113853.22264909794</v>
      </c>
      <c r="E5" s="44"/>
      <c r="F5" s="44"/>
      <c r="G5" s="44"/>
      <c r="H5" s="44"/>
      <c r="I5" s="44"/>
      <c r="J5" s="44"/>
      <c r="K5" s="44"/>
      <c r="L5" s="44"/>
      <c r="M5" s="44"/>
      <c r="N5" s="798"/>
      <c r="S5" s="505"/>
      <c r="T5" s="505"/>
      <c r="V5" s="505"/>
      <c r="W5" s="505"/>
    </row>
    <row r="6" spans="1:24" s="779" customFormat="1">
      <c r="A6" s="787" t="s">
        <v>295</v>
      </c>
      <c r="B6" s="810">
        <v>135529</v>
      </c>
      <c r="C6" s="801"/>
      <c r="D6" s="783"/>
      <c r="E6" s="103">
        <v>9</v>
      </c>
      <c r="F6" s="103">
        <v>8</v>
      </c>
      <c r="G6" s="103">
        <v>10</v>
      </c>
      <c r="H6" s="103">
        <v>18</v>
      </c>
      <c r="I6" s="103">
        <v>27</v>
      </c>
      <c r="J6" s="778">
        <v>18</v>
      </c>
      <c r="K6" s="778">
        <v>8</v>
      </c>
      <c r="L6" s="778">
        <v>5</v>
      </c>
      <c r="M6" s="778">
        <v>7</v>
      </c>
      <c r="N6" s="800"/>
    </row>
    <row r="7" spans="1:24" s="782" customFormat="1">
      <c r="A7" s="788" t="s">
        <v>2990</v>
      </c>
      <c r="B7" s="783"/>
      <c r="C7" s="801"/>
      <c r="D7" s="783">
        <v>17</v>
      </c>
      <c r="E7" s="797">
        <v>9</v>
      </c>
      <c r="F7" s="781">
        <v>8</v>
      </c>
      <c r="G7" s="781">
        <v>10</v>
      </c>
      <c r="H7" s="781">
        <v>18</v>
      </c>
      <c r="I7" s="781">
        <v>27</v>
      </c>
      <c r="J7" s="781">
        <v>18</v>
      </c>
      <c r="K7" s="781">
        <v>8</v>
      </c>
      <c r="L7" s="781">
        <v>5</v>
      </c>
      <c r="M7" s="781">
        <v>7</v>
      </c>
      <c r="N7" s="797"/>
    </row>
    <row r="8" spans="1:24" s="782" customFormat="1">
      <c r="A8" s="788" t="s">
        <v>2989</v>
      </c>
      <c r="B8" s="780">
        <f>SUM(C8:N8)-1</f>
        <v>156945</v>
      </c>
      <c r="C8" s="801"/>
      <c r="D8" s="783"/>
      <c r="E8" s="505">
        <v>24421</v>
      </c>
      <c r="F8" s="505">
        <v>21293</v>
      </c>
      <c r="G8" s="505">
        <v>7973</v>
      </c>
      <c r="H8" s="505">
        <v>46765</v>
      </c>
      <c r="I8" s="505">
        <v>24509</v>
      </c>
      <c r="J8" s="505">
        <v>3631</v>
      </c>
      <c r="K8" s="505">
        <v>12019</v>
      </c>
      <c r="L8" s="505">
        <v>8098</v>
      </c>
      <c r="M8" s="801">
        <v>8237</v>
      </c>
      <c r="N8" s="507"/>
      <c r="O8" s="804" t="s">
        <v>1511</v>
      </c>
      <c r="P8" s="785"/>
      <c r="Q8" s="768">
        <f>SUM(E8:N8)</f>
        <v>156946</v>
      </c>
    </row>
    <row r="9" spans="1:24" s="785" customFormat="1">
      <c r="A9" s="786" t="s">
        <v>1756</v>
      </c>
      <c r="B9" s="783"/>
      <c r="C9" s="801">
        <v>78.004499999999993</v>
      </c>
      <c r="D9" s="794">
        <v>2996.1374381341561</v>
      </c>
      <c r="E9" s="796"/>
      <c r="F9" s="796"/>
      <c r="G9" s="795"/>
      <c r="H9" s="796"/>
      <c r="I9" s="796"/>
      <c r="J9" s="784"/>
      <c r="K9" s="784"/>
      <c r="L9" s="784"/>
      <c r="M9" s="784"/>
      <c r="N9" s="801"/>
      <c r="S9" s="504"/>
      <c r="T9" s="504"/>
      <c r="V9" s="505"/>
      <c r="W9" s="505"/>
      <c r="X9" s="505"/>
    </row>
    <row r="10" spans="1:24" s="785" customFormat="1">
      <c r="A10" s="786" t="s">
        <v>1757</v>
      </c>
      <c r="B10" s="783"/>
      <c r="C10" s="801">
        <v>7477</v>
      </c>
      <c r="D10" s="783">
        <v>39</v>
      </c>
      <c r="E10" s="798">
        <f t="shared" ref="E10:M10" si="1">E4+E6-E7</f>
        <v>0</v>
      </c>
      <c r="F10" s="798">
        <f t="shared" si="1"/>
        <v>0</v>
      </c>
      <c r="G10" s="798">
        <f t="shared" si="1"/>
        <v>0</v>
      </c>
      <c r="H10" s="798">
        <f t="shared" si="1"/>
        <v>0</v>
      </c>
      <c r="I10" s="798">
        <f t="shared" si="1"/>
        <v>0</v>
      </c>
      <c r="J10" s="798">
        <f t="shared" si="1"/>
        <v>0</v>
      </c>
      <c r="K10" s="798">
        <f t="shared" si="1"/>
        <v>0</v>
      </c>
      <c r="L10" s="798">
        <f t="shared" si="1"/>
        <v>0</v>
      </c>
      <c r="M10" s="798">
        <f t="shared" si="1"/>
        <v>0</v>
      </c>
      <c r="N10" s="798"/>
      <c r="S10" s="507"/>
      <c r="T10" s="507"/>
      <c r="V10" s="505"/>
      <c r="W10" s="505"/>
      <c r="X10" s="505"/>
    </row>
    <row r="11" spans="1:24" s="792" customFormat="1">
      <c r="A11" s="786" t="s">
        <v>1758</v>
      </c>
      <c r="B11" s="808">
        <f>SUM(C11:N11)</f>
        <v>700089.36008723208</v>
      </c>
      <c r="C11" s="137">
        <v>583240</v>
      </c>
      <c r="D11" s="247">
        <f>D9*D10</f>
        <v>116849.36008723208</v>
      </c>
      <c r="E11" s="44"/>
      <c r="F11" s="44"/>
      <c r="G11" s="44"/>
      <c r="H11" s="44"/>
      <c r="I11" s="44"/>
      <c r="J11" s="44"/>
      <c r="K11" s="44"/>
      <c r="L11" s="44"/>
      <c r="M11" s="44"/>
      <c r="N11" s="798"/>
      <c r="O11" s="804" t="s">
        <v>1510</v>
      </c>
      <c r="Q11" s="776">
        <f>SUM(E11:N11)</f>
        <v>0</v>
      </c>
      <c r="S11" s="504"/>
      <c r="T11" s="504"/>
      <c r="V11" s="505"/>
      <c r="W11" s="505"/>
      <c r="X11" s="505"/>
    </row>
    <row r="12" spans="1:24" s="776" customFormat="1">
      <c r="A12" s="772"/>
      <c r="B12" s="777"/>
      <c r="C12" s="775"/>
      <c r="D12" s="777"/>
      <c r="E12" s="774"/>
      <c r="F12" s="774"/>
      <c r="G12" s="774"/>
      <c r="H12" s="775"/>
      <c r="I12" s="775"/>
      <c r="L12" s="775"/>
      <c r="M12" s="775"/>
      <c r="N12" s="775"/>
      <c r="O12" s="775"/>
      <c r="P12" s="774"/>
      <c r="Q12" s="775"/>
      <c r="R12" s="775"/>
      <c r="S12" s="775"/>
      <c r="T12" s="507"/>
      <c r="U12" s="507"/>
      <c r="V12" s="505"/>
      <c r="W12" s="505"/>
      <c r="X12" s="505"/>
    </row>
    <row r="13" spans="1:24" s="252" customFormat="1">
      <c r="A13" s="930" t="s">
        <v>15220</v>
      </c>
      <c r="B13" s="931"/>
      <c r="C13" s="931"/>
      <c r="D13" s="931"/>
      <c r="E13" s="931"/>
      <c r="F13" s="931"/>
      <c r="G13" s="931"/>
      <c r="H13" s="931"/>
      <c r="I13" s="931"/>
      <c r="J13" s="931"/>
      <c r="K13" s="931"/>
      <c r="L13" s="931"/>
      <c r="M13" s="931"/>
      <c r="N13" s="931"/>
      <c r="O13" s="931"/>
      <c r="P13" s="931"/>
      <c r="Q13" s="931"/>
      <c r="R13" s="931"/>
    </row>
    <row r="14" spans="1:24" s="776" customFormat="1">
      <c r="A14" s="772"/>
      <c r="B14" s="773" t="s">
        <v>3802</v>
      </c>
      <c r="C14" s="800" t="s">
        <v>3399</v>
      </c>
      <c r="D14" s="793" t="s">
        <v>3803</v>
      </c>
      <c r="E14" s="790" t="s">
        <v>282</v>
      </c>
      <c r="F14" s="791" t="s">
        <v>287</v>
      </c>
      <c r="G14" s="790" t="s">
        <v>283</v>
      </c>
      <c r="H14" s="790" t="s">
        <v>284</v>
      </c>
      <c r="I14" s="790" t="s">
        <v>900</v>
      </c>
      <c r="J14" s="789" t="s">
        <v>3820</v>
      </c>
      <c r="K14" s="789" t="s">
        <v>918</v>
      </c>
      <c r="L14" s="789" t="s">
        <v>3827</v>
      </c>
      <c r="M14" s="789" t="s">
        <v>3755</v>
      </c>
      <c r="N14" s="802"/>
    </row>
    <row r="15" spans="1:24" s="776" customFormat="1">
      <c r="A15" s="786" t="s">
        <v>1752</v>
      </c>
      <c r="B15" s="773"/>
      <c r="C15" s="801">
        <v>78.004499999999993</v>
      </c>
      <c r="D15" s="794">
        <f>D33</f>
        <v>3216.2208999999998</v>
      </c>
      <c r="E15" s="796"/>
      <c r="F15" s="796"/>
      <c r="G15" s="795"/>
      <c r="H15" s="796"/>
      <c r="I15" s="796"/>
      <c r="J15" s="784"/>
      <c r="K15" s="784"/>
      <c r="L15" s="784"/>
      <c r="M15" s="784"/>
      <c r="N15" s="801"/>
      <c r="S15" s="504"/>
      <c r="T15" s="504"/>
      <c r="V15" s="505"/>
      <c r="W15" s="505"/>
    </row>
    <row r="16" spans="1:24" s="776" customFormat="1">
      <c r="A16" s="786" t="s">
        <v>1753</v>
      </c>
      <c r="B16" s="773"/>
      <c r="C16" s="801">
        <v>7477</v>
      </c>
      <c r="D16" s="783">
        <f>D34</f>
        <v>42</v>
      </c>
      <c r="E16" s="798">
        <f>E34</f>
        <v>0</v>
      </c>
      <c r="F16" s="798">
        <f t="shared" ref="F16:M16" si="2">F34</f>
        <v>0</v>
      </c>
      <c r="G16" s="798">
        <f t="shared" si="2"/>
        <v>0</v>
      </c>
      <c r="H16" s="798">
        <f t="shared" si="2"/>
        <v>0</v>
      </c>
      <c r="I16" s="798">
        <f t="shared" si="2"/>
        <v>0</v>
      </c>
      <c r="J16" s="798">
        <f t="shared" si="2"/>
        <v>0</v>
      </c>
      <c r="K16" s="798">
        <f t="shared" si="2"/>
        <v>0</v>
      </c>
      <c r="L16" s="798">
        <f t="shared" si="2"/>
        <v>0</v>
      </c>
      <c r="M16" s="798">
        <f t="shared" si="2"/>
        <v>0</v>
      </c>
      <c r="N16" s="798"/>
      <c r="S16" s="505"/>
      <c r="T16" s="505"/>
      <c r="V16" s="505"/>
      <c r="W16" s="505"/>
    </row>
    <row r="17" spans="1:24" s="792" customFormat="1">
      <c r="A17" s="786" t="s">
        <v>1754</v>
      </c>
      <c r="B17" s="808">
        <f>SUM(C17:N17)</f>
        <v>718321.27780000004</v>
      </c>
      <c r="C17" s="137">
        <v>583240</v>
      </c>
      <c r="D17" s="247">
        <f>D15*D16</f>
        <v>135081.27779999998</v>
      </c>
      <c r="E17" s="44"/>
      <c r="F17" s="44"/>
      <c r="G17" s="44"/>
      <c r="H17" s="44"/>
      <c r="I17" s="44"/>
      <c r="J17" s="44"/>
      <c r="K17" s="44"/>
      <c r="L17" s="44"/>
      <c r="M17" s="44"/>
      <c r="N17" s="798"/>
      <c r="S17" s="505"/>
      <c r="T17" s="505"/>
      <c r="V17" s="505"/>
      <c r="W17" s="505"/>
    </row>
    <row r="18" spans="1:24" s="779" customFormat="1">
      <c r="A18" s="787" t="s">
        <v>295</v>
      </c>
      <c r="B18" s="810">
        <v>135529</v>
      </c>
      <c r="C18" s="801"/>
      <c r="D18" s="783"/>
      <c r="E18" s="103">
        <v>10</v>
      </c>
      <c r="F18" s="103">
        <v>9</v>
      </c>
      <c r="G18" s="103">
        <v>10</v>
      </c>
      <c r="H18" s="103">
        <v>11</v>
      </c>
      <c r="I18" s="103">
        <v>21</v>
      </c>
      <c r="J18" s="778">
        <v>19</v>
      </c>
      <c r="K18" s="778">
        <v>13</v>
      </c>
      <c r="L18" s="778">
        <v>7</v>
      </c>
      <c r="M18" s="778">
        <v>4</v>
      </c>
      <c r="N18" s="800"/>
    </row>
    <row r="19" spans="1:24" s="782" customFormat="1">
      <c r="A19" s="788" t="s">
        <v>2990</v>
      </c>
      <c r="B19" s="783"/>
      <c r="C19" s="801"/>
      <c r="D19" s="783">
        <v>12</v>
      </c>
      <c r="E19" s="797">
        <v>10</v>
      </c>
      <c r="F19" s="781">
        <v>9</v>
      </c>
      <c r="G19" s="781">
        <v>10</v>
      </c>
      <c r="H19" s="781">
        <v>11</v>
      </c>
      <c r="I19" s="781">
        <v>21</v>
      </c>
      <c r="J19" s="781">
        <v>19</v>
      </c>
      <c r="K19" s="781">
        <v>13</v>
      </c>
      <c r="L19" s="781">
        <v>7</v>
      </c>
      <c r="M19" s="781">
        <v>4</v>
      </c>
      <c r="N19" s="797"/>
    </row>
    <row r="20" spans="1:24" s="782" customFormat="1">
      <c r="A20" s="788" t="s">
        <v>2989</v>
      </c>
      <c r="B20" s="780">
        <f>SUM(C20:N20)-1</f>
        <v>135529</v>
      </c>
      <c r="C20" s="801"/>
      <c r="D20" s="783"/>
      <c r="E20" s="505">
        <v>24024</v>
      </c>
      <c r="F20" s="505">
        <v>22105</v>
      </c>
      <c r="G20" s="505">
        <v>10276</v>
      </c>
      <c r="H20" s="505">
        <v>29364</v>
      </c>
      <c r="I20" s="505">
        <v>7944</v>
      </c>
      <c r="J20" s="505">
        <v>3625</v>
      </c>
      <c r="K20" s="505">
        <v>21949</v>
      </c>
      <c r="L20" s="505">
        <v>15169</v>
      </c>
      <c r="M20" s="801">
        <v>1074</v>
      </c>
      <c r="N20" s="507"/>
      <c r="O20" s="804" t="s">
        <v>1511</v>
      </c>
      <c r="P20" s="785"/>
      <c r="Q20" s="768">
        <f>SUM(E20:N20)</f>
        <v>135530</v>
      </c>
    </row>
    <row r="21" spans="1:24" s="785" customFormat="1">
      <c r="A21" s="786" t="s">
        <v>1756</v>
      </c>
      <c r="B21" s="783"/>
      <c r="C21" s="801">
        <v>78.004499999999993</v>
      </c>
      <c r="D21" s="794">
        <v>2996.1374381341561</v>
      </c>
      <c r="E21" s="796"/>
      <c r="F21" s="796"/>
      <c r="G21" s="795"/>
      <c r="H21" s="796"/>
      <c r="I21" s="796"/>
      <c r="J21" s="784"/>
      <c r="K21" s="784"/>
      <c r="L21" s="784"/>
      <c r="M21" s="784"/>
      <c r="N21" s="801"/>
      <c r="S21" s="504"/>
      <c r="T21" s="504"/>
      <c r="V21" s="505"/>
      <c r="W21" s="505"/>
      <c r="X21" s="505"/>
    </row>
    <row r="22" spans="1:24" s="785" customFormat="1">
      <c r="A22" s="786" t="s">
        <v>1757</v>
      </c>
      <c r="B22" s="783"/>
      <c r="C22" s="801">
        <v>7477</v>
      </c>
      <c r="D22" s="783">
        <v>38</v>
      </c>
      <c r="E22" s="798">
        <f t="shared" ref="E22:M22" si="3">E16+E18-E19</f>
        <v>0</v>
      </c>
      <c r="F22" s="798">
        <f t="shared" si="3"/>
        <v>0</v>
      </c>
      <c r="G22" s="798">
        <f t="shared" si="3"/>
        <v>0</v>
      </c>
      <c r="H22" s="798">
        <f t="shared" si="3"/>
        <v>0</v>
      </c>
      <c r="I22" s="798">
        <f t="shared" si="3"/>
        <v>0</v>
      </c>
      <c r="J22" s="798">
        <f t="shared" si="3"/>
        <v>0</v>
      </c>
      <c r="K22" s="798">
        <f t="shared" si="3"/>
        <v>0</v>
      </c>
      <c r="L22" s="798">
        <f t="shared" si="3"/>
        <v>0</v>
      </c>
      <c r="M22" s="798">
        <f t="shared" si="3"/>
        <v>0</v>
      </c>
      <c r="N22" s="798"/>
      <c r="S22" s="507"/>
      <c r="T22" s="507"/>
      <c r="V22" s="505"/>
      <c r="W22" s="505"/>
      <c r="X22" s="505"/>
    </row>
    <row r="23" spans="1:24" s="792" customFormat="1">
      <c r="A23" s="786" t="s">
        <v>1758</v>
      </c>
      <c r="B23" s="808">
        <f>SUM(C23:N23)</f>
        <v>697093.22264909791</v>
      </c>
      <c r="C23" s="137">
        <v>583240</v>
      </c>
      <c r="D23" s="247">
        <f>D21*D22</f>
        <v>113853.22264909794</v>
      </c>
      <c r="E23" s="44"/>
      <c r="F23" s="44"/>
      <c r="G23" s="44"/>
      <c r="H23" s="44"/>
      <c r="I23" s="44"/>
      <c r="J23" s="44"/>
      <c r="K23" s="44"/>
      <c r="L23" s="44"/>
      <c r="M23" s="44"/>
      <c r="N23" s="798"/>
      <c r="O23" s="804" t="s">
        <v>1510</v>
      </c>
      <c r="Q23" s="776">
        <f>SUM(E23:N23)</f>
        <v>0</v>
      </c>
      <c r="S23" s="504"/>
      <c r="T23" s="504"/>
      <c r="V23" s="505"/>
      <c r="W23" s="505"/>
      <c r="X23" s="505"/>
    </row>
    <row r="24" spans="1:24" s="776" customFormat="1">
      <c r="A24" s="772"/>
      <c r="B24" s="777"/>
      <c r="C24" s="775"/>
      <c r="D24" s="777"/>
      <c r="E24" s="774"/>
      <c r="F24" s="774"/>
      <c r="G24" s="774"/>
      <c r="H24" s="775"/>
      <c r="I24" s="775"/>
      <c r="L24" s="775"/>
      <c r="M24" s="775"/>
      <c r="N24" s="775"/>
      <c r="O24" s="775"/>
      <c r="P24" s="774"/>
      <c r="Q24" s="775"/>
      <c r="R24" s="775"/>
      <c r="S24" s="775"/>
      <c r="T24" s="507"/>
      <c r="U24" s="507"/>
      <c r="V24" s="505"/>
      <c r="W24" s="505"/>
      <c r="X24" s="505"/>
    </row>
    <row r="25" spans="1:24" s="252" customFormat="1">
      <c r="A25" s="930" t="s">
        <v>10086</v>
      </c>
      <c r="B25" s="931"/>
      <c r="C25" s="931"/>
      <c r="D25" s="931"/>
      <c r="E25" s="931"/>
      <c r="F25" s="931"/>
      <c r="G25" s="931"/>
      <c r="H25" s="931"/>
      <c r="I25" s="931"/>
      <c r="J25" s="931"/>
      <c r="K25" s="931"/>
      <c r="L25" s="931"/>
      <c r="M25" s="931"/>
      <c r="N25" s="931"/>
      <c r="O25" s="931"/>
      <c r="P25" s="931"/>
      <c r="Q25" s="931"/>
      <c r="R25" s="931"/>
    </row>
    <row r="26" spans="1:24">
      <c r="A26" s="17"/>
      <c r="B26" s="18" t="s">
        <v>3802</v>
      </c>
      <c r="C26" s="136" t="s">
        <v>3399</v>
      </c>
      <c r="D26" s="46" t="s">
        <v>3803</v>
      </c>
      <c r="E26" s="39" t="s">
        <v>282</v>
      </c>
      <c r="F26" s="40" t="s">
        <v>287</v>
      </c>
      <c r="G26" s="39" t="s">
        <v>283</v>
      </c>
      <c r="H26" s="39" t="s">
        <v>284</v>
      </c>
      <c r="I26" s="39" t="s">
        <v>900</v>
      </c>
      <c r="J26" s="37" t="s">
        <v>3820</v>
      </c>
      <c r="K26" s="37" t="s">
        <v>918</v>
      </c>
      <c r="L26" s="37" t="s">
        <v>3827</v>
      </c>
      <c r="M26" s="37" t="s">
        <v>3755</v>
      </c>
      <c r="N26" s="150"/>
      <c r="O26" s="22"/>
      <c r="P26" s="22"/>
      <c r="Q26" s="22"/>
      <c r="R26" s="22"/>
    </row>
    <row r="27" spans="1:24">
      <c r="A27" s="33" t="s">
        <v>1752</v>
      </c>
      <c r="B27" s="18"/>
      <c r="C27" s="138">
        <v>78.004499999999993</v>
      </c>
      <c r="D27" s="49">
        <f>D45</f>
        <v>3225.0895999999998</v>
      </c>
      <c r="E27" s="100"/>
      <c r="F27" s="100"/>
      <c r="G27" s="99"/>
      <c r="H27" s="100"/>
      <c r="I27" s="100"/>
      <c r="J27" s="30"/>
      <c r="K27" s="30"/>
      <c r="L27" s="30"/>
      <c r="M27" s="30"/>
      <c r="N27" s="138"/>
      <c r="O27" s="22"/>
      <c r="P27" s="22"/>
      <c r="Q27" s="22"/>
      <c r="R27" s="22"/>
      <c r="T27" s="504"/>
      <c r="U27" s="505"/>
      <c r="V27" s="505"/>
      <c r="W27" s="505"/>
    </row>
    <row r="28" spans="1:24">
      <c r="A28" s="33" t="s">
        <v>1753</v>
      </c>
      <c r="B28" s="18"/>
      <c r="C28" s="138">
        <v>7477</v>
      </c>
      <c r="D28" s="29">
        <f>D46</f>
        <v>42</v>
      </c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22"/>
      <c r="P28" s="22"/>
      <c r="Q28" s="22"/>
      <c r="R28" s="22"/>
      <c r="T28" s="505"/>
      <c r="U28" s="505"/>
      <c r="V28" s="505"/>
      <c r="W28" s="505"/>
    </row>
    <row r="29" spans="1:24" s="45" customFormat="1">
      <c r="A29" s="33" t="s">
        <v>1754</v>
      </c>
      <c r="B29" s="248">
        <f>SUM(C29:N29)</f>
        <v>718693.76319999993</v>
      </c>
      <c r="C29" s="137">
        <v>583240</v>
      </c>
      <c r="D29" s="247">
        <f>D27*D28</f>
        <v>135453.76319999999</v>
      </c>
      <c r="E29" s="44"/>
      <c r="F29" s="44"/>
      <c r="G29" s="44"/>
      <c r="H29" s="44"/>
      <c r="I29" s="44"/>
      <c r="J29" s="44"/>
      <c r="K29" s="44"/>
      <c r="L29" s="44"/>
      <c r="M29" s="44"/>
      <c r="N29" s="104"/>
      <c r="T29" s="505"/>
      <c r="U29" s="505"/>
      <c r="V29" s="505"/>
      <c r="W29" s="505"/>
    </row>
    <row r="30" spans="1:24" s="25" customFormat="1">
      <c r="A30" s="34" t="s">
        <v>295</v>
      </c>
      <c r="B30" s="298">
        <v>207604</v>
      </c>
      <c r="C30" s="138"/>
      <c r="D30" s="29"/>
      <c r="E30" s="103">
        <v>14</v>
      </c>
      <c r="F30" s="103">
        <v>12</v>
      </c>
      <c r="G30" s="103">
        <v>13</v>
      </c>
      <c r="H30" s="103">
        <v>20</v>
      </c>
      <c r="I30" s="103">
        <v>27</v>
      </c>
      <c r="J30" s="24">
        <v>24</v>
      </c>
      <c r="K30" s="24">
        <v>13</v>
      </c>
      <c r="L30" s="24">
        <v>8</v>
      </c>
      <c r="M30" s="24">
        <v>4</v>
      </c>
      <c r="N30" s="136"/>
    </row>
    <row r="31" spans="1:24" s="28" customFormat="1">
      <c r="A31" s="35" t="s">
        <v>2990</v>
      </c>
      <c r="B31" s="29"/>
      <c r="C31" s="138"/>
      <c r="D31" s="29">
        <v>16</v>
      </c>
      <c r="E31" s="102">
        <v>14</v>
      </c>
      <c r="F31" s="27">
        <v>12</v>
      </c>
      <c r="G31" s="27">
        <v>13</v>
      </c>
      <c r="H31" s="27">
        <v>20</v>
      </c>
      <c r="I31" s="27">
        <v>27</v>
      </c>
      <c r="J31" s="27">
        <v>24</v>
      </c>
      <c r="K31" s="27">
        <v>13</v>
      </c>
      <c r="L31" s="27">
        <v>8</v>
      </c>
      <c r="M31" s="27">
        <v>4</v>
      </c>
      <c r="N31" s="102"/>
    </row>
    <row r="32" spans="1:24" s="28" customFormat="1">
      <c r="A32" s="35" t="s">
        <v>2989</v>
      </c>
      <c r="B32" s="26">
        <f>SUM(C32:N32)</f>
        <v>207604</v>
      </c>
      <c r="C32" s="138"/>
      <c r="D32" s="29"/>
      <c r="E32" s="96">
        <v>36161</v>
      </c>
      <c r="F32" s="27">
        <v>33451</v>
      </c>
      <c r="G32" s="27">
        <v>19658</v>
      </c>
      <c r="H32" s="27">
        <v>56768</v>
      </c>
      <c r="I32" s="27">
        <v>16085</v>
      </c>
      <c r="J32" s="27">
        <v>6692</v>
      </c>
      <c r="K32" s="27">
        <v>20179</v>
      </c>
      <c r="L32" s="27">
        <v>16083</v>
      </c>
      <c r="M32" s="27">
        <v>2527</v>
      </c>
      <c r="N32" s="102"/>
      <c r="O32" s="193" t="s">
        <v>1511</v>
      </c>
      <c r="P32" s="31"/>
      <c r="Q32" s="22">
        <f>SUM(E32:N32)</f>
        <v>207604</v>
      </c>
    </row>
    <row r="33" spans="1:24" s="31" customFormat="1">
      <c r="A33" s="33" t="s">
        <v>1756</v>
      </c>
      <c r="B33" s="29"/>
      <c r="C33" s="138">
        <v>78.004499999999993</v>
      </c>
      <c r="D33" s="49">
        <v>3216.2208999999998</v>
      </c>
      <c r="E33" s="100"/>
      <c r="F33" s="100"/>
      <c r="G33" s="99"/>
      <c r="H33" s="100"/>
      <c r="I33" s="100"/>
      <c r="J33" s="30"/>
      <c r="K33" s="30"/>
      <c r="L33" s="30"/>
      <c r="M33" s="30"/>
      <c r="N33" s="138"/>
      <c r="T33" s="504"/>
      <c r="U33" s="504"/>
      <c r="V33" s="505"/>
      <c r="W33" s="505"/>
      <c r="X33" s="505"/>
    </row>
    <row r="34" spans="1:24" s="31" customFormat="1">
      <c r="A34" s="33" t="s">
        <v>1757</v>
      </c>
      <c r="B34" s="29"/>
      <c r="C34" s="138">
        <v>7477</v>
      </c>
      <c r="D34" s="29">
        <v>42</v>
      </c>
      <c r="E34" s="104">
        <f t="shared" ref="E34:M34" si="4">E28+E30-E31</f>
        <v>0</v>
      </c>
      <c r="F34" s="104">
        <f t="shared" si="4"/>
        <v>0</v>
      </c>
      <c r="G34" s="104">
        <f t="shared" si="4"/>
        <v>0</v>
      </c>
      <c r="H34" s="104">
        <f t="shared" si="4"/>
        <v>0</v>
      </c>
      <c r="I34" s="104">
        <f t="shared" si="4"/>
        <v>0</v>
      </c>
      <c r="J34" s="104">
        <f t="shared" si="4"/>
        <v>0</v>
      </c>
      <c r="K34" s="104">
        <f t="shared" si="4"/>
        <v>0</v>
      </c>
      <c r="L34" s="104">
        <f t="shared" si="4"/>
        <v>0</v>
      </c>
      <c r="M34" s="104">
        <f t="shared" si="4"/>
        <v>0</v>
      </c>
      <c r="N34" s="104"/>
      <c r="T34" s="507"/>
      <c r="U34" s="507"/>
      <c r="V34" s="505"/>
      <c r="W34" s="505"/>
      <c r="X34" s="505"/>
    </row>
    <row r="35" spans="1:24" s="45" customFormat="1">
      <c r="A35" s="33" t="s">
        <v>1758</v>
      </c>
      <c r="B35" s="248">
        <f>SUM(C35:N35)</f>
        <v>718321.27780000004</v>
      </c>
      <c r="C35" s="137">
        <v>583240</v>
      </c>
      <c r="D35" s="247">
        <f>D33*D34</f>
        <v>135081.27779999998</v>
      </c>
      <c r="E35" s="44"/>
      <c r="F35" s="44"/>
      <c r="G35" s="44"/>
      <c r="H35" s="44"/>
      <c r="I35" s="44"/>
      <c r="J35" s="44"/>
      <c r="K35" s="44"/>
      <c r="L35" s="44"/>
      <c r="M35" s="44"/>
      <c r="N35" s="104"/>
      <c r="O35" s="193" t="s">
        <v>1510</v>
      </c>
      <c r="Q35" s="22">
        <f>SUM(E35:N35)</f>
        <v>0</v>
      </c>
      <c r="T35" s="504"/>
      <c r="U35" s="504"/>
      <c r="V35" s="505"/>
      <c r="W35" s="505"/>
      <c r="X35" s="505"/>
    </row>
    <row r="36" spans="1:24">
      <c r="A36" s="17"/>
      <c r="B36" s="23"/>
      <c r="D36" s="23"/>
      <c r="E36" s="19"/>
      <c r="F36" s="19"/>
      <c r="G36" s="19"/>
      <c r="K36" s="22"/>
      <c r="P36" s="19"/>
      <c r="S36" s="21"/>
      <c r="T36" s="507"/>
      <c r="U36" s="507"/>
      <c r="V36" s="505"/>
      <c r="W36" s="505"/>
      <c r="X36" s="505"/>
    </row>
    <row r="37" spans="1:24" s="252" customFormat="1">
      <c r="A37" s="930" t="s">
        <v>5673</v>
      </c>
      <c r="B37" s="931"/>
      <c r="C37" s="931"/>
      <c r="D37" s="931"/>
      <c r="E37" s="931"/>
      <c r="F37" s="931"/>
      <c r="G37" s="931"/>
      <c r="H37" s="931"/>
      <c r="I37" s="931"/>
      <c r="J37" s="931"/>
      <c r="K37" s="931"/>
      <c r="L37" s="931"/>
      <c r="M37" s="931"/>
      <c r="N37" s="931"/>
      <c r="O37" s="931"/>
      <c r="P37" s="931"/>
      <c r="Q37" s="931"/>
      <c r="R37" s="931"/>
    </row>
    <row r="38" spans="1:24">
      <c r="A38" s="17"/>
      <c r="B38" s="18" t="s">
        <v>3802</v>
      </c>
      <c r="C38" s="136" t="s">
        <v>3399</v>
      </c>
      <c r="D38" s="46" t="s">
        <v>3803</v>
      </c>
      <c r="E38" s="39" t="s">
        <v>282</v>
      </c>
      <c r="F38" s="40" t="s">
        <v>287</v>
      </c>
      <c r="G38" s="39" t="s">
        <v>283</v>
      </c>
      <c r="H38" s="39" t="s">
        <v>284</v>
      </c>
      <c r="I38" s="39" t="s">
        <v>900</v>
      </c>
      <c r="J38" s="37" t="s">
        <v>3820</v>
      </c>
      <c r="K38" s="37" t="s">
        <v>918</v>
      </c>
      <c r="L38" s="37" t="s">
        <v>3827</v>
      </c>
      <c r="M38" s="37" t="s">
        <v>3755</v>
      </c>
      <c r="N38" s="150"/>
      <c r="O38" s="22"/>
      <c r="P38" s="22"/>
      <c r="Q38" s="22"/>
      <c r="R38" s="22"/>
    </row>
    <row r="39" spans="1:24">
      <c r="A39" s="33" t="s">
        <v>1752</v>
      </c>
      <c r="B39" s="18"/>
      <c r="C39" s="138">
        <v>78.004499999999993</v>
      </c>
      <c r="D39" s="49">
        <f>D57</f>
        <v>3590.674</v>
      </c>
      <c r="E39" s="100"/>
      <c r="F39" s="100"/>
      <c r="G39" s="99"/>
      <c r="H39" s="100"/>
      <c r="I39" s="100"/>
      <c r="J39" s="30"/>
      <c r="K39" s="30"/>
      <c r="L39" s="30"/>
      <c r="M39" s="30"/>
      <c r="N39" s="138"/>
      <c r="O39" s="22"/>
      <c r="P39" s="22"/>
      <c r="Q39" s="22"/>
      <c r="R39" s="22"/>
      <c r="T39" s="504"/>
      <c r="U39" s="505"/>
      <c r="V39" s="505"/>
      <c r="W39" s="505"/>
    </row>
    <row r="40" spans="1:24">
      <c r="A40" s="33" t="s">
        <v>1753</v>
      </c>
      <c r="B40" s="18"/>
      <c r="C40" s="138">
        <v>7477</v>
      </c>
      <c r="D40" s="29">
        <f>D58</f>
        <v>49</v>
      </c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22"/>
      <c r="P40" s="22"/>
      <c r="Q40" s="22"/>
      <c r="R40" s="22"/>
      <c r="T40" s="505"/>
      <c r="U40" s="505"/>
      <c r="V40" s="505"/>
      <c r="W40" s="505"/>
    </row>
    <row r="41" spans="1:24" s="45" customFormat="1">
      <c r="A41" s="33" t="s">
        <v>1754</v>
      </c>
      <c r="B41" s="248">
        <f>SUM(C41:N41)</f>
        <v>759183.02600000007</v>
      </c>
      <c r="C41" s="137">
        <v>583240</v>
      </c>
      <c r="D41" s="247">
        <f>D39*D40</f>
        <v>175943.02600000001</v>
      </c>
      <c r="E41" s="44"/>
      <c r="F41" s="44"/>
      <c r="G41" s="44"/>
      <c r="H41" s="44"/>
      <c r="I41" s="44"/>
      <c r="J41" s="44"/>
      <c r="K41" s="44"/>
      <c r="L41" s="44"/>
      <c r="M41" s="44"/>
      <c r="N41" s="104"/>
      <c r="T41" s="505"/>
      <c r="U41" s="505"/>
      <c r="V41" s="505"/>
      <c r="W41" s="505"/>
    </row>
    <row r="42" spans="1:24" s="25" customFormat="1">
      <c r="A42" s="34" t="s">
        <v>295</v>
      </c>
      <c r="B42" s="298">
        <v>227282</v>
      </c>
      <c r="C42" s="138"/>
      <c r="D42" s="29"/>
      <c r="E42" s="103">
        <v>16</v>
      </c>
      <c r="F42" s="103">
        <v>13</v>
      </c>
      <c r="G42" s="103">
        <v>12</v>
      </c>
      <c r="H42" s="103">
        <v>19</v>
      </c>
      <c r="I42" s="103">
        <v>32</v>
      </c>
      <c r="J42" s="24">
        <v>32</v>
      </c>
      <c r="K42" s="24">
        <v>14</v>
      </c>
      <c r="L42" s="24">
        <v>11</v>
      </c>
      <c r="M42" s="24">
        <v>10</v>
      </c>
      <c r="N42" s="136"/>
    </row>
    <row r="43" spans="1:24" s="28" customFormat="1">
      <c r="A43" s="35" t="s">
        <v>2990</v>
      </c>
      <c r="B43" s="29"/>
      <c r="C43" s="138"/>
      <c r="D43" s="29">
        <v>16</v>
      </c>
      <c r="E43" s="102">
        <v>16</v>
      </c>
      <c r="F43" s="27">
        <v>13</v>
      </c>
      <c r="G43" s="27">
        <v>12</v>
      </c>
      <c r="H43" s="27">
        <v>19</v>
      </c>
      <c r="I43" s="27">
        <v>32</v>
      </c>
      <c r="J43" s="27">
        <v>32</v>
      </c>
      <c r="K43" s="27">
        <v>14</v>
      </c>
      <c r="L43" s="27">
        <v>11</v>
      </c>
      <c r="M43" s="27">
        <v>10</v>
      </c>
      <c r="N43" s="102"/>
    </row>
    <row r="44" spans="1:24" s="28" customFormat="1">
      <c r="A44" s="35" t="s">
        <v>2989</v>
      </c>
      <c r="B44" s="26">
        <f>SUM(C44:N44)</f>
        <v>227282</v>
      </c>
      <c r="C44" s="138"/>
      <c r="D44" s="29"/>
      <c r="E44" s="96">
        <v>37581</v>
      </c>
      <c r="F44" s="27">
        <v>35020</v>
      </c>
      <c r="G44" s="27">
        <v>13799</v>
      </c>
      <c r="H44" s="27">
        <v>57601</v>
      </c>
      <c r="I44" s="27">
        <v>16831</v>
      </c>
      <c r="J44" s="27">
        <v>8772</v>
      </c>
      <c r="K44" s="27">
        <v>19322</v>
      </c>
      <c r="L44" s="27">
        <v>24275</v>
      </c>
      <c r="M44" s="27">
        <v>14081</v>
      </c>
      <c r="N44" s="102"/>
      <c r="O44" s="193" t="s">
        <v>1511</v>
      </c>
      <c r="P44" s="31"/>
      <c r="Q44" s="22">
        <f>SUM(E44:N44)</f>
        <v>227282</v>
      </c>
    </row>
    <row r="45" spans="1:24" s="31" customFormat="1">
      <c r="A45" s="33" t="s">
        <v>1756</v>
      </c>
      <c r="B45" s="29"/>
      <c r="C45" s="138">
        <v>78.004499999999993</v>
      </c>
      <c r="D45" s="49">
        <v>3225.0895999999998</v>
      </c>
      <c r="E45" s="100"/>
      <c r="F45" s="100"/>
      <c r="G45" s="99"/>
      <c r="H45" s="100"/>
      <c r="I45" s="100"/>
      <c r="J45" s="30"/>
      <c r="K45" s="30"/>
      <c r="L45" s="30"/>
      <c r="M45" s="30"/>
      <c r="N45" s="138"/>
      <c r="T45" s="504"/>
      <c r="U45" s="504"/>
      <c r="V45" s="505"/>
      <c r="W45" s="505"/>
      <c r="X45" s="505"/>
    </row>
    <row r="46" spans="1:24" s="31" customFormat="1">
      <c r="A46" s="33" t="s">
        <v>1757</v>
      </c>
      <c r="B46" s="29"/>
      <c r="C46" s="138">
        <v>7477</v>
      </c>
      <c r="D46" s="29">
        <v>42</v>
      </c>
      <c r="E46" s="104">
        <f t="shared" ref="E46:N46" si="5">E40+E42-E43</f>
        <v>0</v>
      </c>
      <c r="F46" s="104">
        <f t="shared" si="5"/>
        <v>0</v>
      </c>
      <c r="G46" s="104">
        <f t="shared" si="5"/>
        <v>0</v>
      </c>
      <c r="H46" s="104">
        <f t="shared" si="5"/>
        <v>0</v>
      </c>
      <c r="I46" s="104">
        <f t="shared" si="5"/>
        <v>0</v>
      </c>
      <c r="J46" s="104">
        <f t="shared" si="5"/>
        <v>0</v>
      </c>
      <c r="K46" s="104">
        <f t="shared" si="5"/>
        <v>0</v>
      </c>
      <c r="L46" s="104">
        <f t="shared" si="5"/>
        <v>0</v>
      </c>
      <c r="M46" s="104">
        <f t="shared" si="5"/>
        <v>0</v>
      </c>
      <c r="N46" s="104">
        <f t="shared" si="5"/>
        <v>0</v>
      </c>
      <c r="T46" s="507"/>
      <c r="U46" s="507"/>
      <c r="V46" s="505"/>
      <c r="W46" s="505"/>
      <c r="X46" s="505"/>
    </row>
    <row r="47" spans="1:24" s="45" customFormat="1">
      <c r="A47" s="33" t="s">
        <v>1758</v>
      </c>
      <c r="B47" s="248">
        <f>SUM(C47:N47)</f>
        <v>718693.77</v>
      </c>
      <c r="C47" s="137">
        <v>583240</v>
      </c>
      <c r="D47" s="247">
        <v>135453.76999999999</v>
      </c>
      <c r="E47" s="44"/>
      <c r="F47" s="44"/>
      <c r="G47" s="44"/>
      <c r="H47" s="44"/>
      <c r="I47" s="44"/>
      <c r="J47" s="44"/>
      <c r="K47" s="44"/>
      <c r="L47" s="44"/>
      <c r="M47" s="44"/>
      <c r="N47" s="104"/>
      <c r="O47" s="193" t="s">
        <v>1510</v>
      </c>
      <c r="S47" s="22">
        <f>SUM(E47:N47)</f>
        <v>0</v>
      </c>
      <c r="T47" s="504"/>
      <c r="U47" s="504"/>
      <c r="V47" s="505"/>
      <c r="W47" s="505"/>
      <c r="X47" s="505"/>
    </row>
    <row r="48" spans="1:24">
      <c r="A48" s="17"/>
      <c r="B48" s="23"/>
      <c r="D48" s="23"/>
      <c r="E48" s="19"/>
      <c r="F48" s="19"/>
      <c r="G48" s="19"/>
      <c r="K48" s="22"/>
      <c r="P48" s="19"/>
      <c r="S48" s="21"/>
      <c r="T48" s="507"/>
      <c r="U48" s="507"/>
      <c r="V48" s="505"/>
      <c r="W48" s="505"/>
      <c r="X48" s="505"/>
    </row>
    <row r="49" spans="1:24" s="252" customFormat="1">
      <c r="A49" s="930" t="s">
        <v>4830</v>
      </c>
      <c r="B49" s="931"/>
      <c r="C49" s="931"/>
      <c r="D49" s="931"/>
      <c r="E49" s="931"/>
      <c r="F49" s="931"/>
      <c r="G49" s="931"/>
      <c r="H49" s="931"/>
      <c r="I49" s="931"/>
      <c r="J49" s="931"/>
      <c r="K49" s="931"/>
      <c r="L49" s="931"/>
      <c r="M49" s="931"/>
      <c r="N49" s="931"/>
      <c r="O49" s="931"/>
      <c r="P49" s="931"/>
      <c r="Q49" s="931"/>
      <c r="R49" s="931"/>
    </row>
    <row r="50" spans="1:24">
      <c r="A50" s="17"/>
      <c r="B50" s="18" t="s">
        <v>3802</v>
      </c>
      <c r="C50" s="136" t="s">
        <v>3399</v>
      </c>
      <c r="D50" s="46" t="s">
        <v>3803</v>
      </c>
      <c r="E50" s="39" t="s">
        <v>282</v>
      </c>
      <c r="F50" s="40" t="s">
        <v>287</v>
      </c>
      <c r="G50" s="39" t="s">
        <v>283</v>
      </c>
      <c r="H50" s="39" t="s">
        <v>284</v>
      </c>
      <c r="I50" s="39" t="s">
        <v>900</v>
      </c>
      <c r="J50" s="37" t="s">
        <v>3820</v>
      </c>
      <c r="K50" s="37" t="s">
        <v>918</v>
      </c>
      <c r="L50" s="37" t="s">
        <v>3827</v>
      </c>
      <c r="M50" s="37" t="s">
        <v>3755</v>
      </c>
      <c r="N50" s="150"/>
      <c r="O50" s="22"/>
      <c r="P50" s="22"/>
      <c r="Q50" s="22"/>
      <c r="R50" s="22"/>
    </row>
    <row r="51" spans="1:24">
      <c r="A51" s="33" t="s">
        <v>1752</v>
      </c>
      <c r="B51" s="18"/>
      <c r="C51" s="138">
        <v>78.004499999999993</v>
      </c>
      <c r="D51" s="49">
        <f>D69</f>
        <v>3925.33</v>
      </c>
      <c r="E51" s="100"/>
      <c r="F51" s="100"/>
      <c r="G51" s="99"/>
      <c r="H51" s="100"/>
      <c r="I51" s="100"/>
      <c r="J51" s="30"/>
      <c r="K51" s="30"/>
      <c r="L51" s="30"/>
      <c r="M51" s="30"/>
      <c r="N51" s="138"/>
      <c r="O51" s="22"/>
      <c r="P51" s="22"/>
      <c r="Q51" s="22"/>
      <c r="R51" s="22"/>
      <c r="T51" s="504"/>
      <c r="U51" s="505"/>
      <c r="V51" s="505"/>
      <c r="W51" s="505"/>
    </row>
    <row r="52" spans="1:24">
      <c r="A52" s="33" t="s">
        <v>1753</v>
      </c>
      <c r="B52" s="18"/>
      <c r="C52" s="138">
        <v>7477</v>
      </c>
      <c r="D52" s="29">
        <f>D70</f>
        <v>52</v>
      </c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22"/>
      <c r="P52" s="22"/>
      <c r="Q52" s="22"/>
      <c r="R52" s="22"/>
      <c r="T52" s="505"/>
      <c r="U52" s="505"/>
      <c r="V52" s="505"/>
      <c r="W52" s="505"/>
    </row>
    <row r="53" spans="1:24" s="45" customFormat="1">
      <c r="A53" s="33" t="s">
        <v>1754</v>
      </c>
      <c r="B53" s="248">
        <f>SUM(C53:N53)</f>
        <v>787357.16</v>
      </c>
      <c r="C53" s="137">
        <v>583240</v>
      </c>
      <c r="D53" s="247">
        <f>D51*D52</f>
        <v>204117.16</v>
      </c>
      <c r="E53" s="44"/>
      <c r="F53" s="44"/>
      <c r="G53" s="44"/>
      <c r="H53" s="44"/>
      <c r="I53" s="44"/>
      <c r="J53" s="44"/>
      <c r="K53" s="44"/>
      <c r="L53" s="44"/>
      <c r="M53" s="44"/>
      <c r="N53" s="104"/>
      <c r="T53" s="505"/>
      <c r="U53" s="505"/>
      <c r="V53" s="505"/>
      <c r="W53" s="505"/>
    </row>
    <row r="54" spans="1:24" s="25" customFormat="1">
      <c r="A54" s="34" t="s">
        <v>295</v>
      </c>
      <c r="B54" s="298">
        <v>189930</v>
      </c>
      <c r="C54" s="138"/>
      <c r="D54" s="29"/>
      <c r="E54" s="103">
        <v>13</v>
      </c>
      <c r="F54" s="103">
        <v>14</v>
      </c>
      <c r="G54" s="103">
        <v>15</v>
      </c>
      <c r="H54" s="103">
        <v>17</v>
      </c>
      <c r="I54" s="103">
        <v>29</v>
      </c>
      <c r="J54" s="24">
        <v>22</v>
      </c>
      <c r="K54" s="24">
        <v>12</v>
      </c>
      <c r="L54" s="24">
        <v>12</v>
      </c>
      <c r="M54" s="24">
        <v>1</v>
      </c>
      <c r="N54" s="136"/>
    </row>
    <row r="55" spans="1:24" s="28" customFormat="1">
      <c r="A55" s="35" t="s">
        <v>2990</v>
      </c>
      <c r="B55" s="29"/>
      <c r="C55" s="138"/>
      <c r="D55" s="29">
        <v>16</v>
      </c>
      <c r="E55" s="102">
        <v>13</v>
      </c>
      <c r="F55" s="27">
        <v>14</v>
      </c>
      <c r="G55" s="27">
        <v>15</v>
      </c>
      <c r="H55" s="27">
        <v>17</v>
      </c>
      <c r="I55" s="27">
        <v>29</v>
      </c>
      <c r="J55" s="27">
        <v>22</v>
      </c>
      <c r="K55" s="27">
        <v>12</v>
      </c>
      <c r="L55" s="27">
        <v>12</v>
      </c>
      <c r="M55" s="27">
        <v>1</v>
      </c>
      <c r="N55" s="102"/>
    </row>
    <row r="56" spans="1:24" s="28" customFormat="1">
      <c r="A56" s="35" t="s">
        <v>2989</v>
      </c>
      <c r="B56" s="26">
        <f>SUM(C56:N56)</f>
        <v>189930</v>
      </c>
      <c r="C56" s="138"/>
      <c r="D56" s="29"/>
      <c r="E56" s="96">
        <v>28464</v>
      </c>
      <c r="F56" s="27">
        <v>32058</v>
      </c>
      <c r="G56" s="27">
        <v>12424</v>
      </c>
      <c r="H56" s="27">
        <v>54354</v>
      </c>
      <c r="I56" s="27">
        <v>14296</v>
      </c>
      <c r="J56" s="27">
        <v>5602</v>
      </c>
      <c r="K56" s="27">
        <v>16534</v>
      </c>
      <c r="L56" s="27">
        <v>24685</v>
      </c>
      <c r="M56" s="27">
        <v>1513</v>
      </c>
      <c r="N56" s="102"/>
      <c r="O56" s="193" t="s">
        <v>1511</v>
      </c>
      <c r="P56" s="31"/>
      <c r="Q56" s="22">
        <f>SUM(E56:N56)</f>
        <v>189930</v>
      </c>
    </row>
    <row r="57" spans="1:24" s="31" customFormat="1">
      <c r="A57" s="33" t="s">
        <v>1756</v>
      </c>
      <c r="B57" s="29"/>
      <c r="C57" s="138">
        <v>78.004499999999993</v>
      </c>
      <c r="D57" s="49">
        <v>3590.674</v>
      </c>
      <c r="E57" s="100"/>
      <c r="F57" s="100"/>
      <c r="G57" s="99"/>
      <c r="H57" s="100"/>
      <c r="I57" s="100"/>
      <c r="J57" s="30"/>
      <c r="K57" s="30"/>
      <c r="L57" s="30"/>
      <c r="M57" s="30"/>
      <c r="N57" s="138"/>
      <c r="T57" s="504"/>
      <c r="U57" s="504"/>
      <c r="V57" s="505"/>
      <c r="W57" s="505"/>
      <c r="X57" s="505"/>
    </row>
    <row r="58" spans="1:24" s="31" customFormat="1">
      <c r="A58" s="33" t="s">
        <v>1757</v>
      </c>
      <c r="B58" s="29"/>
      <c r="C58" s="138">
        <v>7477</v>
      </c>
      <c r="D58" s="29">
        <v>49</v>
      </c>
      <c r="E58" s="104">
        <f t="shared" ref="E58:N58" si="6">E52+E54-E55</f>
        <v>0</v>
      </c>
      <c r="F58" s="104">
        <f t="shared" si="6"/>
        <v>0</v>
      </c>
      <c r="G58" s="104">
        <f t="shared" si="6"/>
        <v>0</v>
      </c>
      <c r="H58" s="104">
        <f t="shared" si="6"/>
        <v>0</v>
      </c>
      <c r="I58" s="104">
        <f t="shared" si="6"/>
        <v>0</v>
      </c>
      <c r="J58" s="104">
        <f t="shared" si="6"/>
        <v>0</v>
      </c>
      <c r="K58" s="104">
        <f t="shared" si="6"/>
        <v>0</v>
      </c>
      <c r="L58" s="104">
        <f t="shared" si="6"/>
        <v>0</v>
      </c>
      <c r="M58" s="104">
        <f t="shared" si="6"/>
        <v>0</v>
      </c>
      <c r="N58" s="104">
        <f t="shared" si="6"/>
        <v>0</v>
      </c>
      <c r="T58" s="507"/>
      <c r="U58" s="507"/>
      <c r="V58" s="505"/>
      <c r="W58" s="505"/>
      <c r="X58" s="505"/>
    </row>
    <row r="59" spans="1:24" s="45" customFormat="1">
      <c r="A59" s="33" t="s">
        <v>1758</v>
      </c>
      <c r="B59" s="248">
        <f>SUM(C59:N59)</f>
        <v>759183.02600000007</v>
      </c>
      <c r="C59" s="137">
        <v>583240</v>
      </c>
      <c r="D59" s="247">
        <f>D57*D58</f>
        <v>175943.02600000001</v>
      </c>
      <c r="E59" s="44"/>
      <c r="F59" s="44"/>
      <c r="G59" s="44"/>
      <c r="H59" s="44"/>
      <c r="I59" s="44"/>
      <c r="J59" s="44"/>
      <c r="K59" s="44"/>
      <c r="L59" s="44"/>
      <c r="M59" s="44"/>
      <c r="N59" s="104"/>
      <c r="O59" s="193" t="s">
        <v>1510</v>
      </c>
      <c r="S59" s="22">
        <f>SUM(E59:N59)</f>
        <v>0</v>
      </c>
      <c r="T59" s="504"/>
      <c r="U59" s="504"/>
      <c r="V59" s="505"/>
      <c r="W59" s="505"/>
      <c r="X59" s="505"/>
    </row>
    <row r="60" spans="1:24">
      <c r="A60" s="17"/>
      <c r="B60" s="23"/>
      <c r="D60" s="23"/>
      <c r="E60" s="19"/>
      <c r="F60" s="19"/>
      <c r="G60" s="19"/>
      <c r="K60" s="22"/>
      <c r="P60" s="19"/>
      <c r="S60" s="21"/>
      <c r="T60" s="507"/>
      <c r="U60" s="507"/>
      <c r="V60" s="505"/>
      <c r="W60" s="505"/>
      <c r="X60" s="505"/>
    </row>
    <row r="61" spans="1:24" s="252" customFormat="1">
      <c r="A61" s="930" t="s">
        <v>4450</v>
      </c>
      <c r="B61" s="931"/>
      <c r="C61" s="931"/>
      <c r="D61" s="931"/>
      <c r="E61" s="931"/>
      <c r="F61" s="931"/>
      <c r="G61" s="931"/>
      <c r="H61" s="931"/>
      <c r="I61" s="931"/>
      <c r="J61" s="931"/>
      <c r="K61" s="931"/>
      <c r="L61" s="931"/>
      <c r="M61" s="931"/>
      <c r="N61" s="931"/>
      <c r="O61" s="931"/>
      <c r="P61" s="931"/>
      <c r="Q61" s="931"/>
      <c r="R61" s="931"/>
    </row>
    <row r="62" spans="1:24">
      <c r="A62" s="17"/>
      <c r="B62" s="18" t="s">
        <v>3802</v>
      </c>
      <c r="C62" s="136" t="s">
        <v>3399</v>
      </c>
      <c r="D62" s="46" t="s">
        <v>3803</v>
      </c>
      <c r="E62" s="39" t="s">
        <v>282</v>
      </c>
      <c r="F62" s="40" t="s">
        <v>287</v>
      </c>
      <c r="G62" s="39" t="s">
        <v>283</v>
      </c>
      <c r="H62" s="39" t="s">
        <v>284</v>
      </c>
      <c r="I62" s="39" t="s">
        <v>900</v>
      </c>
      <c r="J62" s="37" t="s">
        <v>3820</v>
      </c>
      <c r="K62" s="37" t="s">
        <v>918</v>
      </c>
      <c r="L62" s="37" t="s">
        <v>3827</v>
      </c>
      <c r="M62" s="37" t="s">
        <v>3755</v>
      </c>
      <c r="N62" s="150"/>
      <c r="O62" s="22"/>
      <c r="P62" s="22"/>
      <c r="Q62" s="22"/>
      <c r="R62" s="22"/>
    </row>
    <row r="63" spans="1:24">
      <c r="A63" s="33" t="s">
        <v>1752</v>
      </c>
      <c r="B63" s="18"/>
      <c r="C63" s="138">
        <v>78.004499999999993</v>
      </c>
      <c r="D63" s="49">
        <f>D81</f>
        <v>3278.2139000000002</v>
      </c>
      <c r="E63" s="100"/>
      <c r="F63" s="100"/>
      <c r="G63" s="99"/>
      <c r="H63" s="100"/>
      <c r="I63" s="100"/>
      <c r="J63" s="30"/>
      <c r="K63" s="30"/>
      <c r="L63" s="30"/>
      <c r="M63" s="30"/>
      <c r="N63" s="138"/>
      <c r="O63" s="22"/>
      <c r="P63" s="22"/>
      <c r="Q63" s="22"/>
      <c r="R63" s="22"/>
      <c r="T63" s="504"/>
      <c r="U63" s="505"/>
      <c r="V63" s="505"/>
      <c r="W63" s="505"/>
    </row>
    <row r="64" spans="1:24">
      <c r="A64" s="33" t="s">
        <v>1753</v>
      </c>
      <c r="B64" s="18"/>
      <c r="C64" s="138">
        <v>7477</v>
      </c>
      <c r="D64" s="29">
        <f>D82</f>
        <v>52</v>
      </c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22"/>
      <c r="P64" s="22"/>
      <c r="Q64" s="22"/>
      <c r="R64" s="22"/>
      <c r="T64" s="504"/>
      <c r="U64" s="505"/>
      <c r="V64" s="505"/>
      <c r="W64" s="505"/>
    </row>
    <row r="65" spans="1:24" s="45" customFormat="1">
      <c r="A65" s="33" t="s">
        <v>1754</v>
      </c>
      <c r="B65" s="248">
        <f>SUM(C65:N65)</f>
        <v>753707.12280000001</v>
      </c>
      <c r="C65" s="137">
        <v>583240</v>
      </c>
      <c r="D65" s="247">
        <f>D63*D64</f>
        <v>170467.12280000001</v>
      </c>
      <c r="E65" s="44"/>
      <c r="F65" s="44"/>
      <c r="G65" s="44"/>
      <c r="H65" s="44"/>
      <c r="I65" s="44"/>
      <c r="J65" s="44"/>
      <c r="K65" s="44"/>
      <c r="L65" s="44"/>
      <c r="M65" s="44"/>
      <c r="N65" s="104"/>
      <c r="T65" s="504"/>
      <c r="U65" s="505"/>
      <c r="V65" s="505"/>
      <c r="W65" s="505"/>
    </row>
    <row r="66" spans="1:24" s="25" customFormat="1">
      <c r="A66" s="34" t="s">
        <v>295</v>
      </c>
      <c r="B66" s="298">
        <v>240593</v>
      </c>
      <c r="C66" s="138"/>
      <c r="D66" s="29"/>
      <c r="E66" s="103">
        <v>15</v>
      </c>
      <c r="F66" s="103">
        <v>16</v>
      </c>
      <c r="G66" s="103">
        <v>18</v>
      </c>
      <c r="H66" s="103">
        <v>28</v>
      </c>
      <c r="I66" s="103">
        <v>36</v>
      </c>
      <c r="J66" s="24">
        <v>32</v>
      </c>
      <c r="K66" s="24">
        <v>15</v>
      </c>
      <c r="L66" s="24">
        <v>16</v>
      </c>
      <c r="M66" s="24">
        <v>6</v>
      </c>
      <c r="N66" s="136"/>
    </row>
    <row r="67" spans="1:24" s="28" customFormat="1">
      <c r="A67" s="35" t="s">
        <v>2990</v>
      </c>
      <c r="B67" s="29"/>
      <c r="C67" s="138"/>
      <c r="D67" s="29">
        <v>17</v>
      </c>
      <c r="E67" s="102">
        <v>15</v>
      </c>
      <c r="F67" s="27">
        <v>16</v>
      </c>
      <c r="G67" s="27">
        <v>18</v>
      </c>
      <c r="H67" s="27">
        <v>28</v>
      </c>
      <c r="I67" s="27">
        <v>36</v>
      </c>
      <c r="J67" s="27">
        <v>32</v>
      </c>
      <c r="K67" s="27">
        <v>15</v>
      </c>
      <c r="L67" s="27">
        <v>16</v>
      </c>
      <c r="M67" s="27">
        <v>6</v>
      </c>
      <c r="N67" s="102"/>
    </row>
    <row r="68" spans="1:24" s="28" customFormat="1">
      <c r="A68" s="35" t="s">
        <v>2989</v>
      </c>
      <c r="B68" s="26">
        <f>SUM(C68:N68)</f>
        <v>240593</v>
      </c>
      <c r="C68" s="138"/>
      <c r="D68" s="29"/>
      <c r="E68" s="96">
        <v>28317</v>
      </c>
      <c r="F68" s="27">
        <v>30612</v>
      </c>
      <c r="G68" s="27">
        <v>18036</v>
      </c>
      <c r="H68" s="27">
        <v>78917</v>
      </c>
      <c r="I68" s="27">
        <v>15565</v>
      </c>
      <c r="J68" s="27">
        <v>7084</v>
      </c>
      <c r="K68" s="27">
        <v>20451</v>
      </c>
      <c r="L68" s="27">
        <v>34278</v>
      </c>
      <c r="M68" s="27">
        <v>7333</v>
      </c>
      <c r="N68" s="102"/>
      <c r="O68" s="193" t="s">
        <v>1511</v>
      </c>
      <c r="P68" s="31"/>
      <c r="Q68" s="22">
        <f>SUM(E68:N68)</f>
        <v>240593</v>
      </c>
    </row>
    <row r="69" spans="1:24" s="31" customFormat="1">
      <c r="A69" s="33" t="s">
        <v>1756</v>
      </c>
      <c r="B69" s="29"/>
      <c r="C69" s="138">
        <v>78.004499999999993</v>
      </c>
      <c r="D69" s="49">
        <v>3925.33</v>
      </c>
      <c r="E69" s="100"/>
      <c r="F69" s="100"/>
      <c r="G69" s="99"/>
      <c r="H69" s="100"/>
      <c r="I69" s="100"/>
      <c r="J69" s="30"/>
      <c r="K69" s="30"/>
      <c r="L69" s="30"/>
      <c r="M69" s="30"/>
      <c r="N69" s="138"/>
      <c r="T69" s="507"/>
      <c r="U69" s="504"/>
      <c r="V69" s="505"/>
      <c r="W69" s="505"/>
      <c r="X69" s="505"/>
    </row>
    <row r="70" spans="1:24" s="31" customFormat="1">
      <c r="A70" s="33" t="s">
        <v>1757</v>
      </c>
      <c r="B70" s="29"/>
      <c r="C70" s="138">
        <v>7477</v>
      </c>
      <c r="D70" s="29">
        <v>52</v>
      </c>
      <c r="E70" s="104">
        <f t="shared" ref="E70:N70" si="7">E64+E66-E67</f>
        <v>0</v>
      </c>
      <c r="F70" s="104">
        <f t="shared" si="7"/>
        <v>0</v>
      </c>
      <c r="G70" s="104">
        <f t="shared" si="7"/>
        <v>0</v>
      </c>
      <c r="H70" s="104">
        <f t="shared" si="7"/>
        <v>0</v>
      </c>
      <c r="I70" s="104">
        <f t="shared" si="7"/>
        <v>0</v>
      </c>
      <c r="J70" s="104">
        <f t="shared" si="7"/>
        <v>0</v>
      </c>
      <c r="K70" s="104">
        <f t="shared" si="7"/>
        <v>0</v>
      </c>
      <c r="L70" s="104">
        <f t="shared" si="7"/>
        <v>0</v>
      </c>
      <c r="M70" s="104">
        <f t="shared" si="7"/>
        <v>0</v>
      </c>
      <c r="N70" s="104">
        <f t="shared" si="7"/>
        <v>0</v>
      </c>
      <c r="T70" s="507"/>
      <c r="U70" s="507"/>
      <c r="V70" s="505"/>
      <c r="W70" s="505"/>
      <c r="X70" s="505"/>
    </row>
    <row r="71" spans="1:24" s="45" customFormat="1">
      <c r="A71" s="33" t="s">
        <v>1758</v>
      </c>
      <c r="B71" s="248">
        <f>SUM(C71:N71)</f>
        <v>787357.16</v>
      </c>
      <c r="C71" s="137">
        <v>583240</v>
      </c>
      <c r="D71" s="247">
        <f>D69*D70</f>
        <v>204117.16</v>
      </c>
      <c r="E71" s="44"/>
      <c r="F71" s="44"/>
      <c r="G71" s="44"/>
      <c r="H71" s="44"/>
      <c r="I71" s="44"/>
      <c r="J71" s="44"/>
      <c r="K71" s="44"/>
      <c r="L71" s="44"/>
      <c r="M71" s="44"/>
      <c r="N71" s="104"/>
      <c r="O71" s="193" t="s">
        <v>1510</v>
      </c>
      <c r="S71" s="22">
        <f>SUM(E71:N71)</f>
        <v>0</v>
      </c>
      <c r="T71" s="507"/>
      <c r="U71" s="504"/>
      <c r="V71" s="505"/>
      <c r="W71" s="505"/>
      <c r="X71" s="505"/>
    </row>
    <row r="72" spans="1:24">
      <c r="A72" s="17"/>
      <c r="B72" s="23"/>
      <c r="D72" s="23"/>
      <c r="E72" s="19"/>
      <c r="F72" s="19"/>
      <c r="G72" s="19"/>
      <c r="K72" s="22"/>
      <c r="P72" s="19"/>
      <c r="S72" s="21"/>
      <c r="U72" s="507"/>
      <c r="V72" s="505"/>
      <c r="W72" s="505"/>
      <c r="X72" s="505"/>
    </row>
    <row r="73" spans="1:24" s="252" customFormat="1">
      <c r="A73" s="931" t="s">
        <v>2153</v>
      </c>
      <c r="B73" s="931"/>
      <c r="C73" s="931"/>
      <c r="D73" s="931"/>
      <c r="E73" s="931"/>
      <c r="F73" s="931"/>
      <c r="G73" s="931"/>
      <c r="H73" s="931"/>
      <c r="I73" s="931"/>
      <c r="J73" s="931"/>
      <c r="K73" s="931"/>
      <c r="L73" s="931"/>
      <c r="M73" s="931"/>
      <c r="N73" s="931"/>
      <c r="O73" s="931"/>
      <c r="P73" s="931"/>
      <c r="Q73" s="931"/>
      <c r="R73" s="931"/>
      <c r="U73" s="507"/>
      <c r="V73" s="505"/>
      <c r="W73" s="505"/>
      <c r="X73" s="505"/>
    </row>
    <row r="74" spans="1:24">
      <c r="A74" s="17"/>
      <c r="B74" s="18" t="s">
        <v>3802</v>
      </c>
      <c r="C74" s="136" t="s">
        <v>3399</v>
      </c>
      <c r="D74" s="46" t="s">
        <v>3803</v>
      </c>
      <c r="E74" s="39" t="s">
        <v>282</v>
      </c>
      <c r="F74" s="40" t="s">
        <v>287</v>
      </c>
      <c r="G74" s="39" t="s">
        <v>283</v>
      </c>
      <c r="H74" s="39" t="s">
        <v>284</v>
      </c>
      <c r="I74" s="39" t="s">
        <v>900</v>
      </c>
      <c r="J74" s="37" t="s">
        <v>3820</v>
      </c>
      <c r="K74" s="37" t="s">
        <v>918</v>
      </c>
      <c r="L74" s="37" t="s">
        <v>3827</v>
      </c>
      <c r="M74" s="37" t="s">
        <v>3755</v>
      </c>
      <c r="N74" s="150"/>
      <c r="O74" s="22"/>
      <c r="P74" s="22"/>
      <c r="Q74" s="22"/>
      <c r="R74" s="22"/>
      <c r="U74" s="507"/>
      <c r="V74" s="505"/>
      <c r="W74" s="505"/>
      <c r="X74" s="505"/>
    </row>
    <row r="75" spans="1:24">
      <c r="A75" s="33" t="s">
        <v>1752</v>
      </c>
      <c r="B75" s="18"/>
      <c r="C75" s="138">
        <v>78.004499999999993</v>
      </c>
      <c r="D75" s="49">
        <v>3377.7622778686928</v>
      </c>
      <c r="E75" s="100"/>
      <c r="F75" s="100"/>
      <c r="G75" s="99"/>
      <c r="H75" s="100"/>
      <c r="I75" s="100"/>
      <c r="J75" s="30"/>
      <c r="K75" s="30"/>
      <c r="L75" s="30"/>
      <c r="M75" s="30"/>
      <c r="N75" s="138"/>
      <c r="O75" s="22"/>
      <c r="P75" s="22"/>
      <c r="Q75" s="22"/>
      <c r="R75" s="22"/>
      <c r="U75" s="507"/>
      <c r="V75" s="505"/>
      <c r="W75" s="505"/>
      <c r="X75" s="505"/>
    </row>
    <row r="76" spans="1:24">
      <c r="A76" s="33" t="s">
        <v>1753</v>
      </c>
      <c r="B76" s="18"/>
      <c r="C76" s="138">
        <v>7477</v>
      </c>
      <c r="D76" s="29">
        <v>50</v>
      </c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22"/>
      <c r="P76" s="22"/>
      <c r="Q76" s="22"/>
      <c r="R76" s="22"/>
      <c r="U76" s="508"/>
      <c r="V76" s="509"/>
      <c r="W76" s="510"/>
      <c r="X76" s="511"/>
    </row>
    <row r="77" spans="1:24" s="45" customFormat="1">
      <c r="A77" s="33" t="s">
        <v>1754</v>
      </c>
      <c r="B77" s="26">
        <f>SUM(C77:M77)</f>
        <v>752128.11389343464</v>
      </c>
      <c r="C77" s="137">
        <v>583240</v>
      </c>
      <c r="D77" s="247">
        <f>D75*D76</f>
        <v>168888.11389343464</v>
      </c>
      <c r="E77" s="44"/>
      <c r="F77" s="44"/>
      <c r="G77" s="44"/>
      <c r="H77" s="44"/>
      <c r="I77" s="44"/>
      <c r="J77" s="44"/>
      <c r="K77" s="44"/>
      <c r="L77" s="44"/>
      <c r="M77" s="44"/>
      <c r="N77" s="104"/>
    </row>
    <row r="78" spans="1:24" s="25" customFormat="1">
      <c r="A78" s="34" t="s">
        <v>295</v>
      </c>
      <c r="B78" s="298">
        <v>264002</v>
      </c>
      <c r="C78" s="138"/>
      <c r="D78" s="29"/>
      <c r="E78" s="103">
        <v>17</v>
      </c>
      <c r="F78" s="103">
        <v>16</v>
      </c>
      <c r="G78" s="103">
        <v>21</v>
      </c>
      <c r="H78" s="103">
        <v>23</v>
      </c>
      <c r="I78" s="103">
        <v>40</v>
      </c>
      <c r="J78" s="24">
        <v>32</v>
      </c>
      <c r="K78" s="24">
        <v>18</v>
      </c>
      <c r="L78" s="24">
        <v>14</v>
      </c>
      <c r="M78" s="24">
        <v>11</v>
      </c>
      <c r="N78" s="136"/>
    </row>
    <row r="79" spans="1:24" s="28" customFormat="1">
      <c r="A79" s="35" t="s">
        <v>2990</v>
      </c>
      <c r="B79" s="29"/>
      <c r="C79" s="138"/>
      <c r="D79" s="29">
        <v>19</v>
      </c>
      <c r="E79" s="102">
        <v>17</v>
      </c>
      <c r="F79" s="27">
        <v>16</v>
      </c>
      <c r="G79" s="27">
        <v>21</v>
      </c>
      <c r="H79" s="27">
        <v>23</v>
      </c>
      <c r="I79" s="27">
        <v>40</v>
      </c>
      <c r="J79" s="27">
        <v>32</v>
      </c>
      <c r="K79" s="27">
        <v>18</v>
      </c>
      <c r="L79" s="27">
        <v>14</v>
      </c>
      <c r="M79" s="27">
        <v>11</v>
      </c>
      <c r="N79" s="102"/>
    </row>
    <row r="80" spans="1:24" s="28" customFormat="1">
      <c r="A80" s="35" t="s">
        <v>2989</v>
      </c>
      <c r="B80" s="26">
        <f>SUM(C80:N80)</f>
        <v>264002</v>
      </c>
      <c r="C80" s="138"/>
      <c r="D80" s="29"/>
      <c r="E80" s="96">
        <v>44425</v>
      </c>
      <c r="F80" s="27">
        <v>34703</v>
      </c>
      <c r="G80" s="27">
        <v>30766</v>
      </c>
      <c r="H80" s="27">
        <v>58509</v>
      </c>
      <c r="I80" s="27">
        <v>21553</v>
      </c>
      <c r="J80" s="27">
        <v>7238</v>
      </c>
      <c r="K80" s="27">
        <v>29665</v>
      </c>
      <c r="L80" s="27">
        <v>32640</v>
      </c>
      <c r="M80" s="27">
        <v>4503</v>
      </c>
      <c r="N80" s="102"/>
      <c r="O80" s="193" t="s">
        <v>1511</v>
      </c>
      <c r="P80" s="31"/>
      <c r="Q80" s="22">
        <f>SUM(E80:N80)</f>
        <v>264002</v>
      </c>
    </row>
    <row r="81" spans="1:19" s="31" customFormat="1">
      <c r="A81" s="33" t="s">
        <v>1756</v>
      </c>
      <c r="B81" s="29"/>
      <c r="C81" s="138">
        <v>78.004499999999993</v>
      </c>
      <c r="D81" s="49">
        <v>3278.2139000000002</v>
      </c>
      <c r="E81" s="100"/>
      <c r="F81" s="100"/>
      <c r="G81" s="99"/>
      <c r="H81" s="100"/>
      <c r="I81" s="100"/>
      <c r="J81" s="30"/>
      <c r="K81" s="30"/>
      <c r="L81" s="30"/>
      <c r="M81" s="30"/>
      <c r="N81" s="138"/>
    </row>
    <row r="82" spans="1:19" s="31" customFormat="1">
      <c r="A82" s="33" t="s">
        <v>1757</v>
      </c>
      <c r="B82" s="29"/>
      <c r="C82" s="138">
        <v>7477</v>
      </c>
      <c r="D82" s="29">
        <v>52</v>
      </c>
      <c r="E82" s="104">
        <f t="shared" ref="E82:N82" si="8">E76+E78-E79</f>
        <v>0</v>
      </c>
      <c r="F82" s="104">
        <f t="shared" si="8"/>
        <v>0</v>
      </c>
      <c r="G82" s="104">
        <f t="shared" si="8"/>
        <v>0</v>
      </c>
      <c r="H82" s="104">
        <f t="shared" si="8"/>
        <v>0</v>
      </c>
      <c r="I82" s="104">
        <f t="shared" si="8"/>
        <v>0</v>
      </c>
      <c r="J82" s="104">
        <f t="shared" si="8"/>
        <v>0</v>
      </c>
      <c r="K82" s="104">
        <f t="shared" si="8"/>
        <v>0</v>
      </c>
      <c r="L82" s="104">
        <f t="shared" si="8"/>
        <v>0</v>
      </c>
      <c r="M82" s="104">
        <f t="shared" si="8"/>
        <v>0</v>
      </c>
      <c r="N82" s="104">
        <f t="shared" si="8"/>
        <v>0</v>
      </c>
    </row>
    <row r="83" spans="1:19" s="45" customFormat="1">
      <c r="A83" s="33" t="s">
        <v>1758</v>
      </c>
      <c r="B83" s="248">
        <f>SUM(C83:N83)</f>
        <v>753707.12280000001</v>
      </c>
      <c r="C83" s="137">
        <v>583240</v>
      </c>
      <c r="D83" s="247">
        <f>D81*D82</f>
        <v>170467.12280000001</v>
      </c>
      <c r="E83" s="44"/>
      <c r="F83" s="44"/>
      <c r="G83" s="44"/>
      <c r="H83" s="44"/>
      <c r="I83" s="44"/>
      <c r="J83" s="44"/>
      <c r="K83" s="44"/>
      <c r="L83" s="44"/>
      <c r="M83" s="44"/>
      <c r="N83" s="104"/>
      <c r="O83" s="193" t="s">
        <v>1510</v>
      </c>
      <c r="S83" s="22">
        <f>SUM(E83:N83)</f>
        <v>0</v>
      </c>
    </row>
    <row r="84" spans="1:19">
      <c r="A84" s="17"/>
      <c r="B84" s="23"/>
      <c r="D84" s="23"/>
      <c r="E84" s="19"/>
      <c r="F84" s="19"/>
      <c r="G84" s="19"/>
      <c r="K84" s="22"/>
      <c r="P84" s="19"/>
      <c r="S84" s="21"/>
    </row>
    <row r="85" spans="1:19" s="252" customFormat="1">
      <c r="A85" s="934" t="s">
        <v>1446</v>
      </c>
      <c r="B85" s="934"/>
      <c r="C85" s="934"/>
      <c r="D85" s="934"/>
      <c r="E85" s="934"/>
      <c r="F85" s="934"/>
      <c r="G85" s="934"/>
      <c r="H85" s="934"/>
      <c r="I85" s="934"/>
      <c r="J85" s="934"/>
      <c r="K85" s="934"/>
      <c r="L85" s="934"/>
      <c r="M85" s="934"/>
      <c r="N85" s="934"/>
      <c r="O85" s="934"/>
      <c r="P85" s="934"/>
      <c r="Q85" s="934"/>
      <c r="R85" s="934"/>
    </row>
    <row r="86" spans="1:19">
      <c r="A86" s="17"/>
      <c r="B86" s="18" t="s">
        <v>3802</v>
      </c>
      <c r="C86" s="136" t="s">
        <v>3399</v>
      </c>
      <c r="D86" s="46" t="s">
        <v>3803</v>
      </c>
      <c r="E86" s="39" t="s">
        <v>282</v>
      </c>
      <c r="F86" s="40" t="s">
        <v>287</v>
      </c>
      <c r="G86" s="39" t="s">
        <v>283</v>
      </c>
      <c r="H86" s="39" t="s">
        <v>284</v>
      </c>
      <c r="I86" s="39" t="s">
        <v>900</v>
      </c>
      <c r="J86" s="37" t="s">
        <v>3820</v>
      </c>
      <c r="K86" s="37" t="s">
        <v>918</v>
      </c>
      <c r="L86" s="37" t="s">
        <v>3827</v>
      </c>
      <c r="M86" s="37" t="s">
        <v>3755</v>
      </c>
      <c r="N86" s="150"/>
      <c r="O86" s="22"/>
      <c r="P86" s="22"/>
      <c r="Q86" s="22"/>
      <c r="R86" s="22"/>
    </row>
    <row r="87" spans="1:19">
      <c r="A87" s="33" t="s">
        <v>1752</v>
      </c>
      <c r="B87" s="18"/>
      <c r="C87" s="138">
        <v>78.004499999999993</v>
      </c>
      <c r="D87" s="49">
        <v>3142.5842464960238</v>
      </c>
      <c r="E87" s="100"/>
      <c r="F87" s="100"/>
      <c r="G87" s="99"/>
      <c r="H87" s="100"/>
      <c r="I87" s="100"/>
      <c r="J87" s="30"/>
      <c r="K87" s="30"/>
      <c r="L87" s="30"/>
      <c r="M87" s="30"/>
      <c r="N87" s="138"/>
      <c r="O87" s="22"/>
      <c r="P87" s="22"/>
      <c r="Q87" s="22"/>
      <c r="R87" s="22"/>
    </row>
    <row r="88" spans="1:19">
      <c r="A88" s="33" t="s">
        <v>1753</v>
      </c>
      <c r="B88" s="18"/>
      <c r="C88" s="138">
        <v>7477</v>
      </c>
      <c r="D88" s="29">
        <v>51</v>
      </c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22"/>
      <c r="P88" s="22"/>
      <c r="Q88" s="22"/>
      <c r="R88" s="22"/>
    </row>
    <row r="89" spans="1:19" s="45" customFormat="1">
      <c r="A89" s="33" t="s">
        <v>1754</v>
      </c>
      <c r="B89" s="26">
        <f>SUM(C89:M89)</f>
        <v>743511.79657129722</v>
      </c>
      <c r="C89" s="137">
        <v>583240</v>
      </c>
      <c r="D89" s="247">
        <f>D87*D88</f>
        <v>160271.79657129722</v>
      </c>
      <c r="E89" s="44"/>
      <c r="F89" s="44"/>
      <c r="G89" s="44"/>
      <c r="H89" s="44"/>
      <c r="I89" s="44"/>
      <c r="J89" s="44"/>
      <c r="K89" s="44"/>
      <c r="L89" s="44"/>
      <c r="M89" s="44"/>
      <c r="N89" s="104"/>
    </row>
    <row r="90" spans="1:19" s="25" customFormat="1">
      <c r="A90" s="34" t="s">
        <v>295</v>
      </c>
      <c r="B90" s="26">
        <v>189880</v>
      </c>
      <c r="C90" s="138"/>
      <c r="D90" s="29"/>
      <c r="E90" s="103">
        <v>15</v>
      </c>
      <c r="F90" s="103">
        <v>15</v>
      </c>
      <c r="G90" s="103">
        <v>14</v>
      </c>
      <c r="H90" s="103">
        <v>16</v>
      </c>
      <c r="I90" s="103">
        <v>22</v>
      </c>
      <c r="J90" s="24">
        <v>10</v>
      </c>
      <c r="K90" s="24">
        <v>14</v>
      </c>
      <c r="L90" s="24">
        <v>13</v>
      </c>
      <c r="M90" s="24">
        <v>9</v>
      </c>
      <c r="N90" s="136"/>
    </row>
    <row r="91" spans="1:19" s="28" customFormat="1">
      <c r="A91" s="35" t="s">
        <v>2990</v>
      </c>
      <c r="B91" s="29"/>
      <c r="C91" s="138"/>
      <c r="D91" s="29">
        <v>15</v>
      </c>
      <c r="E91" s="102">
        <v>15</v>
      </c>
      <c r="F91" s="27">
        <v>15</v>
      </c>
      <c r="G91" s="27">
        <v>14</v>
      </c>
      <c r="H91" s="27">
        <v>16</v>
      </c>
      <c r="I91" s="27">
        <v>22</v>
      </c>
      <c r="J91" s="27">
        <v>10</v>
      </c>
      <c r="K91" s="27">
        <v>14</v>
      </c>
      <c r="L91" s="27">
        <v>13</v>
      </c>
      <c r="M91" s="27">
        <v>9</v>
      </c>
      <c r="N91" s="102"/>
    </row>
    <row r="92" spans="1:19" s="28" customFormat="1">
      <c r="A92" s="35" t="s">
        <v>2989</v>
      </c>
      <c r="B92" s="26">
        <f>SUM(C92:N92)</f>
        <v>189880</v>
      </c>
      <c r="C92" s="138"/>
      <c r="D92" s="29"/>
      <c r="E92" s="96">
        <v>29564</v>
      </c>
      <c r="F92" s="27">
        <v>38524</v>
      </c>
      <c r="G92" s="27">
        <v>13129</v>
      </c>
      <c r="H92" s="27">
        <v>39165</v>
      </c>
      <c r="I92" s="27">
        <v>12616</v>
      </c>
      <c r="J92" s="27">
        <v>1790</v>
      </c>
      <c r="K92" s="27">
        <v>23867</v>
      </c>
      <c r="L92" s="27">
        <v>29733</v>
      </c>
      <c r="M92" s="27">
        <v>1492</v>
      </c>
      <c r="N92" s="102"/>
      <c r="O92" s="193" t="s">
        <v>1511</v>
      </c>
      <c r="P92" s="31"/>
      <c r="Q92" s="22">
        <f>SUM(E92:N92)</f>
        <v>189880</v>
      </c>
    </row>
    <row r="93" spans="1:19" s="31" customFormat="1">
      <c r="A93" s="33" t="s">
        <v>1756</v>
      </c>
      <c r="B93" s="29"/>
      <c r="C93" s="138">
        <v>78.004499999999993</v>
      </c>
      <c r="D93" s="49">
        <v>3377.7622778686928</v>
      </c>
      <c r="E93" s="100"/>
      <c r="F93" s="100"/>
      <c r="G93" s="99"/>
      <c r="H93" s="100"/>
      <c r="I93" s="100"/>
      <c r="J93" s="30"/>
      <c r="K93" s="30"/>
      <c r="L93" s="30"/>
      <c r="M93" s="30"/>
      <c r="N93" s="138"/>
    </row>
    <row r="94" spans="1:19" s="31" customFormat="1">
      <c r="A94" s="33" t="s">
        <v>1757</v>
      </c>
      <c r="B94" s="29"/>
      <c r="C94" s="138">
        <v>7477</v>
      </c>
      <c r="D94" s="29">
        <v>50</v>
      </c>
      <c r="E94" s="104">
        <f t="shared" ref="E94:N94" si="9">E88+E90-E91</f>
        <v>0</v>
      </c>
      <c r="F94" s="104">
        <f t="shared" si="9"/>
        <v>0</v>
      </c>
      <c r="G94" s="104">
        <f t="shared" si="9"/>
        <v>0</v>
      </c>
      <c r="H94" s="104">
        <f t="shared" si="9"/>
        <v>0</v>
      </c>
      <c r="I94" s="104">
        <f t="shared" si="9"/>
        <v>0</v>
      </c>
      <c r="J94" s="104">
        <f t="shared" si="9"/>
        <v>0</v>
      </c>
      <c r="K94" s="104">
        <f t="shared" si="9"/>
        <v>0</v>
      </c>
      <c r="L94" s="104">
        <f t="shared" si="9"/>
        <v>0</v>
      </c>
      <c r="M94" s="104">
        <f t="shared" si="9"/>
        <v>0</v>
      </c>
      <c r="N94" s="104">
        <f t="shared" si="9"/>
        <v>0</v>
      </c>
    </row>
    <row r="95" spans="1:19" s="45" customFormat="1">
      <c r="A95" s="33" t="s">
        <v>1758</v>
      </c>
      <c r="B95" s="248">
        <f>SUM(C95:N95)</f>
        <v>752128.11389343464</v>
      </c>
      <c r="C95" s="137">
        <v>583240</v>
      </c>
      <c r="D95" s="247">
        <f>D93*D94</f>
        <v>168888.11389343464</v>
      </c>
      <c r="E95" s="44"/>
      <c r="F95" s="44"/>
      <c r="G95" s="44"/>
      <c r="H95" s="44"/>
      <c r="I95" s="44"/>
      <c r="J95" s="44"/>
      <c r="K95" s="44"/>
      <c r="L95" s="44"/>
      <c r="M95" s="44"/>
      <c r="N95" s="104"/>
      <c r="O95" s="193" t="s">
        <v>1510</v>
      </c>
      <c r="S95" s="22">
        <f>SUM(E95:N95)</f>
        <v>0</v>
      </c>
    </row>
    <row r="96" spans="1:19">
      <c r="A96" s="17"/>
      <c r="B96" s="23"/>
      <c r="D96" s="23"/>
      <c r="E96" s="19"/>
      <c r="F96" s="19"/>
      <c r="G96" s="19"/>
      <c r="K96" s="22"/>
      <c r="P96" s="19"/>
      <c r="S96" s="21"/>
    </row>
    <row r="97" spans="1:19" s="252" customFormat="1">
      <c r="A97" s="936" t="s">
        <v>2785</v>
      </c>
      <c r="B97" s="936"/>
      <c r="C97" s="936"/>
      <c r="D97" s="936"/>
      <c r="E97" s="936"/>
      <c r="F97" s="936"/>
      <c r="G97" s="936"/>
      <c r="H97" s="936"/>
      <c r="I97" s="936"/>
      <c r="J97" s="936"/>
      <c r="K97" s="936"/>
      <c r="L97" s="936"/>
      <c r="M97" s="936"/>
      <c r="N97" s="936"/>
      <c r="O97" s="936"/>
      <c r="P97" s="936"/>
      <c r="Q97" s="936"/>
      <c r="R97" s="936"/>
    </row>
    <row r="98" spans="1:19">
      <c r="A98" s="17"/>
      <c r="B98" s="18" t="s">
        <v>3802</v>
      </c>
      <c r="C98" s="136" t="s">
        <v>3399</v>
      </c>
      <c r="D98" s="46" t="s">
        <v>3803</v>
      </c>
      <c r="E98" s="39" t="s">
        <v>282</v>
      </c>
      <c r="F98" s="40" t="s">
        <v>287</v>
      </c>
      <c r="G98" s="39" t="s">
        <v>283</v>
      </c>
      <c r="H98" s="39" t="s">
        <v>284</v>
      </c>
      <c r="I98" s="39" t="s">
        <v>900</v>
      </c>
      <c r="J98" s="37" t="s">
        <v>3820</v>
      </c>
      <c r="K98" s="37" t="s">
        <v>918</v>
      </c>
      <c r="L98" s="37" t="s">
        <v>3827</v>
      </c>
      <c r="M98" s="37" t="s">
        <v>604</v>
      </c>
      <c r="N98" s="150" t="s">
        <v>2642</v>
      </c>
      <c r="O98" s="22"/>
      <c r="P98" s="22"/>
      <c r="Q98" s="22"/>
      <c r="R98" s="22"/>
    </row>
    <row r="99" spans="1:19">
      <c r="A99" s="33" t="s">
        <v>1752</v>
      </c>
      <c r="B99" s="18"/>
      <c r="C99" s="138">
        <v>78.004499999999993</v>
      </c>
      <c r="D99" s="49">
        <v>2431.42</v>
      </c>
      <c r="E99" s="100"/>
      <c r="F99" s="100"/>
      <c r="G99" s="99"/>
      <c r="H99" s="100"/>
      <c r="I99" s="100"/>
      <c r="J99" s="30"/>
      <c r="K99" s="30"/>
      <c r="L99" s="30"/>
      <c r="M99" s="30"/>
      <c r="N99" s="138"/>
      <c r="O99" s="22"/>
      <c r="P99" s="22"/>
      <c r="Q99" s="22"/>
      <c r="R99" s="22"/>
    </row>
    <row r="100" spans="1:19">
      <c r="A100" s="33" t="s">
        <v>1753</v>
      </c>
      <c r="B100" s="18"/>
      <c r="C100" s="138">
        <v>7477</v>
      </c>
      <c r="D100" s="29">
        <v>54</v>
      </c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22"/>
      <c r="P100" s="22"/>
      <c r="Q100" s="22"/>
      <c r="R100" s="22"/>
    </row>
    <row r="101" spans="1:19" s="45" customFormat="1">
      <c r="A101" s="33" t="s">
        <v>1754</v>
      </c>
      <c r="B101" s="26">
        <f>SUM(C101:M101)</f>
        <v>714536.67999999993</v>
      </c>
      <c r="C101" s="137">
        <v>583240</v>
      </c>
      <c r="D101" s="247">
        <f>D99*D100</f>
        <v>131296.68</v>
      </c>
      <c r="E101" s="44"/>
      <c r="F101" s="44"/>
      <c r="G101" s="44"/>
      <c r="H101" s="44"/>
      <c r="I101" s="44"/>
      <c r="J101" s="44"/>
      <c r="K101" s="44"/>
      <c r="L101" s="44"/>
      <c r="M101" s="44"/>
      <c r="N101" s="104"/>
    </row>
    <row r="102" spans="1:19" s="25" customFormat="1">
      <c r="A102" s="34" t="s">
        <v>295</v>
      </c>
      <c r="B102" s="26">
        <v>178629</v>
      </c>
      <c r="C102" s="138"/>
      <c r="D102" s="29"/>
      <c r="E102" s="103">
        <v>7</v>
      </c>
      <c r="F102" s="103">
        <v>20</v>
      </c>
      <c r="G102" s="103">
        <v>16</v>
      </c>
      <c r="H102" s="103">
        <v>20</v>
      </c>
      <c r="I102" s="103">
        <v>39</v>
      </c>
      <c r="J102" s="24">
        <v>11</v>
      </c>
      <c r="K102" s="24">
        <v>18</v>
      </c>
      <c r="L102" s="24">
        <v>9</v>
      </c>
      <c r="M102" s="24"/>
      <c r="N102" s="136"/>
    </row>
    <row r="103" spans="1:19" s="28" customFormat="1">
      <c r="A103" s="35" t="s">
        <v>2990</v>
      </c>
      <c r="B103" s="29"/>
      <c r="C103" s="138"/>
      <c r="D103" s="29">
        <v>13</v>
      </c>
      <c r="E103" s="102">
        <v>7</v>
      </c>
      <c r="F103" s="27">
        <v>20</v>
      </c>
      <c r="G103" s="27">
        <v>16</v>
      </c>
      <c r="H103" s="27">
        <v>20</v>
      </c>
      <c r="I103" s="27">
        <v>39</v>
      </c>
      <c r="J103" s="27">
        <v>11</v>
      </c>
      <c r="K103" s="27">
        <v>18</v>
      </c>
      <c r="L103" s="27">
        <v>9</v>
      </c>
      <c r="M103" s="27"/>
      <c r="N103" s="102"/>
    </row>
    <row r="104" spans="1:19" s="28" customFormat="1">
      <c r="A104" s="35" t="s">
        <v>2989</v>
      </c>
      <c r="B104" s="26">
        <f>SUM(C104:N104)</f>
        <v>178629</v>
      </c>
      <c r="C104" s="138"/>
      <c r="D104" s="29"/>
      <c r="E104" s="96">
        <v>21112</v>
      </c>
      <c r="F104" s="27">
        <v>43818</v>
      </c>
      <c r="G104" s="27">
        <v>7999</v>
      </c>
      <c r="H104" s="27">
        <v>48901</v>
      </c>
      <c r="I104" s="27">
        <v>12024</v>
      </c>
      <c r="J104" s="27">
        <v>1799</v>
      </c>
      <c r="K104" s="27">
        <v>21881</v>
      </c>
      <c r="L104" s="27">
        <v>21095</v>
      </c>
      <c r="M104" s="27"/>
      <c r="N104" s="102"/>
      <c r="O104" s="193" t="s">
        <v>1511</v>
      </c>
      <c r="P104" s="31"/>
      <c r="Q104" s="22">
        <f>SUM(E104:N104)</f>
        <v>178629</v>
      </c>
    </row>
    <row r="105" spans="1:19" s="31" customFormat="1">
      <c r="A105" s="33" t="s">
        <v>1756</v>
      </c>
      <c r="B105" s="29"/>
      <c r="C105" s="138">
        <v>78.004499999999993</v>
      </c>
      <c r="D105" s="49">
        <v>3142.5842464960238</v>
      </c>
      <c r="E105" s="100"/>
      <c r="F105" s="100"/>
      <c r="G105" s="99"/>
      <c r="H105" s="100"/>
      <c r="I105" s="100"/>
      <c r="J105" s="30"/>
      <c r="K105" s="30"/>
      <c r="L105" s="30"/>
      <c r="M105" s="30"/>
      <c r="N105" s="138"/>
    </row>
    <row r="106" spans="1:19" s="31" customFormat="1">
      <c r="A106" s="33" t="s">
        <v>1757</v>
      </c>
      <c r="B106" s="29"/>
      <c r="C106" s="138">
        <v>7477</v>
      </c>
      <c r="D106" s="29">
        <v>51</v>
      </c>
      <c r="E106" s="104">
        <f t="shared" ref="E106:N106" si="10">E100+E102-E103</f>
        <v>0</v>
      </c>
      <c r="F106" s="104">
        <f t="shared" si="10"/>
        <v>0</v>
      </c>
      <c r="G106" s="104">
        <f t="shared" si="10"/>
        <v>0</v>
      </c>
      <c r="H106" s="104">
        <f t="shared" si="10"/>
        <v>0</v>
      </c>
      <c r="I106" s="104">
        <f t="shared" si="10"/>
        <v>0</v>
      </c>
      <c r="J106" s="104">
        <f t="shared" si="10"/>
        <v>0</v>
      </c>
      <c r="K106" s="104">
        <f t="shared" si="10"/>
        <v>0</v>
      </c>
      <c r="L106" s="104">
        <f t="shared" si="10"/>
        <v>0</v>
      </c>
      <c r="M106" s="104">
        <f t="shared" si="10"/>
        <v>0</v>
      </c>
      <c r="N106" s="104">
        <f t="shared" si="10"/>
        <v>0</v>
      </c>
    </row>
    <row r="107" spans="1:19" s="45" customFormat="1">
      <c r="A107" s="33" t="s">
        <v>1758</v>
      </c>
      <c r="B107" s="248">
        <f>SUM(C107:N107)</f>
        <v>743511.79657129722</v>
      </c>
      <c r="C107" s="137">
        <v>583240</v>
      </c>
      <c r="D107" s="247">
        <f>D105*D106</f>
        <v>160271.79657129722</v>
      </c>
      <c r="E107" s="44"/>
      <c r="F107" s="44"/>
      <c r="G107" s="44"/>
      <c r="H107" s="44"/>
      <c r="I107" s="44"/>
      <c r="J107" s="44"/>
      <c r="K107" s="44"/>
      <c r="L107" s="44"/>
      <c r="M107" s="44"/>
      <c r="N107" s="104"/>
      <c r="O107" s="193" t="s">
        <v>1510</v>
      </c>
      <c r="S107" s="22">
        <f>SUM(E107:N107)</f>
        <v>0</v>
      </c>
    </row>
    <row r="108" spans="1:19">
      <c r="A108" s="17"/>
      <c r="B108" s="23"/>
      <c r="D108" s="23"/>
      <c r="E108" s="19"/>
      <c r="F108" s="19"/>
      <c r="G108" s="19"/>
      <c r="K108" s="22"/>
      <c r="P108" s="19"/>
      <c r="S108" s="21"/>
    </row>
    <row r="109" spans="1:19" s="251" customFormat="1">
      <c r="A109" s="937" t="s">
        <v>2674</v>
      </c>
      <c r="B109" s="937"/>
      <c r="C109" s="937"/>
      <c r="D109" s="937"/>
      <c r="E109" s="937"/>
      <c r="F109" s="937"/>
      <c r="G109" s="937"/>
      <c r="H109" s="937"/>
      <c r="I109" s="937"/>
      <c r="J109" s="937"/>
      <c r="K109" s="937"/>
      <c r="L109" s="937"/>
      <c r="M109" s="937"/>
      <c r="N109" s="937"/>
      <c r="O109" s="937"/>
      <c r="P109" s="937"/>
      <c r="Q109" s="937"/>
      <c r="R109" s="937"/>
    </row>
    <row r="110" spans="1:19">
      <c r="A110" s="17"/>
      <c r="B110" s="18" t="s">
        <v>3802</v>
      </c>
      <c r="C110" s="136" t="s">
        <v>3399</v>
      </c>
      <c r="D110" s="46" t="s">
        <v>3803</v>
      </c>
      <c r="E110" s="39" t="s">
        <v>282</v>
      </c>
      <c r="F110" s="40" t="s">
        <v>287</v>
      </c>
      <c r="G110" s="39" t="s">
        <v>283</v>
      </c>
      <c r="H110" s="39" t="s">
        <v>284</v>
      </c>
      <c r="I110" s="39" t="s">
        <v>2425</v>
      </c>
      <c r="J110" s="37" t="s">
        <v>3820</v>
      </c>
      <c r="K110" s="37" t="s">
        <v>918</v>
      </c>
      <c r="L110" s="37" t="s">
        <v>3827</v>
      </c>
      <c r="M110" s="37" t="s">
        <v>604</v>
      </c>
      <c r="N110" s="150" t="s">
        <v>2642</v>
      </c>
      <c r="O110" s="22"/>
      <c r="P110" s="22"/>
      <c r="Q110" s="22"/>
      <c r="R110" s="22"/>
    </row>
    <row r="111" spans="1:19">
      <c r="A111" s="33" t="s">
        <v>1752</v>
      </c>
      <c r="B111" s="18"/>
      <c r="C111" s="138">
        <v>78.004499999999993</v>
      </c>
      <c r="D111" s="49">
        <v>2319.5100000000002</v>
      </c>
      <c r="E111" s="100"/>
      <c r="F111" s="100"/>
      <c r="G111" s="99"/>
      <c r="H111" s="100"/>
      <c r="I111" s="100"/>
      <c r="J111" s="30"/>
      <c r="K111" s="30"/>
      <c r="L111" s="30"/>
      <c r="M111" s="30"/>
      <c r="N111" s="138"/>
      <c r="O111" s="22"/>
      <c r="P111" s="22"/>
      <c r="Q111" s="22"/>
      <c r="R111" s="22"/>
    </row>
    <row r="112" spans="1:19">
      <c r="A112" s="33" t="s">
        <v>1753</v>
      </c>
      <c r="B112" s="18"/>
      <c r="C112" s="138">
        <v>7477</v>
      </c>
      <c r="D112" s="29">
        <v>61</v>
      </c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22"/>
      <c r="P112" s="22"/>
      <c r="Q112" s="22"/>
      <c r="R112" s="22"/>
    </row>
    <row r="113" spans="1:19" s="45" customFormat="1">
      <c r="A113" s="33" t="s">
        <v>1754</v>
      </c>
      <c r="B113" s="26">
        <f>SUM(C113:M113)</f>
        <v>689938</v>
      </c>
      <c r="C113" s="137">
        <v>583240</v>
      </c>
      <c r="D113" s="51">
        <v>106698</v>
      </c>
      <c r="E113" s="44"/>
      <c r="F113" s="44"/>
      <c r="G113" s="44"/>
      <c r="H113" s="44"/>
      <c r="I113" s="44"/>
      <c r="J113" s="44"/>
      <c r="K113" s="44"/>
      <c r="L113" s="44"/>
      <c r="M113" s="44"/>
      <c r="N113" s="104"/>
    </row>
    <row r="114" spans="1:19" s="25" customFormat="1">
      <c r="A114" s="34" t="s">
        <v>295</v>
      </c>
      <c r="B114" s="26">
        <v>123808</v>
      </c>
      <c r="C114" s="138"/>
      <c r="D114" s="29"/>
      <c r="E114" s="103">
        <v>9</v>
      </c>
      <c r="F114" s="103">
        <v>8</v>
      </c>
      <c r="G114" s="103">
        <v>10</v>
      </c>
      <c r="H114" s="103">
        <v>19</v>
      </c>
      <c r="I114" s="103">
        <v>21</v>
      </c>
      <c r="J114" s="24">
        <v>1</v>
      </c>
      <c r="K114" s="24">
        <v>12</v>
      </c>
      <c r="L114" s="24">
        <v>8</v>
      </c>
      <c r="M114" s="24">
        <v>1</v>
      </c>
      <c r="N114" s="136"/>
    </row>
    <row r="115" spans="1:19" s="28" customFormat="1">
      <c r="A115" s="35" t="s">
        <v>2990</v>
      </c>
      <c r="B115" s="29"/>
      <c r="C115" s="138"/>
      <c r="D115" s="29">
        <v>9</v>
      </c>
      <c r="E115" s="102">
        <v>9</v>
      </c>
      <c r="F115" s="27">
        <v>8</v>
      </c>
      <c r="G115" s="27">
        <v>10</v>
      </c>
      <c r="H115" s="27">
        <v>19</v>
      </c>
      <c r="I115" s="27">
        <v>21</v>
      </c>
      <c r="J115" s="27">
        <v>1</v>
      </c>
      <c r="K115" s="27">
        <v>12</v>
      </c>
      <c r="L115" s="27">
        <v>8</v>
      </c>
      <c r="M115" s="27">
        <v>1</v>
      </c>
      <c r="N115" s="102"/>
    </row>
    <row r="116" spans="1:19" s="28" customFormat="1">
      <c r="A116" s="35" t="s">
        <v>2989</v>
      </c>
      <c r="B116" s="26">
        <f>SUM(C116:N116)</f>
        <v>123808</v>
      </c>
      <c r="C116" s="138"/>
      <c r="D116" s="29"/>
      <c r="E116" s="96">
        <v>17791</v>
      </c>
      <c r="F116" s="27">
        <v>18219</v>
      </c>
      <c r="G116" s="27">
        <v>10274</v>
      </c>
      <c r="H116" s="27">
        <v>30258</v>
      </c>
      <c r="I116" s="27">
        <v>8000</v>
      </c>
      <c r="J116" s="27">
        <v>152</v>
      </c>
      <c r="K116" s="27">
        <v>17799</v>
      </c>
      <c r="L116" s="27">
        <v>19048</v>
      </c>
      <c r="M116" s="27">
        <v>2267</v>
      </c>
      <c r="N116" s="102"/>
      <c r="O116" s="193" t="s">
        <v>1511</v>
      </c>
      <c r="P116" s="31"/>
      <c r="Q116" s="22">
        <f>SUM(E116:N116)</f>
        <v>123808</v>
      </c>
    </row>
    <row r="117" spans="1:19" s="31" customFormat="1">
      <c r="A117" s="33" t="s">
        <v>1756</v>
      </c>
      <c r="B117" s="29"/>
      <c r="C117" s="138">
        <v>78.004499999999993</v>
      </c>
      <c r="D117" s="49">
        <v>2431.42</v>
      </c>
      <c r="E117" s="100"/>
      <c r="F117" s="100"/>
      <c r="G117" s="99"/>
      <c r="H117" s="100"/>
      <c r="I117" s="100"/>
      <c r="J117" s="30"/>
      <c r="K117" s="30"/>
      <c r="L117" s="30"/>
      <c r="M117" s="30"/>
      <c r="N117" s="138"/>
    </row>
    <row r="118" spans="1:19" s="31" customFormat="1">
      <c r="A118" s="33" t="s">
        <v>1757</v>
      </c>
      <c r="B118" s="29"/>
      <c r="C118" s="138">
        <v>7477</v>
      </c>
      <c r="D118" s="29">
        <v>54</v>
      </c>
      <c r="E118" s="104">
        <f t="shared" ref="E118:N118" si="11">E112+E114-E115</f>
        <v>0</v>
      </c>
      <c r="F118" s="104">
        <f t="shared" si="11"/>
        <v>0</v>
      </c>
      <c r="G118" s="104">
        <f t="shared" si="11"/>
        <v>0</v>
      </c>
      <c r="H118" s="104">
        <f t="shared" si="11"/>
        <v>0</v>
      </c>
      <c r="I118" s="104">
        <f t="shared" si="11"/>
        <v>0</v>
      </c>
      <c r="J118" s="104">
        <f t="shared" si="11"/>
        <v>0</v>
      </c>
      <c r="K118" s="104">
        <f t="shared" si="11"/>
        <v>0</v>
      </c>
      <c r="L118" s="104">
        <f t="shared" si="11"/>
        <v>0</v>
      </c>
      <c r="M118" s="104">
        <f t="shared" si="11"/>
        <v>0</v>
      </c>
      <c r="N118" s="104">
        <f t="shared" si="11"/>
        <v>0</v>
      </c>
    </row>
    <row r="119" spans="1:19" s="45" customFormat="1">
      <c r="A119" s="33" t="s">
        <v>1758</v>
      </c>
      <c r="B119" s="248">
        <f>SUM(C119:N119)</f>
        <v>714536.67999999993</v>
      </c>
      <c r="C119" s="137">
        <v>583240</v>
      </c>
      <c r="D119" s="247">
        <f>D117*D118</f>
        <v>131296.68</v>
      </c>
      <c r="E119" s="44"/>
      <c r="F119" s="44"/>
      <c r="G119" s="44"/>
      <c r="H119" s="44"/>
      <c r="I119" s="44"/>
      <c r="J119" s="44"/>
      <c r="K119" s="44"/>
      <c r="L119" s="44"/>
      <c r="M119" s="44"/>
      <c r="N119" s="104"/>
      <c r="O119" s="193" t="s">
        <v>1510</v>
      </c>
      <c r="S119" s="22">
        <f>SUM(E119:N119)</f>
        <v>0</v>
      </c>
    </row>
    <row r="120" spans="1:19">
      <c r="A120" s="17"/>
      <c r="B120" s="23"/>
      <c r="D120" s="23"/>
      <c r="E120" s="19"/>
      <c r="F120" s="19"/>
      <c r="G120" s="19"/>
      <c r="K120" s="22"/>
      <c r="P120" s="19"/>
      <c r="S120" s="21"/>
    </row>
    <row r="121" spans="1:19" s="228" customFormat="1">
      <c r="A121" s="938" t="s">
        <v>2673</v>
      </c>
      <c r="B121" s="938"/>
      <c r="C121" s="938"/>
      <c r="D121" s="938"/>
      <c r="E121" s="938"/>
      <c r="F121" s="938"/>
      <c r="G121" s="938"/>
      <c r="H121" s="938"/>
      <c r="I121" s="938"/>
      <c r="J121" s="938"/>
      <c r="K121" s="938"/>
      <c r="L121" s="938"/>
      <c r="M121" s="938"/>
      <c r="N121" s="938"/>
      <c r="O121" s="938"/>
      <c r="P121" s="938"/>
      <c r="Q121" s="938"/>
      <c r="R121" s="938"/>
    </row>
    <row r="122" spans="1:19">
      <c r="A122" s="17"/>
      <c r="B122" s="18" t="s">
        <v>3802</v>
      </c>
      <c r="C122" s="136" t="s">
        <v>3399</v>
      </c>
      <c r="D122" s="46" t="s">
        <v>3803</v>
      </c>
      <c r="E122" s="39" t="s">
        <v>282</v>
      </c>
      <c r="F122" s="40" t="s">
        <v>287</v>
      </c>
      <c r="G122" s="39" t="s">
        <v>283</v>
      </c>
      <c r="H122" s="39" t="s">
        <v>284</v>
      </c>
      <c r="I122" s="39" t="s">
        <v>2376</v>
      </c>
      <c r="J122" s="37" t="s">
        <v>3820</v>
      </c>
      <c r="K122" s="37" t="s">
        <v>918</v>
      </c>
      <c r="L122" s="37" t="s">
        <v>3827</v>
      </c>
      <c r="M122" s="37" t="s">
        <v>290</v>
      </c>
      <c r="N122" s="150" t="s">
        <v>2642</v>
      </c>
      <c r="O122" s="22"/>
      <c r="P122" s="22"/>
      <c r="Q122" s="22"/>
      <c r="R122" s="22"/>
    </row>
    <row r="123" spans="1:19">
      <c r="A123" s="33" t="s">
        <v>1752</v>
      </c>
      <c r="B123" s="18"/>
      <c r="C123" s="138">
        <v>78.004499999999993</v>
      </c>
      <c r="D123" s="49">
        <v>2319.5100000000002</v>
      </c>
      <c r="E123" s="100"/>
      <c r="F123" s="100"/>
      <c r="G123" s="99"/>
      <c r="H123" s="100"/>
      <c r="I123" s="100"/>
      <c r="J123" s="30"/>
      <c r="K123" s="30"/>
      <c r="L123" s="30"/>
      <c r="M123" s="30"/>
      <c r="N123" s="138"/>
      <c r="O123" s="22"/>
      <c r="P123" s="22"/>
      <c r="Q123" s="22"/>
      <c r="R123" s="22"/>
    </row>
    <row r="124" spans="1:19">
      <c r="A124" s="33" t="s">
        <v>1753</v>
      </c>
      <c r="B124" s="18"/>
      <c r="C124" s="138">
        <v>7477</v>
      </c>
      <c r="D124" s="29">
        <v>46</v>
      </c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22"/>
      <c r="P124" s="22"/>
      <c r="Q124" s="22"/>
      <c r="R124" s="22"/>
    </row>
    <row r="125" spans="1:19" s="45" customFormat="1">
      <c r="A125" s="33" t="s">
        <v>1754</v>
      </c>
      <c r="B125" s="26">
        <v>689938</v>
      </c>
      <c r="C125" s="137">
        <v>583240</v>
      </c>
      <c r="D125" s="51">
        <v>106698</v>
      </c>
      <c r="E125" s="44"/>
      <c r="F125" s="44"/>
      <c r="G125" s="44"/>
      <c r="H125" s="44"/>
      <c r="I125" s="44"/>
      <c r="J125" s="44"/>
      <c r="K125" s="44"/>
      <c r="L125" s="44"/>
      <c r="M125" s="44"/>
      <c r="N125" s="104"/>
    </row>
    <row r="126" spans="1:19" s="25" customFormat="1">
      <c r="A126" s="34" t="s">
        <v>295</v>
      </c>
      <c r="B126" s="26">
        <v>192576</v>
      </c>
      <c r="C126" s="138"/>
      <c r="D126" s="29"/>
      <c r="E126" s="103">
        <v>18</v>
      </c>
      <c r="F126" s="103">
        <v>18</v>
      </c>
      <c r="G126" s="103">
        <v>19</v>
      </c>
      <c r="H126" s="103">
        <v>23</v>
      </c>
      <c r="I126" s="103">
        <v>38</v>
      </c>
      <c r="J126" s="24">
        <v>4</v>
      </c>
      <c r="K126" s="24">
        <v>19</v>
      </c>
      <c r="L126" s="24">
        <v>13</v>
      </c>
      <c r="M126" s="24"/>
      <c r="N126" s="136"/>
    </row>
    <row r="127" spans="1:19" s="28" customFormat="1">
      <c r="A127" s="35" t="s">
        <v>2990</v>
      </c>
      <c r="B127" s="29"/>
      <c r="C127" s="138"/>
      <c r="D127" s="29">
        <v>18</v>
      </c>
      <c r="E127" s="102">
        <v>18</v>
      </c>
      <c r="F127" s="27">
        <v>18</v>
      </c>
      <c r="G127" s="27">
        <v>19</v>
      </c>
      <c r="H127" s="27">
        <v>23</v>
      </c>
      <c r="I127" s="27">
        <v>38</v>
      </c>
      <c r="J127" s="27">
        <v>4</v>
      </c>
      <c r="K127" s="27">
        <v>19</v>
      </c>
      <c r="L127" s="27">
        <v>13</v>
      </c>
      <c r="M127" s="27"/>
      <c r="N127" s="102"/>
    </row>
    <row r="128" spans="1:19" s="28" customFormat="1">
      <c r="A128" s="35" t="s">
        <v>2989</v>
      </c>
      <c r="B128" s="26">
        <v>192576</v>
      </c>
      <c r="C128" s="138"/>
      <c r="D128" s="29"/>
      <c r="E128" s="96">
        <v>32683</v>
      </c>
      <c r="F128" s="27">
        <v>35743</v>
      </c>
      <c r="G128" s="27">
        <v>20337</v>
      </c>
      <c r="H128" s="27">
        <v>36777</v>
      </c>
      <c r="I128" s="27">
        <v>11200</v>
      </c>
      <c r="J128" s="27">
        <v>532</v>
      </c>
      <c r="K128" s="27">
        <v>25161</v>
      </c>
      <c r="L128" s="27">
        <v>30143</v>
      </c>
      <c r="M128" s="27"/>
      <c r="N128" s="102"/>
      <c r="O128" s="193" t="s">
        <v>1511</v>
      </c>
      <c r="P128" s="31"/>
      <c r="Q128" s="22">
        <v>192576</v>
      </c>
    </row>
    <row r="129" spans="1:19" s="31" customFormat="1">
      <c r="A129" s="33" t="s">
        <v>1756</v>
      </c>
      <c r="B129" s="29"/>
      <c r="C129" s="138">
        <v>78.004499999999993</v>
      </c>
      <c r="D129" s="49">
        <v>2120.9171141657534</v>
      </c>
      <c r="E129" s="100"/>
      <c r="F129" s="100"/>
      <c r="G129" s="99"/>
      <c r="H129" s="100"/>
      <c r="I129" s="100"/>
      <c r="J129" s="30"/>
      <c r="K129" s="30"/>
      <c r="L129" s="30"/>
      <c r="M129" s="30"/>
      <c r="N129" s="138"/>
    </row>
    <row r="130" spans="1:19" s="31" customFormat="1">
      <c r="A130" s="33" t="s">
        <v>1757</v>
      </c>
      <c r="B130" s="29"/>
      <c r="C130" s="138">
        <v>7477</v>
      </c>
      <c r="D130" s="29">
        <v>61</v>
      </c>
      <c r="E130" s="104">
        <v>0</v>
      </c>
      <c r="F130" s="104">
        <v>0</v>
      </c>
      <c r="G130" s="104">
        <v>0</v>
      </c>
      <c r="H130" s="104">
        <v>0</v>
      </c>
      <c r="I130" s="104">
        <v>0</v>
      </c>
      <c r="J130" s="104">
        <v>0</v>
      </c>
      <c r="K130" s="104">
        <v>0</v>
      </c>
      <c r="L130" s="104">
        <v>0</v>
      </c>
      <c r="M130" s="104">
        <v>0</v>
      </c>
      <c r="N130" s="104">
        <v>0</v>
      </c>
    </row>
    <row r="131" spans="1:19" s="45" customFormat="1">
      <c r="A131" s="33" t="s">
        <v>1758</v>
      </c>
      <c r="B131" s="26">
        <v>712615.94396411092</v>
      </c>
      <c r="C131" s="137">
        <v>583240</v>
      </c>
      <c r="D131" s="51">
        <v>129375.94396411096</v>
      </c>
      <c r="E131" s="44"/>
      <c r="F131" s="44"/>
      <c r="G131" s="44"/>
      <c r="H131" s="44"/>
      <c r="I131" s="44"/>
      <c r="J131" s="44"/>
      <c r="K131" s="44"/>
      <c r="L131" s="44"/>
      <c r="M131" s="44"/>
      <c r="N131" s="104"/>
      <c r="O131" s="193" t="s">
        <v>1510</v>
      </c>
      <c r="S131" s="22">
        <f>SUM(E131:N131)</f>
        <v>0</v>
      </c>
    </row>
    <row r="132" spans="1:19">
      <c r="A132" s="17"/>
      <c r="B132" s="23"/>
      <c r="D132" s="23" t="s">
        <v>1395</v>
      </c>
      <c r="E132" s="19"/>
      <c r="F132" s="19"/>
      <c r="G132" s="19"/>
      <c r="K132" s="22"/>
      <c r="P132" s="19"/>
      <c r="S132" s="21"/>
    </row>
    <row r="133" spans="1:19" s="13" customFormat="1">
      <c r="A133" s="939" t="s">
        <v>2854</v>
      </c>
      <c r="B133" s="939"/>
      <c r="C133" s="939"/>
      <c r="D133" s="939"/>
      <c r="E133" s="939"/>
      <c r="F133" s="939"/>
      <c r="G133" s="939"/>
      <c r="H133" s="939"/>
      <c r="I133" s="939"/>
      <c r="J133" s="939"/>
      <c r="K133" s="939"/>
      <c r="L133" s="939"/>
      <c r="M133" s="939"/>
      <c r="N133" s="939"/>
      <c r="O133" s="939"/>
      <c r="P133" s="939"/>
      <c r="Q133" s="939"/>
      <c r="R133" s="939"/>
    </row>
    <row r="134" spans="1:19">
      <c r="A134" s="17"/>
      <c r="B134" s="18" t="s">
        <v>3802</v>
      </c>
      <c r="C134" s="136" t="s">
        <v>3399</v>
      </c>
      <c r="D134" s="46" t="s">
        <v>3803</v>
      </c>
      <c r="E134" s="39" t="s">
        <v>282</v>
      </c>
      <c r="F134" s="40" t="s">
        <v>287</v>
      </c>
      <c r="G134" s="39" t="s">
        <v>283</v>
      </c>
      <c r="H134" s="39" t="s">
        <v>284</v>
      </c>
      <c r="I134" s="39" t="s">
        <v>2425</v>
      </c>
      <c r="J134" s="37" t="s">
        <v>918</v>
      </c>
      <c r="K134" s="37" t="s">
        <v>3827</v>
      </c>
      <c r="L134" s="37" t="s">
        <v>290</v>
      </c>
      <c r="M134" s="150" t="s">
        <v>2642</v>
      </c>
      <c r="N134" s="22"/>
      <c r="O134" s="22"/>
      <c r="P134" s="22"/>
      <c r="Q134" s="22"/>
      <c r="R134" s="22"/>
    </row>
    <row r="135" spans="1:19">
      <c r="A135" s="33" t="s">
        <v>1752</v>
      </c>
      <c r="B135" s="18"/>
      <c r="C135" s="138">
        <v>78.004499999999993</v>
      </c>
      <c r="D135" s="49">
        <v>2262.0164559643258</v>
      </c>
      <c r="E135" s="100"/>
      <c r="F135" s="100"/>
      <c r="G135" s="99"/>
      <c r="H135" s="100"/>
      <c r="I135" s="100"/>
      <c r="J135" s="30">
        <v>1105</v>
      </c>
      <c r="K135" s="30"/>
      <c r="L135" s="30">
        <v>15</v>
      </c>
      <c r="M135" s="138"/>
      <c r="N135" s="22"/>
      <c r="O135" s="22"/>
      <c r="P135" s="22"/>
      <c r="Q135" s="22"/>
      <c r="R135" s="22"/>
    </row>
    <row r="136" spans="1:19">
      <c r="A136" s="33" t="s">
        <v>1753</v>
      </c>
      <c r="B136" s="18"/>
      <c r="C136" s="138">
        <v>7477</v>
      </c>
      <c r="D136" s="29">
        <v>65</v>
      </c>
      <c r="E136" s="104"/>
      <c r="F136" s="104"/>
      <c r="G136" s="104"/>
      <c r="H136" s="104"/>
      <c r="I136" s="104"/>
      <c r="J136" s="104">
        <v>10</v>
      </c>
      <c r="K136" s="104"/>
      <c r="L136" s="104">
        <v>21</v>
      </c>
      <c r="M136" s="104"/>
      <c r="N136" s="22"/>
      <c r="O136" s="22"/>
      <c r="P136" s="22"/>
      <c r="Q136" s="22"/>
      <c r="R136" s="22"/>
    </row>
    <row r="137" spans="1:19" s="45" customFormat="1">
      <c r="A137" s="33" t="s">
        <v>1754</v>
      </c>
      <c r="B137" s="26">
        <v>741636.06963768112</v>
      </c>
      <c r="C137" s="137">
        <v>583240</v>
      </c>
      <c r="D137" s="51">
        <v>147031.06963768118</v>
      </c>
      <c r="E137" s="44"/>
      <c r="F137" s="44"/>
      <c r="G137" s="44"/>
      <c r="H137" s="44"/>
      <c r="I137" s="44"/>
      <c r="J137" s="44">
        <v>11050</v>
      </c>
      <c r="K137" s="44"/>
      <c r="L137" s="44">
        <v>315</v>
      </c>
      <c r="M137" s="104"/>
    </row>
    <row r="138" spans="1:19" s="25" customFormat="1">
      <c r="A138" s="34" t="s">
        <v>295</v>
      </c>
      <c r="B138" s="26">
        <v>119253</v>
      </c>
      <c r="C138" s="138"/>
      <c r="D138" s="29"/>
      <c r="E138" s="103">
        <v>9</v>
      </c>
      <c r="F138" s="103">
        <v>8</v>
      </c>
      <c r="G138" s="103">
        <v>7</v>
      </c>
      <c r="H138" s="103">
        <v>13</v>
      </c>
      <c r="I138" s="103">
        <v>18</v>
      </c>
      <c r="J138" s="24">
        <v>10</v>
      </c>
      <c r="K138" s="24">
        <v>10</v>
      </c>
      <c r="L138" s="24"/>
      <c r="M138" s="136"/>
    </row>
    <row r="139" spans="1:19" s="28" customFormat="1">
      <c r="A139" s="35" t="s">
        <v>2990</v>
      </c>
      <c r="B139" s="29"/>
      <c r="C139" s="138"/>
      <c r="D139" s="29">
        <v>9</v>
      </c>
      <c r="E139" s="102">
        <v>9</v>
      </c>
      <c r="F139" s="27">
        <v>8</v>
      </c>
      <c r="G139" s="27">
        <v>7</v>
      </c>
      <c r="H139" s="27">
        <v>13</v>
      </c>
      <c r="I139" s="27">
        <v>18</v>
      </c>
      <c r="J139" s="27">
        <v>20</v>
      </c>
      <c r="K139" s="27">
        <v>10</v>
      </c>
      <c r="L139" s="27">
        <v>21</v>
      </c>
      <c r="M139" s="102"/>
    </row>
    <row r="140" spans="1:19" s="28" customFormat="1">
      <c r="A140" s="35" t="s">
        <v>2989</v>
      </c>
      <c r="B140" s="26">
        <v>130618</v>
      </c>
      <c r="C140" s="138"/>
      <c r="D140" s="29"/>
      <c r="E140" s="96">
        <v>24414</v>
      </c>
      <c r="F140" s="27">
        <v>19307</v>
      </c>
      <c r="G140" s="27">
        <v>7136</v>
      </c>
      <c r="H140" s="27">
        <v>27097</v>
      </c>
      <c r="I140" s="27">
        <v>4155</v>
      </c>
      <c r="J140" s="27">
        <v>25414</v>
      </c>
      <c r="K140" s="27">
        <v>22780</v>
      </c>
      <c r="L140" s="27">
        <v>315</v>
      </c>
      <c r="M140" s="102"/>
      <c r="Q140" s="19" t="s">
        <v>1511</v>
      </c>
      <c r="R140" s="22">
        <v>130618</v>
      </c>
    </row>
    <row r="141" spans="1:19" s="31" customFormat="1">
      <c r="A141" s="33" t="s">
        <v>1756</v>
      </c>
      <c r="B141" s="29"/>
      <c r="C141" s="138">
        <v>78.004499999999993</v>
      </c>
      <c r="D141" s="49">
        <f>主機!G73</f>
        <v>2319.5089850456939</v>
      </c>
      <c r="E141" s="100"/>
      <c r="F141" s="100"/>
      <c r="G141" s="99"/>
      <c r="H141" s="100"/>
      <c r="I141" s="100"/>
      <c r="J141" s="30">
        <v>1105</v>
      </c>
      <c r="K141" s="30"/>
      <c r="L141" s="30">
        <v>15</v>
      </c>
      <c r="M141" s="138"/>
    </row>
    <row r="142" spans="1:19" s="31" customFormat="1">
      <c r="A142" s="33" t="s">
        <v>1757</v>
      </c>
      <c r="B142" s="29"/>
      <c r="C142" s="138">
        <v>7477</v>
      </c>
      <c r="D142" s="29">
        <f>主機!C73</f>
        <v>46</v>
      </c>
      <c r="E142" s="104">
        <v>0</v>
      </c>
      <c r="F142" s="104">
        <v>0</v>
      </c>
      <c r="G142" s="104">
        <v>0</v>
      </c>
      <c r="H142" s="104">
        <v>0</v>
      </c>
      <c r="I142" s="104">
        <v>0</v>
      </c>
      <c r="J142" s="104">
        <v>0</v>
      </c>
      <c r="K142" s="104">
        <v>0</v>
      </c>
      <c r="L142" s="104">
        <v>0</v>
      </c>
      <c r="M142" s="104">
        <v>0</v>
      </c>
    </row>
    <row r="143" spans="1:19" s="45" customFormat="1">
      <c r="A143" s="33" t="s">
        <v>1758</v>
      </c>
      <c r="B143" s="26">
        <f>C143+D143</f>
        <v>689937.41331210197</v>
      </c>
      <c r="C143" s="137">
        <v>583240</v>
      </c>
      <c r="D143" s="51">
        <f>D141*D142</f>
        <v>106697.41331210191</v>
      </c>
      <c r="E143" s="44"/>
      <c r="F143" s="44"/>
      <c r="G143" s="44"/>
      <c r="H143" s="44"/>
      <c r="I143" s="44"/>
      <c r="J143" s="44"/>
      <c r="K143" s="44"/>
      <c r="L143" s="44"/>
      <c r="M143" s="104"/>
      <c r="Q143" s="19" t="s">
        <v>1510</v>
      </c>
      <c r="R143" s="22">
        <v>0</v>
      </c>
    </row>
    <row r="144" spans="1:19">
      <c r="A144" s="17"/>
      <c r="B144" s="23"/>
      <c r="D144" s="23"/>
      <c r="E144" s="19"/>
      <c r="F144" s="19"/>
      <c r="G144" s="19"/>
      <c r="O144" s="19"/>
    </row>
    <row r="145" spans="1:18" s="13" customFormat="1">
      <c r="A145" s="931" t="s">
        <v>343</v>
      </c>
      <c r="B145" s="931"/>
      <c r="C145" s="931"/>
      <c r="D145" s="931"/>
      <c r="E145" s="931"/>
      <c r="F145" s="931"/>
      <c r="G145" s="931"/>
      <c r="H145" s="931"/>
      <c r="I145" s="931"/>
      <c r="J145" s="931"/>
      <c r="K145" s="931"/>
      <c r="L145" s="931"/>
      <c r="M145" s="931"/>
      <c r="N145" s="931"/>
      <c r="O145" s="931"/>
      <c r="P145" s="931"/>
      <c r="Q145" s="931"/>
      <c r="R145" s="931"/>
    </row>
    <row r="146" spans="1:18">
      <c r="A146" s="17"/>
      <c r="B146" s="18" t="s">
        <v>3802</v>
      </c>
      <c r="C146" s="136" t="s">
        <v>3399</v>
      </c>
      <c r="D146" s="46" t="s">
        <v>3803</v>
      </c>
      <c r="E146" s="39" t="s">
        <v>282</v>
      </c>
      <c r="F146" s="40" t="s">
        <v>287</v>
      </c>
      <c r="G146" s="39" t="s">
        <v>283</v>
      </c>
      <c r="H146" s="39" t="s">
        <v>284</v>
      </c>
      <c r="I146" s="39" t="s">
        <v>2425</v>
      </c>
      <c r="J146" s="37" t="s">
        <v>918</v>
      </c>
      <c r="K146" s="37" t="s">
        <v>3827</v>
      </c>
      <c r="L146" s="37" t="s">
        <v>290</v>
      </c>
      <c r="M146" s="150" t="s">
        <v>2642</v>
      </c>
      <c r="N146" s="22"/>
      <c r="O146" s="22"/>
      <c r="P146" s="22"/>
      <c r="Q146" s="22"/>
      <c r="R146" s="22"/>
    </row>
    <row r="147" spans="1:18">
      <c r="A147" s="33" t="s">
        <v>1752</v>
      </c>
      <c r="B147" s="18"/>
      <c r="C147" s="138">
        <v>78.004499999999993</v>
      </c>
      <c r="D147" s="49">
        <v>2416.5</v>
      </c>
      <c r="E147" s="100"/>
      <c r="F147" s="100">
        <v>1861.2850000000001</v>
      </c>
      <c r="G147" s="99"/>
      <c r="H147" s="100"/>
      <c r="I147" s="100"/>
      <c r="J147" s="30">
        <v>926.14634146341461</v>
      </c>
      <c r="K147" s="30"/>
      <c r="L147" s="30">
        <v>15</v>
      </c>
      <c r="M147" s="138"/>
      <c r="N147" s="22"/>
      <c r="O147" s="22"/>
      <c r="P147" s="22"/>
      <c r="Q147" s="22"/>
      <c r="R147" s="22"/>
    </row>
    <row r="148" spans="1:18">
      <c r="A148" s="33" t="s">
        <v>1753</v>
      </c>
      <c r="B148" s="18"/>
      <c r="C148" s="138">
        <v>7477</v>
      </c>
      <c r="D148" s="29">
        <v>68</v>
      </c>
      <c r="E148" s="104"/>
      <c r="F148" s="104">
        <v>23</v>
      </c>
      <c r="G148" s="104"/>
      <c r="H148" s="104"/>
      <c r="I148" s="104"/>
      <c r="J148" s="104">
        <v>41</v>
      </c>
      <c r="K148" s="104"/>
      <c r="L148" s="104">
        <v>171</v>
      </c>
      <c r="M148" s="104"/>
      <c r="N148" s="22"/>
      <c r="O148" s="22"/>
      <c r="P148" s="22"/>
      <c r="Q148" s="22"/>
      <c r="R148" s="22"/>
    </row>
    <row r="149" spans="1:18" s="45" customFormat="1">
      <c r="A149" s="33" t="s">
        <v>1754</v>
      </c>
      <c r="B149" s="26">
        <f>SUM(C149:L149)</f>
        <v>830908.55500000005</v>
      </c>
      <c r="C149" s="137">
        <v>583240</v>
      </c>
      <c r="D149" s="51">
        <v>164322</v>
      </c>
      <c r="E149" s="44"/>
      <c r="F149" s="44">
        <v>42809.555</v>
      </c>
      <c r="G149" s="44"/>
      <c r="H149" s="44"/>
      <c r="I149" s="44"/>
      <c r="J149" s="44">
        <v>37972</v>
      </c>
      <c r="K149" s="44"/>
      <c r="L149" s="44">
        <v>2565</v>
      </c>
      <c r="M149" s="104"/>
    </row>
    <row r="150" spans="1:18" s="25" customFormat="1">
      <c r="A150" s="34" t="s">
        <v>295</v>
      </c>
      <c r="B150" s="26" t="e">
        <f>#REF!</f>
        <v>#REF!</v>
      </c>
      <c r="C150" s="138"/>
      <c r="D150" s="29"/>
      <c r="E150" s="103">
        <v>32</v>
      </c>
      <c r="F150" s="103">
        <v>32</v>
      </c>
      <c r="G150" s="103">
        <v>36</v>
      </c>
      <c r="H150" s="103">
        <v>46</v>
      </c>
      <c r="I150" s="103">
        <v>65</v>
      </c>
      <c r="J150" s="24">
        <v>40</v>
      </c>
      <c r="K150" s="24">
        <v>33</v>
      </c>
      <c r="L150" s="24"/>
      <c r="M150" s="136"/>
    </row>
    <row r="151" spans="1:18" s="28" customFormat="1">
      <c r="A151" s="35" t="s">
        <v>2990</v>
      </c>
      <c r="B151" s="29"/>
      <c r="C151" s="138"/>
      <c r="D151" s="29">
        <v>32</v>
      </c>
      <c r="E151" s="102">
        <v>32</v>
      </c>
      <c r="F151" s="27">
        <v>55</v>
      </c>
      <c r="G151" s="27">
        <v>36</v>
      </c>
      <c r="H151" s="27">
        <v>46</v>
      </c>
      <c r="I151" s="27">
        <v>65</v>
      </c>
      <c r="J151" s="27">
        <v>71</v>
      </c>
      <c r="K151" s="27">
        <v>33</v>
      </c>
      <c r="L151" s="27">
        <v>150</v>
      </c>
      <c r="M151" s="102"/>
    </row>
    <row r="152" spans="1:18" s="28" customFormat="1">
      <c r="A152" s="35" t="s">
        <v>2989</v>
      </c>
      <c r="B152" s="26">
        <f>SUM(C152:M152)</f>
        <v>432451</v>
      </c>
      <c r="C152" s="138"/>
      <c r="D152" s="29"/>
      <c r="E152" s="96">
        <v>68700</v>
      </c>
      <c r="F152" s="27">
        <v>101610</v>
      </c>
      <c r="G152" s="27">
        <v>22035</v>
      </c>
      <c r="H152" s="27">
        <v>70090</v>
      </c>
      <c r="I152" s="27">
        <v>11894</v>
      </c>
      <c r="J152" s="27">
        <v>79972</v>
      </c>
      <c r="K152" s="27">
        <v>75900</v>
      </c>
      <c r="L152" s="27">
        <f>L151*L147</f>
        <v>2250</v>
      </c>
      <c r="M152" s="102"/>
      <c r="Q152" s="19" t="s">
        <v>1511</v>
      </c>
      <c r="R152" s="22">
        <f>SUM(E152:M152)</f>
        <v>432451</v>
      </c>
    </row>
    <row r="153" spans="1:18" s="31" customFormat="1">
      <c r="A153" s="33" t="s">
        <v>1756</v>
      </c>
      <c r="B153" s="29"/>
      <c r="C153" s="138">
        <v>78.004499999999993</v>
      </c>
      <c r="D153" s="49">
        <f>主機!G79</f>
        <v>2262.0164559643258</v>
      </c>
      <c r="E153" s="100"/>
      <c r="F153" s="100"/>
      <c r="G153" s="99"/>
      <c r="H153" s="100"/>
      <c r="I153" s="100"/>
      <c r="J153" s="30">
        <v>1105</v>
      </c>
      <c r="K153" s="30"/>
      <c r="L153" s="30">
        <v>15</v>
      </c>
      <c r="M153" s="138"/>
    </row>
    <row r="154" spans="1:18" s="31" customFormat="1">
      <c r="A154" s="33" t="s">
        <v>1757</v>
      </c>
      <c r="B154" s="29"/>
      <c r="C154" s="138">
        <v>7477</v>
      </c>
      <c r="D154" s="29">
        <f>主機!C79</f>
        <v>65</v>
      </c>
      <c r="E154" s="104">
        <f>E148+E150-E151</f>
        <v>0</v>
      </c>
      <c r="F154" s="104">
        <f t="shared" ref="F154:M154" si="12">F148+F150-F151</f>
        <v>0</v>
      </c>
      <c r="G154" s="104">
        <f t="shared" si="12"/>
        <v>0</v>
      </c>
      <c r="H154" s="104">
        <f t="shared" si="12"/>
        <v>0</v>
      </c>
      <c r="I154" s="104">
        <f t="shared" si="12"/>
        <v>0</v>
      </c>
      <c r="J154" s="104">
        <f t="shared" si="12"/>
        <v>10</v>
      </c>
      <c r="K154" s="104">
        <f t="shared" si="12"/>
        <v>0</v>
      </c>
      <c r="L154" s="104">
        <f t="shared" si="12"/>
        <v>21</v>
      </c>
      <c r="M154" s="104">
        <f t="shared" si="12"/>
        <v>0</v>
      </c>
    </row>
    <row r="155" spans="1:18" s="45" customFormat="1">
      <c r="A155" s="33" t="s">
        <v>1758</v>
      </c>
      <c r="B155" s="26">
        <f>SUM(C155:L155)</f>
        <v>741636.06963768112</v>
      </c>
      <c r="C155" s="137">
        <v>583240</v>
      </c>
      <c r="D155" s="51">
        <f>D153*D154</f>
        <v>147031.06963768118</v>
      </c>
      <c r="E155" s="44"/>
      <c r="F155" s="44"/>
      <c r="G155" s="44"/>
      <c r="H155" s="44"/>
      <c r="I155" s="44"/>
      <c r="J155" s="44">
        <f>J154*J153</f>
        <v>11050</v>
      </c>
      <c r="K155" s="44"/>
      <c r="L155" s="44">
        <f>L154*L153</f>
        <v>315</v>
      </c>
      <c r="M155" s="104"/>
      <c r="Q155" s="19" t="s">
        <v>1510</v>
      </c>
      <c r="R155" s="22">
        <f>SUM(E155:M155)</f>
        <v>11365</v>
      </c>
    </row>
    <row r="156" spans="1:18">
      <c r="A156" s="17"/>
      <c r="B156" s="23"/>
      <c r="D156" s="23"/>
      <c r="E156" s="19"/>
      <c r="F156" s="19"/>
      <c r="G156" s="19"/>
      <c r="O156" s="19"/>
    </row>
    <row r="157" spans="1:18" s="13" customFormat="1">
      <c r="A157" s="936" t="s">
        <v>3826</v>
      </c>
      <c r="B157" s="936"/>
      <c r="C157" s="936"/>
      <c r="D157" s="936"/>
      <c r="E157" s="936"/>
      <c r="F157" s="936"/>
      <c r="G157" s="936"/>
      <c r="H157" s="936"/>
      <c r="I157" s="936"/>
      <c r="J157" s="936"/>
      <c r="K157" s="936"/>
      <c r="L157" s="936"/>
      <c r="M157" s="936"/>
      <c r="N157" s="936"/>
      <c r="O157" s="936"/>
      <c r="P157" s="936"/>
      <c r="Q157" s="936"/>
      <c r="R157" s="936"/>
    </row>
    <row r="158" spans="1:18">
      <c r="A158" s="17"/>
      <c r="B158" s="18" t="s">
        <v>3802</v>
      </c>
      <c r="C158" s="136" t="s">
        <v>3399</v>
      </c>
      <c r="D158" s="46" t="s">
        <v>3803</v>
      </c>
      <c r="E158" s="39" t="s">
        <v>282</v>
      </c>
      <c r="F158" s="40" t="s">
        <v>287</v>
      </c>
      <c r="G158" s="39" t="s">
        <v>283</v>
      </c>
      <c r="H158" s="39" t="s">
        <v>284</v>
      </c>
      <c r="I158" s="39" t="s">
        <v>288</v>
      </c>
      <c r="J158" s="37" t="s">
        <v>291</v>
      </c>
      <c r="K158" s="37" t="s">
        <v>3827</v>
      </c>
      <c r="L158" s="37" t="s">
        <v>290</v>
      </c>
      <c r="M158" s="150" t="s">
        <v>2642</v>
      </c>
      <c r="N158" s="22"/>
      <c r="O158" s="22"/>
      <c r="P158" s="22"/>
      <c r="Q158" s="22"/>
      <c r="R158" s="22"/>
    </row>
    <row r="159" spans="1:18">
      <c r="A159" s="33" t="s">
        <v>1752</v>
      </c>
      <c r="B159" s="18"/>
      <c r="C159" s="18">
        <v>78.004499999999993</v>
      </c>
      <c r="D159" s="18">
        <v>3231.8865292817641</v>
      </c>
      <c r="E159" s="18"/>
      <c r="F159" s="18">
        <v>1861.2850000000001</v>
      </c>
      <c r="G159" s="18"/>
      <c r="H159" s="18"/>
      <c r="I159" s="18"/>
      <c r="J159" s="18">
        <v>850</v>
      </c>
      <c r="K159" s="18"/>
      <c r="L159" s="18">
        <v>15</v>
      </c>
      <c r="N159" s="22"/>
      <c r="O159" s="22"/>
      <c r="P159" s="22"/>
      <c r="Q159" s="22"/>
      <c r="R159" s="22"/>
    </row>
    <row r="160" spans="1:18">
      <c r="A160" s="33" t="s">
        <v>1753</v>
      </c>
      <c r="B160" s="18"/>
      <c r="C160" s="18">
        <v>7477</v>
      </c>
      <c r="D160" s="18">
        <v>126</v>
      </c>
      <c r="E160" s="18"/>
      <c r="F160" s="18">
        <v>42</v>
      </c>
      <c r="G160" s="18"/>
      <c r="H160" s="18"/>
      <c r="I160" s="18"/>
      <c r="J160" s="18">
        <v>38</v>
      </c>
      <c r="K160" s="18"/>
      <c r="L160" s="18">
        <v>361</v>
      </c>
      <c r="N160" s="22"/>
      <c r="O160" s="22"/>
      <c r="P160" s="22"/>
      <c r="Q160" s="22"/>
      <c r="R160" s="22"/>
    </row>
    <row r="161" spans="1:18" s="45" customFormat="1">
      <c r="A161" s="33" t="s">
        <v>1754</v>
      </c>
      <c r="B161" s="53">
        <f>B179</f>
        <v>1106346.6726895024</v>
      </c>
      <c r="C161" s="137">
        <v>583240</v>
      </c>
      <c r="D161" s="51">
        <v>407217.70268950227</v>
      </c>
      <c r="E161" s="44"/>
      <c r="F161" s="44">
        <v>78173.97</v>
      </c>
      <c r="G161" s="44"/>
      <c r="H161" s="44"/>
      <c r="I161" s="44"/>
      <c r="J161" s="44">
        <v>32300</v>
      </c>
      <c r="K161" s="44"/>
      <c r="L161" s="44">
        <v>5415</v>
      </c>
    </row>
    <row r="162" spans="1:18" s="25" customFormat="1">
      <c r="A162" s="34" t="s">
        <v>295</v>
      </c>
      <c r="B162" s="26">
        <v>323376</v>
      </c>
      <c r="C162" s="138"/>
      <c r="D162" s="29"/>
      <c r="E162" s="103">
        <v>19</v>
      </c>
      <c r="F162" s="103">
        <v>19</v>
      </c>
      <c r="G162" s="103">
        <v>25</v>
      </c>
      <c r="H162" s="103">
        <v>44</v>
      </c>
      <c r="I162" s="103">
        <v>42</v>
      </c>
      <c r="J162" s="24">
        <v>41</v>
      </c>
      <c r="K162" s="24">
        <v>22</v>
      </c>
      <c r="L162" s="24"/>
      <c r="M162" s="136">
        <v>1</v>
      </c>
    </row>
    <row r="163" spans="1:18" s="28" customFormat="1">
      <c r="A163" s="35" t="s">
        <v>2990</v>
      </c>
      <c r="B163" s="29"/>
      <c r="C163" s="138"/>
      <c r="D163" s="29">
        <v>21</v>
      </c>
      <c r="E163" s="102">
        <v>19</v>
      </c>
      <c r="F163" s="27">
        <v>38</v>
      </c>
      <c r="G163" s="27">
        <v>25</v>
      </c>
      <c r="H163" s="27">
        <v>44</v>
      </c>
      <c r="I163" s="27">
        <v>42</v>
      </c>
      <c r="J163" s="27">
        <v>38</v>
      </c>
      <c r="K163" s="27">
        <v>22</v>
      </c>
      <c r="L163" s="27">
        <v>190</v>
      </c>
      <c r="M163" s="102">
        <v>1</v>
      </c>
    </row>
    <row r="164" spans="1:18" s="28" customFormat="1">
      <c r="A164" s="35" t="s">
        <v>2989</v>
      </c>
      <c r="B164" s="26">
        <f>SUM(C164:M164)</f>
        <v>355918.41500000004</v>
      </c>
      <c r="C164" s="138"/>
      <c r="D164" s="29"/>
      <c r="E164" s="96">
        <v>43320</v>
      </c>
      <c r="F164" s="27">
        <f>42300+19*F159</f>
        <v>77664.415000000008</v>
      </c>
      <c r="G164" s="27">
        <v>48147</v>
      </c>
      <c r="H164" s="27">
        <v>90440</v>
      </c>
      <c r="I164" s="27">
        <v>8760</v>
      </c>
      <c r="J164" s="27">
        <v>32300</v>
      </c>
      <c r="K164" s="27">
        <v>50599</v>
      </c>
      <c r="L164" s="27">
        <f>L163*L159</f>
        <v>2850</v>
      </c>
      <c r="M164" s="102">
        <v>1838</v>
      </c>
    </row>
    <row r="165" spans="1:18" s="31" customFormat="1">
      <c r="A165" s="33" t="s">
        <v>1756</v>
      </c>
      <c r="B165" s="29"/>
      <c r="C165" s="138">
        <v>78.004499999999993</v>
      </c>
      <c r="D165" s="49">
        <v>2416.5</v>
      </c>
      <c r="E165" s="100"/>
      <c r="F165" s="100">
        <v>1861.2850000000001</v>
      </c>
      <c r="G165" s="99"/>
      <c r="H165" s="100"/>
      <c r="I165" s="100"/>
      <c r="J165" s="30">
        <f>J167/J166</f>
        <v>926.14634146341461</v>
      </c>
      <c r="K165" s="30"/>
      <c r="L165" s="30">
        <v>15</v>
      </c>
      <c r="M165" s="138"/>
      <c r="Q165" s="19" t="s">
        <v>1511</v>
      </c>
      <c r="R165" s="22">
        <f>SUM(E164:M164)</f>
        <v>355918.41500000004</v>
      </c>
    </row>
    <row r="166" spans="1:18" s="31" customFormat="1">
      <c r="A166" s="33" t="s">
        <v>1757</v>
      </c>
      <c r="B166" s="29"/>
      <c r="C166" s="138">
        <v>7477</v>
      </c>
      <c r="D166" s="29">
        <v>68</v>
      </c>
      <c r="E166" s="104"/>
      <c r="F166" s="104">
        <f>F160+F162-F163</f>
        <v>23</v>
      </c>
      <c r="G166" s="104"/>
      <c r="H166" s="104"/>
      <c r="I166" s="104"/>
      <c r="J166" s="104">
        <f>J160+J162-J163</f>
        <v>41</v>
      </c>
      <c r="K166" s="104"/>
      <c r="L166" s="104">
        <f>L160+L162-L163</f>
        <v>171</v>
      </c>
      <c r="M166" s="104"/>
      <c r="Q166" s="19" t="s">
        <v>1510</v>
      </c>
      <c r="R166" s="22">
        <f>SUM(E167:M167)</f>
        <v>83346.554999999993</v>
      </c>
    </row>
    <row r="167" spans="1:18" s="45" customFormat="1">
      <c r="A167" s="33" t="s">
        <v>1758</v>
      </c>
      <c r="B167" s="26">
        <f>SUM(C167:L167)</f>
        <v>830908.55500000005</v>
      </c>
      <c r="C167" s="137">
        <v>583240</v>
      </c>
      <c r="D167" s="51">
        <v>164322</v>
      </c>
      <c r="E167" s="44"/>
      <c r="F167" s="44">
        <f>F166*F165</f>
        <v>42809.555</v>
      </c>
      <c r="G167" s="44"/>
      <c r="H167" s="44"/>
      <c r="I167" s="44"/>
      <c r="J167" s="44">
        <v>37972</v>
      </c>
      <c r="K167" s="44"/>
      <c r="L167" s="44">
        <f>L166*L165</f>
        <v>2565</v>
      </c>
      <c r="M167" s="104"/>
    </row>
    <row r="168" spans="1:18">
      <c r="A168" s="17"/>
      <c r="B168" s="23"/>
      <c r="D168" s="23"/>
      <c r="E168" s="19"/>
      <c r="F168" s="19"/>
      <c r="G168" s="19"/>
      <c r="O168" s="19"/>
    </row>
    <row r="169" spans="1:18" s="13" customFormat="1">
      <c r="A169" s="935" t="s">
        <v>838</v>
      </c>
      <c r="B169" s="935"/>
      <c r="C169" s="935"/>
      <c r="D169" s="935"/>
      <c r="E169" s="935"/>
      <c r="F169" s="935"/>
      <c r="G169" s="935"/>
      <c r="H169" s="935"/>
      <c r="I169" s="935"/>
      <c r="J169" s="935"/>
      <c r="K169" s="935"/>
      <c r="L169" s="935"/>
      <c r="M169" s="935"/>
      <c r="N169" s="935"/>
      <c r="O169" s="935"/>
      <c r="P169" s="935"/>
      <c r="Q169" s="935"/>
      <c r="R169" s="935"/>
    </row>
    <row r="170" spans="1:18">
      <c r="A170" s="17" t="s">
        <v>241</v>
      </c>
      <c r="B170" s="18" t="s">
        <v>3802</v>
      </c>
      <c r="C170" s="136" t="s">
        <v>3399</v>
      </c>
      <c r="D170" s="46" t="s">
        <v>3803</v>
      </c>
      <c r="E170" s="39" t="s">
        <v>282</v>
      </c>
      <c r="F170" s="40" t="s">
        <v>287</v>
      </c>
      <c r="G170" s="39" t="s">
        <v>283</v>
      </c>
      <c r="H170" s="39" t="s">
        <v>284</v>
      </c>
      <c r="I170" s="39" t="s">
        <v>288</v>
      </c>
      <c r="J170" s="39" t="s">
        <v>839</v>
      </c>
      <c r="K170" s="37" t="s">
        <v>291</v>
      </c>
      <c r="L170" s="37" t="s">
        <v>289</v>
      </c>
      <c r="M170" s="38" t="s">
        <v>297</v>
      </c>
      <c r="N170" s="37" t="s">
        <v>290</v>
      </c>
      <c r="O170" s="37" t="s">
        <v>292</v>
      </c>
      <c r="P170" s="37" t="s">
        <v>296</v>
      </c>
      <c r="Q170" s="37" t="s">
        <v>293</v>
      </c>
      <c r="R170" s="37" t="s">
        <v>294</v>
      </c>
    </row>
    <row r="171" spans="1:18">
      <c r="A171" s="33" t="s">
        <v>1752</v>
      </c>
      <c r="B171" s="18"/>
      <c r="C171" s="18">
        <f t="shared" ref="C171:D173" si="13">C191</f>
        <v>78.004499999999993</v>
      </c>
      <c r="D171" s="18">
        <f t="shared" si="13"/>
        <v>3613.7941749125907</v>
      </c>
      <c r="E171" s="18"/>
      <c r="F171" s="18">
        <f>F191</f>
        <v>1861.2850000000001</v>
      </c>
      <c r="G171" s="18"/>
      <c r="H171" s="18"/>
      <c r="I171" s="18"/>
      <c r="J171" s="18"/>
      <c r="K171" s="18">
        <f t="shared" ref="K171:L173" si="14">K191</f>
        <v>850</v>
      </c>
      <c r="L171" s="18">
        <f t="shared" si="14"/>
        <v>544.10500000000002</v>
      </c>
      <c r="M171" s="18"/>
      <c r="N171" s="18">
        <f>N191</f>
        <v>15</v>
      </c>
      <c r="O171" s="18"/>
      <c r="P171" s="18">
        <f t="shared" ref="P171:Q173" si="15">P191</f>
        <v>75</v>
      </c>
      <c r="Q171" s="18">
        <f t="shared" si="15"/>
        <v>64</v>
      </c>
      <c r="R171" s="18"/>
    </row>
    <row r="172" spans="1:18">
      <c r="A172" s="33" t="s">
        <v>1753</v>
      </c>
      <c r="B172" s="18"/>
      <c r="C172" s="18">
        <f t="shared" si="13"/>
        <v>7477</v>
      </c>
      <c r="D172" s="18">
        <f t="shared" si="13"/>
        <v>175</v>
      </c>
      <c r="E172" s="18"/>
      <c r="F172" s="18">
        <f>F192</f>
        <v>49</v>
      </c>
      <c r="G172" s="18"/>
      <c r="H172" s="18"/>
      <c r="I172" s="18"/>
      <c r="J172" s="18"/>
      <c r="K172" s="18">
        <f t="shared" si="14"/>
        <v>43</v>
      </c>
      <c r="L172" s="18">
        <f t="shared" si="14"/>
        <v>64</v>
      </c>
      <c r="M172" s="18"/>
      <c r="N172" s="18">
        <f>N192</f>
        <v>437</v>
      </c>
      <c r="O172" s="18"/>
      <c r="P172" s="18">
        <f t="shared" si="15"/>
        <v>20</v>
      </c>
      <c r="Q172" s="18">
        <f t="shared" si="15"/>
        <v>40</v>
      </c>
      <c r="R172" s="18"/>
    </row>
    <row r="173" spans="1:18" s="45" customFormat="1">
      <c r="A173" s="33" t="s">
        <v>1754</v>
      </c>
      <c r="B173" s="53">
        <f>B193</f>
        <v>1388844.6656097034</v>
      </c>
      <c r="C173" s="137">
        <f t="shared" si="13"/>
        <v>583240</v>
      </c>
      <c r="D173" s="51">
        <f t="shared" si="13"/>
        <v>632413.98060970334</v>
      </c>
      <c r="E173" s="44"/>
      <c r="F173" s="44">
        <f>F171*F172</f>
        <v>91202.965000000011</v>
      </c>
      <c r="G173" s="44"/>
      <c r="H173" s="44"/>
      <c r="I173" s="44"/>
      <c r="J173" s="44"/>
      <c r="K173" s="44">
        <f t="shared" si="14"/>
        <v>36550</v>
      </c>
      <c r="L173" s="44">
        <f t="shared" si="14"/>
        <v>34822.720000000001</v>
      </c>
      <c r="M173" s="44"/>
      <c r="N173" s="44">
        <f>N193</f>
        <v>6555</v>
      </c>
      <c r="O173" s="44"/>
      <c r="P173" s="44">
        <f t="shared" si="15"/>
        <v>1500</v>
      </c>
      <c r="Q173" s="44">
        <f t="shared" si="15"/>
        <v>2560</v>
      </c>
      <c r="R173" s="44"/>
    </row>
    <row r="174" spans="1:18" s="25" customFormat="1">
      <c r="A174" s="34" t="s">
        <v>295</v>
      </c>
      <c r="B174" s="26">
        <v>540723</v>
      </c>
      <c r="C174" s="138"/>
      <c r="D174" s="29"/>
      <c r="E174" s="103">
        <v>47</v>
      </c>
      <c r="F174" s="103">
        <v>40</v>
      </c>
      <c r="G174" s="103">
        <v>90</v>
      </c>
      <c r="H174" s="103">
        <v>68</v>
      </c>
      <c r="I174" s="103">
        <v>95</v>
      </c>
      <c r="J174" s="24">
        <v>36</v>
      </c>
      <c r="K174" s="24">
        <v>42</v>
      </c>
      <c r="L174" s="24"/>
      <c r="M174" s="24"/>
      <c r="N174" s="24"/>
      <c r="O174" s="24"/>
      <c r="P174" s="24"/>
      <c r="Q174" s="24"/>
      <c r="R174" s="24"/>
    </row>
    <row r="175" spans="1:18" s="28" customFormat="1">
      <c r="A175" s="35" t="s">
        <v>2990</v>
      </c>
      <c r="B175" s="29"/>
      <c r="C175" s="138"/>
      <c r="D175" s="29">
        <v>47</v>
      </c>
      <c r="E175" s="102">
        <v>47</v>
      </c>
      <c r="F175" s="27">
        <v>47</v>
      </c>
      <c r="G175" s="27">
        <v>90</v>
      </c>
      <c r="H175" s="27">
        <v>68</v>
      </c>
      <c r="I175" s="27">
        <v>95</v>
      </c>
      <c r="J175" s="27">
        <v>36</v>
      </c>
      <c r="K175" s="27">
        <v>47</v>
      </c>
      <c r="L175" s="27">
        <v>64</v>
      </c>
      <c r="M175" s="27"/>
      <c r="N175" s="27">
        <v>76</v>
      </c>
      <c r="O175" s="27"/>
      <c r="P175" s="27">
        <v>20</v>
      </c>
      <c r="Q175" s="27">
        <v>40</v>
      </c>
      <c r="R175" s="27"/>
    </row>
    <row r="176" spans="1:18" s="28" customFormat="1">
      <c r="A176" s="35" t="s">
        <v>2989</v>
      </c>
      <c r="B176" s="26">
        <f>SUM(C176:R176)</f>
        <v>677764.71499999997</v>
      </c>
      <c r="C176" s="138"/>
      <c r="D176" s="29"/>
      <c r="E176" s="96">
        <v>223560</v>
      </c>
      <c r="F176" s="27">
        <f>82432+F173-F179</f>
        <v>95460.995000000024</v>
      </c>
      <c r="G176" s="27">
        <v>128492</v>
      </c>
      <c r="H176" s="27">
        <v>117569</v>
      </c>
      <c r="I176" s="27">
        <v>19158</v>
      </c>
      <c r="J176" s="27">
        <v>19850</v>
      </c>
      <c r="K176" s="27">
        <f>29402+K173-K179</f>
        <v>33652</v>
      </c>
      <c r="L176" s="27">
        <f>L175*L171</f>
        <v>34822.720000000001</v>
      </c>
      <c r="M176" s="27"/>
      <c r="N176" s="27">
        <f>N175*N171</f>
        <v>1140</v>
      </c>
      <c r="O176" s="27"/>
      <c r="P176" s="27">
        <f>P175*P171</f>
        <v>1500</v>
      </c>
      <c r="Q176" s="27">
        <f>Q175*Q171</f>
        <v>2560</v>
      </c>
      <c r="R176" s="27"/>
    </row>
    <row r="177" spans="1:19" s="31" customFormat="1">
      <c r="A177" s="33" t="s">
        <v>1756</v>
      </c>
      <c r="B177" s="29"/>
      <c r="C177" s="138">
        <v>78.004499999999993</v>
      </c>
      <c r="D177" s="49">
        <f>D179/D178</f>
        <v>3231.8865292817641</v>
      </c>
      <c r="E177" s="100"/>
      <c r="F177" s="100">
        <v>1861.2850000000001</v>
      </c>
      <c r="G177" s="99"/>
      <c r="H177" s="100"/>
      <c r="I177" s="100"/>
      <c r="J177" s="30"/>
      <c r="K177" s="30">
        <v>850</v>
      </c>
      <c r="L177" s="30">
        <v>544.10500000000002</v>
      </c>
      <c r="M177" s="30"/>
      <c r="N177" s="30">
        <v>15</v>
      </c>
      <c r="O177" s="30"/>
      <c r="P177" s="30">
        <v>75</v>
      </c>
      <c r="Q177" s="30">
        <v>64</v>
      </c>
      <c r="R177" s="30"/>
    </row>
    <row r="178" spans="1:19" s="31" customFormat="1">
      <c r="A178" s="33" t="s">
        <v>1757</v>
      </c>
      <c r="B178" s="29"/>
      <c r="C178" s="138">
        <v>7477</v>
      </c>
      <c r="D178" s="29">
        <v>126</v>
      </c>
      <c r="E178" s="104">
        <f>E172+E174-E175</f>
        <v>0</v>
      </c>
      <c r="F178" s="104">
        <f>F172+F174-F175</f>
        <v>42</v>
      </c>
      <c r="G178" s="104">
        <f t="shared" ref="G178:L178" si="16">G172+G174-G175</f>
        <v>0</v>
      </c>
      <c r="H178" s="104">
        <f t="shared" si="16"/>
        <v>0</v>
      </c>
      <c r="I178" s="104">
        <f t="shared" si="16"/>
        <v>0</v>
      </c>
      <c r="J178" s="104">
        <f t="shared" si="16"/>
        <v>0</v>
      </c>
      <c r="K178" s="104">
        <f t="shared" si="16"/>
        <v>38</v>
      </c>
      <c r="L178" s="104">
        <f t="shared" si="16"/>
        <v>0</v>
      </c>
      <c r="M178" s="104"/>
      <c r="N178" s="104">
        <f>N172+N174-N175</f>
        <v>361</v>
      </c>
      <c r="O178" s="104"/>
      <c r="P178" s="104">
        <f>P172+P174-P175</f>
        <v>0</v>
      </c>
      <c r="Q178" s="104">
        <f>Q172+Q174-Q175</f>
        <v>0</v>
      </c>
      <c r="R178" s="104"/>
    </row>
    <row r="179" spans="1:19" s="45" customFormat="1">
      <c r="A179" s="33" t="s">
        <v>1758</v>
      </c>
      <c r="B179" s="26">
        <f>SUM(C179:R179)</f>
        <v>1106346.6726895024</v>
      </c>
      <c r="C179" s="137">
        <v>583240</v>
      </c>
      <c r="D179" s="51">
        <f>主機!E91</f>
        <v>407217.70268950227</v>
      </c>
      <c r="E179" s="44">
        <f>E178*E177</f>
        <v>0</v>
      </c>
      <c r="F179" s="44">
        <f>F178*F177</f>
        <v>78173.97</v>
      </c>
      <c r="G179" s="44">
        <f t="shared" ref="G179:R179" si="17">G178*G177</f>
        <v>0</v>
      </c>
      <c r="H179" s="44">
        <f t="shared" si="17"/>
        <v>0</v>
      </c>
      <c r="I179" s="44">
        <f t="shared" si="17"/>
        <v>0</v>
      </c>
      <c r="J179" s="44">
        <f t="shared" si="17"/>
        <v>0</v>
      </c>
      <c r="K179" s="44">
        <f t="shared" si="17"/>
        <v>32300</v>
      </c>
      <c r="L179" s="44">
        <f t="shared" si="17"/>
        <v>0</v>
      </c>
      <c r="M179" s="44">
        <f t="shared" si="17"/>
        <v>0</v>
      </c>
      <c r="N179" s="44">
        <f t="shared" si="17"/>
        <v>5415</v>
      </c>
      <c r="O179" s="44">
        <f t="shared" si="17"/>
        <v>0</v>
      </c>
      <c r="P179" s="44">
        <f t="shared" si="17"/>
        <v>0</v>
      </c>
      <c r="Q179" s="44">
        <f t="shared" si="17"/>
        <v>0</v>
      </c>
      <c r="R179" s="44">
        <f t="shared" si="17"/>
        <v>0</v>
      </c>
    </row>
    <row r="180" spans="1:19">
      <c r="A180" s="22"/>
      <c r="B180" s="59"/>
      <c r="D180" s="29"/>
      <c r="E180" s="19"/>
      <c r="F180" s="19"/>
      <c r="G180" s="19"/>
      <c r="H180" s="19"/>
      <c r="I180" s="19" t="s">
        <v>1511</v>
      </c>
      <c r="J180" s="22">
        <f>SUM(E176:J176)</f>
        <v>604089.995</v>
      </c>
      <c r="Q180" s="19" t="s">
        <v>1512</v>
      </c>
      <c r="R180" s="21">
        <f>SUM(K176:R176)</f>
        <v>73674.720000000001</v>
      </c>
      <c r="S180" s="22">
        <f>J180+R180</f>
        <v>677764.71499999997</v>
      </c>
    </row>
    <row r="181" spans="1:19">
      <c r="A181" s="17"/>
      <c r="B181" s="23"/>
      <c r="C181" s="21">
        <f>C178*C177</f>
        <v>583239.64649999992</v>
      </c>
      <c r="D181" s="23">
        <f>583240/78.0003</f>
        <v>7477.4071381776739</v>
      </c>
      <c r="E181" s="19"/>
      <c r="F181" s="19"/>
      <c r="G181" s="19"/>
      <c r="H181" s="19"/>
      <c r="I181" s="19" t="s">
        <v>1510</v>
      </c>
      <c r="J181" s="22">
        <f>SUM(E179:J179)</f>
        <v>78173.97</v>
      </c>
      <c r="Q181" s="19" t="s">
        <v>1513</v>
      </c>
      <c r="R181" s="21">
        <f>SUM(K179:R179)</f>
        <v>37715</v>
      </c>
    </row>
    <row r="182" spans="1:19">
      <c r="A182" s="17"/>
      <c r="B182" s="23"/>
      <c r="D182" s="23"/>
      <c r="E182" s="19"/>
      <c r="F182" s="19"/>
      <c r="G182" s="19"/>
      <c r="H182" s="19"/>
      <c r="I182" s="19"/>
    </row>
    <row r="183" spans="1:19" s="13" customFormat="1">
      <c r="A183" s="934" t="s">
        <v>3397</v>
      </c>
      <c r="B183" s="934"/>
      <c r="C183" s="934"/>
      <c r="D183" s="934"/>
      <c r="E183" s="934"/>
      <c r="F183" s="934"/>
      <c r="G183" s="934"/>
      <c r="H183" s="934"/>
      <c r="I183" s="934"/>
      <c r="J183" s="934"/>
      <c r="K183" s="934"/>
      <c r="L183" s="934"/>
      <c r="M183" s="934"/>
      <c r="N183" s="934"/>
      <c r="O183" s="934"/>
      <c r="P183" s="934"/>
      <c r="Q183" s="934"/>
      <c r="R183" s="934"/>
    </row>
    <row r="184" spans="1:19">
      <c r="A184" s="17" t="s">
        <v>280</v>
      </c>
      <c r="B184" s="18" t="s">
        <v>3802</v>
      </c>
      <c r="C184" s="136" t="s">
        <v>3399</v>
      </c>
      <c r="D184" s="46" t="s">
        <v>3803</v>
      </c>
      <c r="E184" s="39" t="s">
        <v>282</v>
      </c>
      <c r="F184" s="40" t="s">
        <v>287</v>
      </c>
      <c r="G184" s="39" t="s">
        <v>283</v>
      </c>
      <c r="H184" s="39" t="s">
        <v>284</v>
      </c>
      <c r="I184" s="39" t="s">
        <v>288</v>
      </c>
      <c r="J184" s="39" t="s">
        <v>1751</v>
      </c>
      <c r="K184" s="37" t="s">
        <v>291</v>
      </c>
      <c r="L184" s="37" t="s">
        <v>289</v>
      </c>
      <c r="M184" s="38" t="s">
        <v>297</v>
      </c>
      <c r="N184" s="37" t="s">
        <v>290</v>
      </c>
      <c r="O184" s="37" t="s">
        <v>292</v>
      </c>
      <c r="P184" s="37" t="s">
        <v>296</v>
      </c>
      <c r="Q184" s="37" t="s">
        <v>293</v>
      </c>
      <c r="R184" s="37" t="s">
        <v>294</v>
      </c>
    </row>
    <row r="185" spans="1:19">
      <c r="A185" s="33" t="s">
        <v>1752</v>
      </c>
      <c r="B185" s="18"/>
      <c r="C185" s="18">
        <f t="shared" ref="B185:D187" si="18">C205</f>
        <v>78.004499999999993</v>
      </c>
      <c r="D185" s="18">
        <f t="shared" si="18"/>
        <v>4798.8814806212549</v>
      </c>
      <c r="E185" s="18"/>
      <c r="F185" s="18"/>
      <c r="G185" s="18"/>
      <c r="H185" s="18"/>
      <c r="I185" s="18"/>
      <c r="J185" s="18"/>
      <c r="K185" s="18">
        <f t="shared" ref="K185:L187" si="19">K205</f>
        <v>850</v>
      </c>
      <c r="L185" s="18">
        <f t="shared" si="19"/>
        <v>544.10500000000002</v>
      </c>
      <c r="M185" s="18"/>
      <c r="N185" s="18">
        <f t="shared" ref="N185:R187" si="20">N205</f>
        <v>15</v>
      </c>
      <c r="O185" s="18">
        <f t="shared" si="20"/>
        <v>367</v>
      </c>
      <c r="P185" s="18">
        <f t="shared" si="20"/>
        <v>75</v>
      </c>
      <c r="Q185" s="18">
        <f t="shared" si="20"/>
        <v>64</v>
      </c>
      <c r="R185" s="18">
        <f t="shared" si="20"/>
        <v>135</v>
      </c>
    </row>
    <row r="186" spans="1:19">
      <c r="A186" s="33" t="s">
        <v>1753</v>
      </c>
      <c r="B186" s="18"/>
      <c r="C186" s="18">
        <f t="shared" si="18"/>
        <v>7477</v>
      </c>
      <c r="D186" s="18">
        <f t="shared" si="18"/>
        <v>195</v>
      </c>
      <c r="E186" s="18"/>
      <c r="F186" s="18"/>
      <c r="G186" s="18"/>
      <c r="H186" s="18"/>
      <c r="I186" s="18"/>
      <c r="J186" s="18"/>
      <c r="K186" s="18">
        <f t="shared" si="19"/>
        <v>106</v>
      </c>
      <c r="L186" s="18">
        <f t="shared" si="19"/>
        <v>190</v>
      </c>
      <c r="M186" s="18"/>
      <c r="N186" s="18">
        <f t="shared" si="20"/>
        <v>563</v>
      </c>
      <c r="O186" s="18">
        <f t="shared" si="20"/>
        <v>43</v>
      </c>
      <c r="P186" s="18">
        <f t="shared" si="20"/>
        <v>83</v>
      </c>
      <c r="Q186" s="18">
        <f t="shared" si="20"/>
        <v>166</v>
      </c>
      <c r="R186" s="18">
        <f t="shared" si="20"/>
        <v>23</v>
      </c>
    </row>
    <row r="187" spans="1:19" s="45" customFormat="1">
      <c r="A187" s="33" t="s">
        <v>1754</v>
      </c>
      <c r="B187" s="53">
        <f t="shared" si="18"/>
        <v>1756681.8387211447</v>
      </c>
      <c r="C187" s="137">
        <f t="shared" si="18"/>
        <v>583240</v>
      </c>
      <c r="D187" s="51">
        <f t="shared" si="18"/>
        <v>935781.88872114476</v>
      </c>
      <c r="E187" s="44"/>
      <c r="F187" s="44"/>
      <c r="G187" s="44"/>
      <c r="H187" s="44"/>
      <c r="I187" s="44"/>
      <c r="J187" s="44"/>
      <c r="K187" s="44">
        <f t="shared" si="19"/>
        <v>90100</v>
      </c>
      <c r="L187" s="44">
        <f t="shared" si="19"/>
        <v>103379.95</v>
      </c>
      <c r="M187" s="44"/>
      <c r="N187" s="44">
        <f t="shared" si="20"/>
        <v>8445</v>
      </c>
      <c r="O187" s="44">
        <f t="shared" si="20"/>
        <v>15781</v>
      </c>
      <c r="P187" s="44">
        <f t="shared" si="20"/>
        <v>6225</v>
      </c>
      <c r="Q187" s="44">
        <f t="shared" si="20"/>
        <v>10624</v>
      </c>
      <c r="R187" s="44">
        <f t="shared" si="20"/>
        <v>3105</v>
      </c>
    </row>
    <row r="188" spans="1:19" s="25" customFormat="1">
      <c r="A188" s="34" t="s">
        <v>295</v>
      </c>
      <c r="B188" s="26">
        <v>651166</v>
      </c>
      <c r="C188" s="138"/>
      <c r="D188" s="29"/>
      <c r="E188" s="103">
        <v>63</v>
      </c>
      <c r="F188" s="103">
        <v>112</v>
      </c>
      <c r="G188" s="103">
        <v>69</v>
      </c>
      <c r="H188" s="103">
        <v>66</v>
      </c>
      <c r="I188" s="103">
        <v>117</v>
      </c>
      <c r="J188" s="24"/>
      <c r="K188" s="24"/>
      <c r="L188" s="24"/>
      <c r="M188" s="24"/>
      <c r="N188" s="24"/>
      <c r="O188" s="24"/>
      <c r="P188" s="24"/>
      <c r="Q188" s="24"/>
      <c r="R188" s="24"/>
    </row>
    <row r="189" spans="1:19" s="28" customFormat="1">
      <c r="A189" s="35" t="s">
        <v>2990</v>
      </c>
      <c r="B189" s="29"/>
      <c r="C189" s="138"/>
      <c r="D189" s="29"/>
      <c r="E189" s="102">
        <v>63</v>
      </c>
      <c r="F189" s="27">
        <v>63</v>
      </c>
      <c r="G189" s="27">
        <v>69</v>
      </c>
      <c r="H189" s="27">
        <v>66</v>
      </c>
      <c r="I189" s="27">
        <v>117</v>
      </c>
      <c r="J189" s="27"/>
      <c r="K189" s="27">
        <v>63</v>
      </c>
      <c r="L189" s="27">
        <v>126</v>
      </c>
      <c r="M189" s="27"/>
      <c r="N189" s="27">
        <v>126</v>
      </c>
      <c r="O189" s="27">
        <v>43</v>
      </c>
      <c r="P189" s="27">
        <v>63</v>
      </c>
      <c r="Q189" s="27">
        <v>126</v>
      </c>
      <c r="R189" s="27">
        <v>23</v>
      </c>
    </row>
    <row r="190" spans="1:19" s="28" customFormat="1">
      <c r="A190" s="35" t="s">
        <v>2989</v>
      </c>
      <c r="B190" s="26" t="e">
        <f>SUM(C190:R190)</f>
        <v>#REF!</v>
      </c>
      <c r="C190" s="138"/>
      <c r="D190" s="29"/>
      <c r="E190" s="96" t="e">
        <f>#REF!</f>
        <v>#REF!</v>
      </c>
      <c r="F190" s="27">
        <v>117257</v>
      </c>
      <c r="G190" s="27" t="e">
        <f>#REF!</f>
        <v>#REF!</v>
      </c>
      <c r="H190" s="27" t="e">
        <f>#REF!</f>
        <v>#REF!</v>
      </c>
      <c r="I190" s="27" t="e">
        <f>#REF!</f>
        <v>#REF!</v>
      </c>
      <c r="J190" s="27"/>
      <c r="K190" s="27">
        <f>K189*K185</f>
        <v>53550</v>
      </c>
      <c r="L190" s="27">
        <f t="shared" ref="L190:R190" si="21">L189*L185</f>
        <v>68557.23</v>
      </c>
      <c r="M190" s="27"/>
      <c r="N190" s="27">
        <f t="shared" si="21"/>
        <v>1890</v>
      </c>
      <c r="O190" s="27">
        <f t="shared" si="21"/>
        <v>15781</v>
      </c>
      <c r="P190" s="27">
        <f t="shared" si="21"/>
        <v>4725</v>
      </c>
      <c r="Q190" s="27">
        <f t="shared" si="21"/>
        <v>8064</v>
      </c>
      <c r="R190" s="27">
        <f t="shared" si="21"/>
        <v>3105</v>
      </c>
    </row>
    <row r="191" spans="1:19" s="31" customFormat="1">
      <c r="A191" s="33" t="s">
        <v>1756</v>
      </c>
      <c r="B191" s="29"/>
      <c r="C191" s="138">
        <v>78.004499999999993</v>
      </c>
      <c r="D191" s="49">
        <f>D193/D192</f>
        <v>3613.7941749125907</v>
      </c>
      <c r="E191" s="100"/>
      <c r="F191" s="100">
        <v>1861.2850000000001</v>
      </c>
      <c r="G191" s="99"/>
      <c r="H191" s="100"/>
      <c r="I191" s="100"/>
      <c r="J191" s="30"/>
      <c r="K191" s="30">
        <v>850</v>
      </c>
      <c r="L191" s="30">
        <v>544.10500000000002</v>
      </c>
      <c r="M191" s="30"/>
      <c r="N191" s="30">
        <v>15</v>
      </c>
      <c r="O191" s="30"/>
      <c r="P191" s="30">
        <v>75</v>
      </c>
      <c r="Q191" s="30">
        <v>64</v>
      </c>
      <c r="R191" s="30"/>
    </row>
    <row r="192" spans="1:19" s="31" customFormat="1">
      <c r="A192" s="33" t="s">
        <v>1757</v>
      </c>
      <c r="B192" s="29"/>
      <c r="C192" s="138">
        <v>7477</v>
      </c>
      <c r="D192" s="29">
        <v>175</v>
      </c>
      <c r="E192" s="104">
        <f>E186+E188-E189</f>
        <v>0</v>
      </c>
      <c r="F192" s="104">
        <f>F186+F188-F189</f>
        <v>49</v>
      </c>
      <c r="G192" s="104">
        <f t="shared" ref="G192:Q192" si="22">G186+G188-G189</f>
        <v>0</v>
      </c>
      <c r="H192" s="104">
        <f t="shared" si="22"/>
        <v>0</v>
      </c>
      <c r="I192" s="104">
        <f t="shared" si="22"/>
        <v>0</v>
      </c>
      <c r="J192" s="104">
        <f t="shared" si="22"/>
        <v>0</v>
      </c>
      <c r="K192" s="104">
        <f t="shared" si="22"/>
        <v>43</v>
      </c>
      <c r="L192" s="104">
        <f t="shared" si="22"/>
        <v>64</v>
      </c>
      <c r="M192" s="104"/>
      <c r="N192" s="104">
        <f t="shared" si="22"/>
        <v>437</v>
      </c>
      <c r="O192" s="104"/>
      <c r="P192" s="104">
        <f t="shared" si="22"/>
        <v>20</v>
      </c>
      <c r="Q192" s="104">
        <f t="shared" si="22"/>
        <v>40</v>
      </c>
      <c r="R192" s="104"/>
    </row>
    <row r="193" spans="1:18" s="45" customFormat="1">
      <c r="A193" s="33" t="s">
        <v>1758</v>
      </c>
      <c r="B193" s="26">
        <f>SUM(C193:R193)</f>
        <v>1388844.6656097034</v>
      </c>
      <c r="C193" s="137">
        <v>583240</v>
      </c>
      <c r="D193" s="51">
        <f>主機!E97</f>
        <v>632413.98060970334</v>
      </c>
      <c r="E193" s="44"/>
      <c r="F193" s="44">
        <f>F192*F191</f>
        <v>91202.965000000011</v>
      </c>
      <c r="G193" s="44"/>
      <c r="H193" s="44"/>
      <c r="I193" s="44"/>
      <c r="J193" s="44"/>
      <c r="K193" s="44">
        <f>K192*K191</f>
        <v>36550</v>
      </c>
      <c r="L193" s="44">
        <f>L192*L191</f>
        <v>34822.720000000001</v>
      </c>
      <c r="M193" s="44"/>
      <c r="N193" s="44">
        <f>N192*N191</f>
        <v>6555</v>
      </c>
      <c r="O193" s="44"/>
      <c r="P193" s="44">
        <f>P192*P191</f>
        <v>1500</v>
      </c>
      <c r="Q193" s="44">
        <f>Q192*Q191</f>
        <v>2560</v>
      </c>
      <c r="R193" s="44"/>
    </row>
    <row r="194" spans="1:18">
      <c r="A194" s="22"/>
      <c r="B194" s="59"/>
      <c r="D194" s="29"/>
      <c r="E194" s="19"/>
      <c r="F194" s="19"/>
      <c r="G194" s="19"/>
      <c r="H194" s="19"/>
      <c r="I194" s="19"/>
      <c r="J194" s="22">
        <f>SUM(E193:J193)</f>
        <v>91202.965000000011</v>
      </c>
      <c r="R194" s="21">
        <f>SUM(K193:R193)</f>
        <v>81987.72</v>
      </c>
    </row>
    <row r="195" spans="1:18">
      <c r="A195" s="17"/>
      <c r="B195" s="23"/>
      <c r="C195" s="21">
        <f>C192*C191</f>
        <v>583239.64649999992</v>
      </c>
      <c r="D195" s="23">
        <f>583240/78.0003</f>
        <v>7477.4071381776739</v>
      </c>
      <c r="E195" s="19"/>
      <c r="F195" s="19"/>
      <c r="G195" s="19"/>
      <c r="H195" s="19"/>
      <c r="I195" s="19"/>
      <c r="J195" s="21"/>
    </row>
    <row r="196" spans="1:18">
      <c r="A196" s="17"/>
      <c r="B196" s="23"/>
      <c r="D196" s="23"/>
      <c r="E196" s="19"/>
      <c r="F196" s="19"/>
      <c r="G196" s="19"/>
      <c r="H196" s="19"/>
      <c r="I196" s="19"/>
    </row>
    <row r="197" spans="1:18" s="13" customFormat="1">
      <c r="A197" s="933" t="s">
        <v>2963</v>
      </c>
      <c r="B197" s="933"/>
      <c r="C197" s="933"/>
      <c r="D197" s="933"/>
      <c r="E197" s="933"/>
      <c r="F197" s="933"/>
      <c r="G197" s="933"/>
      <c r="H197" s="933"/>
      <c r="I197" s="933"/>
      <c r="J197" s="933"/>
      <c r="K197" s="933"/>
      <c r="L197" s="933"/>
      <c r="M197" s="933"/>
      <c r="N197" s="933"/>
      <c r="O197" s="933"/>
      <c r="P197" s="933"/>
      <c r="Q197" s="933"/>
      <c r="R197" s="933"/>
    </row>
    <row r="198" spans="1:18">
      <c r="A198" s="17" t="s">
        <v>280</v>
      </c>
      <c r="B198" s="18" t="s">
        <v>3802</v>
      </c>
      <c r="C198" s="136" t="s">
        <v>1394</v>
      </c>
      <c r="D198" s="46" t="s">
        <v>3803</v>
      </c>
      <c r="E198" s="39" t="s">
        <v>282</v>
      </c>
      <c r="F198" s="40" t="s">
        <v>287</v>
      </c>
      <c r="G198" s="39" t="s">
        <v>283</v>
      </c>
      <c r="H198" s="39" t="s">
        <v>284</v>
      </c>
      <c r="I198" s="39" t="s">
        <v>288</v>
      </c>
      <c r="J198" s="39" t="s">
        <v>1751</v>
      </c>
      <c r="K198" s="37" t="s">
        <v>291</v>
      </c>
      <c r="L198" s="37" t="s">
        <v>289</v>
      </c>
      <c r="M198" s="38" t="s">
        <v>297</v>
      </c>
      <c r="N198" s="37" t="s">
        <v>290</v>
      </c>
      <c r="O198" s="37" t="s">
        <v>292</v>
      </c>
      <c r="P198" s="37" t="s">
        <v>296</v>
      </c>
      <c r="Q198" s="37" t="s">
        <v>293</v>
      </c>
      <c r="R198" s="37" t="s">
        <v>294</v>
      </c>
    </row>
    <row r="199" spans="1:18">
      <c r="A199" s="33" t="s">
        <v>1752</v>
      </c>
      <c r="B199" s="18"/>
      <c r="C199" s="18">
        <f t="shared" ref="B199:D201" si="23">C218</f>
        <v>78.004499999999993</v>
      </c>
      <c r="D199" s="18">
        <f t="shared" si="23"/>
        <v>6044.12</v>
      </c>
      <c r="E199" s="18"/>
      <c r="F199" s="18"/>
      <c r="G199" s="18"/>
      <c r="H199" s="18"/>
      <c r="I199" s="18"/>
      <c r="J199" s="18"/>
      <c r="K199" s="18">
        <f t="shared" ref="K199:R201" si="24">K218</f>
        <v>850</v>
      </c>
      <c r="L199" s="18">
        <f t="shared" si="24"/>
        <v>578</v>
      </c>
      <c r="M199" s="18">
        <f t="shared" si="24"/>
        <v>0</v>
      </c>
      <c r="N199" s="18">
        <f t="shared" si="24"/>
        <v>15</v>
      </c>
      <c r="O199" s="18">
        <f t="shared" si="24"/>
        <v>367</v>
      </c>
      <c r="P199" s="18">
        <f t="shared" si="24"/>
        <v>75</v>
      </c>
      <c r="Q199" s="18">
        <f t="shared" si="24"/>
        <v>64</v>
      </c>
      <c r="R199" s="18">
        <f t="shared" si="24"/>
        <v>135</v>
      </c>
    </row>
    <row r="200" spans="1:18">
      <c r="A200" s="33" t="s">
        <v>1753</v>
      </c>
      <c r="B200" s="18"/>
      <c r="C200" s="18">
        <f t="shared" si="23"/>
        <v>7477</v>
      </c>
      <c r="D200" s="18">
        <f t="shared" si="23"/>
        <v>170</v>
      </c>
      <c r="E200" s="18"/>
      <c r="F200" s="18"/>
      <c r="G200" s="18"/>
      <c r="H200" s="18"/>
      <c r="I200" s="18"/>
      <c r="J200" s="18"/>
      <c r="K200" s="18">
        <f t="shared" si="24"/>
        <v>106</v>
      </c>
      <c r="L200" s="18">
        <f t="shared" si="24"/>
        <v>176</v>
      </c>
      <c r="M200" s="18">
        <f t="shared" si="24"/>
        <v>0</v>
      </c>
      <c r="N200" s="18">
        <f t="shared" si="24"/>
        <v>656</v>
      </c>
      <c r="O200" s="18">
        <f t="shared" si="24"/>
        <v>136</v>
      </c>
      <c r="P200" s="18">
        <f t="shared" si="24"/>
        <v>176</v>
      </c>
      <c r="Q200" s="18">
        <f t="shared" si="24"/>
        <v>352</v>
      </c>
      <c r="R200" s="18">
        <f t="shared" si="24"/>
        <v>116</v>
      </c>
    </row>
    <row r="201" spans="1:18" s="45" customFormat="1">
      <c r="A201" s="33" t="s">
        <v>1754</v>
      </c>
      <c r="B201" s="53">
        <f t="shared" si="23"/>
        <v>1913708.4</v>
      </c>
      <c r="C201" s="137">
        <f t="shared" si="23"/>
        <v>583240</v>
      </c>
      <c r="D201" s="51">
        <f t="shared" si="23"/>
        <v>1027500.4</v>
      </c>
      <c r="E201" s="44"/>
      <c r="F201" s="44"/>
      <c r="G201" s="44"/>
      <c r="H201" s="44"/>
      <c r="I201" s="44"/>
      <c r="J201" s="44"/>
      <c r="K201" s="44">
        <f t="shared" si="24"/>
        <v>90100</v>
      </c>
      <c r="L201" s="44">
        <f t="shared" si="24"/>
        <v>101728</v>
      </c>
      <c r="M201" s="44">
        <f t="shared" si="24"/>
        <v>0</v>
      </c>
      <c r="N201" s="44">
        <f t="shared" si="24"/>
        <v>9840</v>
      </c>
      <c r="O201" s="44">
        <f t="shared" si="24"/>
        <v>49912</v>
      </c>
      <c r="P201" s="44">
        <f t="shared" si="24"/>
        <v>13200</v>
      </c>
      <c r="Q201" s="44">
        <f t="shared" si="24"/>
        <v>22528</v>
      </c>
      <c r="R201" s="44">
        <f t="shared" si="24"/>
        <v>15660</v>
      </c>
    </row>
    <row r="202" spans="1:18" s="25" customFormat="1">
      <c r="A202" s="34" t="s">
        <v>295</v>
      </c>
      <c r="B202" s="26">
        <v>980994.4</v>
      </c>
      <c r="C202" s="138"/>
      <c r="D202" s="29"/>
      <c r="E202" s="24">
        <v>93</v>
      </c>
      <c r="F202" s="24">
        <v>93</v>
      </c>
      <c r="G202" s="24">
        <v>93</v>
      </c>
      <c r="H202" s="24">
        <v>93</v>
      </c>
      <c r="I202" s="24">
        <v>220</v>
      </c>
      <c r="J202" s="24">
        <v>70</v>
      </c>
      <c r="K202" s="24">
        <v>111</v>
      </c>
      <c r="L202" s="24">
        <v>200</v>
      </c>
      <c r="M202" s="24"/>
      <c r="N202" s="24"/>
      <c r="O202" s="24"/>
      <c r="P202" s="24"/>
      <c r="Q202" s="24"/>
      <c r="R202" s="24"/>
    </row>
    <row r="203" spans="1:18" s="28" customFormat="1">
      <c r="A203" s="35" t="s">
        <v>2990</v>
      </c>
      <c r="B203" s="29"/>
      <c r="C203" s="138"/>
      <c r="D203" s="29"/>
      <c r="E203" s="27">
        <v>93</v>
      </c>
      <c r="F203" s="27">
        <v>93</v>
      </c>
      <c r="G203" s="27">
        <v>93</v>
      </c>
      <c r="H203" s="27">
        <v>93</v>
      </c>
      <c r="I203" s="27">
        <v>220</v>
      </c>
      <c r="J203" s="27">
        <v>70</v>
      </c>
      <c r="K203" s="27">
        <v>111</v>
      </c>
      <c r="L203" s="27">
        <v>186</v>
      </c>
      <c r="M203" s="27"/>
      <c r="N203" s="27">
        <v>93</v>
      </c>
      <c r="O203" s="27">
        <v>93</v>
      </c>
      <c r="P203" s="27">
        <v>93</v>
      </c>
      <c r="Q203" s="27">
        <v>186</v>
      </c>
      <c r="R203" s="27">
        <v>93</v>
      </c>
    </row>
    <row r="204" spans="1:18" s="28" customFormat="1">
      <c r="A204" s="35" t="s">
        <v>2989</v>
      </c>
      <c r="B204" s="60">
        <f>SUM(C204:R204)</f>
        <v>1063102</v>
      </c>
      <c r="C204" s="138"/>
      <c r="D204" s="29"/>
      <c r="E204" s="27">
        <v>218550</v>
      </c>
      <c r="F204" s="27">
        <v>183675</v>
      </c>
      <c r="G204" s="27">
        <v>125550</v>
      </c>
      <c r="H204" s="27">
        <v>235729</v>
      </c>
      <c r="I204" s="27">
        <v>44000</v>
      </c>
      <c r="J204" s="27">
        <v>80500</v>
      </c>
      <c r="K204" s="27">
        <v>86190</v>
      </c>
      <c r="L204" s="27">
        <v>21948</v>
      </c>
      <c r="M204" s="27"/>
      <c r="N204" s="27">
        <f>N203*N199</f>
        <v>1395</v>
      </c>
      <c r="O204" s="27">
        <f>O203*O199</f>
        <v>34131</v>
      </c>
      <c r="P204" s="27">
        <f>P203*P199</f>
        <v>6975</v>
      </c>
      <c r="Q204" s="27">
        <f>Q203*Q199</f>
        <v>11904</v>
      </c>
      <c r="R204" s="27">
        <f>R203*R199</f>
        <v>12555</v>
      </c>
    </row>
    <row r="205" spans="1:18" s="31" customFormat="1">
      <c r="A205" s="33" t="s">
        <v>1756</v>
      </c>
      <c r="B205" s="29"/>
      <c r="C205" s="138">
        <v>78.004499999999993</v>
      </c>
      <c r="D205" s="49">
        <v>4798.8814806212549</v>
      </c>
      <c r="E205" s="30"/>
      <c r="F205" s="30"/>
      <c r="G205" s="30"/>
      <c r="H205" s="30"/>
      <c r="I205" s="30"/>
      <c r="J205" s="30"/>
      <c r="K205" s="30">
        <v>850</v>
      </c>
      <c r="L205" s="30">
        <v>544.10500000000002</v>
      </c>
      <c r="M205" s="30"/>
      <c r="N205" s="30">
        <v>15</v>
      </c>
      <c r="O205" s="30">
        <v>367</v>
      </c>
      <c r="P205" s="30">
        <v>75</v>
      </c>
      <c r="Q205" s="30">
        <v>64</v>
      </c>
      <c r="R205" s="30">
        <v>135</v>
      </c>
    </row>
    <row r="206" spans="1:18" s="31" customFormat="1">
      <c r="A206" s="33" t="s">
        <v>1757</v>
      </c>
      <c r="B206" s="29"/>
      <c r="C206" s="138">
        <v>7477</v>
      </c>
      <c r="D206" s="29">
        <v>195</v>
      </c>
      <c r="E206" s="30"/>
      <c r="F206" s="30"/>
      <c r="G206" s="30"/>
      <c r="H206" s="30"/>
      <c r="I206" s="30"/>
      <c r="J206" s="30"/>
      <c r="K206" s="30">
        <f>K200+K202-K203</f>
        <v>106</v>
      </c>
      <c r="L206" s="30">
        <f t="shared" ref="L206:R206" si="25">L200+L202-L203</f>
        <v>190</v>
      </c>
      <c r="M206" s="30"/>
      <c r="N206" s="30">
        <f t="shared" si="25"/>
        <v>563</v>
      </c>
      <c r="O206" s="30">
        <f t="shared" si="25"/>
        <v>43</v>
      </c>
      <c r="P206" s="30">
        <f t="shared" si="25"/>
        <v>83</v>
      </c>
      <c r="Q206" s="30">
        <f t="shared" si="25"/>
        <v>166</v>
      </c>
      <c r="R206" s="30">
        <f t="shared" si="25"/>
        <v>23</v>
      </c>
    </row>
    <row r="207" spans="1:18" s="45" customFormat="1">
      <c r="A207" s="33" t="s">
        <v>1758</v>
      </c>
      <c r="B207" s="53">
        <f>SUM(C207:R207)</f>
        <v>1756681.8387211447</v>
      </c>
      <c r="C207" s="137">
        <v>583240</v>
      </c>
      <c r="D207" s="51">
        <f>D205*D206</f>
        <v>935781.88872114476</v>
      </c>
      <c r="E207" s="44"/>
      <c r="F207" s="44"/>
      <c r="G207" s="44"/>
      <c r="H207" s="44"/>
      <c r="I207" s="44"/>
      <c r="J207" s="44"/>
      <c r="K207" s="44">
        <f>K206*K205</f>
        <v>90100</v>
      </c>
      <c r="L207" s="44">
        <f>L206*L205</f>
        <v>103379.95</v>
      </c>
      <c r="M207" s="44"/>
      <c r="N207" s="44">
        <f>N206*N205</f>
        <v>8445</v>
      </c>
      <c r="O207" s="44">
        <f>O206*O205</f>
        <v>15781</v>
      </c>
      <c r="P207" s="44">
        <f>P206*P205</f>
        <v>6225</v>
      </c>
      <c r="Q207" s="44">
        <f>Q206*Q205</f>
        <v>10624</v>
      </c>
      <c r="R207" s="44">
        <f>R206*R205</f>
        <v>3105</v>
      </c>
    </row>
    <row r="208" spans="1:18">
      <c r="A208" s="22"/>
      <c r="B208" s="59"/>
      <c r="D208" s="29"/>
      <c r="E208" s="19"/>
      <c r="F208" s="19"/>
      <c r="G208" s="19"/>
      <c r="H208" s="19"/>
      <c r="I208" s="19"/>
      <c r="R208" s="21">
        <f>SUM(K207:R207)</f>
        <v>237659.95</v>
      </c>
    </row>
    <row r="209" spans="1:18">
      <c r="A209" s="17"/>
      <c r="B209" s="23"/>
      <c r="C209" s="21">
        <f>C206*C205</f>
        <v>583239.64649999992</v>
      </c>
      <c r="D209" s="23">
        <f>583240/78.0003</f>
        <v>7477.4071381776739</v>
      </c>
      <c r="E209" s="19"/>
      <c r="F209" s="19"/>
      <c r="G209" s="19"/>
      <c r="H209" s="19"/>
      <c r="I209" s="19"/>
    </row>
    <row r="210" spans="1:18">
      <c r="A210" s="17"/>
      <c r="B210" s="23"/>
      <c r="D210" s="23"/>
      <c r="E210" s="19"/>
      <c r="F210" s="19"/>
      <c r="G210" s="19"/>
      <c r="H210" s="19"/>
      <c r="I210" s="19"/>
    </row>
    <row r="211" spans="1:18" s="13" customFormat="1">
      <c r="A211" s="932" t="s">
        <v>2962</v>
      </c>
      <c r="B211" s="932"/>
      <c r="C211" s="932"/>
      <c r="D211" s="932"/>
      <c r="E211" s="932"/>
      <c r="F211" s="932"/>
      <c r="G211" s="932"/>
      <c r="H211" s="932"/>
      <c r="I211" s="932"/>
      <c r="J211" s="932"/>
      <c r="K211" s="932"/>
      <c r="L211" s="932"/>
      <c r="M211" s="932"/>
      <c r="N211" s="932"/>
      <c r="O211" s="932"/>
      <c r="P211" s="932"/>
      <c r="Q211" s="932"/>
      <c r="R211" s="932"/>
    </row>
    <row r="212" spans="1:18">
      <c r="A212" s="17" t="s">
        <v>280</v>
      </c>
      <c r="B212" s="18" t="s">
        <v>3802</v>
      </c>
      <c r="C212" s="136" t="s">
        <v>1394</v>
      </c>
      <c r="D212" s="46" t="s">
        <v>3803</v>
      </c>
      <c r="E212" s="39" t="s">
        <v>282</v>
      </c>
      <c r="F212" s="40" t="s">
        <v>287</v>
      </c>
      <c r="G212" s="39" t="s">
        <v>283</v>
      </c>
      <c r="H212" s="39" t="s">
        <v>284</v>
      </c>
      <c r="I212" s="39" t="s">
        <v>288</v>
      </c>
      <c r="J212" s="39" t="s">
        <v>1751</v>
      </c>
      <c r="K212" s="37" t="s">
        <v>291</v>
      </c>
      <c r="L212" s="37" t="s">
        <v>289</v>
      </c>
      <c r="M212" s="38" t="s">
        <v>297</v>
      </c>
      <c r="N212" s="37" t="s">
        <v>290</v>
      </c>
      <c r="O212" s="37" t="s">
        <v>292</v>
      </c>
      <c r="P212" s="37" t="s">
        <v>296</v>
      </c>
      <c r="Q212" s="37" t="s">
        <v>293</v>
      </c>
      <c r="R212" s="37" t="s">
        <v>294</v>
      </c>
    </row>
    <row r="213" spans="1:18">
      <c r="A213" s="33" t="s">
        <v>1752</v>
      </c>
      <c r="B213" s="18"/>
      <c r="C213" s="21">
        <v>78.003</v>
      </c>
      <c r="D213" s="42">
        <v>5732.42</v>
      </c>
      <c r="E213" s="19"/>
      <c r="F213" s="20"/>
      <c r="G213" s="19"/>
      <c r="H213" s="19">
        <v>2650</v>
      </c>
      <c r="I213" s="19"/>
      <c r="J213" s="19">
        <v>1300</v>
      </c>
      <c r="K213" s="21">
        <v>770</v>
      </c>
      <c r="L213" s="21">
        <v>862</v>
      </c>
      <c r="M213" s="21">
        <v>95</v>
      </c>
      <c r="N213" s="21">
        <v>15</v>
      </c>
      <c r="O213" s="21">
        <v>150</v>
      </c>
      <c r="P213" s="21">
        <v>75</v>
      </c>
      <c r="Q213" s="21">
        <v>70</v>
      </c>
      <c r="R213" s="21">
        <v>560</v>
      </c>
    </row>
    <row r="214" spans="1:18">
      <c r="A214" s="33" t="s">
        <v>1753</v>
      </c>
      <c r="B214" s="23"/>
      <c r="C214" s="21">
        <v>12377</v>
      </c>
      <c r="D214" s="43">
        <v>157</v>
      </c>
      <c r="E214" s="19"/>
      <c r="F214" s="19"/>
      <c r="G214" s="19"/>
      <c r="H214" s="19">
        <v>15</v>
      </c>
      <c r="I214" s="19"/>
      <c r="J214" s="19">
        <v>74</v>
      </c>
      <c r="K214" s="21">
        <v>176</v>
      </c>
      <c r="L214" s="21">
        <v>76</v>
      </c>
      <c r="M214" s="21">
        <v>42</v>
      </c>
      <c r="N214" s="21">
        <v>876</v>
      </c>
      <c r="O214" s="21">
        <v>36</v>
      </c>
      <c r="P214" s="21">
        <v>276</v>
      </c>
      <c r="Q214" s="21">
        <v>152</v>
      </c>
      <c r="R214" s="21">
        <v>116</v>
      </c>
    </row>
    <row r="215" spans="1:18">
      <c r="A215" s="33" t="s">
        <v>1754</v>
      </c>
      <c r="B215" s="52">
        <f>SUM(C215:R215)</f>
        <v>2321241.94</v>
      </c>
      <c r="C215" s="139">
        <v>965440</v>
      </c>
      <c r="D215" s="50">
        <f>D214*D213</f>
        <v>899989.94000000006</v>
      </c>
      <c r="E215" s="19"/>
      <c r="F215" s="19"/>
      <c r="G215" s="19"/>
      <c r="H215" s="19">
        <f>H214*H213</f>
        <v>39750</v>
      </c>
      <c r="I215" s="19"/>
      <c r="J215" s="19">
        <f>J214*J213</f>
        <v>96200</v>
      </c>
      <c r="K215" s="19">
        <f t="shared" ref="K215:R215" si="26">K214*K213</f>
        <v>135520</v>
      </c>
      <c r="L215" s="19">
        <f t="shared" si="26"/>
        <v>65512</v>
      </c>
      <c r="M215" s="19">
        <f t="shared" si="26"/>
        <v>3990</v>
      </c>
      <c r="N215" s="19">
        <f t="shared" si="26"/>
        <v>13140</v>
      </c>
      <c r="O215" s="19">
        <f t="shared" si="26"/>
        <v>5400</v>
      </c>
      <c r="P215" s="19">
        <f t="shared" si="26"/>
        <v>20700</v>
      </c>
      <c r="Q215" s="19">
        <f t="shared" si="26"/>
        <v>10640</v>
      </c>
      <c r="R215" s="19">
        <f t="shared" si="26"/>
        <v>64960</v>
      </c>
    </row>
    <row r="216" spans="1:18" s="25" customFormat="1">
      <c r="A216" s="34" t="s">
        <v>295</v>
      </c>
      <c r="B216" s="26">
        <v>979341</v>
      </c>
      <c r="C216" s="138"/>
      <c r="D216" s="29"/>
      <c r="E216" s="24">
        <v>101</v>
      </c>
      <c r="F216" s="24">
        <v>100</v>
      </c>
      <c r="G216" s="24">
        <v>112</v>
      </c>
      <c r="H216" s="24">
        <v>131</v>
      </c>
      <c r="I216" s="24">
        <v>236</v>
      </c>
      <c r="J216" s="24">
        <v>20</v>
      </c>
      <c r="K216" s="24">
        <v>130</v>
      </c>
      <c r="L216" s="24">
        <v>200</v>
      </c>
      <c r="M216" s="24"/>
      <c r="N216" s="24"/>
      <c r="O216" s="24">
        <v>200</v>
      </c>
      <c r="P216" s="24"/>
      <c r="Q216" s="24">
        <v>400</v>
      </c>
      <c r="R216" s="24">
        <v>100</v>
      </c>
    </row>
    <row r="217" spans="1:18" s="28" customFormat="1">
      <c r="A217" s="35" t="s">
        <v>1755</v>
      </c>
      <c r="B217" s="29"/>
      <c r="C217" s="138"/>
      <c r="D217" s="29"/>
      <c r="E217" s="27">
        <v>101</v>
      </c>
      <c r="F217" s="27">
        <v>100</v>
      </c>
      <c r="G217" s="27">
        <v>112</v>
      </c>
      <c r="H217" s="27">
        <v>146</v>
      </c>
      <c r="I217" s="27">
        <v>236</v>
      </c>
      <c r="J217" s="27">
        <v>94</v>
      </c>
      <c r="K217" s="27">
        <v>200</v>
      </c>
      <c r="L217" s="27">
        <v>100</v>
      </c>
      <c r="M217" s="27">
        <v>42</v>
      </c>
      <c r="N217" s="27">
        <v>220</v>
      </c>
      <c r="O217" s="27">
        <v>100</v>
      </c>
      <c r="P217" s="27">
        <v>100</v>
      </c>
      <c r="Q217" s="27">
        <v>200</v>
      </c>
      <c r="R217" s="27">
        <v>100</v>
      </c>
    </row>
    <row r="218" spans="1:18" s="31" customFormat="1">
      <c r="A218" s="33" t="s">
        <v>1756</v>
      </c>
      <c r="B218" s="29"/>
      <c r="C218" s="138">
        <v>78.004499999999993</v>
      </c>
      <c r="D218" s="49">
        <v>6044.12</v>
      </c>
      <c r="E218" s="30"/>
      <c r="F218" s="30"/>
      <c r="G218" s="30"/>
      <c r="H218" s="30"/>
      <c r="I218" s="30"/>
      <c r="J218" s="30"/>
      <c r="K218" s="30">
        <v>850</v>
      </c>
      <c r="L218" s="30">
        <v>578</v>
      </c>
      <c r="M218" s="30"/>
      <c r="N218" s="30">
        <v>15</v>
      </c>
      <c r="O218" s="30">
        <v>367</v>
      </c>
      <c r="P218" s="30">
        <v>75</v>
      </c>
      <c r="Q218" s="30">
        <v>64</v>
      </c>
      <c r="R218" s="30">
        <v>135</v>
      </c>
    </row>
    <row r="219" spans="1:18" s="31" customFormat="1">
      <c r="A219" s="33" t="s">
        <v>1757</v>
      </c>
      <c r="B219" s="29"/>
      <c r="C219" s="138">
        <v>7477</v>
      </c>
      <c r="D219" s="29">
        <v>170</v>
      </c>
      <c r="E219" s="30"/>
      <c r="F219" s="30"/>
      <c r="G219" s="30"/>
      <c r="H219" s="30"/>
      <c r="I219" s="30"/>
      <c r="J219" s="30"/>
      <c r="K219" s="30">
        <f>K214+K216-K217</f>
        <v>106</v>
      </c>
      <c r="L219" s="30">
        <f>L214+L216-L217</f>
        <v>176</v>
      </c>
      <c r="M219" s="30"/>
      <c r="N219" s="30">
        <f>N214+N216-N217</f>
        <v>656</v>
      </c>
      <c r="O219" s="30">
        <f>O214+O216-O217</f>
        <v>136</v>
      </c>
      <c r="P219" s="30">
        <f>P214+P216-P217</f>
        <v>176</v>
      </c>
      <c r="Q219" s="30">
        <f>Q214+Q216-Q217</f>
        <v>352</v>
      </c>
      <c r="R219" s="30">
        <f>R214+R216-R217</f>
        <v>116</v>
      </c>
    </row>
    <row r="220" spans="1:18" s="45" customFormat="1">
      <c r="A220" s="33" t="s">
        <v>1758</v>
      </c>
      <c r="B220" s="53">
        <f>SUM(C220:R220)</f>
        <v>1913708.4</v>
      </c>
      <c r="C220" s="137">
        <v>583240</v>
      </c>
      <c r="D220" s="51">
        <f>D218*D219</f>
        <v>1027500.4</v>
      </c>
      <c r="E220" s="44"/>
      <c r="F220" s="44"/>
      <c r="G220" s="44"/>
      <c r="H220" s="44"/>
      <c r="I220" s="44"/>
      <c r="J220" s="44"/>
      <c r="K220" s="44">
        <f>K219*K218</f>
        <v>90100</v>
      </c>
      <c r="L220" s="44">
        <f>L219*L218</f>
        <v>101728</v>
      </c>
      <c r="M220" s="44"/>
      <c r="N220" s="44">
        <f>N219*N218</f>
        <v>9840</v>
      </c>
      <c r="O220" s="44">
        <f>O219*O218</f>
        <v>49912</v>
      </c>
      <c r="P220" s="44">
        <f>P219*P218</f>
        <v>13200</v>
      </c>
      <c r="Q220" s="44">
        <f>Q219*Q218</f>
        <v>22528</v>
      </c>
      <c r="R220" s="44">
        <f>R219*R218</f>
        <v>15660</v>
      </c>
    </row>
    <row r="221" spans="1:18">
      <c r="A221" s="22"/>
      <c r="B221" s="22"/>
      <c r="D221" s="29"/>
      <c r="E221" s="19"/>
      <c r="F221" s="19"/>
      <c r="G221" s="19"/>
      <c r="H221" s="19"/>
      <c r="I221" s="19"/>
      <c r="R221" s="21">
        <f>SUM(K220:R220)</f>
        <v>302968</v>
      </c>
    </row>
    <row r="222" spans="1:18">
      <c r="A222" s="17"/>
      <c r="B222" s="23"/>
      <c r="C222" s="21">
        <f>C219*C218</f>
        <v>583239.64649999992</v>
      </c>
      <c r="D222" s="23">
        <f>583240/78.0003</f>
        <v>7477.4071381776739</v>
      </c>
      <c r="E222" s="19"/>
      <c r="F222" s="19"/>
      <c r="G222" s="19"/>
      <c r="H222" s="19"/>
      <c r="I222" s="19"/>
    </row>
    <row r="223" spans="1:18">
      <c r="A223" s="17"/>
      <c r="B223" s="23"/>
      <c r="D223" s="23"/>
      <c r="E223" s="19"/>
      <c r="F223" s="19"/>
      <c r="G223" s="19"/>
      <c r="H223" s="19"/>
      <c r="I223" s="19"/>
    </row>
    <row r="224" spans="1:18">
      <c r="A224" s="17"/>
      <c r="B224" s="23"/>
      <c r="D224" s="23"/>
      <c r="E224" s="19"/>
      <c r="F224" s="19"/>
      <c r="G224" s="19"/>
      <c r="H224" s="19"/>
      <c r="I224" s="19"/>
    </row>
  </sheetData>
  <mergeCells count="18">
    <mergeCell ref="A211:R211"/>
    <mergeCell ref="A197:R197"/>
    <mergeCell ref="A183:R183"/>
    <mergeCell ref="A169:R169"/>
    <mergeCell ref="A61:R61"/>
    <mergeCell ref="A73:R73"/>
    <mergeCell ref="A85:R85"/>
    <mergeCell ref="A145:R145"/>
    <mergeCell ref="A157:R157"/>
    <mergeCell ref="A97:R97"/>
    <mergeCell ref="A109:R109"/>
    <mergeCell ref="A121:R121"/>
    <mergeCell ref="A133:R133"/>
    <mergeCell ref="A1:R1"/>
    <mergeCell ref="A37:R37"/>
    <mergeCell ref="A49:R49"/>
    <mergeCell ref="A13:R13"/>
    <mergeCell ref="A25:R25"/>
  </mergeCells>
  <phoneticPr fontId="8" type="noConversion"/>
  <pageMargins left="0.75" right="0.75" top="1" bottom="1" header="0.5" footer="0.5"/>
  <pageSetup paperSize="13" orientation="portrait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/>
  <dimension ref="A1:K125"/>
  <sheetViews>
    <sheetView zoomScale="90" zoomScaleNormal="90" workbookViewId="0">
      <pane ySplit="8" topLeftCell="A9" activePane="bottomLeft" state="frozen"/>
      <selection activeCell="J29" sqref="J29"/>
      <selection pane="bottomLeft" activeCell="E5" sqref="E5"/>
    </sheetView>
  </sheetViews>
  <sheetFormatPr defaultColWidth="9" defaultRowHeight="16.5"/>
  <cols>
    <col min="1" max="1" width="4.5" style="12" customWidth="1"/>
    <col min="2" max="2" width="20.625" style="13" bestFit="1" customWidth="1"/>
    <col min="3" max="3" width="9.125" style="12" bestFit="1" customWidth="1"/>
    <col min="4" max="4" width="9.25" style="12" bestFit="1" customWidth="1"/>
    <col min="5" max="5" width="14.625" style="15" bestFit="1" customWidth="1"/>
    <col min="6" max="6" width="11.625" style="13" bestFit="1" customWidth="1"/>
    <col min="7" max="7" width="11.5" style="13" bestFit="1" customWidth="1"/>
    <col min="8" max="8" width="11.25" style="13" customWidth="1"/>
    <col min="9" max="9" width="10.625" style="13" customWidth="1"/>
    <col min="10" max="10" width="10" style="13" customWidth="1"/>
    <col min="11" max="16384" width="9" style="13"/>
  </cols>
  <sheetData>
    <row r="1" spans="1:9" s="12" customFormat="1">
      <c r="C1" s="12" t="s">
        <v>274</v>
      </c>
      <c r="D1" s="12" t="s">
        <v>275</v>
      </c>
      <c r="E1" s="15" t="s">
        <v>276</v>
      </c>
      <c r="F1" s="12" t="s">
        <v>278</v>
      </c>
    </row>
    <row r="2" spans="1:9" s="106" customFormat="1">
      <c r="A2" s="105" t="s">
        <v>277</v>
      </c>
      <c r="B2" s="770" t="s">
        <v>19113</v>
      </c>
      <c r="C2" s="105">
        <f>C12</f>
        <v>0</v>
      </c>
      <c r="D2" s="105">
        <f>D12</f>
        <v>300</v>
      </c>
      <c r="E2" s="107">
        <f>E12</f>
        <v>159004.73809408909</v>
      </c>
      <c r="F2" s="107">
        <f>F12</f>
        <v>530.01579364696363</v>
      </c>
    </row>
    <row r="3" spans="1:9" s="106" customFormat="1">
      <c r="A3" s="105" t="s">
        <v>277</v>
      </c>
      <c r="B3" s="770" t="s">
        <v>19114</v>
      </c>
      <c r="C3" s="58">
        <v>17</v>
      </c>
      <c r="D3" s="105">
        <f>C3*24</f>
        <v>408</v>
      </c>
      <c r="E3" s="41">
        <v>148377</v>
      </c>
      <c r="F3" s="107">
        <f>E3/D3</f>
        <v>363.66911764705884</v>
      </c>
      <c r="G3" s="196" t="s">
        <v>2557</v>
      </c>
      <c r="H3" s="172">
        <v>2644957</v>
      </c>
    </row>
    <row r="4" spans="1:9" s="106" customFormat="1">
      <c r="A4" s="105"/>
      <c r="B4" s="106" t="s">
        <v>279</v>
      </c>
      <c r="C4" s="105"/>
      <c r="D4" s="105">
        <f>D3+D2</f>
        <v>708</v>
      </c>
      <c r="E4" s="108">
        <f>E3+E2</f>
        <v>307381.73809408909</v>
      </c>
      <c r="F4" s="107">
        <f>E4/D4</f>
        <v>434.15499730803543</v>
      </c>
      <c r="G4" s="196" t="s">
        <v>3777</v>
      </c>
      <c r="H4" s="194">
        <f>1-E5/H3</f>
        <v>0.95075666667079628</v>
      </c>
    </row>
    <row r="5" spans="1:9" s="106" customFormat="1">
      <c r="A5" s="105" t="s">
        <v>273</v>
      </c>
      <c r="B5" s="770" t="s">
        <v>19115</v>
      </c>
      <c r="C5" s="105"/>
      <c r="D5" s="899">
        <v>300</v>
      </c>
      <c r="E5" s="111">
        <f>F5*D5</f>
        <v>130246.49919241063</v>
      </c>
      <c r="F5" s="107">
        <f>F4</f>
        <v>434.15499730803543</v>
      </c>
      <c r="G5" s="196" t="s">
        <v>425</v>
      </c>
      <c r="H5" s="106">
        <f>D6/C6</f>
        <v>10.461538461538462</v>
      </c>
      <c r="I5" s="135"/>
    </row>
    <row r="6" spans="1:9" s="106" customFormat="1">
      <c r="A6" s="105"/>
      <c r="B6" s="770" t="s">
        <v>19116</v>
      </c>
      <c r="C6" s="58">
        <v>39</v>
      </c>
      <c r="D6" s="105">
        <f>D4-D5</f>
        <v>408</v>
      </c>
      <c r="E6" s="246">
        <f>E2+E3-E5</f>
        <v>177135.23890167847</v>
      </c>
      <c r="F6" s="107">
        <f>F5</f>
        <v>434.15499730803543</v>
      </c>
      <c r="G6" s="196" t="s">
        <v>424</v>
      </c>
      <c r="H6" s="198">
        <f>E6/C6</f>
        <v>4541.9292026071407</v>
      </c>
    </row>
    <row r="7" spans="1:9" s="12" customFormat="1">
      <c r="A7" s="900"/>
      <c r="B7" s="900"/>
      <c r="C7" s="900"/>
      <c r="D7" s="900"/>
      <c r="E7" s="130"/>
      <c r="F7" s="900"/>
      <c r="G7" s="900"/>
      <c r="H7" s="900"/>
    </row>
    <row r="8" spans="1:9" s="12" customFormat="1">
      <c r="C8" s="12" t="s">
        <v>274</v>
      </c>
      <c r="D8" s="12" t="s">
        <v>275</v>
      </c>
      <c r="E8" s="15" t="s">
        <v>276</v>
      </c>
      <c r="F8" s="12" t="s">
        <v>278</v>
      </c>
    </row>
    <row r="9" spans="1:9" s="106" customFormat="1">
      <c r="A9" s="105" t="s">
        <v>277</v>
      </c>
      <c r="B9" s="770" t="s">
        <v>15221</v>
      </c>
      <c r="C9" s="105">
        <f>C19</f>
        <v>42</v>
      </c>
      <c r="D9" s="105">
        <f>D19</f>
        <v>246.81100000000004</v>
      </c>
      <c r="E9" s="107">
        <f>E19</f>
        <v>135081.27661612633</v>
      </c>
      <c r="F9" s="107">
        <f>F19</f>
        <v>547.30654880101099</v>
      </c>
    </row>
    <row r="10" spans="1:9" s="106" customFormat="1">
      <c r="A10" s="105" t="s">
        <v>277</v>
      </c>
      <c r="B10" s="770" t="s">
        <v>15222</v>
      </c>
      <c r="C10" s="58">
        <v>12</v>
      </c>
      <c r="D10" s="105">
        <f>C10*24</f>
        <v>288</v>
      </c>
      <c r="E10" s="41">
        <v>148377</v>
      </c>
      <c r="F10" s="107">
        <f>E10/D10</f>
        <v>515.19791666666663</v>
      </c>
      <c r="G10" s="196" t="s">
        <v>2557</v>
      </c>
      <c r="H10" s="172">
        <v>2644957</v>
      </c>
    </row>
    <row r="11" spans="1:9" s="106" customFormat="1">
      <c r="A11" s="105"/>
      <c r="B11" s="106" t="s">
        <v>279</v>
      </c>
      <c r="C11" s="105"/>
      <c r="D11" s="105">
        <f>D10+D9</f>
        <v>534.81100000000004</v>
      </c>
      <c r="E11" s="108">
        <f>E10+E9</f>
        <v>283458.2766161263</v>
      </c>
      <c r="F11" s="107">
        <f>E11/D11</f>
        <v>530.01579364696363</v>
      </c>
      <c r="G11" s="196" t="s">
        <v>3777</v>
      </c>
      <c r="H11" s="194">
        <f>1-E12/H10</f>
        <v>0.93988380979573993</v>
      </c>
    </row>
    <row r="12" spans="1:9" s="106" customFormat="1">
      <c r="A12" s="105" t="s">
        <v>273</v>
      </c>
      <c r="B12" s="770" t="s">
        <v>15223</v>
      </c>
      <c r="C12" s="105"/>
      <c r="D12" s="765">
        <v>300</v>
      </c>
      <c r="E12" s="111">
        <f>F12*D12</f>
        <v>159004.73809408909</v>
      </c>
      <c r="F12" s="107">
        <f>F11</f>
        <v>530.01579364696363</v>
      </c>
      <c r="G12" s="196" t="s">
        <v>425</v>
      </c>
      <c r="H12" s="106">
        <f>D13/C13</f>
        <v>6.1792368421052641</v>
      </c>
      <c r="I12" s="135"/>
    </row>
    <row r="13" spans="1:9" s="106" customFormat="1">
      <c r="A13" s="105"/>
      <c r="B13" s="770" t="s">
        <v>15224</v>
      </c>
      <c r="C13" s="58">
        <v>38</v>
      </c>
      <c r="D13" s="105">
        <f>D11-D12</f>
        <v>234.81100000000004</v>
      </c>
      <c r="E13" s="246">
        <f>E9+E10-E12</f>
        <v>124453.53852203721</v>
      </c>
      <c r="F13" s="107">
        <f>F12</f>
        <v>530.01579364696363</v>
      </c>
      <c r="G13" s="196" t="s">
        <v>424</v>
      </c>
      <c r="H13" s="198">
        <f>E13/C13</f>
        <v>3275.0931190009792</v>
      </c>
    </row>
    <row r="14" spans="1:9" s="12" customFormat="1">
      <c r="A14" s="766"/>
      <c r="B14" s="766"/>
      <c r="C14" s="766"/>
      <c r="D14" s="766"/>
      <c r="E14" s="130"/>
      <c r="F14" s="766"/>
      <c r="G14" s="766"/>
      <c r="H14" s="766"/>
    </row>
    <row r="15" spans="1:9" s="106" customFormat="1">
      <c r="A15" s="105" t="s">
        <v>277</v>
      </c>
      <c r="B15" s="7" t="s">
        <v>10085</v>
      </c>
      <c r="C15" s="105">
        <f>C25</f>
        <v>42</v>
      </c>
      <c r="D15" s="105">
        <f>D25</f>
        <v>242.81100000000004</v>
      </c>
      <c r="E15" s="107">
        <f>E25</f>
        <v>135453.76516051049</v>
      </c>
      <c r="F15" s="107">
        <f>F25</f>
        <v>557.85679050994577</v>
      </c>
    </row>
    <row r="16" spans="1:9" s="106" customFormat="1">
      <c r="A16" s="105" t="s">
        <v>277</v>
      </c>
      <c r="B16" s="7" t="s">
        <v>10084</v>
      </c>
      <c r="C16" s="58">
        <v>16</v>
      </c>
      <c r="D16" s="105">
        <f>C16*24</f>
        <v>384</v>
      </c>
      <c r="E16" s="41">
        <v>207604</v>
      </c>
      <c r="F16" s="107">
        <f>E16/D16</f>
        <v>540.63541666666663</v>
      </c>
      <c r="G16" s="196" t="s">
        <v>2557</v>
      </c>
      <c r="H16" s="172">
        <v>2190000</v>
      </c>
    </row>
    <row r="17" spans="1:9" s="106" customFormat="1">
      <c r="A17" s="105"/>
      <c r="B17" s="106" t="s">
        <v>279</v>
      </c>
      <c r="C17" s="105"/>
      <c r="D17" s="105">
        <f>D16+D15</f>
        <v>626.81100000000004</v>
      </c>
      <c r="E17" s="108">
        <f>E16+E15</f>
        <v>343057.76516051049</v>
      </c>
      <c r="F17" s="107">
        <f>E17/D17</f>
        <v>547.30654880101099</v>
      </c>
      <c r="G17" s="196" t="s">
        <v>3777</v>
      </c>
      <c r="H17" s="194">
        <f>1-E18/H16</f>
        <v>0.90503356687471048</v>
      </c>
    </row>
    <row r="18" spans="1:9" s="106" customFormat="1">
      <c r="A18" s="105" t="s">
        <v>273</v>
      </c>
      <c r="B18" s="7" t="s">
        <v>10083</v>
      </c>
      <c r="C18" s="105"/>
      <c r="D18" s="56">
        <v>380</v>
      </c>
      <c r="E18" s="111">
        <f>F18*D18</f>
        <v>207976.48854438416</v>
      </c>
      <c r="F18" s="107">
        <f>F17</f>
        <v>547.30654880101099</v>
      </c>
      <c r="G18" s="196" t="s">
        <v>425</v>
      </c>
      <c r="H18" s="106">
        <f>D19/C19</f>
        <v>5.8764523809523821</v>
      </c>
      <c r="I18" s="135"/>
    </row>
    <row r="19" spans="1:9" s="106" customFormat="1">
      <c r="A19" s="105"/>
      <c r="B19" s="7" t="s">
        <v>10082</v>
      </c>
      <c r="C19" s="58">
        <v>42</v>
      </c>
      <c r="D19" s="105">
        <f>D17-D18</f>
        <v>246.81100000000004</v>
      </c>
      <c r="E19" s="246">
        <f>E15+E16-E18</f>
        <v>135081.27661612633</v>
      </c>
      <c r="F19" s="107">
        <f>F18</f>
        <v>547.30654880101099</v>
      </c>
      <c r="G19" s="196" t="s">
        <v>424</v>
      </c>
      <c r="H19" s="198">
        <f>E19/C19</f>
        <v>3216.2208718125316</v>
      </c>
    </row>
    <row r="20" spans="1:9" s="12" customFormat="1">
      <c r="A20" s="112"/>
      <c r="B20" s="112"/>
      <c r="C20" s="112"/>
      <c r="D20" s="112"/>
      <c r="E20" s="130"/>
      <c r="F20" s="112"/>
      <c r="G20" s="112"/>
      <c r="H20" s="112"/>
    </row>
    <row r="21" spans="1:9" s="106" customFormat="1">
      <c r="A21" s="105" t="s">
        <v>277</v>
      </c>
      <c r="B21" s="7" t="s">
        <v>5675</v>
      </c>
      <c r="C21" s="105">
        <f>C31</f>
        <v>49</v>
      </c>
      <c r="D21" s="105">
        <f>D31</f>
        <v>338.81100000000004</v>
      </c>
      <c r="E21" s="107">
        <f>E31</f>
        <v>175943.02460528442</v>
      </c>
      <c r="F21" s="107">
        <f>F31</f>
        <v>519.29549101205214</v>
      </c>
    </row>
    <row r="22" spans="1:9" s="106" customFormat="1">
      <c r="A22" s="105" t="s">
        <v>277</v>
      </c>
      <c r="B22" s="7" t="s">
        <v>5676</v>
      </c>
      <c r="C22" s="58">
        <v>16</v>
      </c>
      <c r="D22" s="105">
        <f>C22*24</f>
        <v>384</v>
      </c>
      <c r="E22" s="41">
        <v>227282</v>
      </c>
      <c r="F22" s="107">
        <f>E22/D22</f>
        <v>591.88020833333337</v>
      </c>
      <c r="G22" s="196" t="s">
        <v>2557</v>
      </c>
      <c r="H22" s="172">
        <v>2920000</v>
      </c>
    </row>
    <row r="23" spans="1:9" s="106" customFormat="1">
      <c r="A23" s="105"/>
      <c r="B23" s="106" t="s">
        <v>279</v>
      </c>
      <c r="C23" s="105"/>
      <c r="D23" s="105">
        <f>D22+D21</f>
        <v>722.81100000000004</v>
      </c>
      <c r="E23" s="108">
        <f>E22+E21</f>
        <v>403225.02460528444</v>
      </c>
      <c r="F23" s="107">
        <f>E23/D23</f>
        <v>557.85679050994577</v>
      </c>
      <c r="G23" s="196" t="s">
        <v>3777</v>
      </c>
      <c r="H23" s="194">
        <f>1-E24/H22</f>
        <v>0.908297513888776</v>
      </c>
    </row>
    <row r="24" spans="1:9" s="106" customFormat="1">
      <c r="A24" s="105" t="s">
        <v>273</v>
      </c>
      <c r="B24" s="7" t="s">
        <v>5677</v>
      </c>
      <c r="C24" s="105"/>
      <c r="D24" s="56">
        <v>480</v>
      </c>
      <c r="E24" s="111">
        <f>F24*D24</f>
        <v>267771.25944477395</v>
      </c>
      <c r="F24" s="107">
        <f>F23</f>
        <v>557.85679050994577</v>
      </c>
      <c r="G24" s="196" t="s">
        <v>425</v>
      </c>
      <c r="H24" s="106">
        <f>D25/C25</f>
        <v>5.7812142857142863</v>
      </c>
      <c r="I24" s="135"/>
    </row>
    <row r="25" spans="1:9" s="106" customFormat="1">
      <c r="A25" s="105"/>
      <c r="B25" s="7" t="s">
        <v>5678</v>
      </c>
      <c r="C25" s="58">
        <v>42</v>
      </c>
      <c r="D25" s="105">
        <f>D23-D24</f>
        <v>242.81100000000004</v>
      </c>
      <c r="E25" s="246">
        <f>E21+E22-E24</f>
        <v>135453.76516051049</v>
      </c>
      <c r="F25" s="107">
        <f>F24</f>
        <v>557.85679050994577</v>
      </c>
      <c r="G25" s="196" t="s">
        <v>424</v>
      </c>
      <c r="H25" s="198">
        <f>E25/C25</f>
        <v>3225.0896466788213</v>
      </c>
    </row>
    <row r="26" spans="1:9" s="12" customFormat="1">
      <c r="A26" s="112"/>
      <c r="B26" s="112"/>
      <c r="C26" s="112"/>
      <c r="D26" s="112"/>
      <c r="E26" s="130"/>
      <c r="F26" s="112"/>
      <c r="G26" s="112"/>
      <c r="H26" s="112"/>
    </row>
    <row r="27" spans="1:9" s="106" customFormat="1">
      <c r="A27" s="105" t="s">
        <v>277</v>
      </c>
      <c r="B27" s="7" t="s">
        <v>4831</v>
      </c>
      <c r="C27" s="105">
        <f>C37</f>
        <v>52</v>
      </c>
      <c r="D27" s="105">
        <f>D37</f>
        <v>374.81100000000004</v>
      </c>
      <c r="E27" s="107">
        <f>E37</f>
        <v>204117.13083034632</v>
      </c>
      <c r="F27" s="107">
        <f>F37</f>
        <v>544.58682063852518</v>
      </c>
    </row>
    <row r="28" spans="1:9" s="106" customFormat="1">
      <c r="A28" s="105" t="s">
        <v>277</v>
      </c>
      <c r="B28" s="7" t="s">
        <v>4832</v>
      </c>
      <c r="C28" s="58">
        <v>16</v>
      </c>
      <c r="D28" s="105">
        <f>C28*24</f>
        <v>384</v>
      </c>
      <c r="E28" s="41">
        <v>189930</v>
      </c>
      <c r="F28" s="107">
        <f>E28/D28</f>
        <v>494.609375</v>
      </c>
      <c r="G28" s="196" t="s">
        <v>2557</v>
      </c>
      <c r="H28" s="172">
        <v>2400000</v>
      </c>
    </row>
    <row r="29" spans="1:9" s="106" customFormat="1">
      <c r="A29" s="105"/>
      <c r="B29" s="106" t="s">
        <v>279</v>
      </c>
      <c r="C29" s="105"/>
      <c r="D29" s="105">
        <f>D28+D27</f>
        <v>758.81100000000004</v>
      </c>
      <c r="E29" s="108">
        <f>E28+E27</f>
        <v>394047.13083034632</v>
      </c>
      <c r="F29" s="107">
        <f>E29/D29</f>
        <v>519.29549101205214</v>
      </c>
      <c r="G29" s="196" t="s">
        <v>3777</v>
      </c>
      <c r="H29" s="194">
        <f>1-E30/H28</f>
        <v>0.90912328907289086</v>
      </c>
    </row>
    <row r="30" spans="1:9" s="106" customFormat="1">
      <c r="A30" s="105" t="s">
        <v>273</v>
      </c>
      <c r="B30" s="7" t="s">
        <v>4833</v>
      </c>
      <c r="C30" s="105"/>
      <c r="D30" s="56">
        <v>420</v>
      </c>
      <c r="E30" s="111">
        <f>F30*D30</f>
        <v>218104.1062250619</v>
      </c>
      <c r="F30" s="107">
        <f>F29</f>
        <v>519.29549101205214</v>
      </c>
      <c r="G30" s="196" t="s">
        <v>425</v>
      </c>
      <c r="H30" s="106">
        <f>D31/C31</f>
        <v>6.9145102040816333</v>
      </c>
      <c r="I30" s="135"/>
    </row>
    <row r="31" spans="1:9" s="106" customFormat="1">
      <c r="A31" s="105"/>
      <c r="B31" s="7" t="s">
        <v>4834</v>
      </c>
      <c r="C31" s="58">
        <v>49</v>
      </c>
      <c r="D31" s="105">
        <f>D29-D30</f>
        <v>338.81100000000004</v>
      </c>
      <c r="E31" s="246">
        <f>E27+E28-E30</f>
        <v>175943.02460528442</v>
      </c>
      <c r="F31" s="107">
        <f>F30</f>
        <v>519.29549101205214</v>
      </c>
      <c r="G31" s="196" t="s">
        <v>424</v>
      </c>
      <c r="H31" s="198">
        <f>E31/C31</f>
        <v>3590.6739715364165</v>
      </c>
    </row>
    <row r="32" spans="1:9" s="12" customFormat="1">
      <c r="A32" s="112"/>
      <c r="B32" s="112"/>
      <c r="C32" s="112"/>
      <c r="D32" s="112"/>
      <c r="E32" s="130"/>
      <c r="F32" s="112"/>
      <c r="G32" s="112"/>
      <c r="H32" s="112"/>
    </row>
    <row r="33" spans="1:9" s="106" customFormat="1">
      <c r="A33" s="105" t="s">
        <v>277</v>
      </c>
      <c r="B33" s="7" t="s">
        <v>4451</v>
      </c>
      <c r="C33" s="105">
        <f>C43</f>
        <v>52</v>
      </c>
      <c r="D33" s="105">
        <f>D43</f>
        <v>298.81100000000004</v>
      </c>
      <c r="E33" s="107">
        <f>E43</f>
        <v>170467.12267298589</v>
      </c>
      <c r="F33" s="107">
        <f>F43</f>
        <v>570.48476352271462</v>
      </c>
    </row>
    <row r="34" spans="1:9" s="106" customFormat="1">
      <c r="A34" s="105" t="s">
        <v>277</v>
      </c>
      <c r="B34" s="7" t="s">
        <v>4452</v>
      </c>
      <c r="C34" s="58">
        <v>19</v>
      </c>
      <c r="D34" s="105">
        <f>C34*24</f>
        <v>456</v>
      </c>
      <c r="E34" s="41">
        <v>240593</v>
      </c>
      <c r="F34" s="107">
        <f>E34/D34</f>
        <v>527.61622807017545</v>
      </c>
      <c r="G34" s="196"/>
    </row>
    <row r="35" spans="1:9" s="106" customFormat="1">
      <c r="A35" s="105"/>
      <c r="B35" s="106" t="s">
        <v>279</v>
      </c>
      <c r="C35" s="105"/>
      <c r="D35" s="105">
        <f>D34+D33</f>
        <v>754.81100000000004</v>
      </c>
      <c r="E35" s="108">
        <f>E34+E33</f>
        <v>411060.12267298589</v>
      </c>
      <c r="F35" s="107">
        <f>E35/D35</f>
        <v>544.58682063852518</v>
      </c>
      <c r="G35" s="196" t="s">
        <v>3777</v>
      </c>
      <c r="H35" s="194">
        <f>1-E36/(2550357)</f>
        <v>0.91885724553753079</v>
      </c>
    </row>
    <row r="36" spans="1:9" s="106" customFormat="1">
      <c r="A36" s="105" t="s">
        <v>273</v>
      </c>
      <c r="B36" s="7" t="s">
        <v>4453</v>
      </c>
      <c r="C36" s="105"/>
      <c r="D36" s="56">
        <v>380</v>
      </c>
      <c r="E36" s="111">
        <f>F36*D36</f>
        <v>206942.99184263957</v>
      </c>
      <c r="F36" s="107">
        <f>F35</f>
        <v>544.58682063852518</v>
      </c>
      <c r="G36" s="196" t="s">
        <v>425</v>
      </c>
      <c r="H36" s="106">
        <f>D37/C37</f>
        <v>7.2079038461538465</v>
      </c>
      <c r="I36" s="135"/>
    </row>
    <row r="37" spans="1:9" s="106" customFormat="1">
      <c r="A37" s="105"/>
      <c r="B37" s="7" t="s">
        <v>4454</v>
      </c>
      <c r="C37" s="58">
        <v>52</v>
      </c>
      <c r="D37" s="105">
        <f>D35-D36</f>
        <v>374.81100000000004</v>
      </c>
      <c r="E37" s="246">
        <f>E33+E34-E36</f>
        <v>204117.13083034632</v>
      </c>
      <c r="F37" s="107">
        <f>F36</f>
        <v>544.58682063852518</v>
      </c>
      <c r="G37" s="196" t="s">
        <v>424</v>
      </c>
      <c r="H37" s="198">
        <f>E37/C37</f>
        <v>3925.3294390451215</v>
      </c>
    </row>
    <row r="38" spans="1:9" s="12" customFormat="1">
      <c r="A38" s="112"/>
      <c r="B38" s="112"/>
      <c r="C38" s="112"/>
      <c r="D38" s="112"/>
      <c r="E38" s="130"/>
      <c r="F38" s="112"/>
      <c r="G38" s="112"/>
      <c r="H38" s="112"/>
    </row>
    <row r="39" spans="1:9" s="106" customFormat="1">
      <c r="A39" s="105" t="s">
        <v>277</v>
      </c>
      <c r="B39" s="106" t="s">
        <v>2154</v>
      </c>
      <c r="C39" s="105">
        <f>C49</f>
        <v>50</v>
      </c>
      <c r="D39" s="105">
        <f>D49</f>
        <v>302.81100000000004</v>
      </c>
      <c r="E39" s="107">
        <f>E49</f>
        <v>168888.11389343464</v>
      </c>
      <c r="F39" s="107">
        <f>F49</f>
        <v>557.73440823957719</v>
      </c>
    </row>
    <row r="40" spans="1:9" s="106" customFormat="1">
      <c r="A40" s="105" t="s">
        <v>277</v>
      </c>
      <c r="B40" s="106" t="s">
        <v>2155</v>
      </c>
      <c r="C40" s="58">
        <v>19</v>
      </c>
      <c r="D40" s="105">
        <f>C40*24</f>
        <v>456</v>
      </c>
      <c r="E40" s="41">
        <v>264002</v>
      </c>
      <c r="F40" s="107">
        <f>E40/D40</f>
        <v>578.95175438596493</v>
      </c>
      <c r="G40" s="196"/>
    </row>
    <row r="41" spans="1:9" s="106" customFormat="1">
      <c r="A41" s="105"/>
      <c r="B41" s="106" t="s">
        <v>279</v>
      </c>
      <c r="C41" s="105"/>
      <c r="D41" s="105">
        <f>D40+D39</f>
        <v>758.81100000000004</v>
      </c>
      <c r="E41" s="108">
        <f>E40+E39</f>
        <v>432890.11389343464</v>
      </c>
      <c r="F41" s="107">
        <f>E41/D41</f>
        <v>570.48476352271462</v>
      </c>
      <c r="G41" s="196" t="s">
        <v>3777</v>
      </c>
      <c r="H41" s="194">
        <f>1-E42/(2550357)</f>
        <v>0.8971034285708045</v>
      </c>
    </row>
    <row r="42" spans="1:9" s="106" customFormat="1">
      <c r="A42" s="105" t="s">
        <v>273</v>
      </c>
      <c r="B42" s="106" t="s">
        <v>2156</v>
      </c>
      <c r="C42" s="105"/>
      <c r="D42" s="56">
        <v>460</v>
      </c>
      <c r="E42" s="111">
        <f>F42*D42</f>
        <v>262422.99122044875</v>
      </c>
      <c r="F42" s="107">
        <f>F41</f>
        <v>570.48476352271462</v>
      </c>
      <c r="G42" s="196" t="s">
        <v>425</v>
      </c>
      <c r="H42" s="106">
        <f>D43/C43</f>
        <v>5.7463653846153857</v>
      </c>
      <c r="I42" s="135"/>
    </row>
    <row r="43" spans="1:9" s="106" customFormat="1">
      <c r="A43" s="105"/>
      <c r="B43" s="106" t="s">
        <v>2157</v>
      </c>
      <c r="C43" s="58">
        <v>52</v>
      </c>
      <c r="D43" s="105">
        <f>D41-D42</f>
        <v>298.81100000000004</v>
      </c>
      <c r="E43" s="246">
        <f>E39+E40-E42</f>
        <v>170467.12267298589</v>
      </c>
      <c r="F43" s="107">
        <f>F42</f>
        <v>570.48476352271462</v>
      </c>
      <c r="G43" s="196" t="s">
        <v>424</v>
      </c>
      <c r="H43" s="198">
        <f>E43/C43</f>
        <v>3278.2138975574208</v>
      </c>
    </row>
    <row r="44" spans="1:9" s="12" customFormat="1">
      <c r="A44" s="112"/>
      <c r="B44" s="112"/>
      <c r="C44" s="112"/>
      <c r="D44" s="112"/>
      <c r="E44" s="130"/>
      <c r="F44" s="112"/>
      <c r="G44" s="112"/>
      <c r="H44" s="112"/>
    </row>
    <row r="45" spans="1:9" s="106" customFormat="1">
      <c r="A45" s="105" t="s">
        <v>277</v>
      </c>
      <c r="B45" s="106" t="s">
        <v>1447</v>
      </c>
      <c r="C45" s="105">
        <f>C55</f>
        <v>51</v>
      </c>
      <c r="D45" s="105">
        <f>D55</f>
        <v>267.81100000000004</v>
      </c>
      <c r="E45" s="107">
        <f>E55</f>
        <v>160271.79657129722</v>
      </c>
      <c r="F45" s="107">
        <f>F55</f>
        <v>598.45113371481091</v>
      </c>
    </row>
    <row r="46" spans="1:9" s="106" customFormat="1">
      <c r="A46" s="105" t="s">
        <v>277</v>
      </c>
      <c r="B46" s="106" t="s">
        <v>1448</v>
      </c>
      <c r="C46" s="58">
        <v>15</v>
      </c>
      <c r="D46" s="105">
        <f>C46*24</f>
        <v>360</v>
      </c>
      <c r="E46" s="41">
        <v>189880</v>
      </c>
      <c r="F46" s="107">
        <f>E46/D46</f>
        <v>527.44444444444446</v>
      </c>
      <c r="G46" s="196"/>
    </row>
    <row r="47" spans="1:9" s="106" customFormat="1">
      <c r="A47" s="105"/>
      <c r="B47" s="106" t="s">
        <v>279</v>
      </c>
      <c r="C47" s="105"/>
      <c r="D47" s="105">
        <f>D46+D45</f>
        <v>627.81100000000004</v>
      </c>
      <c r="E47" s="108">
        <f>E46+E45</f>
        <v>350151.79657129722</v>
      </c>
      <c r="F47" s="107">
        <f>E47/D47</f>
        <v>557.73440823957719</v>
      </c>
      <c r="G47" s="196" t="s">
        <v>3777</v>
      </c>
      <c r="H47" s="194">
        <f>1-E48/(2550357)</f>
        <v>0.92892615320997707</v>
      </c>
    </row>
    <row r="48" spans="1:9" s="106" customFormat="1">
      <c r="A48" s="105" t="s">
        <v>273</v>
      </c>
      <c r="B48" s="106" t="s">
        <v>1449</v>
      </c>
      <c r="C48" s="105"/>
      <c r="D48" s="56">
        <v>325</v>
      </c>
      <c r="E48" s="111">
        <f>F48*D48</f>
        <v>181263.68267786258</v>
      </c>
      <c r="F48" s="107">
        <f>F47</f>
        <v>557.73440823957719</v>
      </c>
      <c r="G48" s="196" t="s">
        <v>425</v>
      </c>
      <c r="H48" s="106">
        <f>D49/C49</f>
        <v>6.0562200000000006</v>
      </c>
      <c r="I48" s="135"/>
    </row>
    <row r="49" spans="1:8" s="106" customFormat="1">
      <c r="A49" s="105"/>
      <c r="B49" s="106" t="s">
        <v>1450</v>
      </c>
      <c r="C49" s="58">
        <v>50</v>
      </c>
      <c r="D49" s="105">
        <f>D47-D48</f>
        <v>302.81100000000004</v>
      </c>
      <c r="E49" s="246">
        <f>E45+E46-E48</f>
        <v>168888.11389343464</v>
      </c>
      <c r="F49" s="107">
        <f>F48</f>
        <v>557.73440823957719</v>
      </c>
      <c r="G49" s="196" t="s">
        <v>424</v>
      </c>
      <c r="H49" s="198">
        <f>E49/C49</f>
        <v>3377.7622778686928</v>
      </c>
    </row>
    <row r="50" spans="1:8" s="12" customFormat="1">
      <c r="A50" s="112"/>
      <c r="B50" s="112"/>
      <c r="C50" s="112"/>
      <c r="D50" s="112"/>
      <c r="E50" s="130"/>
      <c r="F50" s="112"/>
      <c r="G50" s="112"/>
      <c r="H50" s="112"/>
    </row>
    <row r="51" spans="1:8" s="106" customFormat="1">
      <c r="A51" s="105" t="s">
        <v>277</v>
      </c>
      <c r="B51" s="106" t="s">
        <v>2781</v>
      </c>
      <c r="C51" s="105">
        <f>C61</f>
        <v>54</v>
      </c>
      <c r="D51" s="105">
        <v>205.81100000000001</v>
      </c>
      <c r="E51" s="107">
        <v>131255.57999999999</v>
      </c>
      <c r="F51" s="107">
        <f>E51/D51</f>
        <v>637.74812813697997</v>
      </c>
    </row>
    <row r="52" spans="1:8" s="106" customFormat="1">
      <c r="A52" s="105" t="s">
        <v>277</v>
      </c>
      <c r="B52" s="106" t="s">
        <v>2782</v>
      </c>
      <c r="C52" s="58">
        <v>13</v>
      </c>
      <c r="D52" s="105">
        <f>C52*24</f>
        <v>312</v>
      </c>
      <c r="E52" s="41">
        <v>178629</v>
      </c>
      <c r="F52" s="107">
        <f>E52/D52</f>
        <v>572.52884615384619</v>
      </c>
      <c r="G52" s="196" t="s">
        <v>2557</v>
      </c>
    </row>
    <row r="53" spans="1:8" s="106" customFormat="1">
      <c r="A53" s="105"/>
      <c r="B53" s="106" t="s">
        <v>279</v>
      </c>
      <c r="C53" s="105"/>
      <c r="D53" s="105">
        <f>D52+D51</f>
        <v>517.81100000000004</v>
      </c>
      <c r="E53" s="108">
        <f>E52+E51</f>
        <v>309884.57999999996</v>
      </c>
      <c r="F53" s="107">
        <f>E53/D53</f>
        <v>598.45113371481091</v>
      </c>
      <c r="G53" s="196" t="s">
        <v>3777</v>
      </c>
      <c r="H53" s="194">
        <f>1-E54/(2550357)</f>
        <v>0.9413365331094028</v>
      </c>
    </row>
    <row r="54" spans="1:8" s="106" customFormat="1">
      <c r="A54" s="105" t="s">
        <v>273</v>
      </c>
      <c r="B54" s="106" t="s">
        <v>2783</v>
      </c>
      <c r="C54" s="105"/>
      <c r="D54" s="56">
        <v>250</v>
      </c>
      <c r="E54" s="111">
        <f>F54*D54</f>
        <v>149612.78342870274</v>
      </c>
      <c r="F54" s="107">
        <f>F53</f>
        <v>598.45113371481091</v>
      </c>
      <c r="G54" s="196" t="s">
        <v>425</v>
      </c>
      <c r="H54" s="106">
        <f>D55/C55</f>
        <v>5.2511960784313736</v>
      </c>
    </row>
    <row r="55" spans="1:8" s="106" customFormat="1">
      <c r="A55" s="105"/>
      <c r="B55" s="106" t="s">
        <v>2784</v>
      </c>
      <c r="C55" s="58">
        <v>51</v>
      </c>
      <c r="D55" s="105">
        <f>D53-D54</f>
        <v>267.81100000000004</v>
      </c>
      <c r="E55" s="246">
        <f>E51+E52-E54</f>
        <v>160271.79657129722</v>
      </c>
      <c r="F55" s="107">
        <f>F54</f>
        <v>598.45113371481091</v>
      </c>
      <c r="G55" s="196" t="s">
        <v>424</v>
      </c>
      <c r="H55" s="198">
        <f>E55/C55</f>
        <v>3142.5842464960238</v>
      </c>
    </row>
    <row r="56" spans="1:8" s="12" customFormat="1">
      <c r="A56" s="112"/>
      <c r="B56" s="112"/>
      <c r="C56" s="112"/>
      <c r="D56" s="112"/>
      <c r="E56" s="130"/>
      <c r="F56" s="112"/>
      <c r="G56" s="112"/>
      <c r="H56" s="112"/>
    </row>
    <row r="57" spans="1:8" s="106" customFormat="1">
      <c r="A57" s="105" t="s">
        <v>277</v>
      </c>
      <c r="B57" s="106" t="s">
        <v>2675</v>
      </c>
      <c r="C57" s="105">
        <f>C67</f>
        <v>61</v>
      </c>
      <c r="D57" s="105">
        <v>181</v>
      </c>
      <c r="E57" s="107">
        <v>129377</v>
      </c>
      <c r="F57" s="107">
        <f>E57/D57</f>
        <v>714.79005524861873</v>
      </c>
    </row>
    <row r="58" spans="1:8" s="106" customFormat="1">
      <c r="A58" s="105" t="s">
        <v>277</v>
      </c>
      <c r="B58" s="106" t="s">
        <v>2676</v>
      </c>
      <c r="C58" s="58">
        <v>9</v>
      </c>
      <c r="D58" s="105">
        <f>C58*24</f>
        <v>216</v>
      </c>
      <c r="E58" s="41">
        <v>123809</v>
      </c>
      <c r="F58" s="107">
        <f>E58/D58</f>
        <v>573.18981481481478</v>
      </c>
      <c r="G58" s="196" t="s">
        <v>2557</v>
      </c>
    </row>
    <row r="59" spans="1:8" s="106" customFormat="1">
      <c r="A59" s="105"/>
      <c r="B59" s="106" t="s">
        <v>279</v>
      </c>
      <c r="C59" s="105"/>
      <c r="D59" s="105">
        <f>D58+D57</f>
        <v>397</v>
      </c>
      <c r="E59" s="108">
        <f>E58+E57</f>
        <v>253186</v>
      </c>
      <c r="F59" s="107">
        <f>E59/D59</f>
        <v>637.74811083123427</v>
      </c>
      <c r="G59" s="196" t="s">
        <v>3777</v>
      </c>
      <c r="H59" s="194">
        <f>1-E60/(1669889+150000)</f>
        <v>0.93300117558724027</v>
      </c>
    </row>
    <row r="60" spans="1:8" s="106" customFormat="1">
      <c r="A60" s="105" t="s">
        <v>273</v>
      </c>
      <c r="B60" s="106" t="s">
        <v>2677</v>
      </c>
      <c r="C60" s="105"/>
      <c r="D60" s="56">
        <v>191.18899999999999</v>
      </c>
      <c r="E60" s="111">
        <f>F60*D60</f>
        <v>121930.42356171284</v>
      </c>
      <c r="F60" s="107">
        <f>F59</f>
        <v>637.74811083123427</v>
      </c>
      <c r="G60" s="196" t="s">
        <v>425</v>
      </c>
      <c r="H60" s="106">
        <f>D61/C61</f>
        <v>3.811314814814815</v>
      </c>
    </row>
    <row r="61" spans="1:8" s="106" customFormat="1">
      <c r="A61" s="105"/>
      <c r="B61" s="106" t="s">
        <v>2678</v>
      </c>
      <c r="C61" s="58">
        <v>54</v>
      </c>
      <c r="D61" s="105">
        <f>D59-D60</f>
        <v>205.81100000000001</v>
      </c>
      <c r="E61" s="246">
        <f>E57+E58-E60</f>
        <v>131255.57643828716</v>
      </c>
      <c r="F61" s="107">
        <f>F60</f>
        <v>637.74811083123427</v>
      </c>
      <c r="G61" s="196" t="s">
        <v>424</v>
      </c>
      <c r="H61" s="198">
        <f>E61/C61</f>
        <v>2430.6588229312438</v>
      </c>
    </row>
    <row r="62" spans="1:8" s="12" customFormat="1">
      <c r="A62" s="112"/>
      <c r="B62" s="112"/>
      <c r="C62" s="112"/>
      <c r="D62" s="112"/>
      <c r="E62" s="130"/>
      <c r="F62" s="112"/>
      <c r="G62" s="112"/>
      <c r="H62" s="112"/>
    </row>
    <row r="63" spans="1:8" s="106" customFormat="1">
      <c r="A63" s="105" t="s">
        <v>277</v>
      </c>
      <c r="B63" s="106" t="s">
        <v>3778</v>
      </c>
      <c r="C63" s="105">
        <v>46</v>
      </c>
      <c r="D63" s="105">
        <v>181</v>
      </c>
      <c r="E63" s="107">
        <v>106697.41</v>
      </c>
      <c r="F63" s="107">
        <v>589.48845303867404</v>
      </c>
    </row>
    <row r="64" spans="1:8" s="106" customFormat="1">
      <c r="A64" s="105" t="s">
        <v>277</v>
      </c>
      <c r="B64" s="106" t="s">
        <v>3779</v>
      </c>
      <c r="C64" s="58">
        <v>18</v>
      </c>
      <c r="D64" s="105">
        <v>432</v>
      </c>
      <c r="E64" s="41">
        <v>192576</v>
      </c>
      <c r="F64" s="107">
        <v>445.77777777777777</v>
      </c>
      <c r="G64" s="196" t="s">
        <v>2557</v>
      </c>
      <c r="H64" s="106">
        <v>150000</v>
      </c>
    </row>
    <row r="65" spans="1:11" s="106" customFormat="1">
      <c r="A65" s="105"/>
      <c r="B65" s="106" t="s">
        <v>279</v>
      </c>
      <c r="C65" s="105"/>
      <c r="D65" s="110">
        <v>613</v>
      </c>
      <c r="E65" s="108">
        <v>299273.40999999997</v>
      </c>
      <c r="F65" s="107">
        <v>488.21110929853188</v>
      </c>
      <c r="G65" s="196" t="s">
        <v>3777</v>
      </c>
      <c r="H65" s="194">
        <v>0.93440576448890211</v>
      </c>
    </row>
    <row r="66" spans="1:11" s="106" customFormat="1">
      <c r="A66" s="105" t="s">
        <v>273</v>
      </c>
      <c r="B66" s="106" t="s">
        <v>3780</v>
      </c>
      <c r="C66" s="105"/>
      <c r="D66" s="56">
        <v>348</v>
      </c>
      <c r="E66" s="111">
        <v>169897.46603588908</v>
      </c>
      <c r="F66" s="107">
        <v>488.21110929853188</v>
      </c>
      <c r="G66" s="196" t="s">
        <v>425</v>
      </c>
      <c r="H66" s="106">
        <v>4.3442622950819674</v>
      </c>
    </row>
    <row r="67" spans="1:11" s="106" customFormat="1">
      <c r="A67" s="105"/>
      <c r="B67" s="106" t="s">
        <v>3781</v>
      </c>
      <c r="C67" s="58">
        <v>61</v>
      </c>
      <c r="D67" s="152">
        <v>265</v>
      </c>
      <c r="E67" s="108">
        <v>129375.94396411095</v>
      </c>
      <c r="F67" s="107">
        <v>488.21110929853188</v>
      </c>
      <c r="G67" s="196" t="s">
        <v>424</v>
      </c>
      <c r="H67" s="198">
        <v>2120.9171141657534</v>
      </c>
    </row>
    <row r="68" spans="1:11" s="12" customFormat="1">
      <c r="A68" s="112"/>
      <c r="B68" s="112"/>
      <c r="C68" s="112"/>
      <c r="D68" s="112"/>
      <c r="E68" s="130"/>
      <c r="F68" s="112"/>
      <c r="G68" s="112"/>
      <c r="H68" s="112"/>
    </row>
    <row r="69" spans="1:11" s="106" customFormat="1">
      <c r="A69" s="105" t="s">
        <v>277</v>
      </c>
      <c r="B69" s="106" t="s">
        <v>439</v>
      </c>
      <c r="C69" s="105">
        <v>65</v>
      </c>
      <c r="D69" s="105">
        <v>255</v>
      </c>
      <c r="E69" s="107">
        <v>147031.07</v>
      </c>
      <c r="F69" s="107">
        <f>E69/D69</f>
        <v>576.59243137254907</v>
      </c>
    </row>
    <row r="70" spans="1:11" s="106" customFormat="1">
      <c r="A70" s="105" t="s">
        <v>277</v>
      </c>
      <c r="B70" s="106" t="s">
        <v>828</v>
      </c>
      <c r="C70" s="58">
        <v>9</v>
      </c>
      <c r="D70" s="105">
        <f>C70*24</f>
        <v>216</v>
      </c>
      <c r="E70" s="41">
        <v>130618</v>
      </c>
      <c r="F70" s="107">
        <f>E70/D70</f>
        <v>604.71296296296293</v>
      </c>
    </row>
    <row r="71" spans="1:11" s="106" customFormat="1">
      <c r="A71" s="105"/>
      <c r="B71" s="106" t="s">
        <v>279</v>
      </c>
      <c r="C71" s="105"/>
      <c r="D71" s="110">
        <f>D70+D69</f>
        <v>471</v>
      </c>
      <c r="E71" s="108">
        <f>E70+E69</f>
        <v>277649.07</v>
      </c>
      <c r="F71" s="107">
        <f>E71/D71</f>
        <v>589.48847133757965</v>
      </c>
    </row>
    <row r="72" spans="1:11" s="106" customFormat="1">
      <c r="A72" s="105" t="s">
        <v>273</v>
      </c>
      <c r="B72" s="106" t="s">
        <v>829</v>
      </c>
      <c r="C72" s="105"/>
      <c r="D72" s="56">
        <v>290</v>
      </c>
      <c r="E72" s="111">
        <f>F72*D72</f>
        <v>170951.6566878981</v>
      </c>
      <c r="F72" s="107">
        <f>F71</f>
        <v>589.48847133757965</v>
      </c>
      <c r="G72" s="105" t="s">
        <v>424</v>
      </c>
      <c r="H72" s="105" t="s">
        <v>425</v>
      </c>
    </row>
    <row r="73" spans="1:11" s="106" customFormat="1">
      <c r="A73" s="105"/>
      <c r="B73" s="106" t="s">
        <v>830</v>
      </c>
      <c r="C73" s="58">
        <v>46</v>
      </c>
      <c r="D73" s="152">
        <f>D71-D72</f>
        <v>181</v>
      </c>
      <c r="E73" s="107">
        <f>E69+E70-E72</f>
        <v>106697.41331210191</v>
      </c>
      <c r="F73" s="107">
        <f>F72</f>
        <v>589.48847133757965</v>
      </c>
      <c r="G73" s="109">
        <f>E73/C73</f>
        <v>2319.5089850456939</v>
      </c>
      <c r="H73" s="106">
        <f>D73/C73</f>
        <v>3.9347826086956523</v>
      </c>
      <c r="I73" s="135">
        <f>F73*H73</f>
        <v>2319.5089850456939</v>
      </c>
    </row>
    <row r="74" spans="1:11" s="12" customFormat="1">
      <c r="A74" s="112"/>
      <c r="B74" s="112"/>
      <c r="C74" s="112"/>
      <c r="D74" s="112"/>
      <c r="E74" s="130"/>
      <c r="F74" s="112"/>
      <c r="G74" s="112"/>
      <c r="H74" s="112"/>
    </row>
    <row r="75" spans="1:11" s="106" customFormat="1">
      <c r="A75" s="105" t="s">
        <v>277</v>
      </c>
      <c r="B75" s="106" t="s">
        <v>339</v>
      </c>
      <c r="C75" s="105">
        <v>68</v>
      </c>
      <c r="D75" s="105">
        <v>267</v>
      </c>
      <c r="E75" s="107">
        <v>164322.31</v>
      </c>
      <c r="F75" s="107">
        <f>E75/D75</f>
        <v>615.43936329588018</v>
      </c>
    </row>
    <row r="76" spans="1:11" s="106" customFormat="1">
      <c r="A76" s="105" t="s">
        <v>277</v>
      </c>
      <c r="B76" s="106" t="s">
        <v>340</v>
      </c>
      <c r="C76" s="105">
        <v>32</v>
      </c>
      <c r="D76" s="105">
        <f>C76*24</f>
        <v>768</v>
      </c>
      <c r="E76" s="108">
        <v>432450.85499999998</v>
      </c>
      <c r="F76" s="107">
        <f>E76/D76</f>
        <v>563.08705078125001</v>
      </c>
    </row>
    <row r="77" spans="1:11" s="106" customFormat="1">
      <c r="A77" s="105"/>
      <c r="B77" s="106" t="s">
        <v>279</v>
      </c>
      <c r="C77" s="105"/>
      <c r="D77" s="110">
        <f>D76+D75</f>
        <v>1035</v>
      </c>
      <c r="E77" s="108">
        <f>E76+E75</f>
        <v>596773.16500000004</v>
      </c>
      <c r="F77" s="107">
        <f>E77/D77</f>
        <v>576.59242995169086</v>
      </c>
    </row>
    <row r="78" spans="1:11" s="106" customFormat="1">
      <c r="A78" s="105" t="s">
        <v>273</v>
      </c>
      <c r="B78" s="106" t="s">
        <v>341</v>
      </c>
      <c r="C78" s="105"/>
      <c r="D78" s="105">
        <v>780</v>
      </c>
      <c r="E78" s="108">
        <f>F78*D78</f>
        <v>449742.09536231885</v>
      </c>
      <c r="F78" s="107">
        <f>F77</f>
        <v>576.59242995169086</v>
      </c>
      <c r="G78" s="105" t="s">
        <v>424</v>
      </c>
      <c r="H78" s="105" t="s">
        <v>425</v>
      </c>
    </row>
    <row r="79" spans="1:11" s="106" customFormat="1">
      <c r="A79" s="105"/>
      <c r="B79" s="106" t="s">
        <v>342</v>
      </c>
      <c r="C79" s="105">
        <v>65</v>
      </c>
      <c r="D79" s="152">
        <f>D77-D78</f>
        <v>255</v>
      </c>
      <c r="E79" s="107">
        <f>E75+E76-E78</f>
        <v>147031.06963768118</v>
      </c>
      <c r="F79" s="107">
        <f>F77</f>
        <v>576.59242995169086</v>
      </c>
      <c r="G79" s="109">
        <f>E79/C79</f>
        <v>2262.0164559643258</v>
      </c>
      <c r="H79" s="106">
        <f>D79/C79</f>
        <v>3.9230769230769229</v>
      </c>
      <c r="I79" s="135">
        <f>F79*H79</f>
        <v>2262.0164559643254</v>
      </c>
      <c r="K79" s="106">
        <f>43200/1800</f>
        <v>24</v>
      </c>
    </row>
    <row r="80" spans="1:11" s="12" customFormat="1">
      <c r="A80" s="112"/>
      <c r="B80" s="112"/>
      <c r="C80" s="112"/>
      <c r="D80" s="112"/>
      <c r="E80" s="130"/>
      <c r="F80" s="112"/>
      <c r="G80" s="112"/>
      <c r="H80" s="112"/>
    </row>
    <row r="81" spans="1:9" s="106" customFormat="1">
      <c r="A81" s="105" t="s">
        <v>277</v>
      </c>
      <c r="B81" s="106" t="s">
        <v>2638</v>
      </c>
      <c r="C81" s="105">
        <v>126</v>
      </c>
      <c r="D81" s="105">
        <v>736</v>
      </c>
      <c r="E81" s="107">
        <v>407217.7</v>
      </c>
      <c r="F81" s="107">
        <v>553.28491847826092</v>
      </c>
    </row>
    <row r="82" spans="1:9" s="106" customFormat="1">
      <c r="A82" s="105" t="s">
        <v>277</v>
      </c>
      <c r="B82" s="106" t="s">
        <v>2639</v>
      </c>
      <c r="C82" s="105">
        <v>21</v>
      </c>
      <c r="D82" s="105">
        <v>504</v>
      </c>
      <c r="E82" s="108">
        <v>355918</v>
      </c>
      <c r="F82" s="107">
        <v>706.18650793650795</v>
      </c>
    </row>
    <row r="83" spans="1:9" s="106" customFormat="1">
      <c r="A83" s="105"/>
      <c r="B83" s="106" t="s">
        <v>279</v>
      </c>
      <c r="C83" s="105"/>
      <c r="D83" s="110">
        <v>1240</v>
      </c>
      <c r="E83" s="108">
        <v>763135.7</v>
      </c>
      <c r="F83" s="107">
        <v>615.43201612903226</v>
      </c>
    </row>
    <row r="84" spans="1:9" s="106" customFormat="1">
      <c r="A84" s="105" t="s">
        <v>273</v>
      </c>
      <c r="B84" s="106" t="s">
        <v>2640</v>
      </c>
      <c r="C84" s="105"/>
      <c r="D84" s="105">
        <v>973</v>
      </c>
      <c r="E84" s="108">
        <v>598813.39</v>
      </c>
      <c r="F84" s="107">
        <v>615.42999999999995</v>
      </c>
      <c r="G84" s="105" t="s">
        <v>424</v>
      </c>
      <c r="H84" s="105" t="s">
        <v>425</v>
      </c>
    </row>
    <row r="85" spans="1:9" s="106" customFormat="1">
      <c r="A85" s="105"/>
      <c r="B85" s="106" t="s">
        <v>2641</v>
      </c>
      <c r="C85" s="105">
        <v>68</v>
      </c>
      <c r="D85" s="152">
        <v>267</v>
      </c>
      <c r="E85" s="107">
        <v>164322.31</v>
      </c>
      <c r="F85" s="107">
        <v>615.42999999999995</v>
      </c>
      <c r="G85" s="109">
        <f>E85/C85</f>
        <v>2416.5045588235294</v>
      </c>
      <c r="H85" s="106">
        <f>D85/C85</f>
        <v>3.9264705882352939</v>
      </c>
      <c r="I85" s="135">
        <f>F85*H85</f>
        <v>2416.4677941176469</v>
      </c>
    </row>
    <row r="86" spans="1:9" s="12" customFormat="1">
      <c r="A86" s="112"/>
      <c r="B86" s="112"/>
      <c r="C86" s="112"/>
      <c r="D86" s="112"/>
      <c r="E86" s="130"/>
      <c r="F86" s="112"/>
      <c r="G86" s="112"/>
      <c r="H86" s="112"/>
    </row>
    <row r="87" spans="1:9" s="106" customFormat="1">
      <c r="A87" s="105" t="s">
        <v>1589</v>
      </c>
      <c r="B87" s="106" t="s">
        <v>1590</v>
      </c>
      <c r="C87" s="105">
        <v>175</v>
      </c>
      <c r="D87" s="105">
        <v>1240</v>
      </c>
      <c r="E87" s="107">
        <v>632413.98060970334</v>
      </c>
      <c r="F87" s="107">
        <v>510.01127468524464</v>
      </c>
    </row>
    <row r="88" spans="1:9" s="106" customFormat="1">
      <c r="A88" s="105" t="s">
        <v>1589</v>
      </c>
      <c r="B88" s="106" t="s">
        <v>1591</v>
      </c>
      <c r="C88" s="105">
        <v>47</v>
      </c>
      <c r="D88" s="105">
        <v>1128</v>
      </c>
      <c r="E88" s="108">
        <v>677764.71499999997</v>
      </c>
      <c r="F88" s="107">
        <f>E88/D88</f>
        <v>600.85524379432616</v>
      </c>
    </row>
    <row r="89" spans="1:9" s="106" customFormat="1">
      <c r="A89" s="105"/>
      <c r="B89" s="106" t="s">
        <v>1592</v>
      </c>
      <c r="C89" s="105"/>
      <c r="D89" s="110">
        <v>2368</v>
      </c>
      <c r="E89" s="108">
        <v>1310178.6956097032</v>
      </c>
      <c r="F89" s="109">
        <v>553.28492213247603</v>
      </c>
    </row>
    <row r="90" spans="1:9" s="106" customFormat="1">
      <c r="A90" s="105" t="s">
        <v>1593</v>
      </c>
      <c r="B90" s="106" t="s">
        <v>1594</v>
      </c>
      <c r="C90" s="105"/>
      <c r="D90" s="105">
        <v>1632</v>
      </c>
      <c r="E90" s="108">
        <v>902960.99292020092</v>
      </c>
      <c r="F90" s="109">
        <v>553.28492213247603</v>
      </c>
      <c r="G90" s="105" t="s">
        <v>424</v>
      </c>
      <c r="H90" s="105" t="s">
        <v>425</v>
      </c>
    </row>
    <row r="91" spans="1:9" s="106" customFormat="1">
      <c r="A91" s="105"/>
      <c r="B91" s="106" t="s">
        <v>1595</v>
      </c>
      <c r="C91" s="105">
        <v>126</v>
      </c>
      <c r="D91" s="105">
        <v>736</v>
      </c>
      <c r="E91" s="107">
        <v>407217.70268950227</v>
      </c>
      <c r="F91" s="109">
        <v>553.28492213247591</v>
      </c>
      <c r="G91" s="109">
        <v>3231.88652928176</v>
      </c>
      <c r="H91" s="106">
        <v>5.8412698412698409</v>
      </c>
      <c r="I91" s="135">
        <f>F91*H91</f>
        <v>3231.8865292817641</v>
      </c>
    </row>
    <row r="92" spans="1:9" s="12" customFormat="1">
      <c r="A92" s="112"/>
      <c r="B92" s="112"/>
      <c r="C92" s="112"/>
      <c r="D92" s="112"/>
      <c r="E92" s="130"/>
      <c r="F92" s="112"/>
      <c r="G92" s="112"/>
      <c r="H92" s="112"/>
    </row>
    <row r="93" spans="1:9" s="106" customFormat="1">
      <c r="A93" s="105" t="s">
        <v>1589</v>
      </c>
      <c r="B93" s="106" t="s">
        <v>1596</v>
      </c>
      <c r="C93" s="105">
        <v>195</v>
      </c>
      <c r="D93" s="105">
        <v>1726</v>
      </c>
      <c r="E93" s="107">
        <v>935781.88872114476</v>
      </c>
      <c r="F93" s="107">
        <v>542.16795406787071</v>
      </c>
    </row>
    <row r="94" spans="1:9" s="106" customFormat="1">
      <c r="A94" s="105" t="s">
        <v>1589</v>
      </c>
      <c r="B94" s="106" t="s">
        <v>1597</v>
      </c>
      <c r="C94" s="105">
        <v>63</v>
      </c>
      <c r="D94" s="105">
        <v>1512</v>
      </c>
      <c r="E94" s="108">
        <v>715637.23</v>
      </c>
      <c r="F94" s="107">
        <f>E94/D94</f>
        <v>473.30504629629627</v>
      </c>
    </row>
    <row r="95" spans="1:9" s="106" customFormat="1">
      <c r="A95" s="105"/>
      <c r="B95" s="106" t="s">
        <v>1592</v>
      </c>
      <c r="C95" s="105"/>
      <c r="D95" s="110">
        <v>3238</v>
      </c>
      <c r="E95" s="108">
        <v>1651419.1187211447</v>
      </c>
      <c r="F95" s="109">
        <v>510.01208113685755</v>
      </c>
    </row>
    <row r="96" spans="1:9" s="106" customFormat="1">
      <c r="A96" s="105" t="s">
        <v>1593</v>
      </c>
      <c r="B96" s="106" t="s">
        <v>1598</v>
      </c>
      <c r="C96" s="105"/>
      <c r="D96" s="105">
        <v>1998</v>
      </c>
      <c r="E96" s="108">
        <v>1019004.1381114414</v>
      </c>
      <c r="F96" s="109">
        <v>510.01208113685755</v>
      </c>
      <c r="G96" s="105" t="s">
        <v>424</v>
      </c>
      <c r="H96" s="105" t="s">
        <v>425</v>
      </c>
    </row>
    <row r="97" spans="1:8" s="106" customFormat="1">
      <c r="A97" s="105"/>
      <c r="B97" s="106" t="s">
        <v>338</v>
      </c>
      <c r="C97" s="105">
        <v>175</v>
      </c>
      <c r="D97" s="105">
        <v>1240</v>
      </c>
      <c r="E97" s="107">
        <v>632413.98060970334</v>
      </c>
      <c r="F97" s="109">
        <v>510.01127468524464</v>
      </c>
      <c r="G97" s="109">
        <v>3613.7941749125907</v>
      </c>
      <c r="H97" s="106">
        <v>7.0857142857142854</v>
      </c>
    </row>
    <row r="98" spans="1:8" s="106" customFormat="1">
      <c r="A98" s="112"/>
      <c r="B98" s="113"/>
      <c r="C98" s="112"/>
      <c r="D98" s="112"/>
      <c r="E98" s="130"/>
      <c r="F98" s="113"/>
      <c r="G98" s="113"/>
      <c r="H98" s="113"/>
    </row>
    <row r="99" spans="1:8">
      <c r="A99" s="12" t="s">
        <v>1589</v>
      </c>
      <c r="B99" s="13" t="s">
        <v>1599</v>
      </c>
      <c r="C99" s="12">
        <v>170</v>
      </c>
      <c r="D99" s="12">
        <v>1624</v>
      </c>
      <c r="E99" s="14">
        <v>1027499.8649529166</v>
      </c>
      <c r="F99" s="14">
        <v>632.69696117790431</v>
      </c>
    </row>
    <row r="100" spans="1:8">
      <c r="A100" s="12" t="s">
        <v>1589</v>
      </c>
      <c r="B100" s="13" t="s">
        <v>1600</v>
      </c>
      <c r="C100" s="105">
        <v>93</v>
      </c>
      <c r="D100" s="12">
        <v>2232</v>
      </c>
      <c r="E100" s="108">
        <v>1063102</v>
      </c>
      <c r="F100" s="16"/>
    </row>
    <row r="101" spans="1:8">
      <c r="B101" s="13" t="s">
        <v>1592</v>
      </c>
      <c r="C101" s="105"/>
      <c r="D101" s="48">
        <v>3856</v>
      </c>
      <c r="E101" s="15">
        <v>2090601.8649529167</v>
      </c>
      <c r="F101" s="16">
        <v>542.16853344214644</v>
      </c>
    </row>
    <row r="102" spans="1:8">
      <c r="A102" s="12" t="s">
        <v>1593</v>
      </c>
      <c r="B102" s="13" t="s">
        <v>2139</v>
      </c>
      <c r="C102" s="105"/>
      <c r="D102" s="105">
        <v>2130</v>
      </c>
      <c r="E102" s="108">
        <v>1154818.976231772</v>
      </c>
      <c r="F102" s="16">
        <v>542.16853344214644</v>
      </c>
      <c r="G102" s="12" t="s">
        <v>424</v>
      </c>
      <c r="H102" s="12" t="s">
        <v>425</v>
      </c>
    </row>
    <row r="103" spans="1:8">
      <c r="B103" s="13" t="s">
        <v>2964</v>
      </c>
      <c r="C103" s="105">
        <v>195</v>
      </c>
      <c r="D103" s="12">
        <v>1726</v>
      </c>
      <c r="E103" s="14">
        <v>935781.88872114476</v>
      </c>
      <c r="F103" s="16">
        <v>542.16795406787071</v>
      </c>
      <c r="G103" s="16">
        <v>4798.8814806212549</v>
      </c>
      <c r="H103" s="13">
        <v>8.8512820512820518</v>
      </c>
    </row>
    <row r="104" spans="1:8">
      <c r="A104" s="112"/>
      <c r="B104" s="113"/>
      <c r="C104" s="112"/>
      <c r="D104" s="112"/>
      <c r="E104" s="130"/>
      <c r="F104" s="113"/>
      <c r="G104" s="113"/>
      <c r="H104" s="113"/>
    </row>
    <row r="105" spans="1:8">
      <c r="A105" s="12" t="s">
        <v>1589</v>
      </c>
      <c r="B105" s="13" t="s">
        <v>2140</v>
      </c>
      <c r="C105" s="12">
        <v>157</v>
      </c>
      <c r="D105" s="12">
        <v>1321</v>
      </c>
      <c r="E105" s="14">
        <v>899990.00302943483</v>
      </c>
      <c r="F105" s="14">
        <v>681.29447617671065</v>
      </c>
    </row>
    <row r="106" spans="1:8">
      <c r="A106" s="12" t="s">
        <v>1589</v>
      </c>
      <c r="B106" s="13" t="s">
        <v>2141</v>
      </c>
      <c r="C106" s="12">
        <v>100</v>
      </c>
      <c r="D106" s="12">
        <v>2400</v>
      </c>
      <c r="E106" s="15">
        <v>1454275</v>
      </c>
      <c r="F106" s="16">
        <v>605.94791666666663</v>
      </c>
    </row>
    <row r="107" spans="1:8">
      <c r="B107" s="13" t="s">
        <v>1592</v>
      </c>
      <c r="D107" s="48">
        <v>3721</v>
      </c>
      <c r="E107" s="15">
        <v>2354265.0030294349</v>
      </c>
      <c r="F107" s="16">
        <v>632.69685649810128</v>
      </c>
    </row>
    <row r="108" spans="1:8">
      <c r="A108" s="12" t="s">
        <v>1593</v>
      </c>
      <c r="B108" s="13" t="s">
        <v>2142</v>
      </c>
      <c r="D108" s="12">
        <v>2097</v>
      </c>
      <c r="E108" s="15">
        <v>1326765.3080765184</v>
      </c>
      <c r="F108" s="16">
        <v>632.69685649810128</v>
      </c>
      <c r="G108" s="12" t="s">
        <v>424</v>
      </c>
      <c r="H108" s="12" t="s">
        <v>425</v>
      </c>
    </row>
    <row r="109" spans="1:8">
      <c r="B109" s="13" t="s">
        <v>2143</v>
      </c>
      <c r="C109" s="12">
        <v>170</v>
      </c>
      <c r="D109" s="12">
        <v>1624</v>
      </c>
      <c r="E109" s="14">
        <v>1027499.8649529166</v>
      </c>
      <c r="F109" s="16">
        <v>632.69696117790431</v>
      </c>
      <c r="G109" s="16">
        <v>6044.1168526642159</v>
      </c>
      <c r="H109" s="13">
        <v>9.552941176470588</v>
      </c>
    </row>
    <row r="110" spans="1:8">
      <c r="A110" s="112"/>
      <c r="B110" s="113"/>
      <c r="C110" s="112"/>
      <c r="D110" s="112"/>
      <c r="E110" s="130"/>
      <c r="F110" s="113"/>
      <c r="G110" s="113"/>
      <c r="H110" s="113"/>
    </row>
    <row r="111" spans="1:8">
      <c r="A111" s="12" t="s">
        <v>1589</v>
      </c>
      <c r="B111" s="13" t="s">
        <v>2144</v>
      </c>
      <c r="C111" s="12">
        <v>138</v>
      </c>
      <c r="D111" s="12">
        <v>2447</v>
      </c>
      <c r="E111" s="14">
        <v>1431163</v>
      </c>
      <c r="F111" s="14">
        <v>584.86432366162649</v>
      </c>
    </row>
    <row r="112" spans="1:8">
      <c r="A112" s="12" t="s">
        <v>1589</v>
      </c>
      <c r="B112" s="13" t="s">
        <v>2145</v>
      </c>
      <c r="C112" s="12">
        <v>58</v>
      </c>
      <c r="D112" s="12">
        <v>1392</v>
      </c>
      <c r="E112" s="15">
        <v>1184326</v>
      </c>
      <c r="F112" s="16">
        <v>850.80890804597698</v>
      </c>
    </row>
    <row r="113" spans="1:8">
      <c r="B113" s="13" t="s">
        <v>1592</v>
      </c>
      <c r="D113" s="15">
        <v>3839</v>
      </c>
      <c r="E113" s="15">
        <v>2615489</v>
      </c>
      <c r="F113" s="16">
        <v>681.29434748632457</v>
      </c>
    </row>
    <row r="114" spans="1:8">
      <c r="A114" s="12" t="s">
        <v>1593</v>
      </c>
      <c r="B114" s="13" t="s">
        <v>2146</v>
      </c>
      <c r="D114" s="12">
        <v>2518</v>
      </c>
      <c r="E114" s="15">
        <v>1715499.1669705652</v>
      </c>
      <c r="F114" s="16">
        <v>681.29434748632457</v>
      </c>
      <c r="G114" s="12" t="s">
        <v>424</v>
      </c>
      <c r="H114" s="12" t="s">
        <v>425</v>
      </c>
    </row>
    <row r="115" spans="1:8">
      <c r="B115" s="13" t="s">
        <v>2147</v>
      </c>
      <c r="C115" s="12">
        <v>157</v>
      </c>
      <c r="D115" s="12">
        <v>1321</v>
      </c>
      <c r="E115" s="14">
        <v>899990.00302943483</v>
      </c>
      <c r="F115" s="16">
        <v>681.29447617671065</v>
      </c>
      <c r="G115" s="16">
        <v>5732.4204014613679</v>
      </c>
      <c r="H115" s="13">
        <v>8.4140127388535024</v>
      </c>
    </row>
    <row r="116" spans="1:8">
      <c r="A116" s="112"/>
      <c r="B116" s="113"/>
      <c r="C116" s="112"/>
      <c r="D116" s="112"/>
      <c r="E116" s="130"/>
      <c r="F116" s="113"/>
      <c r="G116" s="113"/>
      <c r="H116" s="113"/>
    </row>
    <row r="117" spans="1:8">
      <c r="A117" s="12" t="s">
        <v>1589</v>
      </c>
      <c r="B117" s="13" t="s">
        <v>2148</v>
      </c>
      <c r="C117" s="12">
        <v>40</v>
      </c>
      <c r="D117" s="12">
        <v>960</v>
      </c>
      <c r="E117" s="15">
        <v>473830</v>
      </c>
      <c r="F117" s="16">
        <v>493.57291666666669</v>
      </c>
    </row>
    <row r="118" spans="1:8">
      <c r="A118" s="12" t="s">
        <v>1589</v>
      </c>
      <c r="B118" s="13" t="s">
        <v>2149</v>
      </c>
      <c r="C118" s="12">
        <v>126</v>
      </c>
      <c r="D118" s="12">
        <v>2160</v>
      </c>
      <c r="E118" s="15">
        <v>1350946</v>
      </c>
      <c r="F118" s="16">
        <v>625.43796296296296</v>
      </c>
    </row>
    <row r="119" spans="1:8">
      <c r="B119" s="13" t="s">
        <v>1592</v>
      </c>
      <c r="D119" s="47">
        <v>3120</v>
      </c>
      <c r="E119" s="15">
        <v>1824776</v>
      </c>
      <c r="F119" s="16">
        <v>584.86410256410261</v>
      </c>
    </row>
    <row r="120" spans="1:8">
      <c r="A120" s="12" t="s">
        <v>1593</v>
      </c>
      <c r="B120" s="13" t="s">
        <v>2150</v>
      </c>
      <c r="C120" s="12">
        <v>40</v>
      </c>
      <c r="D120" s="12">
        <v>673</v>
      </c>
      <c r="E120" s="15">
        <v>393613</v>
      </c>
      <c r="F120" s="16">
        <v>584.86329866270432</v>
      </c>
      <c r="G120" s="12" t="s">
        <v>424</v>
      </c>
      <c r="H120" s="12" t="s">
        <v>425</v>
      </c>
    </row>
    <row r="121" spans="1:8">
      <c r="B121" s="13" t="s">
        <v>2151</v>
      </c>
      <c r="C121" s="12">
        <v>138</v>
      </c>
      <c r="D121" s="12">
        <v>2447</v>
      </c>
      <c r="E121" s="15">
        <v>1431163</v>
      </c>
      <c r="F121" s="16">
        <v>584.86432366162649</v>
      </c>
      <c r="G121" s="16">
        <v>10370.746376811594</v>
      </c>
      <c r="H121" s="13">
        <v>17.731884057971016</v>
      </c>
    </row>
    <row r="123" spans="1:8">
      <c r="A123" s="12" t="s">
        <v>1589</v>
      </c>
      <c r="B123" s="13" t="s">
        <v>2634</v>
      </c>
      <c r="C123" s="12">
        <v>126</v>
      </c>
      <c r="D123" s="12">
        <v>3024</v>
      </c>
      <c r="E123" s="15">
        <v>1848596</v>
      </c>
      <c r="F123" s="16">
        <v>611.30820105820101</v>
      </c>
    </row>
    <row r="124" spans="1:8">
      <c r="A124" s="12" t="s">
        <v>1593</v>
      </c>
      <c r="B124" s="13" t="s">
        <v>2635</v>
      </c>
      <c r="C124" s="12">
        <v>126</v>
      </c>
      <c r="D124" s="12">
        <v>864</v>
      </c>
      <c r="E124" s="15">
        <v>528170</v>
      </c>
      <c r="F124" s="16">
        <v>611.30787037037032</v>
      </c>
    </row>
    <row r="125" spans="1:8">
      <c r="A125" s="12" t="s">
        <v>2636</v>
      </c>
      <c r="B125" s="13" t="s">
        <v>2637</v>
      </c>
      <c r="C125" s="12">
        <v>126</v>
      </c>
      <c r="D125" s="12">
        <v>2160</v>
      </c>
      <c r="E125" s="15">
        <v>1320426</v>
      </c>
      <c r="F125" s="16">
        <v>611.30833333333328</v>
      </c>
    </row>
  </sheetData>
  <phoneticPr fontId="3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61"/>
  <sheetViews>
    <sheetView zoomScaleNormal="100" workbookViewId="0">
      <pane ySplit="1" topLeftCell="A110" activePane="bottomLeft" state="frozen"/>
      <selection pane="bottomLeft" activeCell="D119" sqref="D119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3.875" style="61" customWidth="1"/>
    <col min="5" max="5" width="12.625" style="234" bestFit="1" customWidth="1"/>
    <col min="6" max="6" width="12.625" style="186" bestFit="1" customWidth="1"/>
    <col min="7" max="7" width="5.5" style="186" customWidth="1"/>
    <col min="8" max="8" width="1.5" style="584" customWidth="1"/>
    <col min="9" max="9" width="6.5" style="186" customWidth="1"/>
    <col min="10" max="10" width="13.25" style="186" customWidth="1"/>
    <col min="11" max="11" width="10.5" style="186" customWidth="1"/>
    <col min="12" max="12" width="2.5" style="186" customWidth="1"/>
    <col min="13" max="13" width="7.125" style="186" customWidth="1"/>
    <col min="14" max="14" width="9.875" style="186" bestFit="1" customWidth="1"/>
    <col min="15" max="15" width="11.25" style="186" customWidth="1"/>
    <col min="16" max="16" width="4" style="186" customWidth="1"/>
    <col min="17" max="16384" width="9" style="186"/>
  </cols>
  <sheetData>
    <row r="1" spans="1:16">
      <c r="A1" s="263" t="s">
        <v>4904</v>
      </c>
      <c r="B1" s="583" t="s">
        <v>2384</v>
      </c>
      <c r="C1" s="583" t="s">
        <v>4884</v>
      </c>
      <c r="D1" s="583" t="s">
        <v>474</v>
      </c>
      <c r="E1" s="586" t="s">
        <v>4886</v>
      </c>
      <c r="F1" s="583" t="s">
        <v>4885</v>
      </c>
      <c r="G1" s="230"/>
    </row>
    <row r="2" spans="1:16" s="187" customFormat="1">
      <c r="A2" s="587" t="s">
        <v>4952</v>
      </c>
      <c r="B2" s="576">
        <v>1111</v>
      </c>
      <c r="C2" t="s">
        <v>876</v>
      </c>
      <c r="D2" s="115" t="s">
        <v>4905</v>
      </c>
      <c r="E2" s="236">
        <v>52300</v>
      </c>
      <c r="F2" s="229"/>
      <c r="H2" s="584"/>
      <c r="I2" s="940" t="s">
        <v>5637</v>
      </c>
      <c r="J2" s="940"/>
      <c r="K2" s="940"/>
      <c r="L2" s="940"/>
      <c r="M2" s="940"/>
      <c r="N2" s="940"/>
      <c r="O2" s="940"/>
      <c r="P2" s="232"/>
    </row>
    <row r="3" spans="1:16" s="187" customFormat="1">
      <c r="A3" s="587" t="s">
        <v>4952</v>
      </c>
      <c r="B3" s="576">
        <v>1112</v>
      </c>
      <c r="C3" s="61" t="s">
        <v>246</v>
      </c>
      <c r="D3" s="115" t="s">
        <v>4905</v>
      </c>
      <c r="E3" s="236">
        <v>294754</v>
      </c>
      <c r="F3" s="236"/>
      <c r="H3" s="584"/>
      <c r="I3" s="576">
        <v>1111</v>
      </c>
      <c r="J3" t="s">
        <v>876</v>
      </c>
      <c r="K3" s="239">
        <f t="shared" ref="K3:K9" si="0">(SUMIF($B$2:$B$202,I3,$E$2:$E$202)-SUMIF($B$2:$B$202,I3,$F$2:$F$202))</f>
        <v>53298</v>
      </c>
      <c r="M3" s="578">
        <v>2123</v>
      </c>
      <c r="N3" s="300" t="s">
        <v>1214</v>
      </c>
      <c r="O3" s="239">
        <f t="shared" ref="O3:O8" si="1">-(SUMIF($B$2:$B$202,M3,$E$2:$E$202)-SUMIF($B$2:$B$202,M3,$F$2:$F$202))</f>
        <v>210417</v>
      </c>
      <c r="P3" s="232"/>
    </row>
    <row r="4" spans="1:16" s="187" customFormat="1">
      <c r="A4" s="587" t="s">
        <v>4952</v>
      </c>
      <c r="B4" s="576">
        <v>1112</v>
      </c>
      <c r="C4" s="166" t="s">
        <v>247</v>
      </c>
      <c r="D4" s="115" t="s">
        <v>4905</v>
      </c>
      <c r="E4" s="236">
        <v>55147</v>
      </c>
      <c r="F4" s="236"/>
      <c r="H4" s="584"/>
      <c r="I4" s="576">
        <v>1112</v>
      </c>
      <c r="J4" s="175" t="s">
        <v>4855</v>
      </c>
      <c r="K4" s="239">
        <f t="shared" si="0"/>
        <v>97144</v>
      </c>
      <c r="M4" s="578">
        <v>2131</v>
      </c>
      <c r="N4" s="300" t="s">
        <v>4887</v>
      </c>
      <c r="O4" s="239">
        <f t="shared" si="1"/>
        <v>0</v>
      </c>
    </row>
    <row r="5" spans="1:16" s="187" customFormat="1">
      <c r="A5" s="587" t="s">
        <v>4952</v>
      </c>
      <c r="B5" s="576">
        <v>1112</v>
      </c>
      <c r="C5" s="175" t="s">
        <v>4958</v>
      </c>
      <c r="D5" s="115" t="s">
        <v>4905</v>
      </c>
      <c r="E5" s="236">
        <v>2600</v>
      </c>
      <c r="F5" s="236"/>
      <c r="H5" s="584"/>
      <c r="I5" s="576">
        <v>1121</v>
      </c>
      <c r="J5" s="61" t="s">
        <v>2917</v>
      </c>
      <c r="K5" s="239">
        <f t="shared" si="0"/>
        <v>2540547</v>
      </c>
      <c r="M5" s="230">
        <v>2192</v>
      </c>
      <c r="N5" s="582" t="s">
        <v>18</v>
      </c>
      <c r="O5" s="239">
        <f t="shared" si="1"/>
        <v>0</v>
      </c>
    </row>
    <row r="6" spans="1:16">
      <c r="A6" s="587" t="s">
        <v>4952</v>
      </c>
      <c r="B6" s="576">
        <v>1121</v>
      </c>
      <c r="C6" s="61" t="s">
        <v>2917</v>
      </c>
      <c r="D6" s="115" t="s">
        <v>4905</v>
      </c>
      <c r="E6" s="236">
        <v>2241629</v>
      </c>
      <c r="F6" s="236"/>
      <c r="G6" s="187"/>
      <c r="I6" s="577">
        <v>1123</v>
      </c>
      <c r="J6" s="311" t="s">
        <v>3638</v>
      </c>
      <c r="K6" s="239">
        <f t="shared" si="0"/>
        <v>177930</v>
      </c>
      <c r="L6" s="187"/>
      <c r="M6" s="578">
        <v>2194</v>
      </c>
      <c r="N6" s="311" t="s">
        <v>1216</v>
      </c>
      <c r="O6" s="239">
        <f t="shared" si="1"/>
        <v>20582</v>
      </c>
      <c r="P6" s="187"/>
    </row>
    <row r="7" spans="1:16">
      <c r="A7" s="587" t="s">
        <v>4952</v>
      </c>
      <c r="B7" s="577">
        <v>1123</v>
      </c>
      <c r="C7" s="311" t="s">
        <v>3638</v>
      </c>
      <c r="D7" s="115" t="s">
        <v>4905</v>
      </c>
      <c r="E7" s="236">
        <v>294795</v>
      </c>
      <c r="F7" s="232"/>
      <c r="G7" s="187"/>
      <c r="H7" s="585"/>
      <c r="I7" s="578">
        <v>1130</v>
      </c>
      <c r="J7" s="300" t="s">
        <v>3889</v>
      </c>
      <c r="K7" s="239">
        <f t="shared" si="0"/>
        <v>759182.89</v>
      </c>
      <c r="L7" s="187"/>
      <c r="M7" s="578">
        <v>3110</v>
      </c>
      <c r="N7" s="311" t="s">
        <v>4857</v>
      </c>
      <c r="O7" s="239">
        <f t="shared" si="1"/>
        <v>5000000</v>
      </c>
    </row>
    <row r="8" spans="1:16">
      <c r="A8" s="587" t="s">
        <v>4952</v>
      </c>
      <c r="B8" s="578">
        <v>1130</v>
      </c>
      <c r="C8" s="300" t="s">
        <v>3889</v>
      </c>
      <c r="D8" s="115" t="s">
        <v>4905</v>
      </c>
      <c r="E8" s="236">
        <v>787357</v>
      </c>
      <c r="F8" s="232"/>
      <c r="G8" s="233"/>
      <c r="H8" s="585"/>
      <c r="I8" s="578">
        <v>1194</v>
      </c>
      <c r="J8" s="300" t="s">
        <v>3798</v>
      </c>
      <c r="K8" s="239">
        <f t="shared" si="0"/>
        <v>0</v>
      </c>
      <c r="L8" s="187"/>
      <c r="M8" s="578">
        <v>3430</v>
      </c>
      <c r="N8" s="311" t="s">
        <v>4858</v>
      </c>
      <c r="O8" s="239">
        <f t="shared" si="1"/>
        <v>-1572080</v>
      </c>
    </row>
    <row r="9" spans="1:16">
      <c r="A9" s="587" t="s">
        <v>4952</v>
      </c>
      <c r="B9" s="578">
        <v>1901</v>
      </c>
      <c r="C9" s="300" t="s">
        <v>4856</v>
      </c>
      <c r="D9" s="115" t="s">
        <v>4905</v>
      </c>
      <c r="E9" s="236">
        <v>30000</v>
      </c>
      <c r="F9" s="232"/>
      <c r="G9" s="233"/>
      <c r="I9" s="578">
        <v>1901</v>
      </c>
      <c r="J9" s="300" t="s">
        <v>4856</v>
      </c>
      <c r="K9" s="239">
        <f t="shared" si="0"/>
        <v>30000</v>
      </c>
      <c r="L9" s="187"/>
      <c r="M9" s="187"/>
      <c r="N9" s="311" t="s">
        <v>4861</v>
      </c>
      <c r="O9" s="239">
        <f>K35</f>
        <v>-817.10999999986961</v>
      </c>
    </row>
    <row r="10" spans="1:16">
      <c r="A10" s="587" t="s">
        <v>4952</v>
      </c>
      <c r="B10" s="578">
        <v>2123</v>
      </c>
      <c r="C10" s="300" t="s">
        <v>595</v>
      </c>
      <c r="D10" s="115" t="s">
        <v>4905</v>
      </c>
      <c r="E10" s="236"/>
      <c r="F10" s="236">
        <v>292091</v>
      </c>
      <c r="K10" s="233">
        <f>SUM(K3:K9)</f>
        <v>3658101.89</v>
      </c>
      <c r="M10" s="187"/>
      <c r="O10" s="233">
        <f>SUM(O3:O9)</f>
        <v>3658101.89</v>
      </c>
      <c r="P10" s="581">
        <f>K10-O10</f>
        <v>0</v>
      </c>
    </row>
    <row r="11" spans="1:16">
      <c r="A11" s="587" t="s">
        <v>4952</v>
      </c>
      <c r="B11" s="578">
        <v>2194</v>
      </c>
      <c r="C11" s="311" t="s">
        <v>244</v>
      </c>
      <c r="D11" s="115" t="s">
        <v>4905</v>
      </c>
      <c r="E11" s="236"/>
      <c r="F11" s="236">
        <v>38571</v>
      </c>
    </row>
    <row r="12" spans="1:16">
      <c r="A12" s="587" t="s">
        <v>4952</v>
      </c>
      <c r="B12" s="578">
        <v>3110</v>
      </c>
      <c r="C12" s="311" t="s">
        <v>4882</v>
      </c>
      <c r="D12" s="115" t="s">
        <v>4905</v>
      </c>
      <c r="E12" s="236"/>
      <c r="F12" s="235">
        <v>5000000</v>
      </c>
      <c r="H12" s="940" t="s">
        <v>5638</v>
      </c>
      <c r="I12" s="940"/>
      <c r="J12" s="940"/>
      <c r="K12" s="940"/>
      <c r="M12" s="940" t="s">
        <v>5736</v>
      </c>
      <c r="N12" s="941"/>
      <c r="O12" s="941"/>
    </row>
    <row r="13" spans="1:16">
      <c r="A13" s="587" t="s">
        <v>4952</v>
      </c>
      <c r="B13" s="578">
        <v>3430</v>
      </c>
      <c r="C13" s="311" t="s">
        <v>4883</v>
      </c>
      <c r="D13" s="115" t="s">
        <v>4905</v>
      </c>
      <c r="E13" s="236"/>
      <c r="F13" s="235">
        <f>-1588776+16696</f>
        <v>-1572080</v>
      </c>
      <c r="G13" s="581">
        <f>SUM(E2:E13)-SUM(F2:F13)</f>
        <v>0</v>
      </c>
      <c r="I13" s="583">
        <v>4201</v>
      </c>
      <c r="J13" s="582" t="s">
        <v>1309</v>
      </c>
      <c r="K13" s="239">
        <f>-(SUMIF($B$2:$B$202,I13,$E$2:$E$202)-SUMIF($B$2:$B$202,I13,$F$2:$F$202))</f>
        <v>2446105</v>
      </c>
      <c r="M13" s="583"/>
      <c r="N13" s="582" t="s">
        <v>5737</v>
      </c>
      <c r="O13" s="187">
        <v>2000585</v>
      </c>
    </row>
    <row r="14" spans="1:16">
      <c r="B14" s="578"/>
      <c r="C14" s="231"/>
      <c r="D14" s="220"/>
      <c r="E14" s="236"/>
      <c r="F14" s="236"/>
      <c r="I14" s="583">
        <v>4202</v>
      </c>
      <c r="J14" s="582" t="s">
        <v>4870</v>
      </c>
      <c r="K14" s="239">
        <f>-(SUMIF($B$2:$B$202,I14,$E$2:$E$202)-SUMIF($B$2:$B$202,I14,$F$2:$F$202))</f>
        <v>0</v>
      </c>
      <c r="M14" s="583" t="s">
        <v>5740</v>
      </c>
      <c r="N14" s="582" t="s">
        <v>5742</v>
      </c>
      <c r="O14" s="187">
        <v>0</v>
      </c>
    </row>
    <row r="15" spans="1:16">
      <c r="A15" s="587" t="s">
        <v>4892</v>
      </c>
      <c r="B15" s="576">
        <v>2131</v>
      </c>
      <c r="C15" s="310" t="s">
        <v>1308</v>
      </c>
      <c r="D15" t="s">
        <v>4955</v>
      </c>
      <c r="E15" s="172">
        <v>442260</v>
      </c>
      <c r="F15" s="162"/>
      <c r="G15" s="187"/>
      <c r="I15" s="583">
        <v>4203</v>
      </c>
      <c r="J15" s="582" t="s">
        <v>4871</v>
      </c>
      <c r="K15" s="239">
        <f>-(SUMIF($B$2:$B$202,I15,$E$2:$E$202)-SUMIF($B$2:$B$202,I15,$F$2:$F$202))</f>
        <v>0</v>
      </c>
      <c r="M15" s="583" t="s">
        <v>5741</v>
      </c>
      <c r="N15" s="582" t="s">
        <v>5738</v>
      </c>
      <c r="O15" s="187">
        <v>-184280</v>
      </c>
    </row>
    <row r="16" spans="1:16">
      <c r="A16" s="587" t="s">
        <v>4892</v>
      </c>
      <c r="B16" s="576">
        <v>4201</v>
      </c>
      <c r="C16" s="259" t="s">
        <v>337</v>
      </c>
      <c r="D16" t="s">
        <v>4955</v>
      </c>
      <c r="E16" s="161"/>
      <c r="F16" s="594">
        <f>E15</f>
        <v>442260</v>
      </c>
      <c r="G16" s="187"/>
      <c r="I16" s="583"/>
      <c r="J16" s="582" t="s">
        <v>4872</v>
      </c>
      <c r="K16" s="186">
        <f>K13-K14-K15</f>
        <v>2446105</v>
      </c>
      <c r="M16" s="583" t="s">
        <v>5740</v>
      </c>
      <c r="N16" s="582" t="s">
        <v>5743</v>
      </c>
      <c r="O16" s="649">
        <v>629800</v>
      </c>
    </row>
    <row r="17" spans="1:16">
      <c r="A17" s="587" t="s">
        <v>4892</v>
      </c>
      <c r="B17" s="576">
        <v>4201</v>
      </c>
      <c r="C17" s="313" t="s">
        <v>1309</v>
      </c>
      <c r="D17" t="s">
        <v>4956</v>
      </c>
      <c r="E17" s="172">
        <v>376740</v>
      </c>
      <c r="F17" s="162"/>
      <c r="G17" s="187"/>
      <c r="I17" s="583"/>
      <c r="J17" s="582" t="s">
        <v>4873</v>
      </c>
      <c r="K17" s="186">
        <f>O24</f>
        <v>218104.11</v>
      </c>
      <c r="M17" s="583" t="s">
        <v>5741</v>
      </c>
      <c r="N17" s="582" t="s">
        <v>5739</v>
      </c>
      <c r="O17" s="649">
        <v>0</v>
      </c>
    </row>
    <row r="18" spans="1:16">
      <c r="A18" s="587" t="s">
        <v>4892</v>
      </c>
      <c r="B18" s="577">
        <v>2131</v>
      </c>
      <c r="C18" s="560" t="s">
        <v>4953</v>
      </c>
      <c r="D18" t="s">
        <v>4956</v>
      </c>
      <c r="E18" s="161"/>
      <c r="F18" s="594">
        <f>E17</f>
        <v>376740</v>
      </c>
      <c r="G18" s="187"/>
      <c r="I18" s="583"/>
      <c r="J18" s="582" t="s">
        <v>4874</v>
      </c>
      <c r="K18" s="186">
        <f>K16-K17</f>
        <v>2228000.89</v>
      </c>
      <c r="N18" s="582" t="s">
        <v>1309</v>
      </c>
      <c r="O18" s="186">
        <f>SUM(O13:O17)</f>
        <v>2446105</v>
      </c>
      <c r="P18" s="581">
        <f>K13-O18</f>
        <v>0</v>
      </c>
    </row>
    <row r="19" spans="1:16">
      <c r="A19" s="587" t="s">
        <v>4892</v>
      </c>
      <c r="B19" s="578">
        <v>5901</v>
      </c>
      <c r="C19" s="592" t="s">
        <v>3895</v>
      </c>
      <c r="D19" s="166" t="s">
        <v>5681</v>
      </c>
      <c r="E19" s="108">
        <v>218104.11</v>
      </c>
      <c r="F19" s="106"/>
      <c r="G19" s="233"/>
      <c r="I19" s="583"/>
      <c r="J19" s="582" t="s">
        <v>4875</v>
      </c>
      <c r="K19" s="606">
        <f>K18/K$16</f>
        <v>0.91083616197996409</v>
      </c>
    </row>
    <row r="20" spans="1:16">
      <c r="A20" s="587" t="s">
        <v>4892</v>
      </c>
      <c r="B20" s="578">
        <v>1130</v>
      </c>
      <c r="C20" s="151" t="s">
        <v>3896</v>
      </c>
      <c r="D20" s="166" t="s">
        <v>5681</v>
      </c>
      <c r="E20" s="108"/>
      <c r="F20" s="595">
        <f>E19</f>
        <v>218104.11</v>
      </c>
      <c r="G20" s="233"/>
      <c r="I20" s="583"/>
      <c r="J20" s="582" t="s">
        <v>4869</v>
      </c>
      <c r="K20" s="186">
        <f>SUM(K22:K31)</f>
        <v>2229029</v>
      </c>
      <c r="M20" s="940" t="s">
        <v>5639</v>
      </c>
      <c r="N20" s="941"/>
      <c r="O20" s="941"/>
    </row>
    <row r="21" spans="1:16">
      <c r="A21" s="587" t="s">
        <v>4892</v>
      </c>
      <c r="B21" s="578">
        <v>1130</v>
      </c>
      <c r="C21" s="593" t="s">
        <v>3889</v>
      </c>
      <c r="D21" s="6" t="s">
        <v>3890</v>
      </c>
      <c r="E21" s="15">
        <v>0</v>
      </c>
      <c r="F21" s="13"/>
      <c r="I21" s="583"/>
      <c r="J21" s="582" t="s">
        <v>4876</v>
      </c>
      <c r="K21" s="606">
        <f>K20/K$16</f>
        <v>0.91125646691372608</v>
      </c>
      <c r="M21" s="583"/>
      <c r="N21" s="582" t="s">
        <v>4888</v>
      </c>
      <c r="O21" s="238">
        <f>E8</f>
        <v>787357</v>
      </c>
    </row>
    <row r="22" spans="1:16">
      <c r="A22" s="587" t="s">
        <v>4892</v>
      </c>
      <c r="B22" s="578">
        <v>1130</v>
      </c>
      <c r="C22" s="593" t="s">
        <v>3891</v>
      </c>
      <c r="D22" s="166" t="s">
        <v>5683</v>
      </c>
      <c r="E22" s="197">
        <v>189930</v>
      </c>
      <c r="F22" s="16"/>
      <c r="I22" s="583">
        <v>6201</v>
      </c>
      <c r="J22" s="582" t="s">
        <v>4862</v>
      </c>
      <c r="K22" s="239">
        <f t="shared" ref="K22:K30" si="2">(SUMIF($B$2:$B$202,I22,$E$2:$E$202)-SUMIF($B$2:$B$202,I22,$F$2:$F$202))</f>
        <v>1605000</v>
      </c>
      <c r="M22" s="583">
        <v>1130</v>
      </c>
      <c r="N22" s="582" t="s">
        <v>4890</v>
      </c>
      <c r="O22" s="605">
        <v>189930</v>
      </c>
    </row>
    <row r="23" spans="1:16">
      <c r="A23" s="587" t="s">
        <v>4892</v>
      </c>
      <c r="B23" s="578">
        <v>1130</v>
      </c>
      <c r="C23" s="151" t="s">
        <v>3892</v>
      </c>
      <c r="D23" s="6" t="s">
        <v>3893</v>
      </c>
      <c r="E23" s="15"/>
      <c r="F23" s="141">
        <v>0</v>
      </c>
      <c r="I23" s="583">
        <v>6202</v>
      </c>
      <c r="J23" s="582" t="s">
        <v>2918</v>
      </c>
      <c r="K23" s="239">
        <f t="shared" si="2"/>
        <v>204000</v>
      </c>
      <c r="N23" s="582" t="s">
        <v>4889</v>
      </c>
      <c r="O23" s="605">
        <f>K7</f>
        <v>759182.89</v>
      </c>
    </row>
    <row r="24" spans="1:16">
      <c r="A24" s="587" t="s">
        <v>4892</v>
      </c>
      <c r="B24" s="578">
        <v>5201</v>
      </c>
      <c r="C24" s="195" t="s">
        <v>4954</v>
      </c>
      <c r="D24" s="6" t="s">
        <v>3894</v>
      </c>
      <c r="E24" s="15"/>
      <c r="F24" s="596">
        <f>E21+E22-F23</f>
        <v>189930</v>
      </c>
      <c r="G24" s="581">
        <f>SUM(E15:E24)-SUM(F15:F24)</f>
        <v>0</v>
      </c>
      <c r="I24" s="583">
        <v>6203</v>
      </c>
      <c r="J24" s="582" t="s">
        <v>1223</v>
      </c>
      <c r="K24" s="239">
        <f t="shared" si="2"/>
        <v>945</v>
      </c>
      <c r="N24" s="582" t="s">
        <v>4891</v>
      </c>
      <c r="O24" s="238">
        <f>O21+O22-O23</f>
        <v>218104.11</v>
      </c>
    </row>
    <row r="25" spans="1:16">
      <c r="B25" s="578"/>
      <c r="C25" s="231"/>
      <c r="D25" s="220"/>
      <c r="E25" s="236"/>
      <c r="F25" s="236"/>
      <c r="I25" s="583">
        <v>6205</v>
      </c>
      <c r="J25" s="582" t="s">
        <v>4863</v>
      </c>
      <c r="K25" s="239">
        <f t="shared" si="2"/>
        <v>6976</v>
      </c>
    </row>
    <row r="26" spans="1:16">
      <c r="A26" s="587" t="s">
        <v>4893</v>
      </c>
      <c r="B26" s="576">
        <v>1123</v>
      </c>
      <c r="C26" t="s">
        <v>3638</v>
      </c>
      <c r="D26" s="115" t="s">
        <v>4846</v>
      </c>
      <c r="E26" s="575">
        <f>F27+F28</f>
        <v>2100615</v>
      </c>
      <c r="F26" s="229"/>
      <c r="H26" s="580"/>
      <c r="I26" s="583">
        <v>6207</v>
      </c>
      <c r="J26" s="582" t="s">
        <v>4864</v>
      </c>
      <c r="K26" s="239">
        <f t="shared" si="2"/>
        <v>64396</v>
      </c>
      <c r="M26" s="940" t="s">
        <v>5734</v>
      </c>
      <c r="N26" s="940"/>
      <c r="O26" s="940"/>
    </row>
    <row r="27" spans="1:16">
      <c r="A27" s="587" t="s">
        <v>4893</v>
      </c>
      <c r="B27" s="576">
        <v>4201</v>
      </c>
      <c r="C27" s="175" t="s">
        <v>337</v>
      </c>
      <c r="D27" s="115" t="s">
        <v>4846</v>
      </c>
      <c r="E27" s="229"/>
      <c r="F27" s="236">
        <v>2000585</v>
      </c>
      <c r="I27" s="583">
        <v>6209</v>
      </c>
      <c r="J27" s="582" t="s">
        <v>4865</v>
      </c>
      <c r="K27" s="239">
        <f t="shared" si="2"/>
        <v>5191</v>
      </c>
      <c r="N27" s="582" t="s">
        <v>5735</v>
      </c>
      <c r="O27" s="649">
        <v>1625200</v>
      </c>
    </row>
    <row r="28" spans="1:16">
      <c r="A28" s="587" t="s">
        <v>4893</v>
      </c>
      <c r="B28" s="576">
        <v>2194</v>
      </c>
      <c r="C28" s="175" t="s">
        <v>244</v>
      </c>
      <c r="D28" s="115" t="s">
        <v>4846</v>
      </c>
      <c r="E28" s="229"/>
      <c r="F28" s="236">
        <v>100030</v>
      </c>
      <c r="I28" s="583">
        <v>6213</v>
      </c>
      <c r="J28" s="582" t="s">
        <v>4866</v>
      </c>
      <c r="K28" s="239">
        <f t="shared" si="2"/>
        <v>13973</v>
      </c>
      <c r="N28" s="582" t="s">
        <v>1396</v>
      </c>
      <c r="O28" s="649">
        <v>-70100</v>
      </c>
    </row>
    <row r="29" spans="1:16">
      <c r="A29" s="587" t="s">
        <v>4893</v>
      </c>
      <c r="B29" s="578">
        <v>1121</v>
      </c>
      <c r="C29" s="61" t="s">
        <v>2917</v>
      </c>
      <c r="D29" s="115" t="s">
        <v>4847</v>
      </c>
      <c r="E29" s="235">
        <v>1086120</v>
      </c>
      <c r="F29" s="232"/>
      <c r="I29" s="583">
        <v>6214</v>
      </c>
      <c r="J29" s="582" t="s">
        <v>4867</v>
      </c>
      <c r="K29" s="239">
        <f t="shared" si="2"/>
        <v>221954</v>
      </c>
      <c r="N29" s="582" t="s">
        <v>1397</v>
      </c>
      <c r="O29" s="649">
        <v>49900</v>
      </c>
    </row>
    <row r="30" spans="1:16">
      <c r="A30" s="587" t="s">
        <v>4893</v>
      </c>
      <c r="B30" s="578">
        <v>1121</v>
      </c>
      <c r="C30" s="61" t="s">
        <v>2917</v>
      </c>
      <c r="D30" s="115" t="s">
        <v>4448</v>
      </c>
      <c r="E30" s="235">
        <v>401310</v>
      </c>
      <c r="F30" s="232"/>
      <c r="I30" s="583">
        <v>6219</v>
      </c>
      <c r="J30" s="582" t="s">
        <v>2920</v>
      </c>
      <c r="K30" s="239">
        <f t="shared" si="2"/>
        <v>86400</v>
      </c>
      <c r="N30" s="582" t="s">
        <v>4862</v>
      </c>
      <c r="O30" s="186">
        <f>SUM(O27:O29)</f>
        <v>1605000</v>
      </c>
      <c r="P30" s="581">
        <f>K22-O30</f>
        <v>0</v>
      </c>
    </row>
    <row r="31" spans="1:16">
      <c r="A31" s="587" t="s">
        <v>4893</v>
      </c>
      <c r="B31" s="578">
        <v>1121</v>
      </c>
      <c r="C31" s="61" t="s">
        <v>2917</v>
      </c>
      <c r="D31" s="115" t="s">
        <v>4853</v>
      </c>
      <c r="E31" s="235">
        <v>172620</v>
      </c>
      <c r="F31" s="232"/>
      <c r="I31" s="583"/>
      <c r="J31" s="582" t="s">
        <v>4868</v>
      </c>
      <c r="K31" s="239">
        <f>SUM(O33:O35)</f>
        <v>20194</v>
      </c>
    </row>
    <row r="32" spans="1:16">
      <c r="A32" s="587" t="s">
        <v>4893</v>
      </c>
      <c r="B32" s="578">
        <v>2131</v>
      </c>
      <c r="C32" s="61" t="s">
        <v>1308</v>
      </c>
      <c r="D32" s="115" t="s">
        <v>4848</v>
      </c>
      <c r="E32" s="235">
        <v>376740</v>
      </c>
      <c r="F32" s="232"/>
      <c r="J32" s="582" t="s">
        <v>4877</v>
      </c>
      <c r="K32" s="172">
        <f>K18-K20</f>
        <v>-1028.1099999998696</v>
      </c>
      <c r="M32" s="940" t="s">
        <v>5640</v>
      </c>
      <c r="N32" s="941"/>
      <c r="O32" s="941"/>
    </row>
    <row r="33" spans="1:15">
      <c r="A33" s="587" t="s">
        <v>4893</v>
      </c>
      <c r="B33" s="578">
        <v>2131</v>
      </c>
      <c r="C33" s="240" t="s">
        <v>423</v>
      </c>
      <c r="D33" s="115" t="s">
        <v>4849</v>
      </c>
      <c r="E33" s="232"/>
      <c r="F33" s="232">
        <v>442260</v>
      </c>
      <c r="J33" s="582" t="s">
        <v>4881</v>
      </c>
      <c r="K33" s="606">
        <f>K32/K$16</f>
        <v>-4.2030493376198883E-4</v>
      </c>
      <c r="M33" s="230">
        <v>6215</v>
      </c>
      <c r="N33" s="582" t="s">
        <v>1220</v>
      </c>
      <c r="O33" s="239">
        <f>(SUMIF($B$2:$B$202,M33,$E$2:$E$202)-SUMIF($B$2:$B$202,M33,$F$2:$F$202))</f>
        <v>4647</v>
      </c>
    </row>
    <row r="34" spans="1:15">
      <c r="A34" s="587" t="s">
        <v>4893</v>
      </c>
      <c r="B34" s="576">
        <v>1123</v>
      </c>
      <c r="C34" s="240" t="s">
        <v>242</v>
      </c>
      <c r="D34" s="115" t="s">
        <v>4854</v>
      </c>
      <c r="E34" s="232"/>
      <c r="F34" s="574">
        <f>E31</f>
        <v>172620</v>
      </c>
      <c r="I34" s="583">
        <v>7101</v>
      </c>
      <c r="J34" s="582" t="s">
        <v>4878</v>
      </c>
      <c r="K34" s="239">
        <f>-(SUMIF($B$2:$B$202,I34,$E$2:$E$202)-SUMIF($B$2:$B$202,I34,$F$2:$F$202))</f>
        <v>211</v>
      </c>
      <c r="M34" s="230">
        <v>6230</v>
      </c>
      <c r="N34" s="582" t="s">
        <v>1221</v>
      </c>
      <c r="O34" s="239">
        <f>(SUMIF($B$2:$B$202,M34,$E$2:$E$202)-SUMIF($B$2:$B$202,M34,$F$2:$F$202))</f>
        <v>1087</v>
      </c>
    </row>
    <row r="35" spans="1:15">
      <c r="A35" s="587" t="s">
        <v>4893</v>
      </c>
      <c r="B35" s="576">
        <v>1123</v>
      </c>
      <c r="C35" s="240" t="s">
        <v>242</v>
      </c>
      <c r="D35" s="115" t="s">
        <v>4851</v>
      </c>
      <c r="E35" s="232"/>
      <c r="F35" s="235">
        <v>1225350</v>
      </c>
      <c r="J35" s="582" t="s">
        <v>4879</v>
      </c>
      <c r="K35" s="233">
        <f>K32+K34</f>
        <v>-817.10999999986961</v>
      </c>
      <c r="M35" s="230">
        <v>6232</v>
      </c>
      <c r="N35" s="582" t="s">
        <v>1218</v>
      </c>
      <c r="O35" s="239">
        <f>(SUMIF($B$2:$B$202,M35,$E$2:$E$202)-SUMIF($B$2:$B$202,M35,$F$2:$F$202))</f>
        <v>14460</v>
      </c>
    </row>
    <row r="36" spans="1:15">
      <c r="A36" s="587" t="s">
        <v>4893</v>
      </c>
      <c r="B36" s="576">
        <v>1123</v>
      </c>
      <c r="C36" s="240" t="s">
        <v>242</v>
      </c>
      <c r="D36" s="115" t="s">
        <v>4852</v>
      </c>
      <c r="E36" s="232"/>
      <c r="F36" s="235">
        <v>196560</v>
      </c>
      <c r="J36" s="582" t="s">
        <v>4880</v>
      </c>
      <c r="K36" s="606">
        <f>K35/(K$16+K$34)</f>
        <v>-3.3401653752003816E-4</v>
      </c>
    </row>
    <row r="37" spans="1:15">
      <c r="A37" s="587" t="s">
        <v>4893</v>
      </c>
      <c r="B37" s="577" t="s">
        <v>4859</v>
      </c>
      <c r="C37" s="61" t="s">
        <v>246</v>
      </c>
      <c r="D37" s="299" t="s">
        <v>4850</v>
      </c>
      <c r="E37" s="236">
        <v>1964760</v>
      </c>
      <c r="F37" s="187"/>
    </row>
    <row r="38" spans="1:15">
      <c r="A38" s="587" t="s">
        <v>4893</v>
      </c>
      <c r="B38" s="577" t="s">
        <v>4860</v>
      </c>
      <c r="C38" s="231" t="s">
        <v>243</v>
      </c>
      <c r="D38" s="299" t="s">
        <v>4850</v>
      </c>
      <c r="E38" s="229"/>
      <c r="F38" s="575">
        <f>E37</f>
        <v>1964760</v>
      </c>
      <c r="G38" s="581">
        <f>SUM(E26:E38)-SUM(F26:F38)</f>
        <v>0</v>
      </c>
    </row>
    <row r="40" spans="1:15">
      <c r="A40" s="587" t="s">
        <v>4894</v>
      </c>
      <c r="B40" s="578">
        <v>1112</v>
      </c>
      <c r="C40" s="61" t="s">
        <v>246</v>
      </c>
      <c r="D40" s="299" t="s">
        <v>4906</v>
      </c>
      <c r="E40" s="236">
        <v>567175</v>
      </c>
      <c r="F40" s="187"/>
    </row>
    <row r="41" spans="1:15">
      <c r="A41" s="587" t="s">
        <v>4894</v>
      </c>
      <c r="B41" s="577">
        <v>1112</v>
      </c>
      <c r="C41" s="61" t="s">
        <v>247</v>
      </c>
      <c r="D41" s="299" t="s">
        <v>4906</v>
      </c>
      <c r="E41" s="236">
        <v>52920</v>
      </c>
      <c r="F41" s="236"/>
      <c r="M41" s="578"/>
      <c r="N41" s="61"/>
    </row>
    <row r="42" spans="1:15">
      <c r="A42" s="587" t="s">
        <v>4894</v>
      </c>
      <c r="B42" s="578">
        <v>6230</v>
      </c>
      <c r="C42" s="61" t="s">
        <v>1221</v>
      </c>
      <c r="D42" s="299" t="s">
        <v>4966</v>
      </c>
      <c r="E42" s="236">
        <v>165</v>
      </c>
      <c r="F42" s="187"/>
      <c r="M42" s="579"/>
      <c r="N42" s="220"/>
    </row>
    <row r="43" spans="1:15">
      <c r="A43" s="587" t="s">
        <v>4894</v>
      </c>
      <c r="B43" s="578">
        <v>6230</v>
      </c>
      <c r="C43" s="61" t="s">
        <v>1221</v>
      </c>
      <c r="D43" s="299" t="s">
        <v>4967</v>
      </c>
      <c r="E43" s="236">
        <v>65</v>
      </c>
      <c r="F43" s="187"/>
      <c r="M43" s="578"/>
      <c r="N43" s="61"/>
    </row>
    <row r="44" spans="1:15">
      <c r="A44" s="587" t="s">
        <v>4894</v>
      </c>
      <c r="B44" s="578">
        <v>1123</v>
      </c>
      <c r="C44" s="240" t="s">
        <v>242</v>
      </c>
      <c r="D44" s="299" t="s">
        <v>4906</v>
      </c>
      <c r="E44" s="229"/>
      <c r="F44" s="600">
        <f>SUM(E40:E43)</f>
        <v>620325</v>
      </c>
      <c r="G44" s="581">
        <f>SUM(E40:E44)-SUM(F40:F44)</f>
        <v>0</v>
      </c>
      <c r="M44" s="578"/>
      <c r="N44" s="61"/>
    </row>
    <row r="45" spans="1:15">
      <c r="B45" s="263"/>
      <c r="M45" s="578"/>
      <c r="N45" s="61"/>
    </row>
    <row r="46" spans="1:15">
      <c r="A46" s="587" t="s">
        <v>4895</v>
      </c>
      <c r="B46" s="579">
        <v>6202</v>
      </c>
      <c r="C46" s="220" t="s">
        <v>2918</v>
      </c>
      <c r="D46" s="300" t="s">
        <v>4907</v>
      </c>
      <c r="E46" s="236">
        <f>17000*12</f>
        <v>204000</v>
      </c>
      <c r="F46" s="187"/>
    </row>
    <row r="47" spans="1:15">
      <c r="A47" s="587" t="s">
        <v>4895</v>
      </c>
      <c r="B47" s="578">
        <v>6230</v>
      </c>
      <c r="C47" s="61" t="s">
        <v>1221</v>
      </c>
      <c r="D47" s="582" t="s">
        <v>4908</v>
      </c>
      <c r="E47" s="236">
        <f>15*12</f>
        <v>180</v>
      </c>
    </row>
    <row r="48" spans="1:15">
      <c r="A48" s="587" t="s">
        <v>4895</v>
      </c>
      <c r="B48" s="578">
        <v>1112</v>
      </c>
      <c r="C48" s="61" t="s">
        <v>251</v>
      </c>
      <c r="D48" s="300" t="s">
        <v>4907</v>
      </c>
      <c r="E48" s="229"/>
      <c r="F48" s="588">
        <v>204180</v>
      </c>
    </row>
    <row r="49" spans="1:7">
      <c r="A49" s="587" t="s">
        <v>4895</v>
      </c>
      <c r="B49" s="578">
        <v>1112</v>
      </c>
      <c r="C49" s="61" t="s">
        <v>246</v>
      </c>
      <c r="D49" s="61" t="s">
        <v>2786</v>
      </c>
      <c r="E49" s="236">
        <v>129</v>
      </c>
      <c r="F49" s="187"/>
    </row>
    <row r="50" spans="1:7">
      <c r="A50" s="587" t="s">
        <v>4895</v>
      </c>
      <c r="B50" s="578">
        <v>7101</v>
      </c>
      <c r="C50" s="186" t="s">
        <v>2787</v>
      </c>
      <c r="D50" s="61" t="s">
        <v>2786</v>
      </c>
      <c r="E50" s="229"/>
      <c r="F50" s="588">
        <f>E49</f>
        <v>129</v>
      </c>
    </row>
    <row r="51" spans="1:7">
      <c r="A51" s="587" t="s">
        <v>4895</v>
      </c>
      <c r="B51" s="578">
        <v>1112</v>
      </c>
      <c r="C51" s="61" t="s">
        <v>246</v>
      </c>
      <c r="D51" s="61" t="s">
        <v>2788</v>
      </c>
      <c r="E51" s="236">
        <v>54</v>
      </c>
      <c r="F51" s="187"/>
    </row>
    <row r="52" spans="1:7">
      <c r="A52" s="587" t="s">
        <v>4895</v>
      </c>
      <c r="B52" s="578">
        <v>7101</v>
      </c>
      <c r="C52" s="186" t="s">
        <v>2787</v>
      </c>
      <c r="D52" s="61" t="s">
        <v>2788</v>
      </c>
      <c r="E52" s="229"/>
      <c r="F52" s="588">
        <f>E51</f>
        <v>54</v>
      </c>
    </row>
    <row r="53" spans="1:7">
      <c r="A53" s="587" t="s">
        <v>4895</v>
      </c>
      <c r="B53" s="579">
        <v>6214</v>
      </c>
      <c r="C53" s="220" t="s">
        <v>2789</v>
      </c>
      <c r="D53" s="299" t="s">
        <v>4909</v>
      </c>
      <c r="E53" s="236">
        <v>63974</v>
      </c>
      <c r="F53" s="187"/>
    </row>
    <row r="54" spans="1:7">
      <c r="A54" s="587" t="s">
        <v>4895</v>
      </c>
      <c r="B54" s="579">
        <v>6214</v>
      </c>
      <c r="C54" s="220" t="s">
        <v>2789</v>
      </c>
      <c r="D54" s="299" t="s">
        <v>4945</v>
      </c>
      <c r="E54" s="236">
        <v>40182</v>
      </c>
      <c r="F54" s="187"/>
    </row>
    <row r="55" spans="1:7">
      <c r="A55" s="587" t="s">
        <v>4895</v>
      </c>
      <c r="B55" s="578">
        <v>1112</v>
      </c>
      <c r="C55" s="220" t="s">
        <v>251</v>
      </c>
      <c r="D55" s="299" t="s">
        <v>4909</v>
      </c>
      <c r="E55" s="229"/>
      <c r="F55" s="588">
        <f>SUM(E53:E54)</f>
        <v>104156</v>
      </c>
    </row>
    <row r="56" spans="1:7">
      <c r="A56" s="587" t="s">
        <v>4895</v>
      </c>
      <c r="B56" s="579">
        <v>6214</v>
      </c>
      <c r="C56" s="220" t="s">
        <v>2790</v>
      </c>
      <c r="D56" s="300" t="s">
        <v>4910</v>
      </c>
      <c r="E56" s="236">
        <v>68694</v>
      </c>
      <c r="F56" s="187"/>
    </row>
    <row r="57" spans="1:7">
      <c r="A57" s="587" t="s">
        <v>4895</v>
      </c>
      <c r="B57" s="578">
        <v>1112</v>
      </c>
      <c r="C57" s="61" t="s">
        <v>251</v>
      </c>
      <c r="D57" s="300" t="s">
        <v>4910</v>
      </c>
      <c r="E57" s="229"/>
      <c r="F57" s="588">
        <f>E56</f>
        <v>68694</v>
      </c>
    </row>
    <row r="58" spans="1:7">
      <c r="A58" s="587" t="s">
        <v>4895</v>
      </c>
      <c r="B58" s="579">
        <v>6214</v>
      </c>
      <c r="C58" s="220" t="s">
        <v>2791</v>
      </c>
      <c r="D58" s="300" t="s">
        <v>4911</v>
      </c>
      <c r="E58" s="236">
        <v>49104</v>
      </c>
      <c r="F58" s="187"/>
    </row>
    <row r="59" spans="1:7">
      <c r="A59" s="587" t="s">
        <v>4895</v>
      </c>
      <c r="B59" s="578">
        <v>1112</v>
      </c>
      <c r="C59" s="61" t="s">
        <v>251</v>
      </c>
      <c r="D59" s="300" t="s">
        <v>4911</v>
      </c>
      <c r="E59" s="229"/>
      <c r="F59" s="588">
        <f>E58</f>
        <v>49104</v>
      </c>
      <c r="G59" s="581">
        <f>SUM(E46:E59)-SUM(F46:F59)</f>
        <v>0</v>
      </c>
    </row>
    <row r="60" spans="1:7">
      <c r="B60" s="263"/>
      <c r="C60" s="151"/>
    </row>
    <row r="61" spans="1:7">
      <c r="A61" s="587" t="s">
        <v>4896</v>
      </c>
      <c r="B61" s="577">
        <v>1112</v>
      </c>
      <c r="C61" s="61" t="s">
        <v>247</v>
      </c>
      <c r="D61" s="61" t="s">
        <v>3756</v>
      </c>
      <c r="E61" s="236">
        <f>18+10</f>
        <v>28</v>
      </c>
      <c r="F61" s="187"/>
    </row>
    <row r="62" spans="1:7">
      <c r="A62" s="587" t="s">
        <v>4896</v>
      </c>
      <c r="B62" s="578">
        <v>7101</v>
      </c>
      <c r="C62" s="186" t="s">
        <v>2787</v>
      </c>
      <c r="D62" s="61" t="s">
        <v>3756</v>
      </c>
      <c r="E62" s="229"/>
      <c r="F62" s="588">
        <f>E61</f>
        <v>28</v>
      </c>
    </row>
    <row r="63" spans="1:7">
      <c r="A63" s="587" t="s">
        <v>4896</v>
      </c>
      <c r="B63" s="579">
        <v>6207</v>
      </c>
      <c r="C63" s="134" t="s">
        <v>1215</v>
      </c>
      <c r="D63" s="134" t="s">
        <v>4912</v>
      </c>
      <c r="E63" s="239">
        <v>59169</v>
      </c>
      <c r="F63" s="236"/>
    </row>
    <row r="64" spans="1:7">
      <c r="A64" s="587" t="s">
        <v>4896</v>
      </c>
      <c r="B64" s="579">
        <v>1194</v>
      </c>
      <c r="C64" s="134" t="s">
        <v>3798</v>
      </c>
      <c r="D64" s="134" t="s">
        <v>4912</v>
      </c>
      <c r="E64" s="236">
        <v>2961</v>
      </c>
      <c r="F64" s="236"/>
    </row>
    <row r="65" spans="1:7">
      <c r="A65" s="587" t="s">
        <v>4896</v>
      </c>
      <c r="B65" s="578">
        <v>1112</v>
      </c>
      <c r="C65" s="61" t="s">
        <v>251</v>
      </c>
      <c r="D65" s="134" t="s">
        <v>4912</v>
      </c>
      <c r="E65" s="237"/>
      <c r="F65" s="239">
        <v>62130</v>
      </c>
    </row>
    <row r="66" spans="1:7">
      <c r="A66" s="587" t="s">
        <v>4896</v>
      </c>
      <c r="B66" s="579">
        <v>6213</v>
      </c>
      <c r="C66" s="134" t="s">
        <v>877</v>
      </c>
      <c r="D66" s="134" t="s">
        <v>4913</v>
      </c>
      <c r="E66" s="239">
        <v>12775</v>
      </c>
      <c r="F66" s="236"/>
    </row>
    <row r="67" spans="1:7">
      <c r="A67" s="587" t="s">
        <v>4896</v>
      </c>
      <c r="B67" s="579">
        <v>1194</v>
      </c>
      <c r="C67" s="134" t="s">
        <v>3798</v>
      </c>
      <c r="D67" s="134" t="s">
        <v>4913</v>
      </c>
      <c r="E67" s="236">
        <v>639</v>
      </c>
      <c r="F67" s="236"/>
    </row>
    <row r="68" spans="1:7">
      <c r="A68" s="587" t="s">
        <v>4896</v>
      </c>
      <c r="B68" s="578">
        <v>1112</v>
      </c>
      <c r="C68" s="61" t="s">
        <v>251</v>
      </c>
      <c r="D68" s="134" t="s">
        <v>4913</v>
      </c>
      <c r="E68" s="237"/>
      <c r="F68" s="233">
        <v>13414</v>
      </c>
    </row>
    <row r="69" spans="1:7">
      <c r="A69" s="587" t="s">
        <v>4896</v>
      </c>
      <c r="B69" s="579">
        <v>1111</v>
      </c>
      <c r="C69" s="134" t="s">
        <v>463</v>
      </c>
      <c r="D69" s="134" t="s">
        <v>464</v>
      </c>
      <c r="E69" s="236">
        <v>30000</v>
      </c>
      <c r="F69" s="236"/>
    </row>
    <row r="70" spans="1:7">
      <c r="A70" s="587" t="s">
        <v>4896</v>
      </c>
      <c r="B70" s="578">
        <v>1112</v>
      </c>
      <c r="C70" s="61" t="s">
        <v>251</v>
      </c>
      <c r="D70" s="134" t="s">
        <v>464</v>
      </c>
      <c r="E70" s="237"/>
      <c r="F70" s="589">
        <f>E69</f>
        <v>30000</v>
      </c>
      <c r="G70" s="581">
        <f>SUM(E61:E70)-SUM(F61:F70)</f>
        <v>0</v>
      </c>
    </row>
    <row r="71" spans="1:7">
      <c r="B71" s="263"/>
      <c r="C71" s="151"/>
    </row>
    <row r="72" spans="1:7">
      <c r="A72" s="587" t="s">
        <v>4897</v>
      </c>
      <c r="B72" s="579">
        <v>6201</v>
      </c>
      <c r="C72" s="134" t="s">
        <v>2919</v>
      </c>
      <c r="D72" s="134" t="s">
        <v>4920</v>
      </c>
      <c r="E72" s="239">
        <v>1625200</v>
      </c>
      <c r="F72" s="236"/>
    </row>
    <row r="73" spans="1:7">
      <c r="A73" s="587" t="s">
        <v>4897</v>
      </c>
      <c r="B73" s="579">
        <v>6201</v>
      </c>
      <c r="C73" s="134" t="s">
        <v>2919</v>
      </c>
      <c r="D73" s="554" t="s">
        <v>4914</v>
      </c>
      <c r="E73" s="239">
        <v>179900</v>
      </c>
      <c r="F73" s="236"/>
    </row>
    <row r="74" spans="1:7">
      <c r="A74" s="587" t="s">
        <v>4897</v>
      </c>
      <c r="B74" s="579">
        <v>6201</v>
      </c>
      <c r="C74" s="134" t="s">
        <v>605</v>
      </c>
      <c r="D74" s="554" t="s">
        <v>4915</v>
      </c>
      <c r="E74" s="239"/>
      <c r="F74" s="239">
        <v>200100</v>
      </c>
    </row>
    <row r="75" spans="1:7">
      <c r="A75" s="587" t="s">
        <v>4897</v>
      </c>
      <c r="B75" s="578">
        <v>2123</v>
      </c>
      <c r="C75" s="61" t="s">
        <v>595</v>
      </c>
      <c r="D75" s="134" t="s">
        <v>4916</v>
      </c>
      <c r="E75" s="237"/>
      <c r="F75" s="589">
        <f>E72+E73-F74</f>
        <v>1605000</v>
      </c>
    </row>
    <row r="76" spans="1:7">
      <c r="A76" s="587" t="s">
        <v>4897</v>
      </c>
      <c r="B76" s="579">
        <v>6219</v>
      </c>
      <c r="C76" s="134" t="s">
        <v>2920</v>
      </c>
      <c r="D76" s="134" t="s">
        <v>4917</v>
      </c>
      <c r="E76" s="236">
        <v>43200</v>
      </c>
      <c r="F76" s="236"/>
    </row>
    <row r="77" spans="1:7">
      <c r="A77" s="587" t="s">
        <v>4897</v>
      </c>
      <c r="B77" s="578">
        <v>2123</v>
      </c>
      <c r="C77" s="61" t="s">
        <v>595</v>
      </c>
      <c r="D77" s="134" t="s">
        <v>4917</v>
      </c>
      <c r="F77" s="588">
        <f>E76</f>
        <v>43200</v>
      </c>
    </row>
    <row r="78" spans="1:7">
      <c r="A78" s="587" t="s">
        <v>4897</v>
      </c>
      <c r="B78" s="579">
        <v>6219</v>
      </c>
      <c r="C78" s="134" t="s">
        <v>2920</v>
      </c>
      <c r="D78" s="134" t="s">
        <v>4918</v>
      </c>
      <c r="E78" s="236">
        <f>1800*12*2</f>
        <v>43200</v>
      </c>
      <c r="F78" s="236"/>
    </row>
    <row r="79" spans="1:7">
      <c r="A79" s="587" t="s">
        <v>4897</v>
      </c>
      <c r="B79" s="578">
        <v>2123</v>
      </c>
      <c r="C79" s="61" t="s">
        <v>595</v>
      </c>
      <c r="D79" s="134" t="s">
        <v>4918</v>
      </c>
      <c r="E79" s="237"/>
      <c r="F79" s="588">
        <f>E78</f>
        <v>43200</v>
      </c>
    </row>
    <row r="80" spans="1:7">
      <c r="A80" s="587" t="s">
        <v>4897</v>
      </c>
      <c r="B80" s="578">
        <v>2123</v>
      </c>
      <c r="C80" s="61" t="s">
        <v>1214</v>
      </c>
      <c r="D80" s="134" t="s">
        <v>4919</v>
      </c>
      <c r="E80" s="236">
        <v>1279528</v>
      </c>
      <c r="F80" s="233"/>
    </row>
    <row r="81" spans="1:7">
      <c r="A81" s="587" t="s">
        <v>4897</v>
      </c>
      <c r="B81" s="578">
        <v>1112</v>
      </c>
      <c r="C81" s="61" t="s">
        <v>251</v>
      </c>
      <c r="D81" s="134" t="s">
        <v>4919</v>
      </c>
      <c r="E81" s="237"/>
      <c r="F81" s="589">
        <f>E80</f>
        <v>1279528</v>
      </c>
    </row>
    <row r="82" spans="1:7">
      <c r="A82" s="587" t="s">
        <v>4897</v>
      </c>
      <c r="B82" s="578">
        <v>2123</v>
      </c>
      <c r="C82" s="61" t="s">
        <v>1214</v>
      </c>
      <c r="D82" s="134" t="s">
        <v>4951</v>
      </c>
      <c r="E82" s="236">
        <v>30000</v>
      </c>
      <c r="F82" s="233"/>
    </row>
    <row r="83" spans="1:7">
      <c r="A83" s="587" t="s">
        <v>4897</v>
      </c>
      <c r="B83" s="578">
        <v>1112</v>
      </c>
      <c r="C83" s="166" t="s">
        <v>4459</v>
      </c>
      <c r="D83" s="134" t="s">
        <v>4951</v>
      </c>
      <c r="E83" s="237"/>
      <c r="F83" s="589">
        <f>E82</f>
        <v>30000</v>
      </c>
      <c r="G83" s="581">
        <f>SUM(E72:E83)-SUM(F72:F83)</f>
        <v>0</v>
      </c>
    </row>
    <row r="84" spans="1:7">
      <c r="B84" s="263"/>
      <c r="C84" s="151"/>
    </row>
    <row r="85" spans="1:7">
      <c r="A85" s="587" t="s">
        <v>4898</v>
      </c>
      <c r="B85" s="578">
        <v>2194</v>
      </c>
      <c r="C85" s="61" t="s">
        <v>1216</v>
      </c>
      <c r="D85" s="245" t="s">
        <v>4976</v>
      </c>
      <c r="E85" s="236">
        <v>13093</v>
      </c>
      <c r="F85" s="232"/>
    </row>
    <row r="86" spans="1:7">
      <c r="A86" s="587" t="s">
        <v>4898</v>
      </c>
      <c r="B86" s="579">
        <v>1194</v>
      </c>
      <c r="C86" s="300" t="s">
        <v>3798</v>
      </c>
      <c r="D86" s="245" t="s">
        <v>4975</v>
      </c>
      <c r="E86" s="232">
        <v>48</v>
      </c>
      <c r="F86" s="232"/>
    </row>
    <row r="87" spans="1:7">
      <c r="A87" s="587" t="s">
        <v>4898</v>
      </c>
      <c r="B87" s="579">
        <v>1194</v>
      </c>
      <c r="C87" s="61" t="s">
        <v>596</v>
      </c>
      <c r="D87" s="245" t="s">
        <v>4921</v>
      </c>
      <c r="E87" s="236"/>
      <c r="F87" s="232">
        <v>13141</v>
      </c>
    </row>
    <row r="88" spans="1:7">
      <c r="A88" s="587" t="s">
        <v>4898</v>
      </c>
      <c r="B88" s="577">
        <v>2194</v>
      </c>
      <c r="C88" s="300" t="s">
        <v>1216</v>
      </c>
      <c r="D88" s="300" t="s">
        <v>4950</v>
      </c>
      <c r="E88" s="233">
        <v>66355</v>
      </c>
      <c r="F88" s="187"/>
    </row>
    <row r="89" spans="1:7">
      <c r="A89" s="587" t="s">
        <v>4898</v>
      </c>
      <c r="B89" s="578">
        <v>1112</v>
      </c>
      <c r="C89" s="61" t="s">
        <v>251</v>
      </c>
      <c r="D89" s="300" t="s">
        <v>4950</v>
      </c>
      <c r="E89" s="229"/>
      <c r="F89" s="588">
        <f>E88</f>
        <v>66355</v>
      </c>
    </row>
    <row r="90" spans="1:7">
      <c r="A90" s="587" t="s">
        <v>4898</v>
      </c>
      <c r="B90" s="577">
        <v>2194</v>
      </c>
      <c r="C90" s="300" t="s">
        <v>1216</v>
      </c>
      <c r="D90" s="300" t="s">
        <v>4949</v>
      </c>
      <c r="E90" s="233">
        <v>38571</v>
      </c>
      <c r="F90" s="187"/>
    </row>
    <row r="91" spans="1:7">
      <c r="A91" s="587" t="s">
        <v>4898</v>
      </c>
      <c r="B91" s="578">
        <v>1112</v>
      </c>
      <c r="C91" s="166" t="s">
        <v>4459</v>
      </c>
      <c r="D91" s="300" t="s">
        <v>4949</v>
      </c>
      <c r="E91" s="229"/>
      <c r="F91" s="588">
        <f>E90</f>
        <v>38571</v>
      </c>
      <c r="G91" s="581">
        <f>SUM(E85:E91)-SUM(F85:F91)</f>
        <v>0</v>
      </c>
    </row>
    <row r="92" spans="1:7">
      <c r="B92" s="263"/>
      <c r="C92" s="151"/>
    </row>
    <row r="93" spans="1:7">
      <c r="A93" s="587" t="s">
        <v>4899</v>
      </c>
      <c r="B93" s="579">
        <v>6205</v>
      </c>
      <c r="C93" s="134" t="s">
        <v>1224</v>
      </c>
      <c r="D93" s="134" t="s">
        <v>598</v>
      </c>
      <c r="E93" s="239">
        <v>6976</v>
      </c>
      <c r="F93" s="236"/>
    </row>
    <row r="94" spans="1:7">
      <c r="A94" s="587" t="s">
        <v>4899</v>
      </c>
      <c r="B94" s="579">
        <v>6203</v>
      </c>
      <c r="C94" s="61" t="s">
        <v>1223</v>
      </c>
      <c r="D94" s="134" t="s">
        <v>2615</v>
      </c>
      <c r="E94" s="236">
        <v>945</v>
      </c>
      <c r="F94" s="239"/>
    </row>
    <row r="95" spans="1:7">
      <c r="A95" s="587" t="s">
        <v>4899</v>
      </c>
      <c r="B95" s="579">
        <v>6213</v>
      </c>
      <c r="C95" s="61" t="s">
        <v>1217</v>
      </c>
      <c r="D95" s="244" t="s">
        <v>4922</v>
      </c>
      <c r="E95" s="236">
        <v>972</v>
      </c>
      <c r="F95" s="233"/>
    </row>
    <row r="96" spans="1:7">
      <c r="A96" s="587" t="s">
        <v>4899</v>
      </c>
      <c r="B96" s="579">
        <v>1194</v>
      </c>
      <c r="C96" s="61" t="s">
        <v>3798</v>
      </c>
      <c r="D96" s="134" t="s">
        <v>4923</v>
      </c>
      <c r="E96" s="236">
        <v>49</v>
      </c>
      <c r="F96" s="239"/>
    </row>
    <row r="97" spans="1:7">
      <c r="A97" s="587" t="s">
        <v>4899</v>
      </c>
      <c r="B97" s="579">
        <v>6213</v>
      </c>
      <c r="C97" s="61" t="s">
        <v>1217</v>
      </c>
      <c r="D97" s="134" t="s">
        <v>4924</v>
      </c>
      <c r="E97" s="236">
        <v>226</v>
      </c>
      <c r="F97" s="236"/>
    </row>
    <row r="98" spans="1:7">
      <c r="A98" s="587" t="s">
        <v>4899</v>
      </c>
      <c r="B98" s="578">
        <v>6232</v>
      </c>
      <c r="C98" s="61" t="s">
        <v>1218</v>
      </c>
      <c r="D98" s="245" t="s">
        <v>4921</v>
      </c>
      <c r="E98" s="237">
        <v>14460</v>
      </c>
      <c r="F98" s="233"/>
    </row>
    <row r="99" spans="1:7">
      <c r="A99" s="587" t="s">
        <v>4899</v>
      </c>
      <c r="B99" s="578">
        <v>6207</v>
      </c>
      <c r="C99" s="61" t="s">
        <v>1222</v>
      </c>
      <c r="D99" s="244" t="s">
        <v>600</v>
      </c>
      <c r="E99" s="237">
        <v>2227</v>
      </c>
      <c r="F99" s="233"/>
    </row>
    <row r="100" spans="1:7">
      <c r="A100" s="587" t="s">
        <v>4899</v>
      </c>
      <c r="B100" s="578">
        <v>6230</v>
      </c>
      <c r="C100" s="61" t="s">
        <v>1221</v>
      </c>
      <c r="D100" s="244" t="s">
        <v>601</v>
      </c>
      <c r="E100" s="237">
        <v>677</v>
      </c>
      <c r="F100" s="233"/>
    </row>
    <row r="101" spans="1:7">
      <c r="A101" s="587" t="s">
        <v>4899</v>
      </c>
      <c r="B101" s="579">
        <v>6215</v>
      </c>
      <c r="C101" s="61" t="s">
        <v>1220</v>
      </c>
      <c r="D101" s="244" t="s">
        <v>4925</v>
      </c>
      <c r="E101" s="237">
        <v>2470</v>
      </c>
      <c r="F101" s="233"/>
    </row>
    <row r="102" spans="1:7">
      <c r="A102" s="587" t="s">
        <v>4899</v>
      </c>
      <c r="B102" s="579">
        <v>1111</v>
      </c>
      <c r="C102" s="61" t="s">
        <v>602</v>
      </c>
      <c r="D102" s="244" t="s">
        <v>603</v>
      </c>
      <c r="E102" s="237"/>
      <c r="F102" s="589">
        <f>SUM(E93:E101)</f>
        <v>29002</v>
      </c>
      <c r="G102" s="581">
        <f>SUM(E93:E102)-SUM(F93:F102)</f>
        <v>0</v>
      </c>
    </row>
    <row r="103" spans="1:7">
      <c r="B103" s="263"/>
      <c r="C103" s="151"/>
    </row>
    <row r="104" spans="1:7">
      <c r="A104" s="587" t="s">
        <v>4900</v>
      </c>
      <c r="B104" s="579">
        <v>5201</v>
      </c>
      <c r="C104" s="134" t="s">
        <v>1219</v>
      </c>
      <c r="D104" s="134" t="s">
        <v>4926</v>
      </c>
      <c r="E104" s="236">
        <v>189930</v>
      </c>
      <c r="F104" s="236"/>
    </row>
    <row r="105" spans="1:7">
      <c r="A105" s="587" t="s">
        <v>4900</v>
      </c>
      <c r="B105" s="579">
        <v>1194</v>
      </c>
      <c r="C105" s="61" t="s">
        <v>3798</v>
      </c>
      <c r="D105" s="134" t="s">
        <v>4926</v>
      </c>
      <c r="E105" s="236">
        <v>9496</v>
      </c>
      <c r="F105" s="239"/>
    </row>
    <row r="106" spans="1:7">
      <c r="A106" s="587" t="s">
        <v>4900</v>
      </c>
      <c r="B106" s="579">
        <v>6209</v>
      </c>
      <c r="C106" s="220" t="s">
        <v>597</v>
      </c>
      <c r="D106" s="244" t="s">
        <v>4933</v>
      </c>
      <c r="E106" s="236">
        <v>4768</v>
      </c>
      <c r="F106" s="232"/>
    </row>
    <row r="107" spans="1:7">
      <c r="A107" s="587" t="s">
        <v>4900</v>
      </c>
      <c r="B107" s="579">
        <v>6209</v>
      </c>
      <c r="C107" s="220" t="s">
        <v>597</v>
      </c>
      <c r="D107" s="407" t="s">
        <v>4974</v>
      </c>
      <c r="E107" s="236">
        <v>423</v>
      </c>
      <c r="F107" s="237"/>
    </row>
    <row r="108" spans="1:7">
      <c r="A108" s="587" t="s">
        <v>4900</v>
      </c>
      <c r="B108" s="579">
        <v>6215</v>
      </c>
      <c r="C108" s="61" t="s">
        <v>1220</v>
      </c>
      <c r="D108" s="244" t="s">
        <v>4934</v>
      </c>
      <c r="E108" s="236">
        <v>2177</v>
      </c>
      <c r="F108" s="233"/>
    </row>
    <row r="109" spans="1:7">
      <c r="A109" s="587" t="s">
        <v>4900</v>
      </c>
      <c r="B109" s="579">
        <v>1194</v>
      </c>
      <c r="C109" s="61" t="s">
        <v>3798</v>
      </c>
      <c r="D109" s="244" t="s">
        <v>4934</v>
      </c>
      <c r="E109" s="236">
        <v>108</v>
      </c>
      <c r="F109" s="237"/>
    </row>
    <row r="110" spans="1:7">
      <c r="A110" s="587" t="s">
        <v>4900</v>
      </c>
      <c r="B110" s="579">
        <v>6207</v>
      </c>
      <c r="C110" s="61" t="s">
        <v>1215</v>
      </c>
      <c r="D110" s="244" t="s">
        <v>2612</v>
      </c>
      <c r="E110" s="236">
        <v>3000</v>
      </c>
      <c r="F110" s="233"/>
    </row>
    <row r="111" spans="1:7">
      <c r="A111" s="587" t="s">
        <v>4900</v>
      </c>
      <c r="B111" s="578">
        <v>2123</v>
      </c>
      <c r="C111" s="166" t="s">
        <v>4455</v>
      </c>
      <c r="D111" s="244" t="s">
        <v>4927</v>
      </c>
      <c r="E111" s="239">
        <v>3400</v>
      </c>
      <c r="F111" s="239"/>
    </row>
    <row r="112" spans="1:7">
      <c r="A112" s="587" t="s">
        <v>4900</v>
      </c>
      <c r="B112" s="578">
        <v>2123</v>
      </c>
      <c r="C112" s="166" t="s">
        <v>4455</v>
      </c>
      <c r="D112" s="244" t="s">
        <v>4928</v>
      </c>
      <c r="E112" s="239">
        <v>5976</v>
      </c>
      <c r="F112" s="239"/>
    </row>
    <row r="113" spans="1:7">
      <c r="A113" s="587" t="s">
        <v>4900</v>
      </c>
      <c r="B113" s="578">
        <v>2123</v>
      </c>
      <c r="C113" s="166" t="s">
        <v>4455</v>
      </c>
      <c r="D113" s="244" t="s">
        <v>4935</v>
      </c>
      <c r="E113" s="239">
        <v>32615</v>
      </c>
      <c r="F113" s="239"/>
    </row>
    <row r="114" spans="1:7">
      <c r="A114" s="587" t="s">
        <v>4900</v>
      </c>
      <c r="B114" s="578">
        <v>2123</v>
      </c>
      <c r="C114" s="61" t="s">
        <v>595</v>
      </c>
      <c r="D114" s="244" t="s">
        <v>4929</v>
      </c>
      <c r="E114" s="229"/>
      <c r="F114" s="239">
        <v>0</v>
      </c>
    </row>
    <row r="115" spans="1:7">
      <c r="A115" s="587" t="s">
        <v>4900</v>
      </c>
      <c r="B115" s="578">
        <v>2123</v>
      </c>
      <c r="C115" s="61" t="s">
        <v>595</v>
      </c>
      <c r="D115" s="244" t="s">
        <v>4930</v>
      </c>
      <c r="E115" s="229"/>
      <c r="F115" s="239">
        <v>9821</v>
      </c>
    </row>
    <row r="116" spans="1:7">
      <c r="A116" s="587" t="s">
        <v>4900</v>
      </c>
      <c r="B116" s="578">
        <v>2123</v>
      </c>
      <c r="C116" s="61" t="s">
        <v>595</v>
      </c>
      <c r="D116" s="244" t="s">
        <v>4931</v>
      </c>
      <c r="E116" s="229"/>
      <c r="F116" s="239">
        <v>20696</v>
      </c>
    </row>
    <row r="117" spans="1:7">
      <c r="A117" s="587" t="s">
        <v>4900</v>
      </c>
      <c r="B117" s="578">
        <v>1112</v>
      </c>
      <c r="C117" s="61" t="s">
        <v>251</v>
      </c>
      <c r="D117" s="244" t="s">
        <v>4932</v>
      </c>
      <c r="E117" s="237"/>
      <c r="F117" s="233">
        <v>221376</v>
      </c>
      <c r="G117" s="581">
        <f>SUM(E104:E117)-SUM(F104:F117)</f>
        <v>0</v>
      </c>
    </row>
    <row r="118" spans="1:7">
      <c r="B118" s="263"/>
      <c r="C118" s="151"/>
      <c r="F118" s="233"/>
    </row>
    <row r="119" spans="1:7">
      <c r="A119" s="587" t="s">
        <v>4901</v>
      </c>
      <c r="B119" s="579">
        <v>2192</v>
      </c>
      <c r="C119" s="300" t="s">
        <v>1214</v>
      </c>
      <c r="D119" s="590" t="s">
        <v>4936</v>
      </c>
      <c r="E119" s="236">
        <v>50000</v>
      </c>
      <c r="F119" s="237"/>
    </row>
    <row r="120" spans="1:7">
      <c r="A120" s="587" t="s">
        <v>4901</v>
      </c>
      <c r="B120" s="578">
        <v>1112</v>
      </c>
      <c r="C120" s="115" t="s">
        <v>4460</v>
      </c>
      <c r="D120" s="590" t="s">
        <v>4948</v>
      </c>
      <c r="E120" s="236"/>
      <c r="F120" s="588">
        <f>E119</f>
        <v>50000</v>
      </c>
    </row>
    <row r="121" spans="1:7">
      <c r="A121" s="587" t="s">
        <v>4901</v>
      </c>
      <c r="B121" s="579">
        <v>2192</v>
      </c>
      <c r="C121" s="220" t="s">
        <v>18</v>
      </c>
      <c r="D121" t="s">
        <v>4937</v>
      </c>
      <c r="E121" s="236">
        <v>18000</v>
      </c>
      <c r="F121" s="237"/>
    </row>
    <row r="122" spans="1:7">
      <c r="A122" s="587" t="s">
        <v>4901</v>
      </c>
      <c r="B122" s="579">
        <v>2192</v>
      </c>
      <c r="C122" s="220" t="s">
        <v>18</v>
      </c>
      <c r="D122" t="s">
        <v>4938</v>
      </c>
      <c r="E122" s="236">
        <v>18000</v>
      </c>
      <c r="F122" s="237"/>
    </row>
    <row r="123" spans="1:7">
      <c r="A123" s="587" t="s">
        <v>4901</v>
      </c>
      <c r="B123" s="579">
        <v>2192</v>
      </c>
      <c r="C123" s="220" t="s">
        <v>18</v>
      </c>
      <c r="D123" t="s">
        <v>4940</v>
      </c>
      <c r="E123" s="236">
        <v>250030</v>
      </c>
      <c r="F123" s="237"/>
    </row>
    <row r="124" spans="1:7">
      <c r="A124" s="587" t="s">
        <v>4901</v>
      </c>
      <c r="B124" s="579">
        <v>2192</v>
      </c>
      <c r="C124" s="220" t="s">
        <v>18</v>
      </c>
      <c r="D124" t="s">
        <v>4941</v>
      </c>
      <c r="E124" s="236">
        <v>15000</v>
      </c>
      <c r="F124" s="237"/>
    </row>
    <row r="125" spans="1:7">
      <c r="A125" s="587" t="s">
        <v>4901</v>
      </c>
      <c r="B125" s="579">
        <v>2192</v>
      </c>
      <c r="C125" s="220" t="s">
        <v>18</v>
      </c>
      <c r="D125" t="s">
        <v>4943</v>
      </c>
      <c r="E125" s="236">
        <v>5855</v>
      </c>
      <c r="F125" s="237"/>
    </row>
    <row r="126" spans="1:7">
      <c r="A126" s="587" t="s">
        <v>4901</v>
      </c>
      <c r="B126" s="579">
        <v>2192</v>
      </c>
      <c r="C126" s="220" t="s">
        <v>18</v>
      </c>
      <c r="D126" t="s">
        <v>4942</v>
      </c>
      <c r="E126" s="236">
        <v>12000</v>
      </c>
      <c r="F126" s="237"/>
    </row>
    <row r="127" spans="1:7">
      <c r="A127" s="587" t="s">
        <v>4901</v>
      </c>
      <c r="B127" s="579">
        <v>2192</v>
      </c>
      <c r="C127" s="220" t="s">
        <v>18</v>
      </c>
      <c r="D127" t="s">
        <v>4944</v>
      </c>
      <c r="E127" s="236">
        <v>34000</v>
      </c>
      <c r="F127" s="237"/>
    </row>
    <row r="128" spans="1:7">
      <c r="A128" s="587" t="s">
        <v>4901</v>
      </c>
      <c r="B128" s="579">
        <v>2192</v>
      </c>
      <c r="C128" s="220" t="s">
        <v>18</v>
      </c>
      <c r="D128" t="s">
        <v>4946</v>
      </c>
      <c r="E128" s="236">
        <v>20000</v>
      </c>
      <c r="F128" s="237"/>
    </row>
    <row r="129" spans="1:7">
      <c r="A129" s="587" t="s">
        <v>4901</v>
      </c>
      <c r="B129" s="579">
        <v>2192</v>
      </c>
      <c r="C129" s="220" t="s">
        <v>18</v>
      </c>
      <c r="D129" s="7" t="s">
        <v>4456</v>
      </c>
      <c r="E129" s="236">
        <v>400030</v>
      </c>
      <c r="F129" s="237"/>
    </row>
    <row r="130" spans="1:7">
      <c r="A130" s="587" t="s">
        <v>4901</v>
      </c>
      <c r="B130" s="579">
        <v>2192</v>
      </c>
      <c r="C130" s="115" t="s">
        <v>4457</v>
      </c>
      <c r="D130" s="7" t="s">
        <v>4939</v>
      </c>
      <c r="E130" s="236"/>
      <c r="F130" s="237">
        <v>70000</v>
      </c>
    </row>
    <row r="131" spans="1:7">
      <c r="A131" s="587" t="s">
        <v>4901</v>
      </c>
      <c r="B131" s="579">
        <v>2192</v>
      </c>
      <c r="C131" s="115" t="s">
        <v>4457</v>
      </c>
      <c r="D131" s="7" t="s">
        <v>4947</v>
      </c>
      <c r="E131" s="236"/>
      <c r="F131" s="237">
        <v>80000</v>
      </c>
    </row>
    <row r="132" spans="1:7">
      <c r="A132" s="587" t="s">
        <v>4901</v>
      </c>
      <c r="B132" s="578">
        <v>1112</v>
      </c>
      <c r="C132" s="115" t="s">
        <v>4460</v>
      </c>
      <c r="D132" s="314" t="s">
        <v>465</v>
      </c>
      <c r="E132" s="236"/>
      <c r="F132" s="591">
        <f>SUM(E121:E129)-SUM(F130:F131)</f>
        <v>622915</v>
      </c>
      <c r="G132" s="581">
        <f>SUM(E119:E132)-SUM(F119:F132)</f>
        <v>0</v>
      </c>
    </row>
    <row r="133" spans="1:7">
      <c r="B133" s="263"/>
      <c r="C133" s="151"/>
    </row>
    <row r="134" spans="1:7">
      <c r="A134" s="587" t="s">
        <v>4902</v>
      </c>
      <c r="B134" s="578">
        <v>2123</v>
      </c>
      <c r="C134" s="220" t="s">
        <v>1214</v>
      </c>
      <c r="D134" s="244" t="s">
        <v>2507</v>
      </c>
      <c r="E134" s="236">
        <v>710400</v>
      </c>
      <c r="F134" s="232"/>
    </row>
    <row r="135" spans="1:7">
      <c r="A135" s="587" t="s">
        <v>4902</v>
      </c>
      <c r="B135" s="579">
        <v>2192</v>
      </c>
      <c r="C135" s="220" t="s">
        <v>599</v>
      </c>
      <c r="D135" s="244" t="s">
        <v>2507</v>
      </c>
      <c r="E135" s="236"/>
      <c r="F135" s="588">
        <f>E134</f>
        <v>710400</v>
      </c>
    </row>
    <row r="136" spans="1:7">
      <c r="A136" s="587" t="s">
        <v>4902</v>
      </c>
      <c r="B136" s="578">
        <v>2123</v>
      </c>
      <c r="C136" s="220" t="s">
        <v>1214</v>
      </c>
      <c r="D136" s="244" t="s">
        <v>4464</v>
      </c>
      <c r="E136" s="236">
        <f>1800*12*2</f>
        <v>43200</v>
      </c>
      <c r="F136" s="232"/>
    </row>
    <row r="137" spans="1:7">
      <c r="A137" s="587" t="s">
        <v>4902</v>
      </c>
      <c r="B137" s="579">
        <v>2192</v>
      </c>
      <c r="C137" s="220" t="s">
        <v>599</v>
      </c>
      <c r="D137" s="244" t="s">
        <v>4464</v>
      </c>
      <c r="E137" s="236"/>
      <c r="F137" s="588">
        <f>E136</f>
        <v>43200</v>
      </c>
    </row>
    <row r="138" spans="1:7">
      <c r="A138" s="587" t="s">
        <v>4902</v>
      </c>
      <c r="B138" s="579">
        <v>2192</v>
      </c>
      <c r="C138" s="115" t="s">
        <v>465</v>
      </c>
      <c r="D138" s="244" t="s">
        <v>4466</v>
      </c>
      <c r="E138" s="236">
        <v>400000</v>
      </c>
      <c r="F138" s="232"/>
    </row>
    <row r="139" spans="1:7">
      <c r="A139" s="587" t="s">
        <v>4902</v>
      </c>
      <c r="B139" s="578">
        <v>2123</v>
      </c>
      <c r="C139" s="115" t="s">
        <v>4465</v>
      </c>
      <c r="D139" s="244" t="s">
        <v>4466</v>
      </c>
      <c r="E139" s="236"/>
      <c r="F139" s="588">
        <f>E138</f>
        <v>400000</v>
      </c>
    </row>
    <row r="140" spans="1:7">
      <c r="A140" s="587" t="s">
        <v>4902</v>
      </c>
      <c r="B140" s="578">
        <v>2123</v>
      </c>
      <c r="C140" s="115" t="s">
        <v>1214</v>
      </c>
      <c r="D140" s="244" t="s">
        <v>4978</v>
      </c>
      <c r="E140" s="236">
        <v>130000</v>
      </c>
      <c r="F140" s="232"/>
    </row>
    <row r="141" spans="1:7">
      <c r="A141" s="587" t="s">
        <v>4902</v>
      </c>
      <c r="B141" s="579">
        <v>2192</v>
      </c>
      <c r="C141" s="115" t="s">
        <v>599</v>
      </c>
      <c r="D141" s="244" t="s">
        <v>4978</v>
      </c>
      <c r="E141" s="236"/>
      <c r="F141" s="588">
        <f>E140</f>
        <v>130000</v>
      </c>
    </row>
    <row r="142" spans="1:7">
      <c r="A142" s="587" t="s">
        <v>4902</v>
      </c>
      <c r="B142" s="579">
        <v>2192</v>
      </c>
      <c r="C142" s="299" t="s">
        <v>18</v>
      </c>
      <c r="D142" s="244" t="s">
        <v>4970</v>
      </c>
      <c r="E142" s="236">
        <v>31528</v>
      </c>
      <c r="F142" s="232"/>
    </row>
    <row r="143" spans="1:7">
      <c r="A143" s="587" t="s">
        <v>4902</v>
      </c>
      <c r="B143" s="578">
        <v>2123</v>
      </c>
      <c r="C143" s="299" t="s">
        <v>595</v>
      </c>
      <c r="D143" s="244" t="s">
        <v>4970</v>
      </c>
      <c r="E143" s="236"/>
      <c r="F143" s="588">
        <f>E142</f>
        <v>31528</v>
      </c>
      <c r="G143" s="581">
        <f>SUM(E134:E143)-SUM(F134:F143)</f>
        <v>0</v>
      </c>
    </row>
    <row r="144" spans="1:7">
      <c r="B144" s="263"/>
      <c r="C144" s="151"/>
    </row>
    <row r="145" spans="1:7">
      <c r="A145" s="587" t="s">
        <v>4903</v>
      </c>
      <c r="B145" s="579">
        <v>2192</v>
      </c>
      <c r="C145" s="299" t="s">
        <v>465</v>
      </c>
      <c r="D145" t="s">
        <v>4957</v>
      </c>
      <c r="E145" s="172">
        <v>380000</v>
      </c>
      <c r="F145" s="162"/>
      <c r="G145" s="187"/>
    </row>
    <row r="146" spans="1:7">
      <c r="A146" s="587" t="s">
        <v>4903</v>
      </c>
      <c r="B146" s="576">
        <v>4201</v>
      </c>
      <c r="C146" s="259" t="s">
        <v>337</v>
      </c>
      <c r="D146" t="s">
        <v>4957</v>
      </c>
      <c r="E146" s="161"/>
      <c r="F146" s="594">
        <f>E145</f>
        <v>380000</v>
      </c>
      <c r="G146" s="187"/>
    </row>
    <row r="147" spans="1:7">
      <c r="A147" s="587" t="s">
        <v>4903</v>
      </c>
      <c r="B147" s="579">
        <v>2192</v>
      </c>
      <c r="C147" s="115" t="s">
        <v>18</v>
      </c>
      <c r="D147" s="244" t="s">
        <v>4959</v>
      </c>
      <c r="E147" s="237">
        <v>508214</v>
      </c>
      <c r="F147" s="233"/>
    </row>
    <row r="148" spans="1:7">
      <c r="A148" s="587" t="s">
        <v>4903</v>
      </c>
      <c r="B148" s="578">
        <v>1121</v>
      </c>
      <c r="C148" s="560" t="s">
        <v>243</v>
      </c>
      <c r="D148" s="244" t="s">
        <v>4959</v>
      </c>
      <c r="E148" s="309"/>
      <c r="F148" s="594">
        <f>E147</f>
        <v>508214</v>
      </c>
    </row>
    <row r="149" spans="1:7">
      <c r="A149" s="587" t="s">
        <v>4903</v>
      </c>
      <c r="B149" s="578">
        <v>1121</v>
      </c>
      <c r="C149" s="560" t="s">
        <v>2917</v>
      </c>
      <c r="D149" s="244" t="s">
        <v>4972</v>
      </c>
      <c r="E149" s="237">
        <v>1111842</v>
      </c>
      <c r="F149" s="233"/>
    </row>
    <row r="150" spans="1:7">
      <c r="A150" s="587" t="s">
        <v>4903</v>
      </c>
      <c r="B150" s="579">
        <v>2192</v>
      </c>
      <c r="C150" s="115" t="s">
        <v>599</v>
      </c>
      <c r="D150" s="244" t="s">
        <v>4972</v>
      </c>
      <c r="E150" s="309"/>
      <c r="F150" s="594">
        <f>E149</f>
        <v>1111842</v>
      </c>
    </row>
    <row r="151" spans="1:7">
      <c r="A151" s="587" t="s">
        <v>4903</v>
      </c>
      <c r="B151" s="579">
        <v>2192</v>
      </c>
      <c r="C151" s="299" t="s">
        <v>465</v>
      </c>
      <c r="D151" s="134" t="s">
        <v>4977</v>
      </c>
      <c r="E151" s="172">
        <v>160</v>
      </c>
      <c r="F151" s="162"/>
      <c r="G151" s="187"/>
    </row>
    <row r="152" spans="1:7">
      <c r="A152" s="587" t="s">
        <v>4903</v>
      </c>
      <c r="B152" s="579">
        <v>1194</v>
      </c>
      <c r="C152" s="300" t="s">
        <v>596</v>
      </c>
      <c r="D152" s="134" t="s">
        <v>4977</v>
      </c>
      <c r="E152" s="236"/>
      <c r="F152" s="594">
        <f>E151</f>
        <v>160</v>
      </c>
      <c r="G152" s="187"/>
    </row>
    <row r="153" spans="1:7">
      <c r="A153" s="587" t="s">
        <v>4903</v>
      </c>
      <c r="B153" s="579">
        <v>2192</v>
      </c>
      <c r="C153" s="115" t="s">
        <v>18</v>
      </c>
      <c r="D153" s="115" t="s">
        <v>4838</v>
      </c>
      <c r="E153" s="237">
        <v>2625</v>
      </c>
      <c r="F153" s="233"/>
    </row>
    <row r="154" spans="1:7">
      <c r="A154" s="587" t="s">
        <v>4903</v>
      </c>
      <c r="B154" s="576">
        <v>1123</v>
      </c>
      <c r="C154" s="311" t="s">
        <v>242</v>
      </c>
      <c r="D154" s="115" t="s">
        <v>4838</v>
      </c>
      <c r="E154" s="232"/>
      <c r="F154" s="604">
        <f>E153</f>
        <v>2625</v>
      </c>
      <c r="G154" s="581">
        <f>SUM(E145:E154)-SUM(F145:F154)</f>
        <v>0</v>
      </c>
    </row>
    <row r="156" spans="1:7">
      <c r="F156" s="238">
        <f>E155-F155</f>
        <v>0</v>
      </c>
    </row>
    <row r="161" spans="6:6">
      <c r="F161" s="238"/>
    </row>
  </sheetData>
  <autoFilter ref="A1:P164"/>
  <mergeCells count="6">
    <mergeCell ref="H12:K12"/>
    <mergeCell ref="M20:O20"/>
    <mergeCell ref="M32:O32"/>
    <mergeCell ref="I2:O2"/>
    <mergeCell ref="M26:O26"/>
    <mergeCell ref="M12:O12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799"/>
  <sheetViews>
    <sheetView zoomScale="90" zoomScaleNormal="90" workbookViewId="0">
      <pane ySplit="2" topLeftCell="A668" activePane="bottomLeft" state="frozen"/>
      <selection pane="bottomLeft" activeCell="N666" sqref="N666:N667"/>
    </sheetView>
  </sheetViews>
  <sheetFormatPr defaultColWidth="9" defaultRowHeight="16.5"/>
  <cols>
    <col min="1" max="1" width="11" style="345" bestFit="1" customWidth="1"/>
    <col min="2" max="2" width="13" style="345" bestFit="1" customWidth="1"/>
    <col min="3" max="3" width="9" style="345"/>
    <col min="4" max="4" width="6.125" style="345" bestFit="1" customWidth="1"/>
    <col min="5" max="5" width="10" style="345" bestFit="1" customWidth="1"/>
    <col min="6" max="6" width="9" style="345"/>
    <col min="7" max="7" width="10" style="345" customWidth="1"/>
    <col min="8" max="8" width="10.875" style="350" customWidth="1"/>
    <col min="9" max="9" width="10" style="350" customWidth="1"/>
    <col min="10" max="10" width="9.75" style="350" bestFit="1" customWidth="1"/>
    <col min="11" max="11" width="9.75" style="350" customWidth="1"/>
    <col min="12" max="12" width="9.125" style="350" customWidth="1"/>
    <col min="13" max="13" width="9.75" style="350" bestFit="1" customWidth="1"/>
    <col min="14" max="14" width="9" style="351"/>
    <col min="15" max="15" width="10" style="351" bestFit="1" customWidth="1"/>
    <col min="16" max="16" width="9.75" style="345" customWidth="1"/>
    <col min="17" max="16384" width="9" style="345"/>
  </cols>
  <sheetData>
    <row r="1" spans="1:16">
      <c r="A1" s="341" t="s">
        <v>241</v>
      </c>
      <c r="B1" s="341" t="s">
        <v>2680</v>
      </c>
      <c r="C1" s="341" t="s">
        <v>2681</v>
      </c>
      <c r="D1" s="341" t="s">
        <v>1373</v>
      </c>
      <c r="E1" s="342" t="s">
        <v>2682</v>
      </c>
      <c r="F1" s="342" t="s">
        <v>2683</v>
      </c>
      <c r="G1" s="341" t="s">
        <v>2684</v>
      </c>
      <c r="H1" s="343" t="s">
        <v>1275</v>
      </c>
      <c r="I1" s="343" t="s">
        <v>2435</v>
      </c>
      <c r="J1" s="343" t="s">
        <v>3740</v>
      </c>
      <c r="K1" s="398" t="s">
        <v>4467</v>
      </c>
      <c r="L1" s="343" t="s">
        <v>3741</v>
      </c>
      <c r="M1" s="343" t="s">
        <v>2436</v>
      </c>
      <c r="N1" s="344" t="s">
        <v>2420</v>
      </c>
      <c r="O1" s="344" t="s">
        <v>2419</v>
      </c>
      <c r="P1" s="344" t="s">
        <v>2437</v>
      </c>
    </row>
    <row r="2" spans="1:16" s="114" customFormat="1" ht="9.75" customHeight="1">
      <c r="A2" s="223"/>
      <c r="B2" s="211"/>
      <c r="C2" s="224"/>
      <c r="D2" s="211"/>
      <c r="F2" s="224"/>
      <c r="G2" s="225"/>
      <c r="H2" s="211"/>
      <c r="I2" s="224"/>
      <c r="J2" s="211"/>
      <c r="K2" s="211"/>
      <c r="M2" s="211"/>
      <c r="O2" s="211"/>
    </row>
    <row r="3" spans="1:16" s="347" customFormat="1">
      <c r="A3" s="346" t="s">
        <v>1387</v>
      </c>
      <c r="D3" s="348" t="s">
        <v>2377</v>
      </c>
      <c r="E3" s="349">
        <f>SUM(E4:E10)</f>
        <v>27000</v>
      </c>
      <c r="F3" s="349">
        <f>SUM(F4:F10)</f>
        <v>1350</v>
      </c>
      <c r="G3" s="349">
        <f>SUM(G4:G10)</f>
        <v>173600</v>
      </c>
      <c r="H3" s="349"/>
      <c r="J3" s="349">
        <f>SUM(J4:J10)</f>
        <v>129750</v>
      </c>
      <c r="K3" s="349"/>
      <c r="L3" s="349">
        <f>SUM(L4:L10)</f>
        <v>35985</v>
      </c>
      <c r="M3" s="349">
        <f>SUM(M4:M10)</f>
        <v>165735</v>
      </c>
      <c r="N3" s="349">
        <f>SUM(N4:N10)</f>
        <v>105</v>
      </c>
      <c r="O3" s="349">
        <f>SUM(O4:O10)</f>
        <v>5700</v>
      </c>
    </row>
    <row r="4" spans="1:16">
      <c r="A4" s="166">
        <v>98032001</v>
      </c>
      <c r="C4" t="s">
        <v>2685</v>
      </c>
      <c r="G4" s="123">
        <v>12915</v>
      </c>
      <c r="H4" s="350">
        <v>8</v>
      </c>
      <c r="I4" s="350">
        <v>54</v>
      </c>
      <c r="L4" s="350">
        <v>12900</v>
      </c>
      <c r="M4" s="350">
        <f t="shared" ref="M4:M10" si="0">J4+L4</f>
        <v>12900</v>
      </c>
      <c r="N4" s="351">
        <v>15</v>
      </c>
      <c r="O4" s="351">
        <f>G4-M4-N4</f>
        <v>0</v>
      </c>
      <c r="P4" s="352" t="s">
        <v>2420</v>
      </c>
    </row>
    <row r="5" spans="1:16">
      <c r="A5" s="166">
        <v>98051901</v>
      </c>
      <c r="B5" t="s">
        <v>1389</v>
      </c>
      <c r="C5" s="352" t="s">
        <v>1390</v>
      </c>
      <c r="G5" s="123">
        <v>2000</v>
      </c>
      <c r="M5" s="350">
        <f t="shared" si="0"/>
        <v>0</v>
      </c>
      <c r="O5" s="353">
        <f>G5-M5-N5-2000</f>
        <v>0</v>
      </c>
      <c r="P5" s="352" t="s">
        <v>318</v>
      </c>
    </row>
    <row r="6" spans="1:16">
      <c r="A6" s="166">
        <v>98111801</v>
      </c>
      <c r="B6" t="s">
        <v>1391</v>
      </c>
      <c r="C6" s="352" t="s">
        <v>3825</v>
      </c>
      <c r="D6" s="352" t="s">
        <v>1233</v>
      </c>
      <c r="E6" s="345">
        <v>13500</v>
      </c>
      <c r="F6" s="345">
        <v>675</v>
      </c>
      <c r="G6" s="123">
        <v>14175</v>
      </c>
      <c r="H6" s="350">
        <v>6</v>
      </c>
      <c r="I6" s="343">
        <v>35</v>
      </c>
      <c r="L6" s="350">
        <v>14145</v>
      </c>
      <c r="M6" s="350">
        <f t="shared" si="0"/>
        <v>14145</v>
      </c>
      <c r="N6" s="351">
        <v>30</v>
      </c>
      <c r="O6" s="351">
        <f>G6-M6-N6</f>
        <v>0</v>
      </c>
      <c r="P6" s="352" t="s">
        <v>2420</v>
      </c>
    </row>
    <row r="7" spans="1:16">
      <c r="A7" s="166">
        <v>98111801</v>
      </c>
      <c r="B7" t="s">
        <v>1392</v>
      </c>
      <c r="C7" s="352" t="s">
        <v>606</v>
      </c>
      <c r="G7" s="123">
        <v>5700</v>
      </c>
      <c r="M7" s="350">
        <f t="shared" si="0"/>
        <v>0</v>
      </c>
      <c r="O7" s="351">
        <f>G7-M7-N7</f>
        <v>5700</v>
      </c>
      <c r="P7" s="352" t="s">
        <v>317</v>
      </c>
    </row>
    <row r="8" spans="1:16">
      <c r="A8" s="166">
        <v>98111801</v>
      </c>
      <c r="B8" s="352" t="s">
        <v>3594</v>
      </c>
      <c r="C8" t="s">
        <v>1237</v>
      </c>
      <c r="D8" s="352" t="s">
        <v>1233</v>
      </c>
      <c r="E8" s="345">
        <v>13500</v>
      </c>
      <c r="F8" s="345">
        <v>675</v>
      </c>
      <c r="G8" s="63">
        <v>9030</v>
      </c>
      <c r="H8" s="343" t="s">
        <v>3595</v>
      </c>
      <c r="I8" s="343" t="s">
        <v>3596</v>
      </c>
      <c r="L8" s="350">
        <v>8940</v>
      </c>
      <c r="M8" s="350">
        <f t="shared" si="0"/>
        <v>8940</v>
      </c>
      <c r="N8" s="351">
        <v>60</v>
      </c>
      <c r="O8" s="353">
        <f>G8-M8-N8-30</f>
        <v>0</v>
      </c>
      <c r="P8" s="352" t="s">
        <v>319</v>
      </c>
    </row>
    <row r="9" spans="1:16">
      <c r="A9" s="166">
        <v>98120101</v>
      </c>
      <c r="B9" t="s">
        <v>1822</v>
      </c>
      <c r="C9" s="352" t="s">
        <v>1232</v>
      </c>
      <c r="G9" s="123">
        <v>16380</v>
      </c>
      <c r="H9" s="350">
        <v>7</v>
      </c>
      <c r="I9" s="350">
        <v>36</v>
      </c>
      <c r="J9" s="350">
        <v>16380</v>
      </c>
      <c r="M9" s="350">
        <f t="shared" si="0"/>
        <v>16380</v>
      </c>
      <c r="N9" s="351">
        <v>0</v>
      </c>
      <c r="O9" s="351">
        <f>G9-M9-N9</f>
        <v>0</v>
      </c>
    </row>
    <row r="10" spans="1:16">
      <c r="A10" s="166">
        <v>98120101</v>
      </c>
      <c r="B10" t="s">
        <v>1393</v>
      </c>
      <c r="C10" s="352" t="s">
        <v>1305</v>
      </c>
      <c r="G10" s="123">
        <v>113400</v>
      </c>
      <c r="H10" s="354" t="s">
        <v>1276</v>
      </c>
      <c r="I10" s="355" t="s">
        <v>1276</v>
      </c>
      <c r="J10" s="350">
        <f>113400-30</f>
        <v>113370</v>
      </c>
      <c r="L10" s="355"/>
      <c r="M10" s="350">
        <f t="shared" si="0"/>
        <v>113370</v>
      </c>
      <c r="N10" s="351">
        <v>0</v>
      </c>
      <c r="O10" s="353">
        <f>G10-M10-N10-30</f>
        <v>0</v>
      </c>
      <c r="P10" s="352" t="s">
        <v>320</v>
      </c>
    </row>
    <row r="11" spans="1:16" s="347" customFormat="1">
      <c r="A11" s="346" t="s">
        <v>1388</v>
      </c>
      <c r="D11" s="348" t="s">
        <v>2377</v>
      </c>
      <c r="E11" s="349">
        <f>SUM(E12:E62)</f>
        <v>2740128</v>
      </c>
      <c r="F11" s="349">
        <f>SUM(F12:F62)</f>
        <v>137007</v>
      </c>
      <c r="G11" s="349">
        <f>SUM(G12:G62)</f>
        <v>2877135</v>
      </c>
      <c r="H11" s="349"/>
      <c r="J11" s="349">
        <f>SUM(J12:J62)</f>
        <v>2774205</v>
      </c>
      <c r="K11" s="349"/>
      <c r="L11" s="349">
        <f>SUM(L12:L62)</f>
        <v>108380</v>
      </c>
      <c r="M11" s="349">
        <f>SUM(M12:M62)</f>
        <v>2882585</v>
      </c>
      <c r="N11" s="349">
        <f>SUM(N12:N62)</f>
        <v>250</v>
      </c>
      <c r="O11" s="349">
        <f>SUM(O12:O62)</f>
        <v>-5700</v>
      </c>
    </row>
    <row r="12" spans="1:16">
      <c r="A12" s="356">
        <v>20100104</v>
      </c>
      <c r="B12" s="356" t="s">
        <v>1225</v>
      </c>
      <c r="C12" s="356" t="s">
        <v>2424</v>
      </c>
      <c r="D12" s="352"/>
      <c r="E12" s="356">
        <v>108000</v>
      </c>
      <c r="F12" s="356">
        <v>5400</v>
      </c>
      <c r="G12" s="345">
        <f>E12+F12</f>
        <v>113400</v>
      </c>
      <c r="H12" s="357" t="s">
        <v>1276</v>
      </c>
      <c r="I12" s="355" t="s">
        <v>1278</v>
      </c>
      <c r="J12" s="343">
        <v>113400</v>
      </c>
      <c r="K12" s="343"/>
      <c r="L12" s="355"/>
      <c r="M12" s="350">
        <f>J12+L12</f>
        <v>113400</v>
      </c>
      <c r="N12" s="351">
        <v>0</v>
      </c>
      <c r="O12" s="351">
        <f t="shared" ref="O12:O62" si="1">G12-M12-N12</f>
        <v>0</v>
      </c>
    </row>
    <row r="13" spans="1:16" s="360" customFormat="1">
      <c r="A13" s="358"/>
      <c r="B13" s="358" t="s">
        <v>1226</v>
      </c>
      <c r="C13" s="358"/>
      <c r="D13" s="359" t="s">
        <v>1235</v>
      </c>
      <c r="E13" s="358"/>
      <c r="F13" s="358"/>
      <c r="H13" s="361"/>
      <c r="I13" s="362"/>
      <c r="J13" s="362"/>
      <c r="K13" s="362"/>
      <c r="L13" s="362"/>
      <c r="M13" s="362"/>
      <c r="N13" s="362"/>
      <c r="O13" s="362">
        <f t="shared" si="1"/>
        <v>0</v>
      </c>
    </row>
    <row r="14" spans="1:16">
      <c r="A14" s="356">
        <v>20100118</v>
      </c>
      <c r="B14" s="356" t="s">
        <v>1227</v>
      </c>
      <c r="C14" s="358" t="s">
        <v>1304</v>
      </c>
      <c r="D14" s="344"/>
      <c r="E14" s="363">
        <v>72000</v>
      </c>
      <c r="F14" s="356">
        <v>3600</v>
      </c>
      <c r="G14" s="345">
        <f>E14+F14</f>
        <v>75600</v>
      </c>
      <c r="H14" s="357" t="s">
        <v>1276</v>
      </c>
      <c r="I14" s="354" t="s">
        <v>1823</v>
      </c>
      <c r="J14" s="343">
        <v>75600</v>
      </c>
      <c r="K14" s="343"/>
      <c r="L14" s="354"/>
      <c r="M14" s="350">
        <f>J14+L14</f>
        <v>75600</v>
      </c>
      <c r="N14" s="351">
        <v>0</v>
      </c>
      <c r="O14" s="351">
        <f t="shared" si="1"/>
        <v>0</v>
      </c>
    </row>
    <row r="15" spans="1:16">
      <c r="A15" s="356">
        <v>20100119</v>
      </c>
      <c r="B15" s="356" t="s">
        <v>1228</v>
      </c>
      <c r="C15" s="358" t="s">
        <v>2690</v>
      </c>
      <c r="D15" s="352"/>
      <c r="E15" s="356">
        <v>108000</v>
      </c>
      <c r="F15" s="356">
        <v>5400</v>
      </c>
      <c r="G15" s="345">
        <f>E15+F15</f>
        <v>113400</v>
      </c>
      <c r="H15" s="357" t="s">
        <v>1276</v>
      </c>
      <c r="I15" s="354" t="s">
        <v>1279</v>
      </c>
      <c r="J15" s="350">
        <v>113400</v>
      </c>
      <c r="L15" s="354"/>
      <c r="M15" s="350">
        <f>J15+L15</f>
        <v>113400</v>
      </c>
      <c r="N15" s="351">
        <v>0</v>
      </c>
      <c r="O15" s="351">
        <f t="shared" si="1"/>
        <v>0</v>
      </c>
    </row>
    <row r="16" spans="1:16">
      <c r="A16" s="356">
        <v>20100126</v>
      </c>
      <c r="B16" s="356" t="s">
        <v>1229</v>
      </c>
      <c r="C16" s="358" t="s">
        <v>1230</v>
      </c>
      <c r="D16" s="352"/>
      <c r="E16" s="363">
        <v>11400</v>
      </c>
      <c r="F16" s="356">
        <v>570</v>
      </c>
      <c r="G16" s="345">
        <f>E16+F16</f>
        <v>11970</v>
      </c>
      <c r="H16" s="357">
        <v>1</v>
      </c>
      <c r="I16" s="350">
        <v>34</v>
      </c>
      <c r="L16" s="350">
        <v>11940</v>
      </c>
      <c r="M16" s="350">
        <f>J16+L16</f>
        <v>11940</v>
      </c>
      <c r="N16" s="351">
        <v>30</v>
      </c>
      <c r="O16" s="351">
        <f t="shared" si="1"/>
        <v>0</v>
      </c>
      <c r="P16" s="364" t="s">
        <v>2420</v>
      </c>
    </row>
    <row r="17" spans="1:16">
      <c r="A17" s="356">
        <v>20100308</v>
      </c>
      <c r="B17" s="352" t="s">
        <v>1231</v>
      </c>
      <c r="C17" s="352" t="s">
        <v>1232</v>
      </c>
      <c r="D17" s="352" t="s">
        <v>1233</v>
      </c>
      <c r="E17" s="365">
        <v>15600</v>
      </c>
      <c r="F17" s="345">
        <v>780</v>
      </c>
      <c r="G17" s="345">
        <f>E17+F17</f>
        <v>16380</v>
      </c>
      <c r="H17" s="357">
        <v>8</v>
      </c>
      <c r="I17" s="350">
        <v>81</v>
      </c>
      <c r="J17" s="350">
        <v>16380</v>
      </c>
      <c r="M17" s="350">
        <f>J17+L17</f>
        <v>16380</v>
      </c>
      <c r="N17" s="351">
        <v>0</v>
      </c>
      <c r="O17" s="351">
        <f t="shared" si="1"/>
        <v>0</v>
      </c>
    </row>
    <row r="18" spans="1:16">
      <c r="A18" s="356">
        <v>20100308</v>
      </c>
      <c r="B18" s="352" t="s">
        <v>1477</v>
      </c>
      <c r="C18" s="352" t="s">
        <v>3825</v>
      </c>
      <c r="D18" s="352" t="s">
        <v>1233</v>
      </c>
      <c r="E18" s="365">
        <v>13500</v>
      </c>
      <c r="F18" s="345">
        <v>675</v>
      </c>
      <c r="G18" s="345">
        <f>E18+F18</f>
        <v>14175</v>
      </c>
      <c r="H18" s="357">
        <v>7</v>
      </c>
      <c r="I18" s="350">
        <v>82</v>
      </c>
      <c r="L18" s="350">
        <v>14145</v>
      </c>
      <c r="M18" s="350">
        <f>J18+L18</f>
        <v>14145</v>
      </c>
      <c r="N18" s="351">
        <v>30</v>
      </c>
      <c r="O18" s="351">
        <f t="shared" si="1"/>
        <v>0</v>
      </c>
      <c r="P18" s="364" t="s">
        <v>2420</v>
      </c>
    </row>
    <row r="19" spans="1:16" s="360" customFormat="1">
      <c r="A19" s="366"/>
      <c r="B19" s="367" t="s">
        <v>1234</v>
      </c>
      <c r="C19" s="367"/>
      <c r="D19" s="359" t="s">
        <v>1235</v>
      </c>
      <c r="H19" s="368"/>
      <c r="I19" s="362"/>
      <c r="J19" s="362"/>
      <c r="K19" s="362"/>
      <c r="L19" s="362"/>
      <c r="M19" s="362"/>
      <c r="N19" s="362"/>
      <c r="O19" s="362">
        <f t="shared" si="1"/>
        <v>0</v>
      </c>
    </row>
    <row r="20" spans="1:16">
      <c r="A20" s="356">
        <v>20100310</v>
      </c>
      <c r="B20" s="352" t="s">
        <v>1236</v>
      </c>
      <c r="C20" s="352" t="s">
        <v>1237</v>
      </c>
      <c r="D20" s="352" t="s">
        <v>1233</v>
      </c>
      <c r="E20" s="365">
        <v>4500</v>
      </c>
      <c r="F20" s="345">
        <v>225</v>
      </c>
      <c r="G20" s="345">
        <f>E20+F20</f>
        <v>4725</v>
      </c>
      <c r="H20" s="357">
        <v>19</v>
      </c>
      <c r="I20" s="350">
        <v>55</v>
      </c>
      <c r="L20" s="350">
        <v>4695</v>
      </c>
      <c r="M20" s="350">
        <f>J20+L20</f>
        <v>4695</v>
      </c>
      <c r="N20" s="351">
        <v>30</v>
      </c>
      <c r="O20" s="351">
        <f t="shared" si="1"/>
        <v>0</v>
      </c>
      <c r="P20" s="364" t="s">
        <v>2420</v>
      </c>
    </row>
    <row r="21" spans="1:16">
      <c r="A21" s="356">
        <v>20100310</v>
      </c>
      <c r="B21" s="352" t="s">
        <v>1238</v>
      </c>
      <c r="C21" s="352" t="s">
        <v>1239</v>
      </c>
      <c r="D21" s="352" t="s">
        <v>1233</v>
      </c>
      <c r="E21" s="365">
        <v>22500</v>
      </c>
      <c r="F21" s="345">
        <v>1125</v>
      </c>
      <c r="G21" s="345">
        <f>E21+F21</f>
        <v>23625</v>
      </c>
      <c r="H21" s="357">
        <v>8</v>
      </c>
      <c r="I21" s="350">
        <v>64</v>
      </c>
      <c r="J21" s="350">
        <v>23625</v>
      </c>
      <c r="M21" s="350">
        <f>J21+L21</f>
        <v>23625</v>
      </c>
      <c r="N21" s="351">
        <v>0</v>
      </c>
      <c r="O21" s="351">
        <f t="shared" si="1"/>
        <v>0</v>
      </c>
    </row>
    <row r="22" spans="1:16" s="360" customFormat="1">
      <c r="A22" s="366"/>
      <c r="B22" s="367" t="s">
        <v>1240</v>
      </c>
      <c r="C22" s="367"/>
      <c r="D22" s="359" t="s">
        <v>1235</v>
      </c>
      <c r="H22" s="368"/>
      <c r="I22" s="362"/>
      <c r="J22" s="362"/>
      <c r="K22" s="362"/>
      <c r="L22" s="362"/>
      <c r="M22" s="362"/>
      <c r="N22" s="362"/>
      <c r="O22" s="362">
        <f t="shared" si="1"/>
        <v>0</v>
      </c>
    </row>
    <row r="23" spans="1:16">
      <c r="A23" s="356">
        <v>20100331</v>
      </c>
      <c r="B23" s="352" t="s">
        <v>1241</v>
      </c>
      <c r="C23" s="352" t="s">
        <v>2688</v>
      </c>
      <c r="D23" s="352" t="s">
        <v>1233</v>
      </c>
      <c r="E23" s="345">
        <v>108000</v>
      </c>
      <c r="F23" s="345">
        <v>5400</v>
      </c>
      <c r="G23" s="345">
        <f t="shared" ref="G23:G62" si="2">E23+F23</f>
        <v>113400</v>
      </c>
      <c r="H23" s="357" t="s">
        <v>1276</v>
      </c>
      <c r="I23" s="354" t="s">
        <v>1478</v>
      </c>
      <c r="J23" s="350">
        <v>113400</v>
      </c>
      <c r="L23" s="354"/>
      <c r="M23" s="350">
        <f t="shared" ref="M23:M29" si="3">J23+L23</f>
        <v>113400</v>
      </c>
      <c r="N23" s="351">
        <v>0</v>
      </c>
      <c r="O23" s="351">
        <f t="shared" si="1"/>
        <v>0</v>
      </c>
    </row>
    <row r="24" spans="1:16">
      <c r="A24" s="356">
        <v>20100331</v>
      </c>
      <c r="B24" s="352" t="s">
        <v>1242</v>
      </c>
      <c r="C24" s="352" t="s">
        <v>1775</v>
      </c>
      <c r="D24" s="352" t="s">
        <v>1233</v>
      </c>
      <c r="E24" s="345">
        <v>82286</v>
      </c>
      <c r="F24" s="345">
        <v>4114</v>
      </c>
      <c r="G24" s="345">
        <f t="shared" si="2"/>
        <v>86400</v>
      </c>
      <c r="H24" s="357" t="s">
        <v>1276</v>
      </c>
      <c r="I24" s="343" t="s">
        <v>1479</v>
      </c>
      <c r="J24" s="350">
        <v>86400</v>
      </c>
      <c r="L24" s="343"/>
      <c r="M24" s="350">
        <f t="shared" si="3"/>
        <v>86400</v>
      </c>
      <c r="N24" s="351">
        <v>0</v>
      </c>
      <c r="O24" s="351">
        <f t="shared" si="1"/>
        <v>0</v>
      </c>
    </row>
    <row r="25" spans="1:16">
      <c r="A25" s="356">
        <v>20100420</v>
      </c>
      <c r="B25" s="352" t="s">
        <v>1243</v>
      </c>
      <c r="C25" s="352" t="s">
        <v>1781</v>
      </c>
      <c r="D25" s="352" t="s">
        <v>1233</v>
      </c>
      <c r="E25" s="345">
        <v>108000</v>
      </c>
      <c r="F25" s="345">
        <v>5400</v>
      </c>
      <c r="G25" s="345">
        <f t="shared" si="2"/>
        <v>113400</v>
      </c>
      <c r="H25" s="357" t="s">
        <v>1276</v>
      </c>
      <c r="I25" s="343" t="s">
        <v>1480</v>
      </c>
      <c r="J25" s="350">
        <v>113400</v>
      </c>
      <c r="L25" s="343"/>
      <c r="M25" s="350">
        <f t="shared" si="3"/>
        <v>113400</v>
      </c>
      <c r="N25" s="351">
        <v>0</v>
      </c>
      <c r="O25" s="351">
        <f t="shared" si="1"/>
        <v>0</v>
      </c>
    </row>
    <row r="26" spans="1:16">
      <c r="A26" s="356">
        <v>20100422</v>
      </c>
      <c r="B26" s="352" t="s">
        <v>1244</v>
      </c>
      <c r="C26" s="352" t="s">
        <v>1301</v>
      </c>
      <c r="D26" s="352" t="s">
        <v>1233</v>
      </c>
      <c r="E26" s="345">
        <v>108000</v>
      </c>
      <c r="F26" s="345">
        <v>5400</v>
      </c>
      <c r="G26" s="345">
        <f t="shared" si="2"/>
        <v>113400</v>
      </c>
      <c r="H26" s="357" t="s">
        <v>1276</v>
      </c>
      <c r="I26" s="343" t="s">
        <v>1481</v>
      </c>
      <c r="J26" s="350">
        <v>113400</v>
      </c>
      <c r="L26" s="343"/>
      <c r="M26" s="350">
        <f t="shared" si="3"/>
        <v>113400</v>
      </c>
      <c r="N26" s="351">
        <v>0</v>
      </c>
      <c r="O26" s="351">
        <f t="shared" si="1"/>
        <v>0</v>
      </c>
    </row>
    <row r="27" spans="1:16">
      <c r="A27" s="356">
        <v>20100501</v>
      </c>
      <c r="B27" s="352" t="s">
        <v>1245</v>
      </c>
      <c r="C27" s="352" t="s">
        <v>1246</v>
      </c>
      <c r="D27" s="352" t="s">
        <v>1233</v>
      </c>
      <c r="E27" s="345">
        <v>102857</v>
      </c>
      <c r="F27" s="345">
        <v>5143</v>
      </c>
      <c r="G27" s="345">
        <f t="shared" si="2"/>
        <v>108000</v>
      </c>
      <c r="H27" s="357" t="s">
        <v>1276</v>
      </c>
      <c r="I27" s="343" t="s">
        <v>1482</v>
      </c>
      <c r="J27" s="350">
        <v>108000</v>
      </c>
      <c r="L27" s="343"/>
      <c r="M27" s="350">
        <f t="shared" si="3"/>
        <v>108000</v>
      </c>
      <c r="N27" s="351">
        <v>0</v>
      </c>
      <c r="O27" s="351">
        <f t="shared" si="1"/>
        <v>0</v>
      </c>
    </row>
    <row r="28" spans="1:16">
      <c r="A28" s="356">
        <v>20100510</v>
      </c>
      <c r="B28" s="352" t="s">
        <v>1247</v>
      </c>
      <c r="C28" s="352" t="s">
        <v>1230</v>
      </c>
      <c r="D28" s="352" t="s">
        <v>1233</v>
      </c>
      <c r="E28" s="365">
        <v>11400</v>
      </c>
      <c r="F28" s="345">
        <v>570</v>
      </c>
      <c r="G28" s="345">
        <f t="shared" si="2"/>
        <v>11970</v>
      </c>
      <c r="H28" s="357">
        <v>2</v>
      </c>
      <c r="I28" s="350">
        <v>111</v>
      </c>
      <c r="L28" s="350">
        <v>11940</v>
      </c>
      <c r="M28" s="350">
        <f t="shared" si="3"/>
        <v>11940</v>
      </c>
      <c r="N28" s="351">
        <v>30</v>
      </c>
      <c r="O28" s="351">
        <f t="shared" si="1"/>
        <v>0</v>
      </c>
      <c r="P28" s="364" t="s">
        <v>2420</v>
      </c>
    </row>
    <row r="29" spans="1:16">
      <c r="A29" s="356">
        <v>20100511</v>
      </c>
      <c r="B29" s="352" t="s">
        <v>1248</v>
      </c>
      <c r="C29" s="352" t="s">
        <v>1249</v>
      </c>
      <c r="D29" s="352" t="s">
        <v>1233</v>
      </c>
      <c r="E29" s="365">
        <v>54000</v>
      </c>
      <c r="F29" s="345">
        <v>2700</v>
      </c>
      <c r="G29" s="345">
        <f t="shared" si="2"/>
        <v>56700</v>
      </c>
      <c r="H29" s="357" t="s">
        <v>1277</v>
      </c>
      <c r="I29" s="343" t="s">
        <v>1483</v>
      </c>
      <c r="J29" s="350">
        <v>56700</v>
      </c>
      <c r="L29" s="343"/>
      <c r="M29" s="350">
        <f t="shared" si="3"/>
        <v>56700</v>
      </c>
      <c r="N29" s="351">
        <v>0</v>
      </c>
      <c r="O29" s="351">
        <f t="shared" si="1"/>
        <v>0</v>
      </c>
    </row>
    <row r="30" spans="1:16">
      <c r="A30" s="369">
        <v>20100514</v>
      </c>
      <c r="B30" s="370" t="s">
        <v>1484</v>
      </c>
      <c r="C30" s="370" t="s">
        <v>606</v>
      </c>
      <c r="D30" s="371" t="s">
        <v>2439</v>
      </c>
      <c r="E30" s="372">
        <v>-5429</v>
      </c>
      <c r="F30" s="372">
        <v>-271</v>
      </c>
      <c r="G30" s="372">
        <f t="shared" si="2"/>
        <v>-5700</v>
      </c>
      <c r="H30" s="373" t="s">
        <v>1276</v>
      </c>
      <c r="I30" s="374"/>
      <c r="J30" s="374"/>
      <c r="K30" s="374"/>
      <c r="L30" s="374"/>
      <c r="M30" s="374"/>
      <c r="N30" s="374"/>
      <c r="O30" s="374">
        <f t="shared" si="1"/>
        <v>-5700</v>
      </c>
      <c r="P30" s="364" t="s">
        <v>1485</v>
      </c>
    </row>
    <row r="31" spans="1:16">
      <c r="A31" s="356">
        <v>20100526</v>
      </c>
      <c r="B31" s="352" t="s">
        <v>1250</v>
      </c>
      <c r="C31" s="352" t="s">
        <v>2</v>
      </c>
      <c r="D31" s="352" t="s">
        <v>1233</v>
      </c>
      <c r="E31" s="345">
        <v>187200</v>
      </c>
      <c r="F31" s="345">
        <v>9360</v>
      </c>
      <c r="G31" s="345">
        <f t="shared" si="2"/>
        <v>196560</v>
      </c>
      <c r="H31" s="357" t="s">
        <v>1276</v>
      </c>
      <c r="I31" s="343" t="s">
        <v>1486</v>
      </c>
      <c r="J31" s="350">
        <v>196560</v>
      </c>
      <c r="L31" s="343"/>
      <c r="M31" s="350">
        <f t="shared" ref="M31:M36" si="4">J31+L31</f>
        <v>196560</v>
      </c>
      <c r="N31" s="351">
        <v>0</v>
      </c>
      <c r="O31" s="351">
        <f t="shared" si="1"/>
        <v>0</v>
      </c>
    </row>
    <row r="32" spans="1:16">
      <c r="A32" s="356">
        <v>20100526</v>
      </c>
      <c r="B32" s="352" t="s">
        <v>1251</v>
      </c>
      <c r="C32" s="352" t="s">
        <v>2</v>
      </c>
      <c r="D32" s="352" t="s">
        <v>1233</v>
      </c>
      <c r="E32" s="345">
        <v>108000</v>
      </c>
      <c r="F32" s="345">
        <v>5400</v>
      </c>
      <c r="G32" s="345">
        <f t="shared" si="2"/>
        <v>113400</v>
      </c>
      <c r="H32" s="357" t="s">
        <v>1276</v>
      </c>
      <c r="I32" s="343" t="s">
        <v>1487</v>
      </c>
      <c r="J32" s="350">
        <v>113400</v>
      </c>
      <c r="L32" s="343"/>
      <c r="M32" s="350">
        <f t="shared" si="4"/>
        <v>113400</v>
      </c>
      <c r="N32" s="351">
        <v>0</v>
      </c>
      <c r="O32" s="351">
        <f t="shared" si="1"/>
        <v>0</v>
      </c>
    </row>
    <row r="33" spans="1:16">
      <c r="A33" s="356">
        <v>20100603</v>
      </c>
      <c r="B33" s="352" t="s">
        <v>1252</v>
      </c>
      <c r="C33" s="352" t="s">
        <v>2687</v>
      </c>
      <c r="D33" s="352" t="s">
        <v>1233</v>
      </c>
      <c r="E33" s="345">
        <v>108000</v>
      </c>
      <c r="F33" s="345">
        <v>5400</v>
      </c>
      <c r="G33" s="345">
        <f t="shared" si="2"/>
        <v>113400</v>
      </c>
      <c r="H33" s="357" t="s">
        <v>1276</v>
      </c>
      <c r="I33" s="343" t="s">
        <v>1488</v>
      </c>
      <c r="J33" s="350">
        <v>113400</v>
      </c>
      <c r="L33" s="343"/>
      <c r="M33" s="350">
        <f t="shared" si="4"/>
        <v>113400</v>
      </c>
      <c r="N33" s="351">
        <v>0</v>
      </c>
      <c r="O33" s="351">
        <f t="shared" si="1"/>
        <v>0</v>
      </c>
    </row>
    <row r="34" spans="1:16">
      <c r="A34" s="356">
        <v>20100610</v>
      </c>
      <c r="B34" s="352" t="s">
        <v>1253</v>
      </c>
      <c r="C34" s="352" t="s">
        <v>1232</v>
      </c>
      <c r="D34" s="352" t="s">
        <v>1233</v>
      </c>
      <c r="E34" s="365">
        <v>15600</v>
      </c>
      <c r="F34" s="345">
        <v>780</v>
      </c>
      <c r="G34" s="345">
        <f t="shared" si="2"/>
        <v>16380</v>
      </c>
      <c r="H34" s="357">
        <v>9</v>
      </c>
      <c r="I34" s="350">
        <v>136</v>
      </c>
      <c r="J34" s="350">
        <v>16380</v>
      </c>
      <c r="M34" s="350">
        <f t="shared" si="4"/>
        <v>16380</v>
      </c>
      <c r="N34" s="351">
        <v>0</v>
      </c>
      <c r="O34" s="351">
        <f t="shared" si="1"/>
        <v>0</v>
      </c>
    </row>
    <row r="35" spans="1:16">
      <c r="A35" s="356">
        <v>20100610</v>
      </c>
      <c r="B35" s="352" t="s">
        <v>1254</v>
      </c>
      <c r="C35" s="352" t="s">
        <v>3825</v>
      </c>
      <c r="D35" s="352" t="s">
        <v>1233</v>
      </c>
      <c r="E35" s="365">
        <v>13500</v>
      </c>
      <c r="F35" s="345">
        <v>675</v>
      </c>
      <c r="G35" s="345">
        <f t="shared" si="2"/>
        <v>14175</v>
      </c>
      <c r="H35" s="357">
        <v>8</v>
      </c>
      <c r="I35" s="350">
        <v>137</v>
      </c>
      <c r="L35" s="350">
        <v>14145</v>
      </c>
      <c r="M35" s="350">
        <f t="shared" si="4"/>
        <v>14145</v>
      </c>
      <c r="N35" s="351">
        <v>30</v>
      </c>
      <c r="O35" s="351">
        <f t="shared" si="1"/>
        <v>0</v>
      </c>
      <c r="P35" s="364" t="s">
        <v>2420</v>
      </c>
    </row>
    <row r="36" spans="1:16">
      <c r="A36" s="356">
        <v>20100615</v>
      </c>
      <c r="B36" s="352" t="s">
        <v>1255</v>
      </c>
      <c r="C36" s="352" t="s">
        <v>1761</v>
      </c>
      <c r="D36" s="352" t="s">
        <v>1233</v>
      </c>
      <c r="E36" s="345">
        <v>96000</v>
      </c>
      <c r="F36" s="345">
        <v>4800</v>
      </c>
      <c r="G36" s="345">
        <f t="shared" si="2"/>
        <v>100800</v>
      </c>
      <c r="H36" s="357" t="s">
        <v>1276</v>
      </c>
      <c r="I36" s="343" t="s">
        <v>1489</v>
      </c>
      <c r="J36" s="350">
        <v>100800</v>
      </c>
      <c r="L36" s="343"/>
      <c r="M36" s="350">
        <f t="shared" si="4"/>
        <v>100800</v>
      </c>
      <c r="N36" s="351">
        <v>0</v>
      </c>
      <c r="O36" s="351">
        <f t="shared" si="1"/>
        <v>0</v>
      </c>
    </row>
    <row r="37" spans="1:16">
      <c r="A37" s="356">
        <v>20100622</v>
      </c>
      <c r="B37" s="352" t="s">
        <v>1256</v>
      </c>
      <c r="C37" s="352" t="s">
        <v>2693</v>
      </c>
      <c r="D37" s="352" t="s">
        <v>1233</v>
      </c>
      <c r="E37" s="345">
        <v>100800</v>
      </c>
      <c r="F37" s="345">
        <v>5040</v>
      </c>
      <c r="G37" s="345">
        <f t="shared" si="2"/>
        <v>105840</v>
      </c>
      <c r="H37" s="357" t="s">
        <v>1276</v>
      </c>
      <c r="O37" s="351">
        <f t="shared" si="1"/>
        <v>105840</v>
      </c>
    </row>
    <row r="38" spans="1:16">
      <c r="A38" s="176">
        <v>20100728</v>
      </c>
      <c r="B38" s="370" t="s">
        <v>1256</v>
      </c>
      <c r="C38" s="370" t="s">
        <v>2693</v>
      </c>
      <c r="D38" s="371" t="s">
        <v>2556</v>
      </c>
      <c r="E38" s="372">
        <v>-100800</v>
      </c>
      <c r="F38" s="372">
        <v>-5040</v>
      </c>
      <c r="G38" s="372">
        <f t="shared" si="2"/>
        <v>-105840</v>
      </c>
      <c r="H38" s="373" t="s">
        <v>1276</v>
      </c>
      <c r="I38" s="374"/>
      <c r="J38" s="374"/>
      <c r="K38" s="374"/>
      <c r="L38" s="374"/>
      <c r="M38" s="374"/>
      <c r="N38" s="374"/>
      <c r="O38" s="374">
        <f t="shared" si="1"/>
        <v>-105840</v>
      </c>
    </row>
    <row r="39" spans="1:16">
      <c r="A39">
        <v>20100728</v>
      </c>
      <c r="B39" t="s">
        <v>1257</v>
      </c>
      <c r="C39" s="352" t="s">
        <v>2693</v>
      </c>
      <c r="D39" s="178"/>
      <c r="E39" s="365">
        <v>33600</v>
      </c>
      <c r="F39" s="345">
        <v>1680</v>
      </c>
      <c r="G39" s="345">
        <f t="shared" si="2"/>
        <v>35280</v>
      </c>
      <c r="H39" s="357" t="s">
        <v>1276</v>
      </c>
      <c r="I39" s="343" t="s">
        <v>1490</v>
      </c>
      <c r="J39" s="350">
        <v>39690</v>
      </c>
      <c r="L39" s="343"/>
      <c r="M39" s="350">
        <f t="shared" ref="M39:M62" si="5">J39+L39</f>
        <v>39690</v>
      </c>
      <c r="N39" s="351">
        <v>-4410</v>
      </c>
      <c r="O39" s="351">
        <f t="shared" si="1"/>
        <v>0</v>
      </c>
      <c r="P39" s="364" t="s">
        <v>1491</v>
      </c>
    </row>
    <row r="40" spans="1:16">
      <c r="A40">
        <v>20100728</v>
      </c>
      <c r="B40" t="s">
        <v>1258</v>
      </c>
      <c r="C40" s="352" t="s">
        <v>2693</v>
      </c>
      <c r="D40" s="178"/>
      <c r="E40" s="365">
        <v>33600</v>
      </c>
      <c r="F40" s="345">
        <v>1680</v>
      </c>
      <c r="G40" s="345">
        <f t="shared" si="2"/>
        <v>35280</v>
      </c>
      <c r="H40" s="357" t="s">
        <v>1278</v>
      </c>
      <c r="I40" s="343" t="s">
        <v>1492</v>
      </c>
      <c r="J40" s="350">
        <v>39690</v>
      </c>
      <c r="L40" s="343"/>
      <c r="M40" s="350">
        <f t="shared" si="5"/>
        <v>39690</v>
      </c>
      <c r="N40" s="351">
        <v>-4410</v>
      </c>
      <c r="O40" s="351">
        <f t="shared" si="1"/>
        <v>0</v>
      </c>
      <c r="P40" s="364" t="s">
        <v>1491</v>
      </c>
    </row>
    <row r="41" spans="1:16">
      <c r="A41">
        <v>20100728</v>
      </c>
      <c r="B41" t="s">
        <v>1259</v>
      </c>
      <c r="C41" s="352" t="s">
        <v>2693</v>
      </c>
      <c r="D41" s="178"/>
      <c r="E41" s="365">
        <v>33600</v>
      </c>
      <c r="F41" s="345">
        <v>1680</v>
      </c>
      <c r="G41" s="345">
        <f t="shared" si="2"/>
        <v>35280</v>
      </c>
      <c r="H41" s="357" t="s">
        <v>1279</v>
      </c>
      <c r="I41" s="343" t="s">
        <v>1493</v>
      </c>
      <c r="J41" s="350">
        <v>26460</v>
      </c>
      <c r="L41" s="343"/>
      <c r="M41" s="350">
        <f t="shared" si="5"/>
        <v>26460</v>
      </c>
      <c r="N41" s="351">
        <v>8820</v>
      </c>
      <c r="O41" s="351">
        <f t="shared" si="1"/>
        <v>0</v>
      </c>
      <c r="P41" s="364" t="s">
        <v>1491</v>
      </c>
    </row>
    <row r="42" spans="1:16">
      <c r="A42">
        <v>20100806</v>
      </c>
      <c r="B42" t="s">
        <v>1260</v>
      </c>
      <c r="C42" s="352" t="s">
        <v>1792</v>
      </c>
      <c r="D42" s="178"/>
      <c r="E42" s="345">
        <v>108000</v>
      </c>
      <c r="F42" s="345">
        <v>5400</v>
      </c>
      <c r="G42" s="345">
        <f t="shared" si="2"/>
        <v>113400</v>
      </c>
      <c r="H42" s="357" t="s">
        <v>1276</v>
      </c>
      <c r="I42" s="343" t="s">
        <v>1494</v>
      </c>
      <c r="J42" s="350">
        <v>113400</v>
      </c>
      <c r="L42" s="343"/>
      <c r="M42" s="350">
        <f t="shared" si="5"/>
        <v>113400</v>
      </c>
      <c r="N42" s="351">
        <v>0</v>
      </c>
      <c r="O42" s="351">
        <f t="shared" si="1"/>
        <v>0</v>
      </c>
    </row>
    <row r="43" spans="1:16">
      <c r="A43">
        <v>20100818</v>
      </c>
      <c r="B43" t="s">
        <v>1261</v>
      </c>
      <c r="C43" t="s">
        <v>1789</v>
      </c>
      <c r="D43" s="352"/>
      <c r="E43">
        <v>108000</v>
      </c>
      <c r="F43">
        <v>5400</v>
      </c>
      <c r="G43" s="345">
        <f t="shared" si="2"/>
        <v>113400</v>
      </c>
      <c r="H43" s="357" t="s">
        <v>1276</v>
      </c>
      <c r="I43" s="343" t="s">
        <v>1495</v>
      </c>
      <c r="J43" s="350">
        <v>113400</v>
      </c>
      <c r="L43" s="343"/>
      <c r="M43" s="350">
        <f t="shared" si="5"/>
        <v>113400</v>
      </c>
      <c r="N43" s="351">
        <v>0</v>
      </c>
      <c r="O43" s="351">
        <f t="shared" si="1"/>
        <v>0</v>
      </c>
    </row>
    <row r="44" spans="1:16">
      <c r="A44">
        <v>20100826</v>
      </c>
      <c r="B44" t="s">
        <v>1262</v>
      </c>
      <c r="C44" t="s">
        <v>1299</v>
      </c>
      <c r="D44" s="352"/>
      <c r="E44">
        <v>86400</v>
      </c>
      <c r="F44">
        <v>4320</v>
      </c>
      <c r="G44" s="345">
        <f t="shared" si="2"/>
        <v>90720</v>
      </c>
      <c r="H44" s="357" t="s">
        <v>1276</v>
      </c>
      <c r="I44" s="343" t="s">
        <v>1496</v>
      </c>
      <c r="J44" s="350">
        <v>90720</v>
      </c>
      <c r="L44" s="343"/>
      <c r="M44" s="350">
        <f t="shared" si="5"/>
        <v>90720</v>
      </c>
      <c r="N44" s="351">
        <v>0</v>
      </c>
      <c r="O44" s="351">
        <f t="shared" si="1"/>
        <v>0</v>
      </c>
    </row>
    <row r="45" spans="1:16">
      <c r="A45">
        <v>20100827</v>
      </c>
      <c r="B45" t="s">
        <v>1263</v>
      </c>
      <c r="C45" t="s">
        <v>1264</v>
      </c>
      <c r="D45" s="352"/>
      <c r="E45">
        <v>86400</v>
      </c>
      <c r="F45">
        <v>4320</v>
      </c>
      <c r="G45" s="345">
        <f t="shared" si="2"/>
        <v>90720</v>
      </c>
      <c r="H45" s="357" t="s">
        <v>1276</v>
      </c>
      <c r="I45" s="343" t="s">
        <v>1067</v>
      </c>
      <c r="J45" s="350">
        <v>90720</v>
      </c>
      <c r="L45" s="343"/>
      <c r="M45" s="350">
        <f t="shared" si="5"/>
        <v>90720</v>
      </c>
      <c r="N45" s="351">
        <v>0</v>
      </c>
      <c r="O45" s="351">
        <f t="shared" si="1"/>
        <v>0</v>
      </c>
      <c r="P45" s="364" t="s">
        <v>1497</v>
      </c>
    </row>
    <row r="46" spans="1:16">
      <c r="A46">
        <v>20100901</v>
      </c>
      <c r="B46" t="s">
        <v>1265</v>
      </c>
      <c r="C46" t="s">
        <v>2689</v>
      </c>
      <c r="D46" s="352"/>
      <c r="E46">
        <v>108000</v>
      </c>
      <c r="F46">
        <v>5400</v>
      </c>
      <c r="G46" s="345">
        <f t="shared" si="2"/>
        <v>113400</v>
      </c>
      <c r="H46" s="357" t="s">
        <v>1276</v>
      </c>
      <c r="I46" s="343" t="s">
        <v>1498</v>
      </c>
      <c r="J46" s="350">
        <v>113400</v>
      </c>
      <c r="L46" s="343"/>
      <c r="M46" s="350">
        <f t="shared" si="5"/>
        <v>113400</v>
      </c>
      <c r="N46" s="351">
        <v>0</v>
      </c>
      <c r="O46" s="351">
        <f t="shared" si="1"/>
        <v>0</v>
      </c>
    </row>
    <row r="47" spans="1:16">
      <c r="A47">
        <v>20100901</v>
      </c>
      <c r="B47" t="s">
        <v>1266</v>
      </c>
      <c r="C47" t="s">
        <v>1232</v>
      </c>
      <c r="D47" s="352"/>
      <c r="E47" s="114">
        <v>15600</v>
      </c>
      <c r="F47">
        <v>780</v>
      </c>
      <c r="G47" s="345">
        <f t="shared" si="2"/>
        <v>16380</v>
      </c>
      <c r="H47" s="357">
        <v>10</v>
      </c>
      <c r="I47" s="350">
        <v>201</v>
      </c>
      <c r="J47" s="350">
        <v>16380</v>
      </c>
      <c r="M47" s="350">
        <f t="shared" si="5"/>
        <v>16380</v>
      </c>
      <c r="N47" s="351">
        <v>0</v>
      </c>
      <c r="O47" s="351">
        <f t="shared" si="1"/>
        <v>0</v>
      </c>
    </row>
    <row r="48" spans="1:16">
      <c r="A48">
        <v>20100901</v>
      </c>
      <c r="B48" t="s">
        <v>1267</v>
      </c>
      <c r="C48" t="s">
        <v>1230</v>
      </c>
      <c r="D48" s="352"/>
      <c r="E48" s="114">
        <v>11400</v>
      </c>
      <c r="F48">
        <v>570</v>
      </c>
      <c r="G48" s="345">
        <f t="shared" si="2"/>
        <v>11970</v>
      </c>
      <c r="H48" s="357">
        <v>3</v>
      </c>
      <c r="I48" s="350">
        <v>200</v>
      </c>
      <c r="L48" s="350">
        <v>11940</v>
      </c>
      <c r="M48" s="350">
        <f t="shared" si="5"/>
        <v>11940</v>
      </c>
      <c r="N48" s="351">
        <v>30</v>
      </c>
      <c r="O48" s="351">
        <f t="shared" si="1"/>
        <v>0</v>
      </c>
      <c r="P48" s="364" t="s">
        <v>2420</v>
      </c>
    </row>
    <row r="49" spans="1:16">
      <c r="A49">
        <v>20100901</v>
      </c>
      <c r="B49" t="s">
        <v>1268</v>
      </c>
      <c r="C49" t="s">
        <v>1270</v>
      </c>
      <c r="D49" s="352"/>
      <c r="E49" s="114">
        <v>19500</v>
      </c>
      <c r="F49">
        <v>975</v>
      </c>
      <c r="G49" s="345">
        <f t="shared" si="2"/>
        <v>20475</v>
      </c>
      <c r="H49" s="357">
        <v>1</v>
      </c>
      <c r="I49" s="350">
        <v>196</v>
      </c>
      <c r="J49" s="350">
        <v>20475</v>
      </c>
      <c r="M49" s="350">
        <f t="shared" si="5"/>
        <v>20475</v>
      </c>
      <c r="N49" s="351">
        <v>0</v>
      </c>
      <c r="O49" s="351">
        <f t="shared" si="1"/>
        <v>0</v>
      </c>
    </row>
    <row r="50" spans="1:16">
      <c r="A50">
        <v>20100901</v>
      </c>
      <c r="B50" t="s">
        <v>1269</v>
      </c>
      <c r="C50" t="s">
        <v>1270</v>
      </c>
      <c r="D50" s="352"/>
      <c r="E50" s="114">
        <v>19500</v>
      </c>
      <c r="F50">
        <v>975</v>
      </c>
      <c r="G50" s="345">
        <f t="shared" si="2"/>
        <v>20475</v>
      </c>
      <c r="H50" s="357">
        <v>2</v>
      </c>
      <c r="I50" s="350">
        <v>197</v>
      </c>
      <c r="J50" s="350">
        <v>20475</v>
      </c>
      <c r="M50" s="350">
        <f t="shared" si="5"/>
        <v>20475</v>
      </c>
      <c r="N50" s="351">
        <v>0</v>
      </c>
      <c r="O50" s="351">
        <f t="shared" si="1"/>
        <v>0</v>
      </c>
    </row>
    <row r="51" spans="1:16">
      <c r="A51">
        <v>20100901</v>
      </c>
      <c r="B51" t="s">
        <v>1271</v>
      </c>
      <c r="C51" t="s">
        <v>1270</v>
      </c>
      <c r="D51" s="352"/>
      <c r="E51" s="114">
        <v>19500</v>
      </c>
      <c r="F51">
        <v>975</v>
      </c>
      <c r="G51" s="345">
        <f t="shared" si="2"/>
        <v>20475</v>
      </c>
      <c r="H51" s="357">
        <v>3</v>
      </c>
      <c r="I51" s="350">
        <v>198</v>
      </c>
      <c r="J51" s="350">
        <v>20475</v>
      </c>
      <c r="M51" s="350">
        <f t="shared" si="5"/>
        <v>20475</v>
      </c>
      <c r="N51" s="351">
        <v>0</v>
      </c>
      <c r="O51" s="351">
        <f t="shared" si="1"/>
        <v>0</v>
      </c>
    </row>
    <row r="52" spans="1:16">
      <c r="A52">
        <v>20100901</v>
      </c>
      <c r="B52" t="s">
        <v>1272</v>
      </c>
      <c r="C52" t="s">
        <v>1270</v>
      </c>
      <c r="D52" s="352"/>
      <c r="E52" s="114">
        <v>19500</v>
      </c>
      <c r="F52">
        <v>975</v>
      </c>
      <c r="G52" s="345">
        <f t="shared" si="2"/>
        <v>20475</v>
      </c>
      <c r="H52" s="357">
        <v>4</v>
      </c>
      <c r="I52" s="350">
        <v>199</v>
      </c>
      <c r="J52" s="350">
        <v>20475</v>
      </c>
      <c r="M52" s="350">
        <f t="shared" si="5"/>
        <v>20475</v>
      </c>
      <c r="N52" s="351">
        <v>0</v>
      </c>
      <c r="O52" s="351">
        <f t="shared" si="1"/>
        <v>0</v>
      </c>
    </row>
    <row r="53" spans="1:16">
      <c r="A53">
        <v>20100928</v>
      </c>
      <c r="B53" t="s">
        <v>1273</v>
      </c>
      <c r="C53" t="s">
        <v>2691</v>
      </c>
      <c r="D53" s="352"/>
      <c r="E53">
        <v>108000</v>
      </c>
      <c r="F53">
        <v>5400</v>
      </c>
      <c r="G53" s="345">
        <f t="shared" si="2"/>
        <v>113400</v>
      </c>
      <c r="H53" s="357" t="s">
        <v>1276</v>
      </c>
      <c r="I53" s="343" t="s">
        <v>1499</v>
      </c>
      <c r="J53" s="350">
        <v>113400</v>
      </c>
      <c r="L53" s="343"/>
      <c r="M53" s="350">
        <f t="shared" si="5"/>
        <v>113400</v>
      </c>
      <c r="N53" s="351">
        <v>0</v>
      </c>
      <c r="O53" s="351">
        <f t="shared" si="1"/>
        <v>0</v>
      </c>
    </row>
    <row r="54" spans="1:16">
      <c r="A54">
        <v>20101004</v>
      </c>
      <c r="B54" t="s">
        <v>1274</v>
      </c>
      <c r="C54" t="s">
        <v>1764</v>
      </c>
      <c r="D54" s="352"/>
      <c r="E54">
        <v>108000</v>
      </c>
      <c r="F54">
        <v>5400</v>
      </c>
      <c r="G54" s="345">
        <f t="shared" si="2"/>
        <v>113400</v>
      </c>
      <c r="H54" s="357" t="s">
        <v>1276</v>
      </c>
      <c r="I54" s="343" t="s">
        <v>1500</v>
      </c>
      <c r="J54" s="350">
        <v>113400</v>
      </c>
      <c r="L54" s="343"/>
      <c r="M54" s="350">
        <f t="shared" si="5"/>
        <v>113400</v>
      </c>
      <c r="N54" s="351">
        <v>0</v>
      </c>
      <c r="O54" s="351">
        <f t="shared" si="1"/>
        <v>0</v>
      </c>
    </row>
    <row r="55" spans="1:16">
      <c r="A55" s="183">
        <v>20101109</v>
      </c>
      <c r="B55" s="183" t="s">
        <v>1501</v>
      </c>
      <c r="C55" s="183" t="s">
        <v>1699</v>
      </c>
      <c r="D55" s="352" t="s">
        <v>1233</v>
      </c>
      <c r="E55" s="183">
        <v>12857</v>
      </c>
      <c r="F55" s="183">
        <v>643</v>
      </c>
      <c r="G55" s="352">
        <f t="shared" si="2"/>
        <v>13500</v>
      </c>
      <c r="H55" s="357">
        <v>1</v>
      </c>
      <c r="I55" s="343">
        <v>218</v>
      </c>
      <c r="J55" s="350">
        <v>13500</v>
      </c>
      <c r="L55" s="343"/>
      <c r="M55" s="350">
        <f t="shared" si="5"/>
        <v>13500</v>
      </c>
      <c r="N55" s="351">
        <v>0</v>
      </c>
      <c r="O55" s="351">
        <f t="shared" si="1"/>
        <v>0</v>
      </c>
    </row>
    <row r="56" spans="1:16">
      <c r="A56" s="183">
        <v>20101111</v>
      </c>
      <c r="B56" s="183" t="s">
        <v>1502</v>
      </c>
      <c r="C56" s="183" t="s">
        <v>2423</v>
      </c>
      <c r="D56" s="352" t="s">
        <v>1233</v>
      </c>
      <c r="E56" s="183">
        <v>108000</v>
      </c>
      <c r="F56" s="183">
        <v>5400</v>
      </c>
      <c r="G56" s="352">
        <f t="shared" si="2"/>
        <v>113400</v>
      </c>
      <c r="H56" s="354" t="s">
        <v>1276</v>
      </c>
      <c r="I56" s="343" t="s">
        <v>1503</v>
      </c>
      <c r="J56" s="350">
        <v>113400</v>
      </c>
      <c r="M56" s="350">
        <f t="shared" si="5"/>
        <v>113400</v>
      </c>
      <c r="N56" s="351">
        <v>0</v>
      </c>
      <c r="O56" s="351">
        <f t="shared" si="1"/>
        <v>0</v>
      </c>
    </row>
    <row r="57" spans="1:16">
      <c r="A57" s="183">
        <v>20101116</v>
      </c>
      <c r="B57" s="183" t="s">
        <v>1504</v>
      </c>
      <c r="C57" s="183" t="s">
        <v>1532</v>
      </c>
      <c r="D57" s="352" t="s">
        <v>1233</v>
      </c>
      <c r="E57" s="183">
        <v>12857</v>
      </c>
      <c r="F57" s="183">
        <v>643</v>
      </c>
      <c r="G57" s="352">
        <f t="shared" si="2"/>
        <v>13500</v>
      </c>
      <c r="H57" s="350">
        <v>1</v>
      </c>
      <c r="I57" s="350">
        <v>219</v>
      </c>
      <c r="L57" s="350">
        <v>13470</v>
      </c>
      <c r="M57" s="350">
        <f t="shared" si="5"/>
        <v>13470</v>
      </c>
      <c r="N57" s="351">
        <v>30</v>
      </c>
      <c r="O57" s="351">
        <f t="shared" si="1"/>
        <v>0</v>
      </c>
      <c r="P57" s="364" t="s">
        <v>2420</v>
      </c>
    </row>
    <row r="58" spans="1:16">
      <c r="A58" s="183">
        <v>20101202</v>
      </c>
      <c r="B58" s="183" t="s">
        <v>1505</v>
      </c>
      <c r="C58" s="183" t="s">
        <v>1306</v>
      </c>
      <c r="D58" s="352" t="s">
        <v>1233</v>
      </c>
      <c r="E58" s="183">
        <v>108000</v>
      </c>
      <c r="F58" s="183">
        <v>5400</v>
      </c>
      <c r="G58" s="352">
        <f t="shared" si="2"/>
        <v>113400</v>
      </c>
      <c r="H58" s="375" t="s">
        <v>1276</v>
      </c>
      <c r="I58" s="343" t="s">
        <v>1506</v>
      </c>
      <c r="J58" s="350">
        <v>113400</v>
      </c>
      <c r="M58" s="350">
        <f t="shared" si="5"/>
        <v>113400</v>
      </c>
      <c r="N58" s="351">
        <v>0</v>
      </c>
      <c r="O58" s="351">
        <f t="shared" si="1"/>
        <v>0</v>
      </c>
    </row>
    <row r="59" spans="1:16">
      <c r="A59" s="183">
        <v>20101202</v>
      </c>
      <c r="B59" s="183" t="s">
        <v>1889</v>
      </c>
      <c r="C59" s="183" t="s">
        <v>255</v>
      </c>
      <c r="D59" s="352" t="s">
        <v>1233</v>
      </c>
      <c r="E59" s="183">
        <v>86400</v>
      </c>
      <c r="F59" s="183">
        <v>4320</v>
      </c>
      <c r="G59" s="352">
        <f t="shared" si="2"/>
        <v>90720</v>
      </c>
      <c r="H59" s="375" t="s">
        <v>1276</v>
      </c>
      <c r="I59" s="343" t="s">
        <v>1068</v>
      </c>
      <c r="J59" s="350">
        <v>90720</v>
      </c>
      <c r="M59" s="350">
        <f t="shared" si="5"/>
        <v>90720</v>
      </c>
      <c r="N59" s="351">
        <v>0</v>
      </c>
      <c r="O59" s="351">
        <f t="shared" si="1"/>
        <v>0</v>
      </c>
    </row>
    <row r="60" spans="1:16">
      <c r="A60" s="183">
        <v>20101208</v>
      </c>
      <c r="B60" s="183" t="s">
        <v>1507</v>
      </c>
      <c r="C60" s="183" t="s">
        <v>2421</v>
      </c>
      <c r="D60" s="352" t="s">
        <v>1233</v>
      </c>
      <c r="E60" s="183">
        <v>13500</v>
      </c>
      <c r="F60" s="183">
        <v>675</v>
      </c>
      <c r="G60" s="352">
        <f t="shared" si="2"/>
        <v>14175</v>
      </c>
      <c r="H60" s="350">
        <v>1</v>
      </c>
      <c r="I60" s="350">
        <v>220</v>
      </c>
      <c r="L60" s="350">
        <v>14165</v>
      </c>
      <c r="M60" s="350">
        <f t="shared" si="5"/>
        <v>14165</v>
      </c>
      <c r="N60" s="351">
        <v>10</v>
      </c>
      <c r="O60" s="351">
        <f t="shared" si="1"/>
        <v>0</v>
      </c>
      <c r="P60" s="364" t="s">
        <v>2420</v>
      </c>
    </row>
    <row r="61" spans="1:16">
      <c r="A61" s="183">
        <v>20101209</v>
      </c>
      <c r="B61" s="183" t="s">
        <v>1890</v>
      </c>
      <c r="C61" s="183" t="s">
        <v>1232</v>
      </c>
      <c r="D61" s="352" t="s">
        <v>1233</v>
      </c>
      <c r="E61" s="183">
        <v>15600</v>
      </c>
      <c r="F61" s="183">
        <v>780</v>
      </c>
      <c r="G61" s="352">
        <f t="shared" si="2"/>
        <v>16380</v>
      </c>
      <c r="H61" s="350">
        <v>11</v>
      </c>
      <c r="I61" s="350">
        <v>316</v>
      </c>
      <c r="J61" s="350">
        <v>16380</v>
      </c>
      <c r="M61" s="350">
        <f t="shared" si="5"/>
        <v>16380</v>
      </c>
      <c r="N61" s="351">
        <v>0</v>
      </c>
      <c r="O61" s="351">
        <f t="shared" si="1"/>
        <v>0</v>
      </c>
    </row>
    <row r="62" spans="1:16">
      <c r="A62" s="183">
        <v>20101209</v>
      </c>
      <c r="B62" s="183" t="s">
        <v>1891</v>
      </c>
      <c r="C62" s="183" t="s">
        <v>1230</v>
      </c>
      <c r="D62" s="352" t="s">
        <v>1233</v>
      </c>
      <c r="E62" s="183">
        <v>11400</v>
      </c>
      <c r="F62" s="183">
        <v>570</v>
      </c>
      <c r="G62" s="352">
        <f t="shared" si="2"/>
        <v>11970</v>
      </c>
      <c r="H62" s="350">
        <v>4</v>
      </c>
      <c r="I62" s="343" t="s">
        <v>420</v>
      </c>
      <c r="L62" s="350">
        <v>11940</v>
      </c>
      <c r="M62" s="350">
        <f t="shared" si="5"/>
        <v>11940</v>
      </c>
      <c r="N62" s="351">
        <v>30</v>
      </c>
      <c r="O62" s="351">
        <f t="shared" si="1"/>
        <v>0</v>
      </c>
    </row>
    <row r="63" spans="1:16" s="347" customFormat="1">
      <c r="A63" s="346" t="s">
        <v>1508</v>
      </c>
      <c r="D63" s="348" t="s">
        <v>2377</v>
      </c>
      <c r="E63" s="376">
        <f>SUM(E64:E114)</f>
        <v>1669889</v>
      </c>
      <c r="F63" s="376">
        <f>SUM(F64:F114)</f>
        <v>83496</v>
      </c>
      <c r="G63" s="376">
        <f>SUM(G64:G114)</f>
        <v>1753385</v>
      </c>
      <c r="H63" s="349"/>
      <c r="J63" s="376">
        <f>SUM(J64:J114)</f>
        <v>1490580</v>
      </c>
      <c r="K63" s="376"/>
      <c r="L63" s="376">
        <f>SUM(L64:L114)</f>
        <v>233510</v>
      </c>
      <c r="M63" s="376">
        <f>SUM(M64:M114)</f>
        <v>1724090</v>
      </c>
      <c r="N63" s="376">
        <f>SUM(N64:N114)</f>
        <v>355</v>
      </c>
      <c r="O63" s="376">
        <f>SUM(O64:O114)</f>
        <v>0</v>
      </c>
    </row>
    <row r="64" spans="1:16">
      <c r="A64" s="183">
        <v>20110110</v>
      </c>
      <c r="B64" s="183" t="s">
        <v>1069</v>
      </c>
      <c r="C64" s="183" t="s">
        <v>7</v>
      </c>
      <c r="D64" s="352"/>
      <c r="E64" s="183">
        <v>100800</v>
      </c>
      <c r="F64" s="183">
        <v>5040</v>
      </c>
      <c r="G64" s="352">
        <f t="shared" ref="G64:G78" si="6">E64+F64</f>
        <v>105840</v>
      </c>
      <c r="H64" s="377" t="s">
        <v>1276</v>
      </c>
      <c r="I64" s="343" t="s">
        <v>1070</v>
      </c>
      <c r="J64" s="350">
        <v>105840</v>
      </c>
      <c r="M64" s="350">
        <f>J64+L64</f>
        <v>105840</v>
      </c>
      <c r="O64" s="351">
        <f t="shared" ref="O64:O87" si="7">G64-M64-N64</f>
        <v>0</v>
      </c>
      <c r="P64" s="378" t="s">
        <v>1071</v>
      </c>
    </row>
    <row r="65" spans="1:16">
      <c r="A65" s="183">
        <v>20110119</v>
      </c>
      <c r="B65" s="183" t="s">
        <v>1821</v>
      </c>
      <c r="C65" s="183" t="s">
        <v>3825</v>
      </c>
      <c r="D65" s="344"/>
      <c r="E65" s="183">
        <v>13500</v>
      </c>
      <c r="F65" s="183">
        <v>675</v>
      </c>
      <c r="G65" s="352">
        <f t="shared" si="6"/>
        <v>14175</v>
      </c>
      <c r="H65" s="377" t="s">
        <v>904</v>
      </c>
      <c r="I65" s="343" t="s">
        <v>1979</v>
      </c>
      <c r="L65" s="350">
        <v>14145</v>
      </c>
      <c r="M65" s="350">
        <f>J65+L65</f>
        <v>14145</v>
      </c>
      <c r="N65" s="351">
        <v>30</v>
      </c>
      <c r="O65" s="351">
        <f t="shared" si="7"/>
        <v>0</v>
      </c>
      <c r="P65" s="378" t="s">
        <v>1072</v>
      </c>
    </row>
    <row r="66" spans="1:16">
      <c r="A66" s="183">
        <v>20110120</v>
      </c>
      <c r="B66" s="183" t="s">
        <v>2658</v>
      </c>
      <c r="C66" s="199" t="s">
        <v>1884</v>
      </c>
      <c r="D66" s="344"/>
      <c r="E66" s="199">
        <v>108000</v>
      </c>
      <c r="F66" s="183">
        <v>5400</v>
      </c>
      <c r="G66" s="352">
        <f t="shared" si="6"/>
        <v>113400</v>
      </c>
      <c r="H66" s="377" t="s">
        <v>1276</v>
      </c>
      <c r="I66" s="343" t="s">
        <v>1073</v>
      </c>
      <c r="J66" s="350">
        <v>113400</v>
      </c>
      <c r="M66" s="350">
        <f>J66+L66</f>
        <v>113400</v>
      </c>
      <c r="O66" s="351">
        <f t="shared" si="7"/>
        <v>0</v>
      </c>
      <c r="P66" s="378" t="s">
        <v>1074</v>
      </c>
    </row>
    <row r="67" spans="1:16">
      <c r="A67" s="183">
        <v>20110210</v>
      </c>
      <c r="B67" s="183" t="s">
        <v>3497</v>
      </c>
      <c r="C67" s="199" t="s">
        <v>2422</v>
      </c>
      <c r="D67" s="352"/>
      <c r="E67" s="183">
        <v>100800</v>
      </c>
      <c r="F67" s="183">
        <v>5040</v>
      </c>
      <c r="G67" s="352">
        <f t="shared" si="6"/>
        <v>105840</v>
      </c>
      <c r="H67" s="377" t="s">
        <v>1276</v>
      </c>
      <c r="I67" s="343" t="s">
        <v>1075</v>
      </c>
      <c r="J67" s="350">
        <v>105840</v>
      </c>
      <c r="M67" s="350">
        <f>J67+L67</f>
        <v>105840</v>
      </c>
      <c r="O67" s="351">
        <f t="shared" si="7"/>
        <v>0</v>
      </c>
      <c r="P67" s="378" t="s">
        <v>1076</v>
      </c>
    </row>
    <row r="68" spans="1:16">
      <c r="A68" s="183"/>
      <c r="B68" s="183" t="s">
        <v>3498</v>
      </c>
      <c r="C68" s="199" t="s">
        <v>1235</v>
      </c>
      <c r="D68" s="352"/>
      <c r="E68" s="199"/>
      <c r="F68" s="183"/>
      <c r="G68" s="352">
        <f t="shared" si="6"/>
        <v>0</v>
      </c>
      <c r="H68" s="379"/>
      <c r="O68" s="351">
        <f t="shared" si="7"/>
        <v>0</v>
      </c>
      <c r="P68" s="378"/>
    </row>
    <row r="69" spans="1:16">
      <c r="A69" s="183">
        <v>20110210</v>
      </c>
      <c r="B69" s="183" t="s">
        <v>3499</v>
      </c>
      <c r="C69" s="352" t="s">
        <v>1230</v>
      </c>
      <c r="D69" s="352"/>
      <c r="E69" s="352">
        <v>11400</v>
      </c>
      <c r="F69" s="352">
        <v>570</v>
      </c>
      <c r="G69" s="352">
        <f t="shared" si="6"/>
        <v>11970</v>
      </c>
      <c r="H69" s="377" t="s">
        <v>1077</v>
      </c>
      <c r="I69" s="343" t="s">
        <v>2040</v>
      </c>
      <c r="L69" s="350">
        <v>11940</v>
      </c>
      <c r="M69" s="350">
        <f>J69+L69</f>
        <v>11940</v>
      </c>
      <c r="N69" s="351">
        <v>30</v>
      </c>
      <c r="O69" s="351">
        <f t="shared" si="7"/>
        <v>0</v>
      </c>
      <c r="P69" s="378">
        <v>12545554</v>
      </c>
    </row>
    <row r="70" spans="1:16">
      <c r="A70" s="183">
        <v>20110210</v>
      </c>
      <c r="B70" s="183" t="s">
        <v>3500</v>
      </c>
      <c r="C70" s="352" t="s">
        <v>1699</v>
      </c>
      <c r="D70" s="352"/>
      <c r="E70" s="352">
        <v>12857</v>
      </c>
      <c r="F70" s="352">
        <v>643</v>
      </c>
      <c r="G70" s="352">
        <f t="shared" si="6"/>
        <v>13500</v>
      </c>
      <c r="H70" s="377" t="s">
        <v>905</v>
      </c>
      <c r="I70" s="350">
        <v>346</v>
      </c>
      <c r="J70" s="350">
        <v>13500</v>
      </c>
      <c r="M70" s="350">
        <f>J70+L70</f>
        <v>13500</v>
      </c>
      <c r="O70" s="351">
        <f t="shared" si="7"/>
        <v>0</v>
      </c>
      <c r="P70" s="378">
        <v>33002211</v>
      </c>
    </row>
    <row r="71" spans="1:16">
      <c r="A71" s="183">
        <v>20110210</v>
      </c>
      <c r="B71" s="183" t="s">
        <v>3501</v>
      </c>
      <c r="C71" s="352" t="s">
        <v>1532</v>
      </c>
      <c r="D71" s="352"/>
      <c r="E71" s="352">
        <v>12857</v>
      </c>
      <c r="F71" s="352">
        <v>643</v>
      </c>
      <c r="G71" s="352">
        <f t="shared" si="6"/>
        <v>13500</v>
      </c>
      <c r="H71" s="377" t="s">
        <v>905</v>
      </c>
      <c r="I71" s="343" t="s">
        <v>421</v>
      </c>
      <c r="L71" s="350">
        <v>13485</v>
      </c>
      <c r="M71" s="350">
        <f>J71+L71</f>
        <v>13485</v>
      </c>
      <c r="N71" s="351">
        <v>15</v>
      </c>
      <c r="O71" s="351">
        <f t="shared" si="7"/>
        <v>0</v>
      </c>
      <c r="P71" s="378">
        <v>23674533</v>
      </c>
    </row>
    <row r="72" spans="1:16">
      <c r="A72" s="183">
        <v>20110214</v>
      </c>
      <c r="B72" s="183" t="s">
        <v>3502</v>
      </c>
      <c r="C72" s="352" t="s">
        <v>1300</v>
      </c>
      <c r="D72" s="352"/>
      <c r="E72" s="352">
        <v>108000</v>
      </c>
      <c r="F72" s="352">
        <v>5400</v>
      </c>
      <c r="G72" s="352">
        <f t="shared" si="6"/>
        <v>113400</v>
      </c>
      <c r="H72" s="377" t="s">
        <v>1276</v>
      </c>
      <c r="I72" s="343" t="s">
        <v>1078</v>
      </c>
      <c r="J72" s="350">
        <v>113400</v>
      </c>
      <c r="M72" s="350">
        <f>J72+L72</f>
        <v>113400</v>
      </c>
      <c r="O72" s="351">
        <f t="shared" si="7"/>
        <v>0</v>
      </c>
      <c r="P72" s="378">
        <v>22449539</v>
      </c>
    </row>
    <row r="73" spans="1:16">
      <c r="A73" s="183">
        <v>20110215</v>
      </c>
      <c r="B73" s="183" t="s">
        <v>3503</v>
      </c>
      <c r="C73" s="352" t="s">
        <v>1232</v>
      </c>
      <c r="D73" s="352"/>
      <c r="E73" s="352">
        <v>15600</v>
      </c>
      <c r="F73" s="352">
        <v>780</v>
      </c>
      <c r="G73" s="352">
        <f t="shared" si="6"/>
        <v>16380</v>
      </c>
      <c r="H73" s="377" t="s">
        <v>1079</v>
      </c>
      <c r="I73" s="350">
        <v>345</v>
      </c>
      <c r="J73" s="350">
        <v>16380</v>
      </c>
      <c r="M73" s="350">
        <f>J73+L73</f>
        <v>16380</v>
      </c>
      <c r="O73" s="351">
        <f t="shared" si="7"/>
        <v>0</v>
      </c>
      <c r="P73" s="378" t="s">
        <v>1080</v>
      </c>
    </row>
    <row r="74" spans="1:16">
      <c r="A74" s="380"/>
      <c r="B74" s="352" t="s">
        <v>1081</v>
      </c>
      <c r="C74" s="352" t="s">
        <v>1235</v>
      </c>
      <c r="D74" s="352"/>
      <c r="E74" s="367"/>
      <c r="F74" s="352"/>
      <c r="G74" s="352">
        <f t="shared" si="6"/>
        <v>0</v>
      </c>
      <c r="H74" s="379"/>
      <c r="O74" s="351">
        <f t="shared" si="7"/>
        <v>0</v>
      </c>
      <c r="P74" s="378"/>
    </row>
    <row r="75" spans="1:16">
      <c r="A75" s="380"/>
      <c r="B75" s="352" t="s">
        <v>3504</v>
      </c>
      <c r="C75" s="352" t="s">
        <v>1235</v>
      </c>
      <c r="D75" s="352"/>
      <c r="E75" s="367"/>
      <c r="F75" s="352"/>
      <c r="G75" s="352">
        <f t="shared" si="6"/>
        <v>0</v>
      </c>
      <c r="H75" s="379"/>
      <c r="O75" s="351">
        <f t="shared" si="7"/>
        <v>0</v>
      </c>
      <c r="P75" s="378"/>
    </row>
    <row r="76" spans="1:16">
      <c r="A76" s="380">
        <v>20110419</v>
      </c>
      <c r="B76" s="352" t="s">
        <v>3505</v>
      </c>
      <c r="C76" s="352" t="s">
        <v>857</v>
      </c>
      <c r="D76" s="352" t="s">
        <v>1233</v>
      </c>
      <c r="E76" s="367">
        <v>108000</v>
      </c>
      <c r="F76" s="352">
        <v>5400</v>
      </c>
      <c r="G76" s="352">
        <f t="shared" si="6"/>
        <v>113400</v>
      </c>
      <c r="H76" s="377" t="s">
        <v>1276</v>
      </c>
      <c r="I76" s="343" t="s">
        <v>1082</v>
      </c>
      <c r="J76" s="350">
        <v>113400</v>
      </c>
      <c r="M76" s="350">
        <f>J76+L76</f>
        <v>113400</v>
      </c>
      <c r="O76" s="351">
        <f t="shared" si="7"/>
        <v>0</v>
      </c>
      <c r="P76" s="378" t="s">
        <v>1083</v>
      </c>
    </row>
    <row r="77" spans="1:16">
      <c r="A77" s="380">
        <v>20110419</v>
      </c>
      <c r="B77" s="352" t="s">
        <v>3506</v>
      </c>
      <c r="C77" s="352" t="s">
        <v>2421</v>
      </c>
      <c r="D77" s="352" t="s">
        <v>1233</v>
      </c>
      <c r="E77" s="367">
        <v>13500</v>
      </c>
      <c r="F77" s="352">
        <v>675</v>
      </c>
      <c r="G77" s="352">
        <f t="shared" si="6"/>
        <v>14175</v>
      </c>
      <c r="H77" s="377" t="s">
        <v>905</v>
      </c>
      <c r="I77" s="343" t="s">
        <v>446</v>
      </c>
      <c r="L77" s="350">
        <v>14165</v>
      </c>
      <c r="M77" s="350">
        <f>J77+L77</f>
        <v>14165</v>
      </c>
      <c r="N77" s="351">
        <v>10</v>
      </c>
      <c r="O77" s="351">
        <f t="shared" si="7"/>
        <v>0</v>
      </c>
      <c r="P77" s="378" t="s">
        <v>1084</v>
      </c>
    </row>
    <row r="78" spans="1:16">
      <c r="A78" s="380">
        <v>20110425</v>
      </c>
      <c r="B78" s="352" t="s">
        <v>3507</v>
      </c>
      <c r="C78" s="352" t="s">
        <v>2027</v>
      </c>
      <c r="D78" s="352" t="s">
        <v>1233</v>
      </c>
      <c r="E78" s="367">
        <v>86400</v>
      </c>
      <c r="F78" s="352">
        <v>4320</v>
      </c>
      <c r="G78" s="352">
        <f t="shared" si="6"/>
        <v>90720</v>
      </c>
      <c r="H78" s="377" t="s">
        <v>1276</v>
      </c>
      <c r="I78" s="343" t="s">
        <v>1085</v>
      </c>
      <c r="J78" s="350">
        <v>90720</v>
      </c>
      <c r="M78" s="350">
        <f>J78+L78</f>
        <v>90720</v>
      </c>
      <c r="O78" s="351">
        <f t="shared" si="7"/>
        <v>0</v>
      </c>
      <c r="P78" s="378" t="s">
        <v>1086</v>
      </c>
    </row>
    <row r="79" spans="1:16">
      <c r="A79" s="380"/>
      <c r="B79" s="352" t="s">
        <v>3508</v>
      </c>
      <c r="D79" s="371" t="s">
        <v>1235</v>
      </c>
      <c r="E79" s="367"/>
      <c r="F79" s="352"/>
      <c r="G79" s="352">
        <v>0</v>
      </c>
      <c r="H79" s="379"/>
      <c r="O79" s="351">
        <f t="shared" si="7"/>
        <v>0</v>
      </c>
      <c r="P79" s="378"/>
    </row>
    <row r="80" spans="1:16">
      <c r="A80" s="380">
        <v>20110426</v>
      </c>
      <c r="B80" s="352" t="s">
        <v>3509</v>
      </c>
      <c r="C80" s="352" t="s">
        <v>2739</v>
      </c>
      <c r="D80" s="352" t="s">
        <v>1233</v>
      </c>
      <c r="E80" s="352">
        <v>102857</v>
      </c>
      <c r="F80" s="352">
        <v>5143</v>
      </c>
      <c r="G80" s="352">
        <f t="shared" ref="G80:G109" si="8">E80+F80</f>
        <v>108000</v>
      </c>
      <c r="H80" s="377" t="s">
        <v>1276</v>
      </c>
      <c r="I80" s="343" t="s">
        <v>1087</v>
      </c>
      <c r="J80" s="350">
        <v>108000</v>
      </c>
      <c r="M80" s="350">
        <f t="shared" ref="M80:M87" si="9">J80+L80</f>
        <v>108000</v>
      </c>
      <c r="O80" s="351">
        <f t="shared" si="7"/>
        <v>0</v>
      </c>
      <c r="P80" s="378" t="s">
        <v>1088</v>
      </c>
    </row>
    <row r="81" spans="1:17">
      <c r="A81" s="380">
        <v>20110505</v>
      </c>
      <c r="B81" s="352" t="s">
        <v>1089</v>
      </c>
      <c r="C81" s="352" t="s">
        <v>1232</v>
      </c>
      <c r="D81" s="352" t="s">
        <v>1233</v>
      </c>
      <c r="E81" s="352">
        <v>15600</v>
      </c>
      <c r="F81" s="352">
        <v>780</v>
      </c>
      <c r="G81" s="352">
        <f t="shared" si="8"/>
        <v>16380</v>
      </c>
      <c r="H81" s="377" t="s">
        <v>904</v>
      </c>
      <c r="I81" s="350">
        <v>372</v>
      </c>
      <c r="J81" s="350">
        <v>16380</v>
      </c>
      <c r="M81" s="350">
        <f t="shared" si="9"/>
        <v>16380</v>
      </c>
      <c r="O81" s="351">
        <f t="shared" si="7"/>
        <v>0</v>
      </c>
      <c r="P81" s="378" t="s">
        <v>1080</v>
      </c>
    </row>
    <row r="82" spans="1:17">
      <c r="A82" s="380">
        <v>20110511</v>
      </c>
      <c r="B82" s="352" t="s">
        <v>1090</v>
      </c>
      <c r="C82" s="352" t="s">
        <v>1230</v>
      </c>
      <c r="D82" s="352" t="s">
        <v>1233</v>
      </c>
      <c r="E82" s="352">
        <v>11400</v>
      </c>
      <c r="F82" s="352">
        <v>570</v>
      </c>
      <c r="G82" s="352">
        <f t="shared" si="8"/>
        <v>11970</v>
      </c>
      <c r="H82" s="377" t="s">
        <v>1091</v>
      </c>
      <c r="I82" s="343" t="s">
        <v>455</v>
      </c>
      <c r="L82" s="350">
        <v>11940</v>
      </c>
      <c r="M82" s="350">
        <f t="shared" si="9"/>
        <v>11940</v>
      </c>
      <c r="N82" s="351">
        <v>30</v>
      </c>
      <c r="O82" s="351">
        <f t="shared" si="7"/>
        <v>0</v>
      </c>
      <c r="P82" s="378" t="s">
        <v>1092</v>
      </c>
    </row>
    <row r="83" spans="1:17">
      <c r="A83" s="380">
        <v>20110511</v>
      </c>
      <c r="B83" s="352" t="s">
        <v>1093</v>
      </c>
      <c r="C83" s="352" t="s">
        <v>3825</v>
      </c>
      <c r="D83" s="352" t="s">
        <v>1233</v>
      </c>
      <c r="E83" s="352">
        <v>13500</v>
      </c>
      <c r="F83" s="352">
        <v>675</v>
      </c>
      <c r="G83" s="352">
        <f t="shared" si="8"/>
        <v>14175</v>
      </c>
      <c r="H83" s="377" t="s">
        <v>905</v>
      </c>
      <c r="I83" s="343" t="s">
        <v>450</v>
      </c>
      <c r="L83" s="350">
        <v>14145</v>
      </c>
      <c r="M83" s="350">
        <f t="shared" si="9"/>
        <v>14145</v>
      </c>
      <c r="N83" s="351">
        <v>30</v>
      </c>
      <c r="O83" s="351">
        <f t="shared" si="7"/>
        <v>0</v>
      </c>
      <c r="P83" s="378" t="s">
        <v>1072</v>
      </c>
    </row>
    <row r="84" spans="1:17">
      <c r="A84" s="380">
        <v>20110511</v>
      </c>
      <c r="B84" s="352" t="s">
        <v>1094</v>
      </c>
      <c r="C84" s="352" t="s">
        <v>1699</v>
      </c>
      <c r="D84" s="352" t="s">
        <v>1233</v>
      </c>
      <c r="E84" s="352">
        <v>12857</v>
      </c>
      <c r="F84" s="352">
        <v>643</v>
      </c>
      <c r="G84" s="352">
        <f t="shared" si="8"/>
        <v>13500</v>
      </c>
      <c r="H84" s="377" t="s">
        <v>2780</v>
      </c>
      <c r="I84" s="350">
        <v>371</v>
      </c>
      <c r="J84" s="350">
        <v>13500</v>
      </c>
      <c r="M84" s="350">
        <f t="shared" si="9"/>
        <v>13500</v>
      </c>
      <c r="O84" s="351">
        <f t="shared" si="7"/>
        <v>0</v>
      </c>
      <c r="P84" s="378" t="s">
        <v>1095</v>
      </c>
    </row>
    <row r="85" spans="1:17">
      <c r="A85" s="380">
        <v>20110511</v>
      </c>
      <c r="B85" s="352" t="s">
        <v>1096</v>
      </c>
      <c r="C85" s="352" t="s">
        <v>1532</v>
      </c>
      <c r="D85" s="352" t="s">
        <v>1233</v>
      </c>
      <c r="E85" s="352">
        <v>12857</v>
      </c>
      <c r="F85" s="352">
        <v>643</v>
      </c>
      <c r="G85" s="352">
        <f t="shared" si="8"/>
        <v>13500</v>
      </c>
      <c r="H85" s="377" t="s">
        <v>2780</v>
      </c>
      <c r="I85" s="343" t="s">
        <v>448</v>
      </c>
      <c r="L85" s="350">
        <v>13500</v>
      </c>
      <c r="M85" s="350">
        <f t="shared" si="9"/>
        <v>13500</v>
      </c>
      <c r="O85" s="351">
        <f t="shared" si="7"/>
        <v>0</v>
      </c>
      <c r="P85" s="378" t="s">
        <v>1097</v>
      </c>
    </row>
    <row r="86" spans="1:17">
      <c r="A86" s="380">
        <v>20110601</v>
      </c>
      <c r="B86" s="352" t="s">
        <v>1098</v>
      </c>
      <c r="C86" s="352" t="s">
        <v>2060</v>
      </c>
      <c r="D86" s="352" t="s">
        <v>1233</v>
      </c>
      <c r="E86" s="352">
        <v>13500</v>
      </c>
      <c r="F86" s="352">
        <v>675</v>
      </c>
      <c r="G86" s="352">
        <f t="shared" si="8"/>
        <v>14175</v>
      </c>
      <c r="H86" s="377" t="s">
        <v>904</v>
      </c>
      <c r="I86" s="343" t="s">
        <v>455</v>
      </c>
      <c r="L86" s="350">
        <v>14145</v>
      </c>
      <c r="M86" s="350">
        <f t="shared" si="9"/>
        <v>14145</v>
      </c>
      <c r="N86" s="351">
        <v>30</v>
      </c>
      <c r="O86" s="351">
        <f t="shared" si="7"/>
        <v>0</v>
      </c>
      <c r="P86" s="378" t="s">
        <v>1099</v>
      </c>
    </row>
    <row r="87" spans="1:17">
      <c r="A87" s="380">
        <v>20110620</v>
      </c>
      <c r="B87" s="352" t="s">
        <v>1100</v>
      </c>
      <c r="C87" s="352" t="s">
        <v>2041</v>
      </c>
      <c r="D87" s="352" t="s">
        <v>1233</v>
      </c>
      <c r="E87" s="352">
        <v>108000</v>
      </c>
      <c r="F87" s="352">
        <v>5400</v>
      </c>
      <c r="G87" s="352">
        <f t="shared" si="8"/>
        <v>113400</v>
      </c>
      <c r="H87" s="377" t="s">
        <v>1276</v>
      </c>
      <c r="I87" s="343" t="s">
        <v>1101</v>
      </c>
      <c r="J87" s="350">
        <v>113400</v>
      </c>
      <c r="M87" s="350">
        <f t="shared" si="9"/>
        <v>113400</v>
      </c>
      <c r="O87" s="351">
        <f t="shared" si="7"/>
        <v>0</v>
      </c>
      <c r="P87" s="378" t="s">
        <v>1102</v>
      </c>
    </row>
    <row r="88" spans="1:17">
      <c r="A88" s="380">
        <v>20110531</v>
      </c>
      <c r="B88" s="370" t="s">
        <v>1103</v>
      </c>
      <c r="C88" s="370" t="s">
        <v>1104</v>
      </c>
      <c r="D88" s="371" t="s">
        <v>1105</v>
      </c>
      <c r="E88" s="352">
        <v>4762</v>
      </c>
      <c r="F88" s="370">
        <v>238</v>
      </c>
      <c r="G88" s="370">
        <f t="shared" si="8"/>
        <v>5000</v>
      </c>
      <c r="H88" s="379"/>
      <c r="O88" s="626">
        <f>G88-M88-N88-5000</f>
        <v>0</v>
      </c>
      <c r="P88" s="403" t="s">
        <v>15201</v>
      </c>
    </row>
    <row r="89" spans="1:17">
      <c r="A89" s="380"/>
      <c r="B89" s="183" t="s">
        <v>1106</v>
      </c>
      <c r="C89" s="352"/>
      <c r="D89" s="371" t="s">
        <v>1235</v>
      </c>
      <c r="E89" s="352"/>
      <c r="F89" s="352"/>
      <c r="G89" s="352">
        <f t="shared" si="8"/>
        <v>0</v>
      </c>
      <c r="H89" s="379"/>
      <c r="P89" s="352"/>
    </row>
    <row r="90" spans="1:17">
      <c r="A90" s="183">
        <v>20110704</v>
      </c>
      <c r="B90" s="183" t="s">
        <v>1107</v>
      </c>
      <c r="C90" s="352" t="s">
        <v>1307</v>
      </c>
      <c r="D90" s="178"/>
      <c r="E90" s="352">
        <v>102857</v>
      </c>
      <c r="F90" s="352">
        <v>5143</v>
      </c>
      <c r="G90" s="352">
        <f t="shared" si="8"/>
        <v>108000</v>
      </c>
      <c r="H90" s="377" t="s">
        <v>1276</v>
      </c>
      <c r="I90" s="343" t="s">
        <v>1108</v>
      </c>
      <c r="J90" s="350">
        <v>108000</v>
      </c>
      <c r="M90" s="350">
        <f t="shared" ref="M90:M109" si="10">J90+L90</f>
        <v>108000</v>
      </c>
      <c r="O90" s="351">
        <f t="shared" ref="O90:O109" si="11">G90-M90-N90</f>
        <v>0</v>
      </c>
      <c r="P90" s="378">
        <v>36025531</v>
      </c>
    </row>
    <row r="91" spans="1:17">
      <c r="A91" s="183">
        <v>20110801</v>
      </c>
      <c r="B91" s="183" t="s">
        <v>1109</v>
      </c>
      <c r="C91" s="352" t="s">
        <v>2421</v>
      </c>
      <c r="D91" s="178"/>
      <c r="E91" s="352">
        <v>13500</v>
      </c>
      <c r="F91" s="352">
        <v>675</v>
      </c>
      <c r="G91" s="352">
        <f t="shared" si="8"/>
        <v>14175</v>
      </c>
      <c r="H91" s="377" t="s">
        <v>2780</v>
      </c>
      <c r="I91" s="343" t="s">
        <v>457</v>
      </c>
      <c r="L91" s="350">
        <v>14165</v>
      </c>
      <c r="M91" s="350">
        <f t="shared" si="10"/>
        <v>14165</v>
      </c>
      <c r="N91" s="351">
        <v>10</v>
      </c>
      <c r="O91" s="351">
        <f t="shared" si="11"/>
        <v>0</v>
      </c>
      <c r="P91" s="378" t="s">
        <v>1084</v>
      </c>
    </row>
    <row r="92" spans="1:17">
      <c r="A92" s="183">
        <v>20110802</v>
      </c>
      <c r="B92" s="183" t="s">
        <v>1110</v>
      </c>
      <c r="C92" s="352" t="s">
        <v>3825</v>
      </c>
      <c r="D92" s="178"/>
      <c r="E92" s="352">
        <v>13500</v>
      </c>
      <c r="F92" s="352">
        <v>675</v>
      </c>
      <c r="G92" s="352">
        <f t="shared" si="8"/>
        <v>14175</v>
      </c>
      <c r="H92" s="377" t="s">
        <v>2780</v>
      </c>
      <c r="I92" s="343" t="s">
        <v>2081</v>
      </c>
      <c r="L92" s="350">
        <v>14145</v>
      </c>
      <c r="M92" s="350">
        <f t="shared" si="10"/>
        <v>14145</v>
      </c>
      <c r="N92" s="351">
        <v>30</v>
      </c>
      <c r="O92" s="351">
        <f t="shared" si="11"/>
        <v>0</v>
      </c>
      <c r="P92" s="378">
        <v>23306799</v>
      </c>
    </row>
    <row r="93" spans="1:17">
      <c r="A93" s="183">
        <v>20110802</v>
      </c>
      <c r="B93" s="183" t="s">
        <v>1111</v>
      </c>
      <c r="C93" s="183" t="s">
        <v>1532</v>
      </c>
      <c r="D93" s="352"/>
      <c r="E93" s="352">
        <v>12857</v>
      </c>
      <c r="F93" s="183">
        <v>643</v>
      </c>
      <c r="G93" s="352">
        <f t="shared" si="8"/>
        <v>13500</v>
      </c>
      <c r="H93" s="377" t="s">
        <v>1112</v>
      </c>
      <c r="I93" s="343" t="s">
        <v>2080</v>
      </c>
      <c r="L93" s="350">
        <v>13485</v>
      </c>
      <c r="M93" s="350">
        <f t="shared" si="10"/>
        <v>13485</v>
      </c>
      <c r="N93" s="351">
        <v>15</v>
      </c>
      <c r="O93" s="351">
        <f t="shared" si="11"/>
        <v>0</v>
      </c>
      <c r="P93" s="378" t="s">
        <v>1097</v>
      </c>
    </row>
    <row r="94" spans="1:17">
      <c r="A94" s="183">
        <v>20110802</v>
      </c>
      <c r="B94" s="183" t="s">
        <v>1113</v>
      </c>
      <c r="C94" s="183" t="s">
        <v>1699</v>
      </c>
      <c r="D94" s="352"/>
      <c r="E94" s="352">
        <v>12857</v>
      </c>
      <c r="F94" s="183">
        <v>643</v>
      </c>
      <c r="G94" s="352">
        <f t="shared" si="8"/>
        <v>13500</v>
      </c>
      <c r="H94" s="377" t="s">
        <v>1112</v>
      </c>
      <c r="I94" s="350">
        <v>389</v>
      </c>
      <c r="J94" s="350">
        <v>13500</v>
      </c>
      <c r="M94" s="350">
        <f t="shared" si="10"/>
        <v>13500</v>
      </c>
      <c r="O94" s="351">
        <f t="shared" si="11"/>
        <v>0</v>
      </c>
      <c r="P94" s="378" t="s">
        <v>1095</v>
      </c>
    </row>
    <row r="95" spans="1:17">
      <c r="A95" s="183">
        <v>20110802</v>
      </c>
      <c r="B95" s="183" t="s">
        <v>1114</v>
      </c>
      <c r="C95" s="183" t="s">
        <v>1230</v>
      </c>
      <c r="D95" s="352"/>
      <c r="E95" s="352">
        <v>11400</v>
      </c>
      <c r="F95" s="183">
        <v>570</v>
      </c>
      <c r="G95" s="352">
        <f t="shared" si="8"/>
        <v>11970</v>
      </c>
      <c r="H95" s="379"/>
      <c r="M95" s="350">
        <f t="shared" si="10"/>
        <v>0</v>
      </c>
      <c r="O95" s="626">
        <f>G95-M95-N95-11970</f>
        <v>0</v>
      </c>
      <c r="P95" s="378" t="s">
        <v>1092</v>
      </c>
      <c r="Q95" s="403" t="s">
        <v>15201</v>
      </c>
    </row>
    <row r="96" spans="1:17">
      <c r="A96" s="183">
        <v>20110802</v>
      </c>
      <c r="B96" s="183" t="s">
        <v>1115</v>
      </c>
      <c r="C96" s="183" t="s">
        <v>1232</v>
      </c>
      <c r="D96" s="352"/>
      <c r="E96" s="352">
        <v>15600</v>
      </c>
      <c r="F96" s="183">
        <v>780</v>
      </c>
      <c r="G96" s="352">
        <f t="shared" si="8"/>
        <v>16380</v>
      </c>
      <c r="H96" s="377" t="s">
        <v>905</v>
      </c>
      <c r="I96" s="350">
        <v>390</v>
      </c>
      <c r="J96" s="350">
        <v>16380</v>
      </c>
      <c r="M96" s="350">
        <f t="shared" si="10"/>
        <v>16380</v>
      </c>
      <c r="O96" s="351">
        <f t="shared" si="11"/>
        <v>0</v>
      </c>
      <c r="P96" s="378" t="s">
        <v>1080</v>
      </c>
    </row>
    <row r="97" spans="1:17">
      <c r="A97" s="183">
        <v>20110809</v>
      </c>
      <c r="B97" s="183" t="s">
        <v>1116</v>
      </c>
      <c r="C97" s="183" t="s">
        <v>8</v>
      </c>
      <c r="D97" s="352"/>
      <c r="E97" s="352">
        <v>108000</v>
      </c>
      <c r="F97" s="183">
        <v>5400</v>
      </c>
      <c r="G97" s="352">
        <f t="shared" si="8"/>
        <v>113400</v>
      </c>
      <c r="H97" s="377" t="s">
        <v>1276</v>
      </c>
      <c r="I97" s="343" t="s">
        <v>1117</v>
      </c>
      <c r="J97" s="350">
        <v>113400</v>
      </c>
      <c r="M97" s="350">
        <f t="shared" si="10"/>
        <v>113400</v>
      </c>
      <c r="O97" s="351">
        <f t="shared" si="11"/>
        <v>0</v>
      </c>
      <c r="P97" s="378">
        <v>12946185</v>
      </c>
    </row>
    <row r="98" spans="1:17">
      <c r="A98" s="183">
        <v>20111003</v>
      </c>
      <c r="B98" s="183" t="s">
        <v>1118</v>
      </c>
      <c r="C98" s="183" t="s">
        <v>1302</v>
      </c>
      <c r="D98" s="352"/>
      <c r="E98" s="352">
        <v>91200</v>
      </c>
      <c r="F98" s="183">
        <v>4560</v>
      </c>
      <c r="G98" s="352">
        <f t="shared" si="8"/>
        <v>95760</v>
      </c>
      <c r="H98" s="377" t="s">
        <v>1119</v>
      </c>
      <c r="I98" s="343" t="s">
        <v>1120</v>
      </c>
      <c r="J98" s="350">
        <v>95760</v>
      </c>
      <c r="M98" s="350">
        <f t="shared" si="10"/>
        <v>95760</v>
      </c>
      <c r="O98" s="351">
        <f t="shared" si="11"/>
        <v>0</v>
      </c>
      <c r="P98" s="378" t="s">
        <v>1121</v>
      </c>
    </row>
    <row r="99" spans="1:17">
      <c r="A99" s="183">
        <v>20111003</v>
      </c>
      <c r="B99" s="183" t="s">
        <v>1122</v>
      </c>
      <c r="C99" s="183" t="s">
        <v>2060</v>
      </c>
      <c r="D99" s="352"/>
      <c r="E99" s="352">
        <v>13500</v>
      </c>
      <c r="F99" s="183">
        <v>675</v>
      </c>
      <c r="G99" s="352">
        <f t="shared" si="8"/>
        <v>14175</v>
      </c>
      <c r="H99" s="377" t="s">
        <v>905</v>
      </c>
      <c r="I99" s="343" t="s">
        <v>2112</v>
      </c>
      <c r="L99" s="350">
        <v>14145</v>
      </c>
      <c r="M99" s="350">
        <f t="shared" si="10"/>
        <v>14145</v>
      </c>
      <c r="N99" s="351">
        <v>30</v>
      </c>
      <c r="O99" s="351">
        <f t="shared" si="11"/>
        <v>0</v>
      </c>
      <c r="P99" s="378" t="s">
        <v>1099</v>
      </c>
    </row>
    <row r="100" spans="1:17">
      <c r="A100" s="183">
        <v>20111003</v>
      </c>
      <c r="B100" s="183" t="s">
        <v>1123</v>
      </c>
      <c r="C100" s="183" t="s">
        <v>3825</v>
      </c>
      <c r="D100" s="352"/>
      <c r="E100" s="352">
        <v>13500</v>
      </c>
      <c r="F100" s="183">
        <v>675</v>
      </c>
      <c r="G100" s="352">
        <f t="shared" si="8"/>
        <v>14175</v>
      </c>
      <c r="H100" s="377" t="s">
        <v>1112</v>
      </c>
      <c r="I100" s="343" t="s">
        <v>2100</v>
      </c>
      <c r="L100" s="350">
        <v>14145</v>
      </c>
      <c r="M100" s="350">
        <f t="shared" si="10"/>
        <v>14145</v>
      </c>
      <c r="N100" s="351">
        <v>30</v>
      </c>
      <c r="O100" s="351">
        <f t="shared" si="11"/>
        <v>0</v>
      </c>
      <c r="P100" s="378" t="s">
        <v>1072</v>
      </c>
    </row>
    <row r="101" spans="1:17">
      <c r="A101" s="183">
        <v>20111003</v>
      </c>
      <c r="B101" s="183" t="s">
        <v>1124</v>
      </c>
      <c r="C101" s="183" t="s">
        <v>2421</v>
      </c>
      <c r="D101" s="352"/>
      <c r="E101" s="352">
        <v>13500</v>
      </c>
      <c r="F101" s="183">
        <v>675</v>
      </c>
      <c r="G101" s="352">
        <f t="shared" si="8"/>
        <v>14175</v>
      </c>
      <c r="H101" s="377" t="s">
        <v>1112</v>
      </c>
      <c r="I101" s="343" t="s">
        <v>2087</v>
      </c>
      <c r="L101" s="350">
        <v>14165</v>
      </c>
      <c r="M101" s="350">
        <f t="shared" si="10"/>
        <v>14165</v>
      </c>
      <c r="N101" s="351">
        <v>10</v>
      </c>
      <c r="O101" s="351">
        <f t="shared" si="11"/>
        <v>0</v>
      </c>
      <c r="P101" s="378" t="s">
        <v>1084</v>
      </c>
    </row>
    <row r="102" spans="1:17">
      <c r="A102" s="183">
        <v>20111108</v>
      </c>
      <c r="B102" s="183" t="s">
        <v>1125</v>
      </c>
      <c r="C102" s="183" t="s">
        <v>1532</v>
      </c>
      <c r="D102" s="352"/>
      <c r="E102" s="183">
        <v>12857</v>
      </c>
      <c r="F102" s="183">
        <v>643</v>
      </c>
      <c r="G102" s="352">
        <f t="shared" si="8"/>
        <v>13500</v>
      </c>
      <c r="H102" s="377" t="s">
        <v>1077</v>
      </c>
      <c r="I102" s="343" t="s">
        <v>2568</v>
      </c>
      <c r="L102" s="350">
        <v>13485</v>
      </c>
      <c r="M102" s="350">
        <f t="shared" si="10"/>
        <v>13485</v>
      </c>
      <c r="N102" s="351">
        <v>15</v>
      </c>
      <c r="O102" s="351">
        <f t="shared" si="11"/>
        <v>0</v>
      </c>
      <c r="P102" s="381" t="s">
        <v>1097</v>
      </c>
    </row>
    <row r="103" spans="1:17">
      <c r="A103" s="183">
        <v>20111108</v>
      </c>
      <c r="B103" s="183" t="s">
        <v>1126</v>
      </c>
      <c r="C103" s="183" t="s">
        <v>1699</v>
      </c>
      <c r="D103" s="352"/>
      <c r="E103" s="183">
        <v>12857</v>
      </c>
      <c r="F103" s="183">
        <v>643</v>
      </c>
      <c r="G103" s="352">
        <f t="shared" si="8"/>
        <v>13500</v>
      </c>
      <c r="H103" s="377" t="s">
        <v>1077</v>
      </c>
      <c r="I103" s="350">
        <v>403</v>
      </c>
      <c r="J103" s="350">
        <v>13500</v>
      </c>
      <c r="M103" s="350">
        <f t="shared" si="10"/>
        <v>13500</v>
      </c>
      <c r="O103" s="351">
        <f t="shared" si="11"/>
        <v>0</v>
      </c>
      <c r="P103" s="381" t="s">
        <v>1095</v>
      </c>
    </row>
    <row r="104" spans="1:17">
      <c r="A104" s="183">
        <v>20111108</v>
      </c>
      <c r="B104" s="183" t="s">
        <v>1127</v>
      </c>
      <c r="C104" s="183" t="s">
        <v>1230</v>
      </c>
      <c r="D104" s="352"/>
      <c r="E104" s="183">
        <v>11400</v>
      </c>
      <c r="F104" s="183">
        <v>570</v>
      </c>
      <c r="G104" s="352">
        <f t="shared" si="8"/>
        <v>11970</v>
      </c>
      <c r="H104" s="379"/>
      <c r="M104" s="350">
        <f t="shared" si="10"/>
        <v>0</v>
      </c>
      <c r="O104" s="626">
        <f>G104-M104-N104-11970</f>
        <v>0</v>
      </c>
      <c r="P104" s="381" t="s">
        <v>1092</v>
      </c>
      <c r="Q104" s="403" t="s">
        <v>15201</v>
      </c>
    </row>
    <row r="105" spans="1:17">
      <c r="A105" s="183">
        <v>20111108</v>
      </c>
      <c r="B105" s="183" t="s">
        <v>1128</v>
      </c>
      <c r="C105" s="183" t="s">
        <v>1232</v>
      </c>
      <c r="D105" s="352"/>
      <c r="E105" s="183">
        <v>15600</v>
      </c>
      <c r="F105" s="183">
        <v>780</v>
      </c>
      <c r="G105" s="352">
        <f t="shared" si="8"/>
        <v>16380</v>
      </c>
      <c r="H105" s="377" t="s">
        <v>2780</v>
      </c>
      <c r="I105" s="350">
        <v>420</v>
      </c>
      <c r="J105" s="350">
        <v>16380</v>
      </c>
      <c r="M105" s="350">
        <f t="shared" si="10"/>
        <v>16380</v>
      </c>
      <c r="O105" s="351">
        <f t="shared" si="11"/>
        <v>0</v>
      </c>
      <c r="P105" s="381" t="s">
        <v>1080</v>
      </c>
    </row>
    <row r="106" spans="1:17">
      <c r="A106" s="183">
        <v>20111108</v>
      </c>
      <c r="B106" s="183" t="s">
        <v>1129</v>
      </c>
      <c r="C106" s="183" t="s">
        <v>1270</v>
      </c>
      <c r="D106" s="352"/>
      <c r="E106" s="183">
        <v>19500</v>
      </c>
      <c r="F106" s="183">
        <v>975</v>
      </c>
      <c r="G106" s="352">
        <f t="shared" si="8"/>
        <v>20475</v>
      </c>
      <c r="H106" s="377" t="s">
        <v>1077</v>
      </c>
      <c r="I106" s="350">
        <v>399</v>
      </c>
      <c r="J106" s="350">
        <v>20475</v>
      </c>
      <c r="M106" s="350">
        <f t="shared" si="10"/>
        <v>20475</v>
      </c>
      <c r="O106" s="351">
        <f t="shared" si="11"/>
        <v>0</v>
      </c>
      <c r="P106" s="381" t="s">
        <v>1130</v>
      </c>
    </row>
    <row r="107" spans="1:17">
      <c r="A107" s="183">
        <v>20111108</v>
      </c>
      <c r="B107" s="183" t="s">
        <v>1374</v>
      </c>
      <c r="C107" s="183" t="s">
        <v>1270</v>
      </c>
      <c r="D107" s="352"/>
      <c r="E107" s="183">
        <v>19500</v>
      </c>
      <c r="F107" s="183">
        <v>975</v>
      </c>
      <c r="G107" s="352">
        <f t="shared" si="8"/>
        <v>20475</v>
      </c>
      <c r="H107" s="377" t="s">
        <v>1091</v>
      </c>
      <c r="I107" s="350">
        <v>400</v>
      </c>
      <c r="J107" s="350">
        <v>20475</v>
      </c>
      <c r="M107" s="350">
        <f t="shared" si="10"/>
        <v>20475</v>
      </c>
      <c r="O107" s="351">
        <f t="shared" si="11"/>
        <v>0</v>
      </c>
      <c r="P107" s="381" t="s">
        <v>1130</v>
      </c>
    </row>
    <row r="108" spans="1:17">
      <c r="A108" s="183">
        <v>20111108</v>
      </c>
      <c r="B108" s="183" t="s">
        <v>1375</v>
      </c>
      <c r="C108" s="183" t="s">
        <v>1270</v>
      </c>
      <c r="D108" s="352"/>
      <c r="E108" s="183">
        <v>19500</v>
      </c>
      <c r="F108" s="183">
        <v>975</v>
      </c>
      <c r="G108" s="352">
        <f t="shared" si="8"/>
        <v>20475</v>
      </c>
      <c r="H108" s="377" t="s">
        <v>1131</v>
      </c>
      <c r="I108" s="350">
        <v>401</v>
      </c>
      <c r="J108" s="350">
        <v>20475</v>
      </c>
      <c r="M108" s="350">
        <f t="shared" si="10"/>
        <v>20475</v>
      </c>
      <c r="O108" s="351">
        <f t="shared" si="11"/>
        <v>0</v>
      </c>
      <c r="P108" s="381" t="s">
        <v>1130</v>
      </c>
    </row>
    <row r="109" spans="1:17">
      <c r="A109" s="183">
        <v>20111108</v>
      </c>
      <c r="B109" s="183" t="s">
        <v>1376</v>
      </c>
      <c r="C109" s="183" t="s">
        <v>1270</v>
      </c>
      <c r="D109" s="352"/>
      <c r="E109" s="183">
        <v>19500</v>
      </c>
      <c r="F109" s="183">
        <v>975</v>
      </c>
      <c r="G109" s="352">
        <f t="shared" si="8"/>
        <v>20475</v>
      </c>
      <c r="H109" s="377" t="s">
        <v>1132</v>
      </c>
      <c r="I109" s="350">
        <v>402</v>
      </c>
      <c r="J109" s="350">
        <v>20475</v>
      </c>
      <c r="M109" s="350">
        <f t="shared" si="10"/>
        <v>20475</v>
      </c>
      <c r="O109" s="351">
        <f t="shared" si="11"/>
        <v>0</v>
      </c>
      <c r="P109" s="381" t="s">
        <v>1130</v>
      </c>
    </row>
    <row r="110" spans="1:17">
      <c r="A110" s="183"/>
      <c r="B110" s="183" t="s">
        <v>1377</v>
      </c>
      <c r="C110" s="183"/>
      <c r="D110" s="371" t="s">
        <v>1235</v>
      </c>
      <c r="E110" s="183"/>
      <c r="F110" s="183"/>
      <c r="G110" s="352"/>
      <c r="H110" s="379"/>
      <c r="P110" s="381"/>
    </row>
    <row r="111" spans="1:17">
      <c r="A111" s="183"/>
      <c r="B111" s="183" t="s">
        <v>1378</v>
      </c>
      <c r="C111" s="183"/>
      <c r="D111" s="371" t="s">
        <v>1235</v>
      </c>
      <c r="E111" s="183"/>
      <c r="F111" s="183"/>
      <c r="G111" s="352"/>
      <c r="H111" s="379"/>
      <c r="P111" s="381"/>
    </row>
    <row r="112" spans="1:17">
      <c r="A112" s="183">
        <v>20111207</v>
      </c>
      <c r="B112" s="183" t="s">
        <v>1133</v>
      </c>
      <c r="C112" s="183" t="s">
        <v>606</v>
      </c>
      <c r="D112" s="352"/>
      <c r="E112" s="183">
        <v>102857</v>
      </c>
      <c r="F112" s="183">
        <v>5143</v>
      </c>
      <c r="G112" s="352">
        <f>E112+F112</f>
        <v>108000</v>
      </c>
      <c r="H112" s="377" t="s">
        <v>1119</v>
      </c>
      <c r="I112" s="343" t="s">
        <v>1134</v>
      </c>
      <c r="J112" s="350">
        <v>108000</v>
      </c>
      <c r="M112" s="350">
        <f>J112+L112</f>
        <v>108000</v>
      </c>
      <c r="O112" s="351">
        <f>G112-M112-N112</f>
        <v>0</v>
      </c>
      <c r="P112" s="381">
        <v>27763698</v>
      </c>
    </row>
    <row r="113" spans="1:18">
      <c r="A113" s="183">
        <v>20111214</v>
      </c>
      <c r="B113" s="183" t="s">
        <v>1135</v>
      </c>
      <c r="C113" s="183" t="s">
        <v>2060</v>
      </c>
      <c r="D113" s="352"/>
      <c r="E113" s="183">
        <v>13500</v>
      </c>
      <c r="F113" s="183">
        <v>675</v>
      </c>
      <c r="G113" s="352">
        <f>E113+F113</f>
        <v>14175</v>
      </c>
      <c r="H113" s="377" t="s">
        <v>2780</v>
      </c>
      <c r="I113" s="343" t="s">
        <v>819</v>
      </c>
      <c r="L113" s="350">
        <v>14145</v>
      </c>
      <c r="M113" s="350">
        <f>J113+L113</f>
        <v>14145</v>
      </c>
      <c r="N113" s="351">
        <v>30</v>
      </c>
      <c r="O113" s="351">
        <f>G113-M113-N113</f>
        <v>0</v>
      </c>
      <c r="P113" s="381">
        <v>22663002</v>
      </c>
    </row>
    <row r="114" spans="1:18">
      <c r="A114" s="183">
        <v>20111214</v>
      </c>
      <c r="B114" s="352" t="s">
        <v>1136</v>
      </c>
      <c r="C114" s="352" t="s">
        <v>2421</v>
      </c>
      <c r="D114" s="352"/>
      <c r="E114" s="352">
        <v>13500</v>
      </c>
      <c r="F114" s="352">
        <v>675</v>
      </c>
      <c r="G114" s="352">
        <v>14175</v>
      </c>
      <c r="H114" s="377" t="s">
        <v>1077</v>
      </c>
      <c r="I114" s="343" t="s">
        <v>1137</v>
      </c>
      <c r="L114" s="350">
        <v>14165</v>
      </c>
      <c r="M114" s="350">
        <f>J114+L114</f>
        <v>14165</v>
      </c>
      <c r="N114" s="351">
        <v>10</v>
      </c>
      <c r="O114" s="351">
        <f>G114-M114-N114</f>
        <v>0</v>
      </c>
      <c r="P114" s="381" t="s">
        <v>1084</v>
      </c>
    </row>
    <row r="115" spans="1:18">
      <c r="A115"/>
      <c r="B115"/>
      <c r="C115"/>
      <c r="D115"/>
      <c r="E115"/>
      <c r="F115"/>
      <c r="G115"/>
      <c r="P115"/>
    </row>
    <row r="116" spans="1:18">
      <c r="N116" s="382"/>
    </row>
    <row r="117" spans="1:18" s="347" customFormat="1">
      <c r="A117" s="346" t="s">
        <v>1138</v>
      </c>
      <c r="D117" s="348" t="s">
        <v>2377</v>
      </c>
      <c r="E117" s="376">
        <f>SUM(E118:E174)</f>
        <v>2550357</v>
      </c>
      <c r="F117" s="376">
        <f>SUM(F118:F174)</f>
        <v>127518</v>
      </c>
      <c r="G117" s="376">
        <f>SUM(G118:G174)</f>
        <v>2677875</v>
      </c>
      <c r="H117" s="349"/>
      <c r="I117" s="383"/>
      <c r="J117" s="376">
        <f>SUM(J118:J174)</f>
        <v>2481446</v>
      </c>
      <c r="K117" s="376"/>
      <c r="L117" s="376">
        <f>SUM(L118:L174)</f>
        <v>196190</v>
      </c>
      <c r="M117" s="376">
        <f>SUM(M118:M174)</f>
        <v>2677636</v>
      </c>
      <c r="N117" s="376">
        <f>SUM(N118:N174)</f>
        <v>239</v>
      </c>
      <c r="O117" s="376">
        <f>SUM(O118:O174)</f>
        <v>0</v>
      </c>
    </row>
    <row r="118" spans="1:18">
      <c r="A118" s="183">
        <v>20120109</v>
      </c>
      <c r="B118" s="183" t="s">
        <v>1139</v>
      </c>
      <c r="C118" s="183" t="s">
        <v>3825</v>
      </c>
      <c r="D118" s="352"/>
      <c r="E118" s="183">
        <v>13500</v>
      </c>
      <c r="F118" s="183">
        <v>675</v>
      </c>
      <c r="G118" s="352">
        <f t="shared" ref="G118:G174" si="12">E118+F118</f>
        <v>14175</v>
      </c>
      <c r="H118" s="379">
        <v>5</v>
      </c>
      <c r="I118" s="343" t="s">
        <v>1140</v>
      </c>
      <c r="L118" s="350">
        <v>14145</v>
      </c>
      <c r="M118" s="350">
        <v>14145</v>
      </c>
      <c r="N118" s="351">
        <v>30</v>
      </c>
      <c r="O118" s="351">
        <f t="shared" ref="O118:O174" si="13">G118-M118-N118</f>
        <v>0</v>
      </c>
      <c r="P118" s="378" t="s">
        <v>1072</v>
      </c>
      <c r="Q118" s="287"/>
      <c r="R118" s="288"/>
    </row>
    <row r="119" spans="1:18">
      <c r="A119" s="183">
        <v>20120202</v>
      </c>
      <c r="B119" s="183" t="s">
        <v>177</v>
      </c>
      <c r="C119" s="183" t="s">
        <v>1532</v>
      </c>
      <c r="D119" s="344"/>
      <c r="E119" s="183">
        <v>12857</v>
      </c>
      <c r="F119" s="183">
        <v>643</v>
      </c>
      <c r="G119" s="352">
        <f t="shared" si="12"/>
        <v>13500</v>
      </c>
      <c r="H119" s="379">
        <v>6</v>
      </c>
      <c r="I119" s="343" t="s">
        <v>1141</v>
      </c>
      <c r="L119" s="350">
        <v>13485</v>
      </c>
      <c r="M119" s="350">
        <v>13485</v>
      </c>
      <c r="N119" s="351">
        <v>15</v>
      </c>
      <c r="O119" s="351">
        <f t="shared" si="13"/>
        <v>0</v>
      </c>
      <c r="P119" s="378" t="s">
        <v>1097</v>
      </c>
      <c r="Q119" s="289"/>
      <c r="R119" s="288"/>
    </row>
    <row r="120" spans="1:18">
      <c r="A120" s="183">
        <v>20120202</v>
      </c>
      <c r="B120" s="183" t="s">
        <v>178</v>
      </c>
      <c r="C120" s="199" t="s">
        <v>1699</v>
      </c>
      <c r="D120" s="344"/>
      <c r="E120" s="199">
        <v>12857</v>
      </c>
      <c r="F120" s="183">
        <v>643</v>
      </c>
      <c r="G120" s="352">
        <f t="shared" si="12"/>
        <v>13500</v>
      </c>
      <c r="H120" s="379">
        <v>6</v>
      </c>
      <c r="I120" s="350">
        <v>422</v>
      </c>
      <c r="J120" s="350">
        <v>13500</v>
      </c>
      <c r="M120" s="350">
        <f t="shared" ref="M120:M174" si="14">J120+L120</f>
        <v>13500</v>
      </c>
      <c r="O120" s="351">
        <f t="shared" si="13"/>
        <v>0</v>
      </c>
      <c r="P120" s="378" t="s">
        <v>1095</v>
      </c>
      <c r="Q120" s="289"/>
      <c r="R120" s="288"/>
    </row>
    <row r="121" spans="1:18">
      <c r="A121" s="183">
        <v>20120202</v>
      </c>
      <c r="B121" s="183" t="s">
        <v>179</v>
      </c>
      <c r="C121" s="199" t="s">
        <v>1232</v>
      </c>
      <c r="D121" s="352"/>
      <c r="E121" s="183">
        <v>15600</v>
      </c>
      <c r="F121" s="183">
        <v>780</v>
      </c>
      <c r="G121" s="352">
        <f t="shared" si="12"/>
        <v>16380</v>
      </c>
      <c r="H121" s="379">
        <v>4</v>
      </c>
      <c r="I121" s="350">
        <v>421</v>
      </c>
      <c r="J121" s="350">
        <v>16380</v>
      </c>
      <c r="M121" s="350">
        <f t="shared" si="14"/>
        <v>16380</v>
      </c>
      <c r="O121" s="351">
        <f t="shared" si="13"/>
        <v>0</v>
      </c>
      <c r="P121" s="378" t="s">
        <v>1080</v>
      </c>
      <c r="Q121" s="289"/>
      <c r="R121" s="288"/>
    </row>
    <row r="122" spans="1:18">
      <c r="A122" s="380">
        <v>20120307</v>
      </c>
      <c r="B122" s="352" t="s">
        <v>1142</v>
      </c>
      <c r="C122" s="352" t="s">
        <v>1249</v>
      </c>
      <c r="D122" s="352"/>
      <c r="E122" s="367">
        <v>43200</v>
      </c>
      <c r="F122" s="352">
        <v>2160</v>
      </c>
      <c r="G122" s="352">
        <f t="shared" si="12"/>
        <v>45360</v>
      </c>
      <c r="H122" s="377" t="s">
        <v>1143</v>
      </c>
      <c r="I122" s="343" t="s">
        <v>1144</v>
      </c>
      <c r="J122" s="350">
        <v>45360</v>
      </c>
      <c r="M122" s="350">
        <f t="shared" si="14"/>
        <v>45360</v>
      </c>
      <c r="O122" s="351">
        <f t="shared" si="13"/>
        <v>0</v>
      </c>
      <c r="P122" s="378" t="s">
        <v>1145</v>
      </c>
      <c r="Q122" s="289"/>
      <c r="R122" s="288"/>
    </row>
    <row r="123" spans="1:18">
      <c r="A123" s="380">
        <v>20120312</v>
      </c>
      <c r="B123" s="352" t="s">
        <v>180</v>
      </c>
      <c r="C123" s="352" t="s">
        <v>2421</v>
      </c>
      <c r="D123" s="352"/>
      <c r="E123" s="367">
        <v>13500</v>
      </c>
      <c r="F123" s="352">
        <v>675</v>
      </c>
      <c r="G123" s="352">
        <f t="shared" si="12"/>
        <v>14175</v>
      </c>
      <c r="H123" s="377" t="s">
        <v>1091</v>
      </c>
      <c r="I123" s="343" t="s">
        <v>1146</v>
      </c>
      <c r="L123" s="350">
        <v>14165</v>
      </c>
      <c r="M123" s="350">
        <f t="shared" si="14"/>
        <v>14165</v>
      </c>
      <c r="N123" s="351">
        <v>10</v>
      </c>
      <c r="O123" s="351">
        <f t="shared" si="13"/>
        <v>0</v>
      </c>
      <c r="P123" s="378" t="s">
        <v>1084</v>
      </c>
      <c r="Q123" s="289"/>
      <c r="R123" s="288"/>
    </row>
    <row r="124" spans="1:18">
      <c r="A124" s="380">
        <v>20120312</v>
      </c>
      <c r="B124" s="352" t="s">
        <v>181</v>
      </c>
      <c r="C124" s="352" t="s">
        <v>2060</v>
      </c>
      <c r="D124" s="352"/>
      <c r="E124" s="367">
        <v>13500</v>
      </c>
      <c r="F124" s="352">
        <v>675</v>
      </c>
      <c r="G124" s="352">
        <f t="shared" si="12"/>
        <v>14175</v>
      </c>
      <c r="H124" s="377" t="s">
        <v>1112</v>
      </c>
      <c r="I124" s="343" t="s">
        <v>1147</v>
      </c>
      <c r="L124" s="350">
        <v>14145</v>
      </c>
      <c r="M124" s="350">
        <f t="shared" si="14"/>
        <v>14145</v>
      </c>
      <c r="N124" s="351">
        <v>30</v>
      </c>
      <c r="O124" s="351">
        <f t="shared" si="13"/>
        <v>0</v>
      </c>
      <c r="P124" s="378" t="s">
        <v>1099</v>
      </c>
      <c r="Q124" s="289"/>
      <c r="R124" s="288"/>
    </row>
    <row r="125" spans="1:18">
      <c r="A125" s="380">
        <v>20120312</v>
      </c>
      <c r="B125" s="352" t="s">
        <v>182</v>
      </c>
      <c r="C125" s="352" t="s">
        <v>2692</v>
      </c>
      <c r="D125" s="352"/>
      <c r="E125" s="367">
        <v>96000</v>
      </c>
      <c r="F125" s="352">
        <v>4800</v>
      </c>
      <c r="G125" s="352">
        <f t="shared" si="12"/>
        <v>100800</v>
      </c>
      <c r="H125" s="377" t="s">
        <v>1119</v>
      </c>
      <c r="I125" s="343" t="s">
        <v>1148</v>
      </c>
      <c r="J125" s="350">
        <v>100800</v>
      </c>
      <c r="M125" s="350">
        <f t="shared" si="14"/>
        <v>100800</v>
      </c>
      <c r="O125" s="351">
        <f t="shared" si="13"/>
        <v>0</v>
      </c>
      <c r="P125" s="378" t="s">
        <v>1149</v>
      </c>
      <c r="Q125" s="289"/>
      <c r="R125" s="288"/>
    </row>
    <row r="126" spans="1:18">
      <c r="A126" s="380">
        <v>20120313</v>
      </c>
      <c r="B126" s="352" t="s">
        <v>183</v>
      </c>
      <c r="C126" s="352" t="s">
        <v>264</v>
      </c>
      <c r="D126" s="352"/>
      <c r="E126" s="367">
        <v>86400</v>
      </c>
      <c r="F126" s="352">
        <v>4320</v>
      </c>
      <c r="G126" s="352">
        <f t="shared" si="12"/>
        <v>90720</v>
      </c>
      <c r="H126" s="377" t="s">
        <v>1119</v>
      </c>
      <c r="I126" s="343" t="s">
        <v>1150</v>
      </c>
      <c r="J126" s="350">
        <v>90720</v>
      </c>
      <c r="M126" s="350">
        <f t="shared" si="14"/>
        <v>90720</v>
      </c>
      <c r="O126" s="351">
        <f t="shared" si="13"/>
        <v>0</v>
      </c>
      <c r="P126" s="378" t="s">
        <v>1151</v>
      </c>
      <c r="Q126" s="289"/>
      <c r="R126" s="288"/>
    </row>
    <row r="127" spans="1:18">
      <c r="A127" s="380">
        <v>20120315</v>
      </c>
      <c r="B127" s="352" t="s">
        <v>184</v>
      </c>
      <c r="C127" s="352" t="s">
        <v>1303</v>
      </c>
      <c r="D127" s="352"/>
      <c r="E127" s="367">
        <v>100800</v>
      </c>
      <c r="F127" s="352">
        <v>5040</v>
      </c>
      <c r="G127" s="352">
        <f t="shared" si="12"/>
        <v>105840</v>
      </c>
      <c r="H127" s="377" t="s">
        <v>1119</v>
      </c>
      <c r="I127" s="343" t="s">
        <v>1152</v>
      </c>
      <c r="J127" s="350">
        <v>105840</v>
      </c>
      <c r="M127" s="350">
        <f t="shared" si="14"/>
        <v>105840</v>
      </c>
      <c r="O127" s="351">
        <f t="shared" si="13"/>
        <v>0</v>
      </c>
      <c r="P127" s="378" t="s">
        <v>1153</v>
      </c>
      <c r="Q127" s="289"/>
      <c r="R127" s="288"/>
    </row>
    <row r="128" spans="1:18">
      <c r="A128" s="380">
        <v>20120329</v>
      </c>
      <c r="B128" s="352" t="s">
        <v>185</v>
      </c>
      <c r="C128" s="352" t="s">
        <v>2690</v>
      </c>
      <c r="D128" s="352"/>
      <c r="E128" s="367">
        <v>86400</v>
      </c>
      <c r="F128" s="352">
        <v>4320</v>
      </c>
      <c r="G128" s="352">
        <f t="shared" si="12"/>
        <v>90720</v>
      </c>
      <c r="H128" s="377" t="s">
        <v>1119</v>
      </c>
      <c r="I128" s="343" t="s">
        <v>1154</v>
      </c>
      <c r="J128" s="350">
        <v>90720</v>
      </c>
      <c r="M128" s="350">
        <f t="shared" si="14"/>
        <v>90720</v>
      </c>
      <c r="O128" s="351">
        <f t="shared" si="13"/>
        <v>0</v>
      </c>
      <c r="P128" s="378" t="s">
        <v>1155</v>
      </c>
      <c r="Q128" s="289"/>
      <c r="R128" s="288"/>
    </row>
    <row r="129" spans="1:18">
      <c r="A129" s="380">
        <v>20120330</v>
      </c>
      <c r="B129" s="352" t="s">
        <v>186</v>
      </c>
      <c r="C129" s="352" t="s">
        <v>9</v>
      </c>
      <c r="D129" s="352"/>
      <c r="E129" s="367">
        <v>91429</v>
      </c>
      <c r="F129" s="352">
        <v>4571</v>
      </c>
      <c r="G129" s="352">
        <f t="shared" si="12"/>
        <v>96000</v>
      </c>
      <c r="H129" s="377" t="s">
        <v>1119</v>
      </c>
      <c r="I129" s="343" t="s">
        <v>1156</v>
      </c>
      <c r="J129" s="350">
        <v>96000</v>
      </c>
      <c r="M129" s="350">
        <f t="shared" si="14"/>
        <v>96000</v>
      </c>
      <c r="O129" s="351">
        <f t="shared" si="13"/>
        <v>0</v>
      </c>
      <c r="P129" s="378" t="s">
        <v>1157</v>
      </c>
      <c r="Q129" s="360"/>
      <c r="R129" s="360"/>
    </row>
    <row r="130" spans="1:18">
      <c r="A130" s="380">
        <v>20120403</v>
      </c>
      <c r="B130" s="352" t="s">
        <v>187</v>
      </c>
      <c r="C130" s="352" t="s">
        <v>2424</v>
      </c>
      <c r="D130" s="352"/>
      <c r="E130" s="367">
        <v>86400</v>
      </c>
      <c r="F130" s="352">
        <v>4320</v>
      </c>
      <c r="G130" s="352">
        <f t="shared" si="12"/>
        <v>90720</v>
      </c>
      <c r="H130" s="377" t="s">
        <v>1119</v>
      </c>
      <c r="I130" s="343" t="s">
        <v>1158</v>
      </c>
      <c r="J130" s="350">
        <v>90720</v>
      </c>
      <c r="M130" s="350">
        <f t="shared" si="14"/>
        <v>90720</v>
      </c>
      <c r="O130" s="351">
        <f t="shared" si="13"/>
        <v>0</v>
      </c>
      <c r="P130" s="378" t="s">
        <v>1159</v>
      </c>
      <c r="Q130" s="288"/>
      <c r="R130" s="288"/>
    </row>
    <row r="131" spans="1:18">
      <c r="A131" s="380">
        <v>20120418</v>
      </c>
      <c r="B131" s="352" t="s">
        <v>188</v>
      </c>
      <c r="C131" s="352" t="s">
        <v>3825</v>
      </c>
      <c r="D131" s="352"/>
      <c r="E131" s="367">
        <v>13500</v>
      </c>
      <c r="F131" s="352">
        <v>675</v>
      </c>
      <c r="G131" s="352">
        <f t="shared" si="12"/>
        <v>14175</v>
      </c>
      <c r="H131" s="377" t="s">
        <v>1091</v>
      </c>
      <c r="I131" s="343" t="s">
        <v>1160</v>
      </c>
      <c r="L131" s="350">
        <v>14145</v>
      </c>
      <c r="M131" s="350">
        <f t="shared" si="14"/>
        <v>14145</v>
      </c>
      <c r="N131" s="351">
        <v>30</v>
      </c>
      <c r="O131" s="351">
        <f t="shared" si="13"/>
        <v>0</v>
      </c>
      <c r="P131" s="378" t="s">
        <v>1072</v>
      </c>
      <c r="Q131" s="288"/>
      <c r="R131" s="288"/>
    </row>
    <row r="132" spans="1:18">
      <c r="A132" s="380" t="s">
        <v>1161</v>
      </c>
      <c r="B132" s="352" t="s">
        <v>1162</v>
      </c>
      <c r="C132" s="352" t="s">
        <v>2206</v>
      </c>
      <c r="D132" s="352"/>
      <c r="E132" s="352">
        <v>108000</v>
      </c>
      <c r="F132" s="352">
        <v>5400</v>
      </c>
      <c r="G132" s="352">
        <f t="shared" si="12"/>
        <v>113400</v>
      </c>
      <c r="H132" s="377" t="s">
        <v>1119</v>
      </c>
      <c r="I132" s="343" t="s">
        <v>1163</v>
      </c>
      <c r="J132" s="350">
        <v>113400</v>
      </c>
      <c r="M132" s="350">
        <f t="shared" si="14"/>
        <v>113400</v>
      </c>
      <c r="O132" s="351">
        <f t="shared" si="13"/>
        <v>0</v>
      </c>
      <c r="P132" s="378" t="s">
        <v>1164</v>
      </c>
      <c r="Q132" s="288"/>
      <c r="R132" s="288"/>
    </row>
    <row r="133" spans="1:18">
      <c r="A133" s="380" t="s">
        <v>1165</v>
      </c>
      <c r="B133" s="352" t="s">
        <v>189</v>
      </c>
      <c r="C133" s="352" t="s">
        <v>1232</v>
      </c>
      <c r="D133" s="352"/>
      <c r="E133" s="384">
        <v>15600</v>
      </c>
      <c r="F133" s="352">
        <v>780</v>
      </c>
      <c r="G133" s="352">
        <f t="shared" si="12"/>
        <v>16380</v>
      </c>
      <c r="H133" s="377" t="s">
        <v>1077</v>
      </c>
      <c r="I133" s="350">
        <v>511</v>
      </c>
      <c r="J133" s="350">
        <v>16380</v>
      </c>
      <c r="M133" s="350">
        <f t="shared" si="14"/>
        <v>16380</v>
      </c>
      <c r="O133" s="351">
        <f t="shared" si="13"/>
        <v>0</v>
      </c>
      <c r="P133" s="378" t="s">
        <v>1080</v>
      </c>
      <c r="Q133" s="288"/>
      <c r="R133" s="288"/>
    </row>
    <row r="134" spans="1:18">
      <c r="A134" s="380" t="s">
        <v>1165</v>
      </c>
      <c r="B134" s="352" t="s">
        <v>190</v>
      </c>
      <c r="C134" s="352" t="s">
        <v>1699</v>
      </c>
      <c r="D134" s="352"/>
      <c r="E134" s="384">
        <v>12857</v>
      </c>
      <c r="F134" s="352">
        <v>643</v>
      </c>
      <c r="G134" s="352">
        <f t="shared" si="12"/>
        <v>13500</v>
      </c>
      <c r="H134" s="377" t="s">
        <v>1131</v>
      </c>
      <c r="I134" s="350">
        <v>528</v>
      </c>
      <c r="J134" s="350">
        <v>13500</v>
      </c>
      <c r="M134" s="350">
        <f t="shared" si="14"/>
        <v>13500</v>
      </c>
      <c r="O134" s="351">
        <f t="shared" si="13"/>
        <v>0</v>
      </c>
      <c r="P134" s="378" t="s">
        <v>1095</v>
      </c>
      <c r="Q134" s="288"/>
      <c r="R134" s="288"/>
    </row>
    <row r="135" spans="1:18">
      <c r="A135" s="380" t="s">
        <v>1165</v>
      </c>
      <c r="B135" s="352" t="s">
        <v>191</v>
      </c>
      <c r="C135" s="352" t="s">
        <v>1532</v>
      </c>
      <c r="D135" s="352"/>
      <c r="E135" s="384">
        <v>12857</v>
      </c>
      <c r="F135" s="352">
        <v>643</v>
      </c>
      <c r="G135" s="352">
        <f t="shared" si="12"/>
        <v>13500</v>
      </c>
      <c r="H135" s="377" t="s">
        <v>1131</v>
      </c>
      <c r="I135" s="343" t="s">
        <v>1166</v>
      </c>
      <c r="L135" s="350">
        <v>13485</v>
      </c>
      <c r="M135" s="350">
        <f t="shared" si="14"/>
        <v>13485</v>
      </c>
      <c r="N135" s="351">
        <v>15</v>
      </c>
      <c r="O135" s="351">
        <f t="shared" si="13"/>
        <v>0</v>
      </c>
      <c r="P135" s="378" t="s">
        <v>1097</v>
      </c>
    </row>
    <row r="136" spans="1:18">
      <c r="A136" s="380" t="s">
        <v>1167</v>
      </c>
      <c r="B136" s="352" t="s">
        <v>192</v>
      </c>
      <c r="C136" s="352" t="s">
        <v>1781</v>
      </c>
      <c r="D136" s="352"/>
      <c r="E136" s="384">
        <v>108000</v>
      </c>
      <c r="F136" s="352">
        <v>5400</v>
      </c>
      <c r="G136" s="352">
        <f t="shared" si="12"/>
        <v>113400</v>
      </c>
      <c r="H136" s="377" t="s">
        <v>1119</v>
      </c>
      <c r="I136" s="343" t="s">
        <v>1168</v>
      </c>
      <c r="J136" s="350">
        <v>113400</v>
      </c>
      <c r="M136" s="350">
        <f t="shared" si="14"/>
        <v>113400</v>
      </c>
      <c r="O136" s="351">
        <f t="shared" si="13"/>
        <v>0</v>
      </c>
      <c r="P136" s="378" t="s">
        <v>1169</v>
      </c>
    </row>
    <row r="137" spans="1:18">
      <c r="A137" s="380" t="s">
        <v>1170</v>
      </c>
      <c r="B137" s="352" t="s">
        <v>193</v>
      </c>
      <c r="C137" s="352" t="s">
        <v>2</v>
      </c>
      <c r="D137" s="352"/>
      <c r="E137" s="384">
        <v>96000</v>
      </c>
      <c r="F137" s="352">
        <v>4800</v>
      </c>
      <c r="G137" s="352">
        <f t="shared" si="12"/>
        <v>100800</v>
      </c>
      <c r="H137" s="377" t="s">
        <v>1119</v>
      </c>
      <c r="I137" s="343" t="s">
        <v>1171</v>
      </c>
      <c r="J137" s="350">
        <v>100800</v>
      </c>
      <c r="M137" s="350">
        <f t="shared" si="14"/>
        <v>100800</v>
      </c>
      <c r="O137" s="351">
        <f t="shared" si="13"/>
        <v>0</v>
      </c>
      <c r="P137" s="378" t="s">
        <v>1172</v>
      </c>
    </row>
    <row r="138" spans="1:18">
      <c r="A138" s="380" t="s">
        <v>1170</v>
      </c>
      <c r="B138" s="352" t="s">
        <v>194</v>
      </c>
      <c r="C138" s="352" t="s">
        <v>2</v>
      </c>
      <c r="D138" s="352"/>
      <c r="E138" s="384">
        <v>144000</v>
      </c>
      <c r="F138" s="352">
        <v>7200</v>
      </c>
      <c r="G138" s="352">
        <f t="shared" si="12"/>
        <v>151200</v>
      </c>
      <c r="H138" s="377" t="s">
        <v>1119</v>
      </c>
      <c r="I138" s="343" t="s">
        <v>1173</v>
      </c>
      <c r="J138" s="350">
        <v>151200</v>
      </c>
      <c r="M138" s="350">
        <f t="shared" si="14"/>
        <v>151200</v>
      </c>
      <c r="O138" s="351">
        <f t="shared" si="13"/>
        <v>0</v>
      </c>
      <c r="P138" s="378" t="s">
        <v>1172</v>
      </c>
    </row>
    <row r="139" spans="1:18">
      <c r="A139" s="380" t="s">
        <v>1174</v>
      </c>
      <c r="B139" s="352" t="s">
        <v>195</v>
      </c>
      <c r="C139" s="352" t="s">
        <v>1264</v>
      </c>
      <c r="D139" s="352"/>
      <c r="E139" s="384">
        <v>86400</v>
      </c>
      <c r="F139" s="352">
        <v>4320</v>
      </c>
      <c r="G139" s="352">
        <f t="shared" si="12"/>
        <v>90720</v>
      </c>
      <c r="H139" s="385" t="s">
        <v>3742</v>
      </c>
      <c r="I139" s="343" t="s">
        <v>3743</v>
      </c>
      <c r="J139" s="350">
        <v>90720</v>
      </c>
      <c r="M139" s="350">
        <f t="shared" si="14"/>
        <v>90720</v>
      </c>
      <c r="O139" s="351">
        <f t="shared" si="13"/>
        <v>0</v>
      </c>
      <c r="P139" s="378" t="s">
        <v>1175</v>
      </c>
    </row>
    <row r="140" spans="1:18">
      <c r="A140" s="380"/>
      <c r="B140" s="352" t="s">
        <v>196</v>
      </c>
      <c r="D140" s="371" t="s">
        <v>1235</v>
      </c>
      <c r="E140" s="384"/>
      <c r="F140" s="352"/>
      <c r="G140" s="352">
        <f t="shared" si="12"/>
        <v>0</v>
      </c>
      <c r="H140" s="379"/>
      <c r="M140" s="350">
        <f t="shared" si="14"/>
        <v>0</v>
      </c>
      <c r="O140" s="351">
        <f t="shared" si="13"/>
        <v>0</v>
      </c>
      <c r="P140" s="378"/>
    </row>
    <row r="141" spans="1:18">
      <c r="A141" s="380" t="s">
        <v>1176</v>
      </c>
      <c r="B141" s="352" t="s">
        <v>197</v>
      </c>
      <c r="C141" s="352" t="s">
        <v>1301</v>
      </c>
      <c r="D141" s="352"/>
      <c r="E141" s="384">
        <v>108000</v>
      </c>
      <c r="F141" s="352">
        <v>5400</v>
      </c>
      <c r="G141" s="352">
        <f t="shared" si="12"/>
        <v>113400</v>
      </c>
      <c r="H141" s="377" t="s">
        <v>1119</v>
      </c>
      <c r="I141" s="343" t="s">
        <v>1177</v>
      </c>
      <c r="J141" s="350">
        <v>113400</v>
      </c>
      <c r="M141" s="350">
        <f t="shared" si="14"/>
        <v>113400</v>
      </c>
      <c r="O141" s="351">
        <f t="shared" si="13"/>
        <v>0</v>
      </c>
      <c r="P141" s="378" t="s">
        <v>1178</v>
      </c>
      <c r="Q141" s="289"/>
      <c r="R141" s="290"/>
    </row>
    <row r="142" spans="1:18">
      <c r="A142" s="380" t="s">
        <v>1179</v>
      </c>
      <c r="B142" s="352" t="s">
        <v>198</v>
      </c>
      <c r="C142" s="352" t="s">
        <v>1304</v>
      </c>
      <c r="D142" s="352"/>
      <c r="E142" s="384">
        <v>72000</v>
      </c>
      <c r="F142" s="352">
        <v>3600</v>
      </c>
      <c r="G142" s="352">
        <f t="shared" si="12"/>
        <v>75600</v>
      </c>
      <c r="H142" s="377" t="s">
        <v>1119</v>
      </c>
      <c r="I142" s="343" t="s">
        <v>1180</v>
      </c>
      <c r="J142" s="350">
        <v>75600</v>
      </c>
      <c r="M142" s="350">
        <f t="shared" si="14"/>
        <v>75600</v>
      </c>
      <c r="O142" s="351">
        <f t="shared" si="13"/>
        <v>0</v>
      </c>
      <c r="P142" s="378">
        <v>12651800</v>
      </c>
      <c r="Q142" s="289"/>
      <c r="R142" s="288"/>
    </row>
    <row r="143" spans="1:18">
      <c r="A143" s="183">
        <v>20120703</v>
      </c>
      <c r="B143" s="183" t="s">
        <v>1824</v>
      </c>
      <c r="C143" s="352" t="s">
        <v>2421</v>
      </c>
      <c r="D143" s="178"/>
      <c r="E143" s="367">
        <v>13500</v>
      </c>
      <c r="F143" s="352">
        <v>675</v>
      </c>
      <c r="G143" s="352">
        <f t="shared" si="12"/>
        <v>14175</v>
      </c>
      <c r="H143" s="377" t="s">
        <v>1131</v>
      </c>
      <c r="I143" s="343" t="s">
        <v>1825</v>
      </c>
      <c r="L143" s="350">
        <v>14165</v>
      </c>
      <c r="M143" s="350">
        <f t="shared" si="14"/>
        <v>14165</v>
      </c>
      <c r="N143" s="351">
        <v>10</v>
      </c>
      <c r="O143" s="351">
        <f t="shared" si="13"/>
        <v>0</v>
      </c>
      <c r="P143" s="378" t="s">
        <v>1084</v>
      </c>
      <c r="Q143" s="289"/>
      <c r="R143" s="290"/>
    </row>
    <row r="144" spans="1:18">
      <c r="A144" s="183">
        <v>20120703</v>
      </c>
      <c r="B144" s="183" t="s">
        <v>199</v>
      </c>
      <c r="C144" s="352" t="s">
        <v>2060</v>
      </c>
      <c r="D144" s="178"/>
      <c r="E144" s="367">
        <v>13500</v>
      </c>
      <c r="F144" s="352">
        <v>675</v>
      </c>
      <c r="G144" s="352">
        <f t="shared" si="12"/>
        <v>14175</v>
      </c>
      <c r="H144" s="377" t="s">
        <v>1077</v>
      </c>
      <c r="I144" s="343" t="s">
        <v>1826</v>
      </c>
      <c r="L144" s="350">
        <v>14175</v>
      </c>
      <c r="M144" s="350">
        <f t="shared" si="14"/>
        <v>14175</v>
      </c>
      <c r="O144" s="351">
        <f t="shared" si="13"/>
        <v>0</v>
      </c>
      <c r="P144" s="378" t="s">
        <v>1099</v>
      </c>
      <c r="Q144" s="289"/>
      <c r="R144" s="288"/>
    </row>
    <row r="145" spans="1:18">
      <c r="A145" s="183">
        <v>20120712</v>
      </c>
      <c r="B145" s="183" t="s">
        <v>200</v>
      </c>
      <c r="C145" s="352" t="s">
        <v>3825</v>
      </c>
      <c r="D145" s="178"/>
      <c r="E145" s="352">
        <v>13500</v>
      </c>
      <c r="F145" s="352">
        <v>675</v>
      </c>
      <c r="G145" s="352">
        <f t="shared" si="12"/>
        <v>14175</v>
      </c>
      <c r="H145" s="377" t="s">
        <v>1131</v>
      </c>
      <c r="I145" s="343" t="s">
        <v>1827</v>
      </c>
      <c r="L145" s="350">
        <v>14145</v>
      </c>
      <c r="M145" s="350">
        <f t="shared" si="14"/>
        <v>14145</v>
      </c>
      <c r="N145" s="351">
        <v>30</v>
      </c>
      <c r="O145" s="351">
        <f t="shared" si="13"/>
        <v>0</v>
      </c>
      <c r="P145" s="378" t="s">
        <v>1072</v>
      </c>
      <c r="Q145" s="289"/>
      <c r="R145" s="288"/>
    </row>
    <row r="146" spans="1:18">
      <c r="A146" s="183">
        <v>20120806</v>
      </c>
      <c r="B146" s="183" t="s">
        <v>201</v>
      </c>
      <c r="C146" s="183" t="s">
        <v>2686</v>
      </c>
      <c r="D146" s="352"/>
      <c r="E146" s="183">
        <v>86400</v>
      </c>
      <c r="F146" s="183">
        <v>4320</v>
      </c>
      <c r="G146" s="352">
        <f t="shared" si="12"/>
        <v>90720</v>
      </c>
      <c r="H146" s="377" t="s">
        <v>1119</v>
      </c>
      <c r="I146" s="343" t="s">
        <v>1828</v>
      </c>
      <c r="J146" s="350">
        <v>90720</v>
      </c>
      <c r="M146" s="350">
        <f t="shared" si="14"/>
        <v>90720</v>
      </c>
      <c r="O146" s="351">
        <f t="shared" si="13"/>
        <v>0</v>
      </c>
      <c r="P146" s="378" t="s">
        <v>1829</v>
      </c>
      <c r="Q146" s="289"/>
      <c r="R146" s="288"/>
    </row>
    <row r="147" spans="1:18">
      <c r="A147" s="183">
        <v>20120808</v>
      </c>
      <c r="B147" s="183" t="s">
        <v>202</v>
      </c>
      <c r="C147" s="183" t="s">
        <v>1699</v>
      </c>
      <c r="D147" s="352"/>
      <c r="E147" s="183">
        <v>12857</v>
      </c>
      <c r="F147" s="183">
        <v>643</v>
      </c>
      <c r="G147" s="352">
        <f t="shared" si="12"/>
        <v>13500</v>
      </c>
      <c r="H147" s="377" t="s">
        <v>1132</v>
      </c>
      <c r="I147" s="343" t="s">
        <v>1830</v>
      </c>
      <c r="J147" s="350">
        <v>13500</v>
      </c>
      <c r="M147" s="350">
        <f t="shared" si="14"/>
        <v>13500</v>
      </c>
      <c r="O147" s="351">
        <f t="shared" si="13"/>
        <v>0</v>
      </c>
      <c r="P147" s="378" t="s">
        <v>1095</v>
      </c>
      <c r="Q147" s="289"/>
      <c r="R147" s="288"/>
    </row>
    <row r="148" spans="1:18">
      <c r="A148" s="183">
        <v>20120808</v>
      </c>
      <c r="B148" s="183" t="s">
        <v>203</v>
      </c>
      <c r="C148" s="183" t="s">
        <v>1532</v>
      </c>
      <c r="D148" s="352"/>
      <c r="E148" s="183">
        <v>12857</v>
      </c>
      <c r="F148" s="183">
        <v>643</v>
      </c>
      <c r="G148" s="352">
        <f t="shared" si="12"/>
        <v>13500</v>
      </c>
      <c r="H148" s="377" t="s">
        <v>1132</v>
      </c>
      <c r="I148" s="343" t="s">
        <v>1831</v>
      </c>
      <c r="L148" s="350">
        <v>13485</v>
      </c>
      <c r="M148" s="350">
        <f t="shared" si="14"/>
        <v>13485</v>
      </c>
      <c r="N148" s="351">
        <v>15</v>
      </c>
      <c r="O148" s="351">
        <f t="shared" si="13"/>
        <v>0</v>
      </c>
      <c r="P148" s="378" t="s">
        <v>1097</v>
      </c>
      <c r="Q148" s="289"/>
      <c r="R148" s="288"/>
    </row>
    <row r="149" spans="1:18">
      <c r="A149" s="183">
        <v>20120808</v>
      </c>
      <c r="B149" s="183" t="s">
        <v>204</v>
      </c>
      <c r="C149" s="183" t="s">
        <v>1232</v>
      </c>
      <c r="D149" s="352"/>
      <c r="E149" s="183">
        <v>15600</v>
      </c>
      <c r="F149" s="183">
        <v>780</v>
      </c>
      <c r="G149" s="352">
        <f t="shared" si="12"/>
        <v>16380</v>
      </c>
      <c r="H149" s="377" t="s">
        <v>1091</v>
      </c>
      <c r="I149" s="350">
        <v>562</v>
      </c>
      <c r="J149" s="350">
        <v>16380</v>
      </c>
      <c r="M149" s="350">
        <f t="shared" si="14"/>
        <v>16380</v>
      </c>
      <c r="O149" s="351">
        <f t="shared" si="13"/>
        <v>0</v>
      </c>
      <c r="P149" s="378" t="s">
        <v>1080</v>
      </c>
      <c r="Q149" s="289"/>
      <c r="R149" s="288"/>
    </row>
    <row r="150" spans="1:18">
      <c r="A150" s="183">
        <v>20120822</v>
      </c>
      <c r="B150" s="183" t="s">
        <v>205</v>
      </c>
      <c r="C150" s="183" t="s">
        <v>1775</v>
      </c>
      <c r="D150" s="352"/>
      <c r="E150" s="183">
        <v>82286</v>
      </c>
      <c r="F150" s="183">
        <v>4114</v>
      </c>
      <c r="G150" s="352">
        <f t="shared" si="12"/>
        <v>86400</v>
      </c>
      <c r="H150" s="377" t="s">
        <v>1119</v>
      </c>
      <c r="I150" s="343" t="s">
        <v>1832</v>
      </c>
      <c r="J150" s="350">
        <v>86400</v>
      </c>
      <c r="M150" s="350">
        <f t="shared" si="14"/>
        <v>86400</v>
      </c>
      <c r="O150" s="351">
        <f t="shared" si="13"/>
        <v>0</v>
      </c>
      <c r="P150" s="378" t="s">
        <v>1833</v>
      </c>
      <c r="Q150" s="289"/>
      <c r="R150" s="288"/>
    </row>
    <row r="151" spans="1:18">
      <c r="A151" s="183"/>
      <c r="B151" s="183" t="s">
        <v>1834</v>
      </c>
      <c r="D151" s="254" t="s">
        <v>1235</v>
      </c>
      <c r="E151" s="183"/>
      <c r="F151" s="183"/>
      <c r="G151" s="352">
        <f t="shared" si="12"/>
        <v>0</v>
      </c>
      <c r="H151" s="379"/>
      <c r="M151" s="350">
        <f t="shared" si="14"/>
        <v>0</v>
      </c>
      <c r="O151" s="351">
        <f t="shared" si="13"/>
        <v>0</v>
      </c>
      <c r="P151" s="378"/>
      <c r="Q151" s="289"/>
      <c r="R151" s="288"/>
    </row>
    <row r="152" spans="1:18">
      <c r="A152" s="183">
        <v>20120828</v>
      </c>
      <c r="B152" s="183" t="s">
        <v>1835</v>
      </c>
      <c r="C152" s="183" t="s">
        <v>1246</v>
      </c>
      <c r="D152" s="352"/>
      <c r="E152" s="183">
        <v>76800</v>
      </c>
      <c r="F152" s="183">
        <v>3840</v>
      </c>
      <c r="G152" s="352">
        <f t="shared" si="12"/>
        <v>80640</v>
      </c>
      <c r="H152" s="377" t="s">
        <v>1119</v>
      </c>
      <c r="I152" s="343" t="s">
        <v>1836</v>
      </c>
      <c r="J152" s="350">
        <v>80640</v>
      </c>
      <c r="M152" s="350">
        <f t="shared" si="14"/>
        <v>80640</v>
      </c>
      <c r="O152" s="351">
        <f t="shared" si="13"/>
        <v>0</v>
      </c>
      <c r="P152" s="378" t="s">
        <v>1837</v>
      </c>
    </row>
    <row r="153" spans="1:18">
      <c r="A153" s="183">
        <v>20120912</v>
      </c>
      <c r="B153" s="183" t="s">
        <v>1838</v>
      </c>
      <c r="C153" s="183" t="s">
        <v>2421</v>
      </c>
      <c r="D153" s="352"/>
      <c r="E153" s="183">
        <v>13500</v>
      </c>
      <c r="F153" s="183">
        <v>675</v>
      </c>
      <c r="G153" s="352">
        <f t="shared" si="12"/>
        <v>14175</v>
      </c>
      <c r="H153" s="377" t="s">
        <v>1132</v>
      </c>
      <c r="I153" s="343" t="s">
        <v>1839</v>
      </c>
      <c r="L153" s="350">
        <v>14165</v>
      </c>
      <c r="M153" s="350">
        <f t="shared" si="14"/>
        <v>14165</v>
      </c>
      <c r="N153" s="351">
        <v>10</v>
      </c>
      <c r="O153" s="351">
        <f t="shared" si="13"/>
        <v>0</v>
      </c>
      <c r="P153" s="378" t="s">
        <v>1084</v>
      </c>
    </row>
    <row r="154" spans="1:18">
      <c r="A154" s="183">
        <v>20120912</v>
      </c>
      <c r="B154" s="183" t="s">
        <v>206</v>
      </c>
      <c r="C154" s="183" t="s">
        <v>2060</v>
      </c>
      <c r="D154" s="352"/>
      <c r="E154" s="250">
        <v>13500</v>
      </c>
      <c r="F154" s="183">
        <v>675</v>
      </c>
      <c r="G154" s="352">
        <f t="shared" si="12"/>
        <v>14175</v>
      </c>
      <c r="H154" s="377" t="s">
        <v>1091</v>
      </c>
      <c r="I154" s="343" t="s">
        <v>1840</v>
      </c>
      <c r="L154" s="350">
        <v>14165</v>
      </c>
      <c r="M154" s="350">
        <f t="shared" si="14"/>
        <v>14165</v>
      </c>
      <c r="N154" s="351">
        <v>10</v>
      </c>
      <c r="O154" s="351">
        <f t="shared" si="13"/>
        <v>0</v>
      </c>
      <c r="P154" s="378" t="s">
        <v>1099</v>
      </c>
      <c r="Q154" s="290"/>
      <c r="R154" s="290"/>
    </row>
    <row r="155" spans="1:18">
      <c r="A155" s="183"/>
      <c r="B155" s="183" t="s">
        <v>207</v>
      </c>
      <c r="D155" s="254" t="s">
        <v>1841</v>
      </c>
      <c r="E155" s="250"/>
      <c r="F155" s="183"/>
      <c r="G155" s="352">
        <f t="shared" si="12"/>
        <v>0</v>
      </c>
      <c r="H155" s="379"/>
      <c r="M155" s="350">
        <f t="shared" si="14"/>
        <v>0</v>
      </c>
      <c r="O155" s="351">
        <f t="shared" si="13"/>
        <v>0</v>
      </c>
      <c r="P155" s="378"/>
      <c r="Q155" s="290"/>
      <c r="R155" s="290"/>
    </row>
    <row r="156" spans="1:18">
      <c r="A156" s="183"/>
      <c r="B156" s="183" t="s">
        <v>208</v>
      </c>
      <c r="D156" s="254" t="s">
        <v>1841</v>
      </c>
      <c r="E156" s="250"/>
      <c r="F156" s="183"/>
      <c r="G156" s="352">
        <f t="shared" si="12"/>
        <v>0</v>
      </c>
      <c r="H156" s="379"/>
      <c r="M156" s="350">
        <f t="shared" si="14"/>
        <v>0</v>
      </c>
      <c r="O156" s="351">
        <f t="shared" si="13"/>
        <v>0</v>
      </c>
      <c r="P156" s="378"/>
      <c r="Q156" s="290"/>
      <c r="R156" s="290"/>
    </row>
    <row r="157" spans="1:18">
      <c r="A157" s="183">
        <v>20121005</v>
      </c>
      <c r="B157" s="183" t="s">
        <v>209</v>
      </c>
      <c r="C157" s="183" t="s">
        <v>3825</v>
      </c>
      <c r="D157" s="352"/>
      <c r="E157" s="250">
        <v>13500</v>
      </c>
      <c r="F157" s="183">
        <v>675</v>
      </c>
      <c r="G157" s="352">
        <f t="shared" si="12"/>
        <v>14175</v>
      </c>
      <c r="H157" s="377" t="s">
        <v>1132</v>
      </c>
      <c r="I157" s="343" t="s">
        <v>1464</v>
      </c>
      <c r="L157" s="350">
        <v>14145</v>
      </c>
      <c r="M157" s="350">
        <f t="shared" si="14"/>
        <v>14145</v>
      </c>
      <c r="N157" s="351">
        <v>30</v>
      </c>
      <c r="O157" s="351">
        <f t="shared" si="13"/>
        <v>0</v>
      </c>
      <c r="P157" s="378" t="s">
        <v>1072</v>
      </c>
      <c r="Q157" s="290"/>
      <c r="R157" s="290"/>
    </row>
    <row r="158" spans="1:18">
      <c r="A158" s="183"/>
      <c r="B158" s="183" t="s">
        <v>210</v>
      </c>
      <c r="D158" s="254" t="s">
        <v>1841</v>
      </c>
      <c r="E158" s="250"/>
      <c r="F158" s="183"/>
      <c r="G158" s="352">
        <f t="shared" si="12"/>
        <v>0</v>
      </c>
      <c r="H158" s="379"/>
      <c r="M158" s="350">
        <f t="shared" si="14"/>
        <v>0</v>
      </c>
      <c r="O158" s="351">
        <f t="shared" si="13"/>
        <v>0</v>
      </c>
      <c r="P158" s="378"/>
      <c r="Q158" s="290"/>
      <c r="R158" s="290"/>
    </row>
    <row r="159" spans="1:18">
      <c r="A159" s="183"/>
      <c r="B159" s="183" t="s">
        <v>211</v>
      </c>
      <c r="D159" s="254" t="s">
        <v>1841</v>
      </c>
      <c r="E159" s="250"/>
      <c r="F159" s="183"/>
      <c r="G159" s="352">
        <f t="shared" si="12"/>
        <v>0</v>
      </c>
      <c r="H159" s="379"/>
      <c r="M159" s="350">
        <f t="shared" si="14"/>
        <v>0</v>
      </c>
      <c r="O159" s="351">
        <f t="shared" si="13"/>
        <v>0</v>
      </c>
      <c r="P159" s="378"/>
    </row>
    <row r="160" spans="1:18">
      <c r="A160" s="183"/>
      <c r="B160" s="183" t="s">
        <v>212</v>
      </c>
      <c r="D160" s="254" t="s">
        <v>1841</v>
      </c>
      <c r="E160" s="183"/>
      <c r="F160" s="183"/>
      <c r="G160" s="352">
        <f t="shared" si="12"/>
        <v>0</v>
      </c>
      <c r="H160" s="379"/>
      <c r="M160" s="350">
        <f t="shared" si="14"/>
        <v>0</v>
      </c>
      <c r="O160" s="351">
        <f t="shared" si="13"/>
        <v>0</v>
      </c>
      <c r="P160" s="378"/>
    </row>
    <row r="161" spans="1:16" s="372" customFormat="1">
      <c r="A161" s="297">
        <v>20121106</v>
      </c>
      <c r="B161" s="297" t="s">
        <v>1842</v>
      </c>
      <c r="C161" s="297" t="s">
        <v>1843</v>
      </c>
      <c r="D161" s="370">
        <f>E161/8</f>
        <v>13500</v>
      </c>
      <c r="E161" s="297">
        <v>108000</v>
      </c>
      <c r="F161" s="297">
        <v>5400</v>
      </c>
      <c r="G161" s="370">
        <f t="shared" si="12"/>
        <v>113400</v>
      </c>
      <c r="H161" s="386" t="s">
        <v>1119</v>
      </c>
      <c r="I161" s="387" t="s">
        <v>1844</v>
      </c>
      <c r="J161" s="374">
        <v>113400</v>
      </c>
      <c r="K161" s="374"/>
      <c r="L161" s="374"/>
      <c r="M161" s="374">
        <f t="shared" si="14"/>
        <v>113400</v>
      </c>
      <c r="N161" s="374"/>
      <c r="O161" s="374">
        <f t="shared" si="13"/>
        <v>0</v>
      </c>
      <c r="P161" s="388" t="s">
        <v>1845</v>
      </c>
    </row>
    <row r="162" spans="1:16">
      <c r="A162" s="183">
        <v>20121106</v>
      </c>
      <c r="B162" s="183" t="s">
        <v>213</v>
      </c>
      <c r="C162" s="183" t="s">
        <v>1270</v>
      </c>
      <c r="D162" s="352">
        <f>D161*3</f>
        <v>40500</v>
      </c>
      <c r="E162" s="183">
        <v>19500</v>
      </c>
      <c r="F162" s="183">
        <v>975</v>
      </c>
      <c r="G162" s="352">
        <f t="shared" si="12"/>
        <v>20475</v>
      </c>
      <c r="H162" s="377" t="s">
        <v>904</v>
      </c>
      <c r="I162" s="343">
        <v>579</v>
      </c>
      <c r="J162" s="350">
        <v>20475</v>
      </c>
      <c r="M162" s="350">
        <f t="shared" si="14"/>
        <v>20475</v>
      </c>
      <c r="O162" s="351">
        <f t="shared" si="13"/>
        <v>0</v>
      </c>
      <c r="P162" s="381" t="s">
        <v>1130</v>
      </c>
    </row>
    <row r="163" spans="1:16">
      <c r="A163" s="183">
        <v>20121106</v>
      </c>
      <c r="B163" s="183" t="s">
        <v>214</v>
      </c>
      <c r="C163" s="183" t="s">
        <v>1270</v>
      </c>
      <c r="D163" s="352"/>
      <c r="E163" s="183">
        <v>19500</v>
      </c>
      <c r="F163" s="183">
        <v>975</v>
      </c>
      <c r="G163" s="352">
        <f t="shared" si="12"/>
        <v>20475</v>
      </c>
      <c r="H163" s="377" t="s">
        <v>905</v>
      </c>
      <c r="I163" s="350">
        <v>580</v>
      </c>
      <c r="J163" s="350">
        <v>20475</v>
      </c>
      <c r="M163" s="350">
        <f t="shared" si="14"/>
        <v>20475</v>
      </c>
      <c r="O163" s="351">
        <f t="shared" si="13"/>
        <v>0</v>
      </c>
      <c r="P163" s="381" t="s">
        <v>1130</v>
      </c>
    </row>
    <row r="164" spans="1:16">
      <c r="A164" s="183">
        <v>20121106</v>
      </c>
      <c r="B164" s="183" t="s">
        <v>215</v>
      </c>
      <c r="C164" s="183" t="s">
        <v>1270</v>
      </c>
      <c r="D164" s="352"/>
      <c r="E164" s="183">
        <v>19500</v>
      </c>
      <c r="F164" s="183">
        <v>975</v>
      </c>
      <c r="G164" s="352">
        <f t="shared" si="12"/>
        <v>20475</v>
      </c>
      <c r="H164" s="377" t="s">
        <v>2780</v>
      </c>
      <c r="I164" s="350">
        <v>581</v>
      </c>
      <c r="J164" s="350">
        <v>20475</v>
      </c>
      <c r="M164" s="350">
        <f t="shared" si="14"/>
        <v>20475</v>
      </c>
      <c r="O164" s="351">
        <f t="shared" si="13"/>
        <v>0</v>
      </c>
      <c r="P164" s="381" t="s">
        <v>1130</v>
      </c>
    </row>
    <row r="165" spans="1:16">
      <c r="A165" s="183">
        <v>20121106</v>
      </c>
      <c r="B165" s="183" t="s">
        <v>2519</v>
      </c>
      <c r="C165" s="183" t="s">
        <v>1270</v>
      </c>
      <c r="D165" s="352"/>
      <c r="E165" s="183">
        <v>19500</v>
      </c>
      <c r="F165" s="183">
        <v>975</v>
      </c>
      <c r="G165" s="352">
        <f t="shared" si="12"/>
        <v>20475</v>
      </c>
      <c r="H165" s="377" t="s">
        <v>1112</v>
      </c>
      <c r="I165" s="350">
        <v>582</v>
      </c>
      <c r="J165" s="350">
        <v>20475</v>
      </c>
      <c r="M165" s="350">
        <f t="shared" si="14"/>
        <v>20475</v>
      </c>
      <c r="O165" s="351">
        <f t="shared" si="13"/>
        <v>0</v>
      </c>
      <c r="P165" s="381" t="s">
        <v>1130</v>
      </c>
    </row>
    <row r="166" spans="1:16">
      <c r="A166" s="183">
        <v>20121106</v>
      </c>
      <c r="B166" s="183" t="s">
        <v>2520</v>
      </c>
      <c r="C166" s="183" t="s">
        <v>1232</v>
      </c>
      <c r="D166" s="352"/>
      <c r="E166" s="183">
        <v>15600</v>
      </c>
      <c r="F166" s="183">
        <v>780</v>
      </c>
      <c r="G166" s="352">
        <f t="shared" si="12"/>
        <v>16380</v>
      </c>
      <c r="H166" s="377" t="s">
        <v>1131</v>
      </c>
      <c r="I166" s="350">
        <v>631</v>
      </c>
      <c r="J166" s="350">
        <v>16380</v>
      </c>
      <c r="M166" s="350">
        <f t="shared" si="14"/>
        <v>16380</v>
      </c>
      <c r="O166" s="351">
        <f t="shared" si="13"/>
        <v>0</v>
      </c>
      <c r="P166" s="381" t="s">
        <v>1080</v>
      </c>
    </row>
    <row r="167" spans="1:16">
      <c r="A167" s="183">
        <v>20121108</v>
      </c>
      <c r="B167" s="183" t="s">
        <v>2521</v>
      </c>
      <c r="C167" s="183" t="s">
        <v>2692</v>
      </c>
      <c r="D167" s="352"/>
      <c r="E167" s="183">
        <v>68400</v>
      </c>
      <c r="F167" s="183">
        <v>3420</v>
      </c>
      <c r="G167" s="352">
        <f t="shared" si="12"/>
        <v>71820</v>
      </c>
      <c r="H167" s="377" t="s">
        <v>1119</v>
      </c>
      <c r="I167" s="343" t="s">
        <v>1846</v>
      </c>
      <c r="J167" s="350">
        <v>71816</v>
      </c>
      <c r="M167" s="350">
        <f t="shared" si="14"/>
        <v>71816</v>
      </c>
      <c r="N167" s="389">
        <v>4</v>
      </c>
      <c r="O167" s="351">
        <f t="shared" si="13"/>
        <v>0</v>
      </c>
      <c r="P167" s="381" t="s">
        <v>1149</v>
      </c>
    </row>
    <row r="168" spans="1:16">
      <c r="A168" s="183">
        <v>20121114</v>
      </c>
      <c r="B168" s="183" t="s">
        <v>2522</v>
      </c>
      <c r="C168" s="183" t="s">
        <v>2691</v>
      </c>
      <c r="D168" s="352"/>
      <c r="E168" s="183">
        <v>108000</v>
      </c>
      <c r="F168" s="183">
        <v>5400</v>
      </c>
      <c r="G168" s="352">
        <f t="shared" si="12"/>
        <v>113400</v>
      </c>
      <c r="H168" s="377" t="s">
        <v>1276</v>
      </c>
      <c r="I168" s="343" t="s">
        <v>1847</v>
      </c>
      <c r="J168" s="350">
        <v>113400</v>
      </c>
      <c r="M168" s="350">
        <f t="shared" si="14"/>
        <v>113400</v>
      </c>
      <c r="O168" s="351">
        <f t="shared" si="13"/>
        <v>0</v>
      </c>
      <c r="P168" s="381" t="s">
        <v>1848</v>
      </c>
    </row>
    <row r="169" spans="1:16">
      <c r="A169" s="183">
        <v>20121115</v>
      </c>
      <c r="B169" s="183" t="s">
        <v>2523</v>
      </c>
      <c r="C169" s="183" t="s">
        <v>2687</v>
      </c>
      <c r="D169" s="352"/>
      <c r="E169" s="183">
        <v>108000</v>
      </c>
      <c r="F169" s="183">
        <v>5400</v>
      </c>
      <c r="G169" s="352">
        <f t="shared" si="12"/>
        <v>113400</v>
      </c>
      <c r="H169" s="377" t="s">
        <v>1276</v>
      </c>
      <c r="I169" s="343" t="s">
        <v>1849</v>
      </c>
      <c r="J169" s="350">
        <v>113400</v>
      </c>
      <c r="M169" s="350">
        <f t="shared" si="14"/>
        <v>113400</v>
      </c>
      <c r="O169" s="351">
        <f t="shared" si="13"/>
        <v>0</v>
      </c>
      <c r="P169" s="381" t="s">
        <v>1850</v>
      </c>
    </row>
    <row r="170" spans="1:16">
      <c r="A170" s="183">
        <v>20121115</v>
      </c>
      <c r="B170" s="183" t="s">
        <v>2524</v>
      </c>
      <c r="C170" s="183" t="s">
        <v>1764</v>
      </c>
      <c r="D170" s="352"/>
      <c r="E170" s="183">
        <v>108000</v>
      </c>
      <c r="F170" s="183">
        <v>5400</v>
      </c>
      <c r="G170" s="352">
        <f t="shared" si="12"/>
        <v>113400</v>
      </c>
      <c r="H170" s="377" t="s">
        <v>1276</v>
      </c>
      <c r="I170" s="343" t="s">
        <v>1851</v>
      </c>
      <c r="J170" s="350">
        <v>113400</v>
      </c>
      <c r="M170" s="350">
        <f t="shared" si="14"/>
        <v>113400</v>
      </c>
      <c r="O170" s="351">
        <f t="shared" si="13"/>
        <v>0</v>
      </c>
      <c r="P170" s="381" t="s">
        <v>1852</v>
      </c>
    </row>
    <row r="171" spans="1:16">
      <c r="A171" s="183">
        <v>20121121</v>
      </c>
      <c r="B171" s="183" t="s">
        <v>2525</v>
      </c>
      <c r="C171" s="183" t="s">
        <v>1013</v>
      </c>
      <c r="D171" s="352"/>
      <c r="E171" s="183">
        <v>19500</v>
      </c>
      <c r="F171" s="183">
        <v>975</v>
      </c>
      <c r="G171" s="352">
        <f t="shared" si="12"/>
        <v>20475</v>
      </c>
      <c r="H171" s="377" t="s">
        <v>904</v>
      </c>
      <c r="I171" s="350">
        <v>615</v>
      </c>
      <c r="J171" s="350">
        <v>20475</v>
      </c>
      <c r="M171" s="350">
        <f t="shared" si="14"/>
        <v>20475</v>
      </c>
      <c r="O171" s="351">
        <f t="shared" si="13"/>
        <v>0</v>
      </c>
      <c r="P171" s="381" t="s">
        <v>1853</v>
      </c>
    </row>
    <row r="172" spans="1:16">
      <c r="A172" s="183">
        <v>20121121</v>
      </c>
      <c r="B172" s="183" t="s">
        <v>2526</v>
      </c>
      <c r="C172" s="183" t="s">
        <v>1016</v>
      </c>
      <c r="D172" s="352"/>
      <c r="E172" s="183">
        <v>19500</v>
      </c>
      <c r="F172" s="183">
        <v>975</v>
      </c>
      <c r="G172" s="352">
        <f t="shared" si="12"/>
        <v>20475</v>
      </c>
      <c r="H172" s="377" t="s">
        <v>904</v>
      </c>
      <c r="I172" s="350">
        <v>623</v>
      </c>
      <c r="J172" s="350">
        <v>20475</v>
      </c>
      <c r="M172" s="350">
        <f t="shared" si="14"/>
        <v>20475</v>
      </c>
      <c r="O172" s="351">
        <f t="shared" si="13"/>
        <v>0</v>
      </c>
      <c r="P172" s="381" t="s">
        <v>1854</v>
      </c>
    </row>
    <row r="173" spans="1:16">
      <c r="A173" s="183">
        <v>20121122</v>
      </c>
      <c r="B173" s="183" t="s">
        <v>2527</v>
      </c>
      <c r="C173" s="352" t="s">
        <v>2688</v>
      </c>
      <c r="D173" s="352"/>
      <c r="E173" s="352">
        <v>86400</v>
      </c>
      <c r="F173" s="352">
        <v>4320</v>
      </c>
      <c r="G173" s="352">
        <f t="shared" si="12"/>
        <v>90720</v>
      </c>
      <c r="H173" s="377" t="s">
        <v>1276</v>
      </c>
      <c r="I173" s="343" t="s">
        <v>1855</v>
      </c>
      <c r="J173" s="350">
        <v>90720</v>
      </c>
      <c r="M173" s="350">
        <f t="shared" si="14"/>
        <v>90720</v>
      </c>
      <c r="O173" s="351">
        <f t="shared" si="13"/>
        <v>0</v>
      </c>
      <c r="P173" s="381" t="s">
        <v>1856</v>
      </c>
    </row>
    <row r="174" spans="1:16">
      <c r="A174" s="183">
        <v>20121210</v>
      </c>
      <c r="B174" s="183" t="s">
        <v>2528</v>
      </c>
      <c r="C174" s="352" t="s">
        <v>2060</v>
      </c>
      <c r="D174" s="352"/>
      <c r="E174" s="352">
        <v>13500</v>
      </c>
      <c r="F174" s="352">
        <v>675</v>
      </c>
      <c r="G174" s="352">
        <f t="shared" si="12"/>
        <v>14175</v>
      </c>
      <c r="H174" s="377" t="s">
        <v>1131</v>
      </c>
      <c r="I174" s="343" t="s">
        <v>1033</v>
      </c>
      <c r="L174" s="390">
        <v>14175</v>
      </c>
      <c r="M174" s="350">
        <f t="shared" si="14"/>
        <v>14175</v>
      </c>
      <c r="O174" s="351">
        <f t="shared" si="13"/>
        <v>0</v>
      </c>
      <c r="P174" s="381" t="s">
        <v>1099</v>
      </c>
    </row>
    <row r="176" spans="1:16">
      <c r="F176" s="345">
        <f>286650/20475</f>
        <v>14</v>
      </c>
    </row>
    <row r="178" spans="1:18">
      <c r="N178" s="382"/>
    </row>
    <row r="179" spans="1:18" s="347" customFormat="1">
      <c r="A179" s="346" t="s">
        <v>3651</v>
      </c>
      <c r="D179" s="348" t="s">
        <v>2377</v>
      </c>
      <c r="E179" s="376">
        <f>SUM(E180:E243)</f>
        <v>2752328</v>
      </c>
      <c r="F179" s="376">
        <f>SUM(F180:F243)</f>
        <v>137617</v>
      </c>
      <c r="G179" s="376">
        <f>SUM(G180:G243)</f>
        <v>2889945</v>
      </c>
      <c r="H179" s="349"/>
      <c r="I179" s="383"/>
      <c r="J179" s="376">
        <f t="shared" ref="J179:O179" si="15">SUM(J180:J243)</f>
        <v>2031960</v>
      </c>
      <c r="K179" s="376">
        <f t="shared" si="15"/>
        <v>163800</v>
      </c>
      <c r="L179" s="376">
        <f t="shared" si="15"/>
        <v>693975</v>
      </c>
      <c r="M179" s="376">
        <f t="shared" si="15"/>
        <v>2889735</v>
      </c>
      <c r="N179" s="376">
        <f t="shared" si="15"/>
        <v>210</v>
      </c>
      <c r="O179" s="376">
        <f t="shared" si="15"/>
        <v>0</v>
      </c>
      <c r="P179" s="391"/>
    </row>
    <row r="180" spans="1:18">
      <c r="A180" s="183">
        <v>20130108</v>
      </c>
      <c r="B180" s="183" t="s">
        <v>3652</v>
      </c>
      <c r="C180" s="183" t="s">
        <v>2693</v>
      </c>
      <c r="D180" s="352"/>
      <c r="E180" s="183">
        <v>100800</v>
      </c>
      <c r="F180" s="183">
        <v>5040</v>
      </c>
      <c r="G180" s="352">
        <f>E180+F180</f>
        <v>105840</v>
      </c>
      <c r="H180" s="377" t="s">
        <v>1276</v>
      </c>
      <c r="I180" s="343" t="s">
        <v>3744</v>
      </c>
      <c r="J180" s="350">
        <v>105840</v>
      </c>
      <c r="M180" s="350">
        <f t="shared" ref="M180:M243" si="16">J180+K180+L180</f>
        <v>105840</v>
      </c>
      <c r="O180" s="351">
        <f t="shared" ref="O180:O243" si="17">G180-M180-N180</f>
        <v>0</v>
      </c>
      <c r="P180" s="378" t="s">
        <v>3653</v>
      </c>
      <c r="Q180" s="287"/>
      <c r="R180" s="288"/>
    </row>
    <row r="181" spans="1:18">
      <c r="A181" s="345">
        <v>20130109</v>
      </c>
      <c r="B181" s="352" t="s">
        <v>3654</v>
      </c>
      <c r="C181" s="352" t="s">
        <v>1013</v>
      </c>
      <c r="E181" s="345">
        <v>120000</v>
      </c>
      <c r="F181" s="345">
        <v>6000</v>
      </c>
      <c r="G181" s="345">
        <v>126000</v>
      </c>
      <c r="H181" s="379">
        <v>1</v>
      </c>
      <c r="I181" s="350">
        <v>656</v>
      </c>
      <c r="J181" s="350">
        <v>126000</v>
      </c>
      <c r="M181" s="350">
        <f t="shared" si="16"/>
        <v>126000</v>
      </c>
      <c r="O181" s="351">
        <f t="shared" si="17"/>
        <v>0</v>
      </c>
      <c r="P181" s="378" t="s">
        <v>1853</v>
      </c>
    </row>
    <row r="182" spans="1:18">
      <c r="A182" s="345">
        <v>20130109</v>
      </c>
      <c r="B182" s="352" t="s">
        <v>3655</v>
      </c>
      <c r="C182" s="352" t="s">
        <v>1016</v>
      </c>
      <c r="E182" s="345">
        <v>120000</v>
      </c>
      <c r="F182" s="345">
        <v>6000</v>
      </c>
      <c r="G182" s="345">
        <v>126000</v>
      </c>
      <c r="H182" s="379">
        <v>1</v>
      </c>
      <c r="I182" s="350">
        <v>657</v>
      </c>
      <c r="J182" s="350">
        <v>126000</v>
      </c>
      <c r="M182" s="350">
        <f t="shared" si="16"/>
        <v>126000</v>
      </c>
      <c r="O182" s="351">
        <f t="shared" si="17"/>
        <v>0</v>
      </c>
      <c r="P182" s="392">
        <v>53456020</v>
      </c>
    </row>
    <row r="183" spans="1:18">
      <c r="B183" s="352" t="s">
        <v>3656</v>
      </c>
      <c r="D183" s="254" t="s">
        <v>1235</v>
      </c>
      <c r="H183" s="379"/>
      <c r="M183" s="350">
        <f t="shared" si="16"/>
        <v>0</v>
      </c>
      <c r="O183" s="351">
        <f t="shared" si="17"/>
        <v>0</v>
      </c>
      <c r="P183" s="392"/>
    </row>
    <row r="184" spans="1:18" ht="17.25" customHeight="1">
      <c r="A184" s="345">
        <v>20130114</v>
      </c>
      <c r="B184" s="352" t="s">
        <v>3657</v>
      </c>
      <c r="C184" s="352" t="s">
        <v>1789</v>
      </c>
      <c r="E184" s="345">
        <v>108000</v>
      </c>
      <c r="F184" s="345">
        <v>5400</v>
      </c>
      <c r="G184" s="345">
        <v>113400</v>
      </c>
      <c r="H184" s="377" t="s">
        <v>1276</v>
      </c>
      <c r="I184" s="343" t="s">
        <v>3745</v>
      </c>
      <c r="J184" s="350">
        <v>113400</v>
      </c>
      <c r="M184" s="350">
        <f t="shared" si="16"/>
        <v>113400</v>
      </c>
      <c r="O184" s="351">
        <f t="shared" si="17"/>
        <v>0</v>
      </c>
      <c r="P184" s="378" t="s">
        <v>3658</v>
      </c>
    </row>
    <row r="185" spans="1:18">
      <c r="A185" s="345">
        <v>20130117</v>
      </c>
      <c r="B185" s="352" t="s">
        <v>3659</v>
      </c>
      <c r="C185" s="352" t="s">
        <v>2423</v>
      </c>
      <c r="E185" s="345">
        <v>108000</v>
      </c>
      <c r="F185" s="345">
        <v>5400</v>
      </c>
      <c r="G185" s="345">
        <v>113400</v>
      </c>
      <c r="H185" s="377" t="s">
        <v>1276</v>
      </c>
      <c r="I185" s="343" t="s">
        <v>3746</v>
      </c>
      <c r="J185" s="350">
        <v>113400</v>
      </c>
      <c r="M185" s="350">
        <f t="shared" si="16"/>
        <v>113400</v>
      </c>
      <c r="O185" s="351">
        <f t="shared" si="17"/>
        <v>0</v>
      </c>
      <c r="P185" s="378" t="s">
        <v>3660</v>
      </c>
    </row>
    <row r="186" spans="1:18">
      <c r="B186" s="352" t="s">
        <v>4298</v>
      </c>
      <c r="D186" s="254" t="s">
        <v>1235</v>
      </c>
      <c r="H186" s="379"/>
      <c r="M186" s="350">
        <f t="shared" si="16"/>
        <v>0</v>
      </c>
      <c r="O186" s="351">
        <f t="shared" si="17"/>
        <v>0</v>
      </c>
      <c r="P186" s="392"/>
    </row>
    <row r="187" spans="1:18">
      <c r="A187" s="345">
        <v>20130124</v>
      </c>
      <c r="B187" s="352" t="s">
        <v>3661</v>
      </c>
      <c r="C187" s="352" t="s">
        <v>3825</v>
      </c>
      <c r="E187" s="345">
        <v>13500</v>
      </c>
      <c r="F187" s="345">
        <v>675</v>
      </c>
      <c r="G187" s="345">
        <v>14175</v>
      </c>
      <c r="H187" s="377" t="s">
        <v>904</v>
      </c>
      <c r="I187" s="343" t="s">
        <v>472</v>
      </c>
      <c r="L187" s="390">
        <v>14145</v>
      </c>
      <c r="M187" s="350">
        <f t="shared" si="16"/>
        <v>14145</v>
      </c>
      <c r="N187" s="351">
        <v>30</v>
      </c>
      <c r="O187" s="351">
        <f t="shared" si="17"/>
        <v>0</v>
      </c>
      <c r="P187" s="378" t="s">
        <v>1072</v>
      </c>
    </row>
    <row r="188" spans="1:18">
      <c r="A188" s="345">
        <v>20130220</v>
      </c>
      <c r="B188" s="352" t="s">
        <v>4299</v>
      </c>
      <c r="C188" s="352" t="s">
        <v>1016</v>
      </c>
      <c r="E188" s="345">
        <v>19500</v>
      </c>
      <c r="F188" s="345">
        <v>975</v>
      </c>
      <c r="G188" s="345">
        <v>20475</v>
      </c>
      <c r="H188" s="377" t="s">
        <v>905</v>
      </c>
      <c r="I188" s="350">
        <v>624</v>
      </c>
      <c r="K188" s="350">
        <v>20475</v>
      </c>
      <c r="M188" s="350">
        <f t="shared" si="16"/>
        <v>20475</v>
      </c>
      <c r="O188" s="351">
        <f t="shared" si="17"/>
        <v>0</v>
      </c>
      <c r="P188" s="378" t="s">
        <v>1854</v>
      </c>
    </row>
    <row r="189" spans="1:18">
      <c r="A189" s="345">
        <v>20130220</v>
      </c>
      <c r="B189" s="352" t="s">
        <v>4300</v>
      </c>
      <c r="C189" s="352" t="s">
        <v>1232</v>
      </c>
      <c r="E189" s="345">
        <v>15600</v>
      </c>
      <c r="F189" s="345">
        <v>780</v>
      </c>
      <c r="G189" s="345">
        <v>16380</v>
      </c>
      <c r="H189" s="377" t="s">
        <v>1132</v>
      </c>
      <c r="I189" s="350">
        <v>658</v>
      </c>
      <c r="J189" s="350">
        <v>16380</v>
      </c>
      <c r="M189" s="350">
        <f t="shared" si="16"/>
        <v>16380</v>
      </c>
      <c r="O189" s="351">
        <f t="shared" si="17"/>
        <v>0</v>
      </c>
      <c r="P189" s="378" t="s">
        <v>1080</v>
      </c>
    </row>
    <row r="190" spans="1:18">
      <c r="A190" s="345">
        <v>20130220</v>
      </c>
      <c r="B190" s="352" t="s">
        <v>4301</v>
      </c>
      <c r="C190" s="352" t="s">
        <v>1013</v>
      </c>
      <c r="E190" s="345">
        <v>19500</v>
      </c>
      <c r="F190" s="345">
        <v>975</v>
      </c>
      <c r="G190" s="345">
        <v>20475</v>
      </c>
      <c r="H190" s="377" t="s">
        <v>905</v>
      </c>
      <c r="I190" s="350">
        <v>616</v>
      </c>
      <c r="K190" s="350">
        <v>20475</v>
      </c>
      <c r="M190" s="350">
        <f t="shared" si="16"/>
        <v>20475</v>
      </c>
      <c r="O190" s="351">
        <f t="shared" si="17"/>
        <v>0</v>
      </c>
      <c r="P190" s="378" t="s">
        <v>1853</v>
      </c>
    </row>
    <row r="191" spans="1:18">
      <c r="A191" s="345">
        <v>20130305</v>
      </c>
      <c r="B191" s="352" t="s">
        <v>3662</v>
      </c>
      <c r="C191" s="352" t="s">
        <v>1249</v>
      </c>
      <c r="E191" s="345">
        <v>43200</v>
      </c>
      <c r="F191" s="345">
        <v>2160</v>
      </c>
      <c r="G191" s="345">
        <v>45360</v>
      </c>
      <c r="H191" s="377" t="s">
        <v>3663</v>
      </c>
      <c r="I191" s="343" t="s">
        <v>3664</v>
      </c>
      <c r="J191" s="350">
        <v>45360</v>
      </c>
      <c r="M191" s="350">
        <f t="shared" si="16"/>
        <v>45360</v>
      </c>
      <c r="O191" s="351">
        <f t="shared" si="17"/>
        <v>0</v>
      </c>
      <c r="P191" s="378" t="s">
        <v>1145</v>
      </c>
    </row>
    <row r="192" spans="1:18">
      <c r="A192" s="345">
        <v>20130305</v>
      </c>
      <c r="B192" s="352" t="s">
        <v>3665</v>
      </c>
      <c r="C192" s="352" t="s">
        <v>2060</v>
      </c>
      <c r="E192" s="345">
        <v>13500</v>
      </c>
      <c r="F192" s="345">
        <v>675</v>
      </c>
      <c r="G192" s="345">
        <v>14175</v>
      </c>
      <c r="H192" s="377" t="s">
        <v>1132</v>
      </c>
      <c r="I192" s="343" t="s">
        <v>2349</v>
      </c>
      <c r="L192" s="390">
        <v>14165</v>
      </c>
      <c r="M192" s="350">
        <f t="shared" si="16"/>
        <v>14165</v>
      </c>
      <c r="N192" s="351">
        <v>10</v>
      </c>
      <c r="O192" s="351">
        <f t="shared" si="17"/>
        <v>0</v>
      </c>
      <c r="P192" s="378" t="s">
        <v>1099</v>
      </c>
    </row>
    <row r="193" spans="1:16">
      <c r="A193" s="345">
        <v>20130312</v>
      </c>
      <c r="B193" s="352" t="s">
        <v>3666</v>
      </c>
      <c r="C193" s="352" t="s">
        <v>1532</v>
      </c>
      <c r="E193" s="345">
        <v>12857</v>
      </c>
      <c r="F193" s="345">
        <v>643</v>
      </c>
      <c r="G193" s="345">
        <v>13500</v>
      </c>
      <c r="H193" s="377" t="s">
        <v>904</v>
      </c>
      <c r="I193" s="343" t="s">
        <v>533</v>
      </c>
      <c r="L193" s="390">
        <v>13485</v>
      </c>
      <c r="M193" s="350">
        <f t="shared" si="16"/>
        <v>13485</v>
      </c>
      <c r="N193" s="351">
        <v>15</v>
      </c>
      <c r="O193" s="351">
        <f t="shared" si="17"/>
        <v>0</v>
      </c>
      <c r="P193" s="378" t="s">
        <v>1097</v>
      </c>
    </row>
    <row r="194" spans="1:16">
      <c r="A194" s="345">
        <v>20130327</v>
      </c>
      <c r="B194" s="352" t="s">
        <v>3667</v>
      </c>
      <c r="C194" s="352" t="s">
        <v>7</v>
      </c>
      <c r="E194" s="345">
        <v>100800</v>
      </c>
      <c r="F194" s="345">
        <v>5040</v>
      </c>
      <c r="G194" s="345">
        <v>105840</v>
      </c>
      <c r="H194" s="377" t="s">
        <v>1276</v>
      </c>
      <c r="I194" s="343" t="s">
        <v>3747</v>
      </c>
      <c r="J194" s="350">
        <v>105840</v>
      </c>
      <c r="M194" s="350">
        <f t="shared" si="16"/>
        <v>105840</v>
      </c>
      <c r="O194" s="351">
        <f t="shared" si="17"/>
        <v>0</v>
      </c>
      <c r="P194" s="378" t="s">
        <v>1071</v>
      </c>
    </row>
    <row r="195" spans="1:16">
      <c r="A195" s="345">
        <v>20130409</v>
      </c>
      <c r="B195" s="352" t="s">
        <v>3668</v>
      </c>
      <c r="C195" s="352" t="s">
        <v>2422</v>
      </c>
      <c r="E195" s="345">
        <v>100800</v>
      </c>
      <c r="F195" s="345">
        <v>5040</v>
      </c>
      <c r="G195" s="345">
        <v>105840</v>
      </c>
      <c r="H195" s="377" t="s">
        <v>1276</v>
      </c>
      <c r="I195" s="343" t="s">
        <v>3748</v>
      </c>
      <c r="J195" s="350">
        <v>105840</v>
      </c>
      <c r="M195" s="350">
        <f t="shared" si="16"/>
        <v>105840</v>
      </c>
      <c r="O195" s="351">
        <f t="shared" si="17"/>
        <v>0</v>
      </c>
      <c r="P195" s="378" t="s">
        <v>1076</v>
      </c>
    </row>
    <row r="196" spans="1:16">
      <c r="B196" s="352" t="s">
        <v>3669</v>
      </c>
      <c r="D196" s="254" t="s">
        <v>1235</v>
      </c>
      <c r="H196" s="379"/>
      <c r="M196" s="350">
        <f t="shared" si="16"/>
        <v>0</v>
      </c>
      <c r="O196" s="351">
        <f t="shared" si="17"/>
        <v>0</v>
      </c>
      <c r="P196" s="392"/>
    </row>
    <row r="197" spans="1:16">
      <c r="A197" s="345">
        <v>20130419</v>
      </c>
      <c r="B197" s="352" t="s">
        <v>3670</v>
      </c>
      <c r="C197" s="352" t="s">
        <v>1013</v>
      </c>
      <c r="E197" s="345">
        <v>120000</v>
      </c>
      <c r="F197" s="345">
        <v>6000</v>
      </c>
      <c r="G197" s="345">
        <v>126000</v>
      </c>
      <c r="H197" s="377" t="s">
        <v>905</v>
      </c>
      <c r="I197" s="350">
        <v>691</v>
      </c>
      <c r="J197" s="350">
        <v>126000</v>
      </c>
      <c r="M197" s="350">
        <f t="shared" si="16"/>
        <v>126000</v>
      </c>
      <c r="O197" s="351">
        <f t="shared" si="17"/>
        <v>0</v>
      </c>
      <c r="P197" s="378" t="s">
        <v>1853</v>
      </c>
    </row>
    <row r="198" spans="1:16">
      <c r="A198" s="345">
        <v>20130419</v>
      </c>
      <c r="B198" s="352" t="s">
        <v>3671</v>
      </c>
      <c r="C198" s="352" t="s">
        <v>1016</v>
      </c>
      <c r="E198" s="345">
        <v>120000</v>
      </c>
      <c r="F198" s="345">
        <v>6000</v>
      </c>
      <c r="G198" s="345">
        <v>126000</v>
      </c>
      <c r="H198" s="377" t="s">
        <v>905</v>
      </c>
      <c r="I198" s="343" t="s">
        <v>609</v>
      </c>
      <c r="L198" s="390">
        <v>126000</v>
      </c>
      <c r="M198" s="350">
        <f t="shared" si="16"/>
        <v>126000</v>
      </c>
      <c r="O198" s="351">
        <f t="shared" si="17"/>
        <v>0</v>
      </c>
      <c r="P198" s="378" t="s">
        <v>1854</v>
      </c>
    </row>
    <row r="199" spans="1:16">
      <c r="A199" s="345">
        <v>20130419</v>
      </c>
      <c r="B199" s="352" t="s">
        <v>3672</v>
      </c>
      <c r="C199" s="352" t="s">
        <v>3825</v>
      </c>
      <c r="E199" s="345">
        <v>13500</v>
      </c>
      <c r="F199" s="345">
        <v>675</v>
      </c>
      <c r="G199" s="345">
        <v>14175</v>
      </c>
      <c r="H199" s="377" t="s">
        <v>905</v>
      </c>
      <c r="I199" s="343" t="s">
        <v>2232</v>
      </c>
      <c r="L199" s="390">
        <v>14145</v>
      </c>
      <c r="M199" s="350">
        <f t="shared" si="16"/>
        <v>14145</v>
      </c>
      <c r="N199" s="351">
        <v>30</v>
      </c>
      <c r="O199" s="351">
        <f t="shared" si="17"/>
        <v>0</v>
      </c>
      <c r="P199" s="378" t="s">
        <v>1072</v>
      </c>
    </row>
    <row r="200" spans="1:16">
      <c r="A200" s="345">
        <v>20130507</v>
      </c>
      <c r="B200" s="352" t="s">
        <v>3673</v>
      </c>
      <c r="C200" s="352" t="s">
        <v>1013</v>
      </c>
      <c r="E200" s="345">
        <v>19500</v>
      </c>
      <c r="F200" s="345">
        <v>975</v>
      </c>
      <c r="G200" s="345">
        <v>20475</v>
      </c>
      <c r="H200" s="377" t="s">
        <v>2780</v>
      </c>
      <c r="I200" s="350">
        <v>617</v>
      </c>
      <c r="K200" s="350">
        <v>20475</v>
      </c>
      <c r="M200" s="350">
        <f t="shared" si="16"/>
        <v>20475</v>
      </c>
      <c r="O200" s="351">
        <f t="shared" si="17"/>
        <v>0</v>
      </c>
      <c r="P200" s="378" t="s">
        <v>1853</v>
      </c>
    </row>
    <row r="201" spans="1:16">
      <c r="A201" s="345">
        <v>20130507</v>
      </c>
      <c r="B201" s="352" t="s">
        <v>3674</v>
      </c>
      <c r="C201" s="352" t="s">
        <v>1016</v>
      </c>
      <c r="E201" s="345">
        <v>19500</v>
      </c>
      <c r="F201" s="345">
        <v>975</v>
      </c>
      <c r="G201" s="345">
        <v>20475</v>
      </c>
      <c r="H201" s="377" t="s">
        <v>2780</v>
      </c>
      <c r="I201" s="350">
        <v>625</v>
      </c>
      <c r="K201" s="350">
        <v>20475</v>
      </c>
      <c r="M201" s="350">
        <f t="shared" si="16"/>
        <v>20475</v>
      </c>
      <c r="O201" s="351">
        <f t="shared" si="17"/>
        <v>0</v>
      </c>
      <c r="P201" s="378" t="s">
        <v>1854</v>
      </c>
    </row>
    <row r="202" spans="1:16">
      <c r="A202" s="345">
        <v>20130507</v>
      </c>
      <c r="B202" s="352" t="s">
        <v>3675</v>
      </c>
      <c r="C202" s="352" t="s">
        <v>1232</v>
      </c>
      <c r="E202" s="345">
        <v>15600</v>
      </c>
      <c r="F202" s="345">
        <v>780</v>
      </c>
      <c r="G202" s="345">
        <v>16380</v>
      </c>
      <c r="H202" s="377" t="s">
        <v>3676</v>
      </c>
      <c r="I202" s="350">
        <v>692</v>
      </c>
      <c r="J202" s="350">
        <v>16380</v>
      </c>
      <c r="M202" s="350">
        <f t="shared" si="16"/>
        <v>16380</v>
      </c>
      <c r="O202" s="351">
        <f t="shared" si="17"/>
        <v>0</v>
      </c>
      <c r="P202" s="378" t="s">
        <v>1080</v>
      </c>
    </row>
    <row r="203" spans="1:16">
      <c r="A203" s="345">
        <v>20130610</v>
      </c>
      <c r="B203" s="352" t="s">
        <v>3677</v>
      </c>
      <c r="C203" s="352" t="s">
        <v>1532</v>
      </c>
      <c r="E203" s="345">
        <v>12857</v>
      </c>
      <c r="F203" s="345">
        <v>643</v>
      </c>
      <c r="G203" s="345">
        <v>13500</v>
      </c>
      <c r="H203" s="377" t="s">
        <v>905</v>
      </c>
      <c r="I203" s="343" t="s">
        <v>677</v>
      </c>
      <c r="L203" s="390">
        <v>13485</v>
      </c>
      <c r="M203" s="350">
        <f t="shared" si="16"/>
        <v>13485</v>
      </c>
      <c r="N203" s="351">
        <v>15</v>
      </c>
      <c r="O203" s="351">
        <f t="shared" si="17"/>
        <v>0</v>
      </c>
      <c r="P203" s="378" t="s">
        <v>1097</v>
      </c>
    </row>
    <row r="204" spans="1:16">
      <c r="A204" s="345">
        <v>20130617</v>
      </c>
      <c r="B204" s="352" t="s">
        <v>3678</v>
      </c>
      <c r="C204" s="352" t="s">
        <v>857</v>
      </c>
      <c r="E204" s="345">
        <v>108000</v>
      </c>
      <c r="F204" s="345">
        <v>5400</v>
      </c>
      <c r="G204" s="345">
        <v>113400</v>
      </c>
      <c r="H204" s="377" t="s">
        <v>1276</v>
      </c>
      <c r="I204" s="343" t="s">
        <v>3749</v>
      </c>
      <c r="J204" s="350">
        <v>113400</v>
      </c>
      <c r="M204" s="350">
        <f t="shared" si="16"/>
        <v>113400</v>
      </c>
      <c r="O204" s="351">
        <f t="shared" si="17"/>
        <v>0</v>
      </c>
      <c r="P204" s="378" t="s">
        <v>1083</v>
      </c>
    </row>
    <row r="205" spans="1:16">
      <c r="A205" s="345">
        <v>20130618</v>
      </c>
      <c r="B205" s="352" t="s">
        <v>3679</v>
      </c>
      <c r="C205" s="352" t="s">
        <v>1013</v>
      </c>
      <c r="E205" s="345">
        <v>60000</v>
      </c>
      <c r="F205" s="345">
        <v>3000</v>
      </c>
      <c r="G205" s="345">
        <v>63000</v>
      </c>
      <c r="H205" s="377" t="s">
        <v>904</v>
      </c>
      <c r="I205" s="343" t="s">
        <v>664</v>
      </c>
      <c r="L205" s="390">
        <v>63000</v>
      </c>
      <c r="M205" s="350">
        <f t="shared" si="16"/>
        <v>63000</v>
      </c>
      <c r="O205" s="351">
        <f t="shared" si="17"/>
        <v>0</v>
      </c>
      <c r="P205" s="378" t="s">
        <v>1853</v>
      </c>
    </row>
    <row r="206" spans="1:16">
      <c r="A206" s="345">
        <v>20130618</v>
      </c>
      <c r="B206" s="352" t="s">
        <v>3680</v>
      </c>
      <c r="C206" s="352" t="s">
        <v>1016</v>
      </c>
      <c r="E206" s="345">
        <v>60000</v>
      </c>
      <c r="F206" s="345">
        <v>3000</v>
      </c>
      <c r="G206" s="345">
        <v>63000</v>
      </c>
      <c r="H206" s="377" t="s">
        <v>904</v>
      </c>
      <c r="I206" s="343" t="s">
        <v>666</v>
      </c>
      <c r="L206" s="390">
        <v>63000</v>
      </c>
      <c r="M206" s="350">
        <f t="shared" si="16"/>
        <v>63000</v>
      </c>
      <c r="O206" s="351">
        <f t="shared" si="17"/>
        <v>0</v>
      </c>
      <c r="P206" s="378" t="s">
        <v>1854</v>
      </c>
    </row>
    <row r="207" spans="1:16">
      <c r="B207" s="352" t="s">
        <v>3681</v>
      </c>
      <c r="D207" s="254" t="s">
        <v>1235</v>
      </c>
      <c r="H207" s="379"/>
      <c r="M207" s="350">
        <f t="shared" si="16"/>
        <v>0</v>
      </c>
      <c r="O207" s="351">
        <f t="shared" si="17"/>
        <v>0</v>
      </c>
      <c r="P207" s="392"/>
    </row>
    <row r="208" spans="1:16">
      <c r="A208" s="345">
        <v>20130624</v>
      </c>
      <c r="B208" s="352" t="s">
        <v>3682</v>
      </c>
      <c r="C208" s="352" t="s">
        <v>2739</v>
      </c>
      <c r="E208" s="345">
        <v>91200</v>
      </c>
      <c r="F208" s="345">
        <v>4560</v>
      </c>
      <c r="G208" s="345">
        <v>95760</v>
      </c>
      <c r="H208" s="377" t="s">
        <v>1276</v>
      </c>
      <c r="I208" s="343" t="s">
        <v>3750</v>
      </c>
      <c r="J208" s="350">
        <v>95760</v>
      </c>
      <c r="M208" s="350">
        <f t="shared" si="16"/>
        <v>95760</v>
      </c>
      <c r="O208" s="351">
        <f t="shared" si="17"/>
        <v>0</v>
      </c>
      <c r="P208" s="378" t="s">
        <v>1088</v>
      </c>
    </row>
    <row r="209" spans="1:16">
      <c r="A209" s="345">
        <v>20130626</v>
      </c>
      <c r="B209" s="352" t="s">
        <v>3683</v>
      </c>
      <c r="C209" s="352" t="s">
        <v>1884</v>
      </c>
      <c r="E209" s="345">
        <v>108000</v>
      </c>
      <c r="F209" s="345">
        <v>5400</v>
      </c>
      <c r="G209" s="345">
        <v>113400</v>
      </c>
      <c r="H209" s="377" t="s">
        <v>1276</v>
      </c>
      <c r="I209" s="343" t="s">
        <v>3751</v>
      </c>
      <c r="J209" s="350">
        <v>113400</v>
      </c>
      <c r="M209" s="350">
        <f t="shared" si="16"/>
        <v>113400</v>
      </c>
      <c r="O209" s="351">
        <f t="shared" si="17"/>
        <v>0</v>
      </c>
      <c r="P209" s="378" t="s">
        <v>1074</v>
      </c>
    </row>
    <row r="210" spans="1:16">
      <c r="A210" s="345">
        <v>20130723</v>
      </c>
      <c r="B210" s="352" t="s">
        <v>3684</v>
      </c>
      <c r="C210" s="352" t="s">
        <v>2041</v>
      </c>
      <c r="E210" s="345">
        <v>108000</v>
      </c>
      <c r="F210" s="345">
        <v>5400</v>
      </c>
      <c r="G210" s="345">
        <v>113400</v>
      </c>
      <c r="H210" s="377" t="s">
        <v>1276</v>
      </c>
      <c r="I210" s="343" t="s">
        <v>3752</v>
      </c>
      <c r="J210" s="350">
        <v>113400</v>
      </c>
      <c r="M210" s="350">
        <f t="shared" si="16"/>
        <v>113400</v>
      </c>
      <c r="O210" s="351">
        <f t="shared" si="17"/>
        <v>0</v>
      </c>
      <c r="P210" s="378" t="s">
        <v>1102</v>
      </c>
    </row>
    <row r="211" spans="1:16">
      <c r="A211" s="345">
        <v>20130724</v>
      </c>
      <c r="B211" s="352" t="s">
        <v>3685</v>
      </c>
      <c r="C211" s="352" t="s">
        <v>2421</v>
      </c>
      <c r="E211" s="345">
        <v>12600</v>
      </c>
      <c r="F211" s="345">
        <v>630</v>
      </c>
      <c r="G211" s="345">
        <v>13230</v>
      </c>
      <c r="H211" s="377" t="s">
        <v>904</v>
      </c>
      <c r="I211" s="343" t="s">
        <v>634</v>
      </c>
      <c r="L211" s="390">
        <v>13220</v>
      </c>
      <c r="M211" s="350">
        <f t="shared" si="16"/>
        <v>13220</v>
      </c>
      <c r="N211" s="351">
        <v>10</v>
      </c>
      <c r="O211" s="351">
        <f t="shared" si="17"/>
        <v>0</v>
      </c>
      <c r="P211" s="378" t="s">
        <v>1084</v>
      </c>
    </row>
    <row r="212" spans="1:16">
      <c r="A212" s="345">
        <v>20130726</v>
      </c>
      <c r="B212" s="352" t="s">
        <v>3686</v>
      </c>
      <c r="C212" s="352" t="s">
        <v>2060</v>
      </c>
      <c r="E212" s="345">
        <v>13500</v>
      </c>
      <c r="F212" s="345">
        <v>675</v>
      </c>
      <c r="G212" s="345">
        <v>14175</v>
      </c>
      <c r="H212" s="377" t="s">
        <v>904</v>
      </c>
      <c r="I212" s="343" t="s">
        <v>690</v>
      </c>
      <c r="L212" s="390">
        <v>14175</v>
      </c>
      <c r="M212" s="350">
        <f t="shared" si="16"/>
        <v>14175</v>
      </c>
      <c r="O212" s="351">
        <f t="shared" si="17"/>
        <v>0</v>
      </c>
      <c r="P212" s="378" t="s">
        <v>1099</v>
      </c>
    </row>
    <row r="213" spans="1:16">
      <c r="A213" s="345">
        <v>20130808</v>
      </c>
      <c r="B213" s="352" t="s">
        <v>3687</v>
      </c>
      <c r="C213" s="352" t="s">
        <v>1300</v>
      </c>
      <c r="E213" s="345">
        <v>96000</v>
      </c>
      <c r="F213" s="345">
        <v>4800</v>
      </c>
      <c r="G213" s="345">
        <v>100800</v>
      </c>
      <c r="H213" s="377" t="s">
        <v>1276</v>
      </c>
      <c r="I213" s="343" t="s">
        <v>3753</v>
      </c>
      <c r="J213" s="350">
        <v>100800</v>
      </c>
      <c r="M213" s="350">
        <f t="shared" si="16"/>
        <v>100800</v>
      </c>
      <c r="O213" s="351">
        <f t="shared" si="17"/>
        <v>0</v>
      </c>
      <c r="P213" s="378" t="s">
        <v>3688</v>
      </c>
    </row>
    <row r="214" spans="1:16">
      <c r="A214" s="345">
        <v>20130812</v>
      </c>
      <c r="B214" s="352" t="s">
        <v>3689</v>
      </c>
      <c r="C214" s="352" t="s">
        <v>1013</v>
      </c>
      <c r="E214" s="345">
        <v>19500</v>
      </c>
      <c r="F214" s="345">
        <v>975</v>
      </c>
      <c r="G214" s="345">
        <v>20475</v>
      </c>
      <c r="H214" s="377" t="s">
        <v>1112</v>
      </c>
      <c r="I214" s="350">
        <v>618</v>
      </c>
      <c r="K214" s="350">
        <v>20475</v>
      </c>
      <c r="M214" s="350">
        <f t="shared" si="16"/>
        <v>20475</v>
      </c>
      <c r="O214" s="351">
        <f t="shared" si="17"/>
        <v>0</v>
      </c>
      <c r="P214" s="378" t="s">
        <v>1853</v>
      </c>
    </row>
    <row r="215" spans="1:16">
      <c r="A215" s="345">
        <v>20130812</v>
      </c>
      <c r="B215" s="352" t="s">
        <v>3690</v>
      </c>
      <c r="C215" s="352" t="s">
        <v>1016</v>
      </c>
      <c r="E215" s="345">
        <v>19500</v>
      </c>
      <c r="F215" s="345">
        <v>975</v>
      </c>
      <c r="G215" s="345">
        <v>20475</v>
      </c>
      <c r="H215" s="377" t="s">
        <v>1112</v>
      </c>
      <c r="I215" s="350">
        <v>626</v>
      </c>
      <c r="K215" s="350">
        <v>20475</v>
      </c>
      <c r="M215" s="350">
        <f t="shared" si="16"/>
        <v>20475</v>
      </c>
      <c r="O215" s="351">
        <f t="shared" si="17"/>
        <v>0</v>
      </c>
      <c r="P215" s="378" t="s">
        <v>1854</v>
      </c>
    </row>
    <row r="216" spans="1:16">
      <c r="A216" s="345">
        <v>20130812</v>
      </c>
      <c r="B216" s="352" t="s">
        <v>3691</v>
      </c>
      <c r="C216" s="352" t="s">
        <v>3825</v>
      </c>
      <c r="E216" s="345">
        <v>13500</v>
      </c>
      <c r="F216" s="345">
        <v>675</v>
      </c>
      <c r="G216" s="345">
        <v>14175</v>
      </c>
      <c r="H216" s="377" t="s">
        <v>2780</v>
      </c>
      <c r="I216" s="343" t="s">
        <v>2234</v>
      </c>
      <c r="L216" s="390">
        <v>14145</v>
      </c>
      <c r="M216" s="350">
        <f t="shared" si="16"/>
        <v>14145</v>
      </c>
      <c r="N216" s="351">
        <v>30</v>
      </c>
      <c r="O216" s="351">
        <f t="shared" si="17"/>
        <v>0</v>
      </c>
      <c r="P216" s="378" t="s">
        <v>1072</v>
      </c>
    </row>
    <row r="217" spans="1:16">
      <c r="A217" s="345">
        <v>20130812</v>
      </c>
      <c r="B217" s="352" t="s">
        <v>3692</v>
      </c>
      <c r="C217" s="352" t="s">
        <v>1232</v>
      </c>
      <c r="E217" s="345">
        <v>15600</v>
      </c>
      <c r="F217" s="345">
        <v>780</v>
      </c>
      <c r="G217" s="345">
        <v>16380</v>
      </c>
      <c r="H217" s="377" t="s">
        <v>3693</v>
      </c>
      <c r="I217" s="350">
        <v>741</v>
      </c>
      <c r="J217" s="350">
        <v>16380</v>
      </c>
      <c r="M217" s="350">
        <f t="shared" si="16"/>
        <v>16380</v>
      </c>
      <c r="O217" s="351">
        <f t="shared" si="17"/>
        <v>0</v>
      </c>
      <c r="P217" s="378" t="s">
        <v>1080</v>
      </c>
    </row>
    <row r="218" spans="1:16">
      <c r="A218" s="345">
        <v>20130814</v>
      </c>
      <c r="B218" s="352" t="s">
        <v>3694</v>
      </c>
      <c r="C218" s="352" t="s">
        <v>701</v>
      </c>
      <c r="E218" s="345">
        <v>19500</v>
      </c>
      <c r="F218" s="345">
        <v>975</v>
      </c>
      <c r="G218" s="345">
        <v>20475</v>
      </c>
      <c r="H218" s="377" t="s">
        <v>904</v>
      </c>
      <c r="I218" s="350">
        <v>733</v>
      </c>
      <c r="J218" s="350">
        <v>20475</v>
      </c>
      <c r="M218" s="350">
        <f t="shared" si="16"/>
        <v>20475</v>
      </c>
      <c r="O218" s="351">
        <f t="shared" si="17"/>
        <v>0</v>
      </c>
      <c r="P218" s="378" t="s">
        <v>3695</v>
      </c>
    </row>
    <row r="219" spans="1:16">
      <c r="A219" s="345">
        <v>20130905</v>
      </c>
      <c r="B219" s="352" t="s">
        <v>3696</v>
      </c>
      <c r="C219" s="352" t="s">
        <v>1532</v>
      </c>
      <c r="E219" s="345">
        <v>12857</v>
      </c>
      <c r="F219" s="345">
        <v>643</v>
      </c>
      <c r="G219" s="345">
        <v>13500</v>
      </c>
      <c r="H219" s="377" t="s">
        <v>2780</v>
      </c>
      <c r="I219" s="343" t="s">
        <v>537</v>
      </c>
      <c r="L219" s="390">
        <v>13485</v>
      </c>
      <c r="M219" s="350">
        <f t="shared" si="16"/>
        <v>13485</v>
      </c>
      <c r="N219" s="351">
        <v>15</v>
      </c>
      <c r="O219" s="351">
        <f t="shared" si="17"/>
        <v>0</v>
      </c>
      <c r="P219" s="378" t="s">
        <v>1097</v>
      </c>
    </row>
    <row r="220" spans="1:16">
      <c r="A220" s="345">
        <v>20131003</v>
      </c>
      <c r="B220" s="352" t="s">
        <v>3697</v>
      </c>
      <c r="C220" s="352" t="s">
        <v>1307</v>
      </c>
      <c r="E220" s="345">
        <v>108000</v>
      </c>
      <c r="F220" s="345">
        <v>5400</v>
      </c>
      <c r="G220" s="345">
        <v>113400</v>
      </c>
      <c r="H220" s="377" t="s">
        <v>1276</v>
      </c>
      <c r="I220" s="343" t="s">
        <v>3754</v>
      </c>
      <c r="J220" s="350">
        <v>113400</v>
      </c>
      <c r="M220" s="350">
        <f t="shared" si="16"/>
        <v>113400</v>
      </c>
      <c r="O220" s="351">
        <f t="shared" si="17"/>
        <v>0</v>
      </c>
      <c r="P220" s="378" t="s">
        <v>3698</v>
      </c>
    </row>
    <row r="221" spans="1:16">
      <c r="B221" s="352" t="s">
        <v>3699</v>
      </c>
      <c r="D221" s="254" t="s">
        <v>1235</v>
      </c>
      <c r="H221" s="379"/>
      <c r="M221" s="350">
        <f t="shared" si="16"/>
        <v>0</v>
      </c>
      <c r="O221" s="351">
        <f t="shared" si="17"/>
        <v>0</v>
      </c>
      <c r="P221" s="392"/>
    </row>
    <row r="222" spans="1:16">
      <c r="A222" s="345">
        <v>20131008</v>
      </c>
      <c r="B222" s="352" t="s">
        <v>3700</v>
      </c>
      <c r="C222" s="352" t="s">
        <v>701</v>
      </c>
      <c r="E222" s="345">
        <v>3000</v>
      </c>
      <c r="F222" s="345">
        <v>150</v>
      </c>
      <c r="G222" s="345">
        <v>3150</v>
      </c>
      <c r="H222" s="377" t="s">
        <v>904</v>
      </c>
      <c r="I222" s="350">
        <v>751</v>
      </c>
      <c r="J222" s="350">
        <v>3150</v>
      </c>
      <c r="M222" s="350">
        <f t="shared" si="16"/>
        <v>3150</v>
      </c>
      <c r="O222" s="351">
        <f t="shared" si="17"/>
        <v>0</v>
      </c>
      <c r="P222" s="378" t="s">
        <v>3695</v>
      </c>
    </row>
    <row r="223" spans="1:16">
      <c r="A223" s="345">
        <v>20131008</v>
      </c>
      <c r="B223" s="352" t="s">
        <v>3701</v>
      </c>
      <c r="C223" s="352" t="s">
        <v>1016</v>
      </c>
      <c r="E223" s="345">
        <v>3000</v>
      </c>
      <c r="F223" s="345">
        <v>150</v>
      </c>
      <c r="G223" s="345">
        <v>3150</v>
      </c>
      <c r="H223" s="377" t="s">
        <v>904</v>
      </c>
      <c r="I223" s="343" t="s">
        <v>1061</v>
      </c>
      <c r="L223" s="390">
        <v>3150</v>
      </c>
      <c r="M223" s="350">
        <f t="shared" si="16"/>
        <v>3150</v>
      </c>
      <c r="O223" s="351">
        <f t="shared" si="17"/>
        <v>0</v>
      </c>
      <c r="P223" s="378" t="s">
        <v>1854</v>
      </c>
    </row>
    <row r="224" spans="1:16">
      <c r="A224" s="345">
        <v>20131008</v>
      </c>
      <c r="B224" s="352" t="s">
        <v>3702</v>
      </c>
      <c r="C224" s="352" t="s">
        <v>1013</v>
      </c>
      <c r="E224" s="345">
        <v>3000</v>
      </c>
      <c r="F224" s="345">
        <v>150</v>
      </c>
      <c r="G224" s="345">
        <v>3150</v>
      </c>
      <c r="H224" s="377" t="s">
        <v>904</v>
      </c>
      <c r="I224" s="343" t="s">
        <v>734</v>
      </c>
      <c r="L224" s="390">
        <v>3150</v>
      </c>
      <c r="M224" s="350">
        <f t="shared" si="16"/>
        <v>3150</v>
      </c>
      <c r="O224" s="351">
        <f t="shared" si="17"/>
        <v>0</v>
      </c>
      <c r="P224" s="378" t="s">
        <v>1853</v>
      </c>
    </row>
    <row r="225" spans="1:16">
      <c r="A225" s="345">
        <v>20131011</v>
      </c>
      <c r="B225" s="352" t="s">
        <v>3703</v>
      </c>
      <c r="C225" s="352" t="s">
        <v>3825</v>
      </c>
      <c r="E225" s="345">
        <v>13500</v>
      </c>
      <c r="F225" s="345">
        <v>675</v>
      </c>
      <c r="G225" s="345">
        <v>14175</v>
      </c>
      <c r="H225" s="350">
        <v>4</v>
      </c>
      <c r="I225" s="377" t="s">
        <v>2236</v>
      </c>
      <c r="L225" s="390">
        <v>14145</v>
      </c>
      <c r="M225" s="350">
        <f t="shared" si="16"/>
        <v>14145</v>
      </c>
      <c r="N225" s="351">
        <v>30</v>
      </c>
      <c r="O225" s="351">
        <f t="shared" si="17"/>
        <v>0</v>
      </c>
      <c r="P225" s="378" t="s">
        <v>1072</v>
      </c>
    </row>
    <row r="226" spans="1:16">
      <c r="A226" s="345">
        <v>20131011</v>
      </c>
      <c r="B226" s="352" t="s">
        <v>3704</v>
      </c>
      <c r="C226" s="352" t="s">
        <v>2421</v>
      </c>
      <c r="E226" s="345">
        <v>12600</v>
      </c>
      <c r="F226" s="345">
        <v>630</v>
      </c>
      <c r="G226" s="345">
        <v>13230</v>
      </c>
      <c r="H226" s="350">
        <v>2</v>
      </c>
      <c r="I226" s="377" t="s">
        <v>749</v>
      </c>
      <c r="L226" s="390">
        <v>13220</v>
      </c>
      <c r="M226" s="350">
        <f t="shared" si="16"/>
        <v>13220</v>
      </c>
      <c r="N226" s="351">
        <v>10</v>
      </c>
      <c r="O226" s="351">
        <f t="shared" si="17"/>
        <v>0</v>
      </c>
      <c r="P226" s="378" t="s">
        <v>1084</v>
      </c>
    </row>
    <row r="227" spans="1:16">
      <c r="A227" s="345">
        <v>20131011</v>
      </c>
      <c r="B227" s="352" t="s">
        <v>3705</v>
      </c>
      <c r="C227" s="352" t="s">
        <v>2060</v>
      </c>
      <c r="E227" s="345">
        <v>13500</v>
      </c>
      <c r="F227" s="345">
        <v>675</v>
      </c>
      <c r="G227" s="345">
        <v>14175</v>
      </c>
      <c r="H227" s="350">
        <v>2</v>
      </c>
      <c r="I227" s="377" t="s">
        <v>730</v>
      </c>
      <c r="L227" s="390">
        <v>14175</v>
      </c>
      <c r="M227" s="350">
        <f t="shared" si="16"/>
        <v>14175</v>
      </c>
      <c r="O227" s="351">
        <f t="shared" si="17"/>
        <v>0</v>
      </c>
      <c r="P227" s="378" t="s">
        <v>1099</v>
      </c>
    </row>
    <row r="228" spans="1:16">
      <c r="A228" s="345">
        <v>20131014</v>
      </c>
      <c r="B228" s="352" t="s">
        <v>3706</v>
      </c>
      <c r="C228" s="352" t="s">
        <v>1013</v>
      </c>
      <c r="E228" s="345">
        <v>72000</v>
      </c>
      <c r="F228" s="345">
        <v>3600</v>
      </c>
      <c r="G228" s="345">
        <v>75600</v>
      </c>
      <c r="H228" s="350">
        <v>1</v>
      </c>
      <c r="I228" s="377" t="s">
        <v>1061</v>
      </c>
      <c r="L228" s="390">
        <v>75600</v>
      </c>
      <c r="M228" s="350">
        <f t="shared" si="16"/>
        <v>75600</v>
      </c>
      <c r="O228" s="351">
        <f t="shared" si="17"/>
        <v>0</v>
      </c>
      <c r="P228" s="378" t="s">
        <v>1853</v>
      </c>
    </row>
    <row r="229" spans="1:16">
      <c r="A229" s="345">
        <v>20131014</v>
      </c>
      <c r="B229" s="352" t="s">
        <v>3707</v>
      </c>
      <c r="C229" s="352" t="s">
        <v>1016</v>
      </c>
      <c r="E229" s="345">
        <v>72000</v>
      </c>
      <c r="F229" s="345">
        <v>3600</v>
      </c>
      <c r="G229" s="345">
        <v>75600</v>
      </c>
      <c r="H229" s="350">
        <v>1</v>
      </c>
      <c r="I229" s="377" t="s">
        <v>1061</v>
      </c>
      <c r="L229" s="390">
        <v>75600</v>
      </c>
      <c r="M229" s="350">
        <f t="shared" si="16"/>
        <v>75600</v>
      </c>
      <c r="O229" s="351">
        <f t="shared" si="17"/>
        <v>0</v>
      </c>
      <c r="P229" s="378" t="s">
        <v>1854</v>
      </c>
    </row>
    <row r="230" spans="1:16">
      <c r="A230" s="345">
        <v>20131014</v>
      </c>
      <c r="B230" s="352" t="s">
        <v>3708</v>
      </c>
      <c r="C230" s="352" t="s">
        <v>747</v>
      </c>
      <c r="E230" s="345">
        <v>40000</v>
      </c>
      <c r="F230" s="345">
        <v>2000</v>
      </c>
      <c r="G230" s="345">
        <v>42000</v>
      </c>
      <c r="H230" s="350">
        <v>1</v>
      </c>
      <c r="I230" s="377" t="s">
        <v>1061</v>
      </c>
      <c r="L230" s="390">
        <v>42000</v>
      </c>
      <c r="M230" s="350">
        <f t="shared" si="16"/>
        <v>42000</v>
      </c>
      <c r="O230" s="351">
        <f t="shared" si="17"/>
        <v>0</v>
      </c>
      <c r="P230" s="378" t="s">
        <v>3709</v>
      </c>
    </row>
    <row r="231" spans="1:16">
      <c r="A231" s="345">
        <v>20131014</v>
      </c>
      <c r="B231" s="352" t="s">
        <v>3710</v>
      </c>
      <c r="C231" s="352" t="s">
        <v>701</v>
      </c>
      <c r="E231" s="345">
        <v>80000</v>
      </c>
      <c r="F231" s="345">
        <v>4000</v>
      </c>
      <c r="G231" s="345">
        <v>84000</v>
      </c>
      <c r="H231" s="377" t="s">
        <v>904</v>
      </c>
      <c r="I231" s="350">
        <v>750</v>
      </c>
      <c r="J231" s="350">
        <v>84000</v>
      </c>
      <c r="M231" s="350">
        <f t="shared" si="16"/>
        <v>84000</v>
      </c>
      <c r="O231" s="351">
        <f t="shared" si="17"/>
        <v>0</v>
      </c>
      <c r="P231" s="378" t="s">
        <v>3695</v>
      </c>
    </row>
    <row r="232" spans="1:16">
      <c r="A232" s="345">
        <v>20131106</v>
      </c>
      <c r="B232" s="352" t="s">
        <v>3711</v>
      </c>
      <c r="C232" s="352" t="s">
        <v>1013</v>
      </c>
      <c r="E232" s="345">
        <v>19500</v>
      </c>
      <c r="F232" s="345">
        <v>975</v>
      </c>
      <c r="G232" s="345">
        <v>20475</v>
      </c>
      <c r="H232" s="377" t="s">
        <v>1077</v>
      </c>
      <c r="I232" s="350">
        <v>619</v>
      </c>
      <c r="K232" s="350">
        <v>20475</v>
      </c>
      <c r="M232" s="350">
        <f t="shared" si="16"/>
        <v>20475</v>
      </c>
      <c r="O232" s="351">
        <f t="shared" si="17"/>
        <v>0</v>
      </c>
      <c r="P232" s="378" t="s">
        <v>1853</v>
      </c>
    </row>
    <row r="233" spans="1:16">
      <c r="A233" s="345">
        <v>20131106</v>
      </c>
      <c r="B233" s="352" t="s">
        <v>3712</v>
      </c>
      <c r="C233" s="352" t="s">
        <v>1016</v>
      </c>
      <c r="E233" s="345">
        <v>19500</v>
      </c>
      <c r="F233" s="345">
        <v>975</v>
      </c>
      <c r="G233" s="345">
        <v>20475</v>
      </c>
      <c r="H233" s="377" t="s">
        <v>1077</v>
      </c>
      <c r="I233" s="350">
        <v>627</v>
      </c>
      <c r="K233" s="350">
        <v>20475</v>
      </c>
      <c r="M233" s="350">
        <f t="shared" si="16"/>
        <v>20475</v>
      </c>
      <c r="O233" s="351">
        <f t="shared" si="17"/>
        <v>0</v>
      </c>
      <c r="P233" s="378" t="s">
        <v>1854</v>
      </c>
    </row>
    <row r="234" spans="1:16">
      <c r="A234" s="345">
        <v>20131106</v>
      </c>
      <c r="B234" s="352" t="s">
        <v>3713</v>
      </c>
      <c r="C234" s="352" t="s">
        <v>701</v>
      </c>
      <c r="E234" s="345">
        <v>19500</v>
      </c>
      <c r="F234" s="345">
        <v>975</v>
      </c>
      <c r="G234" s="345">
        <v>20475</v>
      </c>
      <c r="H234" s="377" t="s">
        <v>905</v>
      </c>
      <c r="I234" s="350">
        <v>734</v>
      </c>
      <c r="J234" s="350">
        <v>20475</v>
      </c>
      <c r="M234" s="350">
        <f t="shared" si="16"/>
        <v>20475</v>
      </c>
      <c r="O234" s="351">
        <f t="shared" si="17"/>
        <v>0</v>
      </c>
      <c r="P234" s="378" t="s">
        <v>3695</v>
      </c>
    </row>
    <row r="235" spans="1:16">
      <c r="A235" s="345">
        <v>20131106</v>
      </c>
      <c r="B235" s="352" t="s">
        <v>3714</v>
      </c>
      <c r="C235" s="352" t="s">
        <v>1232</v>
      </c>
      <c r="E235" s="345">
        <v>15600</v>
      </c>
      <c r="F235" s="345">
        <v>780</v>
      </c>
      <c r="G235" s="345">
        <v>16380</v>
      </c>
      <c r="H235" s="377" t="s">
        <v>3715</v>
      </c>
      <c r="I235" s="350">
        <v>756</v>
      </c>
      <c r="J235" s="350">
        <v>16380</v>
      </c>
      <c r="M235" s="350">
        <f t="shared" si="16"/>
        <v>16380</v>
      </c>
      <c r="O235" s="351">
        <f t="shared" si="17"/>
        <v>0</v>
      </c>
      <c r="P235" s="378" t="s">
        <v>1080</v>
      </c>
    </row>
    <row r="236" spans="1:16">
      <c r="A236" s="345">
        <v>20131106</v>
      </c>
      <c r="B236" s="352" t="s">
        <v>3716</v>
      </c>
      <c r="C236" s="352" t="s">
        <v>1270</v>
      </c>
      <c r="E236" s="345">
        <v>19500</v>
      </c>
      <c r="F236" s="345">
        <v>975</v>
      </c>
      <c r="G236" s="345">
        <v>20475</v>
      </c>
      <c r="H236" s="377" t="s">
        <v>1077</v>
      </c>
      <c r="I236" s="350">
        <v>752</v>
      </c>
      <c r="J236" s="350">
        <v>20475</v>
      </c>
      <c r="M236" s="350">
        <f t="shared" si="16"/>
        <v>20475</v>
      </c>
      <c r="O236" s="351">
        <f t="shared" si="17"/>
        <v>0</v>
      </c>
      <c r="P236" s="378" t="s">
        <v>1130</v>
      </c>
    </row>
    <row r="237" spans="1:16">
      <c r="A237" s="345">
        <v>20131106</v>
      </c>
      <c r="B237" s="352" t="s">
        <v>3717</v>
      </c>
      <c r="C237" s="352" t="s">
        <v>1270</v>
      </c>
      <c r="E237" s="345">
        <v>19500</v>
      </c>
      <c r="F237" s="345">
        <v>975</v>
      </c>
      <c r="G237" s="345">
        <v>20475</v>
      </c>
      <c r="H237" s="377" t="s">
        <v>1091</v>
      </c>
      <c r="I237" s="350">
        <v>753</v>
      </c>
      <c r="J237" s="350">
        <v>20475</v>
      </c>
      <c r="M237" s="350">
        <f t="shared" si="16"/>
        <v>20475</v>
      </c>
      <c r="O237" s="351">
        <f t="shared" si="17"/>
        <v>0</v>
      </c>
      <c r="P237" s="378" t="s">
        <v>1130</v>
      </c>
    </row>
    <row r="238" spans="1:16">
      <c r="A238" s="345">
        <v>20131106</v>
      </c>
      <c r="B238" s="352" t="s">
        <v>3718</v>
      </c>
      <c r="C238" s="352" t="s">
        <v>1270</v>
      </c>
      <c r="E238" s="345">
        <v>19500</v>
      </c>
      <c r="F238" s="345">
        <v>975</v>
      </c>
      <c r="G238" s="345">
        <v>20475</v>
      </c>
      <c r="H238" s="377" t="s">
        <v>1131</v>
      </c>
      <c r="I238" s="350">
        <v>754</v>
      </c>
      <c r="J238" s="350">
        <v>20475</v>
      </c>
      <c r="M238" s="350">
        <f t="shared" si="16"/>
        <v>20475</v>
      </c>
      <c r="O238" s="351">
        <f t="shared" si="17"/>
        <v>0</v>
      </c>
      <c r="P238" s="378" t="s">
        <v>1130</v>
      </c>
    </row>
    <row r="239" spans="1:16">
      <c r="A239" s="345">
        <v>20131106</v>
      </c>
      <c r="B239" s="352" t="s">
        <v>3719</v>
      </c>
      <c r="C239" s="352" t="s">
        <v>1270</v>
      </c>
      <c r="E239" s="345">
        <v>19500</v>
      </c>
      <c r="F239" s="345">
        <v>975</v>
      </c>
      <c r="G239" s="345">
        <v>20475</v>
      </c>
      <c r="H239" s="377" t="s">
        <v>1132</v>
      </c>
      <c r="I239" s="350">
        <v>755</v>
      </c>
      <c r="J239" s="350">
        <v>20475</v>
      </c>
      <c r="M239" s="350">
        <f t="shared" si="16"/>
        <v>20475</v>
      </c>
      <c r="O239" s="351">
        <f t="shared" si="17"/>
        <v>0</v>
      </c>
      <c r="P239" s="378" t="s">
        <v>1130</v>
      </c>
    </row>
    <row r="240" spans="1:16">
      <c r="A240" s="345">
        <v>20131204</v>
      </c>
      <c r="B240" s="352" t="s">
        <v>3720</v>
      </c>
      <c r="C240" s="352" t="s">
        <v>2</v>
      </c>
      <c r="E240" s="345">
        <v>132000</v>
      </c>
      <c r="F240" s="345">
        <v>6600</v>
      </c>
      <c r="G240" s="345">
        <v>138600</v>
      </c>
      <c r="H240" s="377" t="s">
        <v>1276</v>
      </c>
      <c r="I240" s="343" t="s">
        <v>3040</v>
      </c>
      <c r="J240" s="350">
        <v>138600</v>
      </c>
      <c r="M240" s="350">
        <f t="shared" si="16"/>
        <v>138600</v>
      </c>
      <c r="O240" s="351">
        <f t="shared" si="17"/>
        <v>0</v>
      </c>
      <c r="P240" s="378" t="s">
        <v>1172</v>
      </c>
    </row>
    <row r="241" spans="1:17">
      <c r="A241" s="345">
        <v>20131213</v>
      </c>
      <c r="B241" s="352" t="s">
        <v>3721</v>
      </c>
      <c r="C241" s="352" t="s">
        <v>1532</v>
      </c>
      <c r="E241" s="345">
        <v>12857</v>
      </c>
      <c r="F241" s="345">
        <v>643</v>
      </c>
      <c r="G241" s="345">
        <v>13500</v>
      </c>
      <c r="H241" s="377" t="s">
        <v>1112</v>
      </c>
      <c r="I241" s="343" t="s">
        <v>3041</v>
      </c>
      <c r="L241" s="350">
        <v>13485</v>
      </c>
      <c r="M241" s="350">
        <f t="shared" si="16"/>
        <v>13485</v>
      </c>
      <c r="N241" s="351">
        <v>15</v>
      </c>
      <c r="O241" s="351">
        <f t="shared" si="17"/>
        <v>0</v>
      </c>
      <c r="P241" s="378" t="s">
        <v>1097</v>
      </c>
    </row>
    <row r="242" spans="1:17">
      <c r="A242" s="345">
        <v>20131225</v>
      </c>
      <c r="B242" s="352" t="s">
        <v>3722</v>
      </c>
      <c r="C242" s="352" t="s">
        <v>747</v>
      </c>
      <c r="E242" s="345">
        <v>40000</v>
      </c>
      <c r="F242" s="345">
        <v>2000</v>
      </c>
      <c r="G242" s="345">
        <v>42000</v>
      </c>
      <c r="H242" s="377"/>
      <c r="I242" s="343" t="s">
        <v>3042</v>
      </c>
      <c r="L242" s="350">
        <v>42000</v>
      </c>
      <c r="M242" s="350">
        <f t="shared" si="16"/>
        <v>42000</v>
      </c>
      <c r="O242" s="351">
        <f t="shared" si="17"/>
        <v>0</v>
      </c>
      <c r="P242" s="378" t="s">
        <v>3709</v>
      </c>
    </row>
    <row r="243" spans="1:17">
      <c r="A243" s="345">
        <v>20131226</v>
      </c>
      <c r="B243" s="352" t="s">
        <v>3723</v>
      </c>
      <c r="C243" s="352" t="s">
        <v>747</v>
      </c>
      <c r="E243" s="345">
        <v>20000</v>
      </c>
      <c r="F243" s="345">
        <v>1000</v>
      </c>
      <c r="G243" s="345">
        <v>21000</v>
      </c>
      <c r="H243" s="379"/>
      <c r="I243" s="343" t="s">
        <v>3043</v>
      </c>
      <c r="L243" s="350">
        <v>21000</v>
      </c>
      <c r="M243" s="350">
        <f t="shared" si="16"/>
        <v>21000</v>
      </c>
      <c r="O243" s="351">
        <f t="shared" si="17"/>
        <v>0</v>
      </c>
      <c r="P243" s="378" t="s">
        <v>3709</v>
      </c>
    </row>
    <row r="247" spans="1:17" s="347" customFormat="1">
      <c r="A247" s="346" t="s">
        <v>3044</v>
      </c>
      <c r="D247" s="348" t="s">
        <v>2377</v>
      </c>
      <c r="E247" s="376">
        <f>SUM(E248:E324)</f>
        <v>3012433</v>
      </c>
      <c r="F247" s="376">
        <f>SUM(F248:F324)</f>
        <v>150622</v>
      </c>
      <c r="G247" s="376">
        <f>SUM(G248:G324)</f>
        <v>3163055</v>
      </c>
      <c r="H247" s="349"/>
      <c r="I247" s="383"/>
      <c r="J247" s="376">
        <f t="shared" ref="J247:O247" si="18">SUM(J248:J324)</f>
        <v>2138340</v>
      </c>
      <c r="K247" s="376">
        <f t="shared" si="18"/>
        <v>245700</v>
      </c>
      <c r="L247" s="376">
        <f t="shared" si="18"/>
        <v>821315</v>
      </c>
      <c r="M247" s="376">
        <f t="shared" si="18"/>
        <v>3205355</v>
      </c>
      <c r="N247" s="376">
        <f t="shared" si="18"/>
        <v>225</v>
      </c>
      <c r="O247" s="376">
        <f t="shared" si="18"/>
        <v>0</v>
      </c>
      <c r="P247" s="391"/>
    </row>
    <row r="248" spans="1:17">
      <c r="A248" s="183">
        <v>20140107</v>
      </c>
      <c r="B248" s="183" t="s">
        <v>3045</v>
      </c>
      <c r="C248" s="183" t="s">
        <v>3825</v>
      </c>
      <c r="E248" s="183">
        <v>13500</v>
      </c>
      <c r="F248" s="183">
        <v>675</v>
      </c>
      <c r="G248" s="393">
        <f t="shared" ref="G248:G257" si="19">E248+F248</f>
        <v>14175</v>
      </c>
      <c r="H248" s="350">
        <v>5</v>
      </c>
      <c r="I248" s="343" t="s">
        <v>3046</v>
      </c>
      <c r="L248" s="350">
        <v>14145</v>
      </c>
      <c r="M248" s="350">
        <f t="shared" ref="M248:M311" si="20">J248+K248+L248</f>
        <v>14145</v>
      </c>
      <c r="N248" s="351">
        <v>30</v>
      </c>
      <c r="O248" s="351">
        <f t="shared" ref="O248:O311" si="21">G248-M248-N248</f>
        <v>0</v>
      </c>
      <c r="P248" s="394" t="s">
        <v>1072</v>
      </c>
    </row>
    <row r="249" spans="1:17">
      <c r="A249" s="183">
        <v>20140107</v>
      </c>
      <c r="B249" s="183" t="s">
        <v>3047</v>
      </c>
      <c r="C249" s="183" t="s">
        <v>2421</v>
      </c>
      <c r="E249" s="183">
        <v>12600</v>
      </c>
      <c r="F249" s="183">
        <v>630</v>
      </c>
      <c r="G249" s="393">
        <f t="shared" si="19"/>
        <v>13230</v>
      </c>
      <c r="H249" s="350">
        <v>3</v>
      </c>
      <c r="I249" s="343" t="s">
        <v>3048</v>
      </c>
      <c r="L249" s="350">
        <v>13220</v>
      </c>
      <c r="M249" s="350">
        <f t="shared" si="20"/>
        <v>13220</v>
      </c>
      <c r="N249" s="351">
        <v>10</v>
      </c>
      <c r="O249" s="351">
        <f t="shared" si="21"/>
        <v>0</v>
      </c>
      <c r="P249" s="394" t="s">
        <v>1084</v>
      </c>
    </row>
    <row r="250" spans="1:17">
      <c r="A250" s="183">
        <v>20140107</v>
      </c>
      <c r="B250" s="183" t="s">
        <v>3049</v>
      </c>
      <c r="C250" s="199" t="s">
        <v>2060</v>
      </c>
      <c r="E250" s="199">
        <v>13500</v>
      </c>
      <c r="F250" s="183">
        <v>675</v>
      </c>
      <c r="G250" s="393">
        <f t="shared" si="19"/>
        <v>14175</v>
      </c>
      <c r="H250" s="350">
        <v>3</v>
      </c>
      <c r="I250" s="343" t="s">
        <v>3042</v>
      </c>
      <c r="L250" s="350">
        <v>14175</v>
      </c>
      <c r="M250" s="350">
        <f t="shared" si="20"/>
        <v>14175</v>
      </c>
      <c r="O250" s="351">
        <f t="shared" si="21"/>
        <v>0</v>
      </c>
      <c r="P250" s="394" t="s">
        <v>1099</v>
      </c>
    </row>
    <row r="251" spans="1:17">
      <c r="A251" s="183">
        <v>20140107</v>
      </c>
      <c r="B251" s="183" t="s">
        <v>3050</v>
      </c>
      <c r="C251" s="199" t="s">
        <v>1302</v>
      </c>
      <c r="E251" s="199">
        <v>91200</v>
      </c>
      <c r="F251" s="183">
        <v>4560</v>
      </c>
      <c r="G251" s="393">
        <f t="shared" si="19"/>
        <v>95760</v>
      </c>
      <c r="H251" s="377" t="s">
        <v>1276</v>
      </c>
      <c r="I251" s="343" t="s">
        <v>3051</v>
      </c>
      <c r="J251" s="350">
        <v>95760</v>
      </c>
      <c r="M251" s="350">
        <f t="shared" si="20"/>
        <v>95760</v>
      </c>
      <c r="O251" s="351">
        <f t="shared" si="21"/>
        <v>0</v>
      </c>
      <c r="P251" s="394" t="s">
        <v>1121</v>
      </c>
    </row>
    <row r="252" spans="1:17">
      <c r="A252" s="183">
        <v>20140108</v>
      </c>
      <c r="B252" s="183" t="s">
        <v>3052</v>
      </c>
      <c r="C252" s="199" t="s">
        <v>606</v>
      </c>
      <c r="E252" s="199">
        <v>102857</v>
      </c>
      <c r="F252" s="183">
        <v>5143</v>
      </c>
      <c r="G252" s="393">
        <f t="shared" si="19"/>
        <v>108000</v>
      </c>
      <c r="H252" s="377" t="s">
        <v>1276</v>
      </c>
      <c r="I252" s="343" t="s">
        <v>3053</v>
      </c>
      <c r="J252" s="350">
        <v>108000</v>
      </c>
      <c r="M252" s="350">
        <f t="shared" si="20"/>
        <v>108000</v>
      </c>
      <c r="O252" s="351">
        <f t="shared" si="21"/>
        <v>0</v>
      </c>
      <c r="P252" s="394" t="s">
        <v>3054</v>
      </c>
    </row>
    <row r="253" spans="1:17">
      <c r="A253" s="183">
        <v>20140127</v>
      </c>
      <c r="B253" s="183" t="s">
        <v>1842</v>
      </c>
      <c r="C253" s="254" t="s">
        <v>1843</v>
      </c>
      <c r="D253" s="352"/>
      <c r="E253" s="183">
        <v>-40500</v>
      </c>
      <c r="F253" s="183">
        <v>-2025</v>
      </c>
      <c r="G253" s="352">
        <f t="shared" si="19"/>
        <v>-42525</v>
      </c>
      <c r="H253" s="377" t="s">
        <v>3055</v>
      </c>
      <c r="I253" s="343"/>
      <c r="M253" s="350">
        <f t="shared" si="20"/>
        <v>0</v>
      </c>
      <c r="P253" s="381" t="s">
        <v>1845</v>
      </c>
      <c r="Q253" s="352" t="s">
        <v>3056</v>
      </c>
    </row>
    <row r="254" spans="1:17">
      <c r="A254" s="183">
        <v>20140206</v>
      </c>
      <c r="B254" s="183" t="s">
        <v>3057</v>
      </c>
      <c r="C254" s="199" t="s">
        <v>1013</v>
      </c>
      <c r="E254" s="199">
        <v>19500</v>
      </c>
      <c r="F254" s="183">
        <v>975</v>
      </c>
      <c r="G254" s="393">
        <f t="shared" si="19"/>
        <v>20475</v>
      </c>
      <c r="H254" s="350">
        <v>6</v>
      </c>
      <c r="I254" s="350">
        <v>620</v>
      </c>
      <c r="K254" s="350">
        <v>20475</v>
      </c>
      <c r="M254" s="350">
        <f t="shared" si="20"/>
        <v>20475</v>
      </c>
      <c r="O254" s="351">
        <f t="shared" si="21"/>
        <v>0</v>
      </c>
      <c r="P254" s="394" t="s">
        <v>1853</v>
      </c>
    </row>
    <row r="255" spans="1:17">
      <c r="A255" s="183">
        <v>20140206</v>
      </c>
      <c r="B255" s="183" t="s">
        <v>3058</v>
      </c>
      <c r="C255" s="199" t="s">
        <v>1016</v>
      </c>
      <c r="E255" s="199">
        <v>19500</v>
      </c>
      <c r="F255" s="183">
        <v>975</v>
      </c>
      <c r="G255" s="393">
        <f t="shared" si="19"/>
        <v>20475</v>
      </c>
      <c r="H255" s="350">
        <v>6</v>
      </c>
      <c r="I255" s="350">
        <v>628</v>
      </c>
      <c r="K255" s="350">
        <v>20475</v>
      </c>
      <c r="M255" s="350">
        <f t="shared" si="20"/>
        <v>20475</v>
      </c>
      <c r="O255" s="351">
        <f t="shared" si="21"/>
        <v>0</v>
      </c>
      <c r="P255" s="394" t="s">
        <v>1854</v>
      </c>
    </row>
    <row r="256" spans="1:17">
      <c r="A256" s="183">
        <v>20140206</v>
      </c>
      <c r="B256" s="183" t="s">
        <v>3059</v>
      </c>
      <c r="C256" s="199" t="s">
        <v>701</v>
      </c>
      <c r="E256" s="199">
        <v>19500</v>
      </c>
      <c r="F256" s="183">
        <v>975</v>
      </c>
      <c r="G256" s="393">
        <f t="shared" si="19"/>
        <v>20475</v>
      </c>
      <c r="H256" s="350">
        <v>3</v>
      </c>
      <c r="I256" s="350">
        <v>735</v>
      </c>
      <c r="K256" s="350">
        <v>20475</v>
      </c>
      <c r="M256" s="350">
        <f t="shared" si="20"/>
        <v>20475</v>
      </c>
      <c r="O256" s="351">
        <f t="shared" si="21"/>
        <v>0</v>
      </c>
      <c r="P256" s="394" t="s">
        <v>3695</v>
      </c>
    </row>
    <row r="257" spans="1:16">
      <c r="A257" s="183">
        <v>20140206</v>
      </c>
      <c r="B257" s="183" t="s">
        <v>3060</v>
      </c>
      <c r="C257" s="199" t="s">
        <v>1232</v>
      </c>
      <c r="E257" s="393">
        <v>15600</v>
      </c>
      <c r="F257" s="393">
        <v>780</v>
      </c>
      <c r="G257" s="393">
        <f t="shared" si="19"/>
        <v>16380</v>
      </c>
      <c r="H257" s="350">
        <v>12</v>
      </c>
      <c r="I257" s="350">
        <v>782</v>
      </c>
      <c r="J257" s="350">
        <v>16380</v>
      </c>
      <c r="M257" s="350">
        <f t="shared" si="20"/>
        <v>16380</v>
      </c>
      <c r="O257" s="351">
        <f t="shared" si="21"/>
        <v>0</v>
      </c>
      <c r="P257" s="394" t="s">
        <v>1080</v>
      </c>
    </row>
    <row r="258" spans="1:16">
      <c r="A258" s="183"/>
      <c r="B258" s="183" t="s">
        <v>3061</v>
      </c>
      <c r="C258" s="183"/>
      <c r="D258" s="254" t="s">
        <v>1235</v>
      </c>
      <c r="E258" s="183"/>
      <c r="F258" s="183"/>
      <c r="G258" s="393"/>
      <c r="M258" s="350">
        <f t="shared" si="20"/>
        <v>0</v>
      </c>
      <c r="O258" s="351">
        <f t="shared" si="21"/>
        <v>0</v>
      </c>
      <c r="P258" s="394"/>
    </row>
    <row r="259" spans="1:16">
      <c r="A259" s="183">
        <v>20140401</v>
      </c>
      <c r="B259" s="183" t="s">
        <v>3062</v>
      </c>
      <c r="C259" s="183" t="s">
        <v>1532</v>
      </c>
      <c r="E259" s="183">
        <v>12857</v>
      </c>
      <c r="F259" s="183">
        <v>643</v>
      </c>
      <c r="G259" s="393">
        <f>E259+F259</f>
        <v>13500</v>
      </c>
      <c r="H259" s="350">
        <v>5</v>
      </c>
      <c r="I259" s="343" t="s">
        <v>3063</v>
      </c>
      <c r="L259" s="350">
        <v>13485</v>
      </c>
      <c r="M259" s="350">
        <f t="shared" si="20"/>
        <v>13485</v>
      </c>
      <c r="N259" s="351">
        <v>15</v>
      </c>
      <c r="O259" s="351">
        <f t="shared" si="21"/>
        <v>0</v>
      </c>
      <c r="P259" s="394" t="s">
        <v>1097</v>
      </c>
    </row>
    <row r="260" spans="1:16">
      <c r="A260" s="183">
        <v>20140401</v>
      </c>
      <c r="B260" s="183" t="s">
        <v>3064</v>
      </c>
      <c r="C260" s="199" t="s">
        <v>1013</v>
      </c>
      <c r="E260" s="199">
        <v>60000</v>
      </c>
      <c r="F260" s="183">
        <v>3000</v>
      </c>
      <c r="G260" s="393">
        <f>E260+F260</f>
        <v>63000</v>
      </c>
      <c r="I260" s="343" t="s">
        <v>3065</v>
      </c>
      <c r="L260" s="350">
        <v>63000</v>
      </c>
      <c r="M260" s="350">
        <f t="shared" si="20"/>
        <v>63000</v>
      </c>
      <c r="O260" s="351">
        <f t="shared" si="21"/>
        <v>0</v>
      </c>
      <c r="P260" s="394" t="s">
        <v>1853</v>
      </c>
    </row>
    <row r="261" spans="1:16">
      <c r="A261" s="183">
        <v>20140401</v>
      </c>
      <c r="B261" s="183" t="s">
        <v>3066</v>
      </c>
      <c r="C261" s="199" t="s">
        <v>1016</v>
      </c>
      <c r="E261" s="199">
        <v>60000</v>
      </c>
      <c r="F261" s="183">
        <v>3000</v>
      </c>
      <c r="G261" s="393">
        <f>E261+F261</f>
        <v>63000</v>
      </c>
      <c r="I261" s="343" t="s">
        <v>3067</v>
      </c>
      <c r="L261" s="350">
        <v>63000</v>
      </c>
      <c r="M261" s="350">
        <f t="shared" si="20"/>
        <v>63000</v>
      </c>
      <c r="O261" s="351">
        <f t="shared" si="21"/>
        <v>0</v>
      </c>
      <c r="P261" s="394" t="s">
        <v>1854</v>
      </c>
    </row>
    <row r="262" spans="1:16">
      <c r="A262" s="183">
        <v>20140401</v>
      </c>
      <c r="B262" s="183" t="s">
        <v>3068</v>
      </c>
      <c r="C262" s="199" t="s">
        <v>1013</v>
      </c>
      <c r="E262" s="199">
        <v>40000</v>
      </c>
      <c r="F262" s="183">
        <v>2000</v>
      </c>
      <c r="G262" s="393">
        <f>E262+F262</f>
        <v>42000</v>
      </c>
      <c r="I262" s="343" t="s">
        <v>3065</v>
      </c>
      <c r="L262" s="350">
        <v>42000</v>
      </c>
      <c r="M262" s="350">
        <f t="shared" si="20"/>
        <v>42000</v>
      </c>
      <c r="O262" s="351">
        <f t="shared" si="21"/>
        <v>0</v>
      </c>
      <c r="P262" s="394" t="s">
        <v>1853</v>
      </c>
    </row>
    <row r="263" spans="1:16">
      <c r="A263" s="183">
        <v>20140401</v>
      </c>
      <c r="B263" s="183" t="s">
        <v>3069</v>
      </c>
      <c r="C263" s="199" t="s">
        <v>1016</v>
      </c>
      <c r="E263" s="199">
        <v>40000</v>
      </c>
      <c r="F263" s="183">
        <v>2000</v>
      </c>
      <c r="G263" s="393">
        <f>E263+F263</f>
        <v>42000</v>
      </c>
      <c r="I263" s="343" t="s">
        <v>3067</v>
      </c>
      <c r="L263" s="350">
        <v>42000</v>
      </c>
      <c r="M263" s="350">
        <f t="shared" si="20"/>
        <v>42000</v>
      </c>
      <c r="O263" s="351">
        <f t="shared" si="21"/>
        <v>0</v>
      </c>
      <c r="P263" s="394" t="s">
        <v>1854</v>
      </c>
    </row>
    <row r="264" spans="1:16">
      <c r="A264" s="183"/>
      <c r="B264" s="183" t="s">
        <v>3070</v>
      </c>
      <c r="C264" s="183"/>
      <c r="D264" s="254" t="s">
        <v>1235</v>
      </c>
      <c r="E264" s="199"/>
      <c r="F264" s="183"/>
      <c r="G264" s="393"/>
      <c r="M264" s="350">
        <f t="shared" si="20"/>
        <v>0</v>
      </c>
      <c r="O264" s="351">
        <f t="shared" si="21"/>
        <v>0</v>
      </c>
      <c r="P264" s="394"/>
    </row>
    <row r="265" spans="1:16">
      <c r="A265" s="183">
        <v>20140409</v>
      </c>
      <c r="B265" s="183" t="s">
        <v>3071</v>
      </c>
      <c r="C265" s="199" t="s">
        <v>1016</v>
      </c>
      <c r="E265" s="199">
        <v>19048</v>
      </c>
      <c r="F265" s="183">
        <v>952</v>
      </c>
      <c r="G265" s="393">
        <f>E265+F265</f>
        <v>20000</v>
      </c>
      <c r="I265" s="343" t="s">
        <v>3072</v>
      </c>
      <c r="L265" s="350">
        <v>20000</v>
      </c>
      <c r="M265" s="350">
        <f t="shared" si="20"/>
        <v>20000</v>
      </c>
      <c r="O265" s="351">
        <f t="shared" si="21"/>
        <v>0</v>
      </c>
      <c r="P265" s="394" t="s">
        <v>1854</v>
      </c>
    </row>
    <row r="266" spans="1:16">
      <c r="A266" s="183">
        <v>20140423</v>
      </c>
      <c r="B266" s="183" t="s">
        <v>3073</v>
      </c>
      <c r="C266" s="199" t="s">
        <v>2060</v>
      </c>
      <c r="E266" s="393">
        <v>13500</v>
      </c>
      <c r="F266" s="393">
        <v>675</v>
      </c>
      <c r="G266" s="393">
        <f>E266+F266</f>
        <v>14175</v>
      </c>
      <c r="H266" s="350">
        <v>4</v>
      </c>
      <c r="I266" s="343" t="s">
        <v>3074</v>
      </c>
      <c r="L266" s="350">
        <v>14165</v>
      </c>
      <c r="M266" s="350">
        <f t="shared" si="20"/>
        <v>14165</v>
      </c>
      <c r="N266" s="351">
        <v>10</v>
      </c>
      <c r="O266" s="351">
        <f t="shared" si="21"/>
        <v>0</v>
      </c>
      <c r="P266" s="394" t="s">
        <v>1099</v>
      </c>
    </row>
    <row r="267" spans="1:16">
      <c r="A267" s="183">
        <v>20140423</v>
      </c>
      <c r="B267" s="183" t="s">
        <v>3075</v>
      </c>
      <c r="C267" s="199" t="s">
        <v>2421</v>
      </c>
      <c r="E267" s="393">
        <v>12600</v>
      </c>
      <c r="F267" s="393">
        <v>630</v>
      </c>
      <c r="G267" s="393">
        <f>E267+F267</f>
        <v>13230</v>
      </c>
      <c r="H267" s="350">
        <v>4</v>
      </c>
      <c r="I267" s="343" t="s">
        <v>3076</v>
      </c>
      <c r="L267" s="350">
        <v>13220</v>
      </c>
      <c r="M267" s="350">
        <f t="shared" si="20"/>
        <v>13220</v>
      </c>
      <c r="N267" s="351">
        <v>10</v>
      </c>
      <c r="O267" s="351">
        <f t="shared" si="21"/>
        <v>0</v>
      </c>
      <c r="P267" s="394" t="s">
        <v>1084</v>
      </c>
    </row>
    <row r="268" spans="1:16">
      <c r="A268" s="183">
        <v>20140423</v>
      </c>
      <c r="B268" s="183" t="s">
        <v>3077</v>
      </c>
      <c r="C268" s="199" t="s">
        <v>3825</v>
      </c>
      <c r="E268" s="393">
        <v>13500</v>
      </c>
      <c r="F268" s="393">
        <v>675</v>
      </c>
      <c r="G268" s="393">
        <f>E268+F268</f>
        <v>14175</v>
      </c>
      <c r="H268" s="350">
        <v>6</v>
      </c>
      <c r="I268" s="343" t="s">
        <v>3078</v>
      </c>
      <c r="L268" s="350">
        <v>14145</v>
      </c>
      <c r="M268" s="350">
        <f t="shared" si="20"/>
        <v>14145</v>
      </c>
      <c r="N268" s="351">
        <v>30</v>
      </c>
      <c r="O268" s="351">
        <f t="shared" si="21"/>
        <v>0</v>
      </c>
      <c r="P268" s="394" t="s">
        <v>1072</v>
      </c>
    </row>
    <row r="269" spans="1:16">
      <c r="A269" s="183">
        <v>20140501</v>
      </c>
      <c r="B269" s="183" t="s">
        <v>3079</v>
      </c>
      <c r="C269" s="183" t="s">
        <v>1303</v>
      </c>
      <c r="E269" s="183">
        <v>100800</v>
      </c>
      <c r="F269" s="183">
        <v>5040</v>
      </c>
      <c r="G269" s="393">
        <v>105840</v>
      </c>
      <c r="H269" s="377" t="s">
        <v>1276</v>
      </c>
      <c r="I269" s="343" t="s">
        <v>3080</v>
      </c>
      <c r="J269" s="350">
        <v>105840</v>
      </c>
      <c r="M269" s="350">
        <f t="shared" si="20"/>
        <v>105840</v>
      </c>
      <c r="O269" s="351">
        <f t="shared" si="21"/>
        <v>0</v>
      </c>
      <c r="P269" s="394" t="s">
        <v>1153</v>
      </c>
    </row>
    <row r="270" spans="1:16">
      <c r="A270" s="183">
        <v>20140505</v>
      </c>
      <c r="B270" s="183" t="s">
        <v>3081</v>
      </c>
      <c r="C270" s="183" t="s">
        <v>944</v>
      </c>
      <c r="E270" s="183">
        <v>86400</v>
      </c>
      <c r="F270" s="183">
        <v>4320</v>
      </c>
      <c r="G270" s="393">
        <f>E270+F270</f>
        <v>90720</v>
      </c>
      <c r="H270" s="377" t="s">
        <v>3082</v>
      </c>
      <c r="I270" s="399" t="s">
        <v>4821</v>
      </c>
      <c r="L270" s="350">
        <v>90720</v>
      </c>
      <c r="M270" s="350">
        <f t="shared" si="20"/>
        <v>90720</v>
      </c>
      <c r="O270" s="362">
        <f t="shared" si="21"/>
        <v>0</v>
      </c>
      <c r="P270" s="394" t="s">
        <v>1175</v>
      </c>
    </row>
    <row r="271" spans="1:16">
      <c r="A271" s="183">
        <v>20140508</v>
      </c>
      <c r="B271" s="183" t="s">
        <v>3083</v>
      </c>
      <c r="C271" s="199" t="s">
        <v>1232</v>
      </c>
      <c r="E271" s="199">
        <v>15600</v>
      </c>
      <c r="F271" s="183">
        <v>780</v>
      </c>
      <c r="G271" s="393">
        <f>E271+F271</f>
        <v>16380</v>
      </c>
      <c r="H271" s="350">
        <v>1</v>
      </c>
      <c r="I271" s="350">
        <v>807</v>
      </c>
      <c r="J271" s="350">
        <v>16380</v>
      </c>
      <c r="M271" s="350">
        <f t="shared" si="20"/>
        <v>16380</v>
      </c>
      <c r="O271" s="351">
        <f t="shared" si="21"/>
        <v>0</v>
      </c>
      <c r="P271" s="394" t="s">
        <v>1080</v>
      </c>
    </row>
    <row r="272" spans="1:16">
      <c r="A272" s="183">
        <v>20140512</v>
      </c>
      <c r="B272" s="183" t="s">
        <v>3084</v>
      </c>
      <c r="C272" s="199" t="s">
        <v>1781</v>
      </c>
      <c r="E272" s="199">
        <v>108000</v>
      </c>
      <c r="F272" s="183">
        <v>5400</v>
      </c>
      <c r="G272" s="393">
        <f>E272+F272</f>
        <v>113400</v>
      </c>
      <c r="H272" s="377" t="s">
        <v>1276</v>
      </c>
      <c r="I272" s="343" t="s">
        <v>3085</v>
      </c>
      <c r="J272" s="350">
        <v>113400</v>
      </c>
      <c r="M272" s="350">
        <f t="shared" si="20"/>
        <v>113400</v>
      </c>
      <c r="O272" s="351">
        <f t="shared" si="21"/>
        <v>0</v>
      </c>
      <c r="P272" s="394" t="s">
        <v>1169</v>
      </c>
    </row>
    <row r="273" spans="1:16">
      <c r="A273" s="183"/>
      <c r="B273" s="183" t="s">
        <v>3086</v>
      </c>
      <c r="C273" s="183"/>
      <c r="D273" s="254" t="s">
        <v>1235</v>
      </c>
      <c r="E273" s="199"/>
      <c r="F273" s="183"/>
      <c r="G273" s="393"/>
      <c r="M273" s="350">
        <f t="shared" si="20"/>
        <v>0</v>
      </c>
      <c r="O273" s="351">
        <f t="shared" si="21"/>
        <v>0</v>
      </c>
      <c r="P273" s="394"/>
    </row>
    <row r="274" spans="1:16">
      <c r="A274" s="183"/>
      <c r="B274" s="183" t="s">
        <v>3087</v>
      </c>
      <c r="C274" s="183"/>
      <c r="D274" s="254" t="s">
        <v>1235</v>
      </c>
      <c r="E274" s="199"/>
      <c r="F274" s="183"/>
      <c r="G274" s="393"/>
      <c r="M274" s="350">
        <f t="shared" si="20"/>
        <v>0</v>
      </c>
      <c r="O274" s="351">
        <f t="shared" si="21"/>
        <v>0</v>
      </c>
      <c r="P274" s="394"/>
    </row>
    <row r="275" spans="1:16">
      <c r="A275" s="183">
        <v>20140519</v>
      </c>
      <c r="B275" s="183" t="s">
        <v>3088</v>
      </c>
      <c r="C275" s="199" t="s">
        <v>1013</v>
      </c>
      <c r="E275" s="199">
        <v>19500</v>
      </c>
      <c r="F275" s="183">
        <v>975</v>
      </c>
      <c r="G275" s="393">
        <v>20475</v>
      </c>
      <c r="H275" s="350">
        <v>7</v>
      </c>
      <c r="I275" s="350">
        <v>621</v>
      </c>
      <c r="K275" s="350">
        <v>20475</v>
      </c>
      <c r="M275" s="350">
        <f t="shared" si="20"/>
        <v>20475</v>
      </c>
      <c r="O275" s="351">
        <f t="shared" si="21"/>
        <v>0</v>
      </c>
      <c r="P275" s="394" t="s">
        <v>1853</v>
      </c>
    </row>
    <row r="276" spans="1:16">
      <c r="A276" s="183">
        <v>20140519</v>
      </c>
      <c r="B276" s="183" t="s">
        <v>3089</v>
      </c>
      <c r="C276" s="199" t="s">
        <v>1016</v>
      </c>
      <c r="E276" s="199">
        <v>19500</v>
      </c>
      <c r="F276" s="183">
        <v>975</v>
      </c>
      <c r="G276" s="393">
        <f t="shared" ref="G276:G281" si="22">E276+F276</f>
        <v>20475</v>
      </c>
      <c r="H276" s="350">
        <v>7</v>
      </c>
      <c r="I276" s="350">
        <v>629</v>
      </c>
      <c r="K276" s="350">
        <v>20475</v>
      </c>
      <c r="M276" s="350">
        <f t="shared" si="20"/>
        <v>20475</v>
      </c>
      <c r="O276" s="351">
        <f t="shared" si="21"/>
        <v>0</v>
      </c>
      <c r="P276" s="394" t="s">
        <v>1854</v>
      </c>
    </row>
    <row r="277" spans="1:16">
      <c r="A277" s="183">
        <v>20140519</v>
      </c>
      <c r="B277" s="183" t="s">
        <v>3090</v>
      </c>
      <c r="C277" s="199" t="s">
        <v>701</v>
      </c>
      <c r="E277" s="393">
        <v>19500</v>
      </c>
      <c r="F277" s="393">
        <v>975</v>
      </c>
      <c r="G277" s="393">
        <f t="shared" si="22"/>
        <v>20475</v>
      </c>
      <c r="H277" s="350">
        <v>4</v>
      </c>
      <c r="I277" s="350">
        <v>736</v>
      </c>
      <c r="K277" s="350">
        <v>20475</v>
      </c>
      <c r="M277" s="350">
        <f t="shared" si="20"/>
        <v>20475</v>
      </c>
      <c r="O277" s="351">
        <f t="shared" si="21"/>
        <v>0</v>
      </c>
      <c r="P277" s="394" t="s">
        <v>3695</v>
      </c>
    </row>
    <row r="278" spans="1:16">
      <c r="A278" s="183">
        <v>20140521</v>
      </c>
      <c r="B278" s="183" t="s">
        <v>3091</v>
      </c>
      <c r="C278" s="199" t="s">
        <v>2690</v>
      </c>
      <c r="E278" s="393">
        <v>96000</v>
      </c>
      <c r="F278" s="393">
        <v>4800</v>
      </c>
      <c r="G278" s="393">
        <f t="shared" si="22"/>
        <v>100800</v>
      </c>
      <c r="H278" s="377" t="s">
        <v>1276</v>
      </c>
      <c r="I278" s="343" t="s">
        <v>3092</v>
      </c>
      <c r="J278" s="350">
        <v>100800</v>
      </c>
      <c r="M278" s="350">
        <f t="shared" si="20"/>
        <v>100800</v>
      </c>
      <c r="O278" s="351">
        <f t="shared" si="21"/>
        <v>0</v>
      </c>
      <c r="P278" s="394" t="s">
        <v>1155</v>
      </c>
    </row>
    <row r="279" spans="1:16">
      <c r="A279" s="183">
        <v>20140522</v>
      </c>
      <c r="B279" s="183" t="s">
        <v>3093</v>
      </c>
      <c r="C279" s="199" t="s">
        <v>2424</v>
      </c>
      <c r="E279" s="393">
        <v>86400</v>
      </c>
      <c r="F279" s="393">
        <v>4320</v>
      </c>
      <c r="G279" s="393">
        <f t="shared" si="22"/>
        <v>90720</v>
      </c>
      <c r="H279" s="377" t="s">
        <v>1276</v>
      </c>
      <c r="I279" s="343" t="s">
        <v>3094</v>
      </c>
      <c r="J279" s="350">
        <v>90720</v>
      </c>
      <c r="M279" s="350">
        <f t="shared" si="20"/>
        <v>90720</v>
      </c>
      <c r="O279" s="351">
        <f t="shared" si="21"/>
        <v>0</v>
      </c>
      <c r="P279" s="394" t="s">
        <v>1159</v>
      </c>
    </row>
    <row r="280" spans="1:16">
      <c r="A280" s="183">
        <v>20140527</v>
      </c>
      <c r="B280" s="183" t="s">
        <v>3095</v>
      </c>
      <c r="C280" s="199" t="s">
        <v>2270</v>
      </c>
      <c r="E280" s="393">
        <v>132000</v>
      </c>
      <c r="F280" s="393">
        <v>6600</v>
      </c>
      <c r="G280" s="393">
        <f t="shared" si="22"/>
        <v>138600</v>
      </c>
      <c r="H280" s="377" t="s">
        <v>1276</v>
      </c>
      <c r="I280" s="343" t="s">
        <v>3096</v>
      </c>
      <c r="J280" s="350">
        <v>138600</v>
      </c>
      <c r="M280" s="350">
        <f t="shared" si="20"/>
        <v>138600</v>
      </c>
      <c r="O280" s="351">
        <f t="shared" si="21"/>
        <v>0</v>
      </c>
      <c r="P280" s="394" t="s">
        <v>1172</v>
      </c>
    </row>
    <row r="281" spans="1:16">
      <c r="A281" s="183">
        <v>20140527</v>
      </c>
      <c r="B281" s="183" t="s">
        <v>3097</v>
      </c>
      <c r="C281" s="199" t="s">
        <v>2254</v>
      </c>
      <c r="E281" s="393">
        <v>96000</v>
      </c>
      <c r="F281" s="393">
        <v>4800</v>
      </c>
      <c r="G281" s="393">
        <f t="shared" si="22"/>
        <v>100800</v>
      </c>
      <c r="H281" s="377" t="s">
        <v>1276</v>
      </c>
      <c r="I281" s="343" t="s">
        <v>3098</v>
      </c>
      <c r="J281" s="350">
        <v>100800</v>
      </c>
      <c r="M281" s="350">
        <f t="shared" si="20"/>
        <v>100800</v>
      </c>
      <c r="O281" s="351">
        <f t="shared" si="21"/>
        <v>0</v>
      </c>
      <c r="P281" s="394" t="s">
        <v>1172</v>
      </c>
    </row>
    <row r="282" spans="1:16">
      <c r="A282" s="393">
        <v>20140613</v>
      </c>
      <c r="B282" s="183" t="s">
        <v>3099</v>
      </c>
      <c r="C282" s="395" t="s">
        <v>8</v>
      </c>
      <c r="E282" s="393">
        <v>108000</v>
      </c>
      <c r="F282" s="393">
        <v>5400</v>
      </c>
      <c r="G282" s="393">
        <v>113400</v>
      </c>
      <c r="H282" s="377" t="s">
        <v>1276</v>
      </c>
      <c r="I282" s="343" t="s">
        <v>3100</v>
      </c>
      <c r="J282" s="350">
        <v>113400</v>
      </c>
      <c r="M282" s="350">
        <f t="shared" si="20"/>
        <v>113400</v>
      </c>
      <c r="O282" s="351">
        <f t="shared" si="21"/>
        <v>0</v>
      </c>
      <c r="P282" s="396">
        <v>12946185</v>
      </c>
    </row>
    <row r="283" spans="1:16">
      <c r="A283" s="183">
        <v>20140811</v>
      </c>
      <c r="B283" s="183" t="s">
        <v>3101</v>
      </c>
      <c r="C283" s="183" t="s">
        <v>1013</v>
      </c>
      <c r="E283" s="183">
        <v>19500</v>
      </c>
      <c r="F283" s="183">
        <v>975</v>
      </c>
      <c r="G283" s="393">
        <f t="shared" ref="G283:G310" si="23">E283+F283</f>
        <v>20475</v>
      </c>
      <c r="H283" s="350">
        <v>8</v>
      </c>
      <c r="I283" s="350">
        <v>622</v>
      </c>
      <c r="K283" s="350">
        <v>20475</v>
      </c>
      <c r="M283" s="350">
        <f t="shared" si="20"/>
        <v>20475</v>
      </c>
      <c r="O283" s="351">
        <f t="shared" si="21"/>
        <v>0</v>
      </c>
      <c r="P283" s="394" t="s">
        <v>1853</v>
      </c>
    </row>
    <row r="284" spans="1:16">
      <c r="A284" s="183">
        <v>20140811</v>
      </c>
      <c r="B284" s="183" t="s">
        <v>3102</v>
      </c>
      <c r="C284" s="183" t="s">
        <v>1016</v>
      </c>
      <c r="E284" s="183">
        <v>19500</v>
      </c>
      <c r="F284" s="183">
        <v>975</v>
      </c>
      <c r="G284" s="393">
        <f t="shared" si="23"/>
        <v>20475</v>
      </c>
      <c r="H284" s="350">
        <v>8</v>
      </c>
      <c r="I284" s="350">
        <v>630</v>
      </c>
      <c r="K284" s="350">
        <v>20475</v>
      </c>
      <c r="M284" s="350">
        <f t="shared" si="20"/>
        <v>20475</v>
      </c>
      <c r="O284" s="351">
        <f t="shared" si="21"/>
        <v>0</v>
      </c>
      <c r="P284" s="394" t="s">
        <v>1854</v>
      </c>
    </row>
    <row r="285" spans="1:16">
      <c r="A285" s="183">
        <v>20140811</v>
      </c>
      <c r="B285" s="183" t="s">
        <v>3103</v>
      </c>
      <c r="C285" s="199" t="s">
        <v>701</v>
      </c>
      <c r="E285" s="199">
        <v>19500</v>
      </c>
      <c r="F285" s="183">
        <v>975</v>
      </c>
      <c r="G285" s="393">
        <f t="shared" si="23"/>
        <v>20475</v>
      </c>
      <c r="H285" s="350">
        <v>5</v>
      </c>
      <c r="I285" s="350">
        <v>737</v>
      </c>
      <c r="K285" s="350">
        <v>20475</v>
      </c>
      <c r="M285" s="350">
        <f t="shared" si="20"/>
        <v>20475</v>
      </c>
      <c r="O285" s="351">
        <f t="shared" si="21"/>
        <v>0</v>
      </c>
      <c r="P285" s="394" t="s">
        <v>3695</v>
      </c>
    </row>
    <row r="286" spans="1:16">
      <c r="A286" s="183">
        <v>20140811</v>
      </c>
      <c r="B286" s="183" t="s">
        <v>3104</v>
      </c>
      <c r="C286" s="199" t="s">
        <v>1232</v>
      </c>
      <c r="E286" s="199">
        <v>15600</v>
      </c>
      <c r="F286" s="183">
        <v>780</v>
      </c>
      <c r="G286" s="393">
        <f t="shared" si="23"/>
        <v>16380</v>
      </c>
      <c r="H286" s="350">
        <v>2</v>
      </c>
      <c r="I286" s="350">
        <v>848</v>
      </c>
      <c r="J286" s="350">
        <v>16380</v>
      </c>
      <c r="M286" s="350">
        <f t="shared" si="20"/>
        <v>16380</v>
      </c>
      <c r="O286" s="351">
        <f t="shared" si="21"/>
        <v>0</v>
      </c>
      <c r="P286" s="394" t="s">
        <v>1080</v>
      </c>
    </row>
    <row r="287" spans="1:16">
      <c r="A287" s="183">
        <v>20140811</v>
      </c>
      <c r="B287" s="183" t="s">
        <v>3105</v>
      </c>
      <c r="C287" s="199" t="s">
        <v>1532</v>
      </c>
      <c r="E287" s="199">
        <v>12857</v>
      </c>
      <c r="F287" s="183">
        <v>643</v>
      </c>
      <c r="G287" s="393">
        <f t="shared" si="23"/>
        <v>13500</v>
      </c>
      <c r="H287" s="350">
        <v>6</v>
      </c>
      <c r="I287" s="343" t="s">
        <v>3106</v>
      </c>
      <c r="L287" s="350">
        <v>13485</v>
      </c>
      <c r="M287" s="350">
        <f t="shared" si="20"/>
        <v>13485</v>
      </c>
      <c r="N287" s="351">
        <v>15</v>
      </c>
      <c r="O287" s="351">
        <f t="shared" si="21"/>
        <v>0</v>
      </c>
      <c r="P287" s="394" t="s">
        <v>1097</v>
      </c>
    </row>
    <row r="288" spans="1:16">
      <c r="A288" s="183">
        <v>20140811</v>
      </c>
      <c r="B288" s="183" t="s">
        <v>3107</v>
      </c>
      <c r="C288" s="199" t="s">
        <v>3825</v>
      </c>
      <c r="E288" s="199">
        <v>13500</v>
      </c>
      <c r="F288" s="183">
        <v>675</v>
      </c>
      <c r="G288" s="393">
        <f t="shared" si="23"/>
        <v>14175</v>
      </c>
      <c r="H288" s="350">
        <v>7</v>
      </c>
      <c r="I288" s="397" t="s">
        <v>3108</v>
      </c>
      <c r="L288" s="350">
        <v>14145</v>
      </c>
      <c r="M288" s="350">
        <f t="shared" si="20"/>
        <v>14145</v>
      </c>
      <c r="N288" s="351">
        <v>30</v>
      </c>
      <c r="O288" s="351">
        <f t="shared" si="21"/>
        <v>0</v>
      </c>
      <c r="P288" s="394" t="s">
        <v>1072</v>
      </c>
    </row>
    <row r="289" spans="1:16">
      <c r="A289" s="183">
        <v>20140811</v>
      </c>
      <c r="B289" s="183" t="s">
        <v>3109</v>
      </c>
      <c r="C289" s="199" t="s">
        <v>2421</v>
      </c>
      <c r="E289" s="199">
        <v>12600</v>
      </c>
      <c r="F289" s="183">
        <v>630</v>
      </c>
      <c r="G289" s="393">
        <f t="shared" si="23"/>
        <v>13230</v>
      </c>
      <c r="H289" s="350">
        <v>5</v>
      </c>
      <c r="I289" s="343" t="s">
        <v>3110</v>
      </c>
      <c r="L289" s="350">
        <v>13220</v>
      </c>
      <c r="M289" s="350">
        <f t="shared" si="20"/>
        <v>13220</v>
      </c>
      <c r="N289" s="351">
        <v>10</v>
      </c>
      <c r="O289" s="351">
        <f t="shared" si="21"/>
        <v>0</v>
      </c>
      <c r="P289" s="394" t="s">
        <v>1084</v>
      </c>
    </row>
    <row r="290" spans="1:16">
      <c r="A290" s="183">
        <v>20140811</v>
      </c>
      <c r="B290" s="183" t="s">
        <v>3111</v>
      </c>
      <c r="C290" s="199" t="s">
        <v>2060</v>
      </c>
      <c r="E290" s="199">
        <v>13500</v>
      </c>
      <c r="F290" s="183">
        <v>675</v>
      </c>
      <c r="G290" s="393">
        <f t="shared" si="23"/>
        <v>14175</v>
      </c>
      <c r="H290" s="350">
        <v>5</v>
      </c>
      <c r="I290" s="343" t="s">
        <v>3112</v>
      </c>
      <c r="L290" s="350">
        <v>14165</v>
      </c>
      <c r="M290" s="350">
        <f t="shared" si="20"/>
        <v>14165</v>
      </c>
      <c r="N290" s="351">
        <v>10</v>
      </c>
      <c r="O290" s="351">
        <f t="shared" si="21"/>
        <v>0</v>
      </c>
      <c r="P290" s="394" t="s">
        <v>1099</v>
      </c>
    </row>
    <row r="291" spans="1:16">
      <c r="A291" s="183">
        <v>20140828</v>
      </c>
      <c r="B291" s="183" t="s">
        <v>3113</v>
      </c>
      <c r="C291" s="199" t="s">
        <v>1304</v>
      </c>
      <c r="E291" s="393">
        <v>72000</v>
      </c>
      <c r="F291" s="393">
        <v>3600</v>
      </c>
      <c r="G291" s="393">
        <f t="shared" si="23"/>
        <v>75600</v>
      </c>
      <c r="H291" s="377" t="s">
        <v>1276</v>
      </c>
      <c r="I291" s="343" t="s">
        <v>3114</v>
      </c>
      <c r="J291" s="350">
        <v>75600</v>
      </c>
      <c r="M291" s="350">
        <f t="shared" si="20"/>
        <v>75600</v>
      </c>
      <c r="O291" s="351">
        <f t="shared" si="21"/>
        <v>0</v>
      </c>
      <c r="P291" s="394" t="s">
        <v>3115</v>
      </c>
    </row>
    <row r="292" spans="1:16">
      <c r="A292" s="183">
        <v>20140925</v>
      </c>
      <c r="B292" s="183" t="s">
        <v>3116</v>
      </c>
      <c r="C292" s="183" t="s">
        <v>1301</v>
      </c>
      <c r="E292" s="183">
        <v>108000</v>
      </c>
      <c r="F292" s="183">
        <v>5400</v>
      </c>
      <c r="G292" s="393">
        <f t="shared" si="23"/>
        <v>113400</v>
      </c>
      <c r="H292" s="377" t="s">
        <v>1276</v>
      </c>
      <c r="I292" s="343" t="s">
        <v>3117</v>
      </c>
      <c r="J292" s="350">
        <v>113400</v>
      </c>
      <c r="M292" s="350">
        <f t="shared" si="20"/>
        <v>113400</v>
      </c>
      <c r="O292" s="351">
        <f t="shared" si="21"/>
        <v>0</v>
      </c>
      <c r="P292" s="394" t="s">
        <v>1178</v>
      </c>
    </row>
    <row r="293" spans="1:16">
      <c r="A293" s="183">
        <v>20140930</v>
      </c>
      <c r="B293" s="183" t="s">
        <v>3118</v>
      </c>
      <c r="C293" s="183" t="s">
        <v>264</v>
      </c>
      <c r="E293" s="183">
        <v>86400</v>
      </c>
      <c r="F293" s="183">
        <v>4320</v>
      </c>
      <c r="G293" s="393">
        <f t="shared" si="23"/>
        <v>90720</v>
      </c>
      <c r="H293" s="377" t="s">
        <v>1276</v>
      </c>
      <c r="I293" s="343" t="s">
        <v>3119</v>
      </c>
      <c r="J293" s="350">
        <v>90720</v>
      </c>
      <c r="M293" s="350">
        <f t="shared" si="20"/>
        <v>90720</v>
      </c>
      <c r="O293" s="351">
        <f t="shared" si="21"/>
        <v>0</v>
      </c>
      <c r="P293" s="394" t="s">
        <v>1151</v>
      </c>
    </row>
    <row r="294" spans="1:16">
      <c r="A294" s="183"/>
      <c r="B294" s="183" t="s">
        <v>3120</v>
      </c>
      <c r="C294" s="183"/>
      <c r="D294" s="254" t="s">
        <v>1235</v>
      </c>
      <c r="E294" s="199"/>
      <c r="F294" s="183"/>
      <c r="G294" s="393">
        <f t="shared" si="23"/>
        <v>0</v>
      </c>
      <c r="M294" s="350">
        <f t="shared" si="20"/>
        <v>0</v>
      </c>
      <c r="O294" s="351">
        <f t="shared" si="21"/>
        <v>0</v>
      </c>
      <c r="P294" s="394"/>
    </row>
    <row r="295" spans="1:16">
      <c r="A295" s="183">
        <v>20141028</v>
      </c>
      <c r="B295" s="183" t="s">
        <v>3121</v>
      </c>
      <c r="C295" s="199" t="s">
        <v>4418</v>
      </c>
      <c r="E295" s="199">
        <v>86400</v>
      </c>
      <c r="F295" s="183">
        <v>4320</v>
      </c>
      <c r="G295" s="393">
        <f t="shared" si="23"/>
        <v>90720</v>
      </c>
      <c r="H295" s="399" t="s">
        <v>4302</v>
      </c>
      <c r="I295" s="399" t="s">
        <v>4820</v>
      </c>
      <c r="J295" s="350">
        <v>90720</v>
      </c>
      <c r="M295" s="350">
        <f t="shared" si="20"/>
        <v>90720</v>
      </c>
      <c r="O295" s="351">
        <f t="shared" si="21"/>
        <v>0</v>
      </c>
      <c r="P295" s="394" t="s">
        <v>3122</v>
      </c>
    </row>
    <row r="296" spans="1:16">
      <c r="A296" s="183">
        <v>20141103</v>
      </c>
      <c r="B296" s="183" t="s">
        <v>3123</v>
      </c>
      <c r="C296" s="183" t="s">
        <v>2691</v>
      </c>
      <c r="E296" s="183">
        <v>108000</v>
      </c>
      <c r="F296" s="183">
        <v>5400</v>
      </c>
      <c r="G296" s="393">
        <f t="shared" si="23"/>
        <v>113400</v>
      </c>
      <c r="H296" s="377" t="s">
        <v>1276</v>
      </c>
      <c r="I296" s="343" t="s">
        <v>3124</v>
      </c>
      <c r="J296" s="350">
        <v>113400</v>
      </c>
      <c r="M296" s="350">
        <f t="shared" si="20"/>
        <v>113400</v>
      </c>
      <c r="O296" s="351">
        <f t="shared" si="21"/>
        <v>0</v>
      </c>
      <c r="P296" s="394" t="s">
        <v>1848</v>
      </c>
    </row>
    <row r="297" spans="1:16">
      <c r="A297" s="183">
        <v>20141103</v>
      </c>
      <c r="B297" s="183" t="s">
        <v>3125</v>
      </c>
      <c r="C297" s="183" t="s">
        <v>701</v>
      </c>
      <c r="E297" s="183">
        <v>19500</v>
      </c>
      <c r="F297" s="183">
        <v>975</v>
      </c>
      <c r="G297" s="393">
        <f t="shared" si="23"/>
        <v>20475</v>
      </c>
      <c r="H297" s="350">
        <v>6</v>
      </c>
      <c r="I297" s="350">
        <v>738</v>
      </c>
      <c r="K297" s="350">
        <v>20475</v>
      </c>
      <c r="M297" s="350">
        <f t="shared" si="20"/>
        <v>20475</v>
      </c>
      <c r="O297" s="351">
        <f t="shared" si="21"/>
        <v>0</v>
      </c>
      <c r="P297" s="394" t="s">
        <v>3695</v>
      </c>
    </row>
    <row r="298" spans="1:16">
      <c r="A298" s="183"/>
      <c r="B298" s="183" t="s">
        <v>3126</v>
      </c>
      <c r="C298" s="183"/>
      <c r="D298" s="254" t="s">
        <v>1235</v>
      </c>
      <c r="E298" s="199"/>
      <c r="F298" s="183"/>
      <c r="G298" s="393">
        <f t="shared" si="23"/>
        <v>0</v>
      </c>
      <c r="M298" s="350">
        <f t="shared" si="20"/>
        <v>0</v>
      </c>
      <c r="O298" s="351">
        <f t="shared" si="21"/>
        <v>0</v>
      </c>
      <c r="P298" s="394"/>
    </row>
    <row r="299" spans="1:16">
      <c r="A299" s="183">
        <v>20141103</v>
      </c>
      <c r="B299" s="183" t="s">
        <v>3127</v>
      </c>
      <c r="C299" s="199" t="s">
        <v>1232</v>
      </c>
      <c r="E299" s="199">
        <v>15600</v>
      </c>
      <c r="F299" s="183">
        <v>780</v>
      </c>
      <c r="G299" s="393">
        <f t="shared" si="23"/>
        <v>16380</v>
      </c>
      <c r="H299" s="350">
        <v>3</v>
      </c>
      <c r="I299" s="350">
        <v>924</v>
      </c>
      <c r="J299" s="350">
        <v>16380</v>
      </c>
      <c r="M299" s="350">
        <f t="shared" si="20"/>
        <v>16380</v>
      </c>
      <c r="O299" s="351">
        <f t="shared" si="21"/>
        <v>0</v>
      </c>
      <c r="P299" s="394" t="s">
        <v>1080</v>
      </c>
    </row>
    <row r="300" spans="1:16">
      <c r="A300" s="183">
        <v>20141103</v>
      </c>
      <c r="B300" s="183" t="s">
        <v>3128</v>
      </c>
      <c r="C300" s="199" t="s">
        <v>1532</v>
      </c>
      <c r="E300" s="199">
        <v>12857</v>
      </c>
      <c r="F300" s="183">
        <v>643</v>
      </c>
      <c r="G300" s="393">
        <f t="shared" si="23"/>
        <v>13500</v>
      </c>
      <c r="H300" s="350">
        <v>7</v>
      </c>
      <c r="I300" s="343" t="s">
        <v>3129</v>
      </c>
      <c r="L300" s="350">
        <v>13485</v>
      </c>
      <c r="M300" s="350">
        <f t="shared" si="20"/>
        <v>13485</v>
      </c>
      <c r="N300" s="351">
        <v>15</v>
      </c>
      <c r="O300" s="351">
        <f t="shared" si="21"/>
        <v>0</v>
      </c>
      <c r="P300" s="394" t="s">
        <v>1097</v>
      </c>
    </row>
    <row r="301" spans="1:16">
      <c r="A301" s="183">
        <v>20141103</v>
      </c>
      <c r="B301" s="183" t="s">
        <v>3130</v>
      </c>
      <c r="C301" s="199" t="s">
        <v>3825</v>
      </c>
      <c r="E301" s="199">
        <v>13500</v>
      </c>
      <c r="F301" s="183">
        <v>675</v>
      </c>
      <c r="G301" s="393">
        <f t="shared" si="23"/>
        <v>14175</v>
      </c>
      <c r="H301" s="350">
        <v>8</v>
      </c>
      <c r="I301" s="398" t="s">
        <v>3998</v>
      </c>
      <c r="L301" s="350">
        <v>14145</v>
      </c>
      <c r="M301" s="350">
        <f t="shared" si="20"/>
        <v>14145</v>
      </c>
      <c r="N301" s="351">
        <v>30</v>
      </c>
      <c r="O301" s="351">
        <f t="shared" si="21"/>
        <v>0</v>
      </c>
      <c r="P301" s="394" t="s">
        <v>1072</v>
      </c>
    </row>
    <row r="302" spans="1:16">
      <c r="A302" s="183">
        <v>20141103</v>
      </c>
      <c r="B302" s="183" t="s">
        <v>3131</v>
      </c>
      <c r="C302" s="199" t="s">
        <v>2421</v>
      </c>
      <c r="E302" s="199">
        <v>12600</v>
      </c>
      <c r="F302" s="183">
        <v>630</v>
      </c>
      <c r="G302" s="393">
        <f t="shared" si="23"/>
        <v>13230</v>
      </c>
      <c r="H302" s="350">
        <v>6</v>
      </c>
      <c r="I302" s="343" t="s">
        <v>1056</v>
      </c>
      <c r="L302" s="350">
        <v>13220</v>
      </c>
      <c r="M302" s="350">
        <f t="shared" si="20"/>
        <v>13220</v>
      </c>
      <c r="N302" s="351">
        <v>10</v>
      </c>
      <c r="O302" s="351">
        <f t="shared" si="21"/>
        <v>0</v>
      </c>
      <c r="P302" s="394" t="s">
        <v>1084</v>
      </c>
    </row>
    <row r="303" spans="1:16">
      <c r="A303" s="183">
        <v>20141103</v>
      </c>
      <c r="B303" s="183" t="s">
        <v>3132</v>
      </c>
      <c r="C303" s="199" t="s">
        <v>2060</v>
      </c>
      <c r="E303" s="199">
        <v>13500</v>
      </c>
      <c r="F303" s="183">
        <v>675</v>
      </c>
      <c r="G303" s="393">
        <f t="shared" si="23"/>
        <v>14175</v>
      </c>
      <c r="H303" s="350">
        <v>6</v>
      </c>
      <c r="I303" s="398" t="s">
        <v>3995</v>
      </c>
      <c r="L303" s="350">
        <v>14175</v>
      </c>
      <c r="M303" s="350">
        <f t="shared" si="20"/>
        <v>14175</v>
      </c>
      <c r="O303" s="351">
        <f t="shared" si="21"/>
        <v>0</v>
      </c>
      <c r="P303" s="394" t="s">
        <v>1099</v>
      </c>
    </row>
    <row r="304" spans="1:16">
      <c r="A304" s="183">
        <v>20141105</v>
      </c>
      <c r="B304" s="183" t="s">
        <v>3133</v>
      </c>
      <c r="C304" s="199" t="s">
        <v>1249</v>
      </c>
      <c r="E304" s="393">
        <v>43200</v>
      </c>
      <c r="F304" s="393">
        <v>2160</v>
      </c>
      <c r="G304" s="393">
        <f t="shared" si="23"/>
        <v>45360</v>
      </c>
      <c r="H304" s="377" t="s">
        <v>3134</v>
      </c>
      <c r="I304" s="343" t="s">
        <v>3135</v>
      </c>
      <c r="J304" s="350">
        <v>45360</v>
      </c>
      <c r="M304" s="350">
        <f t="shared" si="20"/>
        <v>45360</v>
      </c>
      <c r="O304" s="351">
        <f t="shared" si="21"/>
        <v>0</v>
      </c>
      <c r="P304" s="394" t="s">
        <v>1145</v>
      </c>
    </row>
    <row r="305" spans="1:18">
      <c r="A305" s="183">
        <v>20141105</v>
      </c>
      <c r="B305" s="183" t="s">
        <v>3136</v>
      </c>
      <c r="C305" s="199" t="s">
        <v>701</v>
      </c>
      <c r="E305" s="393">
        <v>80000</v>
      </c>
      <c r="F305" s="393">
        <v>4000</v>
      </c>
      <c r="G305" s="393">
        <f t="shared" si="23"/>
        <v>84000</v>
      </c>
      <c r="I305" s="343" t="s">
        <v>3137</v>
      </c>
      <c r="L305" s="350">
        <v>84000</v>
      </c>
      <c r="M305" s="350">
        <f t="shared" si="20"/>
        <v>84000</v>
      </c>
      <c r="O305" s="351">
        <f t="shared" si="21"/>
        <v>0</v>
      </c>
      <c r="P305" s="394" t="s">
        <v>3695</v>
      </c>
    </row>
    <row r="306" spans="1:18">
      <c r="A306" s="183">
        <v>20141105</v>
      </c>
      <c r="B306" s="183" t="s">
        <v>3138</v>
      </c>
      <c r="C306" s="199" t="s">
        <v>1013</v>
      </c>
      <c r="E306" s="393">
        <v>60000</v>
      </c>
      <c r="F306" s="393">
        <v>3000</v>
      </c>
      <c r="G306" s="393">
        <f t="shared" si="23"/>
        <v>63000</v>
      </c>
      <c r="I306" s="343" t="s">
        <v>3139</v>
      </c>
      <c r="L306" s="350">
        <v>63000</v>
      </c>
      <c r="M306" s="350">
        <f t="shared" si="20"/>
        <v>63000</v>
      </c>
      <c r="O306" s="351">
        <f t="shared" si="21"/>
        <v>0</v>
      </c>
      <c r="P306" s="394" t="s">
        <v>1853</v>
      </c>
    </row>
    <row r="307" spans="1:18">
      <c r="A307" s="183">
        <v>20141105</v>
      </c>
      <c r="B307" s="183" t="s">
        <v>3140</v>
      </c>
      <c r="C307" s="199" t="s">
        <v>1016</v>
      </c>
      <c r="E307" s="393">
        <v>60000</v>
      </c>
      <c r="F307" s="393">
        <v>3000</v>
      </c>
      <c r="G307" s="393">
        <f t="shared" si="23"/>
        <v>63000</v>
      </c>
      <c r="I307" s="343" t="s">
        <v>756</v>
      </c>
      <c r="L307" s="350">
        <v>63000</v>
      </c>
      <c r="M307" s="350">
        <f t="shared" si="20"/>
        <v>63000</v>
      </c>
      <c r="O307" s="351">
        <f t="shared" si="21"/>
        <v>0</v>
      </c>
      <c r="P307" s="394" t="s">
        <v>1854</v>
      </c>
    </row>
    <row r="308" spans="1:18">
      <c r="A308" s="183">
        <v>20141105</v>
      </c>
      <c r="B308" s="183" t="s">
        <v>3141</v>
      </c>
      <c r="C308" s="199" t="s">
        <v>1013</v>
      </c>
      <c r="E308" s="393">
        <v>40000</v>
      </c>
      <c r="F308" s="393">
        <v>2000</v>
      </c>
      <c r="G308" s="393">
        <f t="shared" si="23"/>
        <v>42000</v>
      </c>
      <c r="I308" s="343" t="s">
        <v>3139</v>
      </c>
      <c r="L308" s="350">
        <v>42000</v>
      </c>
      <c r="M308" s="350">
        <f t="shared" si="20"/>
        <v>42000</v>
      </c>
      <c r="O308" s="351">
        <f t="shared" si="21"/>
        <v>0</v>
      </c>
      <c r="P308" s="394" t="s">
        <v>1853</v>
      </c>
    </row>
    <row r="309" spans="1:18">
      <c r="A309" s="393">
        <v>20141105</v>
      </c>
      <c r="B309" s="183" t="s">
        <v>3142</v>
      </c>
      <c r="C309" s="395" t="s">
        <v>1016</v>
      </c>
      <c r="E309" s="393">
        <v>40000</v>
      </c>
      <c r="F309" s="393">
        <v>2000</v>
      </c>
      <c r="G309" s="393">
        <f t="shared" si="23"/>
        <v>42000</v>
      </c>
      <c r="I309" s="343" t="s">
        <v>756</v>
      </c>
      <c r="L309" s="350">
        <v>42000</v>
      </c>
      <c r="M309" s="350">
        <f t="shared" si="20"/>
        <v>42000</v>
      </c>
      <c r="O309" s="351">
        <f t="shared" si="21"/>
        <v>0</v>
      </c>
      <c r="P309" s="394" t="s">
        <v>1854</v>
      </c>
    </row>
    <row r="310" spans="1:18">
      <c r="A310" s="393">
        <v>20141120</v>
      </c>
      <c r="B310" s="183" t="s">
        <v>3143</v>
      </c>
      <c r="C310" s="395" t="s">
        <v>1775</v>
      </c>
      <c r="E310" s="393">
        <v>82286</v>
      </c>
      <c r="F310" s="393">
        <v>4114</v>
      </c>
      <c r="G310" s="393">
        <f t="shared" si="23"/>
        <v>86400</v>
      </c>
      <c r="H310" s="399" t="s">
        <v>4302</v>
      </c>
      <c r="I310" s="398" t="s">
        <v>4303</v>
      </c>
      <c r="J310" s="350">
        <v>86400</v>
      </c>
      <c r="M310" s="350">
        <f t="shared" si="20"/>
        <v>86400</v>
      </c>
      <c r="O310" s="351">
        <f t="shared" si="21"/>
        <v>0</v>
      </c>
      <c r="P310" s="394" t="s">
        <v>1833</v>
      </c>
      <c r="R310" s="400" t="s">
        <v>4304</v>
      </c>
    </row>
    <row r="311" spans="1:18">
      <c r="A311" s="393"/>
      <c r="B311" s="183" t="s">
        <v>3144</v>
      </c>
      <c r="C311" s="183"/>
      <c r="D311" s="254" t="s">
        <v>1235</v>
      </c>
      <c r="E311" s="393"/>
      <c r="F311" s="393"/>
      <c r="G311" s="393"/>
      <c r="M311" s="350">
        <f t="shared" si="20"/>
        <v>0</v>
      </c>
      <c r="O311" s="351">
        <f t="shared" si="21"/>
        <v>0</v>
      </c>
      <c r="P311" s="396"/>
    </row>
    <row r="312" spans="1:18">
      <c r="A312" s="393">
        <v>20141201</v>
      </c>
      <c r="B312" s="183" t="s">
        <v>3145</v>
      </c>
      <c r="C312" s="199" t="s">
        <v>1775</v>
      </c>
      <c r="E312" s="393">
        <v>20571</v>
      </c>
      <c r="F312" s="393">
        <v>1029</v>
      </c>
      <c r="G312" s="393">
        <f t="shared" ref="G312:G324" si="24">E312+F312</f>
        <v>21600</v>
      </c>
      <c r="H312" s="399" t="s">
        <v>4302</v>
      </c>
      <c r="I312" s="398" t="s">
        <v>4303</v>
      </c>
      <c r="J312" s="350">
        <v>21600</v>
      </c>
      <c r="M312" s="350">
        <f t="shared" ref="M312:M324" si="25">J312+K312+L312</f>
        <v>21600</v>
      </c>
      <c r="O312" s="351">
        <f t="shared" ref="O312:O324" si="26">G312-M312-N312</f>
        <v>0</v>
      </c>
      <c r="P312" s="394" t="s">
        <v>1833</v>
      </c>
      <c r="R312" s="400" t="s">
        <v>4305</v>
      </c>
    </row>
    <row r="313" spans="1:18">
      <c r="A313" s="393">
        <v>20141201</v>
      </c>
      <c r="B313" s="183" t="s">
        <v>3146</v>
      </c>
      <c r="C313" s="395" t="s">
        <v>1270</v>
      </c>
      <c r="E313" s="393">
        <v>19500</v>
      </c>
      <c r="F313" s="393">
        <v>975</v>
      </c>
      <c r="G313" s="393">
        <f t="shared" si="24"/>
        <v>20475</v>
      </c>
      <c r="H313" s="350">
        <v>1</v>
      </c>
      <c r="I313" s="350">
        <v>886</v>
      </c>
      <c r="J313" s="350">
        <v>20475</v>
      </c>
      <c r="M313" s="350">
        <f t="shared" si="25"/>
        <v>20475</v>
      </c>
      <c r="O313" s="351">
        <f t="shared" si="26"/>
        <v>0</v>
      </c>
      <c r="P313" s="394" t="s">
        <v>1130</v>
      </c>
    </row>
    <row r="314" spans="1:18">
      <c r="A314" s="393">
        <v>20141201</v>
      </c>
      <c r="B314" s="183" t="s">
        <v>3147</v>
      </c>
      <c r="C314" s="395" t="s">
        <v>1270</v>
      </c>
      <c r="E314" s="393">
        <v>19500</v>
      </c>
      <c r="F314" s="393">
        <v>975</v>
      </c>
      <c r="G314" s="393">
        <f t="shared" si="24"/>
        <v>20475</v>
      </c>
      <c r="H314" s="350">
        <v>2</v>
      </c>
      <c r="I314" s="350">
        <v>887</v>
      </c>
      <c r="J314" s="350">
        <v>20475</v>
      </c>
      <c r="M314" s="350">
        <f t="shared" si="25"/>
        <v>20475</v>
      </c>
      <c r="O314" s="351">
        <f t="shared" si="26"/>
        <v>0</v>
      </c>
      <c r="P314" s="394" t="s">
        <v>1130</v>
      </c>
    </row>
    <row r="315" spans="1:18">
      <c r="A315" s="393">
        <v>20141201</v>
      </c>
      <c r="B315" s="183" t="s">
        <v>3148</v>
      </c>
      <c r="C315" s="395" t="s">
        <v>1270</v>
      </c>
      <c r="E315" s="393">
        <v>19500</v>
      </c>
      <c r="F315" s="393">
        <v>975</v>
      </c>
      <c r="G315" s="393">
        <f t="shared" si="24"/>
        <v>20475</v>
      </c>
      <c r="H315" s="350">
        <v>3</v>
      </c>
      <c r="I315" s="350">
        <v>888</v>
      </c>
      <c r="J315" s="350">
        <v>20475</v>
      </c>
      <c r="M315" s="350">
        <f t="shared" si="25"/>
        <v>20475</v>
      </c>
      <c r="O315" s="351">
        <f t="shared" si="26"/>
        <v>0</v>
      </c>
      <c r="P315" s="394" t="s">
        <v>1130</v>
      </c>
    </row>
    <row r="316" spans="1:18">
      <c r="A316" s="393">
        <v>20141201</v>
      </c>
      <c r="B316" s="183" t="s">
        <v>3149</v>
      </c>
      <c r="C316" s="395" t="s">
        <v>1270</v>
      </c>
      <c r="E316" s="393">
        <v>19500</v>
      </c>
      <c r="F316" s="393">
        <v>975</v>
      </c>
      <c r="G316" s="393">
        <f t="shared" si="24"/>
        <v>20475</v>
      </c>
      <c r="H316" s="350">
        <v>4</v>
      </c>
      <c r="I316" s="350">
        <v>889</v>
      </c>
      <c r="J316" s="350">
        <v>20475</v>
      </c>
      <c r="M316" s="350">
        <f t="shared" si="25"/>
        <v>20475</v>
      </c>
      <c r="O316" s="351">
        <f t="shared" si="26"/>
        <v>0</v>
      </c>
      <c r="P316" s="394" t="s">
        <v>1130</v>
      </c>
    </row>
    <row r="317" spans="1:18">
      <c r="A317" s="393">
        <v>20141208</v>
      </c>
      <c r="B317" s="183" t="s">
        <v>3150</v>
      </c>
      <c r="C317" s="395" t="s">
        <v>1013</v>
      </c>
      <c r="E317" s="393">
        <v>19500</v>
      </c>
      <c r="F317" s="393">
        <v>975</v>
      </c>
      <c r="G317" s="393">
        <f t="shared" si="24"/>
        <v>20475</v>
      </c>
      <c r="H317" s="350">
        <v>1</v>
      </c>
      <c r="I317" s="350">
        <v>908</v>
      </c>
      <c r="K317" s="350">
        <v>20475</v>
      </c>
      <c r="M317" s="350">
        <f t="shared" si="25"/>
        <v>20475</v>
      </c>
      <c r="O317" s="351">
        <f t="shared" si="26"/>
        <v>0</v>
      </c>
      <c r="P317" s="394" t="s">
        <v>1853</v>
      </c>
    </row>
    <row r="318" spans="1:18">
      <c r="A318" s="393">
        <v>20141208</v>
      </c>
      <c r="B318" s="183" t="s">
        <v>3151</v>
      </c>
      <c r="C318" s="395" t="s">
        <v>1016</v>
      </c>
      <c r="E318" s="393">
        <v>19500</v>
      </c>
      <c r="F318" s="393">
        <v>975</v>
      </c>
      <c r="G318" s="393">
        <f t="shared" si="24"/>
        <v>20475</v>
      </c>
      <c r="H318" s="350">
        <v>1</v>
      </c>
      <c r="I318" s="350">
        <v>900</v>
      </c>
      <c r="K318" s="350">
        <v>20475</v>
      </c>
      <c r="M318" s="350">
        <f t="shared" si="25"/>
        <v>20475</v>
      </c>
      <c r="O318" s="351">
        <f t="shared" si="26"/>
        <v>0</v>
      </c>
      <c r="P318" s="394" t="s">
        <v>1854</v>
      </c>
    </row>
    <row r="319" spans="1:18">
      <c r="A319" s="393">
        <v>20141208</v>
      </c>
      <c r="B319" s="183" t="s">
        <v>3152</v>
      </c>
      <c r="C319" s="395" t="s">
        <v>1016</v>
      </c>
      <c r="E319" s="393">
        <v>15600</v>
      </c>
      <c r="F319" s="393">
        <v>780</v>
      </c>
      <c r="G319" s="393">
        <f t="shared" si="24"/>
        <v>16380</v>
      </c>
      <c r="H319" s="350">
        <v>1</v>
      </c>
      <c r="I319" s="350">
        <v>916</v>
      </c>
      <c r="J319" s="350">
        <v>16380</v>
      </c>
      <c r="M319" s="350">
        <f t="shared" si="25"/>
        <v>16380</v>
      </c>
      <c r="O319" s="351">
        <f t="shared" si="26"/>
        <v>0</v>
      </c>
      <c r="P319" s="394" t="s">
        <v>1854</v>
      </c>
    </row>
    <row r="320" spans="1:18">
      <c r="A320" s="393">
        <v>20141211</v>
      </c>
      <c r="B320" s="183" t="s">
        <v>3153</v>
      </c>
      <c r="C320" s="395" t="s">
        <v>2688</v>
      </c>
      <c r="E320" s="393">
        <v>86400</v>
      </c>
      <c r="F320" s="393">
        <v>4320</v>
      </c>
      <c r="G320" s="393">
        <f t="shared" si="24"/>
        <v>90720</v>
      </c>
      <c r="H320" s="377" t="s">
        <v>1276</v>
      </c>
      <c r="I320" s="343" t="s">
        <v>3154</v>
      </c>
      <c r="J320" s="350">
        <v>90720</v>
      </c>
      <c r="M320" s="350">
        <f t="shared" si="25"/>
        <v>90720</v>
      </c>
      <c r="O320" s="351">
        <f t="shared" si="26"/>
        <v>0</v>
      </c>
      <c r="P320" s="394" t="s">
        <v>1856</v>
      </c>
    </row>
    <row r="321" spans="1:16">
      <c r="A321" s="393">
        <v>20141216</v>
      </c>
      <c r="B321" s="183" t="s">
        <v>3155</v>
      </c>
      <c r="C321" s="395" t="s">
        <v>1013</v>
      </c>
      <c r="E321" s="393">
        <v>108000</v>
      </c>
      <c r="F321" s="393">
        <v>5400</v>
      </c>
      <c r="G321" s="393">
        <f t="shared" si="24"/>
        <v>113400</v>
      </c>
      <c r="I321" s="350">
        <v>899</v>
      </c>
      <c r="J321" s="350">
        <v>113400</v>
      </c>
      <c r="M321" s="350">
        <f t="shared" si="25"/>
        <v>113400</v>
      </c>
      <c r="O321" s="351">
        <f t="shared" si="26"/>
        <v>0</v>
      </c>
      <c r="P321" s="394" t="s">
        <v>1853</v>
      </c>
    </row>
    <row r="322" spans="1:16">
      <c r="A322" s="393">
        <v>20141216</v>
      </c>
      <c r="B322" s="183" t="s">
        <v>3156</v>
      </c>
      <c r="C322" s="395" t="s">
        <v>1016</v>
      </c>
      <c r="E322" s="393">
        <v>108000</v>
      </c>
      <c r="F322" s="393">
        <v>5400</v>
      </c>
      <c r="G322" s="393">
        <f t="shared" si="24"/>
        <v>113400</v>
      </c>
      <c r="I322" s="350">
        <v>898</v>
      </c>
      <c r="J322" s="350">
        <v>113400</v>
      </c>
      <c r="M322" s="350">
        <f t="shared" si="25"/>
        <v>113400</v>
      </c>
      <c r="O322" s="351">
        <f t="shared" si="26"/>
        <v>0</v>
      </c>
      <c r="P322" s="394" t="s">
        <v>1854</v>
      </c>
    </row>
    <row r="323" spans="1:16">
      <c r="A323" s="393">
        <v>20141226</v>
      </c>
      <c r="B323" s="183" t="s">
        <v>3157</v>
      </c>
      <c r="C323" s="395" t="s">
        <v>1013</v>
      </c>
      <c r="E323" s="393">
        <v>25000</v>
      </c>
      <c r="F323" s="393">
        <v>1250</v>
      </c>
      <c r="G323" s="393">
        <f t="shared" si="24"/>
        <v>26250</v>
      </c>
      <c r="I323" s="350">
        <v>925</v>
      </c>
      <c r="J323" s="350">
        <v>26250</v>
      </c>
      <c r="M323" s="350">
        <f t="shared" si="25"/>
        <v>26250</v>
      </c>
      <c r="O323" s="351">
        <f t="shared" si="26"/>
        <v>0</v>
      </c>
      <c r="P323" s="394" t="s">
        <v>1853</v>
      </c>
    </row>
    <row r="324" spans="1:16">
      <c r="A324" s="393">
        <v>20141226</v>
      </c>
      <c r="B324" s="183" t="s">
        <v>3158</v>
      </c>
      <c r="C324" s="395" t="s">
        <v>1016</v>
      </c>
      <c r="E324" s="393">
        <v>25000</v>
      </c>
      <c r="F324" s="393">
        <v>1250</v>
      </c>
      <c r="G324" s="393">
        <f t="shared" si="24"/>
        <v>26250</v>
      </c>
      <c r="I324" s="350">
        <v>926</v>
      </c>
      <c r="J324" s="350">
        <v>26250</v>
      </c>
      <c r="M324" s="350">
        <f t="shared" si="25"/>
        <v>26250</v>
      </c>
      <c r="O324" s="351">
        <f t="shared" si="26"/>
        <v>0</v>
      </c>
      <c r="P324" s="394" t="s">
        <v>1854</v>
      </c>
    </row>
    <row r="328" spans="1:16" s="347" customFormat="1">
      <c r="A328" s="401" t="s">
        <v>4306</v>
      </c>
      <c r="D328" s="348" t="s">
        <v>2377</v>
      </c>
      <c r="E328" s="376">
        <f>SUM(E329:E405)</f>
        <v>4601170</v>
      </c>
      <c r="F328" s="376">
        <f>SUM(F329:F394)</f>
        <v>123265</v>
      </c>
      <c r="G328" s="376">
        <f>SUM(G329:G405)</f>
        <v>4831230</v>
      </c>
      <c r="H328" s="349"/>
      <c r="I328" s="383"/>
      <c r="J328" s="376">
        <f>SUM(J329:J394)</f>
        <v>1752510</v>
      </c>
      <c r="K328" s="376">
        <f>SUM(K329:K405)</f>
        <v>704340</v>
      </c>
      <c r="L328" s="376">
        <f>SUM(L329:L405)</f>
        <v>1155420</v>
      </c>
      <c r="M328" s="376">
        <f>SUM(M329:M405)</f>
        <v>4743120</v>
      </c>
      <c r="N328" s="376">
        <f>SUM(N329:N405)</f>
        <v>435</v>
      </c>
      <c r="O328" s="376">
        <f>SUM(O329:O394)</f>
        <v>0</v>
      </c>
      <c r="P328" s="391"/>
    </row>
    <row r="329" spans="1:16">
      <c r="A329" s="183">
        <v>20150210</v>
      </c>
      <c r="B329" s="183" t="s">
        <v>4307</v>
      </c>
      <c r="C329" s="183" t="s">
        <v>4201</v>
      </c>
      <c r="E329" s="183">
        <v>19500</v>
      </c>
      <c r="F329" s="183">
        <v>975</v>
      </c>
      <c r="G329" s="393">
        <f t="shared" ref="G329:G339" si="27">E329+F329</f>
        <v>20475</v>
      </c>
      <c r="H329" s="350">
        <v>2</v>
      </c>
      <c r="I329" s="343">
        <v>909</v>
      </c>
      <c r="K329" s="350">
        <v>20475</v>
      </c>
      <c r="M329" s="350">
        <f t="shared" ref="M329:M339" si="28">J329+K329+L329</f>
        <v>20475</v>
      </c>
      <c r="O329" s="351">
        <f t="shared" ref="O329:O339" si="29">G329-M329-N329</f>
        <v>0</v>
      </c>
      <c r="P329" s="402" t="s">
        <v>4308</v>
      </c>
    </row>
    <row r="330" spans="1:16">
      <c r="A330" s="345">
        <v>20150210</v>
      </c>
      <c r="B330" s="403" t="s">
        <v>4309</v>
      </c>
      <c r="C330" s="403" t="s">
        <v>4000</v>
      </c>
      <c r="E330" s="345">
        <v>19500</v>
      </c>
      <c r="F330" s="345">
        <v>975</v>
      </c>
      <c r="G330" s="393">
        <f t="shared" si="27"/>
        <v>20475</v>
      </c>
      <c r="H330" s="350">
        <v>2</v>
      </c>
      <c r="I330" s="350">
        <v>901</v>
      </c>
      <c r="K330" s="350">
        <v>20475</v>
      </c>
      <c r="M330" s="350">
        <f t="shared" si="28"/>
        <v>20475</v>
      </c>
      <c r="O330" s="351">
        <f t="shared" si="29"/>
        <v>0</v>
      </c>
      <c r="P330" s="402" t="s">
        <v>4310</v>
      </c>
    </row>
    <row r="331" spans="1:16">
      <c r="A331" s="345">
        <v>20150210</v>
      </c>
      <c r="B331" s="403" t="s">
        <v>4311</v>
      </c>
      <c r="C331" s="403" t="s">
        <v>4000</v>
      </c>
      <c r="E331" s="345">
        <v>15600</v>
      </c>
      <c r="F331" s="345">
        <v>780</v>
      </c>
      <c r="G331" s="393">
        <f t="shared" si="27"/>
        <v>16380</v>
      </c>
      <c r="H331" s="350">
        <v>2</v>
      </c>
      <c r="I331" s="350">
        <v>917</v>
      </c>
      <c r="K331" s="350">
        <v>16380</v>
      </c>
      <c r="M331" s="350">
        <f t="shared" si="28"/>
        <v>16380</v>
      </c>
      <c r="O331" s="351">
        <f t="shared" si="29"/>
        <v>0</v>
      </c>
      <c r="P331" s="402" t="s">
        <v>4310</v>
      </c>
    </row>
    <row r="332" spans="1:16">
      <c r="A332" s="345">
        <v>20150210</v>
      </c>
      <c r="B332" s="403" t="s">
        <v>4312</v>
      </c>
      <c r="C332" s="403" t="s">
        <v>4204</v>
      </c>
      <c r="E332" s="345">
        <v>19500</v>
      </c>
      <c r="F332" s="345">
        <v>975</v>
      </c>
      <c r="G332" s="393">
        <f t="shared" si="27"/>
        <v>20475</v>
      </c>
      <c r="H332" s="350">
        <v>7</v>
      </c>
      <c r="I332" s="350">
        <v>739</v>
      </c>
      <c r="K332" s="350">
        <v>20475</v>
      </c>
      <c r="M332" s="350">
        <f t="shared" si="28"/>
        <v>20475</v>
      </c>
      <c r="O332" s="351">
        <f t="shared" si="29"/>
        <v>0</v>
      </c>
      <c r="P332" s="402" t="s">
        <v>4313</v>
      </c>
    </row>
    <row r="333" spans="1:16">
      <c r="A333" s="345">
        <v>20150210</v>
      </c>
      <c r="B333" s="403" t="s">
        <v>4314</v>
      </c>
      <c r="C333" s="403" t="s">
        <v>4315</v>
      </c>
      <c r="E333" s="345">
        <v>15600</v>
      </c>
      <c r="F333" s="345">
        <v>780</v>
      </c>
      <c r="G333" s="393">
        <f t="shared" si="27"/>
        <v>16380</v>
      </c>
      <c r="H333" s="350">
        <v>4</v>
      </c>
      <c r="I333" s="350">
        <v>968</v>
      </c>
      <c r="J333" s="350">
        <v>16380</v>
      </c>
      <c r="M333" s="350">
        <f t="shared" si="28"/>
        <v>16380</v>
      </c>
      <c r="O333" s="351">
        <f t="shared" si="29"/>
        <v>0</v>
      </c>
      <c r="P333" s="402" t="s">
        <v>4316</v>
      </c>
    </row>
    <row r="334" spans="1:16">
      <c r="A334" s="345">
        <v>20150210</v>
      </c>
      <c r="B334" s="403" t="s">
        <v>4317</v>
      </c>
      <c r="C334" s="403" t="s">
        <v>4318</v>
      </c>
      <c r="E334" s="345">
        <v>12857</v>
      </c>
      <c r="F334" s="345">
        <v>643</v>
      </c>
      <c r="G334" s="393">
        <f t="shared" si="27"/>
        <v>13500</v>
      </c>
      <c r="H334" s="350">
        <v>8</v>
      </c>
      <c r="I334" s="398" t="s">
        <v>4040</v>
      </c>
      <c r="L334" s="350">
        <v>13485</v>
      </c>
      <c r="M334" s="350">
        <f t="shared" si="28"/>
        <v>13485</v>
      </c>
      <c r="N334" s="351">
        <v>15</v>
      </c>
      <c r="O334" s="351">
        <f t="shared" si="29"/>
        <v>0</v>
      </c>
      <c r="P334" s="402" t="s">
        <v>4319</v>
      </c>
    </row>
    <row r="335" spans="1:16">
      <c r="A335" s="345">
        <v>20150210</v>
      </c>
      <c r="B335" s="403" t="s">
        <v>4320</v>
      </c>
      <c r="C335" s="403" t="s">
        <v>447</v>
      </c>
      <c r="E335" s="345">
        <v>12600</v>
      </c>
      <c r="F335" s="345">
        <v>630</v>
      </c>
      <c r="G335" s="393">
        <f t="shared" si="27"/>
        <v>13230</v>
      </c>
      <c r="H335" s="350">
        <v>7</v>
      </c>
      <c r="I335" s="398" t="s">
        <v>4073</v>
      </c>
      <c r="L335" s="350">
        <v>13220</v>
      </c>
      <c r="M335" s="350">
        <f t="shared" si="28"/>
        <v>13220</v>
      </c>
      <c r="N335" s="351">
        <v>10</v>
      </c>
      <c r="O335" s="351">
        <f t="shared" si="29"/>
        <v>0</v>
      </c>
      <c r="P335" s="402" t="s">
        <v>4321</v>
      </c>
    </row>
    <row r="336" spans="1:16">
      <c r="A336" s="345">
        <v>20150210</v>
      </c>
      <c r="B336" s="403" t="s">
        <v>4322</v>
      </c>
      <c r="C336" s="403" t="s">
        <v>456</v>
      </c>
      <c r="E336" s="345">
        <v>13500</v>
      </c>
      <c r="F336" s="345">
        <v>675</v>
      </c>
      <c r="G336" s="393">
        <f t="shared" si="27"/>
        <v>14175</v>
      </c>
      <c r="H336" s="350">
        <v>7</v>
      </c>
      <c r="I336" s="398" t="s">
        <v>4034</v>
      </c>
      <c r="L336" s="350">
        <v>14175</v>
      </c>
      <c r="M336" s="350">
        <f t="shared" si="28"/>
        <v>14175</v>
      </c>
      <c r="O336" s="351">
        <f t="shared" si="29"/>
        <v>0</v>
      </c>
      <c r="P336" s="402" t="s">
        <v>4323</v>
      </c>
    </row>
    <row r="337" spans="1:16">
      <c r="B337" s="403" t="s">
        <v>4324</v>
      </c>
      <c r="D337" s="254" t="s">
        <v>1235</v>
      </c>
      <c r="G337" s="393">
        <f t="shared" si="27"/>
        <v>0</v>
      </c>
      <c r="M337" s="350">
        <f t="shared" si="28"/>
        <v>0</v>
      </c>
      <c r="O337" s="351">
        <f t="shared" si="29"/>
        <v>0</v>
      </c>
      <c r="P337" s="402"/>
    </row>
    <row r="338" spans="1:16">
      <c r="B338" s="403" t="s">
        <v>4325</v>
      </c>
      <c r="D338" s="254" t="s">
        <v>1235</v>
      </c>
      <c r="G338" s="393">
        <f t="shared" si="27"/>
        <v>0</v>
      </c>
      <c r="M338" s="350">
        <f t="shared" si="28"/>
        <v>0</v>
      </c>
      <c r="O338" s="351">
        <f t="shared" si="29"/>
        <v>0</v>
      </c>
      <c r="P338" s="402"/>
    </row>
    <row r="339" spans="1:16">
      <c r="A339" s="345">
        <v>20150212</v>
      </c>
      <c r="B339" s="403" t="s">
        <v>4326</v>
      </c>
      <c r="C339" s="403" t="s">
        <v>906</v>
      </c>
      <c r="E339" s="345">
        <v>108000</v>
      </c>
      <c r="F339" s="345">
        <v>5400</v>
      </c>
      <c r="G339" s="393">
        <f t="shared" si="27"/>
        <v>113400</v>
      </c>
      <c r="H339" s="377" t="s">
        <v>1276</v>
      </c>
      <c r="I339" s="398" t="s">
        <v>4327</v>
      </c>
      <c r="J339" s="350">
        <v>113400</v>
      </c>
      <c r="M339" s="350">
        <f t="shared" si="28"/>
        <v>113400</v>
      </c>
      <c r="O339" s="351">
        <f t="shared" si="29"/>
        <v>0</v>
      </c>
      <c r="P339" s="402" t="s">
        <v>4328</v>
      </c>
    </row>
    <row r="340" spans="1:16">
      <c r="A340" s="345">
        <v>20150309</v>
      </c>
      <c r="B340" s="403" t="s">
        <v>4329</v>
      </c>
      <c r="C340" s="403" t="s">
        <v>4056</v>
      </c>
      <c r="E340" s="345">
        <v>19500</v>
      </c>
      <c r="F340" s="345">
        <v>975</v>
      </c>
      <c r="G340" s="393">
        <f>E340+F340</f>
        <v>20475</v>
      </c>
      <c r="H340" s="399" t="s">
        <v>4330</v>
      </c>
      <c r="I340" s="350">
        <v>952</v>
      </c>
      <c r="J340" s="350">
        <v>20475</v>
      </c>
      <c r="M340" s="350">
        <f>J340+K340+L340</f>
        <v>20475</v>
      </c>
      <c r="O340" s="351">
        <f>G340-M340-N340</f>
        <v>0</v>
      </c>
      <c r="P340" s="402" t="s">
        <v>4331</v>
      </c>
    </row>
    <row r="341" spans="1:16">
      <c r="A341" s="345">
        <v>20150317</v>
      </c>
      <c r="B341" s="403" t="s">
        <v>4332</v>
      </c>
      <c r="C341" s="403" t="s">
        <v>4038</v>
      </c>
      <c r="E341" s="345">
        <v>108000</v>
      </c>
      <c r="F341" s="345">
        <v>5400</v>
      </c>
      <c r="G341" s="393">
        <f>E341+F341</f>
        <v>113400</v>
      </c>
      <c r="H341" s="377" t="s">
        <v>1276</v>
      </c>
      <c r="I341" s="398" t="s">
        <v>4333</v>
      </c>
      <c r="J341" s="350">
        <v>113400</v>
      </c>
      <c r="M341" s="350">
        <f>J341+K341+L341</f>
        <v>113400</v>
      </c>
      <c r="O341" s="351">
        <f>G341-M341-N341</f>
        <v>0</v>
      </c>
      <c r="P341" s="402" t="s">
        <v>4334</v>
      </c>
    </row>
    <row r="342" spans="1:16">
      <c r="A342" s="345">
        <v>20150326</v>
      </c>
      <c r="B342" s="403" t="s">
        <v>4335</v>
      </c>
      <c r="C342" s="403" t="s">
        <v>4075</v>
      </c>
      <c r="E342" s="345">
        <v>108000</v>
      </c>
      <c r="F342" s="345">
        <v>5400</v>
      </c>
      <c r="G342" s="393">
        <f>E342+F342</f>
        <v>113400</v>
      </c>
      <c r="H342" s="377" t="s">
        <v>1276</v>
      </c>
      <c r="I342" s="398" t="s">
        <v>4336</v>
      </c>
      <c r="J342" s="350">
        <v>113400</v>
      </c>
      <c r="M342" s="350">
        <f>J342+K342+L342</f>
        <v>113400</v>
      </c>
      <c r="O342" s="351">
        <f>G342-M342-N342</f>
        <v>0</v>
      </c>
      <c r="P342" s="402" t="s">
        <v>4337</v>
      </c>
    </row>
    <row r="343" spans="1:16">
      <c r="A343" s="345">
        <v>20150414</v>
      </c>
      <c r="B343" s="403" t="s">
        <v>4338</v>
      </c>
      <c r="C343" s="403" t="s">
        <v>4339</v>
      </c>
      <c r="E343" s="345">
        <v>13500</v>
      </c>
      <c r="F343" s="345">
        <v>675</v>
      </c>
      <c r="G343" s="393">
        <f>E343+F343</f>
        <v>14175</v>
      </c>
      <c r="H343" s="350">
        <v>1</v>
      </c>
      <c r="I343" s="398" t="s">
        <v>4112</v>
      </c>
      <c r="L343" s="350">
        <v>14145</v>
      </c>
      <c r="M343" s="350">
        <f>J343+K343+L343</f>
        <v>14145</v>
      </c>
      <c r="N343" s="351">
        <v>30</v>
      </c>
      <c r="O343" s="351">
        <f>G343-M343-N343</f>
        <v>0</v>
      </c>
      <c r="P343" s="402" t="s">
        <v>4340</v>
      </c>
    </row>
    <row r="344" spans="1:16">
      <c r="A344" s="345">
        <v>20150504</v>
      </c>
      <c r="B344" s="403" t="s">
        <v>4341</v>
      </c>
      <c r="C344" s="403" t="s">
        <v>4113</v>
      </c>
      <c r="E344" s="345">
        <v>100800</v>
      </c>
      <c r="F344" s="345">
        <v>5040</v>
      </c>
      <c r="G344" s="393">
        <f t="shared" ref="G344:G394" si="30">E344+F344</f>
        <v>105840</v>
      </c>
      <c r="H344" s="377" t="s">
        <v>1276</v>
      </c>
      <c r="I344" s="398" t="s">
        <v>4342</v>
      </c>
      <c r="J344" s="350">
        <v>105840</v>
      </c>
      <c r="M344" s="350">
        <f t="shared" ref="M344:M394" si="31">J344+K344+L344</f>
        <v>105840</v>
      </c>
      <c r="O344" s="351">
        <f t="shared" ref="O344:O358" si="32">G344-M344-N344</f>
        <v>0</v>
      </c>
      <c r="P344" s="402" t="s">
        <v>4343</v>
      </c>
    </row>
    <row r="345" spans="1:16">
      <c r="A345" s="345">
        <v>20150505</v>
      </c>
      <c r="B345" s="403" t="s">
        <v>4344</v>
      </c>
      <c r="C345" s="403" t="s">
        <v>4094</v>
      </c>
      <c r="E345" s="345">
        <v>100800</v>
      </c>
      <c r="F345" s="345">
        <v>5040</v>
      </c>
      <c r="G345" s="393">
        <f t="shared" si="30"/>
        <v>105840</v>
      </c>
      <c r="H345" s="377" t="s">
        <v>1276</v>
      </c>
      <c r="I345" s="398" t="s">
        <v>4345</v>
      </c>
      <c r="J345" s="350">
        <v>105840</v>
      </c>
      <c r="M345" s="350">
        <f t="shared" si="31"/>
        <v>105840</v>
      </c>
      <c r="O345" s="351">
        <f t="shared" si="32"/>
        <v>0</v>
      </c>
      <c r="P345" s="402" t="s">
        <v>4346</v>
      </c>
    </row>
    <row r="346" spans="1:16">
      <c r="B346" s="403" t="s">
        <v>4347</v>
      </c>
      <c r="G346" s="393">
        <f t="shared" si="30"/>
        <v>0</v>
      </c>
      <c r="M346" s="350">
        <f t="shared" si="31"/>
        <v>0</v>
      </c>
      <c r="O346" s="351">
        <f t="shared" si="32"/>
        <v>0</v>
      </c>
      <c r="P346" s="402"/>
    </row>
    <row r="347" spans="1:16">
      <c r="A347" s="345">
        <v>20150508</v>
      </c>
      <c r="B347" s="403" t="s">
        <v>4348</v>
      </c>
      <c r="C347" s="403" t="s">
        <v>4056</v>
      </c>
      <c r="E347" s="345">
        <v>19500</v>
      </c>
      <c r="F347" s="345">
        <v>975</v>
      </c>
      <c r="G347" s="393">
        <f t="shared" si="30"/>
        <v>20475</v>
      </c>
      <c r="H347" s="350">
        <v>2</v>
      </c>
      <c r="I347" s="350">
        <v>953</v>
      </c>
      <c r="J347" s="350">
        <v>20475</v>
      </c>
      <c r="M347" s="350">
        <f t="shared" si="31"/>
        <v>20475</v>
      </c>
      <c r="O347" s="351">
        <f t="shared" si="32"/>
        <v>0</v>
      </c>
      <c r="P347" s="402" t="s">
        <v>4331</v>
      </c>
    </row>
    <row r="348" spans="1:16">
      <c r="A348" s="345">
        <v>20150508</v>
      </c>
      <c r="B348" s="403" t="s">
        <v>4349</v>
      </c>
      <c r="C348" s="403" t="s">
        <v>4204</v>
      </c>
      <c r="E348" s="345">
        <v>19500</v>
      </c>
      <c r="F348" s="345">
        <v>975</v>
      </c>
      <c r="G348" s="393">
        <f t="shared" si="30"/>
        <v>20475</v>
      </c>
      <c r="H348" s="350">
        <v>8</v>
      </c>
      <c r="I348" s="350">
        <v>740</v>
      </c>
      <c r="K348" s="350">
        <v>20475</v>
      </c>
      <c r="M348" s="350">
        <f t="shared" si="31"/>
        <v>20475</v>
      </c>
      <c r="O348" s="351">
        <f t="shared" si="32"/>
        <v>0</v>
      </c>
      <c r="P348" s="402" t="s">
        <v>4313</v>
      </c>
    </row>
    <row r="349" spans="1:16">
      <c r="A349" s="345">
        <v>20150508</v>
      </c>
      <c r="B349" s="403" t="s">
        <v>4350</v>
      </c>
      <c r="C349" s="403" t="s">
        <v>4000</v>
      </c>
      <c r="E349" s="345">
        <v>15600</v>
      </c>
      <c r="F349" s="345">
        <v>780</v>
      </c>
      <c r="G349" s="393">
        <f t="shared" si="30"/>
        <v>16380</v>
      </c>
      <c r="H349" s="350">
        <v>3</v>
      </c>
      <c r="I349" s="350">
        <v>918</v>
      </c>
      <c r="K349" s="350">
        <v>16380</v>
      </c>
      <c r="M349" s="350">
        <f t="shared" si="31"/>
        <v>16380</v>
      </c>
      <c r="O349" s="351">
        <f t="shared" si="32"/>
        <v>0</v>
      </c>
      <c r="P349" s="402" t="s">
        <v>4310</v>
      </c>
    </row>
    <row r="350" spans="1:16">
      <c r="A350" s="345">
        <v>20150508</v>
      </c>
      <c r="B350" s="403" t="s">
        <v>4351</v>
      </c>
      <c r="C350" s="403" t="s">
        <v>4000</v>
      </c>
      <c r="E350" s="345">
        <v>19500</v>
      </c>
      <c r="F350" s="345">
        <v>975</v>
      </c>
      <c r="G350" s="393">
        <f t="shared" si="30"/>
        <v>20475</v>
      </c>
      <c r="H350" s="350">
        <v>3</v>
      </c>
      <c r="I350" s="350">
        <v>902</v>
      </c>
      <c r="K350" s="350">
        <v>20475</v>
      </c>
      <c r="M350" s="350">
        <f t="shared" si="31"/>
        <v>20475</v>
      </c>
      <c r="O350" s="351">
        <f t="shared" si="32"/>
        <v>0</v>
      </c>
      <c r="P350" s="402" t="s">
        <v>4310</v>
      </c>
    </row>
    <row r="351" spans="1:16">
      <c r="A351" s="345">
        <v>20150508</v>
      </c>
      <c r="B351" s="403" t="s">
        <v>4352</v>
      </c>
      <c r="C351" s="403" t="s">
        <v>4201</v>
      </c>
      <c r="E351" s="345">
        <v>19500</v>
      </c>
      <c r="F351" s="345">
        <v>975</v>
      </c>
      <c r="G351" s="393">
        <f t="shared" si="30"/>
        <v>20475</v>
      </c>
      <c r="H351" s="350">
        <v>3</v>
      </c>
      <c r="I351" s="350">
        <v>910</v>
      </c>
      <c r="K351" s="350">
        <v>20475</v>
      </c>
      <c r="M351" s="350">
        <f t="shared" si="31"/>
        <v>20475</v>
      </c>
      <c r="O351" s="351">
        <f t="shared" si="32"/>
        <v>0</v>
      </c>
      <c r="P351" s="402" t="s">
        <v>4308</v>
      </c>
    </row>
    <row r="352" spans="1:16">
      <c r="A352" s="345">
        <v>20150508</v>
      </c>
      <c r="B352" s="403" t="s">
        <v>4353</v>
      </c>
      <c r="C352" s="403" t="s">
        <v>4315</v>
      </c>
      <c r="E352" s="345">
        <v>15600</v>
      </c>
      <c r="F352" s="345">
        <v>780</v>
      </c>
      <c r="G352" s="393">
        <f t="shared" si="30"/>
        <v>16380</v>
      </c>
      <c r="H352" s="350">
        <v>5</v>
      </c>
      <c r="I352" s="350">
        <v>1010</v>
      </c>
      <c r="J352" s="350">
        <v>16380</v>
      </c>
      <c r="M352" s="350">
        <f t="shared" si="31"/>
        <v>16380</v>
      </c>
      <c r="O352" s="351">
        <f t="shared" si="32"/>
        <v>0</v>
      </c>
      <c r="P352" s="402" t="s">
        <v>4316</v>
      </c>
    </row>
    <row r="353" spans="1:16">
      <c r="A353" s="345">
        <v>20150508</v>
      </c>
      <c r="B353" s="403" t="s">
        <v>4354</v>
      </c>
      <c r="C353" s="403" t="s">
        <v>447</v>
      </c>
      <c r="E353" s="345">
        <v>12600</v>
      </c>
      <c r="F353" s="345">
        <v>630</v>
      </c>
      <c r="G353" s="393">
        <f t="shared" si="30"/>
        <v>13230</v>
      </c>
      <c r="H353" s="350">
        <v>8</v>
      </c>
      <c r="I353" s="398" t="s">
        <v>4133</v>
      </c>
      <c r="L353" s="350">
        <v>13220</v>
      </c>
      <c r="M353" s="350">
        <f t="shared" si="31"/>
        <v>13220</v>
      </c>
      <c r="N353" s="351">
        <v>10</v>
      </c>
      <c r="O353" s="351">
        <f t="shared" si="32"/>
        <v>0</v>
      </c>
      <c r="P353" s="402" t="s">
        <v>4321</v>
      </c>
    </row>
    <row r="354" spans="1:16">
      <c r="A354" s="345">
        <v>20150508</v>
      </c>
      <c r="B354" s="403" t="s">
        <v>4355</v>
      </c>
      <c r="C354" s="403" t="s">
        <v>456</v>
      </c>
      <c r="E354" s="345">
        <v>13500</v>
      </c>
      <c r="F354" s="345">
        <v>675</v>
      </c>
      <c r="G354" s="393">
        <f t="shared" si="30"/>
        <v>14175</v>
      </c>
      <c r="H354" s="350">
        <v>8</v>
      </c>
      <c r="I354" s="398" t="s">
        <v>4148</v>
      </c>
      <c r="L354" s="350">
        <v>14175</v>
      </c>
      <c r="M354" s="350">
        <f t="shared" si="31"/>
        <v>14175</v>
      </c>
      <c r="O354" s="351">
        <f t="shared" si="32"/>
        <v>0</v>
      </c>
      <c r="P354" s="402" t="s">
        <v>4323</v>
      </c>
    </row>
    <row r="355" spans="1:16">
      <c r="A355" s="345">
        <v>20150511</v>
      </c>
      <c r="B355" s="403" t="s">
        <v>4356</v>
      </c>
      <c r="C355" s="403" t="s">
        <v>4149</v>
      </c>
      <c r="E355" s="345">
        <v>108000</v>
      </c>
      <c r="F355" s="345">
        <v>5400</v>
      </c>
      <c r="G355" s="393">
        <f t="shared" si="30"/>
        <v>113400</v>
      </c>
      <c r="H355" s="377" t="s">
        <v>1276</v>
      </c>
      <c r="I355" s="398" t="s">
        <v>4357</v>
      </c>
      <c r="J355" s="350">
        <v>113400</v>
      </c>
      <c r="M355" s="350">
        <f t="shared" si="31"/>
        <v>113400</v>
      </c>
      <c r="O355" s="351">
        <f t="shared" si="32"/>
        <v>0</v>
      </c>
      <c r="P355" s="402" t="s">
        <v>4358</v>
      </c>
    </row>
    <row r="356" spans="1:16">
      <c r="A356" s="345">
        <v>20150514</v>
      </c>
      <c r="B356" s="403" t="s">
        <v>4359</v>
      </c>
      <c r="C356" s="403" t="s">
        <v>4131</v>
      </c>
      <c r="E356" s="345">
        <v>108000</v>
      </c>
      <c r="F356" s="345">
        <v>5400</v>
      </c>
      <c r="G356" s="393">
        <f t="shared" si="30"/>
        <v>113400</v>
      </c>
      <c r="H356" s="377" t="s">
        <v>1276</v>
      </c>
      <c r="I356" s="398" t="s">
        <v>4360</v>
      </c>
      <c r="J356" s="350">
        <v>113400</v>
      </c>
      <c r="M356" s="350">
        <f t="shared" si="31"/>
        <v>113400</v>
      </c>
      <c r="O356" s="351">
        <f t="shared" si="32"/>
        <v>0</v>
      </c>
      <c r="P356" s="402" t="s">
        <v>4361</v>
      </c>
    </row>
    <row r="357" spans="1:16">
      <c r="A357" s="345">
        <v>20150529</v>
      </c>
      <c r="B357" s="403" t="s">
        <v>4362</v>
      </c>
      <c r="C357" s="403" t="s">
        <v>4162</v>
      </c>
      <c r="E357" s="345">
        <v>100800</v>
      </c>
      <c r="F357" s="345">
        <v>5040</v>
      </c>
      <c r="G357" s="393">
        <f t="shared" si="30"/>
        <v>105840</v>
      </c>
      <c r="H357" s="377" t="s">
        <v>1276</v>
      </c>
      <c r="I357" s="398" t="s">
        <v>4363</v>
      </c>
      <c r="J357" s="350">
        <v>105840</v>
      </c>
      <c r="M357" s="350">
        <f t="shared" si="31"/>
        <v>105840</v>
      </c>
      <c r="O357" s="351">
        <f t="shared" si="32"/>
        <v>0</v>
      </c>
      <c r="P357" s="402" t="s">
        <v>4364</v>
      </c>
    </row>
    <row r="358" spans="1:16">
      <c r="A358" s="345">
        <v>20150618</v>
      </c>
      <c r="B358" s="403" t="s">
        <v>4365</v>
      </c>
      <c r="C358" s="403" t="s">
        <v>4339</v>
      </c>
      <c r="E358" s="345">
        <v>13500</v>
      </c>
      <c r="F358" s="345">
        <v>675</v>
      </c>
      <c r="G358" s="393">
        <f t="shared" si="30"/>
        <v>14175</v>
      </c>
      <c r="H358" s="350">
        <v>2</v>
      </c>
      <c r="I358" s="398" t="s">
        <v>4195</v>
      </c>
      <c r="L358" s="350">
        <v>14145</v>
      </c>
      <c r="M358" s="350">
        <f t="shared" si="31"/>
        <v>14145</v>
      </c>
      <c r="N358" s="351">
        <v>30</v>
      </c>
      <c r="O358" s="351">
        <f t="shared" si="32"/>
        <v>0</v>
      </c>
      <c r="P358" s="402" t="s">
        <v>4340</v>
      </c>
    </row>
    <row r="359" spans="1:16">
      <c r="A359" s="345">
        <v>20150708</v>
      </c>
      <c r="B359" s="403" t="s">
        <v>4366</v>
      </c>
      <c r="C359" s="403" t="s">
        <v>4318</v>
      </c>
      <c r="E359" s="345">
        <v>12857</v>
      </c>
      <c r="F359" s="345">
        <v>643</v>
      </c>
      <c r="G359" s="393">
        <f t="shared" si="30"/>
        <v>13500</v>
      </c>
      <c r="H359" s="350">
        <v>1</v>
      </c>
      <c r="I359" s="398" t="s">
        <v>4197</v>
      </c>
      <c r="L359" s="350">
        <v>13485</v>
      </c>
      <c r="M359" s="350">
        <f t="shared" si="31"/>
        <v>13485</v>
      </c>
      <c r="N359" s="351">
        <v>15</v>
      </c>
      <c r="O359" s="351">
        <f>G359-M359-N359</f>
        <v>0</v>
      </c>
      <c r="P359" s="402" t="s">
        <v>4319</v>
      </c>
    </row>
    <row r="360" spans="1:16">
      <c r="A360" s="345">
        <v>20150720</v>
      </c>
      <c r="B360" s="403" t="s">
        <v>4367</v>
      </c>
      <c r="C360" s="403" t="s">
        <v>4182</v>
      </c>
      <c r="E360" s="345">
        <v>91200</v>
      </c>
      <c r="F360" s="345">
        <v>4560</v>
      </c>
      <c r="G360" s="393">
        <f t="shared" si="30"/>
        <v>95760</v>
      </c>
      <c r="H360" s="377" t="s">
        <v>1276</v>
      </c>
      <c r="I360" s="398" t="s">
        <v>4368</v>
      </c>
      <c r="J360" s="350">
        <v>95760</v>
      </c>
      <c r="M360" s="350">
        <f t="shared" si="31"/>
        <v>95760</v>
      </c>
      <c r="O360" s="351">
        <f t="shared" ref="O360:O394" si="33">G360-M360-N360</f>
        <v>0</v>
      </c>
      <c r="P360" s="402" t="s">
        <v>4369</v>
      </c>
    </row>
    <row r="361" spans="1:16">
      <c r="A361" s="345">
        <v>20150723</v>
      </c>
      <c r="B361" s="403" t="s">
        <v>4370</v>
      </c>
      <c r="C361" s="403" t="s">
        <v>456</v>
      </c>
      <c r="E361" s="345">
        <v>12600</v>
      </c>
      <c r="F361" s="345">
        <v>630</v>
      </c>
      <c r="G361" s="393">
        <f t="shared" si="30"/>
        <v>13230</v>
      </c>
      <c r="H361" s="350">
        <v>1</v>
      </c>
      <c r="I361" s="398" t="s">
        <v>4117</v>
      </c>
      <c r="L361" s="350">
        <v>13230</v>
      </c>
      <c r="M361" s="350">
        <f t="shared" si="31"/>
        <v>13230</v>
      </c>
      <c r="O361" s="351">
        <f t="shared" si="33"/>
        <v>0</v>
      </c>
      <c r="P361" s="402" t="s">
        <v>4323</v>
      </c>
    </row>
    <row r="362" spans="1:16">
      <c r="A362" s="345">
        <v>20150818</v>
      </c>
      <c r="B362" s="403" t="s">
        <v>4371</v>
      </c>
      <c r="C362" s="403" t="s">
        <v>4201</v>
      </c>
      <c r="E362" s="345">
        <v>19500</v>
      </c>
      <c r="F362" s="345">
        <v>975</v>
      </c>
      <c r="G362" s="393">
        <f t="shared" si="30"/>
        <v>20475</v>
      </c>
      <c r="H362" s="350">
        <v>4</v>
      </c>
      <c r="I362" s="350">
        <v>911</v>
      </c>
      <c r="K362" s="350">
        <v>20475</v>
      </c>
      <c r="M362" s="350">
        <f t="shared" si="31"/>
        <v>20475</v>
      </c>
      <c r="O362" s="351">
        <f t="shared" si="33"/>
        <v>0</v>
      </c>
      <c r="P362" s="402" t="s">
        <v>4308</v>
      </c>
    </row>
    <row r="363" spans="1:16">
      <c r="A363" s="345">
        <v>20150818</v>
      </c>
      <c r="B363" s="403" t="s">
        <v>4372</v>
      </c>
      <c r="C363" s="403" t="s">
        <v>4000</v>
      </c>
      <c r="E363" s="345">
        <v>19500</v>
      </c>
      <c r="F363" s="345">
        <v>975</v>
      </c>
      <c r="G363" s="393">
        <f t="shared" si="30"/>
        <v>20475</v>
      </c>
      <c r="H363" s="350">
        <v>4</v>
      </c>
      <c r="I363" s="350">
        <v>903</v>
      </c>
      <c r="K363" s="350">
        <v>20475</v>
      </c>
      <c r="M363" s="350">
        <f t="shared" si="31"/>
        <v>20475</v>
      </c>
      <c r="O363" s="351">
        <f t="shared" si="33"/>
        <v>0</v>
      </c>
      <c r="P363" s="402" t="s">
        <v>4310</v>
      </c>
    </row>
    <row r="364" spans="1:16">
      <c r="A364" s="345">
        <v>20150818</v>
      </c>
      <c r="B364" s="403" t="s">
        <v>4373</v>
      </c>
      <c r="C364" s="403" t="s">
        <v>4000</v>
      </c>
      <c r="E364" s="345">
        <v>15600</v>
      </c>
      <c r="F364" s="345">
        <v>780</v>
      </c>
      <c r="G364" s="393">
        <f t="shared" si="30"/>
        <v>16380</v>
      </c>
      <c r="H364" s="350">
        <v>4</v>
      </c>
      <c r="I364" s="350">
        <v>919</v>
      </c>
      <c r="K364" s="350">
        <v>16380</v>
      </c>
      <c r="M364" s="350">
        <f t="shared" si="31"/>
        <v>16380</v>
      </c>
      <c r="O364" s="351">
        <f t="shared" si="33"/>
        <v>0</v>
      </c>
      <c r="P364" s="402" t="s">
        <v>4310</v>
      </c>
    </row>
    <row r="365" spans="1:16">
      <c r="A365" s="345">
        <v>20150818</v>
      </c>
      <c r="B365" s="403" t="s">
        <v>4374</v>
      </c>
      <c r="C365" s="403" t="s">
        <v>4056</v>
      </c>
      <c r="E365" s="345">
        <v>19500</v>
      </c>
      <c r="F365" s="345">
        <v>975</v>
      </c>
      <c r="G365" s="393">
        <f t="shared" si="30"/>
        <v>20475</v>
      </c>
      <c r="H365" s="350">
        <v>3</v>
      </c>
      <c r="I365" s="350">
        <v>954</v>
      </c>
      <c r="J365" s="350">
        <v>20475</v>
      </c>
      <c r="M365" s="350">
        <f t="shared" si="31"/>
        <v>20475</v>
      </c>
      <c r="O365" s="351">
        <f t="shared" si="33"/>
        <v>0</v>
      </c>
      <c r="P365" s="402" t="s">
        <v>4331</v>
      </c>
    </row>
    <row r="366" spans="1:16">
      <c r="A366" s="345">
        <v>20150818</v>
      </c>
      <c r="B366" s="403" t="s">
        <v>4375</v>
      </c>
      <c r="C366" s="403" t="s">
        <v>4315</v>
      </c>
      <c r="E366" s="345">
        <v>15600</v>
      </c>
      <c r="F366" s="345">
        <v>780</v>
      </c>
      <c r="G366" s="393">
        <f t="shared" si="30"/>
        <v>16380</v>
      </c>
      <c r="H366" s="350">
        <v>6</v>
      </c>
      <c r="I366" s="350">
        <v>1020</v>
      </c>
      <c r="J366" s="350">
        <v>16380</v>
      </c>
      <c r="M366" s="350">
        <f t="shared" si="31"/>
        <v>16380</v>
      </c>
      <c r="O366" s="351">
        <f t="shared" si="33"/>
        <v>0</v>
      </c>
      <c r="P366" s="402" t="s">
        <v>4316</v>
      </c>
    </row>
    <row r="367" spans="1:16">
      <c r="A367" s="345">
        <v>20150917</v>
      </c>
      <c r="B367" s="403" t="s">
        <v>4376</v>
      </c>
      <c r="C367" s="403" t="s">
        <v>4339</v>
      </c>
      <c r="E367" s="345">
        <v>13500</v>
      </c>
      <c r="F367" s="345">
        <v>675</v>
      </c>
      <c r="G367" s="393">
        <f t="shared" si="30"/>
        <v>14175</v>
      </c>
      <c r="H367" s="350">
        <v>2</v>
      </c>
      <c r="I367" s="398" t="s">
        <v>4195</v>
      </c>
      <c r="L367" s="350">
        <v>14145</v>
      </c>
      <c r="M367" s="350">
        <f t="shared" si="31"/>
        <v>14145</v>
      </c>
      <c r="N367" s="351">
        <v>30</v>
      </c>
      <c r="O367" s="351">
        <f t="shared" si="33"/>
        <v>0</v>
      </c>
      <c r="P367" s="402" t="s">
        <v>4340</v>
      </c>
    </row>
    <row r="368" spans="1:16">
      <c r="A368" s="345">
        <v>20150917</v>
      </c>
      <c r="B368" s="403" t="s">
        <v>4377</v>
      </c>
      <c r="C368" s="403" t="s">
        <v>4318</v>
      </c>
      <c r="E368" s="345">
        <v>12857</v>
      </c>
      <c r="F368" s="345">
        <v>643</v>
      </c>
      <c r="G368" s="393">
        <f t="shared" si="30"/>
        <v>13500</v>
      </c>
      <c r="H368" s="350">
        <v>2</v>
      </c>
      <c r="I368" s="398" t="s">
        <v>4215</v>
      </c>
      <c r="L368" s="350">
        <v>13485</v>
      </c>
      <c r="M368" s="350">
        <f t="shared" si="31"/>
        <v>13485</v>
      </c>
      <c r="N368" s="601">
        <v>15</v>
      </c>
      <c r="O368" s="351">
        <f t="shared" si="33"/>
        <v>0</v>
      </c>
      <c r="P368" s="402" t="s">
        <v>4319</v>
      </c>
    </row>
    <row r="369" spans="1:16">
      <c r="A369" s="345">
        <v>20151012</v>
      </c>
      <c r="B369" s="403" t="s">
        <v>4378</v>
      </c>
      <c r="C369" s="403" t="s">
        <v>4201</v>
      </c>
      <c r="E369" s="345">
        <v>108000</v>
      </c>
      <c r="F369" s="345">
        <v>5400</v>
      </c>
      <c r="G369" s="393">
        <f t="shared" si="30"/>
        <v>113400</v>
      </c>
      <c r="H369" s="377"/>
      <c r="I369" s="398" t="s">
        <v>4200</v>
      </c>
      <c r="L369" s="350">
        <v>113400</v>
      </c>
      <c r="M369" s="350">
        <f t="shared" si="31"/>
        <v>113400</v>
      </c>
      <c r="O369" s="351">
        <f t="shared" si="33"/>
        <v>0</v>
      </c>
      <c r="P369" s="402" t="s">
        <v>4308</v>
      </c>
    </row>
    <row r="370" spans="1:16">
      <c r="A370" s="345">
        <v>20151012</v>
      </c>
      <c r="B370" s="403" t="s">
        <v>4379</v>
      </c>
      <c r="C370" s="403" t="s">
        <v>4000</v>
      </c>
      <c r="E370" s="345">
        <v>108000</v>
      </c>
      <c r="F370" s="345">
        <v>5400</v>
      </c>
      <c r="G370" s="393">
        <f t="shared" si="30"/>
        <v>113400</v>
      </c>
      <c r="H370" s="377"/>
      <c r="I370" s="398" t="s">
        <v>3965</v>
      </c>
      <c r="L370" s="350">
        <v>113390</v>
      </c>
      <c r="M370" s="350">
        <f t="shared" si="31"/>
        <v>113390</v>
      </c>
      <c r="N370" s="351">
        <v>10</v>
      </c>
      <c r="O370" s="351">
        <f t="shared" si="33"/>
        <v>0</v>
      </c>
      <c r="P370" s="402" t="s">
        <v>4310</v>
      </c>
    </row>
    <row r="371" spans="1:16">
      <c r="A371" s="345">
        <v>20151023</v>
      </c>
      <c r="B371" s="403" t="s">
        <v>4380</v>
      </c>
      <c r="C371" s="403" t="s">
        <v>4204</v>
      </c>
      <c r="E371" s="345">
        <v>19500</v>
      </c>
      <c r="F371" s="345">
        <v>975</v>
      </c>
      <c r="G371" s="393">
        <f t="shared" si="30"/>
        <v>20475</v>
      </c>
      <c r="H371" s="350">
        <v>1</v>
      </c>
      <c r="I371" s="350">
        <v>1021</v>
      </c>
      <c r="J371" s="350">
        <v>20475</v>
      </c>
      <c r="M371" s="350">
        <f t="shared" si="31"/>
        <v>20475</v>
      </c>
      <c r="O371" s="351">
        <f t="shared" si="33"/>
        <v>0</v>
      </c>
      <c r="P371" s="402" t="s">
        <v>4313</v>
      </c>
    </row>
    <row r="372" spans="1:16">
      <c r="A372" s="345">
        <v>20151023</v>
      </c>
      <c r="B372" s="403" t="s">
        <v>4381</v>
      </c>
      <c r="C372" s="403" t="s">
        <v>456</v>
      </c>
      <c r="E372" s="345">
        <v>12600</v>
      </c>
      <c r="F372" s="345">
        <v>630</v>
      </c>
      <c r="G372" s="393">
        <f t="shared" si="30"/>
        <v>13230</v>
      </c>
      <c r="H372" s="350">
        <v>2</v>
      </c>
      <c r="I372" s="398" t="s">
        <v>4203</v>
      </c>
      <c r="L372" s="350">
        <v>13230</v>
      </c>
      <c r="M372" s="350">
        <f t="shared" si="31"/>
        <v>13230</v>
      </c>
      <c r="O372" s="351">
        <f t="shared" si="33"/>
        <v>0</v>
      </c>
      <c r="P372" s="402" t="s">
        <v>4323</v>
      </c>
    </row>
    <row r="373" spans="1:16">
      <c r="A373" s="345">
        <v>20151102</v>
      </c>
      <c r="B373" s="403" t="s">
        <v>4382</v>
      </c>
      <c r="C373" s="403" t="s">
        <v>831</v>
      </c>
      <c r="E373" s="345">
        <v>86857</v>
      </c>
      <c r="F373" s="345">
        <v>4343</v>
      </c>
      <c r="G373" s="393">
        <f t="shared" si="30"/>
        <v>91200</v>
      </c>
      <c r="H373" s="377" t="s">
        <v>1276</v>
      </c>
      <c r="I373" s="398" t="s">
        <v>4383</v>
      </c>
      <c r="J373" s="350">
        <v>91200</v>
      </c>
      <c r="M373" s="350">
        <f t="shared" si="31"/>
        <v>91200</v>
      </c>
      <c r="O373" s="351">
        <f t="shared" si="33"/>
        <v>0</v>
      </c>
      <c r="P373" s="402" t="s">
        <v>4384</v>
      </c>
    </row>
    <row r="374" spans="1:16">
      <c r="A374" s="345">
        <v>20151102</v>
      </c>
      <c r="B374" s="403" t="s">
        <v>4385</v>
      </c>
      <c r="C374" s="403" t="s">
        <v>4201</v>
      </c>
      <c r="E374" s="345">
        <v>19500</v>
      </c>
      <c r="F374" s="345">
        <v>975</v>
      </c>
      <c r="G374" s="393">
        <f t="shared" si="30"/>
        <v>20475</v>
      </c>
      <c r="H374" s="350">
        <v>5</v>
      </c>
      <c r="I374" s="350">
        <v>912</v>
      </c>
      <c r="K374" s="350">
        <v>20475</v>
      </c>
      <c r="M374" s="350">
        <f t="shared" si="31"/>
        <v>20475</v>
      </c>
      <c r="O374" s="351">
        <f t="shared" si="33"/>
        <v>0</v>
      </c>
      <c r="P374" s="402" t="s">
        <v>4308</v>
      </c>
    </row>
    <row r="375" spans="1:16">
      <c r="A375" s="345">
        <v>20151111</v>
      </c>
      <c r="B375" s="403" t="s">
        <v>4386</v>
      </c>
      <c r="C375" s="403" t="s">
        <v>4000</v>
      </c>
      <c r="E375" s="345">
        <v>19500</v>
      </c>
      <c r="F375" s="345">
        <v>975</v>
      </c>
      <c r="G375" s="393">
        <f t="shared" si="30"/>
        <v>20475</v>
      </c>
      <c r="H375" s="350">
        <v>5</v>
      </c>
      <c r="I375" s="350">
        <v>904</v>
      </c>
      <c r="K375" s="350">
        <v>20475</v>
      </c>
      <c r="M375" s="350">
        <f t="shared" si="31"/>
        <v>20475</v>
      </c>
      <c r="O375" s="351">
        <f t="shared" si="33"/>
        <v>0</v>
      </c>
      <c r="P375" s="402" t="s">
        <v>4310</v>
      </c>
    </row>
    <row r="376" spans="1:16">
      <c r="A376" s="345">
        <v>20151111</v>
      </c>
      <c r="B376" s="403" t="s">
        <v>4387</v>
      </c>
      <c r="C376" s="403" t="s">
        <v>4000</v>
      </c>
      <c r="E376" s="345">
        <v>15600</v>
      </c>
      <c r="F376" s="345">
        <v>780</v>
      </c>
      <c r="G376" s="393">
        <f t="shared" si="30"/>
        <v>16380</v>
      </c>
      <c r="H376" s="350">
        <v>5</v>
      </c>
      <c r="I376" s="350">
        <v>920</v>
      </c>
      <c r="K376" s="350">
        <v>16380</v>
      </c>
      <c r="M376" s="350">
        <f t="shared" si="31"/>
        <v>16380</v>
      </c>
      <c r="O376" s="351">
        <f t="shared" si="33"/>
        <v>0</v>
      </c>
      <c r="P376" s="402" t="s">
        <v>4310</v>
      </c>
    </row>
    <row r="377" spans="1:16">
      <c r="A377" s="345">
        <v>20151111</v>
      </c>
      <c r="B377" s="403" t="s">
        <v>4388</v>
      </c>
      <c r="C377" s="403" t="s">
        <v>4204</v>
      </c>
      <c r="E377" s="345">
        <v>19500</v>
      </c>
      <c r="F377" s="345">
        <v>975</v>
      </c>
      <c r="G377" s="393">
        <f t="shared" si="30"/>
        <v>20475</v>
      </c>
      <c r="H377" s="350">
        <v>2</v>
      </c>
      <c r="I377" s="350">
        <v>1022</v>
      </c>
      <c r="J377" s="350">
        <v>20475</v>
      </c>
      <c r="M377" s="350">
        <f t="shared" si="31"/>
        <v>20475</v>
      </c>
      <c r="O377" s="351">
        <f t="shared" si="33"/>
        <v>0</v>
      </c>
      <c r="P377" s="402" t="s">
        <v>4313</v>
      </c>
    </row>
    <row r="378" spans="1:16">
      <c r="A378" s="345">
        <v>20151111</v>
      </c>
      <c r="B378" s="403" t="s">
        <v>4389</v>
      </c>
      <c r="C378" s="403" t="s">
        <v>4056</v>
      </c>
      <c r="E378" s="345">
        <v>19500</v>
      </c>
      <c r="F378" s="345">
        <v>975</v>
      </c>
      <c r="G378" s="393">
        <f t="shared" si="30"/>
        <v>20475</v>
      </c>
      <c r="H378" s="350">
        <v>4</v>
      </c>
      <c r="I378" s="350">
        <v>955</v>
      </c>
      <c r="J378" s="350">
        <v>20475</v>
      </c>
      <c r="M378" s="350">
        <f t="shared" si="31"/>
        <v>20475</v>
      </c>
      <c r="O378" s="351">
        <f t="shared" si="33"/>
        <v>0</v>
      </c>
      <c r="P378" s="402" t="s">
        <v>4331</v>
      </c>
    </row>
    <row r="379" spans="1:16">
      <c r="A379" s="345">
        <v>20151111</v>
      </c>
      <c r="B379" s="403" t="s">
        <v>4390</v>
      </c>
      <c r="C379" s="403" t="s">
        <v>4315</v>
      </c>
      <c r="E379" s="345">
        <v>15600</v>
      </c>
      <c r="F379" s="345">
        <v>780</v>
      </c>
      <c r="G379" s="393">
        <f t="shared" si="30"/>
        <v>16380</v>
      </c>
      <c r="H379" s="350">
        <v>7</v>
      </c>
      <c r="I379" s="350">
        <v>1070</v>
      </c>
      <c r="J379" s="350">
        <v>16380</v>
      </c>
      <c r="M379" s="350">
        <f t="shared" si="31"/>
        <v>16380</v>
      </c>
      <c r="O379" s="351">
        <f t="shared" si="33"/>
        <v>0</v>
      </c>
      <c r="P379" s="402" t="s">
        <v>4316</v>
      </c>
    </row>
    <row r="380" spans="1:16">
      <c r="A380" s="345">
        <v>20151111</v>
      </c>
      <c r="B380" s="403" t="s">
        <v>4391</v>
      </c>
      <c r="C380" s="403" t="s">
        <v>4230</v>
      </c>
      <c r="E380" s="345">
        <v>43200</v>
      </c>
      <c r="F380" s="345">
        <v>2160</v>
      </c>
      <c r="G380" s="393">
        <f t="shared" si="30"/>
        <v>45360</v>
      </c>
      <c r="H380" s="399" t="s">
        <v>4392</v>
      </c>
      <c r="I380" s="398" t="s">
        <v>4393</v>
      </c>
      <c r="J380" s="350">
        <v>45360</v>
      </c>
      <c r="M380" s="350">
        <f t="shared" si="31"/>
        <v>45360</v>
      </c>
      <c r="O380" s="351">
        <f t="shared" si="33"/>
        <v>0</v>
      </c>
      <c r="P380" s="402" t="s">
        <v>4394</v>
      </c>
    </row>
    <row r="381" spans="1:16">
      <c r="A381" s="345">
        <v>20151111</v>
      </c>
      <c r="B381" s="403" t="s">
        <v>4395</v>
      </c>
      <c r="C381" s="403" t="s">
        <v>4271</v>
      </c>
      <c r="E381" s="345">
        <v>19500</v>
      </c>
      <c r="F381" s="345">
        <v>975</v>
      </c>
      <c r="G381" s="393">
        <f t="shared" si="30"/>
        <v>20475</v>
      </c>
      <c r="H381" s="350">
        <v>5</v>
      </c>
      <c r="I381" s="350">
        <v>1058</v>
      </c>
      <c r="J381" s="350">
        <v>20475</v>
      </c>
      <c r="M381" s="350">
        <f t="shared" si="31"/>
        <v>20475</v>
      </c>
      <c r="O381" s="351">
        <f t="shared" si="33"/>
        <v>0</v>
      </c>
      <c r="P381" s="402" t="s">
        <v>4396</v>
      </c>
    </row>
    <row r="382" spans="1:16">
      <c r="A382" s="345">
        <v>20151111</v>
      </c>
      <c r="B382" s="403" t="s">
        <v>4397</v>
      </c>
      <c r="C382" s="403" t="s">
        <v>4271</v>
      </c>
      <c r="E382" s="345">
        <v>19500</v>
      </c>
      <c r="F382" s="345">
        <v>975</v>
      </c>
      <c r="G382" s="393">
        <f>E382+F382</f>
        <v>20475</v>
      </c>
      <c r="H382" s="350">
        <v>6</v>
      </c>
      <c r="I382" s="350">
        <v>1059</v>
      </c>
      <c r="J382" s="350">
        <v>20475</v>
      </c>
      <c r="M382" s="350">
        <f t="shared" si="31"/>
        <v>20475</v>
      </c>
      <c r="O382" s="351">
        <f t="shared" si="33"/>
        <v>0</v>
      </c>
      <c r="P382" s="402" t="s">
        <v>4396</v>
      </c>
    </row>
    <row r="383" spans="1:16">
      <c r="A383" s="345">
        <v>20151111</v>
      </c>
      <c r="B383" s="403" t="s">
        <v>4398</v>
      </c>
      <c r="C383" s="403" t="s">
        <v>4271</v>
      </c>
      <c r="E383" s="345">
        <v>19500</v>
      </c>
      <c r="F383" s="345">
        <v>975</v>
      </c>
      <c r="G383" s="393">
        <f>E383+F383</f>
        <v>20475</v>
      </c>
      <c r="H383" s="350">
        <v>7</v>
      </c>
      <c r="I383" s="350">
        <v>1060</v>
      </c>
      <c r="J383" s="350">
        <v>20475</v>
      </c>
      <c r="M383" s="350">
        <f t="shared" si="31"/>
        <v>20475</v>
      </c>
      <c r="O383" s="351">
        <f t="shared" si="33"/>
        <v>0</v>
      </c>
      <c r="P383" s="402" t="s">
        <v>4396</v>
      </c>
    </row>
    <row r="384" spans="1:16">
      <c r="A384" s="345">
        <v>20151111</v>
      </c>
      <c r="B384" s="403" t="s">
        <v>4399</v>
      </c>
      <c r="C384" s="403" t="s">
        <v>4271</v>
      </c>
      <c r="E384" s="345">
        <v>19500</v>
      </c>
      <c r="F384" s="345">
        <v>975</v>
      </c>
      <c r="G384" s="393">
        <f>E384+F384</f>
        <v>20475</v>
      </c>
      <c r="H384" s="350">
        <v>8</v>
      </c>
      <c r="I384" s="350">
        <v>1061</v>
      </c>
      <c r="J384" s="350">
        <v>20475</v>
      </c>
      <c r="M384" s="350">
        <f t="shared" si="31"/>
        <v>20475</v>
      </c>
      <c r="O384" s="351">
        <f t="shared" si="33"/>
        <v>0</v>
      </c>
      <c r="P384" s="402" t="s">
        <v>4396</v>
      </c>
    </row>
    <row r="385" spans="1:18">
      <c r="A385" s="345">
        <v>20151209</v>
      </c>
      <c r="B385" s="403" t="s">
        <v>4400</v>
      </c>
      <c r="C385" s="403" t="s">
        <v>4339</v>
      </c>
      <c r="E385" s="345">
        <v>13500</v>
      </c>
      <c r="F385" s="345">
        <v>675</v>
      </c>
      <c r="G385" s="393">
        <f t="shared" si="30"/>
        <v>14175</v>
      </c>
      <c r="H385" s="350">
        <v>4</v>
      </c>
      <c r="I385" s="398" t="s">
        <v>4752</v>
      </c>
      <c r="L385" s="350">
        <v>14145</v>
      </c>
      <c r="M385" s="350">
        <f t="shared" si="31"/>
        <v>14145</v>
      </c>
      <c r="N385" s="601">
        <v>30</v>
      </c>
      <c r="O385" s="351">
        <f t="shared" si="33"/>
        <v>0</v>
      </c>
      <c r="P385" s="402" t="s">
        <v>4340</v>
      </c>
    </row>
    <row r="386" spans="1:18">
      <c r="A386" s="345">
        <v>20151209</v>
      </c>
      <c r="B386" s="403" t="s">
        <v>4401</v>
      </c>
      <c r="C386" s="403" t="s">
        <v>4318</v>
      </c>
      <c r="E386" s="345">
        <v>12857</v>
      </c>
      <c r="F386" s="345">
        <v>643</v>
      </c>
      <c r="G386" s="393">
        <f t="shared" si="30"/>
        <v>13500</v>
      </c>
      <c r="H386" s="350">
        <v>3</v>
      </c>
      <c r="I386" s="398" t="s">
        <v>4258</v>
      </c>
      <c r="L386" s="350">
        <v>13500</v>
      </c>
      <c r="M386" s="350">
        <f t="shared" si="31"/>
        <v>13500</v>
      </c>
      <c r="O386" s="351">
        <f t="shared" si="33"/>
        <v>0</v>
      </c>
      <c r="P386" s="402" t="s">
        <v>4319</v>
      </c>
    </row>
    <row r="387" spans="1:18">
      <c r="A387" s="345">
        <v>20151209</v>
      </c>
      <c r="B387" s="403" t="s">
        <v>4402</v>
      </c>
      <c r="C387" s="403" t="s">
        <v>4255</v>
      </c>
      <c r="E387" s="345">
        <v>108000</v>
      </c>
      <c r="F387" s="345">
        <v>5400</v>
      </c>
      <c r="G387" s="393">
        <f t="shared" si="30"/>
        <v>113400</v>
      </c>
      <c r="H387" s="377" t="s">
        <v>1276</v>
      </c>
      <c r="I387" s="398" t="s">
        <v>4403</v>
      </c>
      <c r="J387" s="350">
        <v>113400</v>
      </c>
      <c r="M387" s="350">
        <f t="shared" si="31"/>
        <v>113400</v>
      </c>
      <c r="O387" s="351">
        <f t="shared" si="33"/>
        <v>0</v>
      </c>
      <c r="P387" s="402" t="s">
        <v>4404</v>
      </c>
    </row>
    <row r="388" spans="1:18">
      <c r="A388" s="345">
        <v>20151210</v>
      </c>
      <c r="B388" s="403" t="s">
        <v>4405</v>
      </c>
      <c r="C388" s="403" t="s">
        <v>4282</v>
      </c>
      <c r="E388" s="345">
        <v>108000</v>
      </c>
      <c r="F388" s="345">
        <v>5400</v>
      </c>
      <c r="G388" s="393">
        <f t="shared" si="30"/>
        <v>113400</v>
      </c>
      <c r="H388" s="377" t="s">
        <v>1276</v>
      </c>
      <c r="I388" s="398" t="s">
        <v>4406</v>
      </c>
      <c r="J388" s="350">
        <v>113400</v>
      </c>
      <c r="M388" s="350">
        <f t="shared" si="31"/>
        <v>113400</v>
      </c>
      <c r="O388" s="351">
        <f t="shared" si="33"/>
        <v>0</v>
      </c>
      <c r="P388" s="402" t="s">
        <v>4407</v>
      </c>
    </row>
    <row r="389" spans="1:18">
      <c r="A389" s="345">
        <v>20151210</v>
      </c>
      <c r="B389" s="403" t="s">
        <v>4408</v>
      </c>
      <c r="C389" s="403" t="s">
        <v>4409</v>
      </c>
      <c r="E389" s="345">
        <v>132000</v>
      </c>
      <c r="F389" s="345">
        <v>6600</v>
      </c>
      <c r="G389" s="393">
        <f t="shared" si="30"/>
        <v>138600</v>
      </c>
      <c r="H389" s="377" t="s">
        <v>1276</v>
      </c>
      <c r="I389" s="398" t="s">
        <v>4809</v>
      </c>
      <c r="J389" s="350">
        <v>138600</v>
      </c>
      <c r="M389" s="350">
        <f t="shared" si="31"/>
        <v>138600</v>
      </c>
      <c r="O389" s="351">
        <f t="shared" si="33"/>
        <v>0</v>
      </c>
      <c r="P389" s="402" t="s">
        <v>4410</v>
      </c>
    </row>
    <row r="390" spans="1:18">
      <c r="A390" s="345">
        <v>20151216</v>
      </c>
      <c r="B390" s="403" t="s">
        <v>4411</v>
      </c>
      <c r="C390" s="403" t="s">
        <v>4204</v>
      </c>
      <c r="E390" s="345">
        <v>40000</v>
      </c>
      <c r="F390" s="345">
        <v>2000</v>
      </c>
      <c r="G390" s="393">
        <f t="shared" si="30"/>
        <v>42000</v>
      </c>
      <c r="I390" s="398" t="s">
        <v>4433</v>
      </c>
      <c r="L390" s="350">
        <v>42000</v>
      </c>
      <c r="M390" s="350">
        <f t="shared" si="31"/>
        <v>42000</v>
      </c>
      <c r="O390" s="351">
        <f t="shared" si="33"/>
        <v>0</v>
      </c>
      <c r="P390" s="402" t="s">
        <v>4313</v>
      </c>
    </row>
    <row r="391" spans="1:18">
      <c r="A391" s="345">
        <v>20151216</v>
      </c>
      <c r="B391" s="403" t="s">
        <v>4412</v>
      </c>
      <c r="C391" s="403" t="s">
        <v>4201</v>
      </c>
      <c r="E391" s="345">
        <v>30000</v>
      </c>
      <c r="F391" s="345">
        <v>1500</v>
      </c>
      <c r="G391" s="393">
        <f t="shared" si="30"/>
        <v>31500</v>
      </c>
      <c r="I391" s="398" t="s">
        <v>3973</v>
      </c>
      <c r="L391" s="350">
        <v>31490</v>
      </c>
      <c r="M391" s="350">
        <f t="shared" si="31"/>
        <v>31490</v>
      </c>
      <c r="N391" s="601">
        <v>10</v>
      </c>
      <c r="O391" s="351">
        <f t="shared" si="33"/>
        <v>0</v>
      </c>
      <c r="P391" s="402" t="s">
        <v>4308</v>
      </c>
    </row>
    <row r="392" spans="1:18">
      <c r="A392" s="345">
        <v>20151216</v>
      </c>
      <c r="B392" s="403" t="s">
        <v>4413</v>
      </c>
      <c r="C392" s="403" t="s">
        <v>4000</v>
      </c>
      <c r="E392" s="345">
        <v>30000</v>
      </c>
      <c r="F392" s="345">
        <v>1500</v>
      </c>
      <c r="G392" s="393">
        <f t="shared" si="30"/>
        <v>31500</v>
      </c>
      <c r="I392" s="398" t="s">
        <v>4753</v>
      </c>
      <c r="L392" s="350">
        <v>31490</v>
      </c>
      <c r="M392" s="350">
        <f t="shared" si="31"/>
        <v>31490</v>
      </c>
      <c r="N392" s="601">
        <v>10</v>
      </c>
      <c r="O392" s="351">
        <f t="shared" si="33"/>
        <v>0</v>
      </c>
      <c r="P392" s="402" t="s">
        <v>4310</v>
      </c>
      <c r="R392" s="404">
        <v>52490</v>
      </c>
    </row>
    <row r="393" spans="1:18">
      <c r="A393" s="345">
        <v>20151216</v>
      </c>
      <c r="B393" s="403" t="s">
        <v>4414</v>
      </c>
      <c r="C393" s="403" t="s">
        <v>4201</v>
      </c>
      <c r="E393" s="345">
        <v>20000</v>
      </c>
      <c r="F393" s="345">
        <v>1000</v>
      </c>
      <c r="G393" s="393">
        <f t="shared" si="30"/>
        <v>21000</v>
      </c>
      <c r="I393" s="398" t="s">
        <v>3973</v>
      </c>
      <c r="L393" s="350">
        <v>21000</v>
      </c>
      <c r="M393" s="350">
        <f t="shared" si="31"/>
        <v>21000</v>
      </c>
      <c r="O393" s="351">
        <f t="shared" si="33"/>
        <v>0</v>
      </c>
      <c r="P393" s="402" t="s">
        <v>4308</v>
      </c>
    </row>
    <row r="394" spans="1:18">
      <c r="A394" s="345">
        <v>20151216</v>
      </c>
      <c r="B394" s="403" t="s">
        <v>4415</v>
      </c>
      <c r="C394" s="403" t="s">
        <v>4000</v>
      </c>
      <c r="E394" s="345">
        <v>20000</v>
      </c>
      <c r="F394" s="345">
        <v>1000</v>
      </c>
      <c r="G394" s="393">
        <f t="shared" si="30"/>
        <v>21000</v>
      </c>
      <c r="I394" s="398" t="s">
        <v>4753</v>
      </c>
      <c r="L394" s="350">
        <v>21000</v>
      </c>
      <c r="M394" s="350">
        <f t="shared" si="31"/>
        <v>21000</v>
      </c>
      <c r="O394" s="351">
        <f t="shared" si="33"/>
        <v>0</v>
      </c>
      <c r="P394" s="402" t="s">
        <v>4310</v>
      </c>
      <c r="R394" s="404">
        <v>52490</v>
      </c>
    </row>
    <row r="397" spans="1:18" s="347" customFormat="1">
      <c r="A397" s="401" t="s">
        <v>4503</v>
      </c>
      <c r="D397" s="348" t="s">
        <v>2377</v>
      </c>
      <c r="E397" s="376">
        <f>SUM(E398:E453)</f>
        <v>2000585</v>
      </c>
      <c r="F397" s="376">
        <f>SUM(F398:F453)</f>
        <v>100030</v>
      </c>
      <c r="G397" s="376">
        <f>SUM(G398:G453)</f>
        <v>2100615</v>
      </c>
      <c r="H397" s="349"/>
      <c r="I397" s="383"/>
      <c r="J397" s="376">
        <f t="shared" ref="J397:O397" si="34">SUM(J398:J453)</f>
        <v>1114470</v>
      </c>
      <c r="K397" s="376">
        <f t="shared" si="34"/>
        <v>335790</v>
      </c>
      <c r="L397" s="376">
        <f t="shared" si="34"/>
        <v>562460</v>
      </c>
      <c r="M397" s="376">
        <f t="shared" si="34"/>
        <v>2012720</v>
      </c>
      <c r="N397" s="376">
        <f t="shared" si="34"/>
        <v>220</v>
      </c>
      <c r="O397" s="376">
        <f t="shared" si="34"/>
        <v>85050</v>
      </c>
      <c r="P397" s="391"/>
    </row>
    <row r="398" spans="1:18">
      <c r="A398" s="183">
        <v>20160219</v>
      </c>
      <c r="B398" s="183" t="s">
        <v>4504</v>
      </c>
      <c r="C398" s="183" t="s">
        <v>4201</v>
      </c>
      <c r="E398" s="183">
        <v>19500</v>
      </c>
      <c r="F398" s="183">
        <v>975</v>
      </c>
      <c r="G398" s="563">
        <f t="shared" ref="G398:G452" si="35">E398+F398</f>
        <v>20475</v>
      </c>
      <c r="H398" s="379">
        <v>6</v>
      </c>
      <c r="I398" s="343">
        <v>913</v>
      </c>
      <c r="K398" s="350">
        <v>20475</v>
      </c>
      <c r="M398" s="350">
        <f>J398+K398+L398</f>
        <v>20475</v>
      </c>
      <c r="O398" s="351">
        <f>G398-M398-N398</f>
        <v>0</v>
      </c>
      <c r="P398" s="564" t="s">
        <v>4308</v>
      </c>
    </row>
    <row r="399" spans="1:18">
      <c r="A399" s="183">
        <v>20160219</v>
      </c>
      <c r="B399" s="183" t="s">
        <v>4505</v>
      </c>
      <c r="C399" s="183" t="s">
        <v>4000</v>
      </c>
      <c r="E399" s="183">
        <v>19500</v>
      </c>
      <c r="F399" s="183">
        <v>975</v>
      </c>
      <c r="G399" s="563">
        <f t="shared" si="35"/>
        <v>20475</v>
      </c>
      <c r="H399" s="379">
        <v>6</v>
      </c>
      <c r="I399" s="350">
        <v>905</v>
      </c>
      <c r="K399" s="350">
        <v>20475</v>
      </c>
      <c r="M399" s="350">
        <f t="shared" ref="M399:M434" si="36">J399+K399+L399</f>
        <v>20475</v>
      </c>
      <c r="O399" s="351">
        <f t="shared" ref="O399:O434" si="37">G399-M399-N399</f>
        <v>0</v>
      </c>
      <c r="P399" s="564" t="s">
        <v>4310</v>
      </c>
    </row>
    <row r="400" spans="1:18">
      <c r="A400" s="183">
        <v>20160219</v>
      </c>
      <c r="B400" s="183" t="s">
        <v>4506</v>
      </c>
      <c r="C400" s="199" t="s">
        <v>4000</v>
      </c>
      <c r="E400" s="199">
        <v>15600</v>
      </c>
      <c r="F400" s="183">
        <v>780</v>
      </c>
      <c r="G400" s="563">
        <f t="shared" si="35"/>
        <v>16380</v>
      </c>
      <c r="H400" s="379">
        <v>6</v>
      </c>
      <c r="I400" s="350">
        <v>921</v>
      </c>
      <c r="K400" s="350">
        <v>16380</v>
      </c>
      <c r="M400" s="350">
        <f t="shared" si="36"/>
        <v>16380</v>
      </c>
      <c r="O400" s="351">
        <f t="shared" si="37"/>
        <v>0</v>
      </c>
      <c r="P400" s="564" t="s">
        <v>4310</v>
      </c>
    </row>
    <row r="401" spans="1:16">
      <c r="A401" s="183">
        <v>20160219</v>
      </c>
      <c r="B401" s="183" t="s">
        <v>4507</v>
      </c>
      <c r="C401" s="199" t="s">
        <v>4204</v>
      </c>
      <c r="E401" s="199">
        <v>19500</v>
      </c>
      <c r="F401" s="183">
        <v>975</v>
      </c>
      <c r="G401" s="563">
        <f t="shared" si="35"/>
        <v>20475</v>
      </c>
      <c r="H401" s="379">
        <v>3</v>
      </c>
      <c r="I401" s="350">
        <v>1023</v>
      </c>
      <c r="K401" s="350">
        <v>20475</v>
      </c>
      <c r="M401" s="350">
        <f t="shared" si="36"/>
        <v>20475</v>
      </c>
      <c r="O401" s="351">
        <f t="shared" si="37"/>
        <v>0</v>
      </c>
      <c r="P401" s="564" t="s">
        <v>4313</v>
      </c>
    </row>
    <row r="402" spans="1:16">
      <c r="A402" s="183">
        <v>20160219</v>
      </c>
      <c r="B402" s="183" t="s">
        <v>4508</v>
      </c>
      <c r="C402" s="199" t="s">
        <v>4056</v>
      </c>
      <c r="E402" s="199">
        <v>19500</v>
      </c>
      <c r="F402" s="183">
        <v>975</v>
      </c>
      <c r="G402" s="563">
        <f t="shared" si="35"/>
        <v>20475</v>
      </c>
      <c r="H402" s="379">
        <v>5</v>
      </c>
      <c r="I402" s="350">
        <v>956</v>
      </c>
      <c r="K402" s="350">
        <v>20475</v>
      </c>
      <c r="M402" s="350">
        <f t="shared" si="36"/>
        <v>20475</v>
      </c>
      <c r="O402" s="351">
        <f t="shared" si="37"/>
        <v>0</v>
      </c>
      <c r="P402" s="564" t="s">
        <v>4331</v>
      </c>
    </row>
    <row r="403" spans="1:16">
      <c r="A403" s="183">
        <v>20160219</v>
      </c>
      <c r="B403" s="183" t="s">
        <v>4509</v>
      </c>
      <c r="C403" s="199" t="s">
        <v>4315</v>
      </c>
      <c r="E403" s="199">
        <v>15600</v>
      </c>
      <c r="F403" s="183">
        <v>780</v>
      </c>
      <c r="G403" s="563">
        <f t="shared" si="35"/>
        <v>16380</v>
      </c>
      <c r="H403" s="379">
        <v>8</v>
      </c>
      <c r="I403" s="350">
        <v>1079</v>
      </c>
      <c r="J403" s="350">
        <v>16380</v>
      </c>
      <c r="M403" s="350">
        <f t="shared" si="36"/>
        <v>16380</v>
      </c>
      <c r="O403" s="351">
        <f t="shared" si="37"/>
        <v>0</v>
      </c>
      <c r="P403" s="564" t="s">
        <v>4316</v>
      </c>
    </row>
    <row r="404" spans="1:16">
      <c r="A404" s="183">
        <v>20160219</v>
      </c>
      <c r="B404" s="183" t="s">
        <v>4510</v>
      </c>
      <c r="C404" s="199" t="s">
        <v>456</v>
      </c>
      <c r="E404" s="199">
        <v>12600</v>
      </c>
      <c r="F404" s="183">
        <v>630</v>
      </c>
      <c r="G404" s="563">
        <f t="shared" si="35"/>
        <v>13230</v>
      </c>
      <c r="H404" s="379">
        <v>3</v>
      </c>
      <c r="I404" s="398" t="s">
        <v>4436</v>
      </c>
      <c r="L404" s="350">
        <v>13230</v>
      </c>
      <c r="M404" s="350">
        <f t="shared" si="36"/>
        <v>13230</v>
      </c>
      <c r="O404" s="351">
        <f t="shared" si="37"/>
        <v>0</v>
      </c>
      <c r="P404" s="564" t="s">
        <v>4323</v>
      </c>
    </row>
    <row r="405" spans="1:16">
      <c r="A405" s="183">
        <v>20160308</v>
      </c>
      <c r="B405" s="183" t="s">
        <v>4511</v>
      </c>
      <c r="C405" s="183" t="s">
        <v>447</v>
      </c>
      <c r="E405" s="183">
        <v>13500</v>
      </c>
      <c r="F405" s="183">
        <v>675</v>
      </c>
      <c r="G405" s="563">
        <f t="shared" si="35"/>
        <v>14175</v>
      </c>
      <c r="H405" s="379">
        <v>1</v>
      </c>
      <c r="I405" s="398" t="s">
        <v>4438</v>
      </c>
      <c r="L405" s="350">
        <v>14175</v>
      </c>
      <c r="M405" s="350">
        <f t="shared" si="36"/>
        <v>14175</v>
      </c>
      <c r="O405" s="351">
        <f t="shared" si="37"/>
        <v>0</v>
      </c>
      <c r="P405" s="564" t="s">
        <v>4321</v>
      </c>
    </row>
    <row r="406" spans="1:16">
      <c r="A406" s="183">
        <v>20160316</v>
      </c>
      <c r="B406" s="183" t="s">
        <v>4512</v>
      </c>
      <c r="C406" s="199" t="s">
        <v>4513</v>
      </c>
      <c r="E406" s="199">
        <v>91200</v>
      </c>
      <c r="F406" s="183">
        <v>4560</v>
      </c>
      <c r="G406" s="563">
        <f t="shared" si="35"/>
        <v>95760</v>
      </c>
      <c r="H406" s="399" t="s">
        <v>4302</v>
      </c>
      <c r="I406" s="398" t="s">
        <v>4439</v>
      </c>
      <c r="J406" s="350">
        <v>95760</v>
      </c>
      <c r="M406" s="350">
        <f t="shared" si="36"/>
        <v>95760</v>
      </c>
      <c r="O406" s="351">
        <f t="shared" si="37"/>
        <v>0</v>
      </c>
      <c r="P406" s="564" t="s">
        <v>4519</v>
      </c>
    </row>
    <row r="407" spans="1:16">
      <c r="A407" s="183">
        <v>20160319</v>
      </c>
      <c r="B407" s="183" t="s">
        <v>4514</v>
      </c>
      <c r="C407" s="199" t="s">
        <v>4318</v>
      </c>
      <c r="E407" s="199">
        <v>12857</v>
      </c>
      <c r="F407" s="183">
        <v>643</v>
      </c>
      <c r="G407" s="563">
        <f t="shared" si="35"/>
        <v>13500</v>
      </c>
      <c r="H407" s="399" t="s">
        <v>4810</v>
      </c>
      <c r="I407" s="398" t="s">
        <v>4758</v>
      </c>
      <c r="L407" s="350">
        <v>13485</v>
      </c>
      <c r="M407" s="350">
        <f t="shared" si="36"/>
        <v>13485</v>
      </c>
      <c r="N407" s="351">
        <v>15</v>
      </c>
      <c r="O407" s="351">
        <f t="shared" si="37"/>
        <v>0</v>
      </c>
      <c r="P407" s="564" t="s">
        <v>4319</v>
      </c>
    </row>
    <row r="408" spans="1:16">
      <c r="A408" s="183">
        <v>20160321</v>
      </c>
      <c r="B408" s="183" t="s">
        <v>4515</v>
      </c>
      <c r="C408" s="199" t="s">
        <v>4339</v>
      </c>
      <c r="E408" s="199">
        <v>13500</v>
      </c>
      <c r="F408" s="183">
        <v>675</v>
      </c>
      <c r="G408" s="563">
        <f t="shared" si="35"/>
        <v>14175</v>
      </c>
      <c r="H408" s="399" t="s">
        <v>4811</v>
      </c>
      <c r="I408" s="398" t="s">
        <v>4757</v>
      </c>
      <c r="L408" s="350">
        <v>14145</v>
      </c>
      <c r="M408" s="350">
        <f t="shared" si="36"/>
        <v>14145</v>
      </c>
      <c r="N408" s="351">
        <v>30</v>
      </c>
      <c r="O408" s="351">
        <f t="shared" si="37"/>
        <v>0</v>
      </c>
      <c r="P408" s="564" t="s">
        <v>4340</v>
      </c>
    </row>
    <row r="409" spans="1:16">
      <c r="A409" s="183">
        <v>20160330</v>
      </c>
      <c r="B409" s="183" t="s">
        <v>4516</v>
      </c>
      <c r="C409" s="199" t="s">
        <v>4517</v>
      </c>
      <c r="E409" s="199">
        <v>102857</v>
      </c>
      <c r="F409" s="183">
        <v>5143</v>
      </c>
      <c r="G409" s="563">
        <f t="shared" si="35"/>
        <v>108000</v>
      </c>
      <c r="H409" s="399" t="s">
        <v>4302</v>
      </c>
      <c r="I409" s="398" t="s">
        <v>4756</v>
      </c>
      <c r="L409" s="350">
        <v>108000</v>
      </c>
      <c r="M409" s="350">
        <f t="shared" si="36"/>
        <v>108000</v>
      </c>
      <c r="O409" s="351">
        <f t="shared" si="37"/>
        <v>0</v>
      </c>
      <c r="P409" s="564" t="s">
        <v>4520</v>
      </c>
    </row>
    <row r="410" spans="1:16">
      <c r="A410" s="183">
        <v>20160418</v>
      </c>
      <c r="B410" s="183" t="s">
        <v>4518</v>
      </c>
      <c r="C410" s="199" t="s">
        <v>456</v>
      </c>
      <c r="E410" s="199">
        <v>12600</v>
      </c>
      <c r="F410" s="183">
        <v>630</v>
      </c>
      <c r="G410" s="563">
        <f t="shared" si="35"/>
        <v>13230</v>
      </c>
      <c r="H410" s="399" t="s">
        <v>4810</v>
      </c>
      <c r="I410" s="398" t="s">
        <v>4750</v>
      </c>
      <c r="L410" s="350">
        <v>13230</v>
      </c>
      <c r="M410" s="350">
        <f t="shared" si="36"/>
        <v>13230</v>
      </c>
      <c r="O410" s="351">
        <f t="shared" si="37"/>
        <v>0</v>
      </c>
      <c r="P410" s="564" t="s">
        <v>4323</v>
      </c>
    </row>
    <row r="411" spans="1:16">
      <c r="A411" s="183">
        <v>20160503</v>
      </c>
      <c r="B411" s="183" t="s">
        <v>4521</v>
      </c>
      <c r="C411" s="183" t="s">
        <v>4201</v>
      </c>
      <c r="E411" s="183">
        <v>19500</v>
      </c>
      <c r="F411" s="183">
        <v>975</v>
      </c>
      <c r="G411" s="563">
        <f t="shared" si="35"/>
        <v>20475</v>
      </c>
      <c r="H411" s="399" t="s">
        <v>4812</v>
      </c>
      <c r="I411" s="350">
        <v>914</v>
      </c>
      <c r="K411" s="350">
        <v>20475</v>
      </c>
      <c r="M411" s="350">
        <f t="shared" si="36"/>
        <v>20475</v>
      </c>
      <c r="O411" s="351">
        <f t="shared" si="37"/>
        <v>0</v>
      </c>
      <c r="P411" s="564" t="s">
        <v>4308</v>
      </c>
    </row>
    <row r="412" spans="1:16">
      <c r="A412" s="183">
        <v>20160503</v>
      </c>
      <c r="B412" s="183" t="s">
        <v>4522</v>
      </c>
      <c r="C412" s="183" t="s">
        <v>4000</v>
      </c>
      <c r="E412" s="183">
        <v>19500</v>
      </c>
      <c r="F412" s="183">
        <v>975</v>
      </c>
      <c r="G412" s="563">
        <f t="shared" si="35"/>
        <v>20475</v>
      </c>
      <c r="H412" s="399" t="s">
        <v>4812</v>
      </c>
      <c r="I412" s="350">
        <v>906</v>
      </c>
      <c r="K412" s="350">
        <v>20475</v>
      </c>
      <c r="M412" s="350">
        <f t="shared" si="36"/>
        <v>20475</v>
      </c>
      <c r="O412" s="351">
        <f t="shared" si="37"/>
        <v>0</v>
      </c>
      <c r="P412" s="564" t="s">
        <v>4310</v>
      </c>
    </row>
    <row r="413" spans="1:16">
      <c r="A413" s="183">
        <v>20160503</v>
      </c>
      <c r="B413" s="183" t="s">
        <v>4523</v>
      </c>
      <c r="C413" s="199" t="s">
        <v>4000</v>
      </c>
      <c r="E413" s="199">
        <v>15600</v>
      </c>
      <c r="F413" s="183">
        <v>780</v>
      </c>
      <c r="G413" s="563">
        <f t="shared" si="35"/>
        <v>16380</v>
      </c>
      <c r="H413" s="399" t="s">
        <v>4812</v>
      </c>
      <c r="I413" s="350">
        <v>922</v>
      </c>
      <c r="K413" s="350">
        <v>16380</v>
      </c>
      <c r="M413" s="350">
        <f t="shared" si="36"/>
        <v>16380</v>
      </c>
      <c r="O413" s="351">
        <f t="shared" si="37"/>
        <v>0</v>
      </c>
      <c r="P413" s="564" t="s">
        <v>4310</v>
      </c>
    </row>
    <row r="414" spans="1:16">
      <c r="A414" s="183">
        <v>20160503</v>
      </c>
      <c r="B414" s="183" t="s">
        <v>4524</v>
      </c>
      <c r="C414" s="199" t="s">
        <v>4204</v>
      </c>
      <c r="E414" s="199">
        <v>19500</v>
      </c>
      <c r="F414" s="183">
        <v>975</v>
      </c>
      <c r="G414" s="563">
        <f t="shared" si="35"/>
        <v>20475</v>
      </c>
      <c r="H414" s="399" t="s">
        <v>4810</v>
      </c>
      <c r="I414" s="350">
        <v>1024</v>
      </c>
      <c r="K414" s="350">
        <v>20475</v>
      </c>
      <c r="M414" s="350">
        <f t="shared" si="36"/>
        <v>20475</v>
      </c>
      <c r="O414" s="351">
        <f t="shared" si="37"/>
        <v>0</v>
      </c>
      <c r="P414" s="564" t="s">
        <v>4313</v>
      </c>
    </row>
    <row r="415" spans="1:16">
      <c r="A415" s="183">
        <v>20160503</v>
      </c>
      <c r="B415" s="183" t="s">
        <v>4525</v>
      </c>
      <c r="C415" s="199" t="s">
        <v>4056</v>
      </c>
      <c r="E415" s="199">
        <v>19500</v>
      </c>
      <c r="F415" s="183">
        <v>975</v>
      </c>
      <c r="G415" s="563">
        <f t="shared" si="35"/>
        <v>20475</v>
      </c>
      <c r="H415" s="399" t="s">
        <v>4813</v>
      </c>
      <c r="I415" s="350">
        <v>957</v>
      </c>
      <c r="K415" s="350">
        <v>20475</v>
      </c>
      <c r="M415" s="350">
        <f t="shared" si="36"/>
        <v>20475</v>
      </c>
      <c r="O415" s="351">
        <f t="shared" si="37"/>
        <v>0</v>
      </c>
      <c r="P415" s="564" t="s">
        <v>4331</v>
      </c>
    </row>
    <row r="416" spans="1:16">
      <c r="A416" s="183">
        <v>20160503</v>
      </c>
      <c r="B416" s="183" t="s">
        <v>4526</v>
      </c>
      <c r="C416" s="183" t="s">
        <v>4315</v>
      </c>
      <c r="E416" s="199">
        <v>15600</v>
      </c>
      <c r="F416" s="183">
        <v>780</v>
      </c>
      <c r="G416" s="563">
        <f t="shared" si="35"/>
        <v>16380</v>
      </c>
      <c r="H416" s="399" t="s">
        <v>4814</v>
      </c>
      <c r="I416" s="398" t="s">
        <v>4676</v>
      </c>
      <c r="J416" s="350">
        <v>16380</v>
      </c>
      <c r="M416" s="350">
        <f t="shared" si="36"/>
        <v>16380</v>
      </c>
      <c r="O416" s="351">
        <f t="shared" si="37"/>
        <v>0</v>
      </c>
      <c r="P416" s="564" t="s">
        <v>4316</v>
      </c>
    </row>
    <row r="417" spans="1:16">
      <c r="A417" s="183">
        <v>20160513</v>
      </c>
      <c r="B417" s="183" t="s">
        <v>4527</v>
      </c>
      <c r="C417" s="199" t="s">
        <v>4528</v>
      </c>
      <c r="E417" s="199">
        <v>96000</v>
      </c>
      <c r="F417" s="183">
        <v>4800</v>
      </c>
      <c r="G417" s="563">
        <f t="shared" si="35"/>
        <v>100800</v>
      </c>
      <c r="H417" s="399" t="s">
        <v>4302</v>
      </c>
      <c r="I417" s="398" t="s">
        <v>4817</v>
      </c>
      <c r="J417" s="350">
        <v>100800</v>
      </c>
      <c r="M417" s="350">
        <f t="shared" si="36"/>
        <v>100800</v>
      </c>
      <c r="O417" s="351">
        <f t="shared" si="37"/>
        <v>0</v>
      </c>
      <c r="P417" s="564" t="s">
        <v>4540</v>
      </c>
    </row>
    <row r="418" spans="1:16">
      <c r="A418" s="183">
        <v>20160517</v>
      </c>
      <c r="B418" s="183" t="s">
        <v>4529</v>
      </c>
      <c r="C418" s="199" t="s">
        <v>4530</v>
      </c>
      <c r="E418" s="199">
        <v>108000</v>
      </c>
      <c r="F418" s="183">
        <v>5400</v>
      </c>
      <c r="G418" s="563">
        <f t="shared" si="35"/>
        <v>113400</v>
      </c>
      <c r="H418" s="399" t="s">
        <v>4302</v>
      </c>
      <c r="I418" s="398" t="s">
        <v>4818</v>
      </c>
      <c r="J418" s="350">
        <v>113400</v>
      </c>
      <c r="M418" s="350">
        <f t="shared" si="36"/>
        <v>113400</v>
      </c>
      <c r="O418" s="351">
        <f t="shared" si="37"/>
        <v>0</v>
      </c>
      <c r="P418" s="564" t="s">
        <v>4541</v>
      </c>
    </row>
    <row r="419" spans="1:16">
      <c r="A419" s="183">
        <v>20160601</v>
      </c>
      <c r="B419" s="183" t="s">
        <v>4531</v>
      </c>
      <c r="C419" s="199" t="s">
        <v>4409</v>
      </c>
      <c r="E419" s="199">
        <v>132000</v>
      </c>
      <c r="F419" s="183">
        <v>6600</v>
      </c>
      <c r="G419" s="563">
        <f t="shared" si="35"/>
        <v>138600</v>
      </c>
      <c r="H419" s="399" t="s">
        <v>4302</v>
      </c>
      <c r="I419" s="398" t="s">
        <v>4819</v>
      </c>
      <c r="J419" s="350">
        <v>138600</v>
      </c>
      <c r="M419" s="350">
        <f t="shared" si="36"/>
        <v>138600</v>
      </c>
      <c r="O419" s="351">
        <f t="shared" si="37"/>
        <v>0</v>
      </c>
      <c r="P419" s="564" t="s">
        <v>4410</v>
      </c>
    </row>
    <row r="420" spans="1:16">
      <c r="A420" s="183">
        <v>20160601</v>
      </c>
      <c r="B420" s="183" t="s">
        <v>4532</v>
      </c>
      <c r="C420" s="199" t="s">
        <v>4409</v>
      </c>
      <c r="E420" s="199">
        <v>96000</v>
      </c>
      <c r="F420" s="183">
        <v>4800</v>
      </c>
      <c r="G420" s="563">
        <f t="shared" si="35"/>
        <v>100800</v>
      </c>
      <c r="H420" s="399" t="s">
        <v>4302</v>
      </c>
      <c r="I420" s="398" t="s">
        <v>4822</v>
      </c>
      <c r="J420" s="350">
        <v>100800</v>
      </c>
      <c r="M420" s="350">
        <f t="shared" si="36"/>
        <v>100800</v>
      </c>
      <c r="O420" s="351">
        <f t="shared" si="37"/>
        <v>0</v>
      </c>
      <c r="P420" s="564" t="s">
        <v>4410</v>
      </c>
    </row>
    <row r="421" spans="1:16">
      <c r="A421" s="183">
        <v>20160614</v>
      </c>
      <c r="B421" s="183" t="s">
        <v>4533</v>
      </c>
      <c r="C421" s="199" t="s">
        <v>4339</v>
      </c>
      <c r="E421" s="199">
        <v>13500</v>
      </c>
      <c r="F421" s="183">
        <v>675</v>
      </c>
      <c r="G421" s="563">
        <f t="shared" si="35"/>
        <v>14175</v>
      </c>
      <c r="H421" s="399" t="s">
        <v>4813</v>
      </c>
      <c r="I421" s="398" t="s">
        <v>4249</v>
      </c>
      <c r="L421" s="350">
        <v>14145</v>
      </c>
      <c r="M421" s="350">
        <f t="shared" si="36"/>
        <v>14145</v>
      </c>
      <c r="N421" s="351">
        <v>30</v>
      </c>
      <c r="O421" s="351">
        <f t="shared" si="37"/>
        <v>0</v>
      </c>
      <c r="P421" s="564" t="s">
        <v>4340</v>
      </c>
    </row>
    <row r="422" spans="1:16">
      <c r="A422" s="183">
        <v>20160614</v>
      </c>
      <c r="B422" s="183" t="s">
        <v>4534</v>
      </c>
      <c r="C422" s="199" t="s">
        <v>4318</v>
      </c>
      <c r="E422" s="199">
        <v>12857</v>
      </c>
      <c r="F422" s="183">
        <v>643</v>
      </c>
      <c r="G422" s="563">
        <f t="shared" si="35"/>
        <v>13500</v>
      </c>
      <c r="H422" s="399" t="s">
        <v>4811</v>
      </c>
      <c r="I422" s="398" t="s">
        <v>4262</v>
      </c>
      <c r="L422" s="350">
        <v>13485</v>
      </c>
      <c r="M422" s="350">
        <f t="shared" si="36"/>
        <v>13485</v>
      </c>
      <c r="N422" s="351">
        <v>15</v>
      </c>
      <c r="O422" s="351">
        <f t="shared" si="37"/>
        <v>0</v>
      </c>
      <c r="P422" s="564" t="s">
        <v>4319</v>
      </c>
    </row>
    <row r="423" spans="1:16">
      <c r="A423" s="183">
        <v>20160614</v>
      </c>
      <c r="B423" s="183" t="s">
        <v>4535</v>
      </c>
      <c r="C423" s="199" t="s">
        <v>447</v>
      </c>
      <c r="E423" s="199">
        <v>13500</v>
      </c>
      <c r="F423" s="183">
        <v>675</v>
      </c>
      <c r="G423" s="563">
        <f t="shared" si="35"/>
        <v>14175</v>
      </c>
      <c r="H423" s="399" t="s">
        <v>4763</v>
      </c>
      <c r="I423" s="398" t="s">
        <v>4759</v>
      </c>
      <c r="L423" s="350">
        <v>14165</v>
      </c>
      <c r="M423" s="350">
        <f t="shared" si="36"/>
        <v>14165</v>
      </c>
      <c r="N423" s="351">
        <v>10</v>
      </c>
      <c r="O423" s="351">
        <f t="shared" si="37"/>
        <v>0</v>
      </c>
      <c r="P423" s="564" t="s">
        <v>4321</v>
      </c>
    </row>
    <row r="424" spans="1:16">
      <c r="A424" s="183">
        <v>20160615</v>
      </c>
      <c r="B424" s="183" t="s">
        <v>4536</v>
      </c>
      <c r="C424" s="199" t="s">
        <v>4537</v>
      </c>
      <c r="E424" s="199">
        <v>96000</v>
      </c>
      <c r="F424" s="183">
        <v>4800</v>
      </c>
      <c r="G424" s="563">
        <f t="shared" si="35"/>
        <v>100800</v>
      </c>
      <c r="H424" s="399" t="s">
        <v>4302</v>
      </c>
      <c r="I424" s="398" t="s">
        <v>4825</v>
      </c>
      <c r="J424" s="350">
        <v>100800</v>
      </c>
      <c r="M424" s="350">
        <f t="shared" si="36"/>
        <v>100800</v>
      </c>
      <c r="O424" s="351">
        <f t="shared" si="37"/>
        <v>0</v>
      </c>
      <c r="P424" s="564" t="s">
        <v>4542</v>
      </c>
    </row>
    <row r="425" spans="1:16">
      <c r="A425" s="183">
        <v>20160623</v>
      </c>
      <c r="B425" s="183" t="s">
        <v>4538</v>
      </c>
      <c r="C425" s="199" t="s">
        <v>4539</v>
      </c>
      <c r="E425" s="199">
        <v>100800</v>
      </c>
      <c r="F425" s="183">
        <v>5040</v>
      </c>
      <c r="G425" s="563">
        <f t="shared" si="35"/>
        <v>105840</v>
      </c>
      <c r="H425" s="399" t="s">
        <v>4302</v>
      </c>
      <c r="I425" s="398" t="s">
        <v>4826</v>
      </c>
      <c r="J425" s="350">
        <v>105840</v>
      </c>
      <c r="M425" s="350">
        <f t="shared" si="36"/>
        <v>105840</v>
      </c>
      <c r="O425" s="351">
        <f t="shared" si="37"/>
        <v>0</v>
      </c>
      <c r="P425" s="564" t="s">
        <v>4543</v>
      </c>
    </row>
    <row r="426" spans="1:16">
      <c r="A426" s="183">
        <v>20160719</v>
      </c>
      <c r="B426" s="183" t="s">
        <v>4544</v>
      </c>
      <c r="C426" s="183" t="s">
        <v>456</v>
      </c>
      <c r="E426" s="183">
        <v>12600</v>
      </c>
      <c r="F426" s="183">
        <v>630</v>
      </c>
      <c r="G426" s="563">
        <f t="shared" si="35"/>
        <v>13230</v>
      </c>
      <c r="H426" s="399" t="s">
        <v>4811</v>
      </c>
      <c r="I426" s="398" t="s">
        <v>4751</v>
      </c>
      <c r="L426" s="350">
        <v>13230</v>
      </c>
      <c r="M426" s="350">
        <f t="shared" si="36"/>
        <v>13230</v>
      </c>
      <c r="O426" s="351">
        <f t="shared" si="37"/>
        <v>0</v>
      </c>
      <c r="P426" s="564" t="s">
        <v>4323</v>
      </c>
    </row>
    <row r="427" spans="1:16">
      <c r="A427" s="183">
        <v>20160801</v>
      </c>
      <c r="B427" s="183" t="s">
        <v>4545</v>
      </c>
      <c r="C427" s="199" t="s">
        <v>4836</v>
      </c>
      <c r="E427" s="199">
        <v>43200</v>
      </c>
      <c r="F427" s="183">
        <v>2160</v>
      </c>
      <c r="G427" s="563">
        <f t="shared" si="35"/>
        <v>45360</v>
      </c>
      <c r="H427" s="399" t="s">
        <v>5264</v>
      </c>
      <c r="I427" s="343" t="s">
        <v>5265</v>
      </c>
      <c r="L427" s="398">
        <f>22680+11340+11340</f>
        <v>45360</v>
      </c>
      <c r="M427" s="350">
        <f t="shared" si="36"/>
        <v>45360</v>
      </c>
      <c r="O427" s="351">
        <f t="shared" si="37"/>
        <v>0</v>
      </c>
      <c r="P427" s="564" t="s">
        <v>4553</v>
      </c>
    </row>
    <row r="428" spans="1:16">
      <c r="A428" s="183">
        <v>20160802</v>
      </c>
      <c r="B428" s="183" t="s">
        <v>4546</v>
      </c>
      <c r="C428" s="199" t="s">
        <v>4201</v>
      </c>
      <c r="E428" s="199">
        <v>19500</v>
      </c>
      <c r="F428" s="183">
        <v>975</v>
      </c>
      <c r="G428" s="563">
        <f t="shared" si="35"/>
        <v>20475</v>
      </c>
      <c r="H428" s="399" t="s">
        <v>4823</v>
      </c>
      <c r="I428" s="350">
        <v>915</v>
      </c>
      <c r="K428" s="350">
        <v>20475</v>
      </c>
      <c r="M428" s="350">
        <f t="shared" si="36"/>
        <v>20475</v>
      </c>
      <c r="O428" s="351">
        <f t="shared" si="37"/>
        <v>0</v>
      </c>
      <c r="P428" s="564" t="s">
        <v>4308</v>
      </c>
    </row>
    <row r="429" spans="1:16">
      <c r="A429" s="183">
        <v>20160802</v>
      </c>
      <c r="B429" s="183" t="s">
        <v>4547</v>
      </c>
      <c r="C429" s="199" t="s">
        <v>4000</v>
      </c>
      <c r="E429" s="199">
        <v>19500</v>
      </c>
      <c r="F429" s="183">
        <v>975</v>
      </c>
      <c r="G429" s="563">
        <f t="shared" si="35"/>
        <v>20475</v>
      </c>
      <c r="H429" s="399" t="s">
        <v>4823</v>
      </c>
      <c r="I429" s="350">
        <v>907</v>
      </c>
      <c r="K429" s="350">
        <v>20475</v>
      </c>
      <c r="M429" s="350">
        <f t="shared" si="36"/>
        <v>20475</v>
      </c>
      <c r="O429" s="351">
        <f t="shared" si="37"/>
        <v>0</v>
      </c>
      <c r="P429" s="564" t="s">
        <v>4310</v>
      </c>
    </row>
    <row r="430" spans="1:16">
      <c r="A430" s="183">
        <v>20160802</v>
      </c>
      <c r="B430" s="183" t="s">
        <v>4548</v>
      </c>
      <c r="C430" s="183" t="s">
        <v>4000</v>
      </c>
      <c r="E430" s="199">
        <v>15600</v>
      </c>
      <c r="F430" s="183">
        <v>780</v>
      </c>
      <c r="G430" s="563">
        <f t="shared" si="35"/>
        <v>16380</v>
      </c>
      <c r="H430" s="399" t="s">
        <v>4823</v>
      </c>
      <c r="I430" s="350">
        <v>923</v>
      </c>
      <c r="K430" s="350">
        <v>16380</v>
      </c>
      <c r="M430" s="350">
        <f t="shared" si="36"/>
        <v>16380</v>
      </c>
      <c r="O430" s="351">
        <f t="shared" si="37"/>
        <v>0</v>
      </c>
      <c r="P430" s="564" t="s">
        <v>4310</v>
      </c>
    </row>
    <row r="431" spans="1:16">
      <c r="A431" s="183">
        <v>20160802</v>
      </c>
      <c r="B431" s="183" t="s">
        <v>4549</v>
      </c>
      <c r="C431" s="199" t="s">
        <v>4204</v>
      </c>
      <c r="E431" s="199">
        <v>19500</v>
      </c>
      <c r="F431" s="183">
        <v>975</v>
      </c>
      <c r="G431" s="563">
        <f t="shared" si="35"/>
        <v>20475</v>
      </c>
      <c r="H431" s="399" t="s">
        <v>4811</v>
      </c>
      <c r="I431" s="350">
        <v>1025</v>
      </c>
      <c r="K431" s="350">
        <v>20475</v>
      </c>
      <c r="M431" s="350">
        <f t="shared" si="36"/>
        <v>20475</v>
      </c>
      <c r="O431" s="351">
        <f t="shared" si="37"/>
        <v>0</v>
      </c>
      <c r="P431" s="564" t="s">
        <v>4313</v>
      </c>
    </row>
    <row r="432" spans="1:16">
      <c r="A432" s="183">
        <v>20160802</v>
      </c>
      <c r="B432" s="183" t="s">
        <v>4550</v>
      </c>
      <c r="C432" s="199" t="s">
        <v>4056</v>
      </c>
      <c r="E432" s="199">
        <v>19500</v>
      </c>
      <c r="F432" s="183">
        <v>975</v>
      </c>
      <c r="G432" s="563">
        <f t="shared" si="35"/>
        <v>20475</v>
      </c>
      <c r="H432" s="399" t="s">
        <v>4812</v>
      </c>
      <c r="I432" s="350">
        <v>958</v>
      </c>
      <c r="K432" s="350">
        <v>20475</v>
      </c>
      <c r="M432" s="350">
        <f t="shared" si="36"/>
        <v>20475</v>
      </c>
      <c r="O432" s="351">
        <f t="shared" si="37"/>
        <v>0</v>
      </c>
      <c r="P432" s="564" t="s">
        <v>4331</v>
      </c>
    </row>
    <row r="433" spans="1:17">
      <c r="A433" s="183">
        <v>20160802</v>
      </c>
      <c r="B433" s="183" t="s">
        <v>4551</v>
      </c>
      <c r="C433" s="199" t="s">
        <v>4315</v>
      </c>
      <c r="E433" s="199">
        <v>15600</v>
      </c>
      <c r="F433" s="183">
        <v>780</v>
      </c>
      <c r="G433" s="563">
        <f t="shared" si="35"/>
        <v>16380</v>
      </c>
      <c r="H433" s="399" t="s">
        <v>4815</v>
      </c>
      <c r="I433" s="350">
        <v>1139</v>
      </c>
      <c r="J433" s="350">
        <v>16380</v>
      </c>
      <c r="M433" s="350">
        <f t="shared" si="36"/>
        <v>16380</v>
      </c>
      <c r="O433" s="351">
        <f t="shared" si="37"/>
        <v>0</v>
      </c>
      <c r="P433" s="564" t="s">
        <v>4316</v>
      </c>
    </row>
    <row r="434" spans="1:17">
      <c r="A434" s="183">
        <v>20160804</v>
      </c>
      <c r="B434" s="183" t="s">
        <v>4552</v>
      </c>
      <c r="C434" s="199" t="s">
        <v>4204</v>
      </c>
      <c r="E434" s="199">
        <v>72000</v>
      </c>
      <c r="F434" s="183">
        <v>3600</v>
      </c>
      <c r="G434" s="563">
        <f t="shared" si="35"/>
        <v>75600</v>
      </c>
      <c r="H434" s="379"/>
      <c r="I434" s="398" t="s">
        <v>4761</v>
      </c>
      <c r="L434" s="350">
        <v>75600</v>
      </c>
      <c r="M434" s="350">
        <f t="shared" si="36"/>
        <v>75600</v>
      </c>
      <c r="O434" s="351">
        <f t="shared" si="37"/>
        <v>0</v>
      </c>
      <c r="P434" s="564" t="s">
        <v>4313</v>
      </c>
    </row>
    <row r="435" spans="1:17">
      <c r="A435" s="183">
        <v>20160901</v>
      </c>
      <c r="B435" s="183" t="s">
        <v>4554</v>
      </c>
      <c r="C435" s="183" t="s">
        <v>4555</v>
      </c>
      <c r="E435" s="183">
        <v>86400</v>
      </c>
      <c r="F435" s="183">
        <v>4320</v>
      </c>
      <c r="G435" s="563">
        <f t="shared" si="35"/>
        <v>90720</v>
      </c>
      <c r="H435" s="399" t="s">
        <v>4302</v>
      </c>
      <c r="I435" s="398" t="s">
        <v>4827</v>
      </c>
      <c r="J435" s="350">
        <v>90720</v>
      </c>
      <c r="M435" s="350">
        <f>J435+K435+L435</f>
        <v>90720</v>
      </c>
      <c r="O435" s="351">
        <f>G435-M435-N435</f>
        <v>0</v>
      </c>
      <c r="P435" s="564" t="s">
        <v>4560</v>
      </c>
    </row>
    <row r="436" spans="1:17">
      <c r="A436" s="183">
        <v>20160907</v>
      </c>
      <c r="B436" s="183" t="s">
        <v>4556</v>
      </c>
      <c r="C436" s="183" t="s">
        <v>447</v>
      </c>
      <c r="E436" s="183">
        <v>13500</v>
      </c>
      <c r="F436" s="183">
        <v>675</v>
      </c>
      <c r="G436" s="563">
        <f t="shared" si="35"/>
        <v>14175</v>
      </c>
      <c r="H436" s="399" t="s">
        <v>4824</v>
      </c>
      <c r="I436" s="398" t="s">
        <v>4764</v>
      </c>
      <c r="L436" s="350">
        <v>14165</v>
      </c>
      <c r="M436" s="350">
        <f>J436+K436+L436</f>
        <v>14165</v>
      </c>
      <c r="N436" s="351">
        <v>10</v>
      </c>
      <c r="O436" s="351">
        <f>G436-M436-N436</f>
        <v>0</v>
      </c>
      <c r="P436" s="564" t="s">
        <v>4321</v>
      </c>
    </row>
    <row r="437" spans="1:17">
      <c r="A437" s="183">
        <v>20160907</v>
      </c>
      <c r="B437" s="183" t="s">
        <v>4557</v>
      </c>
      <c r="C437" s="199" t="s">
        <v>4339</v>
      </c>
      <c r="E437" s="199">
        <v>13500</v>
      </c>
      <c r="F437" s="183">
        <v>675</v>
      </c>
      <c r="G437" s="563">
        <f t="shared" si="35"/>
        <v>14175</v>
      </c>
      <c r="H437" s="399" t="s">
        <v>4812</v>
      </c>
      <c r="I437" s="398" t="s">
        <v>4765</v>
      </c>
      <c r="L437" s="350">
        <v>14145</v>
      </c>
      <c r="M437" s="350">
        <f>J437+K437+L437</f>
        <v>14145</v>
      </c>
      <c r="N437" s="351">
        <v>30</v>
      </c>
      <c r="O437" s="351">
        <f>G437-M437-N437</f>
        <v>0</v>
      </c>
      <c r="P437" s="564" t="s">
        <v>4340</v>
      </c>
    </row>
    <row r="438" spans="1:17">
      <c r="A438" s="183">
        <v>20160907</v>
      </c>
      <c r="B438" s="183" t="s">
        <v>4558</v>
      </c>
      <c r="C438" s="199" t="s">
        <v>4318</v>
      </c>
      <c r="E438" s="199">
        <v>12857</v>
      </c>
      <c r="F438" s="183">
        <v>643</v>
      </c>
      <c r="G438" s="563">
        <f t="shared" si="35"/>
        <v>13500</v>
      </c>
      <c r="H438" s="399" t="s">
        <v>4813</v>
      </c>
      <c r="I438" s="398" t="s">
        <v>4264</v>
      </c>
      <c r="L438" s="350">
        <v>13485</v>
      </c>
      <c r="M438" s="350">
        <f>J438+K438+L438</f>
        <v>13485</v>
      </c>
      <c r="N438" s="351">
        <v>15</v>
      </c>
      <c r="O438" s="351">
        <f>G438-M438-N438</f>
        <v>0</v>
      </c>
      <c r="P438" s="564" t="s">
        <v>4319</v>
      </c>
    </row>
    <row r="439" spans="1:17">
      <c r="A439" s="183">
        <v>20161011</v>
      </c>
      <c r="B439" s="183" t="s">
        <v>4559</v>
      </c>
      <c r="C439" s="199" t="s">
        <v>456</v>
      </c>
      <c r="E439" s="199">
        <v>12600</v>
      </c>
      <c r="F439" s="183">
        <v>630</v>
      </c>
      <c r="G439" s="563">
        <f t="shared" si="35"/>
        <v>13230</v>
      </c>
      <c r="H439" s="399" t="s">
        <v>4813</v>
      </c>
      <c r="I439" s="398" t="s">
        <v>4751</v>
      </c>
      <c r="L439" s="350">
        <v>13230</v>
      </c>
      <c r="M439" s="350">
        <f>J439+K439+L439</f>
        <v>13230</v>
      </c>
      <c r="O439" s="351">
        <f>G439-M439-N439</f>
        <v>0</v>
      </c>
      <c r="P439" s="564" t="s">
        <v>4323</v>
      </c>
    </row>
    <row r="440" spans="1:17">
      <c r="A440" s="183">
        <v>20161101</v>
      </c>
      <c r="B440" s="183" t="s">
        <v>4561</v>
      </c>
      <c r="C440" s="183" t="s">
        <v>4201</v>
      </c>
      <c r="E440" s="183">
        <v>19500</v>
      </c>
      <c r="F440" s="183">
        <v>975</v>
      </c>
      <c r="G440" s="563">
        <f t="shared" si="35"/>
        <v>20475</v>
      </c>
      <c r="H440" s="399" t="s">
        <v>4330</v>
      </c>
      <c r="I440" s="350">
        <v>1150</v>
      </c>
      <c r="J440" s="350">
        <v>20475</v>
      </c>
      <c r="M440" s="350">
        <f t="shared" ref="M440:M453" si="38">J440+K440+L440</f>
        <v>20475</v>
      </c>
      <c r="O440" s="351">
        <f t="shared" ref="O440:O452" si="39">G440-M440-N440</f>
        <v>0</v>
      </c>
      <c r="P440" s="564" t="s">
        <v>4308</v>
      </c>
    </row>
    <row r="441" spans="1:17">
      <c r="A441" s="183">
        <v>20161101</v>
      </c>
      <c r="B441" s="183" t="s">
        <v>4562</v>
      </c>
      <c r="C441" s="183" t="s">
        <v>4000</v>
      </c>
      <c r="E441" s="183">
        <v>19500</v>
      </c>
      <c r="F441" s="183">
        <v>975</v>
      </c>
      <c r="G441" s="563">
        <f t="shared" si="35"/>
        <v>20475</v>
      </c>
      <c r="H441" s="399" t="s">
        <v>4330</v>
      </c>
      <c r="I441" s="350">
        <v>1158</v>
      </c>
      <c r="J441" s="350">
        <v>20475</v>
      </c>
      <c r="M441" s="350">
        <f t="shared" si="38"/>
        <v>20475</v>
      </c>
      <c r="O441" s="351">
        <f t="shared" si="39"/>
        <v>0</v>
      </c>
      <c r="P441" s="564" t="s">
        <v>4310</v>
      </c>
    </row>
    <row r="442" spans="1:17">
      <c r="A442" s="183">
        <v>20161101</v>
      </c>
      <c r="B442" s="183" t="s">
        <v>4563</v>
      </c>
      <c r="C442" s="199" t="s">
        <v>4000</v>
      </c>
      <c r="E442" s="199">
        <v>15600</v>
      </c>
      <c r="F442" s="183">
        <v>780</v>
      </c>
      <c r="G442" s="563">
        <f t="shared" si="35"/>
        <v>16380</v>
      </c>
      <c r="H442" s="399" t="s">
        <v>4330</v>
      </c>
      <c r="I442" s="350">
        <v>1166</v>
      </c>
      <c r="J442" s="350">
        <v>16380</v>
      </c>
      <c r="M442" s="350">
        <f t="shared" si="38"/>
        <v>16380</v>
      </c>
      <c r="O442" s="351">
        <f t="shared" si="39"/>
        <v>0</v>
      </c>
      <c r="P442" s="564" t="s">
        <v>4310</v>
      </c>
    </row>
    <row r="443" spans="1:17">
      <c r="A443" s="183">
        <v>20161101</v>
      </c>
      <c r="B443" s="183" t="s">
        <v>4564</v>
      </c>
      <c r="C443" s="199" t="s">
        <v>4201</v>
      </c>
      <c r="E443" s="199">
        <v>108000</v>
      </c>
      <c r="F443" s="183">
        <v>5400</v>
      </c>
      <c r="G443" s="563">
        <f t="shared" si="35"/>
        <v>113400</v>
      </c>
      <c r="H443" s="399"/>
      <c r="I443" s="398" t="s">
        <v>4190</v>
      </c>
      <c r="L443" s="350">
        <v>113390</v>
      </c>
      <c r="M443" s="350">
        <f t="shared" si="38"/>
        <v>113390</v>
      </c>
      <c r="N443" s="351">
        <v>10</v>
      </c>
      <c r="O443" s="351">
        <f t="shared" si="39"/>
        <v>0</v>
      </c>
      <c r="P443" s="564" t="s">
        <v>4308</v>
      </c>
    </row>
    <row r="444" spans="1:17">
      <c r="A444" s="183">
        <v>20161101</v>
      </c>
      <c r="B444" s="183" t="s">
        <v>4565</v>
      </c>
      <c r="C444" s="199" t="s">
        <v>4000</v>
      </c>
      <c r="E444" s="199">
        <v>108000</v>
      </c>
      <c r="F444" s="183">
        <v>5400</v>
      </c>
      <c r="G444" s="563">
        <f t="shared" si="35"/>
        <v>113400</v>
      </c>
      <c r="H444" s="399"/>
      <c r="I444" s="350">
        <v>1174</v>
      </c>
      <c r="J444" s="350">
        <v>113400</v>
      </c>
      <c r="M444" s="350">
        <f t="shared" si="38"/>
        <v>113400</v>
      </c>
      <c r="O444" s="351">
        <f t="shared" si="39"/>
        <v>0</v>
      </c>
      <c r="P444" s="564" t="s">
        <v>4310</v>
      </c>
    </row>
    <row r="445" spans="1:17">
      <c r="A445" s="183">
        <v>20161102</v>
      </c>
      <c r="B445" s="183" t="s">
        <v>4566</v>
      </c>
      <c r="C445" s="199" t="s">
        <v>4567</v>
      </c>
      <c r="E445" s="199">
        <v>3000</v>
      </c>
      <c r="F445" s="183">
        <v>150</v>
      </c>
      <c r="G445" s="563">
        <f t="shared" si="35"/>
        <v>3150</v>
      </c>
      <c r="H445" s="399"/>
      <c r="I445" s="350">
        <v>1175</v>
      </c>
      <c r="J445" s="350">
        <v>3150</v>
      </c>
      <c r="M445" s="350">
        <f t="shared" si="38"/>
        <v>3150</v>
      </c>
      <c r="O445" s="351">
        <f t="shared" si="39"/>
        <v>0</v>
      </c>
      <c r="P445" s="564" t="s">
        <v>4576</v>
      </c>
    </row>
    <row r="446" spans="1:17">
      <c r="A446" s="183">
        <v>20161102</v>
      </c>
      <c r="B446" s="183" t="s">
        <v>4568</v>
      </c>
      <c r="C446" s="199" t="s">
        <v>4315</v>
      </c>
      <c r="E446" s="199">
        <v>15600</v>
      </c>
      <c r="F446" s="183">
        <v>780</v>
      </c>
      <c r="G446" s="563">
        <f t="shared" si="35"/>
        <v>16380</v>
      </c>
      <c r="H446" s="399" t="s">
        <v>4816</v>
      </c>
      <c r="I446" s="398" t="s">
        <v>4609</v>
      </c>
      <c r="J446" s="350">
        <v>16380</v>
      </c>
      <c r="M446" s="350">
        <f t="shared" si="38"/>
        <v>16380</v>
      </c>
      <c r="O446" s="351">
        <f t="shared" si="39"/>
        <v>0</v>
      </c>
      <c r="P446" s="564" t="s">
        <v>4316</v>
      </c>
    </row>
    <row r="447" spans="1:17">
      <c r="A447" s="183">
        <v>20161121</v>
      </c>
      <c r="B447" s="183" t="s">
        <v>4569</v>
      </c>
      <c r="C447" s="623" t="s">
        <v>2691</v>
      </c>
      <c r="E447" s="199">
        <v>108000</v>
      </c>
      <c r="F447" s="183">
        <v>5400</v>
      </c>
      <c r="G447" s="563">
        <f t="shared" si="35"/>
        <v>113400</v>
      </c>
      <c r="H447" s="399" t="s">
        <v>5620</v>
      </c>
      <c r="I447" s="398" t="s">
        <v>5621</v>
      </c>
      <c r="J447" s="350">
        <v>28350</v>
      </c>
      <c r="M447" s="350">
        <f t="shared" si="38"/>
        <v>28350</v>
      </c>
      <c r="O447" s="626">
        <f t="shared" si="39"/>
        <v>85050</v>
      </c>
      <c r="P447" s="564" t="s">
        <v>4577</v>
      </c>
      <c r="Q447" s="403" t="s">
        <v>5580</v>
      </c>
    </row>
    <row r="448" spans="1:17">
      <c r="A448" s="183">
        <v>20161128</v>
      </c>
      <c r="B448" s="183" t="s">
        <v>4570</v>
      </c>
      <c r="C448" s="199" t="s">
        <v>4204</v>
      </c>
      <c r="E448" s="199">
        <v>19500</v>
      </c>
      <c r="F448" s="183">
        <v>975</v>
      </c>
      <c r="G448" s="563">
        <f t="shared" si="35"/>
        <v>20475</v>
      </c>
      <c r="H448" s="399" t="s">
        <v>4813</v>
      </c>
      <c r="I448" s="350">
        <v>1026</v>
      </c>
      <c r="K448" s="350">
        <v>20475</v>
      </c>
      <c r="M448" s="350">
        <f t="shared" si="38"/>
        <v>20475</v>
      </c>
      <c r="O448" s="351">
        <f t="shared" si="39"/>
        <v>0</v>
      </c>
      <c r="P448" s="564" t="s">
        <v>4313</v>
      </c>
    </row>
    <row r="449" spans="1:16">
      <c r="A449" s="183">
        <v>20161128</v>
      </c>
      <c r="B449" s="183" t="s">
        <v>4571</v>
      </c>
      <c r="C449" s="199" t="s">
        <v>4056</v>
      </c>
      <c r="E449" s="199">
        <v>19500</v>
      </c>
      <c r="F449" s="183">
        <v>975</v>
      </c>
      <c r="G449" s="563">
        <f t="shared" si="35"/>
        <v>20475</v>
      </c>
      <c r="H449" s="399" t="s">
        <v>4823</v>
      </c>
      <c r="I449" s="350">
        <v>959</v>
      </c>
      <c r="K449" s="350">
        <v>20475</v>
      </c>
      <c r="M449" s="350">
        <f t="shared" si="38"/>
        <v>20475</v>
      </c>
      <c r="O449" s="351">
        <f t="shared" si="39"/>
        <v>0</v>
      </c>
      <c r="P449" s="564" t="s">
        <v>4331</v>
      </c>
    </row>
    <row r="450" spans="1:16">
      <c r="A450" s="183">
        <v>20161206</v>
      </c>
      <c r="B450" s="183" t="s">
        <v>4572</v>
      </c>
      <c r="C450" s="199" t="s">
        <v>3825</v>
      </c>
      <c r="E450" s="199">
        <v>13500</v>
      </c>
      <c r="F450" s="183">
        <v>675</v>
      </c>
      <c r="G450" s="563">
        <f t="shared" si="35"/>
        <v>14175</v>
      </c>
      <c r="H450" s="399" t="s">
        <v>4823</v>
      </c>
      <c r="I450" s="398" t="s">
        <v>5273</v>
      </c>
      <c r="L450" s="350">
        <v>14145</v>
      </c>
      <c r="M450" s="350">
        <f t="shared" si="38"/>
        <v>14145</v>
      </c>
      <c r="N450" s="351">
        <v>30</v>
      </c>
      <c r="O450" s="351">
        <f t="shared" si="39"/>
        <v>0</v>
      </c>
      <c r="P450" s="564" t="s">
        <v>4340</v>
      </c>
    </row>
    <row r="451" spans="1:16">
      <c r="A451" s="183">
        <v>20161206</v>
      </c>
      <c r="B451" s="183" t="s">
        <v>4573</v>
      </c>
      <c r="C451" s="199" t="s">
        <v>1532</v>
      </c>
      <c r="E451" s="199">
        <v>12857</v>
      </c>
      <c r="F451" s="183">
        <v>643</v>
      </c>
      <c r="G451" s="563">
        <f t="shared" si="35"/>
        <v>13500</v>
      </c>
      <c r="H451" s="399" t="s">
        <v>4812</v>
      </c>
      <c r="I451" s="398" t="s">
        <v>5274</v>
      </c>
      <c r="L451" s="350">
        <v>13485</v>
      </c>
      <c r="M451" s="350">
        <f t="shared" si="38"/>
        <v>13485</v>
      </c>
      <c r="N451" s="351">
        <v>15</v>
      </c>
      <c r="O451" s="351">
        <f t="shared" si="39"/>
        <v>0</v>
      </c>
      <c r="P451" s="564" t="s">
        <v>4319</v>
      </c>
    </row>
    <row r="452" spans="1:16">
      <c r="A452" s="183">
        <v>20161206</v>
      </c>
      <c r="B452" s="183" t="s">
        <v>4574</v>
      </c>
      <c r="C452" s="199" t="s">
        <v>2421</v>
      </c>
      <c r="E452" s="199">
        <v>13500</v>
      </c>
      <c r="F452" s="183">
        <v>675</v>
      </c>
      <c r="G452" s="563">
        <f t="shared" si="35"/>
        <v>14175</v>
      </c>
      <c r="H452" s="399" t="s">
        <v>4810</v>
      </c>
      <c r="I452" s="398" t="s">
        <v>5272</v>
      </c>
      <c r="L452" s="398">
        <v>14165</v>
      </c>
      <c r="M452" s="350">
        <f t="shared" si="38"/>
        <v>14165</v>
      </c>
      <c r="N452" s="351">
        <v>10</v>
      </c>
      <c r="O452" s="351">
        <f t="shared" si="39"/>
        <v>0</v>
      </c>
      <c r="P452" s="564" t="s">
        <v>4321</v>
      </c>
    </row>
    <row r="453" spans="1:16">
      <c r="A453" s="183">
        <v>20161115</v>
      </c>
      <c r="B453" s="183" t="s">
        <v>4575</v>
      </c>
      <c r="C453" s="199"/>
      <c r="E453" s="199">
        <v>2500</v>
      </c>
      <c r="F453" s="183">
        <v>125</v>
      </c>
      <c r="G453" s="563">
        <v>2625</v>
      </c>
      <c r="H453" s="379"/>
      <c r="M453" s="350">
        <f t="shared" si="38"/>
        <v>0</v>
      </c>
      <c r="O453" s="626">
        <f>G453-M453-N453-2625</f>
        <v>0</v>
      </c>
      <c r="P453" s="564" t="s">
        <v>15201</v>
      </c>
    </row>
    <row r="454" spans="1:16">
      <c r="A454" s="183"/>
      <c r="B454" s="183"/>
      <c r="C454" s="199"/>
      <c r="E454" s="199"/>
      <c r="F454" s="183"/>
      <c r="G454" s="563"/>
      <c r="H454" s="379"/>
      <c r="K454" s="199" t="s">
        <v>4836</v>
      </c>
      <c r="L454" s="350">
        <v>22680</v>
      </c>
      <c r="P454" s="564"/>
    </row>
    <row r="455" spans="1:16">
      <c r="K455" s="398" t="s">
        <v>876</v>
      </c>
      <c r="L455" s="350">
        <v>-4320</v>
      </c>
    </row>
    <row r="456" spans="1:16">
      <c r="K456" s="398" t="s">
        <v>876</v>
      </c>
      <c r="L456" s="350">
        <v>-3150</v>
      </c>
    </row>
    <row r="457" spans="1:16">
      <c r="K457" s="398" t="s">
        <v>876</v>
      </c>
      <c r="L457" s="350">
        <v>-29400</v>
      </c>
    </row>
    <row r="458" spans="1:16" s="347" customFormat="1">
      <c r="A458" s="401" t="s">
        <v>5171</v>
      </c>
      <c r="D458" s="348" t="s">
        <v>2377</v>
      </c>
      <c r="E458" s="376">
        <f>SUM(E459:E530)</f>
        <v>3273957</v>
      </c>
      <c r="F458" s="376">
        <f>SUM(F459:F530)</f>
        <v>163698</v>
      </c>
      <c r="G458" s="376">
        <f>SUM(G459:G530)</f>
        <v>3437655</v>
      </c>
      <c r="H458" s="349"/>
      <c r="I458" s="383"/>
      <c r="J458" s="376">
        <f t="shared" ref="J458:O458" si="40">SUM(J459:J530)</f>
        <v>2408310</v>
      </c>
      <c r="K458" s="376">
        <f t="shared" si="40"/>
        <v>413595</v>
      </c>
      <c r="L458" s="376">
        <f t="shared" si="40"/>
        <v>615620</v>
      </c>
      <c r="M458" s="376">
        <f t="shared" si="40"/>
        <v>3437525</v>
      </c>
      <c r="N458" s="376">
        <f t="shared" si="40"/>
        <v>130</v>
      </c>
      <c r="O458" s="376">
        <f t="shared" si="40"/>
        <v>0</v>
      </c>
      <c r="P458" s="391"/>
    </row>
    <row r="459" spans="1:16">
      <c r="A459" s="183">
        <v>20170105</v>
      </c>
      <c r="B459" s="183" t="s">
        <v>5172</v>
      </c>
      <c r="C459" s="183" t="s">
        <v>4271</v>
      </c>
      <c r="D459" s="617"/>
      <c r="E459" s="183">
        <v>19500</v>
      </c>
      <c r="F459" s="183">
        <v>975</v>
      </c>
      <c r="G459" s="563">
        <f t="shared" ref="G459:G522" si="41">E459+F459</f>
        <v>20475</v>
      </c>
      <c r="H459" s="399" t="s">
        <v>4330</v>
      </c>
      <c r="I459" s="398">
        <v>1176</v>
      </c>
      <c r="J459" s="350">
        <v>20475</v>
      </c>
      <c r="M459" s="350">
        <f>J459+K459+L459</f>
        <v>20475</v>
      </c>
      <c r="O459" s="351">
        <f>G459-M459-N459</f>
        <v>0</v>
      </c>
      <c r="P459" s="564" t="s">
        <v>4396</v>
      </c>
    </row>
    <row r="460" spans="1:16">
      <c r="A460" s="183">
        <v>20170105</v>
      </c>
      <c r="B460" s="183" t="s">
        <v>5173</v>
      </c>
      <c r="C460" s="183" t="s">
        <v>4271</v>
      </c>
      <c r="D460" s="618"/>
      <c r="E460" s="183">
        <v>19500</v>
      </c>
      <c r="F460" s="183">
        <v>975</v>
      </c>
      <c r="G460" s="563">
        <f>E460+F460</f>
        <v>20475</v>
      </c>
      <c r="H460" s="399" t="s">
        <v>4763</v>
      </c>
      <c r="I460" s="398">
        <v>1177</v>
      </c>
      <c r="J460" s="350">
        <v>20475</v>
      </c>
      <c r="M460" s="350">
        <f t="shared" ref="M460:M523" si="42">J460+K460+L460</f>
        <v>20475</v>
      </c>
      <c r="O460" s="351">
        <f t="shared" ref="O460:O523" si="43">G460-M460-N460</f>
        <v>0</v>
      </c>
      <c r="P460" s="564" t="s">
        <v>4396</v>
      </c>
    </row>
    <row r="461" spans="1:16">
      <c r="A461" s="183">
        <v>20170105</v>
      </c>
      <c r="B461" s="183" t="s">
        <v>5174</v>
      </c>
      <c r="C461" s="183" t="s">
        <v>4271</v>
      </c>
      <c r="D461" s="618"/>
      <c r="E461" s="183">
        <v>19500</v>
      </c>
      <c r="F461" s="183">
        <v>975</v>
      </c>
      <c r="G461" s="563">
        <f>E461+F461</f>
        <v>20475</v>
      </c>
      <c r="H461" s="350">
        <v>3</v>
      </c>
      <c r="I461" s="398">
        <v>1178</v>
      </c>
      <c r="J461" s="350">
        <v>20475</v>
      </c>
      <c r="M461" s="350">
        <f t="shared" si="42"/>
        <v>20475</v>
      </c>
      <c r="O461" s="351">
        <f t="shared" si="43"/>
        <v>0</v>
      </c>
      <c r="P461" s="564" t="s">
        <v>4396</v>
      </c>
    </row>
    <row r="462" spans="1:16">
      <c r="A462" s="183">
        <v>20170105</v>
      </c>
      <c r="B462" s="183" t="s">
        <v>5175</v>
      </c>
      <c r="C462" s="183" t="s">
        <v>4271</v>
      </c>
      <c r="D462" s="617"/>
      <c r="E462" s="183">
        <v>19500</v>
      </c>
      <c r="F462" s="183">
        <v>975</v>
      </c>
      <c r="G462" s="563">
        <f>E462+F462</f>
        <v>20475</v>
      </c>
      <c r="H462" s="350">
        <v>4</v>
      </c>
      <c r="I462" s="398">
        <v>1179</v>
      </c>
      <c r="J462" s="350">
        <v>20475</v>
      </c>
      <c r="M462" s="350">
        <f t="shared" si="42"/>
        <v>20475</v>
      </c>
      <c r="O462" s="351">
        <f t="shared" si="43"/>
        <v>0</v>
      </c>
      <c r="P462" s="564" t="s">
        <v>4396</v>
      </c>
    </row>
    <row r="463" spans="1:16">
      <c r="A463" s="183">
        <v>20170105</v>
      </c>
      <c r="B463" s="183" t="s">
        <v>5176</v>
      </c>
      <c r="C463" s="199" t="s">
        <v>456</v>
      </c>
      <c r="D463" s="617"/>
      <c r="E463" s="199">
        <v>12600</v>
      </c>
      <c r="F463" s="183">
        <v>630</v>
      </c>
      <c r="G463" s="563">
        <f t="shared" si="41"/>
        <v>13230</v>
      </c>
      <c r="H463" s="350">
        <v>7</v>
      </c>
      <c r="I463" s="398" t="s">
        <v>5273</v>
      </c>
      <c r="L463" s="350">
        <v>13230</v>
      </c>
      <c r="M463" s="350">
        <f t="shared" si="42"/>
        <v>13230</v>
      </c>
      <c r="O463" s="351">
        <f t="shared" si="43"/>
        <v>0</v>
      </c>
      <c r="P463" s="564" t="s">
        <v>4323</v>
      </c>
    </row>
    <row r="464" spans="1:16">
      <c r="A464" s="183">
        <v>20170207</v>
      </c>
      <c r="B464" s="183" t="s">
        <v>5177</v>
      </c>
      <c r="C464" s="199" t="s">
        <v>4201</v>
      </c>
      <c r="D464" s="617"/>
      <c r="E464" s="199">
        <v>19500</v>
      </c>
      <c r="F464" s="183">
        <v>975</v>
      </c>
      <c r="G464" s="563">
        <f t="shared" si="41"/>
        <v>20475</v>
      </c>
      <c r="H464" s="350">
        <v>2</v>
      </c>
      <c r="I464" s="350">
        <v>1151</v>
      </c>
      <c r="K464" s="350">
        <v>20475</v>
      </c>
      <c r="M464" s="350">
        <f t="shared" si="42"/>
        <v>20475</v>
      </c>
      <c r="O464" s="351">
        <f t="shared" si="43"/>
        <v>0</v>
      </c>
      <c r="P464" s="564" t="s">
        <v>4308</v>
      </c>
    </row>
    <row r="465" spans="1:17">
      <c r="A465" s="183">
        <v>20170207</v>
      </c>
      <c r="B465" s="183" t="s">
        <v>5178</v>
      </c>
      <c r="C465" s="199" t="s">
        <v>4000</v>
      </c>
      <c r="D465" s="617"/>
      <c r="E465" s="199">
        <v>19500</v>
      </c>
      <c r="F465" s="183">
        <v>975</v>
      </c>
      <c r="G465" s="563">
        <f t="shared" si="41"/>
        <v>20475</v>
      </c>
      <c r="H465" s="350">
        <v>2</v>
      </c>
      <c r="I465" s="350">
        <v>1159</v>
      </c>
      <c r="K465" s="350">
        <v>20475</v>
      </c>
      <c r="M465" s="350">
        <f t="shared" si="42"/>
        <v>20475</v>
      </c>
      <c r="O465" s="351">
        <f t="shared" si="43"/>
        <v>0</v>
      </c>
      <c r="P465" s="564" t="s">
        <v>4310</v>
      </c>
    </row>
    <row r="466" spans="1:17">
      <c r="A466" s="183">
        <v>20170207</v>
      </c>
      <c r="B466" s="183" t="s">
        <v>5179</v>
      </c>
      <c r="C466" s="199" t="s">
        <v>4000</v>
      </c>
      <c r="D466" s="617"/>
      <c r="E466" s="199">
        <v>15600</v>
      </c>
      <c r="F466" s="183">
        <v>780</v>
      </c>
      <c r="G466" s="563">
        <f t="shared" si="41"/>
        <v>16380</v>
      </c>
      <c r="H466" s="350">
        <v>2</v>
      </c>
      <c r="I466" s="350">
        <v>1167</v>
      </c>
      <c r="K466" s="350">
        <v>16380</v>
      </c>
      <c r="M466" s="350">
        <f t="shared" si="42"/>
        <v>16380</v>
      </c>
      <c r="O466" s="351">
        <f t="shared" si="43"/>
        <v>0</v>
      </c>
      <c r="P466" s="564" t="s">
        <v>4310</v>
      </c>
    </row>
    <row r="467" spans="1:17">
      <c r="A467" s="183">
        <v>20170207</v>
      </c>
      <c r="B467" s="183" t="s">
        <v>5180</v>
      </c>
      <c r="C467" s="199" t="s">
        <v>4204</v>
      </c>
      <c r="D467" s="617"/>
      <c r="E467" s="199">
        <v>19500</v>
      </c>
      <c r="F467" s="183">
        <v>975</v>
      </c>
      <c r="G467" s="563">
        <f t="shared" si="41"/>
        <v>20475</v>
      </c>
      <c r="H467" s="350">
        <v>7</v>
      </c>
      <c r="I467" s="350">
        <v>1027</v>
      </c>
      <c r="K467" s="350">
        <v>20475</v>
      </c>
      <c r="M467" s="350">
        <f t="shared" si="42"/>
        <v>20475</v>
      </c>
      <c r="O467" s="351">
        <f t="shared" si="43"/>
        <v>0</v>
      </c>
      <c r="P467" s="564" t="s">
        <v>4313</v>
      </c>
    </row>
    <row r="468" spans="1:17">
      <c r="A468" s="183">
        <v>20170207</v>
      </c>
      <c r="B468" s="183" t="s">
        <v>5181</v>
      </c>
      <c r="C468" s="199" t="s">
        <v>4315</v>
      </c>
      <c r="D468" s="617"/>
      <c r="E468" s="199">
        <v>15600</v>
      </c>
      <c r="F468" s="183">
        <v>780</v>
      </c>
      <c r="G468" s="563">
        <f t="shared" si="41"/>
        <v>16380</v>
      </c>
      <c r="H468" s="350">
        <v>12</v>
      </c>
      <c r="I468" s="350">
        <v>1198</v>
      </c>
      <c r="J468" s="350">
        <v>16380</v>
      </c>
      <c r="M468" s="350">
        <f t="shared" si="42"/>
        <v>16380</v>
      </c>
      <c r="O468" s="351">
        <f t="shared" si="43"/>
        <v>0</v>
      </c>
      <c r="P468" s="564" t="s">
        <v>4316</v>
      </c>
    </row>
    <row r="469" spans="1:17">
      <c r="A469" s="183">
        <v>20170208</v>
      </c>
      <c r="B469" s="183" t="s">
        <v>5182</v>
      </c>
      <c r="C469" s="199" t="s">
        <v>4056</v>
      </c>
      <c r="D469" s="617"/>
      <c r="E469" s="199">
        <v>19500</v>
      </c>
      <c r="F469" s="183">
        <v>975</v>
      </c>
      <c r="G469" s="563">
        <f t="shared" si="41"/>
        <v>20475</v>
      </c>
      <c r="H469" s="350">
        <v>1</v>
      </c>
      <c r="I469" s="350">
        <v>1188</v>
      </c>
      <c r="K469" s="350">
        <v>20475</v>
      </c>
      <c r="M469" s="350">
        <f t="shared" si="42"/>
        <v>20475</v>
      </c>
      <c r="O469" s="351">
        <f t="shared" si="43"/>
        <v>0</v>
      </c>
      <c r="P469" s="564" t="s">
        <v>4331</v>
      </c>
    </row>
    <row r="470" spans="1:17">
      <c r="A470" s="183">
        <v>20170208</v>
      </c>
      <c r="B470" s="183" t="s">
        <v>5183</v>
      </c>
      <c r="C470" s="199" t="s">
        <v>5184</v>
      </c>
      <c r="D470" s="617"/>
      <c r="E470" s="199">
        <v>108000</v>
      </c>
      <c r="F470" s="183">
        <v>5400</v>
      </c>
      <c r="G470" s="563">
        <f t="shared" si="41"/>
        <v>113400</v>
      </c>
      <c r="H470" s="399" t="s">
        <v>4302</v>
      </c>
      <c r="I470" s="398" t="s">
        <v>5622</v>
      </c>
      <c r="J470" s="350">
        <v>113400</v>
      </c>
      <c r="M470" s="350">
        <f t="shared" si="42"/>
        <v>113400</v>
      </c>
      <c r="O470" s="351">
        <f t="shared" si="43"/>
        <v>0</v>
      </c>
      <c r="P470" s="564" t="s">
        <v>5185</v>
      </c>
    </row>
    <row r="471" spans="1:17">
      <c r="A471" s="183">
        <v>20170301</v>
      </c>
      <c r="B471" s="183" t="s">
        <v>5186</v>
      </c>
      <c r="C471" s="183" t="s">
        <v>447</v>
      </c>
      <c r="D471" s="617"/>
      <c r="E471" s="183">
        <v>13500</v>
      </c>
      <c r="F471" s="183">
        <v>675</v>
      </c>
      <c r="G471" s="563">
        <f t="shared" si="41"/>
        <v>14175</v>
      </c>
      <c r="H471" s="350">
        <v>5</v>
      </c>
      <c r="I471" s="398" t="s">
        <v>5276</v>
      </c>
      <c r="L471" s="350">
        <v>14165</v>
      </c>
      <c r="M471" s="350">
        <f t="shared" si="42"/>
        <v>14165</v>
      </c>
      <c r="N471" s="351">
        <v>10</v>
      </c>
      <c r="O471" s="351">
        <f t="shared" si="43"/>
        <v>0</v>
      </c>
      <c r="P471" s="564" t="s">
        <v>4321</v>
      </c>
    </row>
    <row r="472" spans="1:17">
      <c r="A472" s="183">
        <v>20170301</v>
      </c>
      <c r="B472" s="183" t="s">
        <v>5187</v>
      </c>
      <c r="C472" s="183" t="s">
        <v>4318</v>
      </c>
      <c r="D472" s="618"/>
      <c r="E472" s="183">
        <v>12857</v>
      </c>
      <c r="F472" s="183">
        <v>643</v>
      </c>
      <c r="G472" s="563">
        <f>E472+F472</f>
        <v>13500</v>
      </c>
      <c r="H472" s="350">
        <v>8</v>
      </c>
      <c r="I472" s="398" t="s">
        <v>5275</v>
      </c>
      <c r="L472" s="350">
        <v>13485</v>
      </c>
      <c r="M472" s="350">
        <f t="shared" si="42"/>
        <v>13485</v>
      </c>
      <c r="N472" s="351">
        <v>15</v>
      </c>
      <c r="O472" s="351">
        <f t="shared" si="43"/>
        <v>0</v>
      </c>
      <c r="P472" s="564" t="s">
        <v>4319</v>
      </c>
    </row>
    <row r="473" spans="1:17">
      <c r="A473" s="183">
        <v>20170308</v>
      </c>
      <c r="B473" s="183" t="s">
        <v>5188</v>
      </c>
      <c r="C473" s="183" t="s">
        <v>5189</v>
      </c>
      <c r="D473" s="618"/>
      <c r="E473" s="183">
        <v>102857</v>
      </c>
      <c r="F473" s="183">
        <v>5143</v>
      </c>
      <c r="G473" s="563">
        <f>E473+F473</f>
        <v>108000</v>
      </c>
      <c r="H473" s="399" t="s">
        <v>4302</v>
      </c>
      <c r="I473" s="398" t="s">
        <v>5623</v>
      </c>
      <c r="J473" s="350">
        <v>108000</v>
      </c>
      <c r="M473" s="350">
        <f t="shared" si="42"/>
        <v>108000</v>
      </c>
      <c r="O473" s="351">
        <f t="shared" si="43"/>
        <v>0</v>
      </c>
      <c r="P473" s="564" t="s">
        <v>5202</v>
      </c>
    </row>
    <row r="474" spans="1:17">
      <c r="A474" s="183">
        <v>20170322</v>
      </c>
      <c r="B474" s="183" t="s">
        <v>5190</v>
      </c>
      <c r="C474" s="183" t="s">
        <v>5191</v>
      </c>
      <c r="D474" s="617"/>
      <c r="E474" s="183">
        <v>108000</v>
      </c>
      <c r="F474" s="183">
        <v>5400</v>
      </c>
      <c r="G474" s="563">
        <f>E474+F474</f>
        <v>113400</v>
      </c>
      <c r="H474" s="399" t="s">
        <v>4302</v>
      </c>
      <c r="I474" s="398" t="s">
        <v>5624</v>
      </c>
      <c r="J474" s="350">
        <v>113400</v>
      </c>
      <c r="M474" s="350">
        <f t="shared" si="42"/>
        <v>113400</v>
      </c>
      <c r="O474" s="351">
        <f t="shared" si="43"/>
        <v>0</v>
      </c>
      <c r="P474" s="564" t="s">
        <v>5203</v>
      </c>
    </row>
    <row r="475" spans="1:17">
      <c r="A475" s="183">
        <v>20170329</v>
      </c>
      <c r="B475" s="183" t="s">
        <v>5192</v>
      </c>
      <c r="C475" s="199" t="s">
        <v>4567</v>
      </c>
      <c r="D475" s="617"/>
      <c r="E475" s="199">
        <v>91429</v>
      </c>
      <c r="F475" s="183">
        <v>4571</v>
      </c>
      <c r="G475" s="563">
        <f t="shared" si="41"/>
        <v>96000</v>
      </c>
      <c r="H475" s="399" t="s">
        <v>4302</v>
      </c>
      <c r="I475" s="398" t="s">
        <v>5625</v>
      </c>
      <c r="J475" s="350">
        <v>96000</v>
      </c>
      <c r="M475" s="350">
        <f t="shared" si="42"/>
        <v>96000</v>
      </c>
      <c r="O475" s="351">
        <f t="shared" si="43"/>
        <v>0</v>
      </c>
      <c r="P475" s="564" t="s">
        <v>4576</v>
      </c>
    </row>
    <row r="476" spans="1:17">
      <c r="A476" s="183">
        <v>20170405</v>
      </c>
      <c r="B476" s="183" t="s">
        <v>5193</v>
      </c>
      <c r="C476" s="199" t="s">
        <v>5194</v>
      </c>
      <c r="D476" s="617"/>
      <c r="E476" s="199">
        <v>86400</v>
      </c>
      <c r="F476" s="183">
        <v>4320</v>
      </c>
      <c r="G476" s="563">
        <f t="shared" si="41"/>
        <v>90720</v>
      </c>
      <c r="H476" s="399" t="s">
        <v>4302</v>
      </c>
      <c r="I476" s="398" t="s">
        <v>5626</v>
      </c>
      <c r="J476" s="350">
        <v>90720</v>
      </c>
      <c r="M476" s="350">
        <f t="shared" si="42"/>
        <v>90720</v>
      </c>
      <c r="O476" s="351">
        <f t="shared" si="43"/>
        <v>0</v>
      </c>
      <c r="P476" s="564" t="s">
        <v>5204</v>
      </c>
    </row>
    <row r="477" spans="1:17">
      <c r="A477" s="183">
        <v>20170406</v>
      </c>
      <c r="B477" s="183" t="s">
        <v>5195</v>
      </c>
      <c r="C477" s="199" t="s">
        <v>2688</v>
      </c>
      <c r="D477" s="617"/>
      <c r="E477" s="199">
        <v>86400</v>
      </c>
      <c r="F477" s="183">
        <v>4320</v>
      </c>
      <c r="G477" s="563">
        <f t="shared" si="41"/>
        <v>90720</v>
      </c>
      <c r="H477" s="399" t="s">
        <v>4302</v>
      </c>
      <c r="I477" s="398" t="s">
        <v>5627</v>
      </c>
      <c r="J477" s="350">
        <v>86400</v>
      </c>
      <c r="L477" s="635">
        <v>4320</v>
      </c>
      <c r="M477" s="350">
        <f t="shared" si="42"/>
        <v>90720</v>
      </c>
      <c r="O477" s="351">
        <f t="shared" si="43"/>
        <v>0</v>
      </c>
      <c r="P477" s="564" t="s">
        <v>5205</v>
      </c>
      <c r="Q477" s="628" t="s">
        <v>5435</v>
      </c>
    </row>
    <row r="478" spans="1:17">
      <c r="A478" s="183">
        <v>20170407</v>
      </c>
      <c r="B478" s="183" t="s">
        <v>5196</v>
      </c>
      <c r="C478" s="199" t="s">
        <v>456</v>
      </c>
      <c r="D478" s="617"/>
      <c r="E478" s="199">
        <v>12600</v>
      </c>
      <c r="F478" s="183">
        <v>630</v>
      </c>
      <c r="G478" s="563">
        <f t="shared" si="41"/>
        <v>13230</v>
      </c>
      <c r="H478" s="350">
        <v>8</v>
      </c>
      <c r="I478" s="398" t="s">
        <v>5277</v>
      </c>
      <c r="L478" s="350">
        <v>13230</v>
      </c>
      <c r="M478" s="350">
        <f t="shared" si="42"/>
        <v>13230</v>
      </c>
      <c r="O478" s="351">
        <f t="shared" si="43"/>
        <v>0</v>
      </c>
      <c r="P478" s="564" t="s">
        <v>4323</v>
      </c>
    </row>
    <row r="479" spans="1:17">
      <c r="A479" s="183">
        <v>20170407</v>
      </c>
      <c r="B479" s="183" t="s">
        <v>5197</v>
      </c>
      <c r="C479" s="199" t="s">
        <v>4038</v>
      </c>
      <c r="D479" s="617"/>
      <c r="E479" s="199">
        <v>108000</v>
      </c>
      <c r="F479" s="183">
        <v>5400</v>
      </c>
      <c r="G479" s="563">
        <f t="shared" si="41"/>
        <v>113400</v>
      </c>
      <c r="H479" s="399" t="s">
        <v>4302</v>
      </c>
      <c r="I479" s="398" t="s">
        <v>5628</v>
      </c>
      <c r="J479" s="350">
        <v>113400</v>
      </c>
      <c r="M479" s="350">
        <f t="shared" si="42"/>
        <v>113400</v>
      </c>
      <c r="O479" s="351">
        <f t="shared" si="43"/>
        <v>0</v>
      </c>
      <c r="P479" s="564" t="s">
        <v>4334</v>
      </c>
    </row>
    <row r="480" spans="1:17">
      <c r="A480" s="183">
        <v>20170409</v>
      </c>
      <c r="B480" s="183" t="s">
        <v>5198</v>
      </c>
      <c r="C480" s="199" t="s">
        <v>4075</v>
      </c>
      <c r="D480" s="617"/>
      <c r="E480" s="199">
        <v>108000</v>
      </c>
      <c r="F480" s="183">
        <v>5400</v>
      </c>
      <c r="G480" s="563">
        <f t="shared" si="41"/>
        <v>113400</v>
      </c>
      <c r="H480" s="399" t="s">
        <v>4302</v>
      </c>
      <c r="I480" s="398" t="s">
        <v>5629</v>
      </c>
      <c r="J480" s="350">
        <v>113400</v>
      </c>
      <c r="M480" s="350">
        <f t="shared" si="42"/>
        <v>113400</v>
      </c>
      <c r="O480" s="351">
        <f t="shared" si="43"/>
        <v>0</v>
      </c>
      <c r="P480" s="564" t="s">
        <v>4337</v>
      </c>
    </row>
    <row r="481" spans="1:17">
      <c r="A481" s="183">
        <v>20170419</v>
      </c>
      <c r="B481" s="183" t="s">
        <v>5199</v>
      </c>
      <c r="C481" s="815" t="s">
        <v>2422</v>
      </c>
      <c r="D481" s="617"/>
      <c r="E481" s="199">
        <v>100800</v>
      </c>
      <c r="F481" s="183">
        <v>5040</v>
      </c>
      <c r="G481" s="563">
        <f t="shared" si="41"/>
        <v>105840</v>
      </c>
      <c r="H481" s="398" t="s">
        <v>5376</v>
      </c>
      <c r="I481" s="814" t="s">
        <v>15229</v>
      </c>
      <c r="J481" s="350">
        <v>26460</v>
      </c>
      <c r="L481" s="350">
        <f>4410+4410+4410+4410+4410+4410+4410+4410+4410+4410+4410+4410+4410+4410+4410+4410+4410+4410</f>
        <v>79380</v>
      </c>
      <c r="M481" s="350">
        <f t="shared" si="42"/>
        <v>105840</v>
      </c>
      <c r="O481" s="351">
        <f t="shared" si="43"/>
        <v>0</v>
      </c>
      <c r="P481" s="564" t="s">
        <v>4346</v>
      </c>
      <c r="Q481" s="400" t="s">
        <v>5286</v>
      </c>
    </row>
    <row r="482" spans="1:17">
      <c r="A482" s="183">
        <v>20170426</v>
      </c>
      <c r="B482" s="183" t="s">
        <v>5200</v>
      </c>
      <c r="C482" s="199" t="s">
        <v>5201</v>
      </c>
      <c r="D482" s="617"/>
      <c r="E482" s="199">
        <v>28000</v>
      </c>
      <c r="F482" s="183">
        <v>1400</v>
      </c>
      <c r="G482" s="563">
        <f t="shared" si="41"/>
        <v>29400</v>
      </c>
      <c r="I482" s="398" t="s">
        <v>5402</v>
      </c>
      <c r="L482" s="634">
        <v>29400</v>
      </c>
      <c r="M482" s="350">
        <f t="shared" si="42"/>
        <v>29400</v>
      </c>
      <c r="O482" s="351">
        <f t="shared" si="43"/>
        <v>0</v>
      </c>
      <c r="P482" s="564" t="s">
        <v>5206</v>
      </c>
      <c r="Q482" s="403" t="s">
        <v>5669</v>
      </c>
    </row>
    <row r="483" spans="1:17">
      <c r="A483" s="183">
        <v>20170502</v>
      </c>
      <c r="B483" s="183" t="s">
        <v>5207</v>
      </c>
      <c r="C483" s="183" t="s">
        <v>5208</v>
      </c>
      <c r="D483" s="617"/>
      <c r="E483" s="183">
        <v>19500</v>
      </c>
      <c r="F483" s="183">
        <v>975</v>
      </c>
      <c r="G483" s="563">
        <f t="shared" si="41"/>
        <v>20475</v>
      </c>
      <c r="H483" s="350">
        <v>1</v>
      </c>
      <c r="I483" s="350">
        <v>1270</v>
      </c>
      <c r="J483" s="350">
        <v>20475</v>
      </c>
      <c r="M483" s="350">
        <f t="shared" si="42"/>
        <v>20475</v>
      </c>
      <c r="O483" s="351">
        <f t="shared" si="43"/>
        <v>0</v>
      </c>
      <c r="P483" s="564" t="s">
        <v>5222</v>
      </c>
    </row>
    <row r="484" spans="1:17">
      <c r="A484" s="183">
        <v>20170502</v>
      </c>
      <c r="B484" s="183" t="s">
        <v>5209</v>
      </c>
      <c r="C484" s="183" t="s">
        <v>5208</v>
      </c>
      <c r="D484" s="618"/>
      <c r="E484" s="183">
        <v>316000</v>
      </c>
      <c r="F484" s="183">
        <v>15800</v>
      </c>
      <c r="G484" s="563">
        <f>E484+F484</f>
        <v>331800</v>
      </c>
      <c r="I484" s="350">
        <v>1269</v>
      </c>
      <c r="J484" s="350">
        <v>331800</v>
      </c>
      <c r="M484" s="350">
        <f t="shared" si="42"/>
        <v>331800</v>
      </c>
      <c r="O484" s="351">
        <f t="shared" si="43"/>
        <v>0</v>
      </c>
      <c r="P484" s="564" t="s">
        <v>5222</v>
      </c>
      <c r="Q484" s="403" t="s">
        <v>5471</v>
      </c>
    </row>
    <row r="485" spans="1:17">
      <c r="A485" s="183">
        <v>20170502</v>
      </c>
      <c r="B485" s="183" t="s">
        <v>5210</v>
      </c>
      <c r="C485" s="183" t="s">
        <v>5208</v>
      </c>
      <c r="D485" s="618"/>
      <c r="E485" s="183">
        <v>3000</v>
      </c>
      <c r="F485" s="183">
        <v>150</v>
      </c>
      <c r="G485" s="563">
        <f>E485+F485</f>
        <v>3150</v>
      </c>
      <c r="H485" s="398"/>
      <c r="I485" s="398" t="s">
        <v>4808</v>
      </c>
      <c r="L485" s="634">
        <v>3150</v>
      </c>
      <c r="M485" s="350">
        <f t="shared" si="42"/>
        <v>3150</v>
      </c>
      <c r="O485" s="351">
        <f t="shared" si="43"/>
        <v>0</v>
      </c>
      <c r="P485" s="564" t="s">
        <v>5222</v>
      </c>
      <c r="Q485" s="403" t="s">
        <v>5667</v>
      </c>
    </row>
    <row r="486" spans="1:17">
      <c r="A486" s="183">
        <v>20170508</v>
      </c>
      <c r="B486" s="183" t="s">
        <v>5211</v>
      </c>
      <c r="C486" s="183" t="s">
        <v>4201</v>
      </c>
      <c r="D486" s="617"/>
      <c r="E486" s="183">
        <v>19500</v>
      </c>
      <c r="F486" s="183">
        <v>975</v>
      </c>
      <c r="G486" s="563">
        <f>E486+F486</f>
        <v>20475</v>
      </c>
      <c r="H486" s="350">
        <v>3</v>
      </c>
      <c r="I486" s="350">
        <v>1152</v>
      </c>
      <c r="K486" s="350">
        <v>20475</v>
      </c>
      <c r="M486" s="350">
        <f t="shared" si="42"/>
        <v>20475</v>
      </c>
      <c r="O486" s="351">
        <f t="shared" si="43"/>
        <v>0</v>
      </c>
      <c r="P486" s="564" t="s">
        <v>4308</v>
      </c>
    </row>
    <row r="487" spans="1:17">
      <c r="A487" s="183">
        <v>20170508</v>
      </c>
      <c r="B487" s="183" t="s">
        <v>5212</v>
      </c>
      <c r="C487" s="199" t="s">
        <v>4000</v>
      </c>
      <c r="D487" s="617"/>
      <c r="E487" s="199">
        <v>19500</v>
      </c>
      <c r="F487" s="183">
        <v>975</v>
      </c>
      <c r="G487" s="563">
        <f t="shared" si="41"/>
        <v>20475</v>
      </c>
      <c r="H487" s="350">
        <v>3</v>
      </c>
      <c r="I487" s="350">
        <v>1160</v>
      </c>
      <c r="K487" s="350">
        <v>20475</v>
      </c>
      <c r="M487" s="350">
        <f t="shared" si="42"/>
        <v>20475</v>
      </c>
      <c r="O487" s="351">
        <f t="shared" si="43"/>
        <v>0</v>
      </c>
      <c r="P487" s="564" t="s">
        <v>4310</v>
      </c>
    </row>
    <row r="488" spans="1:17">
      <c r="A488" s="183">
        <v>20170508</v>
      </c>
      <c r="B488" s="183" t="s">
        <v>5213</v>
      </c>
      <c r="C488" s="199" t="s">
        <v>4000</v>
      </c>
      <c r="D488" s="617"/>
      <c r="E488" s="199">
        <v>15600</v>
      </c>
      <c r="F488" s="183">
        <v>780</v>
      </c>
      <c r="G488" s="563">
        <f t="shared" si="41"/>
        <v>16380</v>
      </c>
      <c r="H488" s="350">
        <v>3</v>
      </c>
      <c r="I488" s="350">
        <v>1168</v>
      </c>
      <c r="K488" s="350">
        <v>16380</v>
      </c>
      <c r="M488" s="350">
        <f t="shared" si="42"/>
        <v>16380</v>
      </c>
      <c r="O488" s="351">
        <f t="shared" si="43"/>
        <v>0</v>
      </c>
      <c r="P488" s="564" t="s">
        <v>4310</v>
      </c>
    </row>
    <row r="489" spans="1:17">
      <c r="A489" s="183">
        <v>20170508</v>
      </c>
      <c r="B489" s="183" t="s">
        <v>5214</v>
      </c>
      <c r="C489" s="199" t="s">
        <v>4204</v>
      </c>
      <c r="D489" s="617"/>
      <c r="E489" s="199">
        <v>19500</v>
      </c>
      <c r="F489" s="183">
        <v>975</v>
      </c>
      <c r="G489" s="563">
        <f t="shared" si="41"/>
        <v>20475</v>
      </c>
      <c r="H489" s="350">
        <v>8</v>
      </c>
      <c r="I489" s="350">
        <v>1025</v>
      </c>
      <c r="K489" s="350">
        <v>20475</v>
      </c>
      <c r="M489" s="350">
        <f t="shared" si="42"/>
        <v>20475</v>
      </c>
      <c r="O489" s="351">
        <f t="shared" si="43"/>
        <v>0</v>
      </c>
      <c r="P489" s="564" t="s">
        <v>4313</v>
      </c>
    </row>
    <row r="490" spans="1:17">
      <c r="A490" s="183">
        <v>20170508</v>
      </c>
      <c r="B490" s="183" t="s">
        <v>5215</v>
      </c>
      <c r="C490" s="199" t="s">
        <v>4056</v>
      </c>
      <c r="D490" s="617"/>
      <c r="E490" s="199">
        <v>19500</v>
      </c>
      <c r="F490" s="183">
        <v>975</v>
      </c>
      <c r="G490" s="563">
        <f t="shared" si="41"/>
        <v>20475</v>
      </c>
      <c r="H490" s="350">
        <v>2</v>
      </c>
      <c r="I490" s="350">
        <v>1189</v>
      </c>
      <c r="K490" s="350">
        <v>20475</v>
      </c>
      <c r="M490" s="350">
        <f t="shared" si="42"/>
        <v>20475</v>
      </c>
      <c r="O490" s="351">
        <f t="shared" si="43"/>
        <v>0</v>
      </c>
      <c r="P490" s="564" t="s">
        <v>4331</v>
      </c>
    </row>
    <row r="491" spans="1:17" s="751" customFormat="1">
      <c r="A491" s="745"/>
      <c r="B491" s="745" t="s">
        <v>5216</v>
      </c>
      <c r="C491" s="745" t="s">
        <v>5217</v>
      </c>
      <c r="D491" s="746"/>
      <c r="E491" s="745"/>
      <c r="F491" s="745"/>
      <c r="G491" s="747">
        <f t="shared" si="41"/>
        <v>0</v>
      </c>
      <c r="H491" s="749"/>
      <c r="I491" s="749"/>
      <c r="J491" s="749"/>
      <c r="K491" s="749"/>
      <c r="L491" s="749"/>
      <c r="M491" s="749">
        <f t="shared" si="42"/>
        <v>0</v>
      </c>
      <c r="N491" s="749"/>
      <c r="O491" s="749">
        <f t="shared" si="43"/>
        <v>0</v>
      </c>
      <c r="P491" s="750"/>
    </row>
    <row r="492" spans="1:17">
      <c r="A492" s="183">
        <v>20170515</v>
      </c>
      <c r="B492" s="183" t="s">
        <v>5218</v>
      </c>
      <c r="C492" s="199" t="s">
        <v>4113</v>
      </c>
      <c r="D492" s="617"/>
      <c r="E492" s="199">
        <v>100800</v>
      </c>
      <c r="F492" s="183">
        <v>5040</v>
      </c>
      <c r="G492" s="563">
        <f t="shared" si="41"/>
        <v>105840</v>
      </c>
      <c r="H492" s="399" t="s">
        <v>4302</v>
      </c>
      <c r="I492" s="398" t="s">
        <v>5630</v>
      </c>
      <c r="J492" s="350">
        <v>105840</v>
      </c>
      <c r="M492" s="350">
        <f t="shared" si="42"/>
        <v>105840</v>
      </c>
      <c r="O492" s="351">
        <f t="shared" si="43"/>
        <v>0</v>
      </c>
      <c r="P492" s="564" t="s">
        <v>4343</v>
      </c>
    </row>
    <row r="493" spans="1:17">
      <c r="A493" s="183">
        <v>20170515</v>
      </c>
      <c r="B493" s="183" t="s">
        <v>5219</v>
      </c>
      <c r="C493" s="199" t="s">
        <v>4315</v>
      </c>
      <c r="D493" s="617"/>
      <c r="E493" s="199">
        <v>15600</v>
      </c>
      <c r="F493" s="183">
        <v>780</v>
      </c>
      <c r="G493" s="563">
        <f t="shared" si="41"/>
        <v>16380</v>
      </c>
      <c r="H493" s="350">
        <v>1</v>
      </c>
      <c r="I493" s="350">
        <v>1278</v>
      </c>
      <c r="J493" s="350">
        <v>16380</v>
      </c>
      <c r="M493" s="350">
        <f t="shared" si="42"/>
        <v>16380</v>
      </c>
      <c r="O493" s="351">
        <f t="shared" si="43"/>
        <v>0</v>
      </c>
      <c r="P493" s="564" t="s">
        <v>4316</v>
      </c>
    </row>
    <row r="494" spans="1:17">
      <c r="A494" s="183">
        <v>20170605</v>
      </c>
      <c r="B494" s="183" t="s">
        <v>5220</v>
      </c>
      <c r="C494" s="199" t="s">
        <v>447</v>
      </c>
      <c r="D494" s="617"/>
      <c r="E494" s="199">
        <v>13500</v>
      </c>
      <c r="F494" s="183">
        <v>675</v>
      </c>
      <c r="G494" s="563">
        <f t="shared" si="41"/>
        <v>14175</v>
      </c>
      <c r="H494" s="350">
        <v>6</v>
      </c>
      <c r="I494" s="398" t="s">
        <v>5278</v>
      </c>
      <c r="L494" s="350">
        <v>14165</v>
      </c>
      <c r="M494" s="350">
        <f t="shared" si="42"/>
        <v>14165</v>
      </c>
      <c r="N494" s="351">
        <v>10</v>
      </c>
      <c r="O494" s="351">
        <f t="shared" si="43"/>
        <v>0</v>
      </c>
      <c r="P494" s="564" t="s">
        <v>4321</v>
      </c>
    </row>
    <row r="495" spans="1:17">
      <c r="A495" s="183">
        <v>20170612</v>
      </c>
      <c r="B495" s="183" t="s">
        <v>5221</v>
      </c>
      <c r="C495" s="199" t="s">
        <v>906</v>
      </c>
      <c r="D495" s="617"/>
      <c r="E495" s="199">
        <v>108000</v>
      </c>
      <c r="F495" s="183">
        <v>5400</v>
      </c>
      <c r="G495" s="563">
        <f t="shared" si="41"/>
        <v>113400</v>
      </c>
      <c r="H495" s="399" t="s">
        <v>4302</v>
      </c>
      <c r="I495" s="398" t="s">
        <v>5631</v>
      </c>
      <c r="J495" s="350">
        <v>113400</v>
      </c>
      <c r="M495" s="350">
        <f t="shared" si="42"/>
        <v>113400</v>
      </c>
      <c r="O495" s="351">
        <f t="shared" si="43"/>
        <v>0</v>
      </c>
      <c r="P495" s="564" t="s">
        <v>4328</v>
      </c>
    </row>
    <row r="496" spans="1:17">
      <c r="A496" s="183">
        <v>20170703</v>
      </c>
      <c r="B496" s="183" t="s">
        <v>5223</v>
      </c>
      <c r="C496" s="183" t="s">
        <v>4339</v>
      </c>
      <c r="D496" s="617"/>
      <c r="E496" s="183">
        <v>13500</v>
      </c>
      <c r="F496" s="183">
        <v>675</v>
      </c>
      <c r="G496" s="563">
        <f t="shared" si="41"/>
        <v>14175</v>
      </c>
      <c r="H496" s="350">
        <v>1</v>
      </c>
      <c r="I496" s="398" t="s">
        <v>5279</v>
      </c>
      <c r="L496" s="350">
        <v>14165</v>
      </c>
      <c r="M496" s="350">
        <f t="shared" si="42"/>
        <v>14165</v>
      </c>
      <c r="N496" s="351">
        <v>10</v>
      </c>
      <c r="O496" s="351">
        <f t="shared" si="43"/>
        <v>0</v>
      </c>
      <c r="P496" s="564" t="s">
        <v>4340</v>
      </c>
    </row>
    <row r="497" spans="1:16">
      <c r="A497" s="183">
        <v>20170717</v>
      </c>
      <c r="B497" s="183" t="s">
        <v>5224</v>
      </c>
      <c r="C497" s="183" t="s">
        <v>4182</v>
      </c>
      <c r="D497" s="618"/>
      <c r="E497" s="183">
        <v>91200</v>
      </c>
      <c r="F497" s="183">
        <v>4560</v>
      </c>
      <c r="G497" s="563">
        <f>E497+F497</f>
        <v>95760</v>
      </c>
      <c r="H497" s="399" t="s">
        <v>4302</v>
      </c>
      <c r="I497" s="398" t="s">
        <v>5632</v>
      </c>
      <c r="J497" s="350">
        <v>95760</v>
      </c>
      <c r="M497" s="350">
        <f t="shared" si="42"/>
        <v>95760</v>
      </c>
      <c r="O497" s="351">
        <f t="shared" si="43"/>
        <v>0</v>
      </c>
      <c r="P497" s="564" t="s">
        <v>4369</v>
      </c>
    </row>
    <row r="498" spans="1:16">
      <c r="A498" s="183">
        <v>20170801</v>
      </c>
      <c r="B498" s="183" t="s">
        <v>5225</v>
      </c>
      <c r="C498" s="183" t="s">
        <v>4201</v>
      </c>
      <c r="D498" s="618"/>
      <c r="E498" s="183">
        <v>19500</v>
      </c>
      <c r="F498" s="183">
        <v>975</v>
      </c>
      <c r="G498" s="563">
        <f>E498+F498</f>
        <v>20475</v>
      </c>
      <c r="H498" s="350">
        <v>4</v>
      </c>
      <c r="I498" s="350">
        <v>1153</v>
      </c>
      <c r="K498" s="350">
        <v>20475</v>
      </c>
      <c r="M498" s="350">
        <f t="shared" si="42"/>
        <v>20475</v>
      </c>
      <c r="O498" s="351">
        <f t="shared" si="43"/>
        <v>0</v>
      </c>
      <c r="P498" s="564" t="s">
        <v>4308</v>
      </c>
    </row>
    <row r="499" spans="1:16">
      <c r="A499" s="183">
        <v>20170801</v>
      </c>
      <c r="B499" s="183" t="s">
        <v>5226</v>
      </c>
      <c r="C499" s="183" t="s">
        <v>4000</v>
      </c>
      <c r="D499" s="617"/>
      <c r="E499" s="183">
        <v>19500</v>
      </c>
      <c r="F499" s="183">
        <v>975</v>
      </c>
      <c r="G499" s="563">
        <f>E499+F499</f>
        <v>20475</v>
      </c>
      <c r="H499" s="350">
        <v>4</v>
      </c>
      <c r="I499" s="350">
        <v>1161</v>
      </c>
      <c r="K499" s="350">
        <v>20475</v>
      </c>
      <c r="M499" s="350">
        <f t="shared" si="42"/>
        <v>20475</v>
      </c>
      <c r="O499" s="351">
        <f t="shared" si="43"/>
        <v>0</v>
      </c>
      <c r="P499" s="564" t="s">
        <v>4310</v>
      </c>
    </row>
    <row r="500" spans="1:16" s="751" customFormat="1">
      <c r="A500" s="745"/>
      <c r="B500" s="745" t="s">
        <v>5227</v>
      </c>
      <c r="C500" s="745" t="s">
        <v>5217</v>
      </c>
      <c r="D500" s="746"/>
      <c r="E500" s="745"/>
      <c r="F500" s="745"/>
      <c r="G500" s="747">
        <f t="shared" si="41"/>
        <v>0</v>
      </c>
      <c r="H500" s="749"/>
      <c r="I500" s="749"/>
      <c r="J500" s="749"/>
      <c r="K500" s="749"/>
      <c r="L500" s="749"/>
      <c r="M500" s="749">
        <f t="shared" si="42"/>
        <v>0</v>
      </c>
      <c r="N500" s="749"/>
      <c r="O500" s="749">
        <f t="shared" si="43"/>
        <v>0</v>
      </c>
      <c r="P500" s="750"/>
    </row>
    <row r="501" spans="1:16">
      <c r="A501" s="183">
        <v>20170801</v>
      </c>
      <c r="B501" s="183" t="s">
        <v>5228</v>
      </c>
      <c r="C501" s="199" t="s">
        <v>4000</v>
      </c>
      <c r="D501" s="617"/>
      <c r="E501" s="199">
        <v>15600</v>
      </c>
      <c r="F501" s="183">
        <v>780</v>
      </c>
      <c r="G501" s="563">
        <f t="shared" si="41"/>
        <v>16380</v>
      </c>
      <c r="H501" s="350">
        <v>4</v>
      </c>
      <c r="I501" s="350">
        <v>1169</v>
      </c>
      <c r="K501" s="350">
        <v>16380</v>
      </c>
      <c r="M501" s="350">
        <f t="shared" si="42"/>
        <v>16380</v>
      </c>
      <c r="O501" s="351">
        <f t="shared" si="43"/>
        <v>0</v>
      </c>
      <c r="P501" s="564" t="s">
        <v>4310</v>
      </c>
    </row>
    <row r="502" spans="1:16">
      <c r="A502" s="183">
        <v>20170801</v>
      </c>
      <c r="B502" s="183" t="s">
        <v>5229</v>
      </c>
      <c r="C502" s="199" t="s">
        <v>4056</v>
      </c>
      <c r="D502" s="617"/>
      <c r="E502" s="199">
        <v>19500</v>
      </c>
      <c r="F502" s="183">
        <v>975</v>
      </c>
      <c r="G502" s="563">
        <f t="shared" si="41"/>
        <v>20475</v>
      </c>
      <c r="H502" s="350">
        <v>3</v>
      </c>
      <c r="I502" s="350">
        <v>1190</v>
      </c>
      <c r="K502" s="350">
        <v>20475</v>
      </c>
      <c r="M502" s="350">
        <f t="shared" si="42"/>
        <v>20475</v>
      </c>
      <c r="O502" s="351">
        <f t="shared" si="43"/>
        <v>0</v>
      </c>
      <c r="P502" s="564" t="s">
        <v>4331</v>
      </c>
    </row>
    <row r="503" spans="1:16">
      <c r="A503" s="183">
        <v>20170801</v>
      </c>
      <c r="B503" s="183" t="s">
        <v>5230</v>
      </c>
      <c r="C503" s="199" t="s">
        <v>5208</v>
      </c>
      <c r="D503" s="617"/>
      <c r="E503" s="199">
        <v>19500</v>
      </c>
      <c r="F503" s="183">
        <v>975</v>
      </c>
      <c r="G503" s="563">
        <f t="shared" si="41"/>
        <v>20475</v>
      </c>
      <c r="H503" s="350">
        <v>2</v>
      </c>
      <c r="I503" s="350">
        <v>1271</v>
      </c>
      <c r="K503" s="350">
        <v>20475</v>
      </c>
      <c r="M503" s="350">
        <f t="shared" si="42"/>
        <v>20475</v>
      </c>
      <c r="O503" s="351">
        <f t="shared" si="43"/>
        <v>0</v>
      </c>
      <c r="P503" s="564" t="s">
        <v>5222</v>
      </c>
    </row>
    <row r="504" spans="1:16" s="751" customFormat="1">
      <c r="A504" s="745"/>
      <c r="B504" s="745" t="s">
        <v>5231</v>
      </c>
      <c r="C504" s="745" t="s">
        <v>5217</v>
      </c>
      <c r="D504" s="746"/>
      <c r="E504" s="745"/>
      <c r="F504" s="745"/>
      <c r="G504" s="747">
        <f t="shared" si="41"/>
        <v>0</v>
      </c>
      <c r="H504" s="749"/>
      <c r="I504" s="749"/>
      <c r="J504" s="749"/>
      <c r="K504" s="749"/>
      <c r="L504" s="749"/>
      <c r="M504" s="749">
        <f t="shared" si="42"/>
        <v>0</v>
      </c>
      <c r="N504" s="749"/>
      <c r="O504" s="749">
        <f t="shared" si="43"/>
        <v>0</v>
      </c>
      <c r="P504" s="750"/>
    </row>
    <row r="505" spans="1:16">
      <c r="A505" s="183">
        <v>20170807</v>
      </c>
      <c r="B505" s="183" t="s">
        <v>5232</v>
      </c>
      <c r="C505" s="199" t="s">
        <v>4315</v>
      </c>
      <c r="D505" s="617"/>
      <c r="E505" s="199">
        <v>15600</v>
      </c>
      <c r="F505" s="183">
        <v>780</v>
      </c>
      <c r="G505" s="563">
        <f t="shared" si="41"/>
        <v>16380</v>
      </c>
      <c r="H505" s="350">
        <v>2</v>
      </c>
      <c r="I505" s="350">
        <v>1323</v>
      </c>
      <c r="J505" s="350">
        <v>16380</v>
      </c>
      <c r="M505" s="350">
        <f t="shared" si="42"/>
        <v>16380</v>
      </c>
      <c r="O505" s="351">
        <f t="shared" si="43"/>
        <v>0</v>
      </c>
      <c r="P505" s="564" t="s">
        <v>4316</v>
      </c>
    </row>
    <row r="506" spans="1:16">
      <c r="A506" s="183">
        <v>20170807</v>
      </c>
      <c r="B506" s="183" t="s">
        <v>5233</v>
      </c>
      <c r="C506" s="199" t="s">
        <v>4339</v>
      </c>
      <c r="D506" s="617"/>
      <c r="E506" s="199">
        <v>13500</v>
      </c>
      <c r="F506" s="183">
        <v>675</v>
      </c>
      <c r="G506" s="563">
        <f t="shared" si="41"/>
        <v>14175</v>
      </c>
      <c r="H506" s="350">
        <v>2</v>
      </c>
      <c r="I506" s="398" t="s">
        <v>5283</v>
      </c>
      <c r="L506" s="350">
        <v>14145</v>
      </c>
      <c r="M506" s="350">
        <f t="shared" si="42"/>
        <v>14145</v>
      </c>
      <c r="N506" s="351">
        <v>30</v>
      </c>
      <c r="O506" s="351">
        <f t="shared" si="43"/>
        <v>0</v>
      </c>
      <c r="P506" s="564" t="s">
        <v>4340</v>
      </c>
    </row>
    <row r="507" spans="1:16">
      <c r="A507" s="183">
        <v>20170808</v>
      </c>
      <c r="B507" s="183" t="s">
        <v>5234</v>
      </c>
      <c r="C507" s="199" t="s">
        <v>5235</v>
      </c>
      <c r="D507" s="617"/>
      <c r="E507" s="199">
        <v>43200</v>
      </c>
      <c r="F507" s="183">
        <v>2160</v>
      </c>
      <c r="G507" s="563">
        <f t="shared" si="41"/>
        <v>45360</v>
      </c>
      <c r="H507" s="622" t="s">
        <v>5269</v>
      </c>
      <c r="I507" s="398" t="s">
        <v>5280</v>
      </c>
      <c r="L507" s="350">
        <v>45360</v>
      </c>
      <c r="M507" s="350">
        <f t="shared" si="42"/>
        <v>45360</v>
      </c>
      <c r="O507" s="351">
        <f t="shared" si="43"/>
        <v>0</v>
      </c>
      <c r="P507" s="564" t="s">
        <v>4553</v>
      </c>
    </row>
    <row r="508" spans="1:16">
      <c r="A508" s="183">
        <v>20170809</v>
      </c>
      <c r="B508" s="183" t="s">
        <v>5236</v>
      </c>
      <c r="C508" s="199" t="s">
        <v>4149</v>
      </c>
      <c r="D508" s="617"/>
      <c r="E508" s="199">
        <v>108000</v>
      </c>
      <c r="F508" s="183">
        <v>5400</v>
      </c>
      <c r="G508" s="563">
        <f t="shared" si="41"/>
        <v>113400</v>
      </c>
      <c r="H508" s="399" t="s">
        <v>4302</v>
      </c>
      <c r="I508" s="398" t="s">
        <v>5633</v>
      </c>
      <c r="J508" s="350">
        <v>113400</v>
      </c>
      <c r="M508" s="350">
        <f t="shared" si="42"/>
        <v>113400</v>
      </c>
      <c r="O508" s="351">
        <f t="shared" si="43"/>
        <v>0</v>
      </c>
      <c r="P508" s="564" t="s">
        <v>4358</v>
      </c>
    </row>
    <row r="509" spans="1:16">
      <c r="A509" s="183">
        <v>20170901</v>
      </c>
      <c r="B509" s="183" t="s">
        <v>5237</v>
      </c>
      <c r="C509" s="183" t="s">
        <v>4204</v>
      </c>
      <c r="D509" s="617"/>
      <c r="E509" s="183">
        <v>19500</v>
      </c>
      <c r="F509" s="183">
        <v>975</v>
      </c>
      <c r="G509" s="563">
        <f t="shared" si="41"/>
        <v>20475</v>
      </c>
      <c r="H509" s="350">
        <v>1</v>
      </c>
      <c r="I509" s="350">
        <v>1315</v>
      </c>
      <c r="J509" s="350">
        <v>20475</v>
      </c>
      <c r="M509" s="350">
        <f t="shared" si="42"/>
        <v>20475</v>
      </c>
      <c r="O509" s="351">
        <f t="shared" si="43"/>
        <v>0</v>
      </c>
      <c r="P509" s="564" t="s">
        <v>4313</v>
      </c>
    </row>
    <row r="510" spans="1:16">
      <c r="A510" s="183">
        <v>20170901</v>
      </c>
      <c r="B510" s="183" t="s">
        <v>5238</v>
      </c>
      <c r="C510" s="183" t="s">
        <v>4204</v>
      </c>
      <c r="D510" s="618"/>
      <c r="E510" s="183">
        <v>72000</v>
      </c>
      <c r="F510" s="183">
        <v>3600</v>
      </c>
      <c r="G510" s="563">
        <f t="shared" si="41"/>
        <v>75600</v>
      </c>
      <c r="H510" s="379"/>
      <c r="I510" s="398" t="s">
        <v>5271</v>
      </c>
      <c r="L510" s="350">
        <v>75600</v>
      </c>
      <c r="M510" s="350">
        <f t="shared" si="42"/>
        <v>75600</v>
      </c>
      <c r="O510" s="351">
        <f t="shared" si="43"/>
        <v>0</v>
      </c>
      <c r="P510" s="564" t="s">
        <v>4313</v>
      </c>
    </row>
    <row r="511" spans="1:16">
      <c r="A511" s="183">
        <v>20170901</v>
      </c>
      <c r="B511" s="183" t="s">
        <v>5239</v>
      </c>
      <c r="C511" s="183" t="s">
        <v>4230</v>
      </c>
      <c r="D511" s="618"/>
      <c r="E511" s="183">
        <v>43200</v>
      </c>
      <c r="F511" s="183">
        <v>2160</v>
      </c>
      <c r="G511" s="563">
        <f t="shared" si="41"/>
        <v>45360</v>
      </c>
      <c r="H511" s="399" t="s">
        <v>5521</v>
      </c>
      <c r="I511" s="398" t="s">
        <v>5634</v>
      </c>
      <c r="J511" s="350">
        <v>45360</v>
      </c>
      <c r="M511" s="350">
        <f t="shared" si="42"/>
        <v>45360</v>
      </c>
      <c r="O511" s="351">
        <f t="shared" si="43"/>
        <v>0</v>
      </c>
      <c r="P511" s="564" t="s">
        <v>4394</v>
      </c>
    </row>
    <row r="512" spans="1:16">
      <c r="A512" s="183">
        <v>20170911</v>
      </c>
      <c r="B512" s="183" t="s">
        <v>5240</v>
      </c>
      <c r="C512" s="183" t="s">
        <v>4318</v>
      </c>
      <c r="D512" s="617"/>
      <c r="E512" s="183">
        <v>12857</v>
      </c>
      <c r="F512" s="183">
        <v>643</v>
      </c>
      <c r="G512" s="563">
        <f t="shared" si="41"/>
        <v>13500</v>
      </c>
      <c r="H512" s="350">
        <v>1</v>
      </c>
      <c r="I512" s="398" t="s">
        <v>4293</v>
      </c>
      <c r="L512" s="350">
        <v>13485</v>
      </c>
      <c r="M512" s="350">
        <f t="shared" si="42"/>
        <v>13485</v>
      </c>
      <c r="N512" s="351">
        <v>15</v>
      </c>
      <c r="O512" s="351">
        <f t="shared" si="43"/>
        <v>0</v>
      </c>
      <c r="P512" s="564" t="s">
        <v>4319</v>
      </c>
    </row>
    <row r="513" spans="1:16">
      <c r="A513" s="183">
        <v>20170914</v>
      </c>
      <c r="B513" s="183" t="s">
        <v>5241</v>
      </c>
      <c r="C513" s="199" t="s">
        <v>456</v>
      </c>
      <c r="D513" s="617"/>
      <c r="E513" s="199">
        <v>12600</v>
      </c>
      <c r="F513" s="183">
        <v>630</v>
      </c>
      <c r="G513" s="563">
        <f t="shared" si="41"/>
        <v>13230</v>
      </c>
      <c r="H513" s="350">
        <v>1</v>
      </c>
      <c r="I513" s="398" t="s">
        <v>5282</v>
      </c>
      <c r="L513" s="350">
        <v>13230</v>
      </c>
      <c r="M513" s="350">
        <f t="shared" si="42"/>
        <v>13230</v>
      </c>
      <c r="O513" s="351">
        <f t="shared" si="43"/>
        <v>0</v>
      </c>
      <c r="P513" s="564" t="s">
        <v>4323</v>
      </c>
    </row>
    <row r="514" spans="1:16">
      <c r="A514" s="183">
        <v>20170928</v>
      </c>
      <c r="B514" s="183" t="s">
        <v>5242</v>
      </c>
      <c r="C514" s="199" t="s">
        <v>447</v>
      </c>
      <c r="D514" s="617"/>
      <c r="E514" s="199">
        <v>13500</v>
      </c>
      <c r="F514" s="183">
        <v>675</v>
      </c>
      <c r="G514" s="563">
        <f t="shared" si="41"/>
        <v>14175</v>
      </c>
      <c r="H514" s="350">
        <v>7</v>
      </c>
      <c r="I514" s="398" t="s">
        <v>5287</v>
      </c>
      <c r="L514" s="350">
        <v>14165</v>
      </c>
      <c r="M514" s="350">
        <f t="shared" si="42"/>
        <v>14165</v>
      </c>
      <c r="N514" s="351">
        <v>10</v>
      </c>
      <c r="O514" s="351">
        <f t="shared" si="43"/>
        <v>0</v>
      </c>
      <c r="P514" s="564" t="s">
        <v>4321</v>
      </c>
    </row>
    <row r="515" spans="1:16">
      <c r="A515" s="183">
        <v>20171023</v>
      </c>
      <c r="B515" s="183" t="s">
        <v>5243</v>
      </c>
      <c r="C515" s="199" t="s">
        <v>831</v>
      </c>
      <c r="D515" s="617"/>
      <c r="E515" s="199">
        <v>102857</v>
      </c>
      <c r="F515" s="183">
        <v>5143</v>
      </c>
      <c r="G515" s="563">
        <f t="shared" si="41"/>
        <v>108000</v>
      </c>
      <c r="H515" s="399" t="s">
        <v>4302</v>
      </c>
      <c r="I515" s="398" t="s">
        <v>5635</v>
      </c>
      <c r="J515" s="350">
        <v>108000</v>
      </c>
      <c r="M515" s="350">
        <f t="shared" si="42"/>
        <v>108000</v>
      </c>
      <c r="O515" s="351">
        <f t="shared" si="43"/>
        <v>0</v>
      </c>
      <c r="P515" s="564" t="s">
        <v>4384</v>
      </c>
    </row>
    <row r="516" spans="1:16">
      <c r="A516" s="183">
        <v>20171101</v>
      </c>
      <c r="B516" s="183" t="s">
        <v>5244</v>
      </c>
      <c r="C516" s="183" t="s">
        <v>4201</v>
      </c>
      <c r="D516" s="617"/>
      <c r="E516" s="183">
        <v>108000</v>
      </c>
      <c r="F516" s="183">
        <v>5400</v>
      </c>
      <c r="G516" s="563">
        <f t="shared" si="41"/>
        <v>113400</v>
      </c>
      <c r="H516" s="379"/>
      <c r="I516" s="398" t="s">
        <v>5289</v>
      </c>
      <c r="L516" s="350">
        <v>113390</v>
      </c>
      <c r="M516" s="350">
        <f t="shared" si="42"/>
        <v>113390</v>
      </c>
      <c r="N516" s="351">
        <v>10</v>
      </c>
      <c r="O516" s="351">
        <f t="shared" si="43"/>
        <v>0</v>
      </c>
      <c r="P516" s="564" t="s">
        <v>4308</v>
      </c>
    </row>
    <row r="517" spans="1:16">
      <c r="A517" s="183">
        <v>20171101</v>
      </c>
      <c r="B517" s="183" t="s">
        <v>5245</v>
      </c>
      <c r="C517" s="183" t="s">
        <v>4000</v>
      </c>
      <c r="D517" s="618"/>
      <c r="E517" s="183">
        <v>108000</v>
      </c>
      <c r="F517" s="183">
        <v>5400</v>
      </c>
      <c r="G517" s="563">
        <f t="shared" si="41"/>
        <v>113400</v>
      </c>
      <c r="H517" s="379"/>
      <c r="I517" s="398" t="s">
        <v>5290</v>
      </c>
      <c r="L517" s="350">
        <v>113390</v>
      </c>
      <c r="M517" s="350">
        <f t="shared" si="42"/>
        <v>113390</v>
      </c>
      <c r="N517" s="351">
        <v>10</v>
      </c>
      <c r="O517" s="351">
        <f t="shared" si="43"/>
        <v>0</v>
      </c>
      <c r="P517" s="564" t="s">
        <v>4310</v>
      </c>
    </row>
    <row r="518" spans="1:16">
      <c r="A518" s="183">
        <v>20171114</v>
      </c>
      <c r="B518" s="183" t="s">
        <v>5246</v>
      </c>
      <c r="C518" s="183" t="s">
        <v>4201</v>
      </c>
      <c r="D518" s="618"/>
      <c r="E518" s="183">
        <v>19500</v>
      </c>
      <c r="F518" s="183">
        <v>975</v>
      </c>
      <c r="G518" s="563">
        <f t="shared" si="41"/>
        <v>20475</v>
      </c>
      <c r="H518" s="350">
        <v>5</v>
      </c>
      <c r="I518" s="350">
        <v>1154</v>
      </c>
      <c r="K518" s="350">
        <v>20475</v>
      </c>
      <c r="M518" s="350">
        <f t="shared" si="42"/>
        <v>20475</v>
      </c>
      <c r="O518" s="351">
        <f t="shared" si="43"/>
        <v>0</v>
      </c>
      <c r="P518" s="564" t="s">
        <v>4308</v>
      </c>
    </row>
    <row r="519" spans="1:16">
      <c r="A519" s="183">
        <v>20171114</v>
      </c>
      <c r="B519" s="183" t="s">
        <v>5247</v>
      </c>
      <c r="C519" s="183" t="s">
        <v>4000</v>
      </c>
      <c r="D519" s="617"/>
      <c r="E519" s="183">
        <v>19500</v>
      </c>
      <c r="F519" s="183">
        <v>975</v>
      </c>
      <c r="G519" s="563">
        <f t="shared" si="41"/>
        <v>20475</v>
      </c>
      <c r="H519" s="350">
        <v>5</v>
      </c>
      <c r="I519" s="350">
        <v>1162</v>
      </c>
      <c r="K519" s="350">
        <v>20475</v>
      </c>
      <c r="M519" s="350">
        <f t="shared" si="42"/>
        <v>20475</v>
      </c>
      <c r="O519" s="351">
        <f t="shared" si="43"/>
        <v>0</v>
      </c>
      <c r="P519" s="564" t="s">
        <v>4310</v>
      </c>
    </row>
    <row r="520" spans="1:16">
      <c r="A520" s="183">
        <v>20171114</v>
      </c>
      <c r="B520" s="183" t="s">
        <v>5248</v>
      </c>
      <c r="C520" s="199" t="s">
        <v>4000</v>
      </c>
      <c r="D520" s="617"/>
      <c r="E520" s="199">
        <v>15600</v>
      </c>
      <c r="F520" s="183">
        <v>780</v>
      </c>
      <c r="G520" s="563">
        <f t="shared" si="41"/>
        <v>16380</v>
      </c>
      <c r="H520" s="350">
        <v>5</v>
      </c>
      <c r="I520" s="350">
        <v>1170</v>
      </c>
      <c r="K520" s="350">
        <v>16380</v>
      </c>
      <c r="M520" s="350">
        <f t="shared" si="42"/>
        <v>16380</v>
      </c>
      <c r="O520" s="351">
        <f t="shared" si="43"/>
        <v>0</v>
      </c>
      <c r="P520" s="564" t="s">
        <v>4310</v>
      </c>
    </row>
    <row r="521" spans="1:16">
      <c r="A521" s="183">
        <v>20171114</v>
      </c>
      <c r="B521" s="183" t="s">
        <v>5249</v>
      </c>
      <c r="C521" s="199" t="s">
        <v>4204</v>
      </c>
      <c r="D521" s="617"/>
      <c r="E521" s="199">
        <v>19500</v>
      </c>
      <c r="F521" s="183">
        <v>975</v>
      </c>
      <c r="G521" s="563">
        <f t="shared" si="41"/>
        <v>20475</v>
      </c>
      <c r="H521" s="350">
        <v>2</v>
      </c>
      <c r="I521" s="350">
        <v>1316</v>
      </c>
      <c r="K521" s="350">
        <v>20475</v>
      </c>
      <c r="M521" s="350">
        <f t="shared" si="42"/>
        <v>20475</v>
      </c>
      <c r="O521" s="351">
        <f t="shared" si="43"/>
        <v>0</v>
      </c>
      <c r="P521" s="564" t="s">
        <v>4313</v>
      </c>
    </row>
    <row r="522" spans="1:16">
      <c r="A522" s="183">
        <v>20171114</v>
      </c>
      <c r="B522" s="183" t="s">
        <v>5250</v>
      </c>
      <c r="C522" s="199" t="s">
        <v>4056</v>
      </c>
      <c r="D522" s="617"/>
      <c r="E522" s="199">
        <v>19500</v>
      </c>
      <c r="F522" s="183">
        <v>975</v>
      </c>
      <c r="G522" s="563">
        <f t="shared" si="41"/>
        <v>20475</v>
      </c>
      <c r="H522" s="350">
        <v>4</v>
      </c>
      <c r="I522" s="350">
        <v>1191</v>
      </c>
      <c r="K522" s="350">
        <v>20475</v>
      </c>
      <c r="M522" s="350">
        <f t="shared" si="42"/>
        <v>20475</v>
      </c>
      <c r="O522" s="351">
        <f t="shared" si="43"/>
        <v>0</v>
      </c>
      <c r="P522" s="564" t="s">
        <v>4331</v>
      </c>
    </row>
    <row r="523" spans="1:16">
      <c r="A523" s="183">
        <v>20171114</v>
      </c>
      <c r="B523" s="183" t="s">
        <v>5251</v>
      </c>
      <c r="C523" s="199" t="s">
        <v>5208</v>
      </c>
      <c r="D523" s="617"/>
      <c r="E523" s="199">
        <v>19500</v>
      </c>
      <c r="F523" s="183">
        <v>975</v>
      </c>
      <c r="G523" s="563">
        <f t="shared" ref="G523:G530" si="44">E523+F523</f>
        <v>20475</v>
      </c>
      <c r="H523" s="350">
        <v>3</v>
      </c>
      <c r="I523" s="350">
        <v>1272</v>
      </c>
      <c r="K523" s="350">
        <v>20475</v>
      </c>
      <c r="M523" s="350">
        <f t="shared" si="42"/>
        <v>20475</v>
      </c>
      <c r="O523" s="351">
        <f t="shared" si="43"/>
        <v>0</v>
      </c>
      <c r="P523" s="564" t="s">
        <v>5222</v>
      </c>
    </row>
    <row r="524" spans="1:16">
      <c r="A524" s="183">
        <v>20171114</v>
      </c>
      <c r="B524" s="183" t="s">
        <v>5252</v>
      </c>
      <c r="C524" s="199" t="s">
        <v>4315</v>
      </c>
      <c r="D524" s="617"/>
      <c r="E524" s="199">
        <v>15600</v>
      </c>
      <c r="F524" s="183">
        <v>780</v>
      </c>
      <c r="G524" s="563">
        <f t="shared" si="44"/>
        <v>16380</v>
      </c>
      <c r="H524" s="350">
        <v>3</v>
      </c>
      <c r="I524" s="350">
        <v>1340</v>
      </c>
      <c r="J524" s="350">
        <v>16380</v>
      </c>
      <c r="M524" s="350">
        <f t="shared" ref="M524:M530" si="45">J524+K524+L524</f>
        <v>16380</v>
      </c>
      <c r="O524" s="351">
        <f t="shared" ref="O524:O530" si="46">G524-M524-N524</f>
        <v>0</v>
      </c>
      <c r="P524" s="564" t="s">
        <v>4316</v>
      </c>
    </row>
    <row r="525" spans="1:16">
      <c r="A525" s="183">
        <v>20171114</v>
      </c>
      <c r="B525" s="183" t="s">
        <v>5253</v>
      </c>
      <c r="C525" s="199" t="s">
        <v>4339</v>
      </c>
      <c r="D525" s="617"/>
      <c r="E525" s="199">
        <v>13500</v>
      </c>
      <c r="F525" s="183">
        <v>675</v>
      </c>
      <c r="G525" s="563">
        <f t="shared" si="44"/>
        <v>14175</v>
      </c>
      <c r="H525" s="350">
        <v>3</v>
      </c>
      <c r="I525" s="398" t="s">
        <v>5293</v>
      </c>
      <c r="L525" s="350">
        <v>14165</v>
      </c>
      <c r="M525" s="350">
        <f t="shared" si="45"/>
        <v>14165</v>
      </c>
      <c r="N525" s="351">
        <v>10</v>
      </c>
      <c r="O525" s="351">
        <f t="shared" si="46"/>
        <v>0</v>
      </c>
      <c r="P525" s="564" t="s">
        <v>4340</v>
      </c>
    </row>
    <row r="526" spans="1:16">
      <c r="A526" s="183">
        <v>20171128</v>
      </c>
      <c r="B526" s="183" t="s">
        <v>5254</v>
      </c>
      <c r="C526" s="199" t="s">
        <v>4131</v>
      </c>
      <c r="D526" s="617"/>
      <c r="E526" s="199">
        <v>108000</v>
      </c>
      <c r="F526" s="183">
        <v>5400</v>
      </c>
      <c r="G526" s="563">
        <f t="shared" si="44"/>
        <v>113400</v>
      </c>
      <c r="H526" s="399" t="s">
        <v>4302</v>
      </c>
      <c r="I526" s="398" t="s">
        <v>5636</v>
      </c>
      <c r="J526" s="350">
        <v>113400</v>
      </c>
      <c r="M526" s="350">
        <f t="shared" si="45"/>
        <v>113400</v>
      </c>
      <c r="O526" s="351">
        <f t="shared" si="46"/>
        <v>0</v>
      </c>
      <c r="P526" s="564" t="s">
        <v>4361</v>
      </c>
    </row>
    <row r="527" spans="1:16">
      <c r="A527" s="183">
        <v>20171219</v>
      </c>
      <c r="B527" s="183" t="s">
        <v>5255</v>
      </c>
      <c r="C527" s="199" t="s">
        <v>5208</v>
      </c>
      <c r="D527" s="617"/>
      <c r="E527" s="199">
        <v>79000</v>
      </c>
      <c r="F527" s="183">
        <v>3950</v>
      </c>
      <c r="G527" s="563">
        <f t="shared" si="44"/>
        <v>82950</v>
      </c>
      <c r="I527" s="350">
        <v>1352</v>
      </c>
      <c r="J527" s="350">
        <v>82950</v>
      </c>
      <c r="M527" s="350">
        <f t="shared" si="45"/>
        <v>82950</v>
      </c>
      <c r="O527" s="351">
        <f t="shared" si="46"/>
        <v>0</v>
      </c>
      <c r="P527" s="564" t="s">
        <v>5222</v>
      </c>
    </row>
    <row r="528" spans="1:16">
      <c r="A528" s="183">
        <v>20171220</v>
      </c>
      <c r="B528" s="183" t="s">
        <v>5256</v>
      </c>
      <c r="C528" s="199" t="s">
        <v>5208</v>
      </c>
      <c r="D528" s="617"/>
      <c r="E528" s="199">
        <v>79000</v>
      </c>
      <c r="F528" s="183">
        <v>3950</v>
      </c>
      <c r="G528" s="563">
        <f t="shared" si="44"/>
        <v>82950</v>
      </c>
      <c r="I528" s="350">
        <v>1352</v>
      </c>
      <c r="J528" s="350">
        <v>82950</v>
      </c>
      <c r="M528" s="350">
        <f t="shared" si="45"/>
        <v>82950</v>
      </c>
      <c r="O528" s="351">
        <f t="shared" si="46"/>
        <v>0</v>
      </c>
      <c r="P528" s="564" t="s">
        <v>5222</v>
      </c>
    </row>
    <row r="529" spans="1:16">
      <c r="A529" s="183">
        <v>20171221</v>
      </c>
      <c r="B529" s="183" t="s">
        <v>5257</v>
      </c>
      <c r="C529" s="199" t="s">
        <v>5208</v>
      </c>
      <c r="D529" s="617"/>
      <c r="E529" s="199">
        <v>79000</v>
      </c>
      <c r="F529" s="183">
        <v>3950</v>
      </c>
      <c r="G529" s="563">
        <f t="shared" si="44"/>
        <v>82950</v>
      </c>
      <c r="I529" s="350">
        <v>1352</v>
      </c>
      <c r="J529" s="350">
        <v>82950</v>
      </c>
      <c r="M529" s="350">
        <f t="shared" si="45"/>
        <v>82950</v>
      </c>
      <c r="O529" s="351">
        <f t="shared" si="46"/>
        <v>0</v>
      </c>
      <c r="P529" s="564" t="s">
        <v>5222</v>
      </c>
    </row>
    <row r="530" spans="1:16">
      <c r="A530" s="183">
        <v>20171222</v>
      </c>
      <c r="B530" s="183" t="s">
        <v>5258</v>
      </c>
      <c r="C530" s="199" t="s">
        <v>5208</v>
      </c>
      <c r="D530" s="617"/>
      <c r="E530" s="199">
        <v>79000</v>
      </c>
      <c r="F530" s="183">
        <v>3950</v>
      </c>
      <c r="G530" s="563">
        <f t="shared" si="44"/>
        <v>82950</v>
      </c>
      <c r="I530" s="350">
        <v>1352</v>
      </c>
      <c r="J530" s="350">
        <v>82950</v>
      </c>
      <c r="M530" s="350">
        <f t="shared" si="45"/>
        <v>82950</v>
      </c>
      <c r="O530" s="351">
        <f t="shared" si="46"/>
        <v>0</v>
      </c>
      <c r="P530" s="564" t="s">
        <v>5222</v>
      </c>
    </row>
    <row r="533" spans="1:16" s="347" customFormat="1">
      <c r="A533" s="401" t="s">
        <v>5812</v>
      </c>
      <c r="D533" s="348" t="s">
        <v>2377</v>
      </c>
      <c r="E533" s="376">
        <f>SUM(E534:E605)</f>
        <v>2538242</v>
      </c>
      <c r="F533" s="376">
        <f>SUM(F534:F605)</f>
        <v>126913</v>
      </c>
      <c r="G533" s="376">
        <f>SUM(G534:G605)</f>
        <v>2665155</v>
      </c>
      <c r="H533" s="349"/>
      <c r="I533" s="383"/>
      <c r="J533" s="376">
        <f t="shared" ref="J533:O533" si="47">SUM(J534:J605)</f>
        <v>1706205</v>
      </c>
      <c r="K533" s="376">
        <f t="shared" si="47"/>
        <v>479115</v>
      </c>
      <c r="L533" s="376">
        <f t="shared" si="47"/>
        <v>479655</v>
      </c>
      <c r="M533" s="376">
        <f t="shared" si="47"/>
        <v>2664975</v>
      </c>
      <c r="N533" s="376">
        <f t="shared" si="47"/>
        <v>180</v>
      </c>
      <c r="O533" s="376">
        <f t="shared" si="47"/>
        <v>0</v>
      </c>
      <c r="P533" s="391"/>
    </row>
    <row r="534" spans="1:16">
      <c r="A534" s="183">
        <v>20180111</v>
      </c>
      <c r="B534" s="183" t="s">
        <v>5813</v>
      </c>
      <c r="C534" s="183" t="s">
        <v>456</v>
      </c>
      <c r="D534" s="617"/>
      <c r="E534" s="183">
        <v>12600</v>
      </c>
      <c r="F534" s="183">
        <v>630</v>
      </c>
      <c r="G534" s="563">
        <f t="shared" ref="G534:G548" si="48">E534+F534</f>
        <v>13230</v>
      </c>
      <c r="H534" s="399" t="s">
        <v>4330</v>
      </c>
      <c r="I534" s="398" t="s">
        <v>5609</v>
      </c>
      <c r="L534" s="350">
        <v>13230</v>
      </c>
      <c r="M534" s="350">
        <f>J534+K534+L534</f>
        <v>13230</v>
      </c>
      <c r="O534" s="351">
        <f>G534-M534-N534</f>
        <v>0</v>
      </c>
      <c r="P534" s="564" t="s">
        <v>4323</v>
      </c>
    </row>
    <row r="535" spans="1:16">
      <c r="A535" s="183">
        <v>20180111</v>
      </c>
      <c r="B535" s="183" t="s">
        <v>5815</v>
      </c>
      <c r="C535" s="183" t="s">
        <v>447</v>
      </c>
      <c r="D535" s="618"/>
      <c r="E535" s="183">
        <v>13500</v>
      </c>
      <c r="F535" s="183">
        <v>675</v>
      </c>
      <c r="G535" s="563">
        <f t="shared" si="48"/>
        <v>14175</v>
      </c>
      <c r="H535" s="399" t="s">
        <v>4823</v>
      </c>
      <c r="I535" s="398" t="s">
        <v>4655</v>
      </c>
      <c r="L535" s="350">
        <v>14165</v>
      </c>
      <c r="M535" s="350">
        <f t="shared" ref="M535:M598" si="49">J535+K535+L535</f>
        <v>14165</v>
      </c>
      <c r="N535" s="351">
        <v>10</v>
      </c>
      <c r="O535" s="351">
        <f t="shared" ref="O535:O598" si="50">G535-M535-N535</f>
        <v>0</v>
      </c>
      <c r="P535" s="564" t="s">
        <v>4321</v>
      </c>
    </row>
    <row r="536" spans="1:16">
      <c r="A536" s="183">
        <v>20180111</v>
      </c>
      <c r="B536" s="183" t="s">
        <v>5817</v>
      </c>
      <c r="C536" s="183" t="s">
        <v>4318</v>
      </c>
      <c r="D536" s="618"/>
      <c r="E536" s="183">
        <v>12857</v>
      </c>
      <c r="F536" s="183">
        <v>643</v>
      </c>
      <c r="G536" s="563">
        <f t="shared" si="48"/>
        <v>13500</v>
      </c>
      <c r="H536" s="399" t="s">
        <v>4763</v>
      </c>
      <c r="I536" s="398" t="s">
        <v>5481</v>
      </c>
      <c r="L536" s="350">
        <v>13485</v>
      </c>
      <c r="M536" s="350">
        <f t="shared" si="49"/>
        <v>13485</v>
      </c>
      <c r="N536" s="351">
        <v>15</v>
      </c>
      <c r="O536" s="351">
        <f t="shared" si="50"/>
        <v>0</v>
      </c>
      <c r="P536" s="564" t="s">
        <v>4319</v>
      </c>
    </row>
    <row r="537" spans="1:16">
      <c r="A537" s="183">
        <v>20180117</v>
      </c>
      <c r="B537" s="183" t="s">
        <v>5819</v>
      </c>
      <c r="C537" s="183" t="s">
        <v>4409</v>
      </c>
      <c r="D537" s="617"/>
      <c r="E537" s="183">
        <v>132000</v>
      </c>
      <c r="F537" s="183">
        <v>6600</v>
      </c>
      <c r="G537" s="563">
        <f t="shared" si="48"/>
        <v>138600</v>
      </c>
      <c r="H537" s="399" t="s">
        <v>4302</v>
      </c>
      <c r="I537" s="398" t="s">
        <v>10071</v>
      </c>
      <c r="J537" s="681">
        <v>138600</v>
      </c>
      <c r="M537" s="350">
        <f t="shared" si="49"/>
        <v>138600</v>
      </c>
      <c r="O537" s="351">
        <f t="shared" si="50"/>
        <v>0</v>
      </c>
      <c r="P537" s="564" t="s">
        <v>4410</v>
      </c>
    </row>
    <row r="538" spans="1:16">
      <c r="A538" s="183">
        <v>20180118</v>
      </c>
      <c r="B538" s="183" t="s">
        <v>5821</v>
      </c>
      <c r="C538" s="199" t="s">
        <v>4517</v>
      </c>
      <c r="D538" s="617"/>
      <c r="E538" s="199">
        <v>102857</v>
      </c>
      <c r="F538" s="183">
        <v>5143</v>
      </c>
      <c r="G538" s="563">
        <f t="shared" si="48"/>
        <v>108000</v>
      </c>
      <c r="H538" s="399" t="s">
        <v>4302</v>
      </c>
      <c r="I538" s="398" t="s">
        <v>10072</v>
      </c>
      <c r="J538" s="681">
        <v>108000</v>
      </c>
      <c r="M538" s="350">
        <f t="shared" si="49"/>
        <v>108000</v>
      </c>
      <c r="O538" s="351">
        <f t="shared" si="50"/>
        <v>0</v>
      </c>
      <c r="P538" s="564" t="s">
        <v>4520</v>
      </c>
    </row>
    <row r="539" spans="1:16">
      <c r="A539" s="183">
        <v>20180118</v>
      </c>
      <c r="B539" s="183" t="s">
        <v>5823</v>
      </c>
      <c r="C539" s="199" t="s">
        <v>4282</v>
      </c>
      <c r="D539" s="617"/>
      <c r="E539" s="199">
        <v>108000</v>
      </c>
      <c r="F539" s="183">
        <v>5400</v>
      </c>
      <c r="G539" s="563">
        <f t="shared" si="48"/>
        <v>113400</v>
      </c>
      <c r="H539" s="399" t="s">
        <v>4302</v>
      </c>
      <c r="I539" s="398" t="s">
        <v>10070</v>
      </c>
      <c r="J539" s="681">
        <v>113400</v>
      </c>
      <c r="M539" s="350">
        <f t="shared" si="49"/>
        <v>113400</v>
      </c>
      <c r="O539" s="351">
        <f t="shared" si="50"/>
        <v>0</v>
      </c>
      <c r="P539" s="564" t="s">
        <v>4407</v>
      </c>
    </row>
    <row r="540" spans="1:16">
      <c r="A540" s="183">
        <v>20180201</v>
      </c>
      <c r="B540" s="183" t="s">
        <v>5825</v>
      </c>
      <c r="C540" s="199" t="s">
        <v>4271</v>
      </c>
      <c r="D540" s="617"/>
      <c r="E540" s="199">
        <v>19500</v>
      </c>
      <c r="F540" s="183">
        <v>975</v>
      </c>
      <c r="G540" s="563">
        <f t="shared" si="48"/>
        <v>20475</v>
      </c>
      <c r="H540" s="399" t="s">
        <v>4811</v>
      </c>
      <c r="I540" s="350">
        <v>1361</v>
      </c>
      <c r="J540" s="681">
        <v>20475</v>
      </c>
      <c r="K540" s="681"/>
      <c r="M540" s="350">
        <f t="shared" si="49"/>
        <v>20475</v>
      </c>
      <c r="O540" s="351">
        <f t="shared" si="50"/>
        <v>0</v>
      </c>
      <c r="P540" s="564" t="s">
        <v>4396</v>
      </c>
    </row>
    <row r="541" spans="1:16">
      <c r="A541" s="183">
        <v>20180201</v>
      </c>
      <c r="B541" s="183" t="s">
        <v>5827</v>
      </c>
      <c r="C541" s="199" t="s">
        <v>4271</v>
      </c>
      <c r="D541" s="617"/>
      <c r="E541" s="199">
        <v>19500</v>
      </c>
      <c r="F541" s="183">
        <v>975</v>
      </c>
      <c r="G541" s="563">
        <f>E541+F541</f>
        <v>20475</v>
      </c>
      <c r="H541" s="399" t="s">
        <v>4813</v>
      </c>
      <c r="I541" s="350">
        <v>1362</v>
      </c>
      <c r="J541" s="681"/>
      <c r="K541" s="681">
        <v>20475</v>
      </c>
      <c r="M541" s="350">
        <f t="shared" si="49"/>
        <v>20475</v>
      </c>
      <c r="O541" s="351">
        <f t="shared" si="50"/>
        <v>0</v>
      </c>
      <c r="P541" s="564" t="s">
        <v>4396</v>
      </c>
    </row>
    <row r="542" spans="1:16">
      <c r="A542" s="183">
        <v>20180201</v>
      </c>
      <c r="B542" s="183" t="s">
        <v>5828</v>
      </c>
      <c r="C542" s="199" t="s">
        <v>4271</v>
      </c>
      <c r="D542" s="617"/>
      <c r="E542" s="199">
        <v>19500</v>
      </c>
      <c r="F542" s="183">
        <v>975</v>
      </c>
      <c r="G542" s="563">
        <f>E542+F542</f>
        <v>20475</v>
      </c>
      <c r="H542" s="399" t="s">
        <v>4812</v>
      </c>
      <c r="I542" s="350">
        <v>1363</v>
      </c>
      <c r="J542" s="681"/>
      <c r="K542" s="681">
        <v>20475</v>
      </c>
      <c r="M542" s="350">
        <f t="shared" si="49"/>
        <v>20475</v>
      </c>
      <c r="O542" s="351">
        <f t="shared" si="50"/>
        <v>0</v>
      </c>
      <c r="P542" s="564" t="s">
        <v>4396</v>
      </c>
    </row>
    <row r="543" spans="1:16">
      <c r="A543" s="183">
        <v>20180201</v>
      </c>
      <c r="B543" s="183" t="s">
        <v>5829</v>
      </c>
      <c r="C543" s="199" t="s">
        <v>4271</v>
      </c>
      <c r="D543" s="617"/>
      <c r="E543" s="199">
        <v>19500</v>
      </c>
      <c r="F543" s="183">
        <v>975</v>
      </c>
      <c r="G543" s="563">
        <f>E543+F543</f>
        <v>20475</v>
      </c>
      <c r="H543" s="399" t="s">
        <v>4823</v>
      </c>
      <c r="I543" s="350">
        <v>1364</v>
      </c>
      <c r="J543" s="681"/>
      <c r="K543" s="681">
        <v>20475</v>
      </c>
      <c r="M543" s="350">
        <f t="shared" si="49"/>
        <v>20475</v>
      </c>
      <c r="O543" s="351">
        <f t="shared" si="50"/>
        <v>0</v>
      </c>
      <c r="P543" s="564" t="s">
        <v>4396</v>
      </c>
    </row>
    <row r="544" spans="1:16">
      <c r="A544" s="183">
        <v>20180208</v>
      </c>
      <c r="B544" s="183" t="s">
        <v>5830</v>
      </c>
      <c r="C544" s="199" t="s">
        <v>4201</v>
      </c>
      <c r="D544" s="617"/>
      <c r="E544" s="199">
        <v>19500</v>
      </c>
      <c r="F544" s="183">
        <v>975</v>
      </c>
      <c r="G544" s="563">
        <f t="shared" si="48"/>
        <v>20475</v>
      </c>
      <c r="H544" s="399" t="s">
        <v>4813</v>
      </c>
      <c r="I544" s="350">
        <v>1155</v>
      </c>
      <c r="K544" s="350">
        <v>20475</v>
      </c>
      <c r="M544" s="350">
        <f t="shared" si="49"/>
        <v>20475</v>
      </c>
      <c r="O544" s="351">
        <f t="shared" si="50"/>
        <v>0</v>
      </c>
      <c r="P544" s="564" t="s">
        <v>4308</v>
      </c>
    </row>
    <row r="545" spans="1:16">
      <c r="A545" s="183">
        <v>20180208</v>
      </c>
      <c r="B545" s="183" t="s">
        <v>5832</v>
      </c>
      <c r="C545" s="199" t="s">
        <v>4000</v>
      </c>
      <c r="D545" s="617"/>
      <c r="E545" s="199">
        <v>19500</v>
      </c>
      <c r="F545" s="183">
        <v>975</v>
      </c>
      <c r="G545" s="563">
        <f t="shared" si="48"/>
        <v>20475</v>
      </c>
      <c r="H545" s="399" t="s">
        <v>4813</v>
      </c>
      <c r="I545" s="350">
        <v>1163</v>
      </c>
      <c r="K545" s="350">
        <v>20475</v>
      </c>
      <c r="M545" s="350">
        <f t="shared" si="49"/>
        <v>20475</v>
      </c>
      <c r="O545" s="351">
        <f t="shared" si="50"/>
        <v>0</v>
      </c>
      <c r="P545" s="564" t="s">
        <v>4310</v>
      </c>
    </row>
    <row r="546" spans="1:16">
      <c r="A546" s="183">
        <v>20180208</v>
      </c>
      <c r="B546" s="183" t="s">
        <v>5834</v>
      </c>
      <c r="C546" s="199" t="s">
        <v>4000</v>
      </c>
      <c r="D546" s="617"/>
      <c r="E546" s="199">
        <v>15600</v>
      </c>
      <c r="F546" s="183">
        <v>780</v>
      </c>
      <c r="G546" s="563">
        <f t="shared" si="48"/>
        <v>16380</v>
      </c>
      <c r="H546" s="399" t="s">
        <v>4813</v>
      </c>
      <c r="I546" s="350">
        <v>1171</v>
      </c>
      <c r="K546" s="350">
        <v>16380</v>
      </c>
      <c r="M546" s="350">
        <f t="shared" si="49"/>
        <v>16380</v>
      </c>
      <c r="O546" s="351">
        <f t="shared" si="50"/>
        <v>0</v>
      </c>
      <c r="P546" s="564" t="s">
        <v>4310</v>
      </c>
    </row>
    <row r="547" spans="1:16">
      <c r="A547" s="183">
        <v>20180208</v>
      </c>
      <c r="B547" s="183" t="s">
        <v>5835</v>
      </c>
      <c r="C547" s="199" t="s">
        <v>4204</v>
      </c>
      <c r="D547" s="617"/>
      <c r="E547" s="199">
        <v>19500</v>
      </c>
      <c r="F547" s="183">
        <v>975</v>
      </c>
      <c r="G547" s="563">
        <f t="shared" si="48"/>
        <v>20475</v>
      </c>
      <c r="H547" s="399" t="s">
        <v>4824</v>
      </c>
      <c r="I547" s="350">
        <v>1317</v>
      </c>
      <c r="K547" s="350">
        <v>20475</v>
      </c>
      <c r="M547" s="350">
        <f t="shared" si="49"/>
        <v>20475</v>
      </c>
      <c r="O547" s="351">
        <f t="shared" si="50"/>
        <v>0</v>
      </c>
      <c r="P547" s="564" t="s">
        <v>4313</v>
      </c>
    </row>
    <row r="548" spans="1:16">
      <c r="A548" s="183">
        <v>20180208</v>
      </c>
      <c r="B548" s="183" t="s">
        <v>5837</v>
      </c>
      <c r="C548" s="199" t="s">
        <v>4056</v>
      </c>
      <c r="D548" s="617"/>
      <c r="E548" s="199">
        <v>19500</v>
      </c>
      <c r="F548" s="183">
        <v>975</v>
      </c>
      <c r="G548" s="563">
        <f t="shared" si="48"/>
        <v>20475</v>
      </c>
      <c r="H548" s="399" t="s">
        <v>4811</v>
      </c>
      <c r="I548" s="350">
        <v>1192</v>
      </c>
      <c r="K548" s="350">
        <v>20475</v>
      </c>
      <c r="M548" s="350">
        <f t="shared" si="49"/>
        <v>20475</v>
      </c>
      <c r="O548" s="351">
        <f t="shared" si="50"/>
        <v>0</v>
      </c>
      <c r="P548" s="564" t="s">
        <v>4331</v>
      </c>
    </row>
    <row r="549" spans="1:16">
      <c r="A549" s="183">
        <v>20180208</v>
      </c>
      <c r="B549" s="183" t="s">
        <v>5839</v>
      </c>
      <c r="C549" s="199" t="s">
        <v>5208</v>
      </c>
      <c r="D549" s="617"/>
      <c r="E549" s="199">
        <v>19500</v>
      </c>
      <c r="F549" s="183">
        <v>975</v>
      </c>
      <c r="G549" s="563">
        <v>20475</v>
      </c>
      <c r="H549" s="399" t="s">
        <v>4810</v>
      </c>
      <c r="I549" s="350">
        <v>1273</v>
      </c>
      <c r="K549" s="350">
        <v>20475</v>
      </c>
      <c r="M549" s="350">
        <f t="shared" si="49"/>
        <v>20475</v>
      </c>
      <c r="O549" s="351">
        <f t="shared" si="50"/>
        <v>0</v>
      </c>
      <c r="P549" s="564" t="s">
        <v>5222</v>
      </c>
    </row>
    <row r="550" spans="1:16">
      <c r="A550" s="183">
        <v>20180208</v>
      </c>
      <c r="B550" s="183" t="s">
        <v>5841</v>
      </c>
      <c r="C550" s="199" t="s">
        <v>4315</v>
      </c>
      <c r="D550" s="617"/>
      <c r="E550" s="199">
        <v>15600</v>
      </c>
      <c r="F550" s="183">
        <v>780</v>
      </c>
      <c r="G550" s="563">
        <v>16380</v>
      </c>
      <c r="H550" s="379">
        <v>4</v>
      </c>
      <c r="I550" s="350">
        <v>1341</v>
      </c>
      <c r="J550" s="682">
        <v>16380</v>
      </c>
      <c r="M550" s="350">
        <f t="shared" si="49"/>
        <v>16380</v>
      </c>
      <c r="O550" s="351">
        <f t="shared" si="50"/>
        <v>0</v>
      </c>
      <c r="P550" s="564" t="s">
        <v>4316</v>
      </c>
    </row>
    <row r="551" spans="1:16">
      <c r="A551" s="183">
        <v>20180208</v>
      </c>
      <c r="B551" s="183" t="s">
        <v>5843</v>
      </c>
      <c r="C551" s="199" t="s">
        <v>4339</v>
      </c>
      <c r="D551" s="618"/>
      <c r="E551" s="199">
        <v>13500</v>
      </c>
      <c r="F551" s="183">
        <v>675</v>
      </c>
      <c r="G551" s="563">
        <v>14175</v>
      </c>
      <c r="H551" s="399" t="s">
        <v>4810</v>
      </c>
      <c r="I551" s="398" t="s">
        <v>5364</v>
      </c>
      <c r="L551" s="350">
        <v>14165</v>
      </c>
      <c r="M551" s="350">
        <f t="shared" si="49"/>
        <v>14165</v>
      </c>
      <c r="N551" s="351">
        <v>10</v>
      </c>
      <c r="O551" s="351">
        <f t="shared" si="50"/>
        <v>0</v>
      </c>
      <c r="P551" s="564" t="s">
        <v>4340</v>
      </c>
    </row>
    <row r="552" spans="1:16">
      <c r="A552" s="183">
        <v>20180301</v>
      </c>
      <c r="B552" s="183" t="s">
        <v>5859</v>
      </c>
      <c r="C552" s="183" t="s">
        <v>4418</v>
      </c>
      <c r="D552" s="617"/>
      <c r="E552" s="183">
        <v>3000</v>
      </c>
      <c r="F552" s="183">
        <v>150</v>
      </c>
      <c r="G552" s="563">
        <f>E552+F552</f>
        <v>3150</v>
      </c>
      <c r="H552" s="379"/>
      <c r="I552" s="398" t="s">
        <v>5614</v>
      </c>
      <c r="L552" s="350">
        <v>3150</v>
      </c>
      <c r="M552" s="350">
        <f t="shared" si="49"/>
        <v>3150</v>
      </c>
      <c r="O552" s="351">
        <f t="shared" si="50"/>
        <v>0</v>
      </c>
      <c r="P552" s="564" t="s">
        <v>5865</v>
      </c>
    </row>
    <row r="553" spans="1:16" s="751" customFormat="1">
      <c r="A553" s="745"/>
      <c r="B553" s="745" t="s">
        <v>5860</v>
      </c>
      <c r="C553" s="745"/>
      <c r="D553" s="752"/>
      <c r="E553" s="745"/>
      <c r="F553" s="745"/>
      <c r="G553" s="747">
        <f>E553+F553</f>
        <v>0</v>
      </c>
      <c r="H553" s="748"/>
      <c r="I553" s="749"/>
      <c r="J553" s="749"/>
      <c r="K553" s="749"/>
      <c r="L553" s="749"/>
      <c r="M553" s="749">
        <f t="shared" si="49"/>
        <v>0</v>
      </c>
      <c r="N553" s="749"/>
      <c r="O553" s="749">
        <f t="shared" si="50"/>
        <v>0</v>
      </c>
      <c r="P553" s="750"/>
    </row>
    <row r="554" spans="1:16">
      <c r="A554" s="183">
        <v>20180321</v>
      </c>
      <c r="B554" s="183" t="s">
        <v>5861</v>
      </c>
      <c r="C554" s="183" t="s">
        <v>4255</v>
      </c>
      <c r="D554" s="618"/>
      <c r="E554" s="183">
        <v>108000</v>
      </c>
      <c r="F554" s="183">
        <v>5400</v>
      </c>
      <c r="G554" s="563">
        <f>E554+F554</f>
        <v>113400</v>
      </c>
      <c r="H554" s="399" t="s">
        <v>4302</v>
      </c>
      <c r="I554" s="398" t="s">
        <v>10073</v>
      </c>
      <c r="J554" s="681">
        <v>113400</v>
      </c>
      <c r="M554" s="350">
        <f t="shared" si="49"/>
        <v>113400</v>
      </c>
      <c r="O554" s="351">
        <f t="shared" si="50"/>
        <v>0</v>
      </c>
      <c r="P554" s="564" t="s">
        <v>4404</v>
      </c>
    </row>
    <row r="555" spans="1:16">
      <c r="A555" s="183">
        <v>20180411</v>
      </c>
      <c r="B555" s="183" t="s">
        <v>5863</v>
      </c>
      <c r="C555" s="183" t="s">
        <v>4318</v>
      </c>
      <c r="D555" s="617"/>
      <c r="E555" s="183">
        <v>12857</v>
      </c>
      <c r="F555" s="183">
        <v>643</v>
      </c>
      <c r="G555" s="563">
        <f>E555+F555</f>
        <v>13500</v>
      </c>
      <c r="H555" s="399" t="s">
        <v>4824</v>
      </c>
      <c r="I555" s="398" t="s">
        <v>5482</v>
      </c>
      <c r="L555" s="350">
        <v>13485</v>
      </c>
      <c r="M555" s="350">
        <f t="shared" si="49"/>
        <v>13485</v>
      </c>
      <c r="N555" s="351">
        <v>15</v>
      </c>
      <c r="O555" s="351">
        <f t="shared" si="50"/>
        <v>0</v>
      </c>
      <c r="P555" s="564" t="s">
        <v>4319</v>
      </c>
    </row>
    <row r="556" spans="1:16">
      <c r="A556" s="183">
        <v>20180507</v>
      </c>
      <c r="B556" s="183" t="s">
        <v>5867</v>
      </c>
      <c r="C556" s="183" t="s">
        <v>4201</v>
      </c>
      <c r="D556" s="617"/>
      <c r="E556" s="183">
        <v>19500</v>
      </c>
      <c r="F556" s="183">
        <v>975</v>
      </c>
      <c r="G556" s="563">
        <f t="shared" ref="G556:G586" si="51">E556+F556</f>
        <v>20475</v>
      </c>
      <c r="H556" s="399" t="s">
        <v>4812</v>
      </c>
      <c r="I556" s="350">
        <v>1156</v>
      </c>
      <c r="K556" s="350">
        <v>20475</v>
      </c>
      <c r="M556" s="350">
        <f t="shared" si="49"/>
        <v>20475</v>
      </c>
      <c r="O556" s="351">
        <f t="shared" si="50"/>
        <v>0</v>
      </c>
      <c r="P556" s="564" t="s">
        <v>4308</v>
      </c>
    </row>
    <row r="557" spans="1:16">
      <c r="A557" s="183">
        <v>20180507</v>
      </c>
      <c r="B557" s="183" t="s">
        <v>5868</v>
      </c>
      <c r="C557" s="183" t="s">
        <v>4000</v>
      </c>
      <c r="D557" s="618"/>
      <c r="E557" s="183">
        <v>19500</v>
      </c>
      <c r="F557" s="183">
        <v>975</v>
      </c>
      <c r="G557" s="563">
        <f t="shared" si="51"/>
        <v>20475</v>
      </c>
      <c r="H557" s="399" t="s">
        <v>4812</v>
      </c>
      <c r="I557" s="350">
        <v>1164</v>
      </c>
      <c r="K557" s="350">
        <v>20475</v>
      </c>
      <c r="M557" s="350">
        <f t="shared" si="49"/>
        <v>20475</v>
      </c>
      <c r="O557" s="351">
        <f t="shared" si="50"/>
        <v>0</v>
      </c>
      <c r="P557" s="564" t="s">
        <v>4310</v>
      </c>
    </row>
    <row r="558" spans="1:16">
      <c r="A558" s="183">
        <v>20180507</v>
      </c>
      <c r="B558" s="183" t="s">
        <v>5870</v>
      </c>
      <c r="C558" s="183" t="s">
        <v>4000</v>
      </c>
      <c r="D558" s="618"/>
      <c r="E558" s="183">
        <v>15600</v>
      </c>
      <c r="F558" s="183">
        <v>780</v>
      </c>
      <c r="G558" s="563">
        <f t="shared" si="51"/>
        <v>16380</v>
      </c>
      <c r="H558" s="399" t="s">
        <v>4812</v>
      </c>
      <c r="I558" s="350">
        <v>1172</v>
      </c>
      <c r="K558" s="350">
        <v>16380</v>
      </c>
      <c r="M558" s="350">
        <f t="shared" si="49"/>
        <v>16380</v>
      </c>
      <c r="O558" s="351">
        <f t="shared" si="50"/>
        <v>0</v>
      </c>
      <c r="P558" s="564" t="s">
        <v>4310</v>
      </c>
    </row>
    <row r="559" spans="1:16">
      <c r="A559" s="183">
        <v>20180507</v>
      </c>
      <c r="B559" s="183" t="s">
        <v>5871</v>
      </c>
      <c r="C559" s="183" t="s">
        <v>4204</v>
      </c>
      <c r="D559" s="617"/>
      <c r="E559" s="183">
        <v>19500</v>
      </c>
      <c r="F559" s="183">
        <v>975</v>
      </c>
      <c r="G559" s="563">
        <f t="shared" si="51"/>
        <v>20475</v>
      </c>
      <c r="H559" s="399" t="s">
        <v>4810</v>
      </c>
      <c r="I559" s="350">
        <v>1318</v>
      </c>
      <c r="K559" s="350">
        <v>20475</v>
      </c>
      <c r="M559" s="350">
        <f t="shared" si="49"/>
        <v>20475</v>
      </c>
      <c r="O559" s="351">
        <f t="shared" si="50"/>
        <v>0</v>
      </c>
      <c r="P559" s="564" t="s">
        <v>4313</v>
      </c>
    </row>
    <row r="560" spans="1:16">
      <c r="A560" s="183">
        <v>20180507</v>
      </c>
      <c r="B560" s="183" t="s">
        <v>5873</v>
      </c>
      <c r="C560" s="199" t="s">
        <v>4056</v>
      </c>
      <c r="D560" s="617"/>
      <c r="E560" s="199">
        <v>19500</v>
      </c>
      <c r="F560" s="183">
        <v>975</v>
      </c>
      <c r="G560" s="563">
        <f t="shared" si="51"/>
        <v>20475</v>
      </c>
      <c r="H560" s="399" t="s">
        <v>4813</v>
      </c>
      <c r="I560" s="350">
        <v>1193</v>
      </c>
      <c r="K560" s="350">
        <v>20475</v>
      </c>
      <c r="M560" s="350">
        <f t="shared" si="49"/>
        <v>20475</v>
      </c>
      <c r="O560" s="351">
        <f t="shared" si="50"/>
        <v>0</v>
      </c>
      <c r="P560" s="564" t="s">
        <v>4331</v>
      </c>
    </row>
    <row r="561" spans="1:16">
      <c r="A561" s="183">
        <v>20180507</v>
      </c>
      <c r="B561" s="183" t="s">
        <v>5875</v>
      </c>
      <c r="C561" s="199" t="s">
        <v>5208</v>
      </c>
      <c r="D561" s="617"/>
      <c r="E561" s="199">
        <v>19500</v>
      </c>
      <c r="F561" s="183">
        <v>975</v>
      </c>
      <c r="G561" s="563">
        <f t="shared" si="51"/>
        <v>20475</v>
      </c>
      <c r="H561" s="399" t="s">
        <v>4811</v>
      </c>
      <c r="I561" s="350">
        <v>1274</v>
      </c>
      <c r="K561" s="350">
        <v>20475</v>
      </c>
      <c r="M561" s="350">
        <f t="shared" si="49"/>
        <v>20475</v>
      </c>
      <c r="O561" s="351">
        <f t="shared" si="50"/>
        <v>0</v>
      </c>
      <c r="P561" s="564" t="s">
        <v>5222</v>
      </c>
    </row>
    <row r="562" spans="1:16">
      <c r="A562" s="183">
        <v>20180507</v>
      </c>
      <c r="B562" s="183" t="s">
        <v>5877</v>
      </c>
      <c r="C562" s="199" t="s">
        <v>4315</v>
      </c>
      <c r="D562" s="617"/>
      <c r="E562" s="199">
        <v>15600</v>
      </c>
      <c r="F562" s="183">
        <v>780</v>
      </c>
      <c r="G562" s="563">
        <f t="shared" si="51"/>
        <v>16380</v>
      </c>
      <c r="H562" s="379">
        <v>5</v>
      </c>
      <c r="I562" s="350">
        <v>1342</v>
      </c>
      <c r="J562" s="682">
        <v>16380</v>
      </c>
      <c r="M562" s="350">
        <f t="shared" si="49"/>
        <v>16380</v>
      </c>
      <c r="O562" s="351">
        <f t="shared" si="50"/>
        <v>0</v>
      </c>
      <c r="P562" s="564" t="s">
        <v>4316</v>
      </c>
    </row>
    <row r="563" spans="1:16">
      <c r="A563" s="183">
        <v>20180507</v>
      </c>
      <c r="B563" s="183" t="s">
        <v>5879</v>
      </c>
      <c r="C563" s="199" t="s">
        <v>4339</v>
      </c>
      <c r="D563" s="617"/>
      <c r="E563" s="199">
        <v>13500</v>
      </c>
      <c r="F563" s="183">
        <v>675</v>
      </c>
      <c r="G563" s="563">
        <f t="shared" si="51"/>
        <v>14175</v>
      </c>
      <c r="H563" s="399" t="s">
        <v>4811</v>
      </c>
      <c r="I563" s="398" t="s">
        <v>8756</v>
      </c>
      <c r="L563" s="350">
        <v>14165</v>
      </c>
      <c r="M563" s="350">
        <f t="shared" si="49"/>
        <v>14165</v>
      </c>
      <c r="N563" s="351">
        <v>10</v>
      </c>
      <c r="O563" s="351">
        <f t="shared" si="50"/>
        <v>0</v>
      </c>
      <c r="P563" s="564" t="s">
        <v>4340</v>
      </c>
    </row>
    <row r="564" spans="1:16">
      <c r="A564" s="183">
        <v>20180522</v>
      </c>
      <c r="B564" s="183" t="s">
        <v>5881</v>
      </c>
      <c r="C564" s="199" t="s">
        <v>4530</v>
      </c>
      <c r="D564" s="617"/>
      <c r="E564" s="199">
        <v>108000</v>
      </c>
      <c r="F564" s="183">
        <v>5400</v>
      </c>
      <c r="G564" s="563">
        <f t="shared" si="51"/>
        <v>113400</v>
      </c>
      <c r="H564" s="399" t="s">
        <v>4302</v>
      </c>
      <c r="I564" s="398" t="s">
        <v>10074</v>
      </c>
      <c r="J564" s="681">
        <v>113400</v>
      </c>
      <c r="M564" s="350">
        <f t="shared" si="49"/>
        <v>113400</v>
      </c>
      <c r="O564" s="351">
        <f t="shared" si="50"/>
        <v>0</v>
      </c>
      <c r="P564" s="564" t="s">
        <v>4541</v>
      </c>
    </row>
    <row r="565" spans="1:16">
      <c r="A565" s="183">
        <v>20180621</v>
      </c>
      <c r="B565" s="183" t="s">
        <v>5883</v>
      </c>
      <c r="C565" s="199" t="s">
        <v>456</v>
      </c>
      <c r="D565" s="617"/>
      <c r="E565" s="199">
        <v>12600</v>
      </c>
      <c r="F565" s="183">
        <v>630</v>
      </c>
      <c r="G565" s="563">
        <f t="shared" si="51"/>
        <v>13230</v>
      </c>
      <c r="H565" s="399" t="s">
        <v>4824</v>
      </c>
      <c r="I565" s="398" t="s">
        <v>5314</v>
      </c>
      <c r="L565" s="350">
        <v>13230</v>
      </c>
      <c r="M565" s="350">
        <f t="shared" si="49"/>
        <v>13230</v>
      </c>
      <c r="O565" s="351">
        <f t="shared" si="50"/>
        <v>0</v>
      </c>
      <c r="P565" s="564" t="s">
        <v>4323</v>
      </c>
    </row>
    <row r="566" spans="1:16">
      <c r="A566" s="183">
        <v>20180621</v>
      </c>
      <c r="B566" s="183" t="s">
        <v>5885</v>
      </c>
      <c r="C566" s="199" t="s">
        <v>4318</v>
      </c>
      <c r="D566" s="617"/>
      <c r="E566" s="199">
        <v>12857</v>
      </c>
      <c r="F566" s="183">
        <v>643</v>
      </c>
      <c r="G566" s="563">
        <f t="shared" si="51"/>
        <v>13500</v>
      </c>
      <c r="H566" s="399" t="s">
        <v>4810</v>
      </c>
      <c r="I566" s="398" t="s">
        <v>5448</v>
      </c>
      <c r="L566" s="350">
        <v>13485</v>
      </c>
      <c r="M566" s="350">
        <f t="shared" si="49"/>
        <v>13485</v>
      </c>
      <c r="N566" s="351">
        <v>15</v>
      </c>
      <c r="O566" s="351">
        <f t="shared" si="50"/>
        <v>0</v>
      </c>
      <c r="P566" s="564" t="s">
        <v>4319</v>
      </c>
    </row>
    <row r="567" spans="1:16">
      <c r="A567" s="183">
        <v>20180702</v>
      </c>
      <c r="B567" s="183" t="s">
        <v>5897</v>
      </c>
      <c r="C567" s="183" t="s">
        <v>4678</v>
      </c>
      <c r="D567" s="617"/>
      <c r="E567" s="183">
        <v>132000</v>
      </c>
      <c r="F567" s="183">
        <v>6600</v>
      </c>
      <c r="G567" s="563">
        <f t="shared" si="51"/>
        <v>138600</v>
      </c>
      <c r="H567" s="399" t="s">
        <v>4302</v>
      </c>
      <c r="I567" s="398" t="s">
        <v>10076</v>
      </c>
      <c r="J567" s="681">
        <v>138600</v>
      </c>
      <c r="M567" s="350">
        <f t="shared" si="49"/>
        <v>138600</v>
      </c>
      <c r="O567" s="351">
        <f t="shared" si="50"/>
        <v>0</v>
      </c>
      <c r="P567" s="564" t="s">
        <v>4410</v>
      </c>
    </row>
    <row r="568" spans="1:16">
      <c r="A568" s="183">
        <v>20180705</v>
      </c>
      <c r="B568" s="183" t="s">
        <v>5899</v>
      </c>
      <c r="C568" s="183" t="s">
        <v>4528</v>
      </c>
      <c r="D568" s="618"/>
      <c r="E568" s="183">
        <v>96000</v>
      </c>
      <c r="F568" s="183">
        <v>4800</v>
      </c>
      <c r="G568" s="563">
        <f t="shared" si="51"/>
        <v>100800</v>
      </c>
      <c r="H568" s="399" t="s">
        <v>9824</v>
      </c>
      <c r="I568" s="398" t="s">
        <v>10075</v>
      </c>
      <c r="J568" s="681">
        <v>100800</v>
      </c>
      <c r="M568" s="350">
        <f t="shared" si="49"/>
        <v>100800</v>
      </c>
      <c r="O568" s="351">
        <f t="shared" si="50"/>
        <v>0</v>
      </c>
      <c r="P568" s="564" t="s">
        <v>4540</v>
      </c>
    </row>
    <row r="569" spans="1:16">
      <c r="A569" s="183">
        <v>20180710</v>
      </c>
      <c r="B569" s="183" t="s">
        <v>5901</v>
      </c>
      <c r="C569" s="183" t="s">
        <v>4695</v>
      </c>
      <c r="D569" s="618"/>
      <c r="E569" s="183">
        <v>96000</v>
      </c>
      <c r="F569" s="183">
        <v>4800</v>
      </c>
      <c r="G569" s="563">
        <f t="shared" si="51"/>
        <v>100800</v>
      </c>
      <c r="H569" s="399" t="s">
        <v>4302</v>
      </c>
      <c r="I569" s="398" t="s">
        <v>10077</v>
      </c>
      <c r="J569" s="681">
        <v>100800</v>
      </c>
      <c r="M569" s="350">
        <f t="shared" si="49"/>
        <v>100800</v>
      </c>
      <c r="O569" s="351">
        <f t="shared" si="50"/>
        <v>0</v>
      </c>
      <c r="P569" s="564" t="s">
        <v>4410</v>
      </c>
    </row>
    <row r="570" spans="1:16">
      <c r="A570" s="183">
        <v>20180725</v>
      </c>
      <c r="B570" s="183" t="s">
        <v>5903</v>
      </c>
      <c r="C570" s="183" t="s">
        <v>4513</v>
      </c>
      <c r="D570" s="617"/>
      <c r="E570" s="183">
        <v>91200</v>
      </c>
      <c r="F570" s="183">
        <v>4560</v>
      </c>
      <c r="G570" s="563">
        <f t="shared" si="51"/>
        <v>95760</v>
      </c>
      <c r="H570" s="399" t="s">
        <v>9824</v>
      </c>
      <c r="I570" s="398" t="s">
        <v>10078</v>
      </c>
      <c r="J570" s="682">
        <v>95760</v>
      </c>
      <c r="M570" s="350">
        <f t="shared" si="49"/>
        <v>95760</v>
      </c>
      <c r="O570" s="351">
        <f t="shared" si="50"/>
        <v>0</v>
      </c>
      <c r="P570" s="564" t="s">
        <v>4519</v>
      </c>
    </row>
    <row r="571" spans="1:16">
      <c r="A571" s="183">
        <v>20180807</v>
      </c>
      <c r="B571" s="183" t="s">
        <v>5905</v>
      </c>
      <c r="C571" s="199" t="s">
        <v>4201</v>
      </c>
      <c r="D571" s="617"/>
      <c r="E571" s="199">
        <v>19500</v>
      </c>
      <c r="F571" s="183">
        <v>975</v>
      </c>
      <c r="G571" s="563">
        <f t="shared" si="51"/>
        <v>20475</v>
      </c>
      <c r="H571" s="399" t="s">
        <v>4823</v>
      </c>
      <c r="I571" s="350">
        <v>1157</v>
      </c>
      <c r="K571" s="350">
        <v>20475</v>
      </c>
      <c r="M571" s="350">
        <f t="shared" si="49"/>
        <v>20475</v>
      </c>
      <c r="O571" s="351">
        <f t="shared" si="50"/>
        <v>0</v>
      </c>
      <c r="P571" s="564" t="s">
        <v>4308</v>
      </c>
    </row>
    <row r="572" spans="1:16">
      <c r="A572" s="183">
        <v>20180807</v>
      </c>
      <c r="B572" s="183" t="s">
        <v>9789</v>
      </c>
      <c r="C572" s="199" t="s">
        <v>4000</v>
      </c>
      <c r="D572" s="617"/>
      <c r="E572" s="199">
        <v>19500</v>
      </c>
      <c r="F572" s="183">
        <v>975</v>
      </c>
      <c r="G572" s="563">
        <f t="shared" si="51"/>
        <v>20475</v>
      </c>
      <c r="H572" s="399" t="s">
        <v>4823</v>
      </c>
      <c r="I572" s="350">
        <v>1165</v>
      </c>
      <c r="K572" s="350">
        <v>20475</v>
      </c>
      <c r="M572" s="350">
        <f t="shared" si="49"/>
        <v>20475</v>
      </c>
      <c r="O572" s="351">
        <f t="shared" si="50"/>
        <v>0</v>
      </c>
      <c r="P572" s="564" t="s">
        <v>4310</v>
      </c>
    </row>
    <row r="573" spans="1:16">
      <c r="A573" s="183">
        <v>20180807</v>
      </c>
      <c r="B573" s="183" t="s">
        <v>5908</v>
      </c>
      <c r="C573" s="199" t="s">
        <v>4000</v>
      </c>
      <c r="D573" s="617"/>
      <c r="E573" s="199">
        <v>15600</v>
      </c>
      <c r="F573" s="183">
        <v>780</v>
      </c>
      <c r="G573" s="563">
        <f t="shared" si="51"/>
        <v>16380</v>
      </c>
      <c r="H573" s="399" t="s">
        <v>4823</v>
      </c>
      <c r="I573" s="350">
        <v>1173</v>
      </c>
      <c r="K573" s="350">
        <v>16380</v>
      </c>
      <c r="M573" s="350">
        <f t="shared" si="49"/>
        <v>16380</v>
      </c>
      <c r="O573" s="351">
        <f t="shared" si="50"/>
        <v>0</v>
      </c>
      <c r="P573" s="564" t="s">
        <v>4310</v>
      </c>
    </row>
    <row r="574" spans="1:16">
      <c r="A574" s="183">
        <v>20180807</v>
      </c>
      <c r="B574" s="183" t="s">
        <v>5909</v>
      </c>
      <c r="C574" s="199" t="s">
        <v>4204</v>
      </c>
      <c r="D574" s="617"/>
      <c r="E574" s="199">
        <v>19500</v>
      </c>
      <c r="F574" s="183">
        <v>975</v>
      </c>
      <c r="G574" s="563">
        <f t="shared" si="51"/>
        <v>20475</v>
      </c>
      <c r="H574" s="399" t="s">
        <v>4811</v>
      </c>
      <c r="I574" s="350">
        <v>1319</v>
      </c>
      <c r="K574" s="350">
        <v>20475</v>
      </c>
      <c r="M574" s="350">
        <f t="shared" si="49"/>
        <v>20475</v>
      </c>
      <c r="O574" s="351">
        <f t="shared" si="50"/>
        <v>0</v>
      </c>
      <c r="P574" s="564" t="s">
        <v>4313</v>
      </c>
    </row>
    <row r="575" spans="1:16">
      <c r="A575" s="183">
        <v>20180807</v>
      </c>
      <c r="B575" s="183" t="s">
        <v>5911</v>
      </c>
      <c r="C575" s="199" t="s">
        <v>4056</v>
      </c>
      <c r="D575" s="617"/>
      <c r="E575" s="199">
        <v>19500</v>
      </c>
      <c r="F575" s="183">
        <v>975</v>
      </c>
      <c r="G575" s="563">
        <f t="shared" si="51"/>
        <v>20475</v>
      </c>
      <c r="H575" s="399" t="s">
        <v>4812</v>
      </c>
      <c r="I575" s="350">
        <v>1194</v>
      </c>
      <c r="K575" s="350">
        <v>20475</v>
      </c>
      <c r="M575" s="350">
        <f t="shared" si="49"/>
        <v>20475</v>
      </c>
      <c r="O575" s="351">
        <f t="shared" si="50"/>
        <v>0</v>
      </c>
      <c r="P575" s="564" t="s">
        <v>4331</v>
      </c>
    </row>
    <row r="576" spans="1:16">
      <c r="A576" s="183">
        <v>20180807</v>
      </c>
      <c r="B576" s="183" t="s">
        <v>5913</v>
      </c>
      <c r="C576" s="199" t="s">
        <v>5208</v>
      </c>
      <c r="D576" s="617"/>
      <c r="E576" s="199">
        <v>19500</v>
      </c>
      <c r="F576" s="183">
        <v>975</v>
      </c>
      <c r="G576" s="563">
        <f t="shared" si="51"/>
        <v>20475</v>
      </c>
      <c r="H576" s="399" t="s">
        <v>4813</v>
      </c>
      <c r="I576" s="350">
        <v>1275</v>
      </c>
      <c r="K576" s="350">
        <v>20475</v>
      </c>
      <c r="M576" s="350">
        <f t="shared" si="49"/>
        <v>20475</v>
      </c>
      <c r="O576" s="351">
        <f t="shared" si="50"/>
        <v>0</v>
      </c>
      <c r="P576" s="564" t="s">
        <v>5222</v>
      </c>
    </row>
    <row r="577" spans="1:16" s="751" customFormat="1">
      <c r="A577" s="745"/>
      <c r="B577" s="745" t="s">
        <v>5915</v>
      </c>
      <c r="C577" s="745" t="s">
        <v>5217</v>
      </c>
      <c r="D577" s="746"/>
      <c r="E577" s="745"/>
      <c r="F577" s="745"/>
      <c r="G577" s="747">
        <f t="shared" si="51"/>
        <v>0</v>
      </c>
      <c r="H577" s="748"/>
      <c r="I577" s="749"/>
      <c r="J577" s="749"/>
      <c r="K577" s="749"/>
      <c r="L577" s="749"/>
      <c r="M577" s="749">
        <f t="shared" si="49"/>
        <v>0</v>
      </c>
      <c r="N577" s="749"/>
      <c r="O577" s="749">
        <f t="shared" si="50"/>
        <v>0</v>
      </c>
      <c r="P577" s="750"/>
    </row>
    <row r="578" spans="1:16">
      <c r="A578" s="183">
        <v>20180807</v>
      </c>
      <c r="B578" s="183" t="s">
        <v>5917</v>
      </c>
      <c r="C578" s="199" t="s">
        <v>4315</v>
      </c>
      <c r="D578" s="617"/>
      <c r="E578" s="199">
        <v>15600</v>
      </c>
      <c r="F578" s="183">
        <v>780</v>
      </c>
      <c r="G578" s="563">
        <f t="shared" si="51"/>
        <v>16380</v>
      </c>
      <c r="H578" s="379">
        <v>6</v>
      </c>
      <c r="I578" s="350">
        <v>1343</v>
      </c>
      <c r="J578" s="682">
        <v>16380</v>
      </c>
      <c r="M578" s="350">
        <f t="shared" si="49"/>
        <v>16380</v>
      </c>
      <c r="O578" s="351">
        <f t="shared" si="50"/>
        <v>0</v>
      </c>
      <c r="P578" s="564" t="s">
        <v>4316</v>
      </c>
    </row>
    <row r="579" spans="1:16">
      <c r="A579" s="183">
        <v>20180807</v>
      </c>
      <c r="B579" s="183" t="s">
        <v>9788</v>
      </c>
      <c r="C579" s="199" t="s">
        <v>4339</v>
      </c>
      <c r="D579" s="617"/>
      <c r="E579" s="199">
        <v>13500</v>
      </c>
      <c r="F579" s="183">
        <v>675</v>
      </c>
      <c r="G579" s="563">
        <f t="shared" si="51"/>
        <v>14175</v>
      </c>
      <c r="H579" s="399" t="s">
        <v>4813</v>
      </c>
      <c r="I579" s="398" t="s">
        <v>9949</v>
      </c>
      <c r="L579" s="350">
        <v>14165</v>
      </c>
      <c r="M579" s="350">
        <f t="shared" si="49"/>
        <v>14165</v>
      </c>
      <c r="N579" s="351">
        <v>10</v>
      </c>
      <c r="O579" s="351">
        <f t="shared" si="50"/>
        <v>0</v>
      </c>
      <c r="P579" s="564" t="s">
        <v>4340</v>
      </c>
    </row>
    <row r="580" spans="1:16">
      <c r="A580" s="183">
        <v>20180903</v>
      </c>
      <c r="B580" s="183" t="s">
        <v>5930</v>
      </c>
      <c r="C580" s="183" t="s">
        <v>447</v>
      </c>
      <c r="D580" s="617"/>
      <c r="E580" s="183">
        <v>13500</v>
      </c>
      <c r="F580" s="183">
        <v>675</v>
      </c>
      <c r="G580" s="563">
        <f t="shared" si="51"/>
        <v>14175</v>
      </c>
      <c r="H580" s="399" t="s">
        <v>4330</v>
      </c>
      <c r="I580" s="398" t="s">
        <v>8822</v>
      </c>
      <c r="L580" s="350">
        <v>14165</v>
      </c>
      <c r="M580" s="350">
        <f t="shared" si="49"/>
        <v>14165</v>
      </c>
      <c r="N580" s="351">
        <v>10</v>
      </c>
      <c r="O580" s="351">
        <f t="shared" si="50"/>
        <v>0</v>
      </c>
      <c r="P580" s="564" t="s">
        <v>4321</v>
      </c>
    </row>
    <row r="581" spans="1:16" s="751" customFormat="1">
      <c r="A581" s="745"/>
      <c r="B581" s="745" t="s">
        <v>5931</v>
      </c>
      <c r="C581" s="745" t="s">
        <v>5217</v>
      </c>
      <c r="D581" s="752"/>
      <c r="E581" s="745"/>
      <c r="F581" s="745"/>
      <c r="G581" s="747">
        <f t="shared" si="51"/>
        <v>0</v>
      </c>
      <c r="H581" s="748"/>
      <c r="I581" s="749"/>
      <c r="J581" s="749"/>
      <c r="K581" s="749"/>
      <c r="L581" s="749"/>
      <c r="M581" s="749">
        <f t="shared" si="49"/>
        <v>0</v>
      </c>
      <c r="N581" s="749"/>
      <c r="O581" s="749">
        <f t="shared" si="50"/>
        <v>0</v>
      </c>
      <c r="P581" s="750"/>
    </row>
    <row r="582" spans="1:16">
      <c r="A582" s="183">
        <v>20180912</v>
      </c>
      <c r="B582" s="183" t="s">
        <v>5933</v>
      </c>
      <c r="C582" s="183" t="s">
        <v>5934</v>
      </c>
      <c r="D582" s="618"/>
      <c r="E582" s="183">
        <v>43200</v>
      </c>
      <c r="F582" s="183">
        <v>2160</v>
      </c>
      <c r="G582" s="563">
        <f t="shared" si="51"/>
        <v>45360</v>
      </c>
      <c r="H582" s="399" t="s">
        <v>9597</v>
      </c>
      <c r="I582" s="398" t="s">
        <v>8796</v>
      </c>
      <c r="L582" s="350">
        <v>45360</v>
      </c>
      <c r="M582" s="350">
        <f t="shared" si="49"/>
        <v>45360</v>
      </c>
      <c r="O582" s="351">
        <f t="shared" si="50"/>
        <v>0</v>
      </c>
      <c r="P582" s="564" t="s">
        <v>4553</v>
      </c>
    </row>
    <row r="583" spans="1:16">
      <c r="A583" s="183">
        <v>20180916</v>
      </c>
      <c r="B583" s="183" t="s">
        <v>5935</v>
      </c>
      <c r="C583" s="183" t="s">
        <v>4539</v>
      </c>
      <c r="D583" s="617"/>
      <c r="E583" s="183">
        <v>100800</v>
      </c>
      <c r="F583" s="183">
        <v>5040</v>
      </c>
      <c r="G583" s="563">
        <f t="shared" si="51"/>
        <v>105840</v>
      </c>
      <c r="H583" s="399" t="s">
        <v>4302</v>
      </c>
      <c r="I583" s="398" t="s">
        <v>10079</v>
      </c>
      <c r="J583" s="681">
        <v>105840</v>
      </c>
      <c r="M583" s="350">
        <f t="shared" si="49"/>
        <v>105840</v>
      </c>
      <c r="O583" s="351">
        <f t="shared" si="50"/>
        <v>0</v>
      </c>
      <c r="P583" s="564" t="s">
        <v>4543</v>
      </c>
    </row>
    <row r="584" spans="1:16">
      <c r="A584" s="183">
        <v>20180917</v>
      </c>
      <c r="B584" s="183" t="s">
        <v>5937</v>
      </c>
      <c r="C584" s="199" t="s">
        <v>456</v>
      </c>
      <c r="D584" s="617"/>
      <c r="E584" s="199">
        <v>12600</v>
      </c>
      <c r="F584" s="183">
        <v>630</v>
      </c>
      <c r="G584" s="563">
        <f t="shared" si="51"/>
        <v>13230</v>
      </c>
      <c r="H584" s="399" t="s">
        <v>4810</v>
      </c>
      <c r="I584" s="398" t="s">
        <v>9931</v>
      </c>
      <c r="L584" s="350">
        <v>13230</v>
      </c>
      <c r="M584" s="350">
        <f t="shared" si="49"/>
        <v>13230</v>
      </c>
      <c r="O584" s="351">
        <f t="shared" si="50"/>
        <v>0</v>
      </c>
      <c r="P584" s="564" t="s">
        <v>4323</v>
      </c>
    </row>
    <row r="585" spans="1:16">
      <c r="A585" s="183">
        <v>20180917</v>
      </c>
      <c r="B585" s="183" t="s">
        <v>5939</v>
      </c>
      <c r="C585" s="199" t="s">
        <v>4230</v>
      </c>
      <c r="D585" s="617"/>
      <c r="E585" s="199">
        <v>43200</v>
      </c>
      <c r="F585" s="183">
        <v>2160</v>
      </c>
      <c r="G585" s="563">
        <f t="shared" si="51"/>
        <v>45360</v>
      </c>
      <c r="H585" s="399" t="s">
        <v>4392</v>
      </c>
      <c r="I585" s="398" t="s">
        <v>10080</v>
      </c>
      <c r="J585" s="681">
        <v>45360</v>
      </c>
      <c r="M585" s="350">
        <f t="shared" si="49"/>
        <v>45360</v>
      </c>
      <c r="O585" s="351">
        <f t="shared" si="50"/>
        <v>0</v>
      </c>
      <c r="P585" s="564" t="s">
        <v>4394</v>
      </c>
    </row>
    <row r="586" spans="1:16">
      <c r="A586" s="183">
        <v>20180917</v>
      </c>
      <c r="B586" s="183" t="s">
        <v>5941</v>
      </c>
      <c r="C586" s="199" t="s">
        <v>4318</v>
      </c>
      <c r="D586" s="617"/>
      <c r="E586" s="199">
        <v>12857</v>
      </c>
      <c r="F586" s="183">
        <v>643</v>
      </c>
      <c r="G586" s="563">
        <f t="shared" si="51"/>
        <v>13500</v>
      </c>
      <c r="H586" s="399" t="s">
        <v>4811</v>
      </c>
      <c r="I586" s="398" t="s">
        <v>5449</v>
      </c>
      <c r="L586" s="350">
        <v>13485</v>
      </c>
      <c r="M586" s="350">
        <f t="shared" si="49"/>
        <v>13485</v>
      </c>
      <c r="N586" s="351">
        <v>15</v>
      </c>
      <c r="O586" s="351">
        <f t="shared" si="50"/>
        <v>0</v>
      </c>
      <c r="P586" s="564" t="s">
        <v>4319</v>
      </c>
    </row>
    <row r="587" spans="1:16">
      <c r="A587" s="183">
        <v>20181101</v>
      </c>
      <c r="B587" s="183" t="s">
        <v>5947</v>
      </c>
      <c r="C587" s="183" t="s">
        <v>4201</v>
      </c>
      <c r="D587" s="617"/>
      <c r="E587" s="183">
        <v>6000</v>
      </c>
      <c r="F587" s="183">
        <v>300</v>
      </c>
      <c r="G587" s="563">
        <v>6300</v>
      </c>
      <c r="H587" s="379"/>
      <c r="I587" s="350">
        <v>1483</v>
      </c>
      <c r="J587" s="350">
        <v>6300</v>
      </c>
      <c r="M587" s="350">
        <f t="shared" si="49"/>
        <v>6300</v>
      </c>
      <c r="O587" s="351">
        <f t="shared" si="50"/>
        <v>0</v>
      </c>
      <c r="P587" s="564" t="s">
        <v>4308</v>
      </c>
    </row>
    <row r="588" spans="1:16">
      <c r="A588" s="183">
        <v>20181101</v>
      </c>
      <c r="B588" s="183" t="s">
        <v>5948</v>
      </c>
      <c r="C588" s="199" t="s">
        <v>4000</v>
      </c>
      <c r="D588" s="617"/>
      <c r="E588" s="199">
        <v>6000</v>
      </c>
      <c r="F588" s="183">
        <v>300</v>
      </c>
      <c r="G588" s="563">
        <f t="shared" ref="G588:G604" si="52">E588+F588</f>
        <v>6300</v>
      </c>
      <c r="H588" s="379"/>
      <c r="I588" s="350">
        <v>1465</v>
      </c>
      <c r="J588" s="350">
        <v>6300</v>
      </c>
      <c r="M588" s="350">
        <f t="shared" si="49"/>
        <v>6300</v>
      </c>
      <c r="O588" s="351">
        <f t="shared" si="50"/>
        <v>0</v>
      </c>
      <c r="P588" s="564" t="s">
        <v>4310</v>
      </c>
    </row>
    <row r="589" spans="1:16">
      <c r="A589" s="183">
        <v>20181101</v>
      </c>
      <c r="B589" s="183" t="s">
        <v>5949</v>
      </c>
      <c r="C589" s="199" t="s">
        <v>4204</v>
      </c>
      <c r="D589" s="617"/>
      <c r="E589" s="199">
        <v>6000</v>
      </c>
      <c r="F589" s="183">
        <v>300</v>
      </c>
      <c r="G589" s="563">
        <f t="shared" si="52"/>
        <v>6300</v>
      </c>
      <c r="H589" s="379"/>
      <c r="I589" s="398" t="s">
        <v>9955</v>
      </c>
      <c r="L589" s="350">
        <v>6290</v>
      </c>
      <c r="M589" s="350">
        <f t="shared" si="49"/>
        <v>6290</v>
      </c>
      <c r="N589" s="351">
        <v>10</v>
      </c>
      <c r="O589" s="351">
        <f t="shared" si="50"/>
        <v>0</v>
      </c>
      <c r="P589" s="564" t="s">
        <v>4313</v>
      </c>
    </row>
    <row r="590" spans="1:16">
      <c r="A590" s="183">
        <v>20181101</v>
      </c>
      <c r="B590" s="183" t="s">
        <v>5950</v>
      </c>
      <c r="C590" s="199" t="s">
        <v>4201</v>
      </c>
      <c r="D590" s="617"/>
      <c r="E590" s="199">
        <v>108000</v>
      </c>
      <c r="F590" s="183">
        <v>5400</v>
      </c>
      <c r="G590" s="563">
        <f t="shared" si="52"/>
        <v>113400</v>
      </c>
      <c r="H590" s="379"/>
      <c r="I590" s="398" t="s">
        <v>9769</v>
      </c>
      <c r="L590" s="350">
        <v>113400</v>
      </c>
      <c r="M590" s="350">
        <f t="shared" si="49"/>
        <v>113400</v>
      </c>
      <c r="O590" s="351">
        <f t="shared" si="50"/>
        <v>0</v>
      </c>
      <c r="P590" s="564" t="s">
        <v>4308</v>
      </c>
    </row>
    <row r="591" spans="1:16">
      <c r="A591" s="183">
        <v>20181101</v>
      </c>
      <c r="B591" s="183" t="s">
        <v>5952</v>
      </c>
      <c r="C591" s="199" t="s">
        <v>4000</v>
      </c>
      <c r="D591" s="617"/>
      <c r="E591" s="199">
        <v>108000</v>
      </c>
      <c r="F591" s="183">
        <v>5400</v>
      </c>
      <c r="G591" s="563">
        <f t="shared" si="52"/>
        <v>113400</v>
      </c>
      <c r="H591" s="379"/>
      <c r="I591" s="350">
        <v>1465</v>
      </c>
      <c r="J591" s="350">
        <v>113400</v>
      </c>
      <c r="M591" s="350">
        <f t="shared" si="49"/>
        <v>113400</v>
      </c>
      <c r="O591" s="351">
        <f t="shared" si="50"/>
        <v>0</v>
      </c>
      <c r="P591" s="564" t="s">
        <v>4310</v>
      </c>
    </row>
    <row r="592" spans="1:16">
      <c r="A592" s="183">
        <v>20181101</v>
      </c>
      <c r="B592" s="183" t="s">
        <v>5953</v>
      </c>
      <c r="C592" s="199" t="s">
        <v>4204</v>
      </c>
      <c r="D592" s="617"/>
      <c r="E592" s="199">
        <v>72000</v>
      </c>
      <c r="F592" s="183">
        <v>3600</v>
      </c>
      <c r="G592" s="563">
        <f t="shared" si="52"/>
        <v>75600</v>
      </c>
      <c r="H592" s="379"/>
      <c r="I592" s="398" t="s">
        <v>9955</v>
      </c>
      <c r="L592" s="350">
        <v>75590</v>
      </c>
      <c r="M592" s="350">
        <f t="shared" si="49"/>
        <v>75590</v>
      </c>
      <c r="N592" s="351">
        <v>10</v>
      </c>
      <c r="O592" s="351">
        <f t="shared" si="50"/>
        <v>0</v>
      </c>
      <c r="P592" s="564" t="s">
        <v>4313</v>
      </c>
    </row>
    <row r="593" spans="1:16">
      <c r="A593" s="183">
        <v>20181101</v>
      </c>
      <c r="B593" s="183" t="s">
        <v>5954</v>
      </c>
      <c r="C593" s="199" t="s">
        <v>4201</v>
      </c>
      <c r="D593" s="617"/>
      <c r="E593" s="199">
        <v>19500</v>
      </c>
      <c r="F593" s="183">
        <v>975</v>
      </c>
      <c r="G593" s="563">
        <f t="shared" si="52"/>
        <v>20475</v>
      </c>
      <c r="H593" s="399" t="s">
        <v>4330</v>
      </c>
      <c r="I593" s="398">
        <v>1441</v>
      </c>
      <c r="J593" s="350">
        <v>20475</v>
      </c>
      <c r="M593" s="350">
        <f t="shared" si="49"/>
        <v>20475</v>
      </c>
      <c r="O593" s="351">
        <f t="shared" si="50"/>
        <v>0</v>
      </c>
      <c r="P593" s="564" t="s">
        <v>4308</v>
      </c>
    </row>
    <row r="594" spans="1:16">
      <c r="A594" s="183">
        <v>20181101</v>
      </c>
      <c r="B594" s="183" t="s">
        <v>5955</v>
      </c>
      <c r="C594" s="199" t="s">
        <v>4000</v>
      </c>
      <c r="D594" s="617"/>
      <c r="E594" s="199">
        <v>19500</v>
      </c>
      <c r="F594" s="183">
        <v>975</v>
      </c>
      <c r="G594" s="563">
        <f t="shared" si="52"/>
        <v>20475</v>
      </c>
      <c r="H594" s="399" t="s">
        <v>4330</v>
      </c>
      <c r="I594" s="398">
        <v>1457</v>
      </c>
      <c r="J594" s="350">
        <v>20475</v>
      </c>
      <c r="M594" s="350">
        <f t="shared" si="49"/>
        <v>20475</v>
      </c>
      <c r="O594" s="351">
        <f t="shared" si="50"/>
        <v>0</v>
      </c>
      <c r="P594" s="564" t="s">
        <v>4310</v>
      </c>
    </row>
    <row r="595" spans="1:16">
      <c r="A595" s="183">
        <v>20181101</v>
      </c>
      <c r="B595" s="183" t="s">
        <v>5956</v>
      </c>
      <c r="C595" s="199" t="s">
        <v>4000</v>
      </c>
      <c r="D595" s="617"/>
      <c r="E595" s="199">
        <v>15600</v>
      </c>
      <c r="F595" s="183">
        <v>780</v>
      </c>
      <c r="G595" s="563">
        <f t="shared" si="52"/>
        <v>16380</v>
      </c>
      <c r="H595" s="399" t="s">
        <v>4330</v>
      </c>
      <c r="I595" s="398">
        <v>1449</v>
      </c>
      <c r="J595" s="350">
        <v>16380</v>
      </c>
      <c r="M595" s="350">
        <f t="shared" si="49"/>
        <v>16380</v>
      </c>
      <c r="O595" s="351">
        <f t="shared" si="50"/>
        <v>0</v>
      </c>
      <c r="P595" s="564" t="s">
        <v>4310</v>
      </c>
    </row>
    <row r="596" spans="1:16">
      <c r="A596" s="183">
        <v>20181101</v>
      </c>
      <c r="B596" s="183" t="s">
        <v>5957</v>
      </c>
      <c r="C596" s="199" t="s">
        <v>4204</v>
      </c>
      <c r="D596" s="617"/>
      <c r="E596" s="199">
        <v>19500</v>
      </c>
      <c r="F596" s="183">
        <v>975</v>
      </c>
      <c r="G596" s="563">
        <f t="shared" si="52"/>
        <v>20475</v>
      </c>
      <c r="H596" s="399" t="s">
        <v>4813</v>
      </c>
      <c r="I596" s="350">
        <v>1320</v>
      </c>
      <c r="K596" s="350">
        <v>20475</v>
      </c>
      <c r="M596" s="350">
        <f t="shared" si="49"/>
        <v>20475</v>
      </c>
      <c r="O596" s="351">
        <f t="shared" si="50"/>
        <v>0</v>
      </c>
      <c r="P596" s="564" t="s">
        <v>4313</v>
      </c>
    </row>
    <row r="597" spans="1:16">
      <c r="A597" s="183">
        <v>20181101</v>
      </c>
      <c r="B597" s="183" t="s">
        <v>5958</v>
      </c>
      <c r="C597" s="199" t="s">
        <v>4056</v>
      </c>
      <c r="D597" s="617"/>
      <c r="E597" s="199">
        <v>19500</v>
      </c>
      <c r="F597" s="183">
        <v>975</v>
      </c>
      <c r="G597" s="563">
        <f t="shared" si="52"/>
        <v>20475</v>
      </c>
      <c r="H597" s="399" t="s">
        <v>4823</v>
      </c>
      <c r="I597" s="350">
        <v>1195</v>
      </c>
      <c r="K597" s="350">
        <v>20475</v>
      </c>
      <c r="M597" s="350">
        <f t="shared" si="49"/>
        <v>20475</v>
      </c>
      <c r="O597" s="351">
        <f t="shared" si="50"/>
        <v>0</v>
      </c>
      <c r="P597" s="564" t="s">
        <v>4331</v>
      </c>
    </row>
    <row r="598" spans="1:16">
      <c r="A598" s="183">
        <v>20181101</v>
      </c>
      <c r="B598" s="183" t="s">
        <v>5959</v>
      </c>
      <c r="C598" s="199" t="s">
        <v>5208</v>
      </c>
      <c r="D598" s="617"/>
      <c r="E598" s="199">
        <v>19500</v>
      </c>
      <c r="F598" s="183">
        <v>975</v>
      </c>
      <c r="G598" s="563">
        <f t="shared" si="52"/>
        <v>20475</v>
      </c>
      <c r="H598" s="399" t="s">
        <v>4812</v>
      </c>
      <c r="I598" s="350">
        <v>1276</v>
      </c>
      <c r="K598" s="350">
        <v>20475</v>
      </c>
      <c r="M598" s="350">
        <f t="shared" si="49"/>
        <v>20475</v>
      </c>
      <c r="O598" s="351">
        <f t="shared" si="50"/>
        <v>0</v>
      </c>
      <c r="P598" s="564" t="s">
        <v>5222</v>
      </c>
    </row>
    <row r="599" spans="1:16">
      <c r="A599" s="183">
        <v>20181101</v>
      </c>
      <c r="B599" s="183" t="s">
        <v>5960</v>
      </c>
      <c r="C599" s="199" t="s">
        <v>4315</v>
      </c>
      <c r="D599" s="617"/>
      <c r="E599" s="199">
        <v>15600</v>
      </c>
      <c r="F599" s="183">
        <v>780</v>
      </c>
      <c r="G599" s="563">
        <f t="shared" si="52"/>
        <v>16380</v>
      </c>
      <c r="H599" s="399" t="s">
        <v>9723</v>
      </c>
      <c r="I599" s="398" t="s">
        <v>14733</v>
      </c>
      <c r="L599" s="350">
        <v>16365</v>
      </c>
      <c r="M599" s="350">
        <f t="shared" ref="M599:M605" si="53">J599+K599+L599</f>
        <v>16365</v>
      </c>
      <c r="N599" s="351">
        <v>15</v>
      </c>
      <c r="O599" s="351">
        <f t="shared" ref="O599:O605" si="54">G599-M599-N599</f>
        <v>0</v>
      </c>
      <c r="P599" s="564" t="s">
        <v>4316</v>
      </c>
    </row>
    <row r="600" spans="1:16">
      <c r="A600" s="183">
        <v>20181101</v>
      </c>
      <c r="B600" s="183" t="s">
        <v>5962</v>
      </c>
      <c r="C600" s="199" t="s">
        <v>4339</v>
      </c>
      <c r="D600" s="617"/>
      <c r="E600" s="199">
        <v>13500</v>
      </c>
      <c r="F600" s="183">
        <v>675</v>
      </c>
      <c r="G600" s="563">
        <f t="shared" si="52"/>
        <v>14175</v>
      </c>
      <c r="H600" s="399" t="s">
        <v>4812</v>
      </c>
      <c r="I600" s="398" t="s">
        <v>9951</v>
      </c>
      <c r="L600" s="350">
        <v>14165</v>
      </c>
      <c r="M600" s="350">
        <f t="shared" si="53"/>
        <v>14165</v>
      </c>
      <c r="N600" s="351">
        <v>10</v>
      </c>
      <c r="O600" s="351">
        <f t="shared" si="54"/>
        <v>0</v>
      </c>
      <c r="P600" s="564" t="s">
        <v>4340</v>
      </c>
    </row>
    <row r="601" spans="1:16">
      <c r="A601" s="183">
        <v>20181212</v>
      </c>
      <c r="B601" s="183" t="s">
        <v>5964</v>
      </c>
      <c r="C601" s="199" t="s">
        <v>447</v>
      </c>
      <c r="D601" s="618"/>
      <c r="E601" s="199">
        <v>13500</v>
      </c>
      <c r="F601" s="183">
        <v>675</v>
      </c>
      <c r="G601" s="563">
        <f t="shared" si="52"/>
        <v>14175</v>
      </c>
      <c r="H601" s="399" t="s">
        <v>4763</v>
      </c>
      <c r="I601" s="398" t="s">
        <v>9937</v>
      </c>
      <c r="L601" s="350">
        <v>14165</v>
      </c>
      <c r="M601" s="350">
        <f t="shared" si="53"/>
        <v>14165</v>
      </c>
      <c r="N601" s="351">
        <v>10</v>
      </c>
      <c r="O601" s="351">
        <f t="shared" si="54"/>
        <v>0</v>
      </c>
      <c r="P601" s="564" t="s">
        <v>4321</v>
      </c>
    </row>
    <row r="602" spans="1:16">
      <c r="A602" s="183">
        <v>20181212</v>
      </c>
      <c r="B602" s="183" t="s">
        <v>5966</v>
      </c>
      <c r="C602" s="199" t="s">
        <v>4318</v>
      </c>
      <c r="D602" s="618"/>
      <c r="E602" s="199">
        <v>12857</v>
      </c>
      <c r="F602" s="183">
        <v>643</v>
      </c>
      <c r="G602" s="563">
        <f t="shared" si="52"/>
        <v>13500</v>
      </c>
      <c r="H602" s="399" t="s">
        <v>9722</v>
      </c>
      <c r="I602" s="398" t="s">
        <v>14735</v>
      </c>
      <c r="L602" s="350">
        <v>13485</v>
      </c>
      <c r="M602" s="350">
        <f t="shared" si="53"/>
        <v>13485</v>
      </c>
      <c r="N602" s="351">
        <v>15</v>
      </c>
      <c r="O602" s="351">
        <f t="shared" si="54"/>
        <v>0</v>
      </c>
      <c r="P602" s="564" t="s">
        <v>4319</v>
      </c>
    </row>
    <row r="603" spans="1:16">
      <c r="A603" s="183">
        <v>20181212</v>
      </c>
      <c r="B603" s="183" t="s">
        <v>5968</v>
      </c>
      <c r="C603" s="199" t="s">
        <v>456</v>
      </c>
      <c r="D603" s="618"/>
      <c r="E603" s="199">
        <v>12600</v>
      </c>
      <c r="F603" s="183">
        <v>630</v>
      </c>
      <c r="G603" s="563">
        <f t="shared" si="52"/>
        <v>13230</v>
      </c>
      <c r="H603" s="399" t="s">
        <v>9776</v>
      </c>
      <c r="I603" s="398" t="s">
        <v>14748</v>
      </c>
      <c r="L603" s="350">
        <v>13230</v>
      </c>
      <c r="M603" s="350">
        <f t="shared" si="53"/>
        <v>13230</v>
      </c>
      <c r="O603" s="351">
        <f t="shared" si="54"/>
        <v>0</v>
      </c>
      <c r="P603" s="564" t="s">
        <v>4323</v>
      </c>
    </row>
    <row r="604" spans="1:16">
      <c r="A604" s="183">
        <v>20181224</v>
      </c>
      <c r="B604" s="183" t="s">
        <v>5970</v>
      </c>
      <c r="C604" s="199" t="s">
        <v>5184</v>
      </c>
      <c r="D604" s="618"/>
      <c r="E604" s="199">
        <v>108000</v>
      </c>
      <c r="F604" s="183">
        <v>5400</v>
      </c>
      <c r="G604" s="563">
        <f t="shared" si="52"/>
        <v>113400</v>
      </c>
      <c r="H604" s="399" t="s">
        <v>14749</v>
      </c>
      <c r="I604" s="398" t="s">
        <v>14750</v>
      </c>
      <c r="J604" s="350">
        <v>113400</v>
      </c>
      <c r="M604" s="350">
        <f t="shared" si="53"/>
        <v>113400</v>
      </c>
      <c r="O604" s="351">
        <f t="shared" si="54"/>
        <v>0</v>
      </c>
      <c r="P604" s="564" t="s">
        <v>5185</v>
      </c>
    </row>
    <row r="605" spans="1:16">
      <c r="A605" s="563">
        <v>20181226</v>
      </c>
      <c r="B605" s="183" t="s">
        <v>5972</v>
      </c>
      <c r="C605" s="253" t="s">
        <v>5208</v>
      </c>
      <c r="D605" s="563"/>
      <c r="E605" s="563">
        <v>158000</v>
      </c>
      <c r="F605" s="563">
        <v>7900</v>
      </c>
      <c r="G605" s="563">
        <f>E605+F605</f>
        <v>165900</v>
      </c>
      <c r="H605" s="379"/>
      <c r="I605" s="350">
        <v>1482</v>
      </c>
      <c r="J605" s="350">
        <v>165900</v>
      </c>
      <c r="M605" s="350">
        <f t="shared" si="53"/>
        <v>165900</v>
      </c>
      <c r="O605" s="351">
        <f t="shared" si="54"/>
        <v>0</v>
      </c>
      <c r="P605" s="564" t="s">
        <v>5222</v>
      </c>
    </row>
    <row r="608" spans="1:16" s="347" customFormat="1">
      <c r="A608" s="401" t="s">
        <v>10592</v>
      </c>
      <c r="D608" s="348" t="s">
        <v>2377</v>
      </c>
      <c r="E608" s="376">
        <f>SUM(E609:E679)</f>
        <v>2609957</v>
      </c>
      <c r="F608" s="376">
        <f>SUM(F609:F679)</f>
        <v>130498</v>
      </c>
      <c r="G608" s="376">
        <f>SUM(G609:G679)</f>
        <v>2740455</v>
      </c>
      <c r="H608" s="349"/>
      <c r="I608" s="383"/>
      <c r="J608" s="376">
        <f t="shared" ref="J608:O608" si="55">SUM(J609:J679)</f>
        <v>1540695</v>
      </c>
      <c r="K608" s="376">
        <f t="shared" si="55"/>
        <v>290745</v>
      </c>
      <c r="L608" s="376">
        <f t="shared" si="55"/>
        <v>904450</v>
      </c>
      <c r="M608" s="376">
        <f t="shared" si="55"/>
        <v>2735890</v>
      </c>
      <c r="N608" s="376">
        <f t="shared" si="55"/>
        <v>245</v>
      </c>
      <c r="O608" s="376">
        <f t="shared" si="55"/>
        <v>4320</v>
      </c>
      <c r="P608" s="391"/>
    </row>
    <row r="609" spans="1:18" s="563" customFormat="1">
      <c r="A609" s="183">
        <v>20190116</v>
      </c>
      <c r="B609" s="183" t="s">
        <v>10602</v>
      </c>
      <c r="C609" s="183" t="s">
        <v>10603</v>
      </c>
      <c r="D609" s="617"/>
      <c r="E609" s="183">
        <v>86400</v>
      </c>
      <c r="F609" s="183">
        <v>4320</v>
      </c>
      <c r="G609" s="563">
        <f t="shared" ref="G609:G622" si="56">E609+F609</f>
        <v>90720</v>
      </c>
      <c r="H609" s="399" t="s">
        <v>9711</v>
      </c>
      <c r="I609" s="398" t="s">
        <v>14752</v>
      </c>
      <c r="J609" s="350">
        <v>90720</v>
      </c>
      <c r="K609" s="350"/>
      <c r="L609" s="350"/>
      <c r="M609" s="350">
        <f>J609+K609+L609</f>
        <v>90720</v>
      </c>
      <c r="N609" s="351"/>
      <c r="O609" s="351">
        <f>G609-M609-N609</f>
        <v>0</v>
      </c>
      <c r="P609" s="564" t="s">
        <v>10604</v>
      </c>
      <c r="R609" s="253"/>
    </row>
    <row r="610" spans="1:18" s="563" customFormat="1">
      <c r="A610" s="183">
        <v>20190212</v>
      </c>
      <c r="B610" s="183" t="s">
        <v>10605</v>
      </c>
      <c r="C610" s="199" t="s">
        <v>10606</v>
      </c>
      <c r="D610" s="617"/>
      <c r="E610" s="199">
        <v>60000</v>
      </c>
      <c r="F610" s="183">
        <v>3000</v>
      </c>
      <c r="G610" s="563">
        <f t="shared" si="56"/>
        <v>63000</v>
      </c>
      <c r="H610" s="399" t="s">
        <v>9597</v>
      </c>
      <c r="I610" s="398" t="s">
        <v>9906</v>
      </c>
      <c r="J610" s="350"/>
      <c r="K610" s="350"/>
      <c r="L610" s="350">
        <v>63000</v>
      </c>
      <c r="M610" s="350">
        <f t="shared" ref="M610:M673" si="57">J610+K610+L610</f>
        <v>63000</v>
      </c>
      <c r="N610" s="351"/>
      <c r="O610" s="351">
        <f t="shared" ref="O610:O673" si="58">G610-M610-N610</f>
        <v>0</v>
      </c>
      <c r="P610" s="564" t="s">
        <v>10607</v>
      </c>
    </row>
    <row r="611" spans="1:18" s="563" customFormat="1">
      <c r="A611" s="183">
        <v>20190213</v>
      </c>
      <c r="B611" s="183" t="s">
        <v>10608</v>
      </c>
      <c r="C611" s="199" t="s">
        <v>9727</v>
      </c>
      <c r="D611" s="617"/>
      <c r="E611" s="199">
        <v>19500</v>
      </c>
      <c r="F611" s="183">
        <v>975</v>
      </c>
      <c r="G611" s="563">
        <f t="shared" si="56"/>
        <v>20475</v>
      </c>
      <c r="H611" s="399" t="s">
        <v>9936</v>
      </c>
      <c r="I611" s="398">
        <v>1442</v>
      </c>
      <c r="J611" s="350"/>
      <c r="K611" s="350">
        <v>20475</v>
      </c>
      <c r="L611" s="350"/>
      <c r="M611" s="350">
        <f t="shared" si="57"/>
        <v>20475</v>
      </c>
      <c r="N611" s="351"/>
      <c r="O611" s="351">
        <f t="shared" si="58"/>
        <v>0</v>
      </c>
      <c r="P611" s="564" t="s">
        <v>10594</v>
      </c>
    </row>
    <row r="612" spans="1:18" s="563" customFormat="1">
      <c r="A612" s="183">
        <v>20190213</v>
      </c>
      <c r="B612" s="183" t="s">
        <v>10611</v>
      </c>
      <c r="C612" s="199" t="s">
        <v>9778</v>
      </c>
      <c r="D612" s="617"/>
      <c r="E612" s="199">
        <v>19500</v>
      </c>
      <c r="F612" s="183">
        <v>975</v>
      </c>
      <c r="G612" s="563">
        <f t="shared" si="56"/>
        <v>20475</v>
      </c>
      <c r="H612" s="399" t="s">
        <v>9936</v>
      </c>
      <c r="I612" s="398">
        <v>1458</v>
      </c>
      <c r="J612" s="350"/>
      <c r="K612" s="350">
        <v>20475</v>
      </c>
      <c r="L612" s="350"/>
      <c r="M612" s="350">
        <f t="shared" si="57"/>
        <v>20475</v>
      </c>
      <c r="N612" s="351"/>
      <c r="O612" s="351">
        <f t="shared" si="58"/>
        <v>0</v>
      </c>
      <c r="P612" s="564" t="s">
        <v>10596</v>
      </c>
    </row>
    <row r="613" spans="1:18" s="563" customFormat="1">
      <c r="A613" s="183">
        <v>20190213</v>
      </c>
      <c r="B613" s="183" t="s">
        <v>10614</v>
      </c>
      <c r="C613" s="199" t="s">
        <v>9778</v>
      </c>
      <c r="D613" s="617"/>
      <c r="E613" s="199">
        <v>15600</v>
      </c>
      <c r="F613" s="183">
        <v>780</v>
      </c>
      <c r="G613" s="563">
        <f t="shared" si="56"/>
        <v>16380</v>
      </c>
      <c r="H613" s="399" t="s">
        <v>9936</v>
      </c>
      <c r="I613" s="398">
        <v>1450</v>
      </c>
      <c r="J613" s="350"/>
      <c r="K613" s="350">
        <v>16380</v>
      </c>
      <c r="L613" s="350"/>
      <c r="M613" s="350">
        <f t="shared" si="57"/>
        <v>16380</v>
      </c>
      <c r="N613" s="351"/>
      <c r="O613" s="351">
        <f t="shared" si="58"/>
        <v>0</v>
      </c>
      <c r="P613" s="564" t="s">
        <v>10596</v>
      </c>
    </row>
    <row r="614" spans="1:18" s="563" customFormat="1">
      <c r="A614" s="183">
        <v>20190213</v>
      </c>
      <c r="B614" s="183" t="s">
        <v>10617</v>
      </c>
      <c r="C614" s="199" t="s">
        <v>10597</v>
      </c>
      <c r="D614" s="617"/>
      <c r="E614" s="199">
        <v>19500</v>
      </c>
      <c r="F614" s="183">
        <v>975</v>
      </c>
      <c r="G614" s="563">
        <f t="shared" si="56"/>
        <v>20475</v>
      </c>
      <c r="H614" s="399" t="s">
        <v>9723</v>
      </c>
      <c r="I614" s="398">
        <v>1321</v>
      </c>
      <c r="J614" s="350"/>
      <c r="K614" s="350">
        <v>20475</v>
      </c>
      <c r="L614" s="350"/>
      <c r="M614" s="350">
        <f t="shared" si="57"/>
        <v>20475</v>
      </c>
      <c r="N614" s="351"/>
      <c r="O614" s="351">
        <f t="shared" si="58"/>
        <v>0</v>
      </c>
      <c r="P614" s="564" t="s">
        <v>10598</v>
      </c>
    </row>
    <row r="615" spans="1:18" s="563" customFormat="1">
      <c r="A615" s="183">
        <v>20190213</v>
      </c>
      <c r="B615" s="183" t="s">
        <v>10620</v>
      </c>
      <c r="C615" s="199" t="s">
        <v>5208</v>
      </c>
      <c r="D615" s="617"/>
      <c r="E615" s="199">
        <v>19500</v>
      </c>
      <c r="F615" s="183">
        <v>975</v>
      </c>
      <c r="G615" s="563">
        <f t="shared" si="56"/>
        <v>20475</v>
      </c>
      <c r="H615" s="399" t="s">
        <v>9724</v>
      </c>
      <c r="I615" s="398">
        <v>1277</v>
      </c>
      <c r="J615" s="350"/>
      <c r="K615" s="350">
        <v>20475</v>
      </c>
      <c r="L615" s="350"/>
      <c r="M615" s="350">
        <f t="shared" si="57"/>
        <v>20475</v>
      </c>
      <c r="N615" s="351"/>
      <c r="O615" s="351">
        <f t="shared" si="58"/>
        <v>0</v>
      </c>
      <c r="P615" s="564" t="s">
        <v>10621</v>
      </c>
    </row>
    <row r="616" spans="1:18" s="563" customFormat="1">
      <c r="A616" s="183">
        <v>20190213</v>
      </c>
      <c r="B616" s="183" t="s">
        <v>10622</v>
      </c>
      <c r="C616" s="199" t="s">
        <v>10623</v>
      </c>
      <c r="D616" s="617"/>
      <c r="E616" s="199">
        <v>15600</v>
      </c>
      <c r="F616" s="183">
        <v>780</v>
      </c>
      <c r="G616" s="563">
        <f t="shared" si="56"/>
        <v>16380</v>
      </c>
      <c r="H616" s="399" t="s">
        <v>9724</v>
      </c>
      <c r="I616" s="398" t="s">
        <v>8949</v>
      </c>
      <c r="J616" s="350"/>
      <c r="K616" s="350"/>
      <c r="L616" s="350">
        <v>16365</v>
      </c>
      <c r="M616" s="350">
        <f t="shared" si="57"/>
        <v>16365</v>
      </c>
      <c r="N616" s="351">
        <v>15</v>
      </c>
      <c r="O616" s="351">
        <f t="shared" si="58"/>
        <v>0</v>
      </c>
      <c r="P616" s="564" t="s">
        <v>10599</v>
      </c>
    </row>
    <row r="617" spans="1:18" s="563" customFormat="1">
      <c r="A617" s="183">
        <v>20190213</v>
      </c>
      <c r="B617" s="183" t="s">
        <v>10625</v>
      </c>
      <c r="C617" s="199" t="s">
        <v>4339</v>
      </c>
      <c r="D617" s="617"/>
      <c r="E617" s="199">
        <v>13500</v>
      </c>
      <c r="F617" s="183">
        <v>675</v>
      </c>
      <c r="G617" s="563">
        <f t="shared" si="56"/>
        <v>14175</v>
      </c>
      <c r="H617" s="399" t="s">
        <v>9724</v>
      </c>
      <c r="I617" s="398" t="s">
        <v>9906</v>
      </c>
      <c r="J617" s="350"/>
      <c r="K617" s="350"/>
      <c r="L617" s="350">
        <v>14165</v>
      </c>
      <c r="M617" s="350">
        <f t="shared" si="57"/>
        <v>14165</v>
      </c>
      <c r="N617" s="351">
        <v>10</v>
      </c>
      <c r="O617" s="351">
        <f t="shared" si="58"/>
        <v>0</v>
      </c>
      <c r="P617" s="564" t="s">
        <v>10601</v>
      </c>
    </row>
    <row r="618" spans="1:18" s="563" customFormat="1">
      <c r="A618" s="183">
        <v>20190214</v>
      </c>
      <c r="B618" s="183" t="s">
        <v>10627</v>
      </c>
      <c r="C618" s="199" t="s">
        <v>4271</v>
      </c>
      <c r="D618" s="617"/>
      <c r="E618" s="199">
        <v>19500</v>
      </c>
      <c r="F618" s="183">
        <v>975</v>
      </c>
      <c r="G618" s="563">
        <f t="shared" si="56"/>
        <v>20475</v>
      </c>
      <c r="H618" s="399" t="s">
        <v>9725</v>
      </c>
      <c r="I618" s="398">
        <v>1484</v>
      </c>
      <c r="J618" s="350">
        <v>20475</v>
      </c>
      <c r="K618" s="350"/>
      <c r="L618" s="350"/>
      <c r="M618" s="350">
        <f t="shared" si="57"/>
        <v>20475</v>
      </c>
      <c r="N618" s="351"/>
      <c r="O618" s="351">
        <f t="shared" si="58"/>
        <v>0</v>
      </c>
      <c r="P618" s="564" t="s">
        <v>4396</v>
      </c>
    </row>
    <row r="619" spans="1:18" s="563" customFormat="1">
      <c r="A619" s="183">
        <v>20190214</v>
      </c>
      <c r="B619" s="183" t="s">
        <v>10628</v>
      </c>
      <c r="C619" s="199" t="s">
        <v>4271</v>
      </c>
      <c r="D619" s="617"/>
      <c r="E619" s="199">
        <v>19500</v>
      </c>
      <c r="F619" s="183">
        <v>975</v>
      </c>
      <c r="G619" s="563">
        <f>E619+F619</f>
        <v>20475</v>
      </c>
      <c r="H619" s="399" t="s">
        <v>9936</v>
      </c>
      <c r="I619" s="398">
        <v>1485</v>
      </c>
      <c r="J619" s="350">
        <v>20475</v>
      </c>
      <c r="K619" s="350"/>
      <c r="L619" s="350"/>
      <c r="M619" s="350">
        <f t="shared" si="57"/>
        <v>20475</v>
      </c>
      <c r="N619" s="351"/>
      <c r="O619" s="351">
        <f t="shared" si="58"/>
        <v>0</v>
      </c>
      <c r="P619" s="564" t="s">
        <v>4396</v>
      </c>
    </row>
    <row r="620" spans="1:18" s="563" customFormat="1">
      <c r="A620" s="183">
        <v>20190214</v>
      </c>
      <c r="B620" s="183" t="s">
        <v>10629</v>
      </c>
      <c r="C620" s="199" t="s">
        <v>9799</v>
      </c>
      <c r="D620" s="617"/>
      <c r="E620" s="199">
        <v>19500</v>
      </c>
      <c r="F620" s="183">
        <v>975</v>
      </c>
      <c r="G620" s="563">
        <f>E620+F620</f>
        <v>20475</v>
      </c>
      <c r="H620" s="399" t="s">
        <v>9770</v>
      </c>
      <c r="I620" s="398">
        <v>1486</v>
      </c>
      <c r="J620" s="350">
        <v>20475</v>
      </c>
      <c r="K620" s="350"/>
      <c r="L620" s="350"/>
      <c r="M620" s="350">
        <f t="shared" si="57"/>
        <v>20475</v>
      </c>
      <c r="N620" s="351"/>
      <c r="O620" s="351">
        <f t="shared" si="58"/>
        <v>0</v>
      </c>
      <c r="P620" s="564" t="s">
        <v>10631</v>
      </c>
      <c r="R620" s="253"/>
    </row>
    <row r="621" spans="1:18" s="563" customFormat="1">
      <c r="A621" s="183">
        <v>20190214</v>
      </c>
      <c r="B621" s="183" t="s">
        <v>10632</v>
      </c>
      <c r="C621" s="199" t="s">
        <v>9799</v>
      </c>
      <c r="D621" s="617"/>
      <c r="E621" s="199">
        <v>19500</v>
      </c>
      <c r="F621" s="183">
        <v>975</v>
      </c>
      <c r="G621" s="563">
        <f>E621+F621</f>
        <v>20475</v>
      </c>
      <c r="H621" s="399" t="s">
        <v>9771</v>
      </c>
      <c r="I621" s="398">
        <v>1487</v>
      </c>
      <c r="J621" s="350">
        <v>20475</v>
      </c>
      <c r="K621" s="350"/>
      <c r="L621" s="350"/>
      <c r="M621" s="350">
        <f t="shared" si="57"/>
        <v>20475</v>
      </c>
      <c r="N621" s="351"/>
      <c r="O621" s="351">
        <f t="shared" si="58"/>
        <v>0</v>
      </c>
      <c r="P621" s="564" t="s">
        <v>4396</v>
      </c>
    </row>
    <row r="622" spans="1:18" s="563" customFormat="1">
      <c r="A622" s="183">
        <v>20190219</v>
      </c>
      <c r="B622" s="183" t="s">
        <v>10633</v>
      </c>
      <c r="C622" s="199" t="s">
        <v>10600</v>
      </c>
      <c r="D622" s="617"/>
      <c r="E622" s="199">
        <v>13500</v>
      </c>
      <c r="F622" s="183">
        <v>675</v>
      </c>
      <c r="G622" s="563">
        <f t="shared" si="56"/>
        <v>14175</v>
      </c>
      <c r="H622" s="399" t="s">
        <v>9725</v>
      </c>
      <c r="I622" s="398" t="s">
        <v>10770</v>
      </c>
      <c r="J622" s="350"/>
      <c r="K622" s="350"/>
      <c r="L622" s="350">
        <v>14165</v>
      </c>
      <c r="M622" s="350">
        <f t="shared" si="57"/>
        <v>14165</v>
      </c>
      <c r="N622" s="351">
        <v>10</v>
      </c>
      <c r="O622" s="351">
        <f t="shared" si="58"/>
        <v>0</v>
      </c>
      <c r="P622" s="564" t="s">
        <v>4340</v>
      </c>
    </row>
    <row r="623" spans="1:18" s="563" customFormat="1">
      <c r="A623" s="183">
        <v>20190304</v>
      </c>
      <c r="B623" s="183" t="s">
        <v>10635</v>
      </c>
      <c r="C623" s="183" t="s">
        <v>4537</v>
      </c>
      <c r="D623" s="617"/>
      <c r="E623" s="183">
        <v>96000</v>
      </c>
      <c r="F623" s="183">
        <v>4800</v>
      </c>
      <c r="G623" s="563">
        <f>E623+F623</f>
        <v>100800</v>
      </c>
      <c r="H623" s="399" t="s">
        <v>9711</v>
      </c>
      <c r="I623" s="398" t="s">
        <v>14765</v>
      </c>
      <c r="J623" s="350">
        <v>100800</v>
      </c>
      <c r="K623" s="350"/>
      <c r="L623" s="350"/>
      <c r="M623" s="350">
        <f t="shared" si="57"/>
        <v>100800</v>
      </c>
      <c r="N623" s="351"/>
      <c r="O623" s="351">
        <f t="shared" si="58"/>
        <v>0</v>
      </c>
      <c r="P623" s="564" t="s">
        <v>10636</v>
      </c>
      <c r="R623" s="253"/>
    </row>
    <row r="624" spans="1:18" s="563" customFormat="1">
      <c r="A624" s="183">
        <v>20190305</v>
      </c>
      <c r="B624" s="183" t="s">
        <v>10637</v>
      </c>
      <c r="C624" s="199" t="s">
        <v>10638</v>
      </c>
      <c r="D624" s="617"/>
      <c r="E624" s="199">
        <v>13500</v>
      </c>
      <c r="F624" s="183">
        <v>675</v>
      </c>
      <c r="G624" s="563">
        <f>E624+F624</f>
        <v>14175</v>
      </c>
      <c r="H624" s="399" t="s">
        <v>9770</v>
      </c>
      <c r="I624" s="398" t="s">
        <v>14766</v>
      </c>
      <c r="J624" s="350"/>
      <c r="K624" s="350"/>
      <c r="L624" s="350">
        <v>14165</v>
      </c>
      <c r="M624" s="350">
        <f t="shared" si="57"/>
        <v>14165</v>
      </c>
      <c r="N624" s="351">
        <v>10</v>
      </c>
      <c r="O624" s="351">
        <f t="shared" si="58"/>
        <v>0</v>
      </c>
      <c r="P624" s="564" t="s">
        <v>10639</v>
      </c>
    </row>
    <row r="625" spans="1:18" s="563" customFormat="1">
      <c r="A625" s="183">
        <v>20190305</v>
      </c>
      <c r="B625" s="183" t="s">
        <v>10640</v>
      </c>
      <c r="C625" s="199" t="s">
        <v>10641</v>
      </c>
      <c r="D625" s="617"/>
      <c r="E625" s="199">
        <v>12600</v>
      </c>
      <c r="F625" s="183">
        <v>630</v>
      </c>
      <c r="G625" s="563">
        <f>E625+F625</f>
        <v>13230</v>
      </c>
      <c r="H625" s="399" t="s">
        <v>9722</v>
      </c>
      <c r="I625" s="398" t="s">
        <v>8926</v>
      </c>
      <c r="J625" s="350"/>
      <c r="K625" s="350"/>
      <c r="L625" s="350">
        <v>13230</v>
      </c>
      <c r="M625" s="350">
        <f t="shared" si="57"/>
        <v>13230</v>
      </c>
      <c r="N625" s="351"/>
      <c r="O625" s="351">
        <f t="shared" si="58"/>
        <v>0</v>
      </c>
      <c r="P625" s="564" t="s">
        <v>4323</v>
      </c>
    </row>
    <row r="626" spans="1:18" s="563" customFormat="1">
      <c r="A626" s="183">
        <v>20190305</v>
      </c>
      <c r="B626" s="183" t="s">
        <v>10642</v>
      </c>
      <c r="C626" s="199" t="s">
        <v>4318</v>
      </c>
      <c r="D626" s="617"/>
      <c r="E626" s="199">
        <v>12857</v>
      </c>
      <c r="F626" s="183">
        <v>643</v>
      </c>
      <c r="G626" s="563">
        <f>E626+F626</f>
        <v>13500</v>
      </c>
      <c r="H626" s="399" t="s">
        <v>9723</v>
      </c>
      <c r="I626" s="398" t="s">
        <v>10765</v>
      </c>
      <c r="J626" s="350"/>
      <c r="K626" s="350"/>
      <c r="L626" s="350">
        <v>13485</v>
      </c>
      <c r="M626" s="350">
        <f t="shared" si="57"/>
        <v>13485</v>
      </c>
      <c r="N626" s="351">
        <v>15</v>
      </c>
      <c r="O626" s="351">
        <f t="shared" si="58"/>
        <v>0</v>
      </c>
      <c r="P626" s="564" t="s">
        <v>4319</v>
      </c>
    </row>
    <row r="627" spans="1:18" s="563" customFormat="1">
      <c r="A627" s="183">
        <v>20190501</v>
      </c>
      <c r="B627" s="183" t="s">
        <v>10643</v>
      </c>
      <c r="C627" s="183" t="s">
        <v>9764</v>
      </c>
      <c r="D627" s="617"/>
      <c r="E627" s="183">
        <v>19500</v>
      </c>
      <c r="F627" s="183">
        <v>975</v>
      </c>
      <c r="G627" s="563">
        <f t="shared" ref="G627:G679" si="59">E627+F627</f>
        <v>20475</v>
      </c>
      <c r="H627" s="399" t="s">
        <v>9725</v>
      </c>
      <c r="I627" s="398">
        <v>1520</v>
      </c>
      <c r="J627" s="350">
        <v>20475</v>
      </c>
      <c r="K627" s="350"/>
      <c r="L627" s="350"/>
      <c r="M627" s="350">
        <f t="shared" si="57"/>
        <v>20475</v>
      </c>
      <c r="N627" s="351"/>
      <c r="O627" s="351">
        <f t="shared" si="58"/>
        <v>0</v>
      </c>
      <c r="P627" s="564" t="s">
        <v>10621</v>
      </c>
      <c r="R627" s="253"/>
    </row>
    <row r="628" spans="1:18" s="563" customFormat="1">
      <c r="A628" s="183">
        <v>20190507</v>
      </c>
      <c r="B628" s="183" t="s">
        <v>10646</v>
      </c>
      <c r="C628" s="199" t="s">
        <v>9727</v>
      </c>
      <c r="D628" s="617"/>
      <c r="E628" s="199">
        <v>19500</v>
      </c>
      <c r="F628" s="183">
        <v>975</v>
      </c>
      <c r="G628" s="563">
        <f t="shared" si="59"/>
        <v>20475</v>
      </c>
      <c r="H628" s="399" t="s">
        <v>9770</v>
      </c>
      <c r="I628" s="398">
        <v>1443</v>
      </c>
      <c r="J628" s="350"/>
      <c r="K628" s="350">
        <v>20475</v>
      </c>
      <c r="L628" s="350"/>
      <c r="M628" s="350">
        <f t="shared" si="57"/>
        <v>20475</v>
      </c>
      <c r="N628" s="351"/>
      <c r="O628" s="351">
        <f t="shared" si="58"/>
        <v>0</v>
      </c>
      <c r="P628" s="564" t="s">
        <v>10594</v>
      </c>
    </row>
    <row r="629" spans="1:18" s="563" customFormat="1">
      <c r="A629" s="183">
        <v>20190507</v>
      </c>
      <c r="B629" s="183" t="s">
        <v>10649</v>
      </c>
      <c r="C629" s="199" t="s">
        <v>9778</v>
      </c>
      <c r="D629" s="617"/>
      <c r="E629" s="199">
        <v>19500</v>
      </c>
      <c r="F629" s="183">
        <v>975</v>
      </c>
      <c r="G629" s="563">
        <f t="shared" si="59"/>
        <v>20475</v>
      </c>
      <c r="H629" s="399" t="s">
        <v>9770</v>
      </c>
      <c r="I629" s="398">
        <v>1459</v>
      </c>
      <c r="J629" s="350"/>
      <c r="K629" s="350">
        <v>20475</v>
      </c>
      <c r="L629" s="350"/>
      <c r="M629" s="350">
        <f t="shared" si="57"/>
        <v>20475</v>
      </c>
      <c r="N629" s="351"/>
      <c r="O629" s="351">
        <f t="shared" si="58"/>
        <v>0</v>
      </c>
      <c r="P629" s="564" t="s">
        <v>10596</v>
      </c>
    </row>
    <row r="630" spans="1:18" s="563" customFormat="1">
      <c r="A630" s="183">
        <v>20190507</v>
      </c>
      <c r="B630" s="183" t="s">
        <v>10652</v>
      </c>
      <c r="C630" s="199" t="s">
        <v>9778</v>
      </c>
      <c r="D630" s="617"/>
      <c r="E630" s="199">
        <v>15600</v>
      </c>
      <c r="F630" s="183">
        <v>780</v>
      </c>
      <c r="G630" s="563">
        <f t="shared" si="59"/>
        <v>16380</v>
      </c>
      <c r="H630" s="399" t="s">
        <v>9770</v>
      </c>
      <c r="I630" s="398">
        <v>1451</v>
      </c>
      <c r="J630" s="350"/>
      <c r="K630" s="350">
        <v>16380</v>
      </c>
      <c r="L630" s="350"/>
      <c r="M630" s="350">
        <f t="shared" si="57"/>
        <v>16380</v>
      </c>
      <c r="N630" s="351"/>
      <c r="O630" s="351">
        <f t="shared" si="58"/>
        <v>0</v>
      </c>
      <c r="P630" s="564" t="s">
        <v>10596</v>
      </c>
    </row>
    <row r="631" spans="1:18" s="563" customFormat="1">
      <c r="A631" s="183">
        <v>20190507</v>
      </c>
      <c r="B631" s="183" t="s">
        <v>10653</v>
      </c>
      <c r="C631" s="199" t="s">
        <v>10597</v>
      </c>
      <c r="D631" s="617"/>
      <c r="E631" s="199">
        <v>19500</v>
      </c>
      <c r="F631" s="183">
        <v>975</v>
      </c>
      <c r="G631" s="563">
        <f t="shared" si="59"/>
        <v>20475</v>
      </c>
      <c r="H631" s="399" t="s">
        <v>9724</v>
      </c>
      <c r="I631" s="398">
        <v>1322</v>
      </c>
      <c r="J631" s="350"/>
      <c r="K631" s="350">
        <v>20475</v>
      </c>
      <c r="L631" s="350"/>
      <c r="M631" s="350">
        <f t="shared" si="57"/>
        <v>20475</v>
      </c>
      <c r="N631" s="351"/>
      <c r="O631" s="351">
        <f t="shared" si="58"/>
        <v>0</v>
      </c>
      <c r="P631" s="564" t="s">
        <v>10598</v>
      </c>
    </row>
    <row r="632" spans="1:18" s="563" customFormat="1">
      <c r="A632" s="183">
        <v>20190507</v>
      </c>
      <c r="B632" s="183" t="s">
        <v>10656</v>
      </c>
      <c r="C632" s="199" t="s">
        <v>10623</v>
      </c>
      <c r="D632" s="617"/>
      <c r="E632" s="199">
        <v>15600</v>
      </c>
      <c r="F632" s="183">
        <v>780</v>
      </c>
      <c r="G632" s="563">
        <f t="shared" si="59"/>
        <v>16380</v>
      </c>
      <c r="H632" s="399" t="s">
        <v>14771</v>
      </c>
      <c r="I632" s="398" t="s">
        <v>10775</v>
      </c>
      <c r="J632" s="350"/>
      <c r="K632" s="350"/>
      <c r="L632" s="398">
        <v>16350</v>
      </c>
      <c r="M632" s="350">
        <f t="shared" si="57"/>
        <v>16350</v>
      </c>
      <c r="N632" s="351">
        <v>30</v>
      </c>
      <c r="O632" s="351">
        <f t="shared" si="58"/>
        <v>0</v>
      </c>
      <c r="P632" s="564" t="s">
        <v>4316</v>
      </c>
    </row>
    <row r="633" spans="1:18" s="563" customFormat="1">
      <c r="A633" s="183">
        <v>20190515</v>
      </c>
      <c r="B633" s="183" t="s">
        <v>10658</v>
      </c>
      <c r="C633" s="199" t="s">
        <v>5189</v>
      </c>
      <c r="D633" s="617"/>
      <c r="E633" s="199">
        <v>102857</v>
      </c>
      <c r="F633" s="183">
        <v>5143</v>
      </c>
      <c r="G633" s="563">
        <f t="shared" si="59"/>
        <v>108000</v>
      </c>
      <c r="H633" s="399" t="s">
        <v>9711</v>
      </c>
      <c r="I633" s="398" t="s">
        <v>14774</v>
      </c>
      <c r="J633" s="350">
        <v>108000</v>
      </c>
      <c r="K633" s="350"/>
      <c r="L633" s="350"/>
      <c r="M633" s="350">
        <f t="shared" si="57"/>
        <v>108000</v>
      </c>
      <c r="N633" s="351"/>
      <c r="O633" s="351">
        <f t="shared" si="58"/>
        <v>0</v>
      </c>
      <c r="P633" s="564" t="s">
        <v>10659</v>
      </c>
    </row>
    <row r="634" spans="1:18" s="563" customFormat="1">
      <c r="A634" s="183">
        <v>20190515</v>
      </c>
      <c r="B634" s="183" t="s">
        <v>10660</v>
      </c>
      <c r="C634" s="199" t="s">
        <v>9598</v>
      </c>
      <c r="D634" s="617"/>
      <c r="E634" s="199">
        <f>4200*12</f>
        <v>50400</v>
      </c>
      <c r="F634" s="183">
        <f>2520/12*12</f>
        <v>2520</v>
      </c>
      <c r="G634" s="563">
        <f t="shared" si="59"/>
        <v>52920</v>
      </c>
      <c r="H634" s="399" t="s">
        <v>16047</v>
      </c>
      <c r="I634" s="621" t="s">
        <v>16055</v>
      </c>
      <c r="J634" s="350"/>
      <c r="K634" s="350"/>
      <c r="L634" s="350">
        <f>39690+4410+4410+4410</f>
        <v>52920</v>
      </c>
      <c r="M634" s="350">
        <f t="shared" si="57"/>
        <v>52920</v>
      </c>
      <c r="N634" s="351"/>
      <c r="O634" s="351">
        <f t="shared" si="58"/>
        <v>0</v>
      </c>
      <c r="P634" s="564" t="s">
        <v>10662</v>
      </c>
      <c r="R634" s="253" t="s">
        <v>14777</v>
      </c>
    </row>
    <row r="635" spans="1:18" s="563" customFormat="1">
      <c r="A635" s="183">
        <v>20190515</v>
      </c>
      <c r="B635" s="183" t="s">
        <v>10663</v>
      </c>
      <c r="C635" s="199" t="s">
        <v>10664</v>
      </c>
      <c r="D635" s="617"/>
      <c r="E635" s="199">
        <v>108000</v>
      </c>
      <c r="F635" s="183">
        <v>5400</v>
      </c>
      <c r="G635" s="563">
        <f t="shared" si="59"/>
        <v>113400</v>
      </c>
      <c r="H635" s="399" t="s">
        <v>9711</v>
      </c>
      <c r="I635" s="398" t="s">
        <v>14778</v>
      </c>
      <c r="J635" s="350">
        <v>113400</v>
      </c>
      <c r="K635" s="350"/>
      <c r="L635" s="350"/>
      <c r="M635" s="350">
        <f t="shared" si="57"/>
        <v>113400</v>
      </c>
      <c r="N635" s="351"/>
      <c r="O635" s="351">
        <f t="shared" si="58"/>
        <v>0</v>
      </c>
      <c r="P635" s="564" t="s">
        <v>10665</v>
      </c>
    </row>
    <row r="636" spans="1:18" s="563" customFormat="1">
      <c r="A636" s="183">
        <v>20190528</v>
      </c>
      <c r="B636" s="183" t="s">
        <v>10666</v>
      </c>
      <c r="C636" s="199" t="s">
        <v>10667</v>
      </c>
      <c r="D636" s="617"/>
      <c r="E636" s="199">
        <v>100800</v>
      </c>
      <c r="F636" s="183">
        <v>5040</v>
      </c>
      <c r="G636" s="563">
        <f t="shared" si="59"/>
        <v>105840</v>
      </c>
      <c r="H636" s="399" t="s">
        <v>9711</v>
      </c>
      <c r="I636" s="398" t="s">
        <v>14779</v>
      </c>
      <c r="J636" s="350">
        <v>105840</v>
      </c>
      <c r="K636" s="350"/>
      <c r="L636" s="350"/>
      <c r="M636" s="350">
        <f t="shared" si="57"/>
        <v>105840</v>
      </c>
      <c r="N636" s="351"/>
      <c r="O636" s="351">
        <f t="shared" si="58"/>
        <v>0</v>
      </c>
      <c r="P636" s="564" t="s">
        <v>10668</v>
      </c>
    </row>
    <row r="637" spans="1:18" s="563" customFormat="1">
      <c r="A637" s="183">
        <v>20190605</v>
      </c>
      <c r="B637" s="183" t="s">
        <v>10669</v>
      </c>
      <c r="C637" s="199" t="s">
        <v>10638</v>
      </c>
      <c r="D637" s="617"/>
      <c r="E637" s="199">
        <v>13500</v>
      </c>
      <c r="F637" s="183">
        <v>675</v>
      </c>
      <c r="G637" s="563">
        <f t="shared" si="59"/>
        <v>14175</v>
      </c>
      <c r="H637" s="399" t="s">
        <v>9771</v>
      </c>
      <c r="I637" s="398" t="s">
        <v>10773</v>
      </c>
      <c r="J637" s="350"/>
      <c r="K637" s="350"/>
      <c r="L637" s="350">
        <v>14165</v>
      </c>
      <c r="M637" s="350">
        <f t="shared" si="57"/>
        <v>14165</v>
      </c>
      <c r="N637" s="351">
        <v>10</v>
      </c>
      <c r="O637" s="351">
        <f t="shared" si="58"/>
        <v>0</v>
      </c>
      <c r="P637" s="564" t="s">
        <v>10639</v>
      </c>
    </row>
    <row r="638" spans="1:18" s="563" customFormat="1">
      <c r="A638" s="183">
        <v>20190605</v>
      </c>
      <c r="B638" s="183" t="s">
        <v>10672</v>
      </c>
      <c r="C638" s="199" t="s">
        <v>10641</v>
      </c>
      <c r="D638" s="617"/>
      <c r="E638" s="199">
        <v>12600</v>
      </c>
      <c r="F638" s="183">
        <v>630</v>
      </c>
      <c r="G638" s="563">
        <f t="shared" si="59"/>
        <v>13230</v>
      </c>
      <c r="H638" s="399" t="s">
        <v>9723</v>
      </c>
      <c r="I638" s="398" t="s">
        <v>10773</v>
      </c>
      <c r="J638" s="350"/>
      <c r="K638" s="350"/>
      <c r="L638" s="350">
        <v>13230</v>
      </c>
      <c r="M638" s="350">
        <f t="shared" si="57"/>
        <v>13230</v>
      </c>
      <c r="N638" s="351"/>
      <c r="O638" s="351">
        <f t="shared" si="58"/>
        <v>0</v>
      </c>
      <c r="P638" s="564" t="s">
        <v>10674</v>
      </c>
      <c r="R638" s="253"/>
    </row>
    <row r="639" spans="1:18" s="563" customFormat="1">
      <c r="A639" s="183">
        <v>20190605</v>
      </c>
      <c r="B639" s="183" t="s">
        <v>10675</v>
      </c>
      <c r="C639" s="199" t="s">
        <v>10676</v>
      </c>
      <c r="D639" s="617"/>
      <c r="E639" s="199">
        <v>12857</v>
      </c>
      <c r="F639" s="183">
        <v>643</v>
      </c>
      <c r="G639" s="563">
        <f t="shared" si="59"/>
        <v>13500</v>
      </c>
      <c r="H639" s="399" t="s">
        <v>9724</v>
      </c>
      <c r="I639" s="398" t="s">
        <v>10778</v>
      </c>
      <c r="J639" s="350"/>
      <c r="K639" s="350"/>
      <c r="L639" s="350">
        <v>13485</v>
      </c>
      <c r="M639" s="350">
        <f t="shared" si="57"/>
        <v>13485</v>
      </c>
      <c r="N639" s="351">
        <v>15</v>
      </c>
      <c r="O639" s="351">
        <f t="shared" si="58"/>
        <v>0</v>
      </c>
      <c r="P639" s="564" t="s">
        <v>10677</v>
      </c>
    </row>
    <row r="640" spans="1:18" s="563" customFormat="1">
      <c r="A640" s="183">
        <v>20190605</v>
      </c>
      <c r="B640" s="183" t="s">
        <v>10678</v>
      </c>
      <c r="C640" s="199" t="s">
        <v>10600</v>
      </c>
      <c r="D640" s="617"/>
      <c r="E640" s="199">
        <v>13500</v>
      </c>
      <c r="F640" s="183">
        <v>675</v>
      </c>
      <c r="G640" s="563">
        <f t="shared" si="59"/>
        <v>14175</v>
      </c>
      <c r="H640" s="399" t="s">
        <v>9936</v>
      </c>
      <c r="I640" s="398" t="s">
        <v>10782</v>
      </c>
      <c r="J640" s="350"/>
      <c r="K640" s="350"/>
      <c r="L640" s="350">
        <v>14165</v>
      </c>
      <c r="M640" s="350">
        <f t="shared" si="57"/>
        <v>14165</v>
      </c>
      <c r="N640" s="351">
        <v>10</v>
      </c>
      <c r="O640" s="351">
        <f t="shared" si="58"/>
        <v>0</v>
      </c>
      <c r="P640" s="564" t="s">
        <v>10601</v>
      </c>
    </row>
    <row r="641" spans="1:18" s="563" customFormat="1">
      <c r="A641" s="183">
        <v>20190611</v>
      </c>
      <c r="B641" s="183" t="s">
        <v>10681</v>
      </c>
      <c r="C641" s="199" t="s">
        <v>456</v>
      </c>
      <c r="D641" s="618"/>
      <c r="E641" s="199">
        <v>12600</v>
      </c>
      <c r="F641" s="183">
        <v>630</v>
      </c>
      <c r="G641" s="563">
        <f t="shared" si="59"/>
        <v>13230</v>
      </c>
      <c r="H641" s="399" t="s">
        <v>9724</v>
      </c>
      <c r="I641" s="398" t="s">
        <v>10773</v>
      </c>
      <c r="J641" s="350"/>
      <c r="K641" s="350"/>
      <c r="L641" s="350">
        <v>13230</v>
      </c>
      <c r="M641" s="350">
        <f t="shared" si="57"/>
        <v>13230</v>
      </c>
      <c r="N641" s="351"/>
      <c r="O641" s="351">
        <f t="shared" si="58"/>
        <v>0</v>
      </c>
      <c r="P641" s="564" t="s">
        <v>4323</v>
      </c>
    </row>
    <row r="642" spans="1:18" s="563" customFormat="1">
      <c r="A642" s="183">
        <v>20190717</v>
      </c>
      <c r="B642" s="183" t="s">
        <v>10682</v>
      </c>
      <c r="C642" s="183" t="s">
        <v>10683</v>
      </c>
      <c r="D642" s="617"/>
      <c r="E642" s="183">
        <v>108000</v>
      </c>
      <c r="F642" s="183">
        <v>5400</v>
      </c>
      <c r="G642" s="563">
        <f t="shared" si="59"/>
        <v>113400</v>
      </c>
      <c r="H642" s="399" t="s">
        <v>9711</v>
      </c>
      <c r="I642" s="398" t="s">
        <v>14786</v>
      </c>
      <c r="J642" s="350">
        <v>113400</v>
      </c>
      <c r="K642" s="350"/>
      <c r="L642" s="350"/>
      <c r="M642" s="350">
        <f t="shared" si="57"/>
        <v>113400</v>
      </c>
      <c r="N642" s="351"/>
      <c r="O642" s="351">
        <f t="shared" si="58"/>
        <v>0</v>
      </c>
      <c r="P642" s="564" t="s">
        <v>10684</v>
      </c>
      <c r="R642" s="253"/>
    </row>
    <row r="643" spans="1:18" s="563" customFormat="1">
      <c r="A643" s="183">
        <v>20190723</v>
      </c>
      <c r="B643" s="183" t="s">
        <v>10685</v>
      </c>
      <c r="C643" s="199" t="s">
        <v>10686</v>
      </c>
      <c r="D643" s="617"/>
      <c r="E643" s="199">
        <v>91200</v>
      </c>
      <c r="F643" s="183">
        <v>4560</v>
      </c>
      <c r="G643" s="563">
        <f t="shared" si="59"/>
        <v>95760</v>
      </c>
      <c r="H643" s="399" t="s">
        <v>9711</v>
      </c>
      <c r="I643" s="398" t="s">
        <v>14787</v>
      </c>
      <c r="J643" s="350">
        <v>95760</v>
      </c>
      <c r="K643" s="350"/>
      <c r="L643" s="350"/>
      <c r="M643" s="350">
        <f t="shared" si="57"/>
        <v>95760</v>
      </c>
      <c r="N643" s="351"/>
      <c r="O643" s="351">
        <f t="shared" si="58"/>
        <v>0</v>
      </c>
      <c r="P643" s="564" t="s">
        <v>10687</v>
      </c>
    </row>
    <row r="644" spans="1:18" s="747" customFormat="1">
      <c r="A644" s="745"/>
      <c r="B644" s="745" t="s">
        <v>10688</v>
      </c>
      <c r="C644" s="745" t="s">
        <v>10689</v>
      </c>
      <c r="D644" s="746"/>
      <c r="E644" s="745"/>
      <c r="F644" s="745"/>
      <c r="G644" s="747">
        <f t="shared" si="59"/>
        <v>0</v>
      </c>
      <c r="H644" s="753"/>
      <c r="I644" s="754"/>
      <c r="J644" s="749"/>
      <c r="K644" s="749"/>
      <c r="L644" s="749"/>
      <c r="M644" s="749">
        <f t="shared" si="57"/>
        <v>0</v>
      </c>
      <c r="N644" s="749"/>
      <c r="O644" s="749">
        <f t="shared" si="58"/>
        <v>0</v>
      </c>
      <c r="P644" s="750"/>
    </row>
    <row r="645" spans="1:18" s="563" customFormat="1">
      <c r="A645" s="183">
        <v>20190805</v>
      </c>
      <c r="B645" s="183" t="s">
        <v>10690</v>
      </c>
      <c r="C645" s="199" t="s">
        <v>9727</v>
      </c>
      <c r="D645" s="617"/>
      <c r="E645" s="199">
        <v>19500</v>
      </c>
      <c r="F645" s="183">
        <v>975</v>
      </c>
      <c r="G645" s="563">
        <f t="shared" si="59"/>
        <v>20475</v>
      </c>
      <c r="H645" s="399" t="s">
        <v>9771</v>
      </c>
      <c r="I645" s="398">
        <v>1444</v>
      </c>
      <c r="J645" s="350"/>
      <c r="K645" s="350">
        <v>20475</v>
      </c>
      <c r="L645" s="350"/>
      <c r="M645" s="350">
        <f t="shared" si="57"/>
        <v>20475</v>
      </c>
      <c r="N645" s="351"/>
      <c r="O645" s="351">
        <f t="shared" si="58"/>
        <v>0</v>
      </c>
      <c r="P645" s="564" t="s">
        <v>10594</v>
      </c>
    </row>
    <row r="646" spans="1:18" s="563" customFormat="1">
      <c r="A646" s="183">
        <v>20190805</v>
      </c>
      <c r="B646" s="183" t="s">
        <v>10693</v>
      </c>
      <c r="C646" s="199" t="s">
        <v>9778</v>
      </c>
      <c r="D646" s="617"/>
      <c r="E646" s="199">
        <v>19500</v>
      </c>
      <c r="F646" s="183">
        <v>975</v>
      </c>
      <c r="G646" s="563">
        <f t="shared" si="59"/>
        <v>20475</v>
      </c>
      <c r="H646" s="399" t="s">
        <v>9771</v>
      </c>
      <c r="I646" s="398">
        <v>1460</v>
      </c>
      <c r="J646" s="350"/>
      <c r="K646" s="350">
        <v>20475</v>
      </c>
      <c r="L646" s="350"/>
      <c r="M646" s="350">
        <f t="shared" si="57"/>
        <v>20475</v>
      </c>
      <c r="N646" s="351"/>
      <c r="O646" s="351">
        <f t="shared" si="58"/>
        <v>0</v>
      </c>
      <c r="P646" s="564" t="s">
        <v>10596</v>
      </c>
    </row>
    <row r="647" spans="1:18" s="563" customFormat="1">
      <c r="A647" s="183">
        <v>20190805</v>
      </c>
      <c r="B647" s="183" t="s">
        <v>10696</v>
      </c>
      <c r="C647" s="199" t="s">
        <v>9778</v>
      </c>
      <c r="D647" s="617"/>
      <c r="E647" s="199">
        <v>15600</v>
      </c>
      <c r="F647" s="183">
        <v>780</v>
      </c>
      <c r="G647" s="563">
        <f t="shared" si="59"/>
        <v>16380</v>
      </c>
      <c r="H647" s="399" t="s">
        <v>9771</v>
      </c>
      <c r="I647" s="398">
        <v>1452</v>
      </c>
      <c r="J647" s="350"/>
      <c r="K647" s="350">
        <v>16380</v>
      </c>
      <c r="L647" s="350"/>
      <c r="M647" s="350">
        <f t="shared" si="57"/>
        <v>16380</v>
      </c>
      <c r="N647" s="351"/>
      <c r="O647" s="351">
        <f t="shared" si="58"/>
        <v>0</v>
      </c>
      <c r="P647" s="564" t="s">
        <v>10596</v>
      </c>
    </row>
    <row r="648" spans="1:18" s="563" customFormat="1">
      <c r="A648" s="183">
        <v>20190805</v>
      </c>
      <c r="B648" s="183" t="s">
        <v>10697</v>
      </c>
      <c r="C648" s="199" t="s">
        <v>9764</v>
      </c>
      <c r="D648" s="617"/>
      <c r="E648" s="199">
        <v>19500</v>
      </c>
      <c r="F648" s="183">
        <v>975</v>
      </c>
      <c r="G648" s="563">
        <f t="shared" si="59"/>
        <v>20475</v>
      </c>
      <c r="H648" s="399" t="s">
        <v>9936</v>
      </c>
      <c r="I648" s="398">
        <v>1542</v>
      </c>
      <c r="J648" s="350">
        <v>20475</v>
      </c>
      <c r="K648" s="350"/>
      <c r="L648" s="350"/>
      <c r="M648" s="350">
        <f t="shared" si="57"/>
        <v>20475</v>
      </c>
      <c r="N648" s="351"/>
      <c r="O648" s="351">
        <f t="shared" si="58"/>
        <v>0</v>
      </c>
      <c r="P648" s="564" t="s">
        <v>10621</v>
      </c>
    </row>
    <row r="649" spans="1:18" s="563" customFormat="1">
      <c r="A649" s="183">
        <v>20190805</v>
      </c>
      <c r="B649" s="183" t="s">
        <v>10700</v>
      </c>
      <c r="C649" s="199" t="s">
        <v>10623</v>
      </c>
      <c r="D649" s="617"/>
      <c r="E649" s="199">
        <v>15600</v>
      </c>
      <c r="F649" s="183">
        <v>780</v>
      </c>
      <c r="G649" s="563">
        <f t="shared" si="59"/>
        <v>16380</v>
      </c>
      <c r="H649" s="399" t="s">
        <v>14789</v>
      </c>
      <c r="I649" s="398" t="s">
        <v>10790</v>
      </c>
      <c r="J649" s="350"/>
      <c r="K649" s="350"/>
      <c r="L649" s="350">
        <v>16350</v>
      </c>
      <c r="M649" s="350">
        <f t="shared" si="57"/>
        <v>16350</v>
      </c>
      <c r="N649" s="351">
        <v>30</v>
      </c>
      <c r="O649" s="351">
        <f t="shared" si="58"/>
        <v>0</v>
      </c>
      <c r="P649" s="564" t="s">
        <v>10599</v>
      </c>
    </row>
    <row r="650" spans="1:18" s="563" customFormat="1">
      <c r="A650" s="183">
        <v>20190814</v>
      </c>
      <c r="B650" s="183" t="s">
        <v>10703</v>
      </c>
      <c r="C650" s="199" t="s">
        <v>10597</v>
      </c>
      <c r="D650" s="617"/>
      <c r="E650" s="199">
        <v>19500</v>
      </c>
      <c r="F650" s="183">
        <v>975</v>
      </c>
      <c r="G650" s="563">
        <f t="shared" si="59"/>
        <v>20475</v>
      </c>
      <c r="H650" s="399" t="s">
        <v>9725</v>
      </c>
      <c r="I650" s="398">
        <v>1529</v>
      </c>
      <c r="J650" s="350">
        <v>20475</v>
      </c>
      <c r="K650" s="350"/>
      <c r="L650" s="350"/>
      <c r="M650" s="350">
        <f t="shared" si="57"/>
        <v>20475</v>
      </c>
      <c r="N650" s="351"/>
      <c r="O650" s="351">
        <f t="shared" si="58"/>
        <v>0</v>
      </c>
      <c r="P650" s="564" t="s">
        <v>10598</v>
      </c>
    </row>
    <row r="651" spans="1:18" s="563" customFormat="1">
      <c r="A651" s="183">
        <v>20190816</v>
      </c>
      <c r="B651" s="183" t="s">
        <v>10706</v>
      </c>
      <c r="C651" s="199" t="s">
        <v>9764</v>
      </c>
      <c r="D651" s="617"/>
      <c r="E651" s="199">
        <v>114286</v>
      </c>
      <c r="F651" s="183">
        <v>5714</v>
      </c>
      <c r="G651" s="563">
        <f t="shared" si="59"/>
        <v>120000</v>
      </c>
      <c r="H651" s="399"/>
      <c r="I651" s="398">
        <v>1549</v>
      </c>
      <c r="J651" s="350">
        <v>120000</v>
      </c>
      <c r="K651" s="350"/>
      <c r="L651" s="350"/>
      <c r="M651" s="350">
        <f t="shared" si="57"/>
        <v>120000</v>
      </c>
      <c r="N651" s="351"/>
      <c r="O651" s="351">
        <f t="shared" si="58"/>
        <v>0</v>
      </c>
      <c r="P651" s="564" t="s">
        <v>10621</v>
      </c>
    </row>
    <row r="652" spans="1:18" s="563" customFormat="1">
      <c r="A652" s="183">
        <v>20190903</v>
      </c>
      <c r="B652" s="183" t="s">
        <v>10707</v>
      </c>
      <c r="C652" s="183" t="s">
        <v>9727</v>
      </c>
      <c r="D652" s="617"/>
      <c r="E652" s="183">
        <v>80000</v>
      </c>
      <c r="F652" s="183">
        <v>4000</v>
      </c>
      <c r="G652" s="563">
        <f t="shared" si="59"/>
        <v>84000</v>
      </c>
      <c r="H652" s="399"/>
      <c r="I652" s="398" t="s">
        <v>10787</v>
      </c>
      <c r="J652" s="350"/>
      <c r="K652" s="350"/>
      <c r="L652" s="350">
        <v>84000</v>
      </c>
      <c r="M652" s="350">
        <f t="shared" si="57"/>
        <v>84000</v>
      </c>
      <c r="N652" s="351"/>
      <c r="O652" s="351">
        <f t="shared" si="58"/>
        <v>0</v>
      </c>
      <c r="P652" s="564" t="s">
        <v>10594</v>
      </c>
      <c r="R652" s="253"/>
    </row>
    <row r="653" spans="1:18" s="563" customFormat="1">
      <c r="A653" s="183">
        <v>20190903</v>
      </c>
      <c r="B653" s="183" t="s">
        <v>10708</v>
      </c>
      <c r="C653" s="199" t="s">
        <v>9778</v>
      </c>
      <c r="D653" s="617"/>
      <c r="E653" s="199">
        <v>80000</v>
      </c>
      <c r="F653" s="183">
        <v>4000</v>
      </c>
      <c r="G653" s="563">
        <f t="shared" si="59"/>
        <v>84000</v>
      </c>
      <c r="H653" s="399"/>
      <c r="I653" s="398" t="s">
        <v>10785</v>
      </c>
      <c r="J653" s="350"/>
      <c r="K653" s="350"/>
      <c r="L653" s="350">
        <v>84000</v>
      </c>
      <c r="M653" s="350">
        <f t="shared" si="57"/>
        <v>84000</v>
      </c>
      <c r="N653" s="351"/>
      <c r="O653" s="351">
        <f t="shared" si="58"/>
        <v>0</v>
      </c>
      <c r="P653" s="564" t="s">
        <v>10596</v>
      </c>
    </row>
    <row r="654" spans="1:18" s="563" customFormat="1">
      <c r="A654" s="183">
        <v>20190916</v>
      </c>
      <c r="B654" s="183" t="s">
        <v>10710</v>
      </c>
      <c r="C654" s="199" t="s">
        <v>10638</v>
      </c>
      <c r="D654" s="617"/>
      <c r="E654" s="199">
        <v>13500</v>
      </c>
      <c r="F654" s="183">
        <v>675</v>
      </c>
      <c r="G654" s="563">
        <f t="shared" si="59"/>
        <v>14175</v>
      </c>
      <c r="H654" s="399" t="s">
        <v>9776</v>
      </c>
      <c r="I654" s="398" t="s">
        <v>10791</v>
      </c>
      <c r="J654" s="350"/>
      <c r="K654" s="350"/>
      <c r="L654" s="350">
        <v>14165</v>
      </c>
      <c r="M654" s="350">
        <f t="shared" si="57"/>
        <v>14165</v>
      </c>
      <c r="N654" s="351">
        <v>10</v>
      </c>
      <c r="O654" s="351">
        <f t="shared" si="58"/>
        <v>0</v>
      </c>
      <c r="P654" s="564" t="s">
        <v>10639</v>
      </c>
    </row>
    <row r="655" spans="1:18" s="563" customFormat="1">
      <c r="A655" s="183">
        <v>20190916</v>
      </c>
      <c r="B655" s="183" t="s">
        <v>10713</v>
      </c>
      <c r="C655" s="199" t="s">
        <v>10600</v>
      </c>
      <c r="D655" s="617"/>
      <c r="E655" s="199">
        <v>13500</v>
      </c>
      <c r="F655" s="183">
        <v>675</v>
      </c>
      <c r="G655" s="563">
        <f t="shared" si="59"/>
        <v>14175</v>
      </c>
      <c r="H655" s="399" t="s">
        <v>9770</v>
      </c>
      <c r="I655" s="398" t="s">
        <v>10798</v>
      </c>
      <c r="J655" s="350"/>
      <c r="K655" s="350"/>
      <c r="L655" s="350">
        <v>14165</v>
      </c>
      <c r="M655" s="350">
        <f t="shared" si="57"/>
        <v>14165</v>
      </c>
      <c r="N655" s="351">
        <v>10</v>
      </c>
      <c r="O655" s="351">
        <f t="shared" si="58"/>
        <v>0</v>
      </c>
      <c r="P655" s="564" t="s">
        <v>10601</v>
      </c>
    </row>
    <row r="656" spans="1:18" s="563" customFormat="1">
      <c r="A656" s="183">
        <v>20190916</v>
      </c>
      <c r="B656" s="183" t="s">
        <v>10715</v>
      </c>
      <c r="C656" s="199" t="s">
        <v>10716</v>
      </c>
      <c r="D656" s="617"/>
      <c r="E656" s="199">
        <v>43200</v>
      </c>
      <c r="F656" s="183">
        <v>2160</v>
      </c>
      <c r="G656" s="563">
        <f t="shared" si="59"/>
        <v>45360</v>
      </c>
      <c r="H656" s="399" t="s">
        <v>14795</v>
      </c>
      <c r="I656" s="398" t="s">
        <v>10784</v>
      </c>
      <c r="J656" s="350"/>
      <c r="K656" s="350"/>
      <c r="L656" s="350">
        <v>45360</v>
      </c>
      <c r="M656" s="350">
        <f t="shared" si="57"/>
        <v>45360</v>
      </c>
      <c r="N656" s="351"/>
      <c r="O656" s="351">
        <f t="shared" si="58"/>
        <v>0</v>
      </c>
      <c r="P656" s="564" t="s">
        <v>10717</v>
      </c>
    </row>
    <row r="657" spans="1:18" s="563" customFormat="1">
      <c r="A657" s="183">
        <v>20190924</v>
      </c>
      <c r="B657" s="183" t="s">
        <v>10718</v>
      </c>
      <c r="C657" s="199" t="s">
        <v>10719</v>
      </c>
      <c r="D657" s="617"/>
      <c r="E657" s="199">
        <v>21600</v>
      </c>
      <c r="F657" s="183">
        <v>1080</v>
      </c>
      <c r="G657" s="563">
        <f t="shared" si="59"/>
        <v>22680</v>
      </c>
      <c r="H657" s="399" t="s">
        <v>11061</v>
      </c>
      <c r="I657" s="398">
        <v>1550</v>
      </c>
      <c r="J657" s="350">
        <v>22680</v>
      </c>
      <c r="K657" s="350"/>
      <c r="L657" s="350"/>
      <c r="M657" s="350">
        <f t="shared" si="57"/>
        <v>22680</v>
      </c>
      <c r="N657" s="351"/>
      <c r="O657" s="351">
        <f t="shared" si="58"/>
        <v>0</v>
      </c>
      <c r="P657" s="564" t="s">
        <v>5203</v>
      </c>
      <c r="R657" s="253" t="s">
        <v>14798</v>
      </c>
    </row>
    <row r="658" spans="1:18" s="563" customFormat="1">
      <c r="A658" s="183">
        <v>20191101</v>
      </c>
      <c r="B658" s="183" t="s">
        <v>10720</v>
      </c>
      <c r="C658" s="183" t="s">
        <v>10721</v>
      </c>
      <c r="D658" s="617"/>
      <c r="E658" s="183">
        <v>108000</v>
      </c>
      <c r="F658" s="183">
        <v>5400</v>
      </c>
      <c r="G658" s="563">
        <f t="shared" si="59"/>
        <v>113400</v>
      </c>
      <c r="H658" s="399" t="s">
        <v>9711</v>
      </c>
      <c r="I658" s="398" t="s">
        <v>14800</v>
      </c>
      <c r="J658" s="350">
        <v>113400</v>
      </c>
      <c r="K658" s="350"/>
      <c r="L658" s="350"/>
      <c r="M658" s="350">
        <f t="shared" si="57"/>
        <v>113400</v>
      </c>
      <c r="N658" s="351"/>
      <c r="O658" s="351">
        <f t="shared" si="58"/>
        <v>0</v>
      </c>
      <c r="P658" s="564" t="s">
        <v>10722</v>
      </c>
      <c r="R658" s="253"/>
    </row>
    <row r="659" spans="1:18" s="747" customFormat="1">
      <c r="A659" s="745"/>
      <c r="B659" s="745" t="s">
        <v>10723</v>
      </c>
      <c r="C659" s="745" t="s">
        <v>10689</v>
      </c>
      <c r="D659" s="746"/>
      <c r="E659" s="745"/>
      <c r="F659" s="745"/>
      <c r="H659" s="753"/>
      <c r="I659" s="754"/>
      <c r="J659" s="749"/>
      <c r="K659" s="749"/>
      <c r="L659" s="749"/>
      <c r="M659" s="749">
        <f t="shared" si="57"/>
        <v>0</v>
      </c>
      <c r="N659" s="749"/>
      <c r="O659" s="749">
        <f t="shared" si="58"/>
        <v>0</v>
      </c>
      <c r="P659" s="750"/>
    </row>
    <row r="660" spans="1:18" s="747" customFormat="1">
      <c r="A660" s="745"/>
      <c r="B660" s="745" t="s">
        <v>10724</v>
      </c>
      <c r="C660" s="745" t="s">
        <v>10689</v>
      </c>
      <c r="D660" s="746"/>
      <c r="E660" s="745"/>
      <c r="F660" s="745"/>
      <c r="H660" s="753"/>
      <c r="I660" s="754"/>
      <c r="J660" s="749"/>
      <c r="K660" s="749"/>
      <c r="L660" s="749"/>
      <c r="M660" s="749">
        <f t="shared" si="57"/>
        <v>0</v>
      </c>
      <c r="N660" s="749"/>
      <c r="O660" s="749">
        <f t="shared" si="58"/>
        <v>0</v>
      </c>
      <c r="P660" s="750"/>
    </row>
    <row r="661" spans="1:18" s="563" customFormat="1">
      <c r="A661" s="183">
        <v>20191101</v>
      </c>
      <c r="B661" s="183" t="s">
        <v>10725</v>
      </c>
      <c r="C661" s="199" t="s">
        <v>10641</v>
      </c>
      <c r="D661" s="617"/>
      <c r="E661" s="199">
        <v>12600</v>
      </c>
      <c r="F661" s="183">
        <v>630</v>
      </c>
      <c r="G661" s="563">
        <f t="shared" si="59"/>
        <v>13230</v>
      </c>
      <c r="H661" s="399" t="s">
        <v>9725</v>
      </c>
      <c r="I661" s="398" t="s">
        <v>14746</v>
      </c>
      <c r="J661" s="350"/>
      <c r="K661" s="350"/>
      <c r="L661" s="350">
        <v>13230</v>
      </c>
      <c r="M661" s="350">
        <f t="shared" si="57"/>
        <v>13230</v>
      </c>
      <c r="N661" s="351"/>
      <c r="O661" s="351">
        <f t="shared" si="58"/>
        <v>0</v>
      </c>
      <c r="P661" s="564" t="s">
        <v>4323</v>
      </c>
    </row>
    <row r="662" spans="1:18" s="563" customFormat="1">
      <c r="A662" s="183">
        <v>20191101</v>
      </c>
      <c r="B662" s="183" t="s">
        <v>10726</v>
      </c>
      <c r="C662" s="199" t="s">
        <v>9727</v>
      </c>
      <c r="D662" s="617"/>
      <c r="E662" s="199">
        <v>108000</v>
      </c>
      <c r="F662" s="183">
        <v>5400</v>
      </c>
      <c r="G662" s="563">
        <f t="shared" si="59"/>
        <v>113400</v>
      </c>
      <c r="H662" s="399"/>
      <c r="I662" s="398" t="s">
        <v>16057</v>
      </c>
      <c r="J662" s="350"/>
      <c r="K662" s="350"/>
      <c r="L662" s="350">
        <v>113390</v>
      </c>
      <c r="M662" s="350">
        <f t="shared" si="57"/>
        <v>113390</v>
      </c>
      <c r="N662" s="351">
        <v>10</v>
      </c>
      <c r="O662" s="351">
        <f t="shared" si="58"/>
        <v>0</v>
      </c>
      <c r="P662" s="564" t="s">
        <v>10594</v>
      </c>
    </row>
    <row r="663" spans="1:18" s="563" customFormat="1">
      <c r="A663" s="183">
        <v>20191101</v>
      </c>
      <c r="B663" s="183" t="s">
        <v>10727</v>
      </c>
      <c r="C663" s="199" t="s">
        <v>9778</v>
      </c>
      <c r="D663" s="617"/>
      <c r="E663" s="199">
        <v>108000</v>
      </c>
      <c r="F663" s="183">
        <v>5400</v>
      </c>
      <c r="G663" s="563">
        <f t="shared" si="59"/>
        <v>113400</v>
      </c>
      <c r="H663" s="399"/>
      <c r="I663" s="398" t="s">
        <v>10797</v>
      </c>
      <c r="J663" s="350"/>
      <c r="K663" s="350"/>
      <c r="L663" s="350">
        <v>113390</v>
      </c>
      <c r="M663" s="350">
        <f t="shared" si="57"/>
        <v>113390</v>
      </c>
      <c r="N663" s="351">
        <v>10</v>
      </c>
      <c r="O663" s="351">
        <f t="shared" si="58"/>
        <v>0</v>
      </c>
      <c r="P663" s="564" t="s">
        <v>10596</v>
      </c>
    </row>
    <row r="664" spans="1:18" s="563" customFormat="1">
      <c r="A664" s="183">
        <v>20191101</v>
      </c>
      <c r="B664" s="183" t="s">
        <v>10728</v>
      </c>
      <c r="C664" s="199" t="s">
        <v>10597</v>
      </c>
      <c r="D664" s="617"/>
      <c r="E664" s="199">
        <v>72000</v>
      </c>
      <c r="F664" s="183">
        <v>3600</v>
      </c>
      <c r="G664" s="563">
        <f t="shared" si="59"/>
        <v>75600</v>
      </c>
      <c r="H664" s="399"/>
      <c r="I664" s="398" t="s">
        <v>10794</v>
      </c>
      <c r="J664" s="350"/>
      <c r="K664" s="350"/>
      <c r="L664" s="350">
        <v>75600</v>
      </c>
      <c r="M664" s="350">
        <f t="shared" si="57"/>
        <v>75600</v>
      </c>
      <c r="N664" s="351"/>
      <c r="O664" s="351">
        <f t="shared" si="58"/>
        <v>0</v>
      </c>
      <c r="P664" s="564" t="s">
        <v>10598</v>
      </c>
    </row>
    <row r="665" spans="1:18" s="563" customFormat="1">
      <c r="A665" s="183">
        <v>20191111</v>
      </c>
      <c r="B665" s="183" t="s">
        <v>10729</v>
      </c>
      <c r="C665" s="199" t="s">
        <v>10730</v>
      </c>
      <c r="D665" s="617"/>
      <c r="E665" s="199">
        <v>108000</v>
      </c>
      <c r="F665" s="183">
        <v>5400</v>
      </c>
      <c r="G665" s="563">
        <f t="shared" si="59"/>
        <v>113400</v>
      </c>
      <c r="H665" s="399" t="s">
        <v>9711</v>
      </c>
      <c r="I665" s="398" t="s">
        <v>14804</v>
      </c>
      <c r="J665" s="350">
        <v>113400</v>
      </c>
      <c r="K665" s="350"/>
      <c r="L665" s="350"/>
      <c r="M665" s="350">
        <f t="shared" si="57"/>
        <v>113400</v>
      </c>
      <c r="N665" s="351"/>
      <c r="O665" s="351">
        <f t="shared" si="58"/>
        <v>0</v>
      </c>
      <c r="P665" s="564" t="s">
        <v>10731</v>
      </c>
    </row>
    <row r="666" spans="1:18" s="563" customFormat="1">
      <c r="A666" s="183">
        <v>20191118</v>
      </c>
      <c r="B666" s="183" t="s">
        <v>10732</v>
      </c>
      <c r="C666" s="199" t="s">
        <v>10600</v>
      </c>
      <c r="D666" s="617"/>
      <c r="E666" s="199">
        <v>13500</v>
      </c>
      <c r="F666" s="183">
        <v>675</v>
      </c>
      <c r="G666" s="563">
        <f t="shared" si="59"/>
        <v>14175</v>
      </c>
      <c r="H666" s="399" t="s">
        <v>9771</v>
      </c>
      <c r="I666" s="398" t="s">
        <v>16058</v>
      </c>
      <c r="J666" s="350"/>
      <c r="K666" s="350"/>
      <c r="L666" s="350">
        <v>14165</v>
      </c>
      <c r="M666" s="350">
        <f t="shared" si="57"/>
        <v>14165</v>
      </c>
      <c r="N666" s="351">
        <v>10</v>
      </c>
      <c r="O666" s="351">
        <f t="shared" si="58"/>
        <v>0</v>
      </c>
      <c r="P666" s="564" t="s">
        <v>10601</v>
      </c>
    </row>
    <row r="667" spans="1:18" s="563" customFormat="1">
      <c r="A667" s="183">
        <v>20191118</v>
      </c>
      <c r="B667" s="183" t="s">
        <v>10733</v>
      </c>
      <c r="C667" s="199" t="s">
        <v>4315</v>
      </c>
      <c r="D667" s="617"/>
      <c r="E667" s="199">
        <v>15600</v>
      </c>
      <c r="F667" s="183">
        <v>780</v>
      </c>
      <c r="G667" s="563">
        <f t="shared" si="59"/>
        <v>16380</v>
      </c>
      <c r="H667" s="399" t="s">
        <v>14809</v>
      </c>
      <c r="I667" s="398" t="s">
        <v>16059</v>
      </c>
      <c r="J667" s="350"/>
      <c r="K667" s="350"/>
      <c r="L667" s="350">
        <v>16350</v>
      </c>
      <c r="M667" s="350">
        <f t="shared" si="57"/>
        <v>16350</v>
      </c>
      <c r="N667" s="351">
        <v>30</v>
      </c>
      <c r="O667" s="351">
        <f t="shared" si="58"/>
        <v>0</v>
      </c>
      <c r="P667" s="564" t="s">
        <v>10599</v>
      </c>
    </row>
    <row r="668" spans="1:18" s="563" customFormat="1">
      <c r="A668" s="183">
        <v>20191125</v>
      </c>
      <c r="B668" s="183" t="s">
        <v>10734</v>
      </c>
      <c r="C668" s="199" t="s">
        <v>9727</v>
      </c>
      <c r="D668" s="617"/>
      <c r="E668" s="199">
        <v>19500</v>
      </c>
      <c r="F668" s="183">
        <v>975</v>
      </c>
      <c r="G668" s="563">
        <f t="shared" si="59"/>
        <v>20475</v>
      </c>
      <c r="H668" s="399" t="s">
        <v>9776</v>
      </c>
      <c r="I668" s="398">
        <v>1445</v>
      </c>
      <c r="J668" s="350"/>
      <c r="K668" s="350">
        <v>20475</v>
      </c>
      <c r="L668" s="350"/>
      <c r="M668" s="350">
        <f t="shared" si="57"/>
        <v>20475</v>
      </c>
      <c r="N668" s="351"/>
      <c r="O668" s="351">
        <f t="shared" si="58"/>
        <v>0</v>
      </c>
      <c r="P668" s="564" t="s">
        <v>10594</v>
      </c>
    </row>
    <row r="669" spans="1:18" s="563" customFormat="1">
      <c r="A669" s="183">
        <v>20191125</v>
      </c>
      <c r="B669" s="183" t="s">
        <v>10735</v>
      </c>
      <c r="C669" s="199" t="s">
        <v>9778</v>
      </c>
      <c r="D669" s="617"/>
      <c r="E669" s="199">
        <v>19500</v>
      </c>
      <c r="F669" s="183">
        <v>975</v>
      </c>
      <c r="G669" s="563">
        <f t="shared" si="59"/>
        <v>20475</v>
      </c>
      <c r="H669" s="399" t="s">
        <v>9776</v>
      </c>
      <c r="I669" s="398">
        <v>1461</v>
      </c>
      <c r="J669" s="350"/>
      <c r="K669" s="350">
        <v>20475</v>
      </c>
      <c r="L669" s="350"/>
      <c r="M669" s="350">
        <f t="shared" si="57"/>
        <v>20475</v>
      </c>
      <c r="N669" s="351"/>
      <c r="O669" s="351">
        <f t="shared" si="58"/>
        <v>0</v>
      </c>
      <c r="P669" s="564" t="s">
        <v>10596</v>
      </c>
      <c r="R669" s="253"/>
    </row>
    <row r="670" spans="1:18" s="563" customFormat="1">
      <c r="A670" s="183">
        <v>20191125</v>
      </c>
      <c r="B670" s="183" t="s">
        <v>10736</v>
      </c>
      <c r="C670" s="199" t="s">
        <v>4000</v>
      </c>
      <c r="D670" s="617"/>
      <c r="E670" s="199">
        <v>15600</v>
      </c>
      <c r="F670" s="183">
        <v>780</v>
      </c>
      <c r="G670" s="563">
        <f t="shared" si="59"/>
        <v>16380</v>
      </c>
      <c r="H670" s="399" t="s">
        <v>9776</v>
      </c>
      <c r="I670" s="398">
        <v>1453</v>
      </c>
      <c r="J670" s="350"/>
      <c r="K670" s="350">
        <v>16380</v>
      </c>
      <c r="L670" s="350"/>
      <c r="M670" s="350">
        <f t="shared" si="57"/>
        <v>16380</v>
      </c>
      <c r="N670" s="351"/>
      <c r="O670" s="351">
        <f t="shared" si="58"/>
        <v>0</v>
      </c>
      <c r="P670" s="564" t="s">
        <v>10596</v>
      </c>
    </row>
    <row r="671" spans="1:18" s="563" customFormat="1">
      <c r="A671" s="183">
        <v>20191125</v>
      </c>
      <c r="B671" s="183" t="s">
        <v>10737</v>
      </c>
      <c r="C671" s="199" t="s">
        <v>10597</v>
      </c>
      <c r="D671" s="617"/>
      <c r="E671" s="199">
        <v>19500</v>
      </c>
      <c r="F671" s="183">
        <v>975</v>
      </c>
      <c r="G671" s="563">
        <f t="shared" si="59"/>
        <v>20475</v>
      </c>
      <c r="H671" s="399" t="s">
        <v>9936</v>
      </c>
      <c r="I671" s="398">
        <v>1530</v>
      </c>
      <c r="J671" s="350">
        <v>20475</v>
      </c>
      <c r="K671" s="350"/>
      <c r="L671" s="350"/>
      <c r="M671" s="350">
        <f t="shared" si="57"/>
        <v>20475</v>
      </c>
      <c r="N671" s="351"/>
      <c r="O671" s="351">
        <f t="shared" si="58"/>
        <v>0</v>
      </c>
      <c r="P671" s="564" t="s">
        <v>10598</v>
      </c>
    </row>
    <row r="672" spans="1:18" s="563" customFormat="1">
      <c r="A672" s="183">
        <v>20191125</v>
      </c>
      <c r="B672" s="183" t="s">
        <v>10738</v>
      </c>
      <c r="C672" s="199" t="s">
        <v>5208</v>
      </c>
      <c r="D672" s="618"/>
      <c r="E672" s="199">
        <v>19500</v>
      </c>
      <c r="F672" s="183">
        <v>975</v>
      </c>
      <c r="G672" s="563">
        <f t="shared" si="59"/>
        <v>20475</v>
      </c>
      <c r="H672" s="399" t="s">
        <v>9770</v>
      </c>
      <c r="I672" s="398">
        <v>1543</v>
      </c>
      <c r="J672" s="350">
        <v>20475</v>
      </c>
      <c r="K672" s="350"/>
      <c r="L672" s="350"/>
      <c r="M672" s="350">
        <f t="shared" si="57"/>
        <v>20475</v>
      </c>
      <c r="N672" s="351"/>
      <c r="O672" s="351">
        <f t="shared" si="58"/>
        <v>0</v>
      </c>
      <c r="P672" s="564" t="s">
        <v>10621</v>
      </c>
    </row>
    <row r="673" spans="1:16" s="563" customFormat="1">
      <c r="A673" s="183">
        <v>20191204</v>
      </c>
      <c r="B673" s="183" t="s">
        <v>10740</v>
      </c>
      <c r="C673" s="199" t="s">
        <v>9799</v>
      </c>
      <c r="D673" s="618"/>
      <c r="E673" s="199">
        <v>19500</v>
      </c>
      <c r="F673" s="183">
        <v>975</v>
      </c>
      <c r="G673" s="563">
        <f t="shared" si="59"/>
        <v>20475</v>
      </c>
      <c r="H673" s="399" t="s">
        <v>9776</v>
      </c>
      <c r="I673" s="398">
        <v>1583</v>
      </c>
      <c r="J673" s="350">
        <v>20475</v>
      </c>
      <c r="K673" s="350"/>
      <c r="L673" s="350"/>
      <c r="M673" s="350">
        <f t="shared" si="57"/>
        <v>20475</v>
      </c>
      <c r="N673" s="351"/>
      <c r="O673" s="351">
        <f t="shared" si="58"/>
        <v>0</v>
      </c>
      <c r="P673" s="564" t="s">
        <v>4396</v>
      </c>
    </row>
    <row r="674" spans="1:16" s="563" customFormat="1">
      <c r="A674" s="183">
        <v>20191204</v>
      </c>
      <c r="B674" s="183" t="s">
        <v>10741</v>
      </c>
      <c r="C674" s="199" t="s">
        <v>4271</v>
      </c>
      <c r="D674" s="618"/>
      <c r="E674" s="199">
        <v>19500</v>
      </c>
      <c r="F674" s="183">
        <v>975</v>
      </c>
      <c r="G674" s="563">
        <f t="shared" si="59"/>
        <v>20475</v>
      </c>
      <c r="H674" s="399" t="s">
        <v>9722</v>
      </c>
      <c r="I674" s="398">
        <v>1584</v>
      </c>
      <c r="J674" s="350">
        <v>20475</v>
      </c>
      <c r="K674" s="350"/>
      <c r="L674" s="350"/>
      <c r="M674" s="350">
        <f t="shared" ref="M674:M679" si="60">J674+K674+L674</f>
        <v>20475</v>
      </c>
      <c r="N674" s="351"/>
      <c r="O674" s="351">
        <f t="shared" ref="O674:O679" si="61">G674-M674-N674</f>
        <v>0</v>
      </c>
      <c r="P674" s="564" t="s">
        <v>10631</v>
      </c>
    </row>
    <row r="675" spans="1:16" s="563" customFormat="1">
      <c r="A675" s="183">
        <v>20191204</v>
      </c>
      <c r="B675" s="183" t="s">
        <v>10742</v>
      </c>
      <c r="C675" s="199" t="s">
        <v>9799</v>
      </c>
      <c r="D675" s="618"/>
      <c r="E675" s="199">
        <v>19500</v>
      </c>
      <c r="F675" s="183">
        <v>975</v>
      </c>
      <c r="G675" s="563">
        <f t="shared" si="59"/>
        <v>20475</v>
      </c>
      <c r="H675" s="399" t="s">
        <v>9723</v>
      </c>
      <c r="I675" s="398">
        <v>1585</v>
      </c>
      <c r="J675" s="350">
        <v>20475</v>
      </c>
      <c r="K675" s="350"/>
      <c r="L675" s="350"/>
      <c r="M675" s="350">
        <f t="shared" si="60"/>
        <v>20475</v>
      </c>
      <c r="N675" s="351"/>
      <c r="O675" s="351">
        <f t="shared" si="61"/>
        <v>0</v>
      </c>
      <c r="P675" s="564" t="s">
        <v>10631</v>
      </c>
    </row>
    <row r="676" spans="1:16" s="563" customFormat="1">
      <c r="A676" s="183">
        <v>20191204</v>
      </c>
      <c r="B676" s="183" t="s">
        <v>10745</v>
      </c>
      <c r="C676" s="199" t="s">
        <v>9799</v>
      </c>
      <c r="E676" s="199">
        <v>19500</v>
      </c>
      <c r="F676" s="183">
        <v>975</v>
      </c>
      <c r="G676" s="563">
        <f t="shared" si="59"/>
        <v>20475</v>
      </c>
      <c r="H676" s="399" t="s">
        <v>9724</v>
      </c>
      <c r="I676" s="398">
        <v>1586</v>
      </c>
      <c r="J676" s="350">
        <v>20475</v>
      </c>
      <c r="K676" s="350"/>
      <c r="L676" s="350"/>
      <c r="M676" s="350">
        <f t="shared" si="60"/>
        <v>20475</v>
      </c>
      <c r="N676" s="351"/>
      <c r="O676" s="351">
        <f t="shared" si="61"/>
        <v>0</v>
      </c>
      <c r="P676" s="564" t="s">
        <v>10631</v>
      </c>
    </row>
    <row r="677" spans="1:16" s="563" customFormat="1">
      <c r="A677" s="563">
        <v>20191204</v>
      </c>
      <c r="B677" s="183" t="s">
        <v>10746</v>
      </c>
      <c r="C677" s="253" t="s">
        <v>10638</v>
      </c>
      <c r="E677" s="563">
        <v>13500</v>
      </c>
      <c r="F677" s="563">
        <v>675</v>
      </c>
      <c r="G677" s="563">
        <f t="shared" si="59"/>
        <v>14175</v>
      </c>
      <c r="H677" s="399" t="s">
        <v>9722</v>
      </c>
      <c r="I677" s="398" t="s">
        <v>9937</v>
      </c>
      <c r="J677" s="350"/>
      <c r="K677" s="350"/>
      <c r="L677" s="350">
        <v>14165</v>
      </c>
      <c r="M677" s="350">
        <f t="shared" si="60"/>
        <v>14165</v>
      </c>
      <c r="N677" s="351">
        <v>10</v>
      </c>
      <c r="O677" s="351">
        <f t="shared" si="61"/>
        <v>0</v>
      </c>
      <c r="P677" s="564" t="s">
        <v>10639</v>
      </c>
    </row>
    <row r="678" spans="1:16" s="563" customFormat="1">
      <c r="A678" s="563">
        <v>20191217</v>
      </c>
      <c r="B678" s="183" t="s">
        <v>10747</v>
      </c>
      <c r="C678" s="253" t="s">
        <v>10748</v>
      </c>
      <c r="E678" s="563">
        <v>86400</v>
      </c>
      <c r="F678" s="563">
        <v>4320</v>
      </c>
      <c r="G678" s="563">
        <f t="shared" si="59"/>
        <v>90720</v>
      </c>
      <c r="H678" s="399" t="s">
        <v>9711</v>
      </c>
      <c r="I678" s="398" t="s">
        <v>18982</v>
      </c>
      <c r="J678" s="350">
        <v>86400</v>
      </c>
      <c r="K678" s="350"/>
      <c r="L678" s="350"/>
      <c r="M678" s="350">
        <f t="shared" si="60"/>
        <v>86400</v>
      </c>
      <c r="N678" s="351"/>
      <c r="O678" s="626">
        <f t="shared" si="61"/>
        <v>4320</v>
      </c>
      <c r="P678" s="564" t="s">
        <v>10749</v>
      </c>
    </row>
    <row r="679" spans="1:16" s="563" customFormat="1">
      <c r="A679" s="563">
        <v>20191224</v>
      </c>
      <c r="B679" s="183" t="s">
        <v>10750</v>
      </c>
      <c r="C679" s="253" t="s">
        <v>10751</v>
      </c>
      <c r="E679" s="563">
        <v>86400</v>
      </c>
      <c r="F679" s="563">
        <v>4320</v>
      </c>
      <c r="G679" s="563">
        <f t="shared" si="59"/>
        <v>90720</v>
      </c>
      <c r="H679" s="399" t="s">
        <v>9711</v>
      </c>
      <c r="I679" s="398" t="s">
        <v>18983</v>
      </c>
      <c r="J679" s="350">
        <v>90720</v>
      </c>
      <c r="K679" s="350"/>
      <c r="L679" s="350"/>
      <c r="M679" s="350">
        <f t="shared" si="60"/>
        <v>90720</v>
      </c>
      <c r="N679" s="351"/>
      <c r="O679" s="351">
        <f t="shared" si="61"/>
        <v>0</v>
      </c>
      <c r="P679" s="564" t="s">
        <v>10752</v>
      </c>
    </row>
    <row r="680" spans="1:16">
      <c r="H680" s="749"/>
      <c r="I680" s="749"/>
      <c r="J680" s="749"/>
      <c r="K680" s="749"/>
      <c r="L680" s="749"/>
      <c r="M680" s="749"/>
    </row>
    <row r="681" spans="1:16">
      <c r="H681" s="749"/>
      <c r="I681" s="749"/>
      <c r="J681" s="749"/>
      <c r="K681" s="749"/>
      <c r="L681" s="749"/>
      <c r="M681" s="749"/>
    </row>
    <row r="682" spans="1:16">
      <c r="H682" s="749"/>
      <c r="I682" s="749"/>
      <c r="J682" s="749"/>
      <c r="K682" s="749"/>
      <c r="L682" s="749"/>
      <c r="M682" s="749"/>
    </row>
    <row r="683" spans="1:16">
      <c r="H683" s="749"/>
      <c r="I683" s="749"/>
      <c r="J683" s="749"/>
      <c r="K683" s="749"/>
      <c r="L683" s="749"/>
      <c r="M683" s="749"/>
    </row>
    <row r="684" spans="1:16" s="347" customFormat="1">
      <c r="A684" s="401" t="s">
        <v>16023</v>
      </c>
      <c r="D684" s="348" t="s">
        <v>2377</v>
      </c>
      <c r="E684" s="376">
        <f>SUM(E685:E746)</f>
        <v>2768257</v>
      </c>
      <c r="F684" s="376">
        <f>SUM(F685:F746)</f>
        <v>138413</v>
      </c>
      <c r="G684" s="376">
        <f>SUM(G685:G746)</f>
        <v>2906670</v>
      </c>
      <c r="H684" s="349"/>
      <c r="I684" s="383"/>
      <c r="J684" s="376">
        <f t="shared" ref="J684:O684" si="62">SUM(J685:J746)</f>
        <v>1544205</v>
      </c>
      <c r="K684" s="376">
        <f t="shared" si="62"/>
        <v>315315</v>
      </c>
      <c r="L684" s="376">
        <f t="shared" si="62"/>
        <v>805447</v>
      </c>
      <c r="M684" s="376">
        <f t="shared" si="62"/>
        <v>2664967</v>
      </c>
      <c r="N684" s="376">
        <f t="shared" si="62"/>
        <v>143</v>
      </c>
      <c r="O684" s="376">
        <f t="shared" si="62"/>
        <v>241560</v>
      </c>
      <c r="P684" s="376">
        <f>G684-M684-N684-O684</f>
        <v>0</v>
      </c>
    </row>
    <row r="685" spans="1:16" s="827" customFormat="1">
      <c r="A685" s="183">
        <v>20200204</v>
      </c>
      <c r="B685" s="183" t="s">
        <v>15883</v>
      </c>
      <c r="C685" s="183" t="s">
        <v>9882</v>
      </c>
      <c r="D685" s="826"/>
      <c r="E685" s="183">
        <v>102857</v>
      </c>
      <c r="F685" s="183">
        <v>5143</v>
      </c>
      <c r="G685" s="827">
        <f t="shared" ref="G685:G694" si="63">E685+F685</f>
        <v>108000</v>
      </c>
      <c r="H685" s="830" t="s">
        <v>14749</v>
      </c>
      <c r="I685" s="829" t="s">
        <v>18984</v>
      </c>
      <c r="K685" s="177"/>
      <c r="L685" s="827">
        <v>108000</v>
      </c>
      <c r="M685" s="350">
        <f t="shared" ref="M685:M746" si="64">J685+K685+L685</f>
        <v>108000</v>
      </c>
      <c r="O685" s="351">
        <f t="shared" ref="O685:O746" si="65">G685-M685-N685</f>
        <v>0</v>
      </c>
      <c r="P685" s="828" t="s">
        <v>15884</v>
      </c>
    </row>
    <row r="686" spans="1:16" s="827" customFormat="1">
      <c r="A686" s="183">
        <v>20200204</v>
      </c>
      <c r="B686" s="183" t="s">
        <v>15885</v>
      </c>
      <c r="C686" s="199" t="s">
        <v>9727</v>
      </c>
      <c r="D686" s="826"/>
      <c r="E686" s="199">
        <v>19500</v>
      </c>
      <c r="F686" s="183">
        <v>975</v>
      </c>
      <c r="G686" s="827">
        <f t="shared" si="63"/>
        <v>20475</v>
      </c>
      <c r="H686" s="830" t="s">
        <v>9722</v>
      </c>
      <c r="I686" s="866">
        <v>1446</v>
      </c>
      <c r="K686" s="827">
        <v>20475</v>
      </c>
      <c r="M686" s="350">
        <f t="shared" si="64"/>
        <v>20475</v>
      </c>
      <c r="O686" s="351">
        <f t="shared" si="65"/>
        <v>0</v>
      </c>
      <c r="P686" s="828" t="s">
        <v>10594</v>
      </c>
    </row>
    <row r="687" spans="1:16" s="827" customFormat="1">
      <c r="A687" s="183">
        <v>20200204</v>
      </c>
      <c r="B687" s="183" t="s">
        <v>15886</v>
      </c>
      <c r="C687" s="199" t="s">
        <v>9778</v>
      </c>
      <c r="D687" s="826"/>
      <c r="E687" s="199">
        <v>19500</v>
      </c>
      <c r="F687" s="183">
        <v>975</v>
      </c>
      <c r="G687" s="827">
        <f t="shared" si="63"/>
        <v>20475</v>
      </c>
      <c r="H687" s="830" t="s">
        <v>16035</v>
      </c>
      <c r="I687" s="866">
        <v>1462</v>
      </c>
      <c r="K687" s="827">
        <v>20475</v>
      </c>
      <c r="M687" s="350">
        <f t="shared" si="64"/>
        <v>20475</v>
      </c>
      <c r="O687" s="351">
        <f t="shared" si="65"/>
        <v>0</v>
      </c>
      <c r="P687" s="828" t="s">
        <v>10596</v>
      </c>
    </row>
    <row r="688" spans="1:16" s="827" customFormat="1">
      <c r="A688" s="183">
        <v>20200204</v>
      </c>
      <c r="B688" s="183" t="s">
        <v>15887</v>
      </c>
      <c r="C688" s="199" t="s">
        <v>9778</v>
      </c>
      <c r="D688" s="826"/>
      <c r="E688" s="199">
        <v>15600</v>
      </c>
      <c r="F688" s="183">
        <v>780</v>
      </c>
      <c r="G688" s="827">
        <f t="shared" si="63"/>
        <v>16380</v>
      </c>
      <c r="H688" s="830" t="s">
        <v>16036</v>
      </c>
      <c r="I688" s="866">
        <v>1454</v>
      </c>
      <c r="K688" s="827">
        <v>16380</v>
      </c>
      <c r="M688" s="350">
        <f t="shared" si="64"/>
        <v>16380</v>
      </c>
      <c r="O688" s="351">
        <f t="shared" si="65"/>
        <v>0</v>
      </c>
      <c r="P688" s="828" t="s">
        <v>10596</v>
      </c>
    </row>
    <row r="689" spans="1:16" s="827" customFormat="1">
      <c r="A689" s="183">
        <v>20200204</v>
      </c>
      <c r="B689" s="183" t="s">
        <v>15888</v>
      </c>
      <c r="C689" s="199" t="s">
        <v>10597</v>
      </c>
      <c r="D689" s="826"/>
      <c r="E689" s="199">
        <v>19500</v>
      </c>
      <c r="F689" s="183">
        <v>975</v>
      </c>
      <c r="G689" s="827">
        <f t="shared" si="63"/>
        <v>20475</v>
      </c>
      <c r="H689" s="830" t="s">
        <v>16031</v>
      </c>
      <c r="I689" s="866">
        <v>1531</v>
      </c>
      <c r="K689" s="827">
        <v>20475</v>
      </c>
      <c r="M689" s="350">
        <f t="shared" si="64"/>
        <v>20475</v>
      </c>
      <c r="O689" s="351">
        <f t="shared" si="65"/>
        <v>0</v>
      </c>
      <c r="P689" s="828" t="s">
        <v>10598</v>
      </c>
    </row>
    <row r="690" spans="1:16" s="827" customFormat="1">
      <c r="A690" s="183">
        <v>20200204</v>
      </c>
      <c r="B690" s="183" t="s">
        <v>15889</v>
      </c>
      <c r="C690" s="199" t="s">
        <v>9764</v>
      </c>
      <c r="D690" s="826"/>
      <c r="E690" s="199">
        <v>19500</v>
      </c>
      <c r="F690" s="183">
        <v>975</v>
      </c>
      <c r="G690" s="827">
        <f t="shared" si="63"/>
        <v>20475</v>
      </c>
      <c r="H690" s="830" t="s">
        <v>9771</v>
      </c>
      <c r="I690" s="866">
        <v>1544</v>
      </c>
      <c r="K690" s="827">
        <v>20475</v>
      </c>
      <c r="M690" s="350">
        <f t="shared" si="64"/>
        <v>20475</v>
      </c>
      <c r="O690" s="351">
        <f t="shared" si="65"/>
        <v>0</v>
      </c>
      <c r="P690" s="828" t="s">
        <v>10621</v>
      </c>
    </row>
    <row r="691" spans="1:16" s="827" customFormat="1">
      <c r="A691" s="183">
        <v>20200204</v>
      </c>
      <c r="B691" s="183" t="s">
        <v>15890</v>
      </c>
      <c r="C691" s="199" t="s">
        <v>10641</v>
      </c>
      <c r="D691" s="826"/>
      <c r="E691" s="199">
        <v>12600</v>
      </c>
      <c r="F691" s="183">
        <v>630</v>
      </c>
      <c r="G691" s="827">
        <f t="shared" si="63"/>
        <v>13230</v>
      </c>
      <c r="H691" s="830" t="s">
        <v>9936</v>
      </c>
      <c r="I691" s="829" t="s">
        <v>16032</v>
      </c>
      <c r="L691" s="827">
        <v>13230</v>
      </c>
      <c r="M691" s="350">
        <f t="shared" si="64"/>
        <v>13230</v>
      </c>
      <c r="O691" s="351">
        <f t="shared" si="65"/>
        <v>0</v>
      </c>
      <c r="P691" s="828" t="s">
        <v>10674</v>
      </c>
    </row>
    <row r="692" spans="1:16" s="827" customFormat="1">
      <c r="A692" s="183">
        <v>20200210</v>
      </c>
      <c r="B692" s="183" t="s">
        <v>15891</v>
      </c>
      <c r="C692" s="199" t="s">
        <v>9746</v>
      </c>
      <c r="D692" s="826"/>
      <c r="E692" s="199">
        <v>108000</v>
      </c>
      <c r="F692" s="183">
        <v>5400</v>
      </c>
      <c r="G692" s="827">
        <f t="shared" si="63"/>
        <v>113400</v>
      </c>
      <c r="H692" s="830" t="s">
        <v>14749</v>
      </c>
      <c r="I692" s="829" t="s">
        <v>18985</v>
      </c>
      <c r="J692" s="827">
        <v>113400</v>
      </c>
      <c r="M692" s="350">
        <f t="shared" si="64"/>
        <v>113400</v>
      </c>
      <c r="O692" s="351">
        <f t="shared" si="65"/>
        <v>0</v>
      </c>
      <c r="P692" s="828" t="s">
        <v>15892</v>
      </c>
    </row>
    <row r="693" spans="1:16" s="827" customFormat="1">
      <c r="A693" s="183">
        <v>20200210</v>
      </c>
      <c r="B693" s="183" t="s">
        <v>15893</v>
      </c>
      <c r="C693" s="199" t="s">
        <v>10676</v>
      </c>
      <c r="D693" s="826"/>
      <c r="E693" s="199">
        <v>12857</v>
      </c>
      <c r="F693" s="183">
        <v>643</v>
      </c>
      <c r="G693" s="827">
        <f t="shared" si="63"/>
        <v>13500</v>
      </c>
      <c r="H693" s="830" t="s">
        <v>9725</v>
      </c>
      <c r="I693" s="829" t="s">
        <v>16038</v>
      </c>
      <c r="L693" s="827">
        <v>13485</v>
      </c>
      <c r="M693" s="350">
        <f t="shared" si="64"/>
        <v>13485</v>
      </c>
      <c r="N693" s="827">
        <v>15</v>
      </c>
      <c r="O693" s="351">
        <f t="shared" si="65"/>
        <v>0</v>
      </c>
      <c r="P693" s="828" t="s">
        <v>10677</v>
      </c>
    </row>
    <row r="694" spans="1:16" s="827" customFormat="1">
      <c r="A694" s="183">
        <v>20200210</v>
      </c>
      <c r="B694" s="183" t="s">
        <v>15894</v>
      </c>
      <c r="C694" s="199" t="s">
        <v>15895</v>
      </c>
      <c r="D694" s="826"/>
      <c r="E694" s="199">
        <v>86857</v>
      </c>
      <c r="F694" s="183">
        <v>4343</v>
      </c>
      <c r="G694" s="827">
        <f t="shared" si="63"/>
        <v>91200</v>
      </c>
      <c r="H694" s="830" t="s">
        <v>14749</v>
      </c>
      <c r="I694" s="829" t="s">
        <v>18986</v>
      </c>
      <c r="J694" s="827">
        <v>91200</v>
      </c>
      <c r="M694" s="350">
        <f t="shared" si="64"/>
        <v>91200</v>
      </c>
      <c r="O694" s="351">
        <f t="shared" si="65"/>
        <v>0</v>
      </c>
      <c r="P694" s="828" t="s">
        <v>15896</v>
      </c>
    </row>
    <row r="695" spans="1:16" s="827" customFormat="1">
      <c r="A695" s="183">
        <v>20200302</v>
      </c>
      <c r="B695" s="183" t="s">
        <v>15897</v>
      </c>
      <c r="C695" s="183" t="s">
        <v>15898</v>
      </c>
      <c r="D695" s="826"/>
      <c r="E695" s="183">
        <v>132000</v>
      </c>
      <c r="F695" s="183">
        <v>6600</v>
      </c>
      <c r="G695" s="827">
        <f>E695+F695</f>
        <v>138600</v>
      </c>
      <c r="H695" s="830" t="s">
        <v>16024</v>
      </c>
      <c r="I695" s="829" t="s">
        <v>18987</v>
      </c>
      <c r="J695" s="827">
        <v>138600</v>
      </c>
      <c r="K695" s="177"/>
      <c r="M695" s="350">
        <f t="shared" si="64"/>
        <v>138600</v>
      </c>
      <c r="O695" s="351">
        <f t="shared" si="65"/>
        <v>0</v>
      </c>
      <c r="P695" s="828" t="s">
        <v>15899</v>
      </c>
    </row>
    <row r="696" spans="1:16" s="827" customFormat="1">
      <c r="A696" s="183">
        <v>20200302</v>
      </c>
      <c r="B696" s="183" t="s">
        <v>15900</v>
      </c>
      <c r="C696" s="199" t="s">
        <v>15901</v>
      </c>
      <c r="D696" s="826"/>
      <c r="E696" s="199">
        <v>13500</v>
      </c>
      <c r="F696" s="183">
        <v>675</v>
      </c>
      <c r="G696" s="827">
        <f>E696+F696</f>
        <v>14175</v>
      </c>
      <c r="H696" s="830" t="s">
        <v>9723</v>
      </c>
      <c r="I696" s="829" t="s">
        <v>18988</v>
      </c>
      <c r="L696" s="827">
        <v>14165</v>
      </c>
      <c r="M696" s="350">
        <f t="shared" si="64"/>
        <v>14165</v>
      </c>
      <c r="N696" s="827">
        <v>10</v>
      </c>
      <c r="O696" s="351">
        <f t="shared" si="65"/>
        <v>0</v>
      </c>
      <c r="P696" s="828" t="s">
        <v>15902</v>
      </c>
    </row>
    <row r="697" spans="1:16" s="827" customFormat="1">
      <c r="A697" s="183">
        <v>20200302</v>
      </c>
      <c r="B697" s="183" t="s">
        <v>15903</v>
      </c>
      <c r="C697" s="199" t="s">
        <v>15904</v>
      </c>
      <c r="D697" s="826"/>
      <c r="E697" s="199">
        <v>13500</v>
      </c>
      <c r="F697" s="183">
        <v>675</v>
      </c>
      <c r="G697" s="827">
        <f>E697+F697</f>
        <v>14175</v>
      </c>
      <c r="H697" s="830" t="s">
        <v>16041</v>
      </c>
      <c r="I697" s="829" t="s">
        <v>16042</v>
      </c>
      <c r="L697" s="827">
        <v>14165</v>
      </c>
      <c r="M697" s="350">
        <f t="shared" si="64"/>
        <v>14165</v>
      </c>
      <c r="N697" s="827">
        <v>10</v>
      </c>
      <c r="O697" s="351">
        <f t="shared" si="65"/>
        <v>0</v>
      </c>
      <c r="P697" s="828" t="s">
        <v>15905</v>
      </c>
    </row>
    <row r="698" spans="1:16" s="827" customFormat="1">
      <c r="A698" s="183">
        <v>20200406</v>
      </c>
      <c r="B698" s="183" t="s">
        <v>15906</v>
      </c>
      <c r="C698" s="199" t="s">
        <v>15907</v>
      </c>
      <c r="D698" s="826"/>
      <c r="E698" s="199">
        <v>5400</v>
      </c>
      <c r="F698" s="183">
        <v>270</v>
      </c>
      <c r="G698" s="827">
        <f>E698+F698</f>
        <v>5670</v>
      </c>
      <c r="H698" s="830" t="s">
        <v>18989</v>
      </c>
      <c r="I698" s="866">
        <v>1611</v>
      </c>
      <c r="J698" s="827">
        <v>5670</v>
      </c>
      <c r="M698" s="350">
        <f t="shared" si="64"/>
        <v>5670</v>
      </c>
      <c r="O698" s="351">
        <f t="shared" si="65"/>
        <v>0</v>
      </c>
      <c r="P698" s="828" t="s">
        <v>15908</v>
      </c>
    </row>
    <row r="699" spans="1:16" s="827" customFormat="1">
      <c r="A699" s="183">
        <v>20200406</v>
      </c>
      <c r="B699" s="183" t="s">
        <v>15909</v>
      </c>
      <c r="C699" s="199" t="s">
        <v>15907</v>
      </c>
      <c r="D699" s="826"/>
      <c r="E699" s="199">
        <v>81000</v>
      </c>
      <c r="F699" s="183">
        <v>4050</v>
      </c>
      <c r="G699" s="827">
        <f>E699+F699</f>
        <v>85050</v>
      </c>
      <c r="H699" s="830" t="s">
        <v>18990</v>
      </c>
      <c r="I699" s="829" t="s">
        <v>18991</v>
      </c>
      <c r="J699" s="827">
        <v>85050</v>
      </c>
      <c r="M699" s="350">
        <f t="shared" si="64"/>
        <v>85050</v>
      </c>
      <c r="O699" s="351">
        <f t="shared" si="65"/>
        <v>0</v>
      </c>
      <c r="P699" s="828" t="s">
        <v>15910</v>
      </c>
    </row>
    <row r="700" spans="1:16" s="827" customFormat="1">
      <c r="A700" s="183">
        <v>20200511</v>
      </c>
      <c r="B700" s="183" t="s">
        <v>15911</v>
      </c>
      <c r="C700" s="183" t="s">
        <v>15912</v>
      </c>
      <c r="D700" s="826"/>
      <c r="E700" s="183">
        <v>19500</v>
      </c>
      <c r="F700" s="183">
        <v>975</v>
      </c>
      <c r="G700" s="827">
        <f t="shared" ref="G700:G709" si="66">E700+F700</f>
        <v>20475</v>
      </c>
      <c r="H700" s="830" t="s">
        <v>9723</v>
      </c>
      <c r="I700" s="866">
        <v>1447</v>
      </c>
      <c r="K700" s="177">
        <v>20475</v>
      </c>
      <c r="M700" s="350">
        <f t="shared" si="64"/>
        <v>20475</v>
      </c>
      <c r="O700" s="351">
        <f t="shared" si="65"/>
        <v>0</v>
      </c>
      <c r="P700" s="828" t="s">
        <v>15913</v>
      </c>
    </row>
    <row r="701" spans="1:16" s="827" customFormat="1">
      <c r="A701" s="183">
        <v>20200511</v>
      </c>
      <c r="B701" s="183" t="s">
        <v>15914</v>
      </c>
      <c r="C701" s="199" t="s">
        <v>15915</v>
      </c>
      <c r="D701" s="826"/>
      <c r="E701" s="199">
        <v>19500</v>
      </c>
      <c r="F701" s="183">
        <v>975</v>
      </c>
      <c r="G701" s="827">
        <f t="shared" si="66"/>
        <v>20475</v>
      </c>
      <c r="H701" s="830" t="s">
        <v>9723</v>
      </c>
      <c r="I701" s="866">
        <v>1463</v>
      </c>
      <c r="K701" s="827">
        <v>20475</v>
      </c>
      <c r="M701" s="350">
        <f t="shared" si="64"/>
        <v>20475</v>
      </c>
      <c r="O701" s="351">
        <f t="shared" si="65"/>
        <v>0</v>
      </c>
      <c r="P701" s="828" t="s">
        <v>15916</v>
      </c>
    </row>
    <row r="702" spans="1:16" s="827" customFormat="1">
      <c r="A702" s="183">
        <v>20200511</v>
      </c>
      <c r="B702" s="183" t="s">
        <v>15917</v>
      </c>
      <c r="C702" s="199" t="s">
        <v>15915</v>
      </c>
      <c r="D702" s="826"/>
      <c r="E702" s="199">
        <v>15600</v>
      </c>
      <c r="F702" s="183">
        <v>780</v>
      </c>
      <c r="G702" s="827">
        <f t="shared" si="66"/>
        <v>16380</v>
      </c>
      <c r="H702" s="830" t="s">
        <v>9723</v>
      </c>
      <c r="I702" s="866">
        <v>1455</v>
      </c>
      <c r="K702" s="827">
        <v>16380</v>
      </c>
      <c r="M702" s="350">
        <f t="shared" si="64"/>
        <v>16380</v>
      </c>
      <c r="O702" s="351">
        <f t="shared" si="65"/>
        <v>0</v>
      </c>
      <c r="P702" s="828" t="s">
        <v>10596</v>
      </c>
    </row>
    <row r="703" spans="1:16" s="827" customFormat="1">
      <c r="A703" s="183">
        <v>20200511</v>
      </c>
      <c r="B703" s="183" t="s">
        <v>15918</v>
      </c>
      <c r="C703" s="199" t="s">
        <v>15919</v>
      </c>
      <c r="D703" s="826"/>
      <c r="E703" s="199">
        <v>19500</v>
      </c>
      <c r="F703" s="183">
        <v>975</v>
      </c>
      <c r="G703" s="827">
        <f t="shared" si="66"/>
        <v>20475</v>
      </c>
      <c r="H703" s="830" t="s">
        <v>9771</v>
      </c>
      <c r="I703" s="866">
        <v>1532</v>
      </c>
      <c r="K703" s="827">
        <v>20475</v>
      </c>
      <c r="M703" s="350">
        <f t="shared" si="64"/>
        <v>20475</v>
      </c>
      <c r="O703" s="351">
        <f t="shared" si="65"/>
        <v>0</v>
      </c>
      <c r="P703" s="828" t="s">
        <v>15920</v>
      </c>
    </row>
    <row r="704" spans="1:16" s="827" customFormat="1">
      <c r="A704" s="183">
        <v>20200511</v>
      </c>
      <c r="B704" s="183" t="s">
        <v>15921</v>
      </c>
      <c r="C704" s="199" t="s">
        <v>15922</v>
      </c>
      <c r="D704" s="826"/>
      <c r="E704" s="199">
        <v>19500</v>
      </c>
      <c r="F704" s="183">
        <v>975</v>
      </c>
      <c r="G704" s="827">
        <f t="shared" si="66"/>
        <v>20475</v>
      </c>
      <c r="H704" s="830" t="s">
        <v>9776</v>
      </c>
      <c r="I704" s="866">
        <v>1545</v>
      </c>
      <c r="K704" s="827">
        <v>20475</v>
      </c>
      <c r="M704" s="350">
        <f t="shared" si="64"/>
        <v>20475</v>
      </c>
      <c r="O704" s="351">
        <f t="shared" si="65"/>
        <v>0</v>
      </c>
      <c r="P704" s="828" t="s">
        <v>15923</v>
      </c>
    </row>
    <row r="705" spans="1:16" s="827" customFormat="1">
      <c r="A705" s="183">
        <v>20200511</v>
      </c>
      <c r="B705" s="183" t="s">
        <v>15924</v>
      </c>
      <c r="C705" s="199" t="s">
        <v>15925</v>
      </c>
      <c r="D705" s="826"/>
      <c r="E705" s="199">
        <v>12857</v>
      </c>
      <c r="F705" s="183">
        <v>643</v>
      </c>
      <c r="G705" s="827">
        <f t="shared" si="66"/>
        <v>13500</v>
      </c>
      <c r="H705" s="830" t="s">
        <v>9936</v>
      </c>
      <c r="I705" s="829" t="s">
        <v>16039</v>
      </c>
      <c r="L705" s="827">
        <v>13487</v>
      </c>
      <c r="M705" s="350">
        <f t="shared" si="64"/>
        <v>13487</v>
      </c>
      <c r="N705" s="827">
        <v>13</v>
      </c>
      <c r="O705" s="351">
        <f t="shared" si="65"/>
        <v>0</v>
      </c>
      <c r="P705" s="828" t="s">
        <v>15926</v>
      </c>
    </row>
    <row r="706" spans="1:16" s="827" customFormat="1">
      <c r="A706" s="183">
        <v>20200511</v>
      </c>
      <c r="B706" s="183" t="s">
        <v>15927</v>
      </c>
      <c r="C706" s="199" t="s">
        <v>15928</v>
      </c>
      <c r="D706" s="826"/>
      <c r="E706" s="199">
        <v>50400</v>
      </c>
      <c r="F706" s="183">
        <v>2520</v>
      </c>
      <c r="G706" s="827">
        <f t="shared" si="66"/>
        <v>52920</v>
      </c>
      <c r="H706" s="830" t="s">
        <v>9637</v>
      </c>
      <c r="I706" s="829" t="s">
        <v>16056</v>
      </c>
      <c r="L706" s="827">
        <f>4410+4410+4410+4410+4410+4410+4410+4410+4410</f>
        <v>39690</v>
      </c>
      <c r="M706" s="350">
        <f t="shared" si="64"/>
        <v>39690</v>
      </c>
      <c r="O706" s="351">
        <f t="shared" si="65"/>
        <v>13230</v>
      </c>
      <c r="P706" s="828" t="s">
        <v>15929</v>
      </c>
    </row>
    <row r="707" spans="1:16" s="827" customFormat="1">
      <c r="A707" s="183">
        <v>20200511</v>
      </c>
      <c r="B707" s="183" t="s">
        <v>15930</v>
      </c>
      <c r="C707" s="199" t="s">
        <v>15931</v>
      </c>
      <c r="D707" s="826"/>
      <c r="E707" s="199">
        <v>12600</v>
      </c>
      <c r="F707" s="183">
        <v>630</v>
      </c>
      <c r="G707" s="827">
        <f t="shared" si="66"/>
        <v>13230</v>
      </c>
      <c r="H707" s="830" t="s">
        <v>16031</v>
      </c>
      <c r="I707" s="829" t="s">
        <v>16033</v>
      </c>
      <c r="L707" s="827">
        <v>13230</v>
      </c>
      <c r="M707" s="350">
        <f t="shared" si="64"/>
        <v>13230</v>
      </c>
      <c r="O707" s="351">
        <f t="shared" si="65"/>
        <v>0</v>
      </c>
      <c r="P707" s="828" t="s">
        <v>15932</v>
      </c>
    </row>
    <row r="708" spans="1:16" s="827" customFormat="1">
      <c r="A708" s="183">
        <v>20200526</v>
      </c>
      <c r="B708" s="183" t="s">
        <v>15933</v>
      </c>
      <c r="C708" s="199" t="s">
        <v>15934</v>
      </c>
      <c r="D708" s="826"/>
      <c r="E708" s="199">
        <v>132000</v>
      </c>
      <c r="F708" s="183">
        <v>6600</v>
      </c>
      <c r="G708" s="827">
        <f t="shared" si="66"/>
        <v>138600</v>
      </c>
      <c r="H708" s="830" t="s">
        <v>14749</v>
      </c>
      <c r="I708" s="829" t="s">
        <v>18992</v>
      </c>
      <c r="J708" s="827">
        <v>138600</v>
      </c>
      <c r="M708" s="350">
        <f t="shared" si="64"/>
        <v>138600</v>
      </c>
      <c r="O708" s="351">
        <f t="shared" si="65"/>
        <v>0</v>
      </c>
      <c r="P708" s="828" t="s">
        <v>15935</v>
      </c>
    </row>
    <row r="709" spans="1:16" s="827" customFormat="1">
      <c r="A709" s="183">
        <v>20200526</v>
      </c>
      <c r="B709" s="183" t="s">
        <v>15936</v>
      </c>
      <c r="C709" s="199" t="s">
        <v>15937</v>
      </c>
      <c r="D709" s="826"/>
      <c r="E709" s="199">
        <v>96000</v>
      </c>
      <c r="F709" s="183">
        <v>4800</v>
      </c>
      <c r="G709" s="827">
        <f t="shared" si="66"/>
        <v>100800</v>
      </c>
      <c r="H709" s="830" t="s">
        <v>16024</v>
      </c>
      <c r="I709" s="829" t="s">
        <v>18993</v>
      </c>
      <c r="J709" s="827">
        <v>100800</v>
      </c>
      <c r="M709" s="350">
        <f t="shared" si="64"/>
        <v>100800</v>
      </c>
      <c r="O709" s="351">
        <f t="shared" si="65"/>
        <v>0</v>
      </c>
      <c r="P709" s="828" t="s">
        <v>15935</v>
      </c>
    </row>
    <row r="710" spans="1:16" s="827" customFormat="1">
      <c r="A710" s="183"/>
      <c r="B710" s="183" t="s">
        <v>15938</v>
      </c>
      <c r="C710" s="199" t="s">
        <v>15939</v>
      </c>
      <c r="D710" s="826"/>
      <c r="E710" s="199"/>
      <c r="F710" s="183"/>
      <c r="H710" s="831"/>
      <c r="I710" s="866"/>
      <c r="M710" s="350">
        <f t="shared" si="64"/>
        <v>0</v>
      </c>
      <c r="O710" s="351">
        <f t="shared" si="65"/>
        <v>0</v>
      </c>
      <c r="P710" s="828"/>
    </row>
    <row r="711" spans="1:16" s="827" customFormat="1">
      <c r="A711" s="183">
        <v>20200529</v>
      </c>
      <c r="B711" s="183" t="s">
        <v>15940</v>
      </c>
      <c r="C711" s="199" t="s">
        <v>15941</v>
      </c>
      <c r="D711" s="826"/>
      <c r="E711" s="199">
        <v>91429</v>
      </c>
      <c r="F711" s="183">
        <v>4571</v>
      </c>
      <c r="G711" s="827">
        <f t="shared" ref="G711:G716" si="67">E711+F711</f>
        <v>96000</v>
      </c>
      <c r="H711" s="830" t="s">
        <v>16024</v>
      </c>
      <c r="I711" s="829" t="s">
        <v>18994</v>
      </c>
      <c r="J711" s="827">
        <v>96000</v>
      </c>
      <c r="K711" s="177"/>
      <c r="M711" s="350">
        <f t="shared" si="64"/>
        <v>96000</v>
      </c>
      <c r="O711" s="351">
        <f t="shared" si="65"/>
        <v>0</v>
      </c>
      <c r="P711" s="828" t="s">
        <v>15942</v>
      </c>
    </row>
    <row r="712" spans="1:16" s="827" customFormat="1">
      <c r="A712" s="183">
        <v>20200601</v>
      </c>
      <c r="B712" s="183" t="s">
        <v>15943</v>
      </c>
      <c r="C712" s="199" t="s">
        <v>15944</v>
      </c>
      <c r="D712" s="826"/>
      <c r="E712" s="199">
        <v>108000</v>
      </c>
      <c r="F712" s="183">
        <v>5400</v>
      </c>
      <c r="G712" s="827">
        <f t="shared" si="67"/>
        <v>113400</v>
      </c>
      <c r="H712" s="830" t="s">
        <v>14749</v>
      </c>
      <c r="I712" s="829" t="s">
        <v>18995</v>
      </c>
      <c r="J712" s="827">
        <v>113400</v>
      </c>
      <c r="M712" s="350">
        <f t="shared" si="64"/>
        <v>113400</v>
      </c>
      <c r="O712" s="351">
        <f t="shared" si="65"/>
        <v>0</v>
      </c>
      <c r="P712" s="828" t="s">
        <v>15945</v>
      </c>
    </row>
    <row r="713" spans="1:16" s="827" customFormat="1">
      <c r="A713" s="183">
        <v>20200609</v>
      </c>
      <c r="B713" s="183" t="s">
        <v>15946</v>
      </c>
      <c r="C713" s="199" t="s">
        <v>15922</v>
      </c>
      <c r="D713" s="826"/>
      <c r="E713" s="199">
        <v>114286</v>
      </c>
      <c r="F713" s="183">
        <v>5714</v>
      </c>
      <c r="G713" s="827">
        <f t="shared" si="67"/>
        <v>120000</v>
      </c>
      <c r="H713" s="831"/>
      <c r="I713" s="866">
        <v>1658</v>
      </c>
      <c r="J713" s="827">
        <v>120000</v>
      </c>
      <c r="M713" s="350">
        <f t="shared" si="64"/>
        <v>120000</v>
      </c>
      <c r="O713" s="351">
        <f t="shared" si="65"/>
        <v>0</v>
      </c>
      <c r="P713" s="828" t="s">
        <v>15923</v>
      </c>
    </row>
    <row r="714" spans="1:16" s="827" customFormat="1">
      <c r="A714" s="183">
        <v>20200609</v>
      </c>
      <c r="B714" s="183" t="s">
        <v>15947</v>
      </c>
      <c r="C714" s="199" t="s">
        <v>15948</v>
      </c>
      <c r="D714" s="829"/>
      <c r="E714" s="199">
        <v>108000</v>
      </c>
      <c r="F714" s="183">
        <v>5400</v>
      </c>
      <c r="G714" s="827">
        <f t="shared" si="67"/>
        <v>113400</v>
      </c>
      <c r="H714" s="830" t="s">
        <v>16025</v>
      </c>
      <c r="I714" s="829" t="s">
        <v>18996</v>
      </c>
      <c r="J714" s="827">
        <v>113400</v>
      </c>
      <c r="M714" s="350">
        <f t="shared" si="64"/>
        <v>113400</v>
      </c>
      <c r="O714" s="351">
        <f t="shared" si="65"/>
        <v>0</v>
      </c>
      <c r="P714" s="828" t="s">
        <v>15949</v>
      </c>
    </row>
    <row r="715" spans="1:16" s="827" customFormat="1">
      <c r="A715" s="183">
        <v>20200609</v>
      </c>
      <c r="B715" s="183" t="s">
        <v>15950</v>
      </c>
      <c r="C715" s="199" t="s">
        <v>15951</v>
      </c>
      <c r="D715" s="829"/>
      <c r="E715" s="199">
        <v>13500</v>
      </c>
      <c r="F715" s="183">
        <v>675</v>
      </c>
      <c r="G715" s="827">
        <f t="shared" si="67"/>
        <v>14175</v>
      </c>
      <c r="H715" s="830" t="s">
        <v>16030</v>
      </c>
      <c r="I715" s="829" t="s">
        <v>18997</v>
      </c>
      <c r="L715" s="827">
        <v>14165</v>
      </c>
      <c r="M715" s="350">
        <f t="shared" si="64"/>
        <v>14165</v>
      </c>
      <c r="N715" s="827">
        <v>10</v>
      </c>
      <c r="O715" s="351">
        <f t="shared" si="65"/>
        <v>0</v>
      </c>
      <c r="P715" s="828" t="s">
        <v>15952</v>
      </c>
    </row>
    <row r="716" spans="1:16" s="827" customFormat="1">
      <c r="A716" s="183">
        <v>20200609</v>
      </c>
      <c r="B716" s="183" t="s">
        <v>15953</v>
      </c>
      <c r="C716" s="199" t="s">
        <v>15954</v>
      </c>
      <c r="D716" s="829"/>
      <c r="E716" s="199">
        <v>13500</v>
      </c>
      <c r="F716" s="183">
        <v>675</v>
      </c>
      <c r="G716" s="827">
        <f t="shared" si="67"/>
        <v>14175</v>
      </c>
      <c r="H716" s="830" t="s">
        <v>9776</v>
      </c>
      <c r="I716" s="829" t="s">
        <v>16043</v>
      </c>
      <c r="L716" s="827">
        <v>14165</v>
      </c>
      <c r="M716" s="350">
        <f t="shared" si="64"/>
        <v>14165</v>
      </c>
      <c r="N716" s="827">
        <v>10</v>
      </c>
      <c r="O716" s="351">
        <f t="shared" si="65"/>
        <v>0</v>
      </c>
      <c r="P716" s="828" t="s">
        <v>15955</v>
      </c>
    </row>
    <row r="717" spans="1:16" s="827" customFormat="1">
      <c r="A717" s="183">
        <v>20200804</v>
      </c>
      <c r="B717" s="183" t="s">
        <v>15956</v>
      </c>
      <c r="C717" s="183" t="s">
        <v>15957</v>
      </c>
      <c r="D717" s="826"/>
      <c r="E717" s="183">
        <v>13500</v>
      </c>
      <c r="F717" s="183">
        <v>675</v>
      </c>
      <c r="G717" s="827">
        <f>E717+F717</f>
        <v>14175</v>
      </c>
      <c r="H717" s="830" t="s">
        <v>9722</v>
      </c>
      <c r="I717" s="829" t="s">
        <v>16044</v>
      </c>
      <c r="K717" s="177"/>
      <c r="L717" s="827">
        <v>14165</v>
      </c>
      <c r="M717" s="350">
        <f t="shared" si="64"/>
        <v>14165</v>
      </c>
      <c r="N717" s="827">
        <v>10</v>
      </c>
      <c r="O717" s="351">
        <f t="shared" si="65"/>
        <v>0</v>
      </c>
      <c r="P717" s="828" t="s">
        <v>10601</v>
      </c>
    </row>
    <row r="718" spans="1:16" s="827" customFormat="1">
      <c r="A718" s="183">
        <v>20200804</v>
      </c>
      <c r="B718" s="183" t="s">
        <v>15958</v>
      </c>
      <c r="C718" s="199" t="s">
        <v>15959</v>
      </c>
      <c r="D718" s="826"/>
      <c r="E718" s="199">
        <v>12857</v>
      </c>
      <c r="F718" s="183">
        <v>643</v>
      </c>
      <c r="G718" s="827">
        <f>E718+F718</f>
        <v>13500</v>
      </c>
      <c r="H718" s="830" t="s">
        <v>9770</v>
      </c>
      <c r="I718" s="829" t="s">
        <v>16040</v>
      </c>
      <c r="L718" s="827">
        <v>13485</v>
      </c>
      <c r="M718" s="350">
        <f t="shared" si="64"/>
        <v>13485</v>
      </c>
      <c r="N718" s="827">
        <v>15</v>
      </c>
      <c r="O718" s="351">
        <f t="shared" si="65"/>
        <v>0</v>
      </c>
      <c r="P718" s="828" t="s">
        <v>15960</v>
      </c>
    </row>
    <row r="719" spans="1:16" s="827" customFormat="1">
      <c r="A719" s="183">
        <v>20200804</v>
      </c>
      <c r="B719" s="183" t="s">
        <v>15961</v>
      </c>
      <c r="C719" s="199" t="s">
        <v>15962</v>
      </c>
      <c r="D719" s="826"/>
      <c r="E719" s="199">
        <v>12600</v>
      </c>
      <c r="F719" s="183">
        <v>630</v>
      </c>
      <c r="G719" s="827">
        <f t="shared" ref="G719:G728" si="68">E719+F719</f>
        <v>13230</v>
      </c>
      <c r="H719" s="830" t="s">
        <v>9771</v>
      </c>
      <c r="I719" s="829" t="s">
        <v>16034</v>
      </c>
      <c r="L719" s="827">
        <v>13230</v>
      </c>
      <c r="M719" s="350">
        <f t="shared" si="64"/>
        <v>13230</v>
      </c>
      <c r="O719" s="351">
        <f t="shared" si="65"/>
        <v>0</v>
      </c>
      <c r="P719" s="828" t="s">
        <v>15963</v>
      </c>
    </row>
    <row r="720" spans="1:16" s="827" customFormat="1">
      <c r="A720" s="183">
        <v>20200804</v>
      </c>
      <c r="B720" s="183" t="s">
        <v>15964</v>
      </c>
      <c r="C720" s="199" t="s">
        <v>15965</v>
      </c>
      <c r="D720" s="826"/>
      <c r="E720" s="199">
        <v>96000</v>
      </c>
      <c r="F720" s="183">
        <v>4800</v>
      </c>
      <c r="G720" s="827">
        <f t="shared" si="68"/>
        <v>100800</v>
      </c>
      <c r="H720" s="830" t="s">
        <v>14749</v>
      </c>
      <c r="I720" s="829" t="s">
        <v>18998</v>
      </c>
      <c r="J720" s="827">
        <v>100800</v>
      </c>
      <c r="M720" s="350">
        <f t="shared" si="64"/>
        <v>100800</v>
      </c>
      <c r="O720" s="351">
        <f t="shared" si="65"/>
        <v>0</v>
      </c>
      <c r="P720" s="828" t="s">
        <v>15966</v>
      </c>
    </row>
    <row r="721" spans="1:16" s="827" customFormat="1">
      <c r="A721" s="183">
        <v>20200810</v>
      </c>
      <c r="B721" s="183" t="s">
        <v>15967</v>
      </c>
      <c r="C721" s="199" t="s">
        <v>15968</v>
      </c>
      <c r="D721" s="826"/>
      <c r="E721" s="199">
        <v>6000</v>
      </c>
      <c r="F721" s="183">
        <v>300</v>
      </c>
      <c r="G721" s="827">
        <f t="shared" si="68"/>
        <v>6300</v>
      </c>
      <c r="H721" s="831"/>
      <c r="I721" s="829" t="s">
        <v>16048</v>
      </c>
      <c r="L721" s="827">
        <v>6300</v>
      </c>
      <c r="M721" s="350">
        <f t="shared" si="64"/>
        <v>6300</v>
      </c>
      <c r="O721" s="351">
        <f t="shared" si="65"/>
        <v>0</v>
      </c>
      <c r="P721" s="828" t="s">
        <v>15969</v>
      </c>
    </row>
    <row r="722" spans="1:16" s="827" customFormat="1">
      <c r="A722" s="183">
        <v>20200817</v>
      </c>
      <c r="B722" s="183" t="s">
        <v>15970</v>
      </c>
      <c r="C722" s="199" t="s">
        <v>15971</v>
      </c>
      <c r="D722" s="826"/>
      <c r="E722" s="199">
        <v>19500</v>
      </c>
      <c r="F722" s="183">
        <v>975</v>
      </c>
      <c r="G722" s="827">
        <f t="shared" si="68"/>
        <v>20475</v>
      </c>
      <c r="H722" s="830" t="s">
        <v>9724</v>
      </c>
      <c r="I722" s="866">
        <v>1448</v>
      </c>
      <c r="K722" s="827">
        <v>20475</v>
      </c>
      <c r="M722" s="350">
        <f t="shared" si="64"/>
        <v>20475</v>
      </c>
      <c r="O722" s="351">
        <f t="shared" si="65"/>
        <v>0</v>
      </c>
      <c r="P722" s="828" t="s">
        <v>15972</v>
      </c>
    </row>
    <row r="723" spans="1:16" s="827" customFormat="1">
      <c r="A723" s="183">
        <v>20200817</v>
      </c>
      <c r="B723" s="183" t="s">
        <v>15973</v>
      </c>
      <c r="C723" s="199" t="s">
        <v>15974</v>
      </c>
      <c r="D723" s="826"/>
      <c r="E723" s="199">
        <v>19500</v>
      </c>
      <c r="F723" s="183">
        <v>975</v>
      </c>
      <c r="G723" s="827">
        <f t="shared" si="68"/>
        <v>20475</v>
      </c>
      <c r="H723" s="830" t="s">
        <v>9724</v>
      </c>
      <c r="I723" s="866">
        <v>1464</v>
      </c>
      <c r="K723" s="827">
        <v>20475</v>
      </c>
      <c r="M723" s="350">
        <f t="shared" si="64"/>
        <v>20475</v>
      </c>
      <c r="O723" s="351">
        <f t="shared" si="65"/>
        <v>0</v>
      </c>
      <c r="P723" s="828" t="s">
        <v>15975</v>
      </c>
    </row>
    <row r="724" spans="1:16" s="827" customFormat="1">
      <c r="A724" s="183">
        <v>20200817</v>
      </c>
      <c r="B724" s="183" t="s">
        <v>15976</v>
      </c>
      <c r="C724" s="199" t="s">
        <v>15977</v>
      </c>
      <c r="D724" s="826"/>
      <c r="E724" s="199">
        <v>15600</v>
      </c>
      <c r="F724" s="183">
        <v>780</v>
      </c>
      <c r="G724" s="827">
        <f t="shared" si="68"/>
        <v>16380</v>
      </c>
      <c r="H724" s="830" t="s">
        <v>16030</v>
      </c>
      <c r="I724" s="866">
        <v>1456</v>
      </c>
      <c r="K724" s="827">
        <v>16380</v>
      </c>
      <c r="M724" s="350">
        <f t="shared" si="64"/>
        <v>16380</v>
      </c>
      <c r="O724" s="351">
        <f t="shared" si="65"/>
        <v>0</v>
      </c>
      <c r="P724" s="828" t="s">
        <v>15978</v>
      </c>
    </row>
    <row r="725" spans="1:16" s="827" customFormat="1">
      <c r="A725" s="183">
        <v>20200817</v>
      </c>
      <c r="B725" s="183" t="s">
        <v>15979</v>
      </c>
      <c r="C725" s="199" t="s">
        <v>15980</v>
      </c>
      <c r="D725" s="826"/>
      <c r="E725" s="199">
        <v>19500</v>
      </c>
      <c r="F725" s="183">
        <v>975</v>
      </c>
      <c r="G725" s="827">
        <f t="shared" si="68"/>
        <v>20475</v>
      </c>
      <c r="H725" s="830" t="s">
        <v>9776</v>
      </c>
      <c r="I725" s="866">
        <v>1533</v>
      </c>
      <c r="K725" s="827">
        <v>20475</v>
      </c>
      <c r="M725" s="350">
        <f t="shared" si="64"/>
        <v>20475</v>
      </c>
      <c r="O725" s="351">
        <f t="shared" si="65"/>
        <v>0</v>
      </c>
      <c r="P725" s="828" t="s">
        <v>15981</v>
      </c>
    </row>
    <row r="726" spans="1:16" s="827" customFormat="1">
      <c r="A726" s="183">
        <v>20200817</v>
      </c>
      <c r="B726" s="183" t="s">
        <v>15982</v>
      </c>
      <c r="C726" s="199" t="s">
        <v>15983</v>
      </c>
      <c r="D726" s="826"/>
      <c r="E726" s="199">
        <v>19500</v>
      </c>
      <c r="F726" s="183">
        <v>975</v>
      </c>
      <c r="G726" s="827">
        <f t="shared" si="68"/>
        <v>20475</v>
      </c>
      <c r="H726" s="830" t="s">
        <v>9722</v>
      </c>
      <c r="I726" s="866">
        <v>1546</v>
      </c>
      <c r="K726" s="827">
        <v>20475</v>
      </c>
      <c r="M726" s="350">
        <f t="shared" si="64"/>
        <v>20475</v>
      </c>
      <c r="O726" s="351">
        <f t="shared" si="65"/>
        <v>0</v>
      </c>
      <c r="P726" s="828" t="s">
        <v>10621</v>
      </c>
    </row>
    <row r="727" spans="1:16" s="827" customFormat="1">
      <c r="A727" s="183">
        <v>20200818</v>
      </c>
      <c r="B727" s="183" t="s">
        <v>15984</v>
      </c>
      <c r="C727" s="199" t="s">
        <v>15985</v>
      </c>
      <c r="D727" s="826"/>
      <c r="E727" s="199">
        <v>91200</v>
      </c>
      <c r="F727" s="183">
        <v>4560</v>
      </c>
      <c r="G727" s="827">
        <f t="shared" si="68"/>
        <v>95760</v>
      </c>
      <c r="H727" s="830" t="s">
        <v>16026</v>
      </c>
      <c r="I727" s="829" t="s">
        <v>18999</v>
      </c>
      <c r="J727" s="827">
        <v>95760</v>
      </c>
      <c r="M727" s="350">
        <f t="shared" si="64"/>
        <v>95760</v>
      </c>
      <c r="O727" s="351">
        <f t="shared" si="65"/>
        <v>0</v>
      </c>
      <c r="P727" s="828" t="s">
        <v>15986</v>
      </c>
    </row>
    <row r="728" spans="1:16" s="827" customFormat="1">
      <c r="A728" s="183">
        <v>20200819</v>
      </c>
      <c r="B728" s="183" t="s">
        <v>15987</v>
      </c>
      <c r="C728" s="199" t="s">
        <v>15988</v>
      </c>
      <c r="D728" s="826"/>
      <c r="E728" s="199">
        <v>38400</v>
      </c>
      <c r="F728" s="183">
        <v>1920</v>
      </c>
      <c r="G728" s="827">
        <f t="shared" si="68"/>
        <v>40320</v>
      </c>
      <c r="H728" s="830" t="s">
        <v>16027</v>
      </c>
      <c r="I728" s="829" t="s">
        <v>19000</v>
      </c>
      <c r="J728" s="827">
        <v>40320</v>
      </c>
      <c r="K728" s="177"/>
      <c r="M728" s="350">
        <f t="shared" si="64"/>
        <v>40320</v>
      </c>
      <c r="O728" s="351">
        <f t="shared" si="65"/>
        <v>0</v>
      </c>
      <c r="P728" s="828" t="s">
        <v>15989</v>
      </c>
    </row>
    <row r="729" spans="1:16" s="827" customFormat="1">
      <c r="A729" s="183">
        <v>20200831</v>
      </c>
      <c r="B729" s="183" t="s">
        <v>15990</v>
      </c>
      <c r="C729" s="199" t="s">
        <v>15971</v>
      </c>
      <c r="D729" s="826"/>
      <c r="E729" s="199">
        <v>80000</v>
      </c>
      <c r="F729" s="183">
        <v>4000</v>
      </c>
      <c r="G729" s="827">
        <f>E729+F729</f>
        <v>84000</v>
      </c>
      <c r="H729" s="831"/>
      <c r="I729" s="829" t="s">
        <v>16049</v>
      </c>
      <c r="L729" s="827">
        <v>84000</v>
      </c>
      <c r="M729" s="350">
        <f t="shared" si="64"/>
        <v>84000</v>
      </c>
      <c r="O729" s="351">
        <f t="shared" si="65"/>
        <v>0</v>
      </c>
      <c r="P729" s="828" t="s">
        <v>10594</v>
      </c>
    </row>
    <row r="730" spans="1:16" s="827" customFormat="1">
      <c r="A730" s="183">
        <v>20200831</v>
      </c>
      <c r="B730" s="183" t="s">
        <v>15991</v>
      </c>
      <c r="C730" s="199" t="s">
        <v>15974</v>
      </c>
      <c r="D730" s="826"/>
      <c r="E730" s="199">
        <v>80000</v>
      </c>
      <c r="F730" s="183">
        <v>4000</v>
      </c>
      <c r="G730" s="827">
        <f>E730+F730</f>
        <v>84000</v>
      </c>
      <c r="H730" s="831"/>
      <c r="I730" s="829" t="s">
        <v>16051</v>
      </c>
      <c r="L730" s="827">
        <v>84000</v>
      </c>
      <c r="M730" s="350">
        <f t="shared" si="64"/>
        <v>84000</v>
      </c>
      <c r="O730" s="351">
        <f t="shared" si="65"/>
        <v>0</v>
      </c>
      <c r="P730" s="828" t="s">
        <v>10596</v>
      </c>
    </row>
    <row r="731" spans="1:16" s="827" customFormat="1">
      <c r="A731" s="183">
        <v>20200831</v>
      </c>
      <c r="B731" s="183" t="s">
        <v>15992</v>
      </c>
      <c r="C731" s="199" t="s">
        <v>15993</v>
      </c>
      <c r="D731" s="826"/>
      <c r="E731" s="199">
        <v>40000</v>
      </c>
      <c r="F731" s="183">
        <v>2000</v>
      </c>
      <c r="G731" s="827">
        <f>E731+F731</f>
        <v>42000</v>
      </c>
      <c r="H731" s="831"/>
      <c r="I731" s="829" t="s">
        <v>16050</v>
      </c>
      <c r="L731" s="827">
        <v>41990</v>
      </c>
      <c r="M731" s="350">
        <f t="shared" si="64"/>
        <v>41990</v>
      </c>
      <c r="N731" s="827">
        <v>10</v>
      </c>
      <c r="O731" s="351">
        <f t="shared" si="65"/>
        <v>0</v>
      </c>
      <c r="P731" s="828" t="s">
        <v>15972</v>
      </c>
    </row>
    <row r="732" spans="1:16" s="827" customFormat="1">
      <c r="A732" s="183">
        <v>20200831</v>
      </c>
      <c r="B732" s="183" t="s">
        <v>15994</v>
      </c>
      <c r="C732" s="199" t="s">
        <v>9778</v>
      </c>
      <c r="D732" s="826"/>
      <c r="E732" s="199">
        <v>40000</v>
      </c>
      <c r="F732" s="183">
        <v>2000</v>
      </c>
      <c r="G732" s="827">
        <f>E732+F732</f>
        <v>42000</v>
      </c>
      <c r="H732" s="831"/>
      <c r="I732" s="829" t="s">
        <v>16052</v>
      </c>
      <c r="L732" s="827">
        <v>41990</v>
      </c>
      <c r="M732" s="350">
        <f t="shared" si="64"/>
        <v>41990</v>
      </c>
      <c r="N732" s="827">
        <v>10</v>
      </c>
      <c r="O732" s="351">
        <f t="shared" si="65"/>
        <v>0</v>
      </c>
      <c r="P732" s="828" t="s">
        <v>15995</v>
      </c>
    </row>
    <row r="733" spans="1:16" s="827" customFormat="1">
      <c r="A733" s="183">
        <v>20201022</v>
      </c>
      <c r="B733" s="183" t="s">
        <v>15996</v>
      </c>
      <c r="C733" s="183" t="s">
        <v>9727</v>
      </c>
      <c r="D733" s="826"/>
      <c r="E733" s="183">
        <v>19500</v>
      </c>
      <c r="F733" s="183">
        <v>975</v>
      </c>
      <c r="G733" s="827">
        <f t="shared" ref="G733:G746" si="69">E733+F733</f>
        <v>20475</v>
      </c>
      <c r="H733" s="830" t="s">
        <v>9725</v>
      </c>
      <c r="I733" s="866">
        <v>1712</v>
      </c>
      <c r="J733" s="827">
        <v>20475</v>
      </c>
      <c r="K733" s="177"/>
      <c r="M733" s="350">
        <f t="shared" si="64"/>
        <v>20475</v>
      </c>
      <c r="O733" s="351">
        <f t="shared" si="65"/>
        <v>0</v>
      </c>
      <c r="P733" s="828" t="s">
        <v>10594</v>
      </c>
    </row>
    <row r="734" spans="1:16" s="827" customFormat="1">
      <c r="A734" s="183">
        <v>20201022</v>
      </c>
      <c r="B734" s="183" t="s">
        <v>15997</v>
      </c>
      <c r="C734" s="199" t="s">
        <v>9778</v>
      </c>
      <c r="D734" s="826"/>
      <c r="E734" s="199">
        <v>19500</v>
      </c>
      <c r="F734" s="183">
        <v>975</v>
      </c>
      <c r="G734" s="827">
        <f t="shared" si="69"/>
        <v>20475</v>
      </c>
      <c r="H734" s="830" t="s">
        <v>16037</v>
      </c>
      <c r="I734" s="866">
        <v>1703</v>
      </c>
      <c r="J734" s="827">
        <v>20475</v>
      </c>
      <c r="M734" s="350">
        <f t="shared" si="64"/>
        <v>20475</v>
      </c>
      <c r="O734" s="351">
        <f t="shared" si="65"/>
        <v>0</v>
      </c>
      <c r="P734" s="828" t="s">
        <v>10596</v>
      </c>
    </row>
    <row r="735" spans="1:16" s="827" customFormat="1">
      <c r="A735" s="183">
        <v>20201022</v>
      </c>
      <c r="B735" s="183" t="s">
        <v>15998</v>
      </c>
      <c r="C735" s="199" t="s">
        <v>9778</v>
      </c>
      <c r="D735" s="826"/>
      <c r="E735" s="199">
        <v>15600</v>
      </c>
      <c r="F735" s="183">
        <v>780</v>
      </c>
      <c r="G735" s="827">
        <f t="shared" si="69"/>
        <v>16380</v>
      </c>
      <c r="H735" s="830" t="s">
        <v>9725</v>
      </c>
      <c r="I735" s="866">
        <v>1695</v>
      </c>
      <c r="J735" s="827">
        <v>16380</v>
      </c>
      <c r="M735" s="350">
        <f t="shared" si="64"/>
        <v>16380</v>
      </c>
      <c r="O735" s="351">
        <f t="shared" si="65"/>
        <v>0</v>
      </c>
      <c r="P735" s="828" t="s">
        <v>10596</v>
      </c>
    </row>
    <row r="736" spans="1:16" s="827" customFormat="1">
      <c r="A736" s="183">
        <v>20201022</v>
      </c>
      <c r="B736" s="183" t="s">
        <v>15999</v>
      </c>
      <c r="C736" s="199" t="s">
        <v>10597</v>
      </c>
      <c r="D736" s="826"/>
      <c r="E736" s="199">
        <v>19500</v>
      </c>
      <c r="F736" s="183">
        <v>975</v>
      </c>
      <c r="G736" s="827">
        <f t="shared" si="69"/>
        <v>20475</v>
      </c>
      <c r="H736" s="830" t="s">
        <v>4330</v>
      </c>
      <c r="I736" s="866">
        <v>1687</v>
      </c>
      <c r="J736" s="827">
        <v>20475</v>
      </c>
      <c r="M736" s="350">
        <f t="shared" si="64"/>
        <v>20475</v>
      </c>
      <c r="O736" s="351">
        <f t="shared" si="65"/>
        <v>0</v>
      </c>
      <c r="P736" s="828" t="s">
        <v>10598</v>
      </c>
    </row>
    <row r="737" spans="1:16" s="827" customFormat="1">
      <c r="A737" s="183">
        <v>20201022</v>
      </c>
      <c r="B737" s="183" t="s">
        <v>16000</v>
      </c>
      <c r="C737" s="199" t="s">
        <v>9727</v>
      </c>
      <c r="D737" s="826"/>
      <c r="E737" s="199">
        <v>108000</v>
      </c>
      <c r="F737" s="183">
        <v>5400</v>
      </c>
      <c r="G737" s="827">
        <f t="shared" si="69"/>
        <v>113400</v>
      </c>
      <c r="H737" s="831"/>
      <c r="I737" s="829" t="s">
        <v>16053</v>
      </c>
      <c r="L737" s="827">
        <v>113390</v>
      </c>
      <c r="M737" s="350">
        <f t="shared" si="64"/>
        <v>113390</v>
      </c>
      <c r="N737" s="827">
        <v>10</v>
      </c>
      <c r="O737" s="351">
        <f t="shared" si="65"/>
        <v>0</v>
      </c>
      <c r="P737" s="828" t="s">
        <v>10594</v>
      </c>
    </row>
    <row r="738" spans="1:16" s="827" customFormat="1">
      <c r="A738" s="183">
        <v>20201022</v>
      </c>
      <c r="B738" s="183" t="s">
        <v>16001</v>
      </c>
      <c r="C738" s="199" t="s">
        <v>16002</v>
      </c>
      <c r="D738" s="826"/>
      <c r="E738" s="199">
        <v>108000</v>
      </c>
      <c r="F738" s="183">
        <v>5400</v>
      </c>
      <c r="G738" s="827">
        <f t="shared" si="69"/>
        <v>113400</v>
      </c>
      <c r="H738" s="831"/>
      <c r="I738" s="866">
        <v>1711</v>
      </c>
      <c r="J738" s="827">
        <v>113400</v>
      </c>
      <c r="M738" s="350">
        <f t="shared" si="64"/>
        <v>113400</v>
      </c>
      <c r="O738" s="351">
        <f t="shared" si="65"/>
        <v>0</v>
      </c>
      <c r="P738" s="828" t="s">
        <v>10596</v>
      </c>
    </row>
    <row r="739" spans="1:16" s="827" customFormat="1">
      <c r="A739" s="183">
        <v>20201022</v>
      </c>
      <c r="B739" s="183" t="s">
        <v>16003</v>
      </c>
      <c r="C739" s="199" t="s">
        <v>10597</v>
      </c>
      <c r="D739" s="826"/>
      <c r="E739" s="199">
        <v>72000</v>
      </c>
      <c r="F739" s="183">
        <v>3600</v>
      </c>
      <c r="G739" s="827">
        <f t="shared" si="69"/>
        <v>75600</v>
      </c>
      <c r="H739" s="831"/>
      <c r="I739" s="829" t="s">
        <v>16054</v>
      </c>
      <c r="L739" s="827">
        <v>75590</v>
      </c>
      <c r="M739" s="350">
        <f t="shared" si="64"/>
        <v>75590</v>
      </c>
      <c r="N739" s="827">
        <v>10</v>
      </c>
      <c r="O739" s="351">
        <f t="shared" si="65"/>
        <v>0</v>
      </c>
      <c r="P739" s="828" t="s">
        <v>10598</v>
      </c>
    </row>
    <row r="740" spans="1:16" s="827" customFormat="1">
      <c r="A740" s="183">
        <v>20201105</v>
      </c>
      <c r="B740" s="183" t="s">
        <v>16004</v>
      </c>
      <c r="C740" s="183" t="s">
        <v>16005</v>
      </c>
      <c r="D740" s="826"/>
      <c r="E740" s="183">
        <v>19500</v>
      </c>
      <c r="F740" s="183">
        <v>975</v>
      </c>
      <c r="G740" s="827">
        <f t="shared" si="69"/>
        <v>20475</v>
      </c>
      <c r="H740" s="830" t="s">
        <v>9723</v>
      </c>
      <c r="I740" s="866">
        <v>1547</v>
      </c>
      <c r="K740" s="177">
        <v>20475</v>
      </c>
      <c r="M740" s="350">
        <f t="shared" si="64"/>
        <v>20475</v>
      </c>
      <c r="O740" s="351">
        <f t="shared" si="65"/>
        <v>0</v>
      </c>
      <c r="P740" s="828" t="s">
        <v>16006</v>
      </c>
    </row>
    <row r="741" spans="1:16" s="827" customFormat="1">
      <c r="A741" s="183">
        <v>20201105</v>
      </c>
      <c r="B741" s="183" t="s">
        <v>16007</v>
      </c>
      <c r="C741" s="199" t="s">
        <v>16008</v>
      </c>
      <c r="D741" s="826"/>
      <c r="E741" s="199">
        <v>13500</v>
      </c>
      <c r="F741" s="183">
        <v>675</v>
      </c>
      <c r="G741" s="827">
        <f t="shared" si="69"/>
        <v>14175</v>
      </c>
      <c r="H741" s="830" t="s">
        <v>16045</v>
      </c>
      <c r="I741" s="829" t="s">
        <v>16046</v>
      </c>
      <c r="L741" s="827">
        <v>14165</v>
      </c>
      <c r="M741" s="350">
        <f t="shared" si="64"/>
        <v>14165</v>
      </c>
      <c r="N741" s="827">
        <v>10</v>
      </c>
      <c r="O741" s="351">
        <f t="shared" si="65"/>
        <v>0</v>
      </c>
      <c r="P741" s="828" t="s">
        <v>16009</v>
      </c>
    </row>
    <row r="742" spans="1:16" s="827" customFormat="1">
      <c r="A742" s="183">
        <v>20201105</v>
      </c>
      <c r="B742" s="183" t="s">
        <v>16010</v>
      </c>
      <c r="C742" s="199" t="s">
        <v>19209</v>
      </c>
      <c r="D742" s="826"/>
      <c r="E742" s="199">
        <v>12857</v>
      </c>
      <c r="F742" s="183">
        <v>643</v>
      </c>
      <c r="G742" s="827">
        <f t="shared" si="69"/>
        <v>13500</v>
      </c>
      <c r="H742" s="830" t="s">
        <v>19001</v>
      </c>
      <c r="I742" s="866"/>
      <c r="M742" s="350">
        <f t="shared" si="64"/>
        <v>0</v>
      </c>
      <c r="O742" s="351">
        <f t="shared" si="65"/>
        <v>13500</v>
      </c>
      <c r="P742" s="828" t="s">
        <v>16011</v>
      </c>
    </row>
    <row r="743" spans="1:16" s="827" customFormat="1">
      <c r="A743" s="183">
        <v>20201105</v>
      </c>
      <c r="B743" s="183" t="s">
        <v>16012</v>
      </c>
      <c r="C743" s="199" t="s">
        <v>16013</v>
      </c>
      <c r="D743" s="826"/>
      <c r="E743" s="199">
        <v>12600</v>
      </c>
      <c r="F743" s="183">
        <v>630</v>
      </c>
      <c r="G743" s="827">
        <f t="shared" si="69"/>
        <v>13230</v>
      </c>
      <c r="H743" s="830" t="s">
        <v>9776</v>
      </c>
      <c r="I743" s="829"/>
      <c r="M743" s="350">
        <f t="shared" si="64"/>
        <v>0</v>
      </c>
      <c r="O743" s="351">
        <f t="shared" si="65"/>
        <v>13230</v>
      </c>
      <c r="P743" s="828" t="s">
        <v>16014</v>
      </c>
    </row>
    <row r="744" spans="1:16" s="827" customFormat="1">
      <c r="A744" s="183">
        <v>20201120</v>
      </c>
      <c r="B744" s="183" t="s">
        <v>16015</v>
      </c>
      <c r="C744" s="199" t="s">
        <v>16016</v>
      </c>
      <c r="D744" s="826"/>
      <c r="E744" s="199">
        <v>43200</v>
      </c>
      <c r="F744" s="183">
        <v>2160</v>
      </c>
      <c r="G744" s="827">
        <f t="shared" si="69"/>
        <v>45360</v>
      </c>
      <c r="H744" s="830" t="s">
        <v>16028</v>
      </c>
      <c r="I744" s="829" t="s">
        <v>19002</v>
      </c>
      <c r="L744" s="827">
        <v>45360</v>
      </c>
      <c r="M744" s="350">
        <f t="shared" si="64"/>
        <v>45360</v>
      </c>
      <c r="O744" s="351">
        <f t="shared" si="65"/>
        <v>0</v>
      </c>
      <c r="P744" s="828" t="s">
        <v>16017</v>
      </c>
    </row>
    <row r="745" spans="1:16" s="827" customFormat="1">
      <c r="A745" s="183">
        <v>20201125</v>
      </c>
      <c r="B745" s="183" t="s">
        <v>16018</v>
      </c>
      <c r="C745" s="199" t="s">
        <v>16019</v>
      </c>
      <c r="D745" s="826"/>
      <c r="E745" s="199">
        <v>91200</v>
      </c>
      <c r="F745" s="183">
        <v>4560</v>
      </c>
      <c r="G745" s="827">
        <f t="shared" si="69"/>
        <v>95760</v>
      </c>
      <c r="H745" s="830" t="s">
        <v>16029</v>
      </c>
      <c r="I745" s="866"/>
      <c r="M745" s="350">
        <f t="shared" si="64"/>
        <v>0</v>
      </c>
      <c r="O745" s="351">
        <f t="shared" si="65"/>
        <v>95760</v>
      </c>
      <c r="P745" s="828" t="s">
        <v>16020</v>
      </c>
    </row>
    <row r="746" spans="1:16" s="827" customFormat="1">
      <c r="A746" s="183">
        <v>20201125</v>
      </c>
      <c r="B746" s="183" t="s">
        <v>16021</v>
      </c>
      <c r="C746" s="199" t="s">
        <v>9912</v>
      </c>
      <c r="D746" s="826"/>
      <c r="E746" s="199">
        <v>100800</v>
      </c>
      <c r="F746" s="183">
        <v>5040</v>
      </c>
      <c r="G746" s="827">
        <f t="shared" si="69"/>
        <v>105840</v>
      </c>
      <c r="H746" s="830" t="s">
        <v>14749</v>
      </c>
      <c r="I746" s="866"/>
      <c r="M746" s="350">
        <f t="shared" si="64"/>
        <v>0</v>
      </c>
      <c r="O746" s="351">
        <f t="shared" si="65"/>
        <v>105840</v>
      </c>
      <c r="P746" s="828" t="s">
        <v>16022</v>
      </c>
    </row>
    <row r="747" spans="1:16">
      <c r="H747" s="749"/>
      <c r="I747" s="749"/>
      <c r="J747" s="749"/>
      <c r="K747" s="749"/>
      <c r="L747" s="749"/>
      <c r="M747" s="749"/>
    </row>
    <row r="748" spans="1:16">
      <c r="H748" s="749"/>
      <c r="I748" s="749"/>
      <c r="J748" s="749"/>
      <c r="K748" s="749"/>
      <c r="L748" s="749"/>
      <c r="M748" s="749"/>
    </row>
    <row r="749" spans="1:16">
      <c r="H749" s="749"/>
      <c r="I749" s="749"/>
      <c r="J749" s="749"/>
      <c r="K749" s="749"/>
      <c r="L749" s="749"/>
      <c r="M749" s="749"/>
    </row>
    <row r="750" spans="1:16">
      <c r="H750" s="749"/>
      <c r="I750" s="749"/>
      <c r="J750" s="749"/>
      <c r="K750" s="749"/>
      <c r="L750" s="749"/>
      <c r="M750" s="749"/>
    </row>
    <row r="751" spans="1:16">
      <c r="H751" s="749"/>
      <c r="I751" s="749"/>
      <c r="J751" s="749"/>
      <c r="K751" s="749"/>
      <c r="L751" s="749"/>
      <c r="M751" s="749"/>
    </row>
    <row r="752" spans="1:16">
      <c r="H752" s="749"/>
      <c r="I752" s="749"/>
      <c r="J752" s="749"/>
      <c r="K752" s="749"/>
      <c r="L752" s="749"/>
      <c r="M752" s="749"/>
    </row>
    <row r="753" spans="8:13">
      <c r="H753" s="749"/>
      <c r="I753" s="749"/>
      <c r="J753" s="749"/>
      <c r="K753" s="749"/>
      <c r="L753" s="749"/>
      <c r="M753" s="749"/>
    </row>
    <row r="754" spans="8:13">
      <c r="H754" s="749"/>
      <c r="I754" s="749"/>
      <c r="J754" s="749"/>
      <c r="K754" s="749"/>
      <c r="L754" s="749"/>
      <c r="M754" s="749"/>
    </row>
    <row r="755" spans="8:13">
      <c r="H755" s="749"/>
      <c r="I755" s="749"/>
      <c r="J755" s="749"/>
      <c r="K755" s="749"/>
      <c r="L755" s="749"/>
      <c r="M755" s="749"/>
    </row>
    <row r="756" spans="8:13">
      <c r="H756" s="749"/>
      <c r="I756" s="749"/>
      <c r="J756" s="749"/>
      <c r="K756" s="749"/>
      <c r="L756" s="749"/>
      <c r="M756" s="749"/>
    </row>
    <row r="757" spans="8:13">
      <c r="H757" s="749"/>
      <c r="I757" s="749"/>
      <c r="J757" s="749"/>
      <c r="K757" s="749"/>
      <c r="L757" s="749"/>
      <c r="M757" s="749"/>
    </row>
    <row r="758" spans="8:13">
      <c r="H758" s="749"/>
      <c r="I758" s="749"/>
      <c r="J758" s="749"/>
      <c r="K758" s="749"/>
      <c r="L758" s="749"/>
      <c r="M758" s="749"/>
    </row>
    <row r="759" spans="8:13">
      <c r="H759" s="749"/>
      <c r="I759" s="749"/>
      <c r="J759" s="749"/>
      <c r="K759" s="749"/>
      <c r="L759" s="749"/>
      <c r="M759" s="749"/>
    </row>
    <row r="760" spans="8:13">
      <c r="H760" s="749"/>
      <c r="I760" s="749"/>
      <c r="J760" s="749"/>
      <c r="K760" s="749"/>
      <c r="L760" s="749"/>
      <c r="M760" s="749"/>
    </row>
    <row r="761" spans="8:13">
      <c r="H761" s="749"/>
      <c r="I761" s="749"/>
      <c r="J761" s="749"/>
      <c r="K761" s="749"/>
      <c r="L761" s="749"/>
      <c r="M761" s="749"/>
    </row>
    <row r="762" spans="8:13">
      <c r="H762" s="749"/>
      <c r="I762" s="749"/>
      <c r="J762" s="749"/>
      <c r="K762" s="749"/>
      <c r="L762" s="749"/>
      <c r="M762" s="749"/>
    </row>
    <row r="763" spans="8:13">
      <c r="H763" s="749"/>
      <c r="I763" s="749"/>
      <c r="J763" s="749"/>
      <c r="K763" s="749"/>
      <c r="L763" s="749"/>
      <c r="M763" s="749"/>
    </row>
    <row r="764" spans="8:13">
      <c r="H764" s="749"/>
      <c r="I764" s="749"/>
      <c r="J764" s="749"/>
      <c r="K764" s="749"/>
      <c r="L764" s="749"/>
      <c r="M764" s="749"/>
    </row>
    <row r="765" spans="8:13">
      <c r="H765" s="749"/>
      <c r="I765" s="749"/>
      <c r="J765" s="749"/>
      <c r="K765" s="749"/>
      <c r="L765" s="749"/>
      <c r="M765" s="749"/>
    </row>
    <row r="766" spans="8:13">
      <c r="H766" s="749"/>
      <c r="I766" s="749"/>
      <c r="J766" s="749"/>
      <c r="K766" s="749"/>
      <c r="L766" s="749"/>
      <c r="M766" s="749"/>
    </row>
    <row r="767" spans="8:13">
      <c r="H767" s="749"/>
      <c r="I767" s="749"/>
      <c r="J767" s="749"/>
      <c r="K767" s="749"/>
      <c r="L767" s="749"/>
      <c r="M767" s="749"/>
    </row>
    <row r="768" spans="8:13">
      <c r="H768" s="749"/>
      <c r="I768" s="749"/>
      <c r="J768" s="749"/>
      <c r="K768" s="749"/>
      <c r="L768" s="749"/>
      <c r="M768" s="749"/>
    </row>
    <row r="769" spans="8:13">
      <c r="H769" s="749"/>
      <c r="I769" s="749"/>
      <c r="J769" s="749"/>
      <c r="K769" s="749"/>
      <c r="L769" s="749"/>
      <c r="M769" s="749"/>
    </row>
    <row r="770" spans="8:13">
      <c r="H770" s="749"/>
      <c r="I770" s="749"/>
      <c r="J770" s="749"/>
      <c r="K770" s="749"/>
      <c r="L770" s="749"/>
      <c r="M770" s="749"/>
    </row>
    <row r="771" spans="8:13">
      <c r="H771" s="749"/>
      <c r="I771" s="749"/>
      <c r="J771" s="749"/>
      <c r="K771" s="749"/>
      <c r="L771" s="749"/>
      <c r="M771" s="749"/>
    </row>
    <row r="772" spans="8:13">
      <c r="H772" s="749"/>
      <c r="I772" s="749"/>
      <c r="J772" s="749"/>
      <c r="K772" s="749"/>
      <c r="L772" s="749"/>
      <c r="M772" s="749"/>
    </row>
    <row r="773" spans="8:13">
      <c r="H773" s="749"/>
      <c r="I773" s="749"/>
      <c r="J773" s="749"/>
      <c r="K773" s="749"/>
      <c r="L773" s="749"/>
      <c r="M773" s="749"/>
    </row>
    <row r="774" spans="8:13">
      <c r="H774" s="749"/>
      <c r="I774" s="749"/>
      <c r="J774" s="749"/>
      <c r="K774" s="749"/>
      <c r="L774" s="749"/>
      <c r="M774" s="749"/>
    </row>
    <row r="775" spans="8:13">
      <c r="H775" s="749"/>
      <c r="I775" s="749"/>
      <c r="J775" s="749"/>
      <c r="K775" s="749"/>
      <c r="L775" s="749"/>
      <c r="M775" s="749"/>
    </row>
    <row r="776" spans="8:13">
      <c r="H776" s="749"/>
      <c r="I776" s="749"/>
      <c r="J776" s="749"/>
      <c r="K776" s="749"/>
      <c r="L776" s="749"/>
      <c r="M776" s="749"/>
    </row>
    <row r="777" spans="8:13">
      <c r="H777" s="749"/>
      <c r="I777" s="749"/>
      <c r="J777" s="749"/>
      <c r="K777" s="749"/>
      <c r="L777" s="749"/>
      <c r="M777" s="749"/>
    </row>
    <row r="778" spans="8:13">
      <c r="H778" s="749"/>
      <c r="I778" s="749"/>
      <c r="J778" s="749"/>
      <c r="K778" s="749"/>
      <c r="L778" s="749"/>
      <c r="M778" s="749"/>
    </row>
    <row r="779" spans="8:13">
      <c r="H779" s="749"/>
      <c r="I779" s="749"/>
      <c r="J779" s="749"/>
      <c r="K779" s="749"/>
      <c r="L779" s="749"/>
      <c r="M779" s="749"/>
    </row>
    <row r="780" spans="8:13">
      <c r="H780" s="749"/>
      <c r="I780" s="749"/>
      <c r="J780" s="749"/>
      <c r="K780" s="749"/>
      <c r="L780" s="749"/>
      <c r="M780" s="749"/>
    </row>
    <row r="781" spans="8:13">
      <c r="H781" s="749"/>
      <c r="I781" s="749"/>
      <c r="J781" s="749"/>
      <c r="K781" s="749"/>
      <c r="L781" s="749"/>
      <c r="M781" s="749"/>
    </row>
    <row r="782" spans="8:13">
      <c r="H782" s="749"/>
      <c r="I782" s="749"/>
      <c r="J782" s="749"/>
      <c r="K782" s="749"/>
      <c r="L782" s="749"/>
      <c r="M782" s="749"/>
    </row>
    <row r="783" spans="8:13">
      <c r="H783" s="749"/>
      <c r="I783" s="749"/>
      <c r="J783" s="749"/>
      <c r="K783" s="749"/>
      <c r="L783" s="749"/>
      <c r="M783" s="749"/>
    </row>
    <row r="784" spans="8:13">
      <c r="H784" s="749"/>
      <c r="I784" s="749"/>
      <c r="J784" s="749"/>
      <c r="K784" s="749"/>
      <c r="L784" s="749"/>
      <c r="M784" s="749"/>
    </row>
    <row r="785" spans="8:13">
      <c r="H785" s="749"/>
      <c r="I785" s="749"/>
      <c r="J785" s="749"/>
      <c r="K785" s="749"/>
      <c r="L785" s="749"/>
      <c r="M785" s="749"/>
    </row>
    <row r="786" spans="8:13">
      <c r="H786" s="749"/>
      <c r="I786" s="749"/>
      <c r="J786" s="749"/>
      <c r="K786" s="749"/>
      <c r="L786" s="749"/>
      <c r="M786" s="749"/>
    </row>
    <row r="787" spans="8:13">
      <c r="H787" s="749"/>
      <c r="I787" s="749"/>
      <c r="J787" s="749"/>
      <c r="K787" s="749"/>
      <c r="L787" s="749"/>
      <c r="M787" s="749"/>
    </row>
    <row r="788" spans="8:13">
      <c r="H788" s="749"/>
      <c r="I788" s="749"/>
      <c r="J788" s="749"/>
      <c r="K788" s="749"/>
      <c r="L788" s="749"/>
      <c r="M788" s="749"/>
    </row>
    <row r="789" spans="8:13">
      <c r="H789" s="749"/>
      <c r="I789" s="749"/>
      <c r="J789" s="749"/>
      <c r="K789" s="749"/>
      <c r="L789" s="749"/>
      <c r="M789" s="749"/>
    </row>
    <row r="790" spans="8:13">
      <c r="H790" s="749"/>
      <c r="I790" s="749"/>
      <c r="J790" s="749"/>
      <c r="K790" s="749"/>
      <c r="L790" s="749"/>
      <c r="M790" s="749"/>
    </row>
    <row r="791" spans="8:13">
      <c r="H791" s="749"/>
      <c r="I791" s="749"/>
      <c r="J791" s="749"/>
      <c r="K791" s="749"/>
      <c r="L791" s="749"/>
      <c r="M791" s="749"/>
    </row>
    <row r="792" spans="8:13">
      <c r="H792" s="749"/>
      <c r="I792" s="749"/>
      <c r="J792" s="749"/>
      <c r="K792" s="749"/>
      <c r="L792" s="749"/>
      <c r="M792" s="749"/>
    </row>
    <row r="793" spans="8:13">
      <c r="H793" s="749"/>
      <c r="I793" s="749"/>
      <c r="J793" s="749"/>
      <c r="K793" s="749"/>
      <c r="L793" s="749"/>
      <c r="M793" s="749"/>
    </row>
    <row r="794" spans="8:13">
      <c r="H794" s="749"/>
      <c r="I794" s="749"/>
      <c r="J794" s="749"/>
      <c r="K794" s="749"/>
      <c r="L794" s="749"/>
      <c r="M794" s="749"/>
    </row>
    <row r="795" spans="8:13">
      <c r="H795" s="749"/>
      <c r="I795" s="749"/>
      <c r="J795" s="749"/>
      <c r="K795" s="749"/>
      <c r="L795" s="749"/>
      <c r="M795" s="749"/>
    </row>
    <row r="796" spans="8:13">
      <c r="H796" s="749"/>
      <c r="I796" s="749"/>
      <c r="J796" s="749"/>
      <c r="K796" s="749"/>
      <c r="L796" s="749"/>
      <c r="M796" s="749"/>
    </row>
    <row r="797" spans="8:13">
      <c r="H797" s="749"/>
      <c r="I797" s="749"/>
      <c r="J797" s="749"/>
      <c r="K797" s="749"/>
      <c r="L797" s="749"/>
      <c r="M797" s="749"/>
    </row>
    <row r="798" spans="8:13">
      <c r="H798" s="749"/>
      <c r="I798" s="749"/>
      <c r="J798" s="749"/>
      <c r="K798" s="749"/>
      <c r="L798" s="749"/>
      <c r="M798" s="749"/>
    </row>
    <row r="799" spans="8:13">
      <c r="H799" s="749"/>
      <c r="I799" s="749"/>
      <c r="J799" s="749"/>
      <c r="K799" s="749"/>
      <c r="L799" s="749"/>
      <c r="M799" s="749"/>
    </row>
  </sheetData>
  <phoneticPr fontId="3" type="noConversion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55"/>
  <sheetViews>
    <sheetView zoomScaleNormal="100" workbookViewId="0">
      <pane ySplit="1" topLeftCell="A2" activePane="bottomLeft" state="frozen"/>
      <selection pane="bottomLeft" activeCell="J16" sqref="J16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5" style="61" customWidth="1"/>
    <col min="5" max="5" width="13.75" style="234" bestFit="1" customWidth="1"/>
    <col min="6" max="6" width="13.75" style="186" bestFit="1" customWidth="1"/>
    <col min="7" max="7" width="3.75" style="186" customWidth="1"/>
    <col min="8" max="8" width="1.5" style="584" customWidth="1"/>
    <col min="9" max="9" width="6.5" style="186" customWidth="1"/>
    <col min="10" max="10" width="16.125" style="186" bestFit="1" customWidth="1"/>
    <col min="11" max="11" width="12.625" style="186" customWidth="1"/>
    <col min="12" max="12" width="1.625" style="186" customWidth="1"/>
    <col min="13" max="13" width="4.875" style="186" bestFit="1" customWidth="1"/>
    <col min="14" max="14" width="12.875" style="186" customWidth="1"/>
    <col min="15" max="15" width="11.25" style="186" customWidth="1"/>
    <col min="16" max="16" width="5.25" style="186" customWidth="1"/>
    <col min="17" max="16384" width="9" style="186"/>
  </cols>
  <sheetData>
    <row r="1" spans="1:16">
      <c r="A1" s="263" t="s">
        <v>4904</v>
      </c>
      <c r="B1" s="583" t="s">
        <v>2384</v>
      </c>
      <c r="C1" s="583" t="s">
        <v>4884</v>
      </c>
      <c r="D1" s="583" t="s">
        <v>474</v>
      </c>
      <c r="E1" s="586" t="s">
        <v>4886</v>
      </c>
      <c r="F1" s="583" t="s">
        <v>4885</v>
      </c>
      <c r="G1" s="230"/>
    </row>
    <row r="2" spans="1:16" s="187" customFormat="1">
      <c r="A2" s="587" t="s">
        <v>5641</v>
      </c>
      <c r="B2" s="576">
        <v>1111</v>
      </c>
      <c r="C2" t="s">
        <v>876</v>
      </c>
      <c r="D2" s="115" t="s">
        <v>5811</v>
      </c>
      <c r="E2" s="236">
        <v>53298</v>
      </c>
      <c r="F2" s="229"/>
      <c r="H2" s="584"/>
      <c r="I2" s="940" t="s">
        <v>5785</v>
      </c>
      <c r="J2" s="940"/>
      <c r="K2" s="940"/>
      <c r="L2" s="940"/>
      <c r="M2" s="940"/>
      <c r="N2" s="940"/>
      <c r="O2" s="940"/>
      <c r="P2" s="232"/>
    </row>
    <row r="3" spans="1:16" s="187" customFormat="1">
      <c r="A3" s="587" t="s">
        <v>5641</v>
      </c>
      <c r="B3" s="576">
        <v>1112</v>
      </c>
      <c r="C3" s="61" t="s">
        <v>246</v>
      </c>
      <c r="D3" s="115" t="s">
        <v>5811</v>
      </c>
      <c r="E3" s="236">
        <v>55020</v>
      </c>
      <c r="F3" s="236"/>
      <c r="H3" s="584"/>
      <c r="I3" s="576">
        <v>1111</v>
      </c>
      <c r="J3" t="s">
        <v>876</v>
      </c>
      <c r="K3" s="239">
        <f t="shared" ref="K3:K9" si="0">(SUMIF($B$2:$B$196,I3,$E$2:$E$196)-SUMIF($B$2:$B$196,I3,$F$2:$F$196))</f>
        <v>53058</v>
      </c>
      <c r="M3" s="578">
        <v>2123</v>
      </c>
      <c r="N3" s="300" t="s">
        <v>1214</v>
      </c>
      <c r="O3" s="239">
        <f t="shared" ref="O3:O8" si="1">-(SUMIF($B$2:$B$196,M3,$E$2:$E$196)-SUMIF($B$2:$B$196,M3,$F$2:$F$196))</f>
        <v>79762</v>
      </c>
      <c r="P3" s="232"/>
    </row>
    <row r="4" spans="1:16" s="187" customFormat="1">
      <c r="A4" s="587" t="s">
        <v>5641</v>
      </c>
      <c r="B4" s="576">
        <v>1112</v>
      </c>
      <c r="C4" s="166" t="s">
        <v>247</v>
      </c>
      <c r="D4" s="115" t="s">
        <v>5811</v>
      </c>
      <c r="E4" s="236">
        <v>39524</v>
      </c>
      <c r="F4" s="236"/>
      <c r="H4" s="584"/>
      <c r="I4" s="576">
        <v>1112</v>
      </c>
      <c r="J4" s="175" t="s">
        <v>4855</v>
      </c>
      <c r="K4" s="239">
        <f t="shared" si="0"/>
        <v>213913</v>
      </c>
      <c r="M4" s="579">
        <v>2131</v>
      </c>
      <c r="N4" s="299" t="s">
        <v>4887</v>
      </c>
      <c r="O4" s="239">
        <f t="shared" si="1"/>
        <v>0</v>
      </c>
    </row>
    <row r="5" spans="1:16" s="187" customFormat="1">
      <c r="A5" s="587" t="s">
        <v>5641</v>
      </c>
      <c r="B5" s="576">
        <v>1112</v>
      </c>
      <c r="C5" s="175" t="s">
        <v>4958</v>
      </c>
      <c r="D5" s="115" t="s">
        <v>5811</v>
      </c>
      <c r="E5" s="236">
        <v>2600</v>
      </c>
      <c r="F5" s="236"/>
      <c r="H5" s="584"/>
      <c r="I5" s="576">
        <v>1121</v>
      </c>
      <c r="J5" s="61" t="s">
        <v>2917</v>
      </c>
      <c r="K5" s="239">
        <f t="shared" si="0"/>
        <v>2028644</v>
      </c>
      <c r="M5" s="647">
        <v>2192</v>
      </c>
      <c r="N5" s="314" t="s">
        <v>18</v>
      </c>
      <c r="O5" s="239">
        <f t="shared" si="1"/>
        <v>0</v>
      </c>
    </row>
    <row r="6" spans="1:16">
      <c r="A6" s="587" t="s">
        <v>5641</v>
      </c>
      <c r="B6" s="576">
        <v>1121</v>
      </c>
      <c r="C6" s="61" t="s">
        <v>2917</v>
      </c>
      <c r="D6" s="115" t="s">
        <v>5811</v>
      </c>
      <c r="E6" s="236">
        <v>2540547</v>
      </c>
      <c r="F6" s="236"/>
      <c r="G6" s="187"/>
      <c r="I6" s="577">
        <v>1123</v>
      </c>
      <c r="J6" s="311" t="s">
        <v>3638</v>
      </c>
      <c r="K6" s="239">
        <f t="shared" si="0"/>
        <v>499380</v>
      </c>
      <c r="L6" s="187"/>
      <c r="M6" s="579">
        <v>2194</v>
      </c>
      <c r="N6" s="648" t="s">
        <v>1216</v>
      </c>
      <c r="O6" s="239">
        <f t="shared" si="1"/>
        <v>37362</v>
      </c>
      <c r="P6" s="187"/>
    </row>
    <row r="7" spans="1:16">
      <c r="A7" s="587" t="s">
        <v>5641</v>
      </c>
      <c r="B7" s="577">
        <v>1123</v>
      </c>
      <c r="C7" s="311" t="s">
        <v>3638</v>
      </c>
      <c r="D7" s="115" t="s">
        <v>5811</v>
      </c>
      <c r="E7" s="236">
        <v>177930</v>
      </c>
      <c r="F7" s="232"/>
      <c r="G7" s="187"/>
      <c r="H7" s="585"/>
      <c r="I7" s="578">
        <v>1130</v>
      </c>
      <c r="J7" s="300" t="s">
        <v>3889</v>
      </c>
      <c r="K7" s="239">
        <f t="shared" si="0"/>
        <v>718693.74</v>
      </c>
      <c r="L7" s="187"/>
      <c r="M7" s="579">
        <v>3110</v>
      </c>
      <c r="N7" s="648" t="s">
        <v>4857</v>
      </c>
      <c r="O7" s="239">
        <f t="shared" si="1"/>
        <v>5000000</v>
      </c>
    </row>
    <row r="8" spans="1:16">
      <c r="A8" s="587" t="s">
        <v>5641</v>
      </c>
      <c r="B8" s="578">
        <v>1130</v>
      </c>
      <c r="C8" s="300" t="s">
        <v>3889</v>
      </c>
      <c r="D8" s="115" t="s">
        <v>5811</v>
      </c>
      <c r="E8" s="236">
        <v>759183</v>
      </c>
      <c r="F8" s="232"/>
      <c r="G8" s="233"/>
      <c r="H8" s="585"/>
      <c r="I8" s="578">
        <v>1194</v>
      </c>
      <c r="J8" s="300" t="s">
        <v>3798</v>
      </c>
      <c r="K8" s="239">
        <f t="shared" si="0"/>
        <v>0</v>
      </c>
      <c r="L8" s="187"/>
      <c r="M8" s="579">
        <v>3430</v>
      </c>
      <c r="N8" s="648" t="s">
        <v>4858</v>
      </c>
      <c r="O8" s="239">
        <f t="shared" si="1"/>
        <v>-1572897</v>
      </c>
    </row>
    <row r="9" spans="1:16">
      <c r="A9" s="587" t="s">
        <v>5641</v>
      </c>
      <c r="B9" s="578">
        <v>1901</v>
      </c>
      <c r="C9" s="300" t="s">
        <v>4856</v>
      </c>
      <c r="D9" s="115" t="s">
        <v>5811</v>
      </c>
      <c r="E9" s="236">
        <v>30000</v>
      </c>
      <c r="F9" s="232"/>
      <c r="G9" s="233"/>
      <c r="H9" s="585"/>
      <c r="I9" s="578">
        <v>1901</v>
      </c>
      <c r="J9" s="300" t="s">
        <v>4856</v>
      </c>
      <c r="K9" s="239">
        <f t="shared" si="0"/>
        <v>30000</v>
      </c>
      <c r="L9" s="187"/>
      <c r="M9" s="579">
        <v>3432</v>
      </c>
      <c r="N9" s="648" t="s">
        <v>5787</v>
      </c>
      <c r="O9" s="239">
        <v>-1569812</v>
      </c>
    </row>
    <row r="10" spans="1:16">
      <c r="A10" s="587" t="s">
        <v>5641</v>
      </c>
      <c r="B10" s="578">
        <v>2123</v>
      </c>
      <c r="C10" s="300" t="s">
        <v>595</v>
      </c>
      <c r="D10" s="115" t="s">
        <v>5811</v>
      </c>
      <c r="E10" s="236"/>
      <c r="F10" s="236">
        <v>210417</v>
      </c>
      <c r="H10" s="585"/>
      <c r="I10" s="578"/>
      <c r="J10" s="300"/>
      <c r="K10" s="239"/>
      <c r="L10" s="187"/>
      <c r="M10" s="579">
        <v>3433</v>
      </c>
      <c r="N10" s="648" t="s">
        <v>5788</v>
      </c>
      <c r="O10" s="239">
        <f>O8-O9</f>
        <v>-3085</v>
      </c>
    </row>
    <row r="11" spans="1:16">
      <c r="A11" s="587" t="s">
        <v>5641</v>
      </c>
      <c r="B11" s="578">
        <v>2194</v>
      </c>
      <c r="C11" s="311" t="s">
        <v>244</v>
      </c>
      <c r="D11" s="115" t="s">
        <v>5811</v>
      </c>
      <c r="E11" s="236"/>
      <c r="F11" s="236">
        <v>20582</v>
      </c>
      <c r="L11" s="187"/>
      <c r="M11" s="336">
        <v>3440</v>
      </c>
      <c r="N11" s="648" t="s">
        <v>4861</v>
      </c>
      <c r="O11" s="239">
        <f>K36</f>
        <v>-538.25999999977648</v>
      </c>
    </row>
    <row r="12" spans="1:16">
      <c r="A12" s="587" t="s">
        <v>5641</v>
      </c>
      <c r="B12" s="578">
        <v>3110</v>
      </c>
      <c r="C12" s="311" t="s">
        <v>4882</v>
      </c>
      <c r="D12" s="115" t="s">
        <v>5811</v>
      </c>
      <c r="E12" s="236"/>
      <c r="F12" s="235">
        <v>5000000</v>
      </c>
      <c r="I12" s="583">
        <v>1000</v>
      </c>
      <c r="J12" s="300" t="s">
        <v>5786</v>
      </c>
      <c r="K12" s="232">
        <f>SUM(K3:K11)</f>
        <v>3543688.74</v>
      </c>
      <c r="L12" s="187"/>
      <c r="M12" s="336">
        <v>9000</v>
      </c>
      <c r="N12" s="648" t="s">
        <v>5789</v>
      </c>
      <c r="O12" s="232">
        <f>SUM(O3:O8)+O11</f>
        <v>3543688.74</v>
      </c>
      <c r="P12" s="581">
        <f>K12-O12</f>
        <v>0</v>
      </c>
    </row>
    <row r="13" spans="1:16">
      <c r="A13" s="587" t="s">
        <v>5641</v>
      </c>
      <c r="B13" s="578">
        <v>3430</v>
      </c>
      <c r="C13" s="311" t="s">
        <v>4883</v>
      </c>
      <c r="D13" s="115" t="s">
        <v>5811</v>
      </c>
      <c r="E13" s="236"/>
      <c r="F13" s="235">
        <f>-1588776+15879</f>
        <v>-1572897</v>
      </c>
      <c r="G13" s="581">
        <f>SUM(E2:E13)-SUM(F2:F13)</f>
        <v>0</v>
      </c>
      <c r="H13" s="940" t="s">
        <v>5782</v>
      </c>
      <c r="I13" s="940"/>
      <c r="J13" s="940"/>
      <c r="K13" s="940"/>
      <c r="M13" s="940" t="s">
        <v>5783</v>
      </c>
      <c r="N13" s="941"/>
      <c r="O13" s="941"/>
    </row>
    <row r="14" spans="1:16">
      <c r="B14" s="578"/>
      <c r="C14" s="231"/>
      <c r="D14" s="220"/>
      <c r="E14" s="236"/>
      <c r="F14" s="236"/>
      <c r="I14" s="583">
        <v>4201</v>
      </c>
      <c r="J14" s="582" t="s">
        <v>5756</v>
      </c>
      <c r="K14" s="643">
        <f>-(SUMIF($B$2:$B$196,I14,$E$2:$E$196)-SUMIF($B$2:$B$196,I14,$F$2:$F$196))</f>
        <v>2926157</v>
      </c>
      <c r="M14" s="583"/>
      <c r="N14" s="582" t="s">
        <v>5752</v>
      </c>
      <c r="O14" s="643">
        <f>K14</f>
        <v>2926157</v>
      </c>
    </row>
    <row r="15" spans="1:16">
      <c r="A15" s="587" t="s">
        <v>5643</v>
      </c>
      <c r="B15" s="578">
        <v>1121</v>
      </c>
      <c r="C15" s="61" t="s">
        <v>2917</v>
      </c>
      <c r="D15" s="115" t="s">
        <v>5650</v>
      </c>
      <c r="E15" s="235">
        <v>2203455</v>
      </c>
      <c r="F15" s="232"/>
      <c r="I15" s="583">
        <v>4202</v>
      </c>
      <c r="J15" s="582" t="s">
        <v>5753</v>
      </c>
      <c r="K15" s="643">
        <f>-(SUMIF($B$2:$B$196,I15,$E$2:$E$196)-SUMIF($B$2:$B$196,I15,$F$2:$F$196))</f>
        <v>0</v>
      </c>
      <c r="M15" s="583"/>
      <c r="N15" s="582" t="s">
        <v>5757</v>
      </c>
      <c r="O15" s="187">
        <v>3273957</v>
      </c>
    </row>
    <row r="16" spans="1:16">
      <c r="A16" s="587" t="s">
        <v>5643</v>
      </c>
      <c r="B16" s="578">
        <v>1121</v>
      </c>
      <c r="C16" s="61" t="s">
        <v>2917</v>
      </c>
      <c r="D16" s="115" t="s">
        <v>4448</v>
      </c>
      <c r="E16" s="235">
        <v>307125</v>
      </c>
      <c r="F16" s="232"/>
      <c r="I16" s="583">
        <v>4203</v>
      </c>
      <c r="J16" s="582" t="s">
        <v>5754</v>
      </c>
      <c r="K16" s="643">
        <f>-(SUMIF($B$2:$B$196,I16,$E$2:$E$196)-SUMIF($B$2:$B$196,I16,$F$2:$F$196))</f>
        <v>0</v>
      </c>
      <c r="M16" s="583"/>
      <c r="N16" s="582" t="s">
        <v>5784</v>
      </c>
      <c r="O16" s="232">
        <f>SUM(O17:O20)</f>
        <v>-347800</v>
      </c>
    </row>
    <row r="17" spans="1:16">
      <c r="A17" s="587" t="s">
        <v>5643</v>
      </c>
      <c r="B17" s="578">
        <v>1121</v>
      </c>
      <c r="C17" s="61" t="s">
        <v>2917</v>
      </c>
      <c r="D17" s="115" t="s">
        <v>4853</v>
      </c>
      <c r="E17" s="235">
        <v>28350</v>
      </c>
      <c r="F17" s="232"/>
      <c r="I17" s="583"/>
      <c r="J17" s="582" t="s">
        <v>5755</v>
      </c>
      <c r="K17" s="643">
        <f>K14-K15-K16</f>
        <v>2926157</v>
      </c>
      <c r="M17" s="583" t="s">
        <v>5740</v>
      </c>
      <c r="N17" s="582" t="s">
        <v>5758</v>
      </c>
      <c r="O17" s="232">
        <f>E41</f>
        <v>0</v>
      </c>
    </row>
    <row r="18" spans="1:16">
      <c r="A18" s="587" t="s">
        <v>5643</v>
      </c>
      <c r="B18" s="578">
        <v>2131</v>
      </c>
      <c r="C18" s="61" t="s">
        <v>1308</v>
      </c>
      <c r="D18" s="115" t="s">
        <v>4848</v>
      </c>
      <c r="E18" s="235">
        <f>20475*2+20475*7+20475*7+16380*7</f>
        <v>442260</v>
      </c>
      <c r="F18" s="232"/>
      <c r="I18" s="583"/>
      <c r="J18" s="582" t="s">
        <v>5762</v>
      </c>
      <c r="K18" s="644">
        <f>O26</f>
        <v>267771.26</v>
      </c>
      <c r="M18" s="583" t="s">
        <v>5740</v>
      </c>
      <c r="N18" s="582" t="s">
        <v>5759</v>
      </c>
      <c r="O18" s="649">
        <v>282000</v>
      </c>
    </row>
    <row r="19" spans="1:16">
      <c r="A19" s="587" t="s">
        <v>5643</v>
      </c>
      <c r="B19" s="578">
        <v>2131</v>
      </c>
      <c r="C19" s="240" t="s">
        <v>423</v>
      </c>
      <c r="D19" s="115" t="s">
        <v>5660</v>
      </c>
      <c r="E19" s="232"/>
      <c r="F19" s="235">
        <f>20475*6+20475*3+20475*3+16380*3+20475*4+20475*5</f>
        <v>479115</v>
      </c>
      <c r="I19" s="583"/>
      <c r="J19" s="582" t="s">
        <v>5763</v>
      </c>
      <c r="K19" s="644">
        <f>K17-K18</f>
        <v>2658385.7400000002</v>
      </c>
      <c r="M19" s="583" t="s">
        <v>5741</v>
      </c>
      <c r="N19" s="582" t="s">
        <v>5760</v>
      </c>
      <c r="O19" s="650">
        <v>0</v>
      </c>
    </row>
    <row r="20" spans="1:16">
      <c r="A20" s="587" t="s">
        <v>5643</v>
      </c>
      <c r="B20" s="576">
        <v>1123</v>
      </c>
      <c r="C20" s="240" t="s">
        <v>242</v>
      </c>
      <c r="D20" s="115" t="s">
        <v>5656</v>
      </c>
      <c r="E20" s="232"/>
      <c r="F20" s="574">
        <f>E17</f>
        <v>28350</v>
      </c>
      <c r="I20" s="583"/>
      <c r="J20" s="582" t="s">
        <v>5764</v>
      </c>
      <c r="K20" s="606">
        <f>K19/K$17</f>
        <v>0.90849046718955961</v>
      </c>
      <c r="M20" s="583" t="s">
        <v>5741</v>
      </c>
      <c r="N20" s="582" t="s">
        <v>5761</v>
      </c>
      <c r="O20" s="232">
        <f>-E144</f>
        <v>-629800</v>
      </c>
      <c r="P20" s="581">
        <f>O14-O15-O16</f>
        <v>0</v>
      </c>
    </row>
    <row r="21" spans="1:16">
      <c r="A21" s="587" t="s">
        <v>5643</v>
      </c>
      <c r="B21" s="576">
        <v>1123</v>
      </c>
      <c r="C21" s="240" t="s">
        <v>242</v>
      </c>
      <c r="D21" s="115" t="s">
        <v>5657</v>
      </c>
      <c r="E21" s="232"/>
      <c r="F21" s="235">
        <v>2060130</v>
      </c>
      <c r="I21" s="583"/>
      <c r="J21" s="582" t="s">
        <v>5765</v>
      </c>
      <c r="K21" s="643">
        <f>SUM(K23:K32)</f>
        <v>2659001</v>
      </c>
    </row>
    <row r="22" spans="1:16">
      <c r="A22" s="587" t="s">
        <v>5643</v>
      </c>
      <c r="B22" s="576">
        <v>1123</v>
      </c>
      <c r="C22" s="240" t="s">
        <v>242</v>
      </c>
      <c r="D22" s="115" t="s">
        <v>5658</v>
      </c>
      <c r="E22" s="232"/>
      <c r="F22" s="235">
        <v>413595</v>
      </c>
      <c r="I22" s="583"/>
      <c r="J22" s="582" t="s">
        <v>5766</v>
      </c>
      <c r="K22" s="606">
        <f>K21/K$17</f>
        <v>0.90870072931835166</v>
      </c>
      <c r="M22" s="940" t="s">
        <v>5790</v>
      </c>
      <c r="N22" s="941"/>
      <c r="O22" s="941"/>
    </row>
    <row r="23" spans="1:16">
      <c r="A23" s="587" t="s">
        <v>5643</v>
      </c>
      <c r="B23" s="577" t="s">
        <v>4859</v>
      </c>
      <c r="C23" s="61" t="s">
        <v>246</v>
      </c>
      <c r="D23" s="299" t="s">
        <v>5661</v>
      </c>
      <c r="E23" s="236">
        <v>2293935</v>
      </c>
      <c r="F23" s="187"/>
      <c r="I23" s="583">
        <v>6201</v>
      </c>
      <c r="J23" s="582" t="s">
        <v>5767</v>
      </c>
      <c r="K23" s="643">
        <f t="shared" ref="K23:K31" si="2">(SUMIF($B$2:$B$196,I23,$E$2:$E$196)-SUMIF($B$2:$B$196,I23,$F$2:$F$196))</f>
        <v>2014550</v>
      </c>
      <c r="M23" s="583"/>
      <c r="N23" s="582" t="s">
        <v>5791</v>
      </c>
      <c r="O23" s="238">
        <f>E8</f>
        <v>759183</v>
      </c>
    </row>
    <row r="24" spans="1:16">
      <c r="A24" s="587" t="s">
        <v>5643</v>
      </c>
      <c r="B24" s="577" t="s">
        <v>4860</v>
      </c>
      <c r="C24" s="231" t="s">
        <v>243</v>
      </c>
      <c r="D24" s="299" t="s">
        <v>5661</v>
      </c>
      <c r="E24" s="229"/>
      <c r="F24" s="575">
        <f>E23</f>
        <v>2293935</v>
      </c>
      <c r="G24" s="581">
        <f>SUM(E15:E24)-SUM(F15:F24)</f>
        <v>0</v>
      </c>
      <c r="I24" s="583">
        <v>6202</v>
      </c>
      <c r="J24" s="582" t="s">
        <v>5768</v>
      </c>
      <c r="K24" s="643">
        <f t="shared" si="2"/>
        <v>204000</v>
      </c>
      <c r="M24" s="583">
        <v>5201</v>
      </c>
      <c r="N24" s="582" t="s">
        <v>5792</v>
      </c>
      <c r="O24" s="239">
        <f>SUMIF($B$2:$B$196,M24,$E$2:$E$196)</f>
        <v>227282</v>
      </c>
    </row>
    <row r="25" spans="1:16">
      <c r="B25" s="577"/>
      <c r="C25" s="231"/>
      <c r="D25" s="299"/>
      <c r="E25" s="229"/>
      <c r="F25" s="229"/>
      <c r="G25" s="229"/>
      <c r="I25" s="583">
        <v>6203</v>
      </c>
      <c r="J25" s="582" t="s">
        <v>5769</v>
      </c>
      <c r="K25" s="239">
        <f t="shared" si="2"/>
        <v>610</v>
      </c>
      <c r="M25" s="583" t="s">
        <v>5741</v>
      </c>
      <c r="N25" s="582" t="s">
        <v>5793</v>
      </c>
      <c r="O25" s="605">
        <f>-K7</f>
        <v>-718693.74</v>
      </c>
    </row>
    <row r="26" spans="1:16">
      <c r="A26" s="587" t="s">
        <v>5663</v>
      </c>
      <c r="B26" s="578">
        <v>1112</v>
      </c>
      <c r="C26" s="61" t="s">
        <v>246</v>
      </c>
      <c r="D26" s="299" t="s">
        <v>5664</v>
      </c>
      <c r="E26" s="236">
        <v>537385</v>
      </c>
      <c r="F26" s="187"/>
      <c r="I26" s="583">
        <v>6205</v>
      </c>
      <c r="J26" s="582" t="s">
        <v>5770</v>
      </c>
      <c r="K26" s="186">
        <f t="shared" si="2"/>
        <v>9468</v>
      </c>
      <c r="N26" s="582" t="s">
        <v>5794</v>
      </c>
      <c r="O26" s="233">
        <f>SUM(O23:O25)</f>
        <v>267771.26</v>
      </c>
    </row>
    <row r="27" spans="1:16">
      <c r="A27" s="587" t="s">
        <v>5663</v>
      </c>
      <c r="B27" s="577">
        <v>1112</v>
      </c>
      <c r="C27" s="61" t="s">
        <v>247</v>
      </c>
      <c r="D27" s="299" t="s">
        <v>5664</v>
      </c>
      <c r="E27" s="236">
        <v>39690</v>
      </c>
      <c r="F27" s="236"/>
      <c r="H27" s="580"/>
      <c r="I27" s="583">
        <v>6207</v>
      </c>
      <c r="J27" s="582" t="s">
        <v>5771</v>
      </c>
      <c r="K27" s="186">
        <f t="shared" si="2"/>
        <v>64136</v>
      </c>
    </row>
    <row r="28" spans="1:16">
      <c r="A28" s="587" t="s">
        <v>5663</v>
      </c>
      <c r="B28" s="578">
        <v>6230</v>
      </c>
      <c r="C28" s="61" t="s">
        <v>1221</v>
      </c>
      <c r="D28" s="299" t="s">
        <v>5666</v>
      </c>
      <c r="E28" s="236">
        <v>130</v>
      </c>
      <c r="F28" s="187"/>
      <c r="I28" s="583">
        <v>6209</v>
      </c>
      <c r="J28" s="582" t="s">
        <v>5772</v>
      </c>
      <c r="K28" s="186">
        <f t="shared" si="2"/>
        <v>7030</v>
      </c>
      <c r="M28" s="940" t="s">
        <v>5797</v>
      </c>
      <c r="N28" s="940"/>
      <c r="O28" s="940"/>
    </row>
    <row r="29" spans="1:16">
      <c r="A29" s="587" t="s">
        <v>5663</v>
      </c>
      <c r="B29" s="578">
        <v>6230</v>
      </c>
      <c r="C29" s="61" t="s">
        <v>1221</v>
      </c>
      <c r="D29" s="299" t="s">
        <v>5665</v>
      </c>
      <c r="E29" s="236">
        <v>55</v>
      </c>
      <c r="F29" s="187"/>
      <c r="I29" s="583">
        <v>6213</v>
      </c>
      <c r="J29" s="582" t="s">
        <v>5773</v>
      </c>
      <c r="K29" s="186">
        <f t="shared" si="2"/>
        <v>13158</v>
      </c>
      <c r="M29" s="230">
        <v>6215</v>
      </c>
      <c r="N29" s="582" t="s">
        <v>1220</v>
      </c>
      <c r="O29" s="239">
        <f>(SUMIF($B$2:$B$196,M29,$E$2:$E$196)-SUMIF($B$2:$B$196,M29,$F$2:$F$196))</f>
        <v>2229</v>
      </c>
    </row>
    <row r="30" spans="1:16">
      <c r="A30" s="587" t="s">
        <v>5663</v>
      </c>
      <c r="B30" s="576">
        <v>1111</v>
      </c>
      <c r="C30" t="s">
        <v>876</v>
      </c>
      <c r="D30" s="299" t="s">
        <v>5670</v>
      </c>
      <c r="E30" s="236">
        <v>29400</v>
      </c>
      <c r="F30" s="187"/>
      <c r="I30" s="583">
        <v>6214</v>
      </c>
      <c r="J30" s="582" t="s">
        <v>5774</v>
      </c>
      <c r="K30" s="186">
        <f t="shared" si="2"/>
        <v>211959</v>
      </c>
      <c r="M30" s="230">
        <v>6230</v>
      </c>
      <c r="N30" s="582" t="s">
        <v>1221</v>
      </c>
      <c r="O30" s="239">
        <f>(SUMIF($B$2:$B$196,M30,$E$2:$E$196)-SUMIF($B$2:$B$196,M30,$F$2:$F$196))</f>
        <v>936</v>
      </c>
    </row>
    <row r="31" spans="1:16">
      <c r="A31" s="587" t="s">
        <v>5663</v>
      </c>
      <c r="B31" s="576">
        <v>1111</v>
      </c>
      <c r="C31" s="300" t="s">
        <v>892</v>
      </c>
      <c r="D31" s="299" t="s">
        <v>5668</v>
      </c>
      <c r="E31" s="236">
        <v>3150</v>
      </c>
      <c r="F31" s="187"/>
      <c r="I31" s="583">
        <v>6219</v>
      </c>
      <c r="J31" s="582" t="s">
        <v>5775</v>
      </c>
      <c r="K31" s="186">
        <f t="shared" si="2"/>
        <v>115200</v>
      </c>
      <c r="M31" s="230">
        <v>6232</v>
      </c>
      <c r="N31" s="582" t="s">
        <v>1218</v>
      </c>
      <c r="O31" s="239">
        <f>(SUMIF($B$2:$B$196,M31,$E$2:$E$196)-SUMIF($B$2:$B$196,M31,$F$2:$F$196))</f>
        <v>15725</v>
      </c>
    </row>
    <row r="32" spans="1:16">
      <c r="A32" s="587" t="s">
        <v>5663</v>
      </c>
      <c r="B32" s="576">
        <v>1111</v>
      </c>
      <c r="C32" s="300" t="s">
        <v>892</v>
      </c>
      <c r="D32" s="299" t="s">
        <v>5671</v>
      </c>
      <c r="E32" s="236">
        <v>4320</v>
      </c>
      <c r="F32" s="187"/>
      <c r="I32" s="583"/>
      <c r="J32" s="582" t="s">
        <v>5776</v>
      </c>
      <c r="K32" s="186">
        <f>SUM(O29:O31)</f>
        <v>18890</v>
      </c>
      <c r="N32" s="582" t="s">
        <v>2684</v>
      </c>
      <c r="O32" s="233">
        <f>SUM(O29:O31)</f>
        <v>18890</v>
      </c>
    </row>
    <row r="33" spans="1:16">
      <c r="A33" s="587" t="s">
        <v>5663</v>
      </c>
      <c r="B33" s="578">
        <v>1123</v>
      </c>
      <c r="C33" s="240" t="s">
        <v>242</v>
      </c>
      <c r="D33" s="299" t="s">
        <v>4906</v>
      </c>
      <c r="E33" s="229"/>
      <c r="F33" s="600">
        <f>SUM(E26:E32)</f>
        <v>614130</v>
      </c>
      <c r="G33" s="581">
        <f>SUM(E26:E33)-SUM(F26:F33)</f>
        <v>0</v>
      </c>
      <c r="J33" s="582" t="s">
        <v>5777</v>
      </c>
      <c r="K33" s="186">
        <f>K19-K21</f>
        <v>-615.25999999977648</v>
      </c>
      <c r="N33" s="582"/>
      <c r="O33" s="233"/>
    </row>
    <row r="34" spans="1:16">
      <c r="B34" s="263"/>
      <c r="J34" s="582" t="s">
        <v>5778</v>
      </c>
      <c r="K34" s="606">
        <f>K33/K$17</f>
        <v>-2.1026212879205608E-4</v>
      </c>
      <c r="M34" s="940" t="s">
        <v>5798</v>
      </c>
      <c r="N34" s="940"/>
      <c r="O34" s="940"/>
    </row>
    <row r="35" spans="1:16">
      <c r="I35" s="583">
        <v>7101</v>
      </c>
      <c r="J35" s="582" t="s">
        <v>5779</v>
      </c>
      <c r="K35" s="239">
        <f>-(SUMIF($B$2:$B$196,I35,$E$2:$E$196)-SUMIF($B$2:$B$196,I35,$F$2:$F$196))</f>
        <v>77</v>
      </c>
      <c r="N35" s="582" t="s">
        <v>5795</v>
      </c>
      <c r="O35" s="186">
        <f>4*12</f>
        <v>48</v>
      </c>
    </row>
    <row r="36" spans="1:16">
      <c r="A36" s="587" t="s">
        <v>5679</v>
      </c>
      <c r="B36" s="576">
        <v>1123</v>
      </c>
      <c r="C36" t="s">
        <v>3638</v>
      </c>
      <c r="D36" s="115" t="s">
        <v>5644</v>
      </c>
      <c r="E36" s="575">
        <f>F37+F38</f>
        <v>3437655</v>
      </c>
      <c r="F36" s="229"/>
      <c r="J36" s="582" t="s">
        <v>5780</v>
      </c>
      <c r="K36" s="645">
        <f>K33+K35</f>
        <v>-538.25999999977648</v>
      </c>
      <c r="M36" s="578"/>
      <c r="N36" s="582" t="s">
        <v>5796</v>
      </c>
      <c r="O36" s="186">
        <f>O35*2400</f>
        <v>115200</v>
      </c>
      <c r="P36" s="581">
        <f>K31-O36</f>
        <v>0</v>
      </c>
    </row>
    <row r="37" spans="1:16">
      <c r="A37" s="587" t="s">
        <v>5679</v>
      </c>
      <c r="B37" s="576">
        <v>4201</v>
      </c>
      <c r="C37" s="175" t="s">
        <v>337</v>
      </c>
      <c r="D37" s="115" t="s">
        <v>5644</v>
      </c>
      <c r="E37" s="229"/>
      <c r="F37" s="236">
        <v>3273957</v>
      </c>
      <c r="J37" s="582" t="s">
        <v>5781</v>
      </c>
      <c r="K37" s="606">
        <f>K36/(K$17+K$35)</f>
        <v>-1.8394291092229005E-4</v>
      </c>
      <c r="M37" s="579"/>
      <c r="N37" s="220"/>
    </row>
    <row r="38" spans="1:16">
      <c r="A38" s="587" t="s">
        <v>5679</v>
      </c>
      <c r="B38" s="576">
        <v>2194</v>
      </c>
      <c r="C38" s="175" t="s">
        <v>244</v>
      </c>
      <c r="D38" s="115" t="s">
        <v>5644</v>
      </c>
      <c r="E38" s="229"/>
      <c r="F38" s="236">
        <v>163698</v>
      </c>
      <c r="M38" s="940" t="s">
        <v>5800</v>
      </c>
      <c r="N38" s="940"/>
      <c r="O38" s="940"/>
    </row>
    <row r="39" spans="1:16">
      <c r="A39" s="587" t="s">
        <v>5679</v>
      </c>
      <c r="B39" s="576">
        <v>2131</v>
      </c>
      <c r="C39" s="310" t="s">
        <v>1308</v>
      </c>
      <c r="D39" t="s">
        <v>5645</v>
      </c>
      <c r="E39" s="172"/>
      <c r="F39" s="162"/>
      <c r="G39" s="187"/>
      <c r="N39" s="582" t="s">
        <v>5747</v>
      </c>
      <c r="O39" s="187">
        <v>2007050</v>
      </c>
    </row>
    <row r="40" spans="1:16">
      <c r="A40" s="587" t="s">
        <v>5679</v>
      </c>
      <c r="B40" s="576">
        <v>4201</v>
      </c>
      <c r="C40" s="259" t="s">
        <v>337</v>
      </c>
      <c r="D40" t="s">
        <v>5645</v>
      </c>
      <c r="E40" s="161"/>
      <c r="F40" s="594">
        <f>E39</f>
        <v>0</v>
      </c>
      <c r="G40" s="187"/>
      <c r="M40" s="583" t="s">
        <v>5741</v>
      </c>
      <c r="N40" s="582" t="s">
        <v>1396</v>
      </c>
      <c r="O40" s="187">
        <v>-49900</v>
      </c>
    </row>
    <row r="41" spans="1:16">
      <c r="A41" s="587" t="s">
        <v>5679</v>
      </c>
      <c r="B41" s="576">
        <v>4201</v>
      </c>
      <c r="C41" s="313" t="s">
        <v>1309</v>
      </c>
      <c r="D41" t="s">
        <v>5646</v>
      </c>
      <c r="E41" s="172"/>
      <c r="F41" s="162"/>
      <c r="G41" s="233"/>
      <c r="M41" s="583" t="s">
        <v>5740</v>
      </c>
      <c r="N41" s="582" t="s">
        <v>1397</v>
      </c>
      <c r="O41" s="187">
        <v>57400</v>
      </c>
    </row>
    <row r="42" spans="1:16">
      <c r="A42" s="587" t="s">
        <v>5679</v>
      </c>
      <c r="B42" s="577">
        <v>2131</v>
      </c>
      <c r="C42" s="560" t="s">
        <v>4953</v>
      </c>
      <c r="D42" t="s">
        <v>5646</v>
      </c>
      <c r="E42" s="161"/>
      <c r="F42" s="594">
        <f>E41</f>
        <v>0</v>
      </c>
      <c r="G42" s="581">
        <f>SUM(E36:E42)-SUM(F36:F42)</f>
        <v>0</v>
      </c>
      <c r="N42" s="582" t="s">
        <v>5799</v>
      </c>
      <c r="O42" s="186">
        <f>SUM(O39:O41)</f>
        <v>2014550</v>
      </c>
      <c r="P42" s="581">
        <f>K23-O42</f>
        <v>0</v>
      </c>
    </row>
    <row r="43" spans="1:16">
      <c r="A43" s="587"/>
      <c r="B43" s="577"/>
      <c r="C43" s="560"/>
      <c r="D43"/>
      <c r="E43" s="161"/>
      <c r="F43" s="161"/>
      <c r="N43" s="582"/>
    </row>
    <row r="44" spans="1:16">
      <c r="A44" s="587" t="s">
        <v>5680</v>
      </c>
      <c r="B44" s="578">
        <v>5901</v>
      </c>
      <c r="C44" s="592" t="s">
        <v>3895</v>
      </c>
      <c r="D44" s="166" t="s">
        <v>5682</v>
      </c>
      <c r="E44" s="108">
        <v>267771.26</v>
      </c>
      <c r="F44" s="106"/>
      <c r="M44" s="940" t="s">
        <v>5801</v>
      </c>
      <c r="N44" s="940"/>
      <c r="O44" s="940"/>
    </row>
    <row r="45" spans="1:16">
      <c r="A45" s="587" t="s">
        <v>5680</v>
      </c>
      <c r="B45" s="578">
        <v>1130</v>
      </c>
      <c r="C45" s="151" t="s">
        <v>3896</v>
      </c>
      <c r="D45" s="166" t="s">
        <v>5682</v>
      </c>
      <c r="E45" s="108"/>
      <c r="F45" s="595">
        <f>E44</f>
        <v>267771.26</v>
      </c>
      <c r="N45" s="582" t="s">
        <v>5747</v>
      </c>
      <c r="O45" s="187">
        <v>204000</v>
      </c>
    </row>
    <row r="46" spans="1:16">
      <c r="A46" s="587" t="s">
        <v>5680</v>
      </c>
      <c r="B46" s="578">
        <v>1130</v>
      </c>
      <c r="C46" s="593" t="s">
        <v>3889</v>
      </c>
      <c r="D46" s="6" t="s">
        <v>3890</v>
      </c>
      <c r="E46" s="15">
        <v>0</v>
      </c>
      <c r="F46" s="13"/>
      <c r="G46" s="15"/>
      <c r="M46" s="583" t="s">
        <v>5741</v>
      </c>
      <c r="N46" s="582" t="s">
        <v>1396</v>
      </c>
      <c r="O46" s="187">
        <v>0</v>
      </c>
    </row>
    <row r="47" spans="1:16">
      <c r="A47" s="587" t="s">
        <v>5680</v>
      </c>
      <c r="B47" s="578">
        <v>1130</v>
      </c>
      <c r="C47" s="593" t="s">
        <v>3891</v>
      </c>
      <c r="D47" s="166" t="s">
        <v>5683</v>
      </c>
      <c r="E47" s="197">
        <v>227282</v>
      </c>
      <c r="F47" s="16"/>
      <c r="M47" s="583" t="s">
        <v>5740</v>
      </c>
      <c r="N47" s="582" t="s">
        <v>1397</v>
      </c>
      <c r="O47" s="187">
        <v>0</v>
      </c>
    </row>
    <row r="48" spans="1:16">
      <c r="A48" s="587" t="s">
        <v>5680</v>
      </c>
      <c r="B48" s="578">
        <v>1130</v>
      </c>
      <c r="C48" s="151" t="s">
        <v>3892</v>
      </c>
      <c r="D48" s="6" t="s">
        <v>3893</v>
      </c>
      <c r="E48" s="15"/>
      <c r="F48" s="141">
        <v>0</v>
      </c>
      <c r="N48" s="582" t="s">
        <v>5802</v>
      </c>
      <c r="O48" s="186">
        <f>SUM(O45:O47)</f>
        <v>204000</v>
      </c>
    </row>
    <row r="49" spans="1:16" s="584" customFormat="1">
      <c r="A49" s="587" t="s">
        <v>5680</v>
      </c>
      <c r="B49" s="578">
        <v>5201</v>
      </c>
      <c r="C49" s="195" t="s">
        <v>4954</v>
      </c>
      <c r="D49" s="6" t="s">
        <v>3894</v>
      </c>
      <c r="E49" s="15"/>
      <c r="F49" s="596">
        <f>E46+E47-F48</f>
        <v>227282</v>
      </c>
      <c r="G49" s="581">
        <f>SUM(E44:E49)-SUM(F44:F49)</f>
        <v>0</v>
      </c>
      <c r="I49" s="186"/>
      <c r="J49" s="186"/>
      <c r="K49" s="186"/>
      <c r="L49" s="186"/>
      <c r="M49" s="186"/>
      <c r="N49" s="186"/>
      <c r="O49" s="186"/>
      <c r="P49" s="186"/>
    </row>
    <row r="50" spans="1:16" s="584" customFormat="1">
      <c r="A50" s="583"/>
      <c r="B50" s="578"/>
      <c r="C50" s="231"/>
      <c r="D50" s="220"/>
      <c r="E50" s="236"/>
      <c r="F50" s="236"/>
      <c r="G50" s="186"/>
      <c r="I50" s="186"/>
      <c r="J50" s="186"/>
      <c r="K50" s="186"/>
      <c r="L50" s="186"/>
      <c r="M50" s="186"/>
      <c r="N50" s="186"/>
      <c r="O50" s="186"/>
      <c r="P50" s="186"/>
    </row>
    <row r="51" spans="1:16" s="584" customFormat="1">
      <c r="A51" s="587" t="s">
        <v>5691</v>
      </c>
      <c r="B51" s="579">
        <v>6202</v>
      </c>
      <c r="C51" s="220" t="s">
        <v>2918</v>
      </c>
      <c r="D51" s="300" t="s">
        <v>5684</v>
      </c>
      <c r="E51" s="236">
        <f>17000*12</f>
        <v>204000</v>
      </c>
      <c r="F51" s="187"/>
      <c r="G51" s="186"/>
      <c r="I51" s="186"/>
      <c r="J51" s="186"/>
      <c r="K51" s="186"/>
      <c r="L51" s="186"/>
      <c r="M51" s="186"/>
      <c r="N51" s="186"/>
      <c r="O51" s="186"/>
      <c r="P51" s="186"/>
    </row>
    <row r="52" spans="1:16" s="584" customFormat="1">
      <c r="A52" s="587" t="s">
        <v>5691</v>
      </c>
      <c r="B52" s="578">
        <v>6230</v>
      </c>
      <c r="C52" s="61" t="s">
        <v>1221</v>
      </c>
      <c r="D52" s="582" t="s">
        <v>5685</v>
      </c>
      <c r="E52" s="236">
        <f>15*12</f>
        <v>180</v>
      </c>
      <c r="F52" s="186"/>
      <c r="G52" s="186"/>
      <c r="I52" s="186"/>
      <c r="J52" s="186"/>
      <c r="K52" s="186"/>
      <c r="L52" s="186"/>
      <c r="M52" s="186"/>
      <c r="N52" s="186"/>
      <c r="O52" s="186"/>
      <c r="P52" s="186"/>
    </row>
    <row r="53" spans="1:16" s="584" customFormat="1">
      <c r="A53" s="587" t="s">
        <v>5691</v>
      </c>
      <c r="B53" s="578">
        <v>1112</v>
      </c>
      <c r="C53" s="61" t="s">
        <v>251</v>
      </c>
      <c r="D53" s="300" t="s">
        <v>5684</v>
      </c>
      <c r="E53" s="229"/>
      <c r="F53" s="588">
        <v>204180</v>
      </c>
      <c r="G53" s="186"/>
      <c r="I53" s="186"/>
      <c r="J53" s="186"/>
      <c r="K53" s="186"/>
      <c r="L53" s="186"/>
      <c r="M53" s="186"/>
      <c r="N53" s="186"/>
      <c r="O53" s="186"/>
      <c r="P53" s="186"/>
    </row>
    <row r="54" spans="1:16" s="584" customFormat="1">
      <c r="A54" s="587" t="s">
        <v>5691</v>
      </c>
      <c r="B54" s="577">
        <v>1112</v>
      </c>
      <c r="C54" s="61" t="s">
        <v>247</v>
      </c>
      <c r="D54" s="300" t="s">
        <v>5686</v>
      </c>
      <c r="E54" s="236">
        <v>3</v>
      </c>
      <c r="F54" s="187"/>
      <c r="G54" s="186"/>
      <c r="I54" s="186"/>
      <c r="J54" s="186"/>
      <c r="K54" s="186"/>
      <c r="L54" s="186"/>
      <c r="M54" s="186"/>
      <c r="N54" s="186"/>
      <c r="O54" s="186"/>
      <c r="P54" s="186"/>
    </row>
    <row r="55" spans="1:16" s="584" customFormat="1">
      <c r="A55" s="587" t="s">
        <v>5691</v>
      </c>
      <c r="B55" s="578">
        <v>7101</v>
      </c>
      <c r="C55" s="186" t="s">
        <v>2787</v>
      </c>
      <c r="D55" s="300" t="s">
        <v>5686</v>
      </c>
      <c r="E55" s="229"/>
      <c r="F55" s="588">
        <f>E54</f>
        <v>3</v>
      </c>
      <c r="G55" s="186"/>
      <c r="I55" s="186"/>
      <c r="J55" s="186"/>
      <c r="K55" s="186"/>
      <c r="L55" s="186"/>
      <c r="M55" s="186"/>
      <c r="N55" s="186"/>
      <c r="O55" s="186"/>
      <c r="P55" s="186"/>
    </row>
    <row r="56" spans="1:16" s="584" customFormat="1">
      <c r="A56" s="587" t="s">
        <v>5691</v>
      </c>
      <c r="B56" s="577">
        <v>1112</v>
      </c>
      <c r="C56" s="61" t="s">
        <v>247</v>
      </c>
      <c r="D56" s="300" t="s">
        <v>5687</v>
      </c>
      <c r="E56" s="236">
        <v>1</v>
      </c>
      <c r="F56" s="187"/>
      <c r="G56" s="186"/>
      <c r="I56" s="186"/>
      <c r="J56" s="186"/>
      <c r="K56" s="186"/>
      <c r="L56" s="186"/>
      <c r="M56" s="186"/>
      <c r="N56" s="186"/>
      <c r="O56" s="186"/>
      <c r="P56" s="186"/>
    </row>
    <row r="57" spans="1:16" s="584" customFormat="1">
      <c r="A57" s="587" t="s">
        <v>5691</v>
      </c>
      <c r="B57" s="578">
        <v>7101</v>
      </c>
      <c r="C57" s="186" t="s">
        <v>2787</v>
      </c>
      <c r="D57" s="300" t="s">
        <v>5687</v>
      </c>
      <c r="E57" s="229"/>
      <c r="F57" s="588">
        <f>E56</f>
        <v>1</v>
      </c>
      <c r="G57" s="186"/>
      <c r="I57" s="186"/>
      <c r="J57" s="186"/>
      <c r="K57" s="186"/>
      <c r="L57" s="186"/>
      <c r="M57" s="186"/>
      <c r="N57" s="186"/>
      <c r="O57" s="186"/>
      <c r="P57" s="186"/>
    </row>
    <row r="58" spans="1:16" s="584" customFormat="1">
      <c r="A58" s="587" t="s">
        <v>5691</v>
      </c>
      <c r="B58" s="578">
        <v>1112</v>
      </c>
      <c r="C58" s="61" t="s">
        <v>246</v>
      </c>
      <c r="D58" s="61" t="s">
        <v>2786</v>
      </c>
      <c r="E58" s="236">
        <v>27</v>
      </c>
      <c r="F58" s="187"/>
      <c r="G58" s="186"/>
      <c r="I58" s="186"/>
      <c r="J58" s="186"/>
      <c r="K58" s="186"/>
      <c r="L58" s="186"/>
      <c r="M58" s="186"/>
      <c r="N58" s="186"/>
      <c r="O58" s="186"/>
      <c r="P58" s="186"/>
    </row>
    <row r="59" spans="1:16" s="584" customFormat="1">
      <c r="A59" s="587" t="s">
        <v>5691</v>
      </c>
      <c r="B59" s="578">
        <v>7101</v>
      </c>
      <c r="C59" s="186" t="s">
        <v>2787</v>
      </c>
      <c r="D59" s="61" t="s">
        <v>2786</v>
      </c>
      <c r="E59" s="229"/>
      <c r="F59" s="588">
        <f>E58</f>
        <v>27</v>
      </c>
      <c r="G59" s="186"/>
      <c r="I59" s="186"/>
      <c r="J59" s="186"/>
      <c r="K59" s="186"/>
      <c r="L59" s="186"/>
      <c r="M59" s="186"/>
      <c r="N59" s="186"/>
      <c r="O59" s="186"/>
      <c r="P59" s="186"/>
    </row>
    <row r="60" spans="1:16" s="584" customFormat="1">
      <c r="A60" s="587" t="s">
        <v>5691</v>
      </c>
      <c r="B60" s="578">
        <v>1112</v>
      </c>
      <c r="C60" s="61" t="s">
        <v>246</v>
      </c>
      <c r="D60" s="61" t="s">
        <v>2788</v>
      </c>
      <c r="E60" s="236">
        <v>46</v>
      </c>
      <c r="F60" s="187"/>
      <c r="G60" s="186"/>
      <c r="I60" s="186"/>
      <c r="J60" s="186"/>
      <c r="K60" s="186"/>
      <c r="L60" s="186"/>
      <c r="M60" s="186"/>
      <c r="N60" s="186"/>
      <c r="O60" s="186"/>
      <c r="P60" s="186"/>
    </row>
    <row r="61" spans="1:16" s="584" customFormat="1">
      <c r="A61" s="587" t="s">
        <v>5691</v>
      </c>
      <c r="B61" s="578">
        <v>7101</v>
      </c>
      <c r="C61" s="186" t="s">
        <v>2787</v>
      </c>
      <c r="D61" s="61" t="s">
        <v>2788</v>
      </c>
      <c r="E61" s="229"/>
      <c r="F61" s="588">
        <f>E60</f>
        <v>46</v>
      </c>
      <c r="G61" s="186"/>
      <c r="I61" s="186"/>
      <c r="J61" s="186"/>
      <c r="K61" s="186"/>
      <c r="L61" s="186"/>
      <c r="M61" s="186"/>
      <c r="N61" s="186"/>
      <c r="O61" s="186"/>
      <c r="P61" s="186"/>
    </row>
    <row r="62" spans="1:16" s="584" customFormat="1">
      <c r="A62" s="587" t="s">
        <v>5691</v>
      </c>
      <c r="B62" s="579">
        <v>6214</v>
      </c>
      <c r="C62" s="220" t="s">
        <v>2789</v>
      </c>
      <c r="D62" s="299" t="s">
        <v>5688</v>
      </c>
      <c r="E62" s="236">
        <v>63524</v>
      </c>
      <c r="F62" s="187"/>
      <c r="G62" s="186"/>
      <c r="I62" s="186"/>
      <c r="J62" s="186"/>
      <c r="K62" s="186"/>
      <c r="L62" s="186"/>
      <c r="M62" s="186"/>
      <c r="N62" s="186"/>
      <c r="O62" s="186"/>
      <c r="P62" s="186"/>
    </row>
    <row r="63" spans="1:16" s="584" customFormat="1">
      <c r="A63" s="587" t="s">
        <v>5691</v>
      </c>
      <c r="B63" s="579">
        <v>6214</v>
      </c>
      <c r="C63" s="220" t="s">
        <v>2789</v>
      </c>
      <c r="D63" s="299" t="s">
        <v>4945</v>
      </c>
      <c r="E63" s="236">
        <v>25330</v>
      </c>
      <c r="F63" s="187"/>
      <c r="G63" s="186"/>
      <c r="I63" s="186"/>
      <c r="J63" s="186"/>
      <c r="K63" s="186"/>
      <c r="L63" s="186"/>
      <c r="M63" s="186"/>
      <c r="N63" s="186"/>
      <c r="O63" s="186"/>
      <c r="P63" s="186"/>
    </row>
    <row r="64" spans="1:16" s="584" customFormat="1">
      <c r="A64" s="587" t="s">
        <v>5691</v>
      </c>
      <c r="B64" s="578">
        <v>1112</v>
      </c>
      <c r="C64" s="220" t="s">
        <v>251</v>
      </c>
      <c r="D64" s="299" t="s">
        <v>5688</v>
      </c>
      <c r="E64" s="229"/>
      <c r="F64" s="588">
        <f>SUM(E62:E63)</f>
        <v>88854</v>
      </c>
      <c r="G64" s="186"/>
      <c r="I64" s="186"/>
      <c r="J64" s="186"/>
      <c r="K64" s="186"/>
      <c r="L64" s="186"/>
      <c r="M64" s="186"/>
      <c r="N64" s="186"/>
      <c r="O64" s="186"/>
      <c r="P64" s="186"/>
    </row>
    <row r="65" spans="1:16" s="584" customFormat="1">
      <c r="A65" s="587" t="s">
        <v>5691</v>
      </c>
      <c r="B65" s="579">
        <v>6214</v>
      </c>
      <c r="C65" s="220" t="s">
        <v>2790</v>
      </c>
      <c r="D65" s="300" t="s">
        <v>5689</v>
      </c>
      <c r="E65" s="236">
        <v>73452</v>
      </c>
      <c r="F65" s="187"/>
      <c r="G65" s="186"/>
      <c r="I65" s="186"/>
      <c r="J65" s="186"/>
      <c r="K65" s="186"/>
      <c r="L65" s="186"/>
      <c r="M65" s="186"/>
      <c r="N65" s="186"/>
      <c r="O65" s="186"/>
      <c r="P65" s="186"/>
    </row>
    <row r="66" spans="1:16" s="584" customFormat="1">
      <c r="A66" s="587" t="s">
        <v>5691</v>
      </c>
      <c r="B66" s="578">
        <v>1112</v>
      </c>
      <c r="C66" s="61" t="s">
        <v>251</v>
      </c>
      <c r="D66" s="300" t="s">
        <v>5689</v>
      </c>
      <c r="E66" s="229"/>
      <c r="F66" s="588">
        <f>E65</f>
        <v>73452</v>
      </c>
      <c r="G66" s="186"/>
      <c r="I66" s="186"/>
      <c r="J66" s="186"/>
      <c r="K66" s="186"/>
      <c r="L66" s="186"/>
      <c r="M66" s="186"/>
      <c r="N66" s="186"/>
      <c r="O66" s="186"/>
      <c r="P66" s="186"/>
    </row>
    <row r="67" spans="1:16" s="584" customFormat="1">
      <c r="A67" s="587" t="s">
        <v>5691</v>
      </c>
      <c r="B67" s="579">
        <v>6214</v>
      </c>
      <c r="C67" s="220" t="s">
        <v>2791</v>
      </c>
      <c r="D67" s="300" t="s">
        <v>5690</v>
      </c>
      <c r="E67" s="236">
        <v>49653</v>
      </c>
      <c r="F67" s="187"/>
      <c r="G67" s="186"/>
      <c r="I67" s="186"/>
      <c r="J67" s="186"/>
      <c r="K67" s="186"/>
      <c r="L67" s="186"/>
      <c r="M67" s="186"/>
      <c r="N67" s="186"/>
      <c r="O67" s="186"/>
      <c r="P67" s="186"/>
    </row>
    <row r="68" spans="1:16" s="584" customFormat="1">
      <c r="A68" s="587" t="s">
        <v>5691</v>
      </c>
      <c r="B68" s="578">
        <v>1112</v>
      </c>
      <c r="C68" s="61" t="s">
        <v>251</v>
      </c>
      <c r="D68" s="300" t="s">
        <v>5690</v>
      </c>
      <c r="E68" s="229"/>
      <c r="F68" s="588">
        <f>E67</f>
        <v>49653</v>
      </c>
      <c r="G68" s="581">
        <f>SUM(E51:E68)-SUM(F51:F68)</f>
        <v>0</v>
      </c>
      <c r="I68" s="186"/>
      <c r="J68" s="186"/>
      <c r="K68" s="186"/>
      <c r="L68" s="186"/>
      <c r="M68" s="186"/>
      <c r="N68" s="186"/>
      <c r="O68" s="186"/>
      <c r="P68" s="186"/>
    </row>
    <row r="69" spans="1:16" s="584" customFormat="1">
      <c r="A69" s="583"/>
      <c r="B69" s="263"/>
      <c r="C69" s="151"/>
      <c r="D69" s="61"/>
      <c r="E69" s="234"/>
      <c r="F69" s="186"/>
      <c r="G69" s="186"/>
      <c r="I69" s="186"/>
      <c r="J69" s="186"/>
      <c r="K69" s="186"/>
      <c r="L69" s="186"/>
      <c r="M69" s="186"/>
      <c r="N69" s="186"/>
      <c r="O69" s="186"/>
      <c r="P69" s="186"/>
    </row>
    <row r="70" spans="1:16" s="584" customFormat="1">
      <c r="A70" s="587" t="s">
        <v>5692</v>
      </c>
      <c r="B70" s="579">
        <v>6207</v>
      </c>
      <c r="C70" s="134" t="s">
        <v>1215</v>
      </c>
      <c r="D70" s="134" t="s">
        <v>5700</v>
      </c>
      <c r="E70" s="239">
        <v>58803</v>
      </c>
      <c r="F70" s="236"/>
      <c r="G70" s="186"/>
      <c r="I70" s="186"/>
      <c r="J70" s="186"/>
      <c r="K70" s="186"/>
      <c r="L70" s="186"/>
      <c r="M70" s="186"/>
      <c r="N70" s="186"/>
      <c r="O70" s="186"/>
      <c r="P70" s="186"/>
    </row>
    <row r="71" spans="1:16" s="584" customFormat="1">
      <c r="A71" s="587" t="s">
        <v>5692</v>
      </c>
      <c r="B71" s="579">
        <v>1194</v>
      </c>
      <c r="C71" s="134" t="s">
        <v>3798</v>
      </c>
      <c r="D71" s="134" t="s">
        <v>5700</v>
      </c>
      <c r="E71" s="236">
        <v>2943</v>
      </c>
      <c r="F71" s="236"/>
      <c r="G71" s="186"/>
      <c r="I71" s="186"/>
      <c r="J71" s="186"/>
      <c r="K71" s="186"/>
      <c r="L71" s="186"/>
      <c r="M71" s="186"/>
      <c r="N71" s="186"/>
      <c r="O71" s="186"/>
      <c r="P71" s="186"/>
    </row>
    <row r="72" spans="1:16" s="584" customFormat="1">
      <c r="A72" s="587" t="s">
        <v>5692</v>
      </c>
      <c r="B72" s="578">
        <v>1112</v>
      </c>
      <c r="C72" s="61" t="s">
        <v>251</v>
      </c>
      <c r="D72" s="134" t="s">
        <v>5700</v>
      </c>
      <c r="E72" s="237"/>
      <c r="F72" s="239">
        <v>61746</v>
      </c>
      <c r="G72" s="186"/>
      <c r="I72" s="186"/>
      <c r="J72" s="186"/>
      <c r="K72" s="186"/>
      <c r="L72" s="186"/>
      <c r="M72" s="186"/>
      <c r="N72" s="186"/>
      <c r="O72" s="186"/>
      <c r="P72" s="186"/>
    </row>
    <row r="73" spans="1:16" s="584" customFormat="1">
      <c r="A73" s="587" t="s">
        <v>5692</v>
      </c>
      <c r="B73" s="579">
        <v>6213</v>
      </c>
      <c r="C73" s="134" t="s">
        <v>877</v>
      </c>
      <c r="D73" s="134" t="s">
        <v>5701</v>
      </c>
      <c r="E73" s="239">
        <v>12031</v>
      </c>
      <c r="F73" s="236"/>
      <c r="G73" s="186"/>
      <c r="I73" s="186"/>
      <c r="J73" s="186"/>
      <c r="K73" s="186"/>
      <c r="L73" s="186"/>
      <c r="M73" s="186"/>
      <c r="N73" s="186"/>
      <c r="O73" s="186"/>
      <c r="P73" s="186"/>
    </row>
    <row r="74" spans="1:16" s="584" customFormat="1">
      <c r="A74" s="587" t="s">
        <v>5692</v>
      </c>
      <c r="B74" s="579">
        <v>1194</v>
      </c>
      <c r="C74" s="134" t="s">
        <v>3798</v>
      </c>
      <c r="D74" s="134" t="s">
        <v>5701</v>
      </c>
      <c r="E74" s="236">
        <v>602</v>
      </c>
      <c r="F74" s="236"/>
      <c r="G74" s="186"/>
      <c r="I74" s="186"/>
      <c r="J74" s="186"/>
      <c r="K74" s="186"/>
      <c r="L74" s="186"/>
      <c r="M74" s="186"/>
      <c r="N74" s="186"/>
      <c r="O74" s="186"/>
      <c r="P74" s="186"/>
    </row>
    <row r="75" spans="1:16" s="584" customFormat="1">
      <c r="A75" s="587" t="s">
        <v>5692</v>
      </c>
      <c r="B75" s="578">
        <v>1112</v>
      </c>
      <c r="C75" s="61" t="s">
        <v>251</v>
      </c>
      <c r="D75" s="134" t="s">
        <v>5701</v>
      </c>
      <c r="E75" s="237"/>
      <c r="F75" s="239">
        <v>12633</v>
      </c>
      <c r="G75" s="186"/>
      <c r="I75" s="186"/>
      <c r="J75" s="186"/>
      <c r="K75" s="186"/>
      <c r="L75" s="186"/>
      <c r="M75" s="186"/>
      <c r="N75" s="186"/>
      <c r="O75" s="186"/>
      <c r="P75" s="186"/>
    </row>
    <row r="76" spans="1:16" s="584" customFormat="1">
      <c r="A76" s="587" t="s">
        <v>5692</v>
      </c>
      <c r="B76" s="579">
        <v>1111</v>
      </c>
      <c r="C76" s="134" t="s">
        <v>463</v>
      </c>
      <c r="D76" s="134" t="s">
        <v>464</v>
      </c>
      <c r="E76" s="236">
        <v>25000</v>
      </c>
      <c r="F76" s="236"/>
      <c r="G76" s="186"/>
      <c r="I76" s="186"/>
      <c r="J76" s="186"/>
      <c r="K76" s="186"/>
      <c r="L76" s="186"/>
      <c r="M76" s="186"/>
      <c r="N76" s="186"/>
      <c r="O76" s="186"/>
      <c r="P76" s="186"/>
    </row>
    <row r="77" spans="1:16" s="584" customFormat="1">
      <c r="A77" s="587" t="s">
        <v>5692</v>
      </c>
      <c r="B77" s="578">
        <v>1112</v>
      </c>
      <c r="C77" s="61" t="s">
        <v>251</v>
      </c>
      <c r="D77" s="134" t="s">
        <v>464</v>
      </c>
      <c r="E77" s="237"/>
      <c r="F77" s="589">
        <f>E76</f>
        <v>25000</v>
      </c>
      <c r="G77" s="581">
        <f>SUM(E70:E77)-SUM(F70:F77)</f>
        <v>0</v>
      </c>
      <c r="I77" s="186"/>
      <c r="J77" s="186"/>
      <c r="K77" s="186"/>
      <c r="L77" s="186"/>
      <c r="M77" s="186"/>
      <c r="N77" s="186"/>
      <c r="O77" s="186"/>
      <c r="P77" s="186"/>
    </row>
    <row r="78" spans="1:16" s="584" customFormat="1">
      <c r="A78" s="583"/>
      <c r="B78" s="263"/>
      <c r="C78" s="151"/>
      <c r="D78" s="61"/>
      <c r="E78" s="234"/>
      <c r="F78" s="186"/>
      <c r="G78" s="186"/>
      <c r="I78" s="186"/>
      <c r="J78" s="186"/>
      <c r="K78" s="186"/>
      <c r="L78" s="186"/>
      <c r="M78" s="186"/>
      <c r="N78" s="186"/>
      <c r="O78" s="186"/>
      <c r="P78" s="186"/>
    </row>
    <row r="79" spans="1:16" s="584" customFormat="1">
      <c r="A79" s="587" t="s">
        <v>5693</v>
      </c>
      <c r="B79" s="579">
        <v>6201</v>
      </c>
      <c r="C79" s="134" t="s">
        <v>2919</v>
      </c>
      <c r="D79" s="134" t="s">
        <v>5702</v>
      </c>
      <c r="E79" s="239">
        <v>2007050</v>
      </c>
      <c r="F79" s="236"/>
      <c r="G79" s="186"/>
      <c r="I79" s="186"/>
      <c r="J79" s="186"/>
      <c r="K79" s="186"/>
      <c r="L79" s="186"/>
      <c r="M79" s="186"/>
      <c r="N79" s="186"/>
      <c r="O79" s="186"/>
      <c r="P79" s="186"/>
    </row>
    <row r="80" spans="1:16" s="584" customFormat="1">
      <c r="A80" s="587" t="s">
        <v>5693</v>
      </c>
      <c r="B80" s="579">
        <v>6201</v>
      </c>
      <c r="C80" s="134" t="s">
        <v>2919</v>
      </c>
      <c r="D80" s="554" t="s">
        <v>5703</v>
      </c>
      <c r="E80" s="239">
        <v>189600</v>
      </c>
      <c r="F80" s="236"/>
      <c r="G80" s="186"/>
      <c r="I80" s="186"/>
      <c r="J80" s="186"/>
      <c r="K80" s="186"/>
      <c r="L80" s="186"/>
      <c r="M80" s="186"/>
      <c r="N80" s="186"/>
      <c r="O80" s="186"/>
      <c r="P80" s="186"/>
    </row>
    <row r="81" spans="1:16" s="584" customFormat="1">
      <c r="A81" s="587" t="s">
        <v>5693</v>
      </c>
      <c r="B81" s="579">
        <v>6201</v>
      </c>
      <c r="C81" s="134" t="s">
        <v>605</v>
      </c>
      <c r="D81" s="554" t="s">
        <v>4914</v>
      </c>
      <c r="E81" s="239"/>
      <c r="F81" s="239">
        <v>182100</v>
      </c>
      <c r="G81" s="186"/>
      <c r="I81" s="186"/>
      <c r="J81" s="186"/>
      <c r="K81" s="186"/>
      <c r="L81" s="186"/>
      <c r="M81" s="186"/>
      <c r="N81" s="186"/>
      <c r="O81" s="186"/>
      <c r="P81" s="186"/>
    </row>
    <row r="82" spans="1:16" s="584" customFormat="1">
      <c r="A82" s="587" t="s">
        <v>5693</v>
      </c>
      <c r="B82" s="578">
        <v>2123</v>
      </c>
      <c r="C82" s="61" t="s">
        <v>595</v>
      </c>
      <c r="D82" s="134" t="s">
        <v>5704</v>
      </c>
      <c r="E82" s="237"/>
      <c r="F82" s="589">
        <f>E79+E80-F81</f>
        <v>2014550</v>
      </c>
      <c r="G82" s="186"/>
      <c r="I82" s="186"/>
      <c r="J82" s="186"/>
      <c r="K82" s="186"/>
      <c r="L82" s="186"/>
      <c r="M82" s="186"/>
      <c r="N82" s="186"/>
      <c r="O82" s="186"/>
      <c r="P82" s="186"/>
    </row>
    <row r="83" spans="1:16" s="584" customFormat="1">
      <c r="A83" s="587" t="s">
        <v>5693</v>
      </c>
      <c r="B83" s="579">
        <v>6219</v>
      </c>
      <c r="C83" s="134" t="s">
        <v>2920</v>
      </c>
      <c r="D83" s="134" t="s">
        <v>5707</v>
      </c>
      <c r="E83" s="236">
        <v>57600</v>
      </c>
      <c r="F83" s="236"/>
      <c r="G83" s="186"/>
      <c r="I83" s="186"/>
      <c r="J83" s="186"/>
      <c r="K83" s="186"/>
      <c r="L83" s="186"/>
      <c r="M83" s="186"/>
      <c r="N83" s="186"/>
      <c r="O83" s="186"/>
      <c r="P83" s="186"/>
    </row>
    <row r="84" spans="1:16" s="584" customFormat="1">
      <c r="A84" s="587" t="s">
        <v>5693</v>
      </c>
      <c r="B84" s="578">
        <v>2123</v>
      </c>
      <c r="C84" s="61" t="s">
        <v>595</v>
      </c>
      <c r="D84" s="134" t="s">
        <v>5707</v>
      </c>
      <c r="E84" s="234"/>
      <c r="F84" s="588">
        <f>E83</f>
        <v>57600</v>
      </c>
      <c r="G84" s="186"/>
      <c r="I84" s="186"/>
      <c r="J84" s="186"/>
      <c r="K84" s="186"/>
      <c r="L84" s="186"/>
      <c r="M84" s="186"/>
      <c r="N84" s="186"/>
      <c r="O84" s="186"/>
      <c r="P84" s="186"/>
    </row>
    <row r="85" spans="1:16" s="584" customFormat="1">
      <c r="A85" s="587" t="s">
        <v>5693</v>
      </c>
      <c r="B85" s="579">
        <v>6219</v>
      </c>
      <c r="C85" s="134" t="s">
        <v>2920</v>
      </c>
      <c r="D85" s="134" t="s">
        <v>5708</v>
      </c>
      <c r="E85" s="236">
        <f>2400*12*2</f>
        <v>57600</v>
      </c>
      <c r="F85" s="236"/>
      <c r="G85" s="186"/>
      <c r="I85" s="186"/>
      <c r="J85" s="186"/>
      <c r="K85" s="186"/>
      <c r="L85" s="186"/>
      <c r="M85" s="186"/>
      <c r="N85" s="186"/>
      <c r="O85" s="186"/>
      <c r="P85" s="186"/>
    </row>
    <row r="86" spans="1:16" s="584" customFormat="1">
      <c r="A86" s="587" t="s">
        <v>5693</v>
      </c>
      <c r="B86" s="578">
        <v>2123</v>
      </c>
      <c r="C86" s="61" t="s">
        <v>595</v>
      </c>
      <c r="D86" s="134" t="s">
        <v>5708</v>
      </c>
      <c r="E86" s="237"/>
      <c r="F86" s="588">
        <f>E85</f>
        <v>57600</v>
      </c>
      <c r="G86" s="186"/>
      <c r="I86" s="186"/>
      <c r="J86" s="186"/>
      <c r="K86" s="186"/>
      <c r="L86" s="186"/>
      <c r="M86" s="186"/>
      <c r="N86" s="186"/>
      <c r="O86" s="186"/>
      <c r="P86" s="186"/>
    </row>
    <row r="87" spans="1:16" s="584" customFormat="1">
      <c r="A87" s="587" t="s">
        <v>5693</v>
      </c>
      <c r="B87" s="578">
        <v>2123</v>
      </c>
      <c r="C87" s="61" t="s">
        <v>1214</v>
      </c>
      <c r="D87" s="134" t="s">
        <v>5709</v>
      </c>
      <c r="E87" s="589">
        <f>F88+F89</f>
        <v>1363397</v>
      </c>
      <c r="F87" s="233"/>
      <c r="G87" s="186"/>
      <c r="I87" s="186"/>
      <c r="J87" s="186"/>
      <c r="K87" s="186"/>
      <c r="L87" s="186"/>
      <c r="M87" s="186"/>
      <c r="N87" s="186"/>
      <c r="O87" s="186"/>
      <c r="P87" s="186"/>
    </row>
    <row r="88" spans="1:16" s="584" customFormat="1">
      <c r="A88" s="587" t="s">
        <v>5693</v>
      </c>
      <c r="B88" s="578">
        <v>1112</v>
      </c>
      <c r="C88" s="61" t="s">
        <v>251</v>
      </c>
      <c r="D88" s="134" t="s">
        <v>5709</v>
      </c>
      <c r="E88" s="237"/>
      <c r="F88" s="233">
        <v>1328071</v>
      </c>
      <c r="G88" s="186"/>
      <c r="I88" s="186"/>
      <c r="J88" s="186"/>
      <c r="K88" s="186"/>
      <c r="L88" s="186"/>
      <c r="M88" s="186"/>
      <c r="N88" s="186"/>
      <c r="O88" s="186"/>
      <c r="P88" s="186"/>
    </row>
    <row r="89" spans="1:16" s="584" customFormat="1">
      <c r="A89" s="587" t="s">
        <v>5693</v>
      </c>
      <c r="B89" s="578">
        <v>1112</v>
      </c>
      <c r="C89" s="300" t="s">
        <v>249</v>
      </c>
      <c r="D89" s="134" t="s">
        <v>5709</v>
      </c>
      <c r="E89" s="237"/>
      <c r="F89" s="233">
        <v>35326</v>
      </c>
      <c r="G89" s="581">
        <f>SUM(E79:E89)-SUM(F79:F89)</f>
        <v>0</v>
      </c>
      <c r="I89" s="186"/>
      <c r="J89" s="186"/>
      <c r="K89" s="186"/>
      <c r="L89" s="186"/>
      <c r="M89" s="186"/>
      <c r="N89" s="186"/>
      <c r="O89" s="186"/>
      <c r="P89" s="186"/>
    </row>
    <row r="90" spans="1:16" s="584" customFormat="1">
      <c r="A90" s="583"/>
      <c r="B90" s="263"/>
      <c r="C90" s="151"/>
      <c r="D90" s="61"/>
      <c r="E90" s="234"/>
      <c r="F90" s="186"/>
      <c r="G90" s="186"/>
      <c r="I90" s="186"/>
      <c r="J90" s="186"/>
      <c r="K90" s="186"/>
      <c r="L90" s="186"/>
      <c r="M90" s="186"/>
      <c r="N90" s="186"/>
      <c r="O90" s="186"/>
      <c r="P90" s="186"/>
    </row>
    <row r="91" spans="1:16" s="584" customFormat="1">
      <c r="A91" s="587" t="s">
        <v>5694</v>
      </c>
      <c r="B91" s="578">
        <v>2194</v>
      </c>
      <c r="C91" s="61" t="s">
        <v>1216</v>
      </c>
      <c r="D91" s="245" t="s">
        <v>5710</v>
      </c>
      <c r="E91" s="236">
        <v>15030</v>
      </c>
      <c r="F91" s="232"/>
      <c r="G91" s="186"/>
      <c r="I91" s="186"/>
      <c r="J91" s="186"/>
      <c r="K91" s="186"/>
      <c r="L91" s="186"/>
      <c r="M91" s="186"/>
      <c r="N91" s="186"/>
      <c r="O91" s="186"/>
      <c r="P91" s="186"/>
    </row>
    <row r="92" spans="1:16" s="584" customFormat="1">
      <c r="A92" s="587" t="s">
        <v>5694</v>
      </c>
      <c r="B92" s="579">
        <v>1194</v>
      </c>
      <c r="C92" s="300" t="s">
        <v>3798</v>
      </c>
      <c r="D92" s="245" t="s">
        <v>5711</v>
      </c>
      <c r="E92" s="232"/>
      <c r="F92" s="232"/>
      <c r="G92" s="186"/>
      <c r="I92" s="186"/>
      <c r="J92" s="186"/>
      <c r="K92" s="186"/>
      <c r="L92" s="186"/>
      <c r="M92" s="186"/>
      <c r="N92" s="186"/>
      <c r="O92" s="186"/>
      <c r="P92" s="186"/>
    </row>
    <row r="93" spans="1:16" s="584" customFormat="1">
      <c r="A93" s="587" t="s">
        <v>5694</v>
      </c>
      <c r="B93" s="579">
        <v>1194</v>
      </c>
      <c r="C93" s="61" t="s">
        <v>596</v>
      </c>
      <c r="D93" s="245" t="s">
        <v>5712</v>
      </c>
      <c r="E93" s="236"/>
      <c r="F93" s="232">
        <v>15030</v>
      </c>
      <c r="G93" s="186"/>
      <c r="I93" s="186"/>
      <c r="J93" s="186"/>
      <c r="K93" s="186"/>
      <c r="L93" s="186"/>
      <c r="M93" s="186"/>
      <c r="N93" s="186"/>
      <c r="O93" s="186"/>
      <c r="P93" s="186"/>
    </row>
    <row r="94" spans="1:16" s="584" customFormat="1">
      <c r="A94" s="587" t="s">
        <v>5694</v>
      </c>
      <c r="B94" s="577">
        <v>2194</v>
      </c>
      <c r="C94" s="300" t="s">
        <v>1216</v>
      </c>
      <c r="D94" s="300" t="s">
        <v>5713</v>
      </c>
      <c r="E94" s="233">
        <v>131888</v>
      </c>
      <c r="F94" s="187"/>
      <c r="G94" s="186"/>
      <c r="I94" s="186"/>
      <c r="J94" s="186"/>
      <c r="K94" s="186"/>
      <c r="L94" s="186"/>
      <c r="M94" s="186"/>
      <c r="N94" s="186"/>
      <c r="O94" s="186"/>
      <c r="P94" s="186"/>
    </row>
    <row r="95" spans="1:16" s="584" customFormat="1">
      <c r="A95" s="587" t="s">
        <v>5663</v>
      </c>
      <c r="B95" s="576">
        <v>1111</v>
      </c>
      <c r="C95" t="s">
        <v>5748</v>
      </c>
      <c r="D95" s="299" t="s">
        <v>5670</v>
      </c>
      <c r="E95" s="236"/>
      <c r="F95" s="236">
        <v>29400</v>
      </c>
      <c r="G95" s="186"/>
      <c r="I95" s="186"/>
      <c r="J95" s="186"/>
      <c r="K95" s="186"/>
      <c r="L95" s="186"/>
      <c r="M95" s="186"/>
      <c r="N95" s="186"/>
      <c r="O95" s="186"/>
      <c r="P95" s="186"/>
    </row>
    <row r="96" spans="1:16" s="584" customFormat="1">
      <c r="A96" s="587" t="s">
        <v>5694</v>
      </c>
      <c r="B96" s="578">
        <v>1112</v>
      </c>
      <c r="C96" s="61" t="s">
        <v>251</v>
      </c>
      <c r="D96" s="300" t="s">
        <v>5713</v>
      </c>
      <c r="E96" s="229"/>
      <c r="F96" s="236">
        <v>102488</v>
      </c>
      <c r="G96" s="581">
        <f>SUM(E91:E96)-SUM(F91:F96)</f>
        <v>0</v>
      </c>
      <c r="I96" s="186"/>
      <c r="J96" s="186"/>
      <c r="K96" s="186"/>
      <c r="L96" s="186"/>
      <c r="M96" s="186"/>
      <c r="N96" s="186"/>
      <c r="O96" s="186"/>
      <c r="P96" s="186"/>
    </row>
    <row r="97" spans="1:16" s="584" customFormat="1">
      <c r="A97" s="583"/>
      <c r="B97" s="263"/>
      <c r="C97" s="151"/>
      <c r="D97" s="61"/>
      <c r="E97" s="234"/>
      <c r="F97" s="186"/>
      <c r="G97" s="186"/>
      <c r="I97" s="186"/>
      <c r="J97" s="186"/>
      <c r="K97" s="186"/>
      <c r="L97" s="186"/>
      <c r="M97" s="186"/>
      <c r="N97" s="186"/>
      <c r="O97" s="186"/>
      <c r="P97" s="186"/>
    </row>
    <row r="98" spans="1:16" s="584" customFormat="1">
      <c r="A98" s="587" t="s">
        <v>5695</v>
      </c>
      <c r="B98" s="579">
        <v>6205</v>
      </c>
      <c r="C98" s="134" t="s">
        <v>1224</v>
      </c>
      <c r="D98" s="134" t="s">
        <v>598</v>
      </c>
      <c r="E98" s="239">
        <v>9468</v>
      </c>
      <c r="F98" s="236"/>
      <c r="G98" s="186"/>
      <c r="I98" s="186"/>
      <c r="J98" s="186"/>
      <c r="K98" s="186"/>
      <c r="L98" s="186"/>
      <c r="M98" s="186"/>
      <c r="N98" s="186"/>
      <c r="O98" s="186"/>
      <c r="P98" s="186"/>
    </row>
    <row r="99" spans="1:16" s="584" customFormat="1">
      <c r="A99" s="587" t="s">
        <v>5695</v>
      </c>
      <c r="B99" s="579">
        <v>6203</v>
      </c>
      <c r="C99" s="61" t="s">
        <v>1223</v>
      </c>
      <c r="D99" s="134" t="s">
        <v>2615</v>
      </c>
      <c r="E99" s="236">
        <v>610</v>
      </c>
      <c r="F99" s="239"/>
      <c r="G99" s="186"/>
      <c r="I99" s="186"/>
      <c r="J99" s="186"/>
      <c r="K99" s="186"/>
      <c r="L99" s="186"/>
      <c r="M99" s="186"/>
      <c r="N99" s="186"/>
      <c r="O99" s="186"/>
      <c r="P99" s="186"/>
    </row>
    <row r="100" spans="1:16" s="584" customFormat="1">
      <c r="A100" s="587" t="s">
        <v>5695</v>
      </c>
      <c r="B100" s="579">
        <v>6213</v>
      </c>
      <c r="C100" s="61" t="s">
        <v>1217</v>
      </c>
      <c r="D100" s="244" t="s">
        <v>5716</v>
      </c>
      <c r="E100" s="236">
        <v>939</v>
      </c>
      <c r="F100" s="233"/>
      <c r="G100" s="186"/>
      <c r="I100" s="186"/>
      <c r="J100" s="186"/>
      <c r="K100" s="186"/>
      <c r="L100" s="186"/>
      <c r="M100" s="186"/>
      <c r="N100" s="186"/>
      <c r="O100" s="186"/>
      <c r="P100" s="186"/>
    </row>
    <row r="101" spans="1:16" s="584" customFormat="1">
      <c r="A101" s="587" t="s">
        <v>5695</v>
      </c>
      <c r="B101" s="579">
        <v>1194</v>
      </c>
      <c r="C101" s="61" t="s">
        <v>3798</v>
      </c>
      <c r="D101" s="244" t="s">
        <v>5716</v>
      </c>
      <c r="E101" s="236">
        <v>47</v>
      </c>
      <c r="F101" s="239"/>
      <c r="G101" s="186"/>
      <c r="I101" s="186"/>
      <c r="J101" s="186"/>
      <c r="K101" s="186"/>
      <c r="L101" s="186"/>
      <c r="M101" s="186"/>
      <c r="N101" s="186"/>
      <c r="O101" s="186"/>
      <c r="P101" s="186"/>
    </row>
    <row r="102" spans="1:16" s="584" customFormat="1">
      <c r="A102" s="587" t="s">
        <v>5695</v>
      </c>
      <c r="B102" s="579">
        <v>6213</v>
      </c>
      <c r="C102" s="61" t="s">
        <v>1217</v>
      </c>
      <c r="D102" s="134" t="s">
        <v>5715</v>
      </c>
      <c r="E102" s="236">
        <v>188</v>
      </c>
      <c r="F102" s="236"/>
      <c r="G102" s="186"/>
      <c r="I102" s="186"/>
      <c r="J102" s="186"/>
      <c r="K102" s="186"/>
      <c r="L102" s="186"/>
      <c r="M102" s="186"/>
      <c r="N102" s="186"/>
      <c r="O102" s="186"/>
      <c r="P102" s="186"/>
    </row>
    <row r="103" spans="1:16" s="584" customFormat="1">
      <c r="A103" s="587" t="s">
        <v>5695</v>
      </c>
      <c r="B103" s="578">
        <v>6232</v>
      </c>
      <c r="C103" s="61" t="s">
        <v>1218</v>
      </c>
      <c r="D103" s="245" t="s">
        <v>5712</v>
      </c>
      <c r="E103" s="237">
        <v>15725</v>
      </c>
      <c r="F103" s="233"/>
      <c r="G103" s="186"/>
      <c r="I103" s="186"/>
      <c r="J103" s="186"/>
      <c r="K103" s="186"/>
      <c r="L103" s="186"/>
      <c r="M103" s="186"/>
      <c r="N103" s="186"/>
      <c r="O103" s="186"/>
      <c r="P103" s="186"/>
    </row>
    <row r="104" spans="1:16" s="584" customFormat="1">
      <c r="A104" s="587" t="s">
        <v>5695</v>
      </c>
      <c r="B104" s="578">
        <v>6207</v>
      </c>
      <c r="C104" s="61" t="s">
        <v>1222</v>
      </c>
      <c r="D104" s="244" t="s">
        <v>600</v>
      </c>
      <c r="E104" s="237">
        <v>2933</v>
      </c>
      <c r="F104" s="233"/>
      <c r="G104" s="186"/>
      <c r="I104" s="186"/>
      <c r="J104" s="186"/>
      <c r="K104" s="186"/>
      <c r="L104" s="186"/>
      <c r="M104" s="186"/>
      <c r="N104" s="186"/>
      <c r="O104" s="186"/>
      <c r="P104" s="186"/>
    </row>
    <row r="105" spans="1:16" s="584" customFormat="1">
      <c r="A105" s="587" t="s">
        <v>5695</v>
      </c>
      <c r="B105" s="578">
        <v>6230</v>
      </c>
      <c r="C105" s="61" t="s">
        <v>1221</v>
      </c>
      <c r="D105" s="244" t="s">
        <v>5717</v>
      </c>
      <c r="E105" s="237">
        <v>571</v>
      </c>
      <c r="F105" s="233"/>
      <c r="G105" s="186"/>
      <c r="I105" s="186"/>
      <c r="J105" s="186"/>
      <c r="K105" s="186"/>
      <c r="L105" s="186"/>
      <c r="M105" s="186"/>
      <c r="N105" s="186"/>
      <c r="O105" s="186"/>
      <c r="P105" s="186"/>
    </row>
    <row r="106" spans="1:16" s="584" customFormat="1">
      <c r="A106" s="587" t="s">
        <v>5695</v>
      </c>
      <c r="B106" s="579">
        <v>6215</v>
      </c>
      <c r="C106" s="61" t="s">
        <v>1220</v>
      </c>
      <c r="D106" s="244" t="s">
        <v>5750</v>
      </c>
      <c r="E106" s="237">
        <f>749+740*2</f>
        <v>2229</v>
      </c>
      <c r="F106" s="233"/>
      <c r="G106" s="186"/>
      <c r="I106" s="186"/>
      <c r="J106" s="186"/>
      <c r="K106" s="186"/>
      <c r="L106" s="186"/>
      <c r="M106" s="186"/>
      <c r="N106" s="186"/>
      <c r="O106" s="186"/>
      <c r="P106" s="186"/>
    </row>
    <row r="107" spans="1:16" s="584" customFormat="1">
      <c r="A107" s="587" t="s">
        <v>5695</v>
      </c>
      <c r="B107" s="579">
        <v>1111</v>
      </c>
      <c r="C107" s="61" t="s">
        <v>602</v>
      </c>
      <c r="D107" s="244" t="s">
        <v>603</v>
      </c>
      <c r="E107" s="237"/>
      <c r="F107" s="589">
        <f>SUM(E98:E106)</f>
        <v>32710</v>
      </c>
      <c r="G107" s="581">
        <f>SUM(E98:E107)-SUM(F98:F107)</f>
        <v>0</v>
      </c>
      <c r="I107" s="186"/>
      <c r="J107" s="186"/>
      <c r="K107" s="186"/>
      <c r="L107" s="186"/>
      <c r="M107" s="186"/>
      <c r="N107" s="186"/>
      <c r="O107" s="186"/>
      <c r="P107" s="186"/>
    </row>
    <row r="108" spans="1:16" s="584" customFormat="1">
      <c r="A108" s="583"/>
      <c r="B108" s="263"/>
      <c r="C108" s="151"/>
      <c r="D108" s="61"/>
      <c r="E108" s="234"/>
      <c r="F108" s="186"/>
      <c r="G108" s="186"/>
      <c r="I108" s="186"/>
      <c r="J108" s="186"/>
      <c r="K108" s="186"/>
      <c r="L108" s="186"/>
      <c r="M108" s="186"/>
      <c r="N108" s="186"/>
      <c r="O108" s="186"/>
      <c r="P108" s="186"/>
    </row>
    <row r="109" spans="1:16" s="584" customFormat="1">
      <c r="A109" s="587" t="s">
        <v>5696</v>
      </c>
      <c r="B109" s="579">
        <v>5201</v>
      </c>
      <c r="C109" s="134" t="s">
        <v>1219</v>
      </c>
      <c r="D109" s="134" t="s">
        <v>5714</v>
      </c>
      <c r="E109" s="236">
        <v>227282</v>
      </c>
      <c r="F109" s="236"/>
      <c r="G109" s="186"/>
      <c r="I109" s="186"/>
      <c r="J109" s="186"/>
      <c r="K109" s="186"/>
      <c r="L109" s="186"/>
      <c r="M109" s="186"/>
      <c r="N109" s="186"/>
      <c r="O109" s="186"/>
      <c r="P109" s="186"/>
    </row>
    <row r="110" spans="1:16" s="584" customFormat="1">
      <c r="A110" s="587" t="s">
        <v>5696</v>
      </c>
      <c r="B110" s="579">
        <v>1194</v>
      </c>
      <c r="C110" s="61" t="s">
        <v>3798</v>
      </c>
      <c r="D110" s="134" t="s">
        <v>5714</v>
      </c>
      <c r="E110" s="236">
        <v>11362</v>
      </c>
      <c r="F110" s="239"/>
      <c r="G110" s="186"/>
      <c r="I110" s="186"/>
      <c r="J110" s="186"/>
      <c r="K110" s="186"/>
      <c r="L110" s="186"/>
      <c r="M110" s="186"/>
      <c r="N110" s="186"/>
      <c r="O110" s="186"/>
      <c r="P110" s="186"/>
    </row>
    <row r="111" spans="1:16" s="584" customFormat="1">
      <c r="A111" s="587" t="s">
        <v>5696</v>
      </c>
      <c r="B111" s="579">
        <v>6209</v>
      </c>
      <c r="C111" s="220" t="s">
        <v>597</v>
      </c>
      <c r="D111" s="244" t="s">
        <v>5718</v>
      </c>
      <c r="E111" s="236">
        <v>1524</v>
      </c>
      <c r="F111" s="232"/>
      <c r="G111" s="186"/>
      <c r="I111" s="186"/>
      <c r="J111" s="186"/>
      <c r="K111" s="186"/>
      <c r="L111" s="186"/>
      <c r="M111" s="186"/>
      <c r="N111" s="186"/>
      <c r="O111" s="186"/>
      <c r="P111" s="186"/>
    </row>
    <row r="112" spans="1:16" s="584" customFormat="1">
      <c r="A112" s="587" t="s">
        <v>5696</v>
      </c>
      <c r="B112" s="579">
        <v>1194</v>
      </c>
      <c r="C112" s="61" t="s">
        <v>3798</v>
      </c>
      <c r="D112" s="244" t="s">
        <v>5718</v>
      </c>
      <c r="E112" s="236">
        <v>76</v>
      </c>
      <c r="F112" s="232"/>
      <c r="G112" s="186"/>
      <c r="I112" s="186"/>
      <c r="J112" s="186"/>
      <c r="K112" s="186"/>
      <c r="L112" s="186"/>
      <c r="M112" s="186"/>
      <c r="N112" s="186"/>
      <c r="O112" s="186"/>
      <c r="P112" s="186"/>
    </row>
    <row r="113" spans="1:16" s="584" customFormat="1">
      <c r="A113" s="587" t="s">
        <v>5696</v>
      </c>
      <c r="B113" s="579">
        <v>6209</v>
      </c>
      <c r="C113" s="220" t="s">
        <v>597</v>
      </c>
      <c r="D113" s="244" t="s">
        <v>5719</v>
      </c>
      <c r="E113" s="236">
        <v>5506</v>
      </c>
      <c r="F113" s="237"/>
      <c r="G113" s="186"/>
      <c r="I113" s="186"/>
      <c r="J113" s="186"/>
      <c r="K113" s="186"/>
      <c r="L113" s="186"/>
      <c r="M113" s="186"/>
      <c r="N113" s="186"/>
      <c r="O113" s="186"/>
      <c r="P113" s="186"/>
    </row>
    <row r="114" spans="1:16" s="584" customFormat="1">
      <c r="A114" s="587" t="s">
        <v>5696</v>
      </c>
      <c r="B114" s="579">
        <v>6207</v>
      </c>
      <c r="C114" s="61" t="s">
        <v>1215</v>
      </c>
      <c r="D114" s="244" t="s">
        <v>5720</v>
      </c>
      <c r="E114" s="236">
        <v>2400</v>
      </c>
      <c r="F114" s="233"/>
      <c r="G114" s="186"/>
      <c r="I114" s="186"/>
      <c r="J114" s="186"/>
      <c r="K114" s="186"/>
      <c r="L114" s="186"/>
      <c r="M114" s="186"/>
      <c r="N114" s="186"/>
      <c r="O114" s="186"/>
      <c r="P114" s="186"/>
    </row>
    <row r="115" spans="1:16" s="584" customFormat="1">
      <c r="A115" s="587" t="s">
        <v>5696</v>
      </c>
      <c r="B115" s="578">
        <v>2123</v>
      </c>
      <c r="C115" s="166" t="s">
        <v>4455</v>
      </c>
      <c r="D115" s="244" t="s">
        <v>4929</v>
      </c>
      <c r="E115" s="239">
        <v>0</v>
      </c>
      <c r="F115" s="239"/>
      <c r="G115" s="186"/>
      <c r="I115" s="186"/>
      <c r="J115" s="186"/>
      <c r="K115" s="186"/>
      <c r="L115" s="186"/>
      <c r="M115" s="186"/>
      <c r="N115" s="186"/>
      <c r="O115" s="186"/>
      <c r="P115" s="186"/>
    </row>
    <row r="116" spans="1:16" s="584" customFormat="1">
      <c r="A116" s="587" t="s">
        <v>5696</v>
      </c>
      <c r="B116" s="578">
        <v>2123</v>
      </c>
      <c r="C116" s="166" t="s">
        <v>4455</v>
      </c>
      <c r="D116" s="244" t="s">
        <v>4930</v>
      </c>
      <c r="E116" s="239">
        <v>9821</v>
      </c>
      <c r="F116" s="239"/>
      <c r="G116" s="186"/>
      <c r="I116" s="186"/>
      <c r="J116" s="186"/>
      <c r="K116" s="186"/>
      <c r="L116" s="186"/>
      <c r="M116" s="186"/>
      <c r="N116" s="186"/>
      <c r="O116" s="186"/>
      <c r="P116" s="186"/>
    </row>
    <row r="117" spans="1:16" s="584" customFormat="1">
      <c r="A117" s="587" t="s">
        <v>5696</v>
      </c>
      <c r="B117" s="578">
        <v>2123</v>
      </c>
      <c r="C117" s="166" t="s">
        <v>4455</v>
      </c>
      <c r="D117" s="244" t="s">
        <v>4931</v>
      </c>
      <c r="E117" s="239">
        <v>20696</v>
      </c>
      <c r="F117" s="239"/>
      <c r="G117" s="186"/>
      <c r="I117" s="186"/>
      <c r="J117" s="186"/>
      <c r="K117" s="186"/>
      <c r="L117" s="186"/>
      <c r="M117" s="186"/>
      <c r="N117" s="186"/>
      <c r="O117" s="186"/>
      <c r="P117" s="186"/>
    </row>
    <row r="118" spans="1:16" s="584" customFormat="1">
      <c r="A118" s="587" t="s">
        <v>5696</v>
      </c>
      <c r="B118" s="578">
        <v>2123</v>
      </c>
      <c r="C118" s="61" t="s">
        <v>595</v>
      </c>
      <c r="D118" s="244" t="s">
        <v>5721</v>
      </c>
      <c r="E118" s="229"/>
      <c r="F118" s="239">
        <v>0</v>
      </c>
      <c r="G118" s="186"/>
      <c r="I118" s="186"/>
      <c r="J118" s="186"/>
      <c r="K118" s="186"/>
      <c r="L118" s="186"/>
      <c r="M118" s="186"/>
      <c r="N118" s="186"/>
      <c r="O118" s="186"/>
      <c r="P118" s="186"/>
    </row>
    <row r="119" spans="1:16" s="584" customFormat="1">
      <c r="A119" s="587" t="s">
        <v>5696</v>
      </c>
      <c r="B119" s="578">
        <v>2123</v>
      </c>
      <c r="C119" s="61" t="s">
        <v>595</v>
      </c>
      <c r="D119" s="244" t="s">
        <v>5722</v>
      </c>
      <c r="E119" s="229"/>
      <c r="F119" s="239">
        <v>0</v>
      </c>
      <c r="G119" s="186"/>
      <c r="I119" s="186"/>
      <c r="J119" s="186"/>
      <c r="K119" s="186"/>
      <c r="L119" s="186"/>
      <c r="M119" s="186"/>
      <c r="N119" s="186"/>
      <c r="O119" s="186"/>
      <c r="P119" s="186"/>
    </row>
    <row r="120" spans="1:16" s="584" customFormat="1">
      <c r="A120" s="587" t="s">
        <v>5696</v>
      </c>
      <c r="B120" s="578">
        <v>2123</v>
      </c>
      <c r="C120" s="61" t="s">
        <v>595</v>
      </c>
      <c r="D120" s="244" t="s">
        <v>5723</v>
      </c>
      <c r="E120" s="229"/>
      <c r="F120" s="239">
        <v>22362</v>
      </c>
      <c r="G120" s="186"/>
      <c r="I120" s="186"/>
      <c r="J120" s="186"/>
      <c r="K120" s="186"/>
      <c r="L120" s="186"/>
      <c r="M120" s="186"/>
      <c r="N120" s="186"/>
      <c r="O120" s="186"/>
      <c r="P120" s="186"/>
    </row>
    <row r="121" spans="1:16" s="584" customFormat="1">
      <c r="A121" s="587" t="s">
        <v>5696</v>
      </c>
      <c r="B121" s="577">
        <v>1112</v>
      </c>
      <c r="C121" s="61" t="s">
        <v>251</v>
      </c>
      <c r="D121" s="244" t="s">
        <v>5725</v>
      </c>
      <c r="E121" s="236"/>
      <c r="F121" s="233">
        <v>213586</v>
      </c>
      <c r="G121" s="186"/>
      <c r="I121" s="186"/>
      <c r="J121" s="186"/>
      <c r="K121" s="186"/>
      <c r="L121" s="186"/>
      <c r="M121" s="186"/>
      <c r="N121" s="186"/>
      <c r="O121" s="186"/>
      <c r="P121" s="186"/>
    </row>
    <row r="122" spans="1:16" s="584" customFormat="1">
      <c r="A122" s="587" t="s">
        <v>5696</v>
      </c>
      <c r="B122" s="578">
        <v>1112</v>
      </c>
      <c r="C122" s="300" t="s">
        <v>249</v>
      </c>
      <c r="D122" s="244" t="s">
        <v>5726</v>
      </c>
      <c r="E122" s="237"/>
      <c r="F122" s="233">
        <f>9821+20696+12202</f>
        <v>42719</v>
      </c>
      <c r="G122" s="581">
        <f>SUM(E109:E122)-SUM(F109:F122)</f>
        <v>0</v>
      </c>
      <c r="I122" s="186"/>
      <c r="J122" s="186"/>
      <c r="K122" s="186"/>
      <c r="L122" s="186"/>
      <c r="M122" s="186"/>
      <c r="N122" s="186"/>
      <c r="O122" s="186"/>
      <c r="P122" s="186"/>
    </row>
    <row r="123" spans="1:16" s="584" customFormat="1">
      <c r="A123" s="583"/>
      <c r="B123" s="263"/>
      <c r="C123" s="151"/>
      <c r="D123" s="61"/>
      <c r="E123" s="234"/>
      <c r="F123" s="233"/>
      <c r="G123" s="186"/>
      <c r="I123" s="186"/>
      <c r="J123" s="186"/>
      <c r="K123" s="186"/>
      <c r="L123" s="186"/>
      <c r="M123" s="186"/>
      <c r="N123" s="186"/>
      <c r="O123" s="186"/>
      <c r="P123" s="186"/>
    </row>
    <row r="124" spans="1:16" s="584" customFormat="1">
      <c r="A124" s="587" t="s">
        <v>5697</v>
      </c>
      <c r="B124" s="579">
        <v>2192</v>
      </c>
      <c r="C124" s="220" t="s">
        <v>18</v>
      </c>
      <c r="D124" t="s">
        <v>5727</v>
      </c>
      <c r="E124" s="236">
        <v>20000</v>
      </c>
      <c r="F124" s="237"/>
      <c r="G124" s="186"/>
      <c r="I124" s="186"/>
      <c r="J124" s="186"/>
      <c r="K124" s="186"/>
      <c r="L124" s="186"/>
      <c r="M124" s="186"/>
      <c r="N124" s="186"/>
      <c r="O124" s="186"/>
      <c r="P124" s="186"/>
    </row>
    <row r="125" spans="1:16" s="584" customFormat="1">
      <c r="A125" s="587" t="s">
        <v>5697</v>
      </c>
      <c r="B125" s="579">
        <v>2192</v>
      </c>
      <c r="C125" s="220" t="s">
        <v>18</v>
      </c>
      <c r="D125" t="s">
        <v>5728</v>
      </c>
      <c r="E125" s="236">
        <v>30000</v>
      </c>
      <c r="F125" s="237"/>
      <c r="G125" s="186"/>
      <c r="I125" s="186"/>
      <c r="J125" s="186"/>
      <c r="K125" s="186"/>
      <c r="L125" s="186"/>
      <c r="M125" s="186"/>
      <c r="N125" s="186"/>
      <c r="O125" s="186"/>
      <c r="P125" s="186"/>
    </row>
    <row r="126" spans="1:16" s="584" customFormat="1">
      <c r="A126" s="587" t="s">
        <v>5697</v>
      </c>
      <c r="B126" s="579">
        <v>2192</v>
      </c>
      <c r="C126" s="220" t="s">
        <v>18</v>
      </c>
      <c r="D126" t="s">
        <v>5729</v>
      </c>
      <c r="E126" s="236">
        <v>20000</v>
      </c>
      <c r="F126" s="237"/>
      <c r="G126" s="186"/>
      <c r="I126" s="186"/>
      <c r="J126" s="186"/>
      <c r="K126" s="186"/>
      <c r="L126" s="186"/>
      <c r="M126" s="186"/>
      <c r="N126" s="186"/>
      <c r="O126" s="186"/>
      <c r="P126" s="186"/>
    </row>
    <row r="127" spans="1:16" s="584" customFormat="1">
      <c r="A127" s="587" t="s">
        <v>5697</v>
      </c>
      <c r="B127" s="579">
        <v>2192</v>
      </c>
      <c r="C127" s="220" t="s">
        <v>18</v>
      </c>
      <c r="D127" t="s">
        <v>5730</v>
      </c>
      <c r="E127" s="236">
        <v>175830</v>
      </c>
      <c r="F127" s="237"/>
      <c r="G127" s="186"/>
      <c r="I127" s="186"/>
      <c r="J127" s="186"/>
      <c r="K127" s="186"/>
      <c r="L127" s="186"/>
      <c r="M127" s="186"/>
      <c r="N127" s="186"/>
      <c r="O127" s="186"/>
      <c r="P127" s="186"/>
    </row>
    <row r="128" spans="1:16" s="584" customFormat="1">
      <c r="A128" s="587" t="s">
        <v>5697</v>
      </c>
      <c r="B128" s="579">
        <v>2192</v>
      </c>
      <c r="C128" s="220" t="s">
        <v>18</v>
      </c>
      <c r="D128" t="s">
        <v>5731</v>
      </c>
      <c r="E128" s="236">
        <v>62750</v>
      </c>
      <c r="F128" s="237"/>
      <c r="G128" s="186"/>
      <c r="I128" s="186"/>
      <c r="J128" s="186"/>
      <c r="K128" s="186"/>
      <c r="L128" s="186"/>
      <c r="M128" s="186"/>
      <c r="N128" s="186"/>
      <c r="O128" s="186"/>
      <c r="P128" s="186"/>
    </row>
    <row r="129" spans="1:16" s="584" customFormat="1">
      <c r="A129" s="587" t="s">
        <v>5697</v>
      </c>
      <c r="B129" s="579">
        <v>2192</v>
      </c>
      <c r="C129" s="220" t="s">
        <v>18</v>
      </c>
      <c r="D129" t="s">
        <v>5732</v>
      </c>
      <c r="E129" s="236">
        <v>12000</v>
      </c>
      <c r="F129" s="237"/>
      <c r="G129" s="186"/>
      <c r="I129" s="186"/>
      <c r="J129" s="186"/>
      <c r="K129" s="186"/>
      <c r="L129" s="186"/>
      <c r="M129" s="186"/>
      <c r="N129" s="186"/>
      <c r="O129" s="186"/>
      <c r="P129" s="186"/>
    </row>
    <row r="130" spans="1:16" s="584" customFormat="1">
      <c r="A130" s="587" t="s">
        <v>5697</v>
      </c>
      <c r="B130" s="579">
        <v>2192</v>
      </c>
      <c r="C130" s="220" t="s">
        <v>18</v>
      </c>
      <c r="D130" t="s">
        <v>5731</v>
      </c>
      <c r="E130" s="236">
        <v>196030</v>
      </c>
      <c r="F130" s="237"/>
      <c r="G130" s="186"/>
      <c r="I130" s="186"/>
      <c r="J130" s="186"/>
      <c r="K130" s="186"/>
      <c r="L130" s="186"/>
      <c r="M130" s="186"/>
      <c r="N130" s="186"/>
      <c r="O130" s="186"/>
      <c r="P130" s="186"/>
    </row>
    <row r="131" spans="1:16" s="584" customFormat="1">
      <c r="A131" s="587" t="s">
        <v>5697</v>
      </c>
      <c r="B131" s="578">
        <v>1112</v>
      </c>
      <c r="C131" s="115" t="s">
        <v>4460</v>
      </c>
      <c r="D131" s="314" t="s">
        <v>5810</v>
      </c>
      <c r="E131" s="236"/>
      <c r="F131" s="596">
        <f>SUM(E124:E130)</f>
        <v>516610</v>
      </c>
      <c r="G131" s="581">
        <f>SUM(E124:E131)-SUM(F124:F131)</f>
        <v>0</v>
      </c>
      <c r="I131" s="186"/>
      <c r="J131" s="186"/>
      <c r="K131" s="186"/>
      <c r="L131" s="186"/>
      <c r="M131" s="186"/>
      <c r="N131" s="186"/>
      <c r="O131" s="186"/>
      <c r="P131" s="186"/>
    </row>
    <row r="132" spans="1:16" s="584" customFormat="1">
      <c r="A132" s="583"/>
      <c r="B132" s="263"/>
      <c r="C132" s="151"/>
      <c r="D132" s="61"/>
      <c r="E132" s="234"/>
      <c r="F132" s="186"/>
      <c r="G132" s="186"/>
      <c r="I132" s="186"/>
      <c r="J132" s="186"/>
      <c r="K132" s="186"/>
      <c r="L132" s="186"/>
      <c r="M132" s="186"/>
      <c r="N132" s="186"/>
      <c r="O132" s="186"/>
      <c r="P132" s="186"/>
    </row>
    <row r="133" spans="1:16" s="584" customFormat="1">
      <c r="A133" s="587" t="s">
        <v>5698</v>
      </c>
      <c r="B133" s="578">
        <v>2123</v>
      </c>
      <c r="C133" s="220" t="s">
        <v>1214</v>
      </c>
      <c r="D133" s="244" t="s">
        <v>2507</v>
      </c>
      <c r="E133" s="236">
        <v>648000</v>
      </c>
      <c r="F133" s="232"/>
      <c r="G133" s="186"/>
      <c r="I133" s="186"/>
      <c r="J133" s="186"/>
      <c r="K133" s="186"/>
      <c r="L133" s="186"/>
      <c r="M133" s="186"/>
      <c r="N133" s="186"/>
      <c r="O133" s="186"/>
      <c r="P133" s="186"/>
    </row>
    <row r="134" spans="1:16" s="584" customFormat="1">
      <c r="A134" s="587" t="s">
        <v>5698</v>
      </c>
      <c r="B134" s="579">
        <v>2192</v>
      </c>
      <c r="C134" s="220" t="s">
        <v>599</v>
      </c>
      <c r="D134" s="244" t="s">
        <v>2507</v>
      </c>
      <c r="E134" s="236"/>
      <c r="F134" s="588">
        <f>E133</f>
        <v>648000</v>
      </c>
      <c r="G134" s="186"/>
      <c r="I134" s="186"/>
      <c r="J134" s="186"/>
      <c r="K134" s="186"/>
      <c r="L134" s="186"/>
      <c r="M134" s="186"/>
      <c r="N134" s="186"/>
      <c r="O134" s="186"/>
      <c r="P134" s="186"/>
    </row>
    <row r="135" spans="1:16" s="584" customFormat="1">
      <c r="A135" s="587" t="s">
        <v>5698</v>
      </c>
      <c r="B135" s="578">
        <v>2123</v>
      </c>
      <c r="C135" s="220" t="s">
        <v>1214</v>
      </c>
      <c r="D135" s="244" t="s">
        <v>4464</v>
      </c>
      <c r="E135" s="236">
        <f>2400*12*2</f>
        <v>57600</v>
      </c>
      <c r="F135" s="232"/>
      <c r="G135" s="186"/>
      <c r="I135" s="186"/>
      <c r="J135" s="186"/>
      <c r="K135" s="186"/>
      <c r="L135" s="186"/>
      <c r="M135" s="186"/>
      <c r="N135" s="186"/>
      <c r="O135" s="186"/>
      <c r="P135" s="186"/>
    </row>
    <row r="136" spans="1:16" s="584" customFormat="1">
      <c r="A136" s="587" t="s">
        <v>5698</v>
      </c>
      <c r="B136" s="579">
        <v>2192</v>
      </c>
      <c r="C136" s="220" t="s">
        <v>599</v>
      </c>
      <c r="D136" s="244" t="s">
        <v>4464</v>
      </c>
      <c r="E136" s="236"/>
      <c r="F136" s="588">
        <f>E135</f>
        <v>57600</v>
      </c>
      <c r="G136" s="186"/>
      <c r="I136" s="186"/>
      <c r="J136" s="186"/>
      <c r="K136" s="186"/>
      <c r="L136" s="186"/>
      <c r="M136" s="186"/>
      <c r="N136" s="186"/>
      <c r="O136" s="186"/>
      <c r="P136" s="186"/>
    </row>
    <row r="137" spans="1:16" s="584" customFormat="1">
      <c r="A137" s="587" t="s">
        <v>5699</v>
      </c>
      <c r="B137" s="579">
        <v>2192</v>
      </c>
      <c r="C137" s="115" t="s">
        <v>18</v>
      </c>
      <c r="D137" s="244" t="s">
        <v>5808</v>
      </c>
      <c r="E137" s="146"/>
      <c r="F137" s="233"/>
      <c r="G137" s="186"/>
      <c r="I137" s="186"/>
      <c r="J137" s="186"/>
      <c r="K137" s="186"/>
      <c r="L137" s="186"/>
      <c r="M137" s="186"/>
      <c r="N137" s="186"/>
      <c r="O137" s="186"/>
      <c r="P137" s="186"/>
    </row>
    <row r="138" spans="1:16" s="584" customFormat="1">
      <c r="A138" s="587" t="s">
        <v>5699</v>
      </c>
      <c r="B138" s="578">
        <v>2123</v>
      </c>
      <c r="C138" s="115" t="s">
        <v>595</v>
      </c>
      <c r="D138" s="244" t="s">
        <v>5808</v>
      </c>
      <c r="E138" s="309"/>
      <c r="F138" s="594">
        <f>E137</f>
        <v>0</v>
      </c>
      <c r="G138" s="186"/>
      <c r="I138" s="186"/>
      <c r="J138" s="186"/>
      <c r="K138" s="186"/>
      <c r="L138" s="186"/>
      <c r="M138" s="186"/>
      <c r="N138" s="186"/>
      <c r="O138" s="186"/>
      <c r="P138" s="186"/>
    </row>
    <row r="139" spans="1:16" s="584" customFormat="1">
      <c r="A139" s="587" t="s">
        <v>5698</v>
      </c>
      <c r="B139" s="578">
        <v>2123</v>
      </c>
      <c r="C139" s="115" t="s">
        <v>1214</v>
      </c>
      <c r="D139" s="244" t="s">
        <v>5809</v>
      </c>
      <c r="E139" s="236">
        <v>132200</v>
      </c>
      <c r="F139" s="232"/>
      <c r="G139" s="186"/>
      <c r="I139" s="186"/>
      <c r="J139" s="186"/>
      <c r="K139" s="186"/>
      <c r="L139" s="186"/>
      <c r="M139" s="186"/>
      <c r="N139" s="186"/>
      <c r="O139" s="186"/>
      <c r="P139" s="186"/>
    </row>
    <row r="140" spans="1:16" s="584" customFormat="1">
      <c r="A140" s="587" t="s">
        <v>5698</v>
      </c>
      <c r="B140" s="579">
        <v>2192</v>
      </c>
      <c r="C140" s="115" t="s">
        <v>599</v>
      </c>
      <c r="D140" s="244" t="s">
        <v>5809</v>
      </c>
      <c r="E140" s="236"/>
      <c r="F140" s="588">
        <f>E139</f>
        <v>132200</v>
      </c>
      <c r="G140" s="186"/>
      <c r="I140" s="186"/>
      <c r="J140" s="186"/>
      <c r="K140" s="186"/>
      <c r="L140" s="186"/>
      <c r="M140" s="186"/>
      <c r="N140" s="186"/>
      <c r="O140" s="186"/>
      <c r="P140" s="186"/>
    </row>
    <row r="141" spans="1:16" s="584" customFormat="1">
      <c r="A141" s="587" t="s">
        <v>5698</v>
      </c>
      <c r="B141" s="578">
        <v>2123</v>
      </c>
      <c r="C141" s="299" t="s">
        <v>1214</v>
      </c>
      <c r="D141" s="244" t="s">
        <v>5807</v>
      </c>
      <c r="E141" s="236">
        <v>51053</v>
      </c>
      <c r="F141" s="232"/>
      <c r="G141" s="186"/>
      <c r="I141" s="186"/>
      <c r="J141" s="186"/>
      <c r="K141" s="186"/>
      <c r="L141" s="186"/>
      <c r="M141" s="186"/>
      <c r="N141" s="186"/>
      <c r="O141" s="186"/>
      <c r="P141" s="186"/>
    </row>
    <row r="142" spans="1:16" s="584" customFormat="1">
      <c r="A142" s="587" t="s">
        <v>5698</v>
      </c>
      <c r="B142" s="579">
        <v>2192</v>
      </c>
      <c r="C142" s="299" t="s">
        <v>599</v>
      </c>
      <c r="D142" s="244" t="s">
        <v>5807</v>
      </c>
      <c r="E142" s="236"/>
      <c r="F142" s="588">
        <f>E141</f>
        <v>51053</v>
      </c>
      <c r="G142" s="581">
        <f>SUM(E133:E142)-SUM(F133:F142)</f>
        <v>0</v>
      </c>
      <c r="I142" s="186"/>
      <c r="J142" s="186"/>
      <c r="K142" s="186"/>
      <c r="L142" s="186"/>
      <c r="M142" s="186"/>
      <c r="N142" s="186"/>
      <c r="O142" s="186"/>
      <c r="P142" s="186"/>
    </row>
    <row r="143" spans="1:16" s="584" customFormat="1">
      <c r="A143" s="587"/>
      <c r="B143" s="263"/>
      <c r="C143" s="151"/>
      <c r="D143" s="61"/>
      <c r="E143" s="234"/>
      <c r="F143" s="186"/>
      <c r="G143" s="186"/>
      <c r="I143" s="186"/>
      <c r="J143" s="186"/>
      <c r="K143" s="186"/>
      <c r="L143" s="186"/>
      <c r="M143" s="186"/>
      <c r="N143" s="186"/>
      <c r="O143" s="186"/>
      <c r="P143" s="186"/>
    </row>
    <row r="144" spans="1:16" s="584" customFormat="1">
      <c r="A144" s="587" t="s">
        <v>5699</v>
      </c>
      <c r="B144" s="576">
        <v>4201</v>
      </c>
      <c r="C144" s="259" t="s">
        <v>1309</v>
      </c>
      <c r="D144" s="244" t="s">
        <v>5746</v>
      </c>
      <c r="E144" s="237">
        <v>629800</v>
      </c>
      <c r="F144" s="233"/>
      <c r="G144" s="186"/>
      <c r="I144" s="186"/>
      <c r="J144" s="186"/>
      <c r="K144" s="186"/>
      <c r="L144" s="186"/>
      <c r="M144" s="186"/>
      <c r="N144" s="186"/>
      <c r="O144" s="186"/>
      <c r="P144" s="186"/>
    </row>
    <row r="145" spans="1:16" s="584" customFormat="1">
      <c r="A145" s="587" t="s">
        <v>5699</v>
      </c>
      <c r="B145" s="579">
        <v>2192</v>
      </c>
      <c r="C145" s="115" t="s">
        <v>599</v>
      </c>
      <c r="D145" s="244" t="s">
        <v>5746</v>
      </c>
      <c r="E145" s="309"/>
      <c r="F145" s="594">
        <f>E144</f>
        <v>629800</v>
      </c>
      <c r="G145" s="186"/>
      <c r="I145" s="186"/>
      <c r="J145" s="186"/>
      <c r="K145" s="186"/>
      <c r="L145" s="186"/>
      <c r="M145" s="186"/>
      <c r="N145" s="186"/>
      <c r="O145" s="186"/>
      <c r="P145" s="186"/>
    </row>
    <row r="146" spans="1:16" s="584" customFormat="1">
      <c r="A146" s="587" t="s">
        <v>5699</v>
      </c>
      <c r="B146" s="579">
        <v>2192</v>
      </c>
      <c r="C146" s="115" t="s">
        <v>18</v>
      </c>
      <c r="D146" s="244" t="s">
        <v>5745</v>
      </c>
      <c r="E146" s="146">
        <v>282000</v>
      </c>
      <c r="F146" s="233"/>
      <c r="G146" s="186"/>
      <c r="I146" s="186"/>
      <c r="J146" s="186"/>
      <c r="K146" s="186"/>
      <c r="L146" s="186"/>
      <c r="M146" s="186"/>
      <c r="N146" s="186"/>
      <c r="O146" s="186"/>
      <c r="P146" s="186"/>
    </row>
    <row r="147" spans="1:16" s="584" customFormat="1">
      <c r="A147" s="587" t="s">
        <v>5699</v>
      </c>
      <c r="B147" s="576">
        <v>4201</v>
      </c>
      <c r="C147" s="259" t="s">
        <v>337</v>
      </c>
      <c r="D147" s="244" t="s">
        <v>5745</v>
      </c>
      <c r="E147" s="309"/>
      <c r="F147" s="594">
        <f>E146</f>
        <v>282000</v>
      </c>
      <c r="G147" s="186"/>
      <c r="I147" s="186"/>
      <c r="J147" s="186"/>
      <c r="K147" s="186"/>
      <c r="L147" s="186"/>
      <c r="M147" s="186"/>
      <c r="N147" s="186"/>
      <c r="O147" s="186"/>
      <c r="P147" s="186"/>
    </row>
    <row r="148" spans="1:16" s="584" customFormat="1">
      <c r="A148" s="587" t="s">
        <v>5699</v>
      </c>
      <c r="B148" s="579">
        <v>2192</v>
      </c>
      <c r="C148" s="115" t="s">
        <v>18</v>
      </c>
      <c r="D148" s="244" t="s">
        <v>5803</v>
      </c>
      <c r="E148" s="146">
        <v>442260</v>
      </c>
      <c r="F148" s="233"/>
      <c r="G148" s="186"/>
      <c r="I148" s="186"/>
      <c r="J148" s="186"/>
      <c r="K148" s="186"/>
      <c r="L148" s="186"/>
      <c r="M148" s="186"/>
      <c r="N148" s="186"/>
      <c r="O148" s="186"/>
      <c r="P148" s="186"/>
    </row>
    <row r="149" spans="1:16">
      <c r="A149" s="587" t="s">
        <v>5699</v>
      </c>
      <c r="B149" s="579">
        <v>2131</v>
      </c>
      <c r="C149" s="299" t="s">
        <v>5744</v>
      </c>
      <c r="D149" s="244" t="s">
        <v>5803</v>
      </c>
      <c r="E149" s="309"/>
      <c r="F149" s="594">
        <f>E148</f>
        <v>442260</v>
      </c>
    </row>
    <row r="150" spans="1:16">
      <c r="A150" s="587" t="s">
        <v>5699</v>
      </c>
      <c r="B150" s="579">
        <v>2131</v>
      </c>
      <c r="C150" s="299" t="s">
        <v>4887</v>
      </c>
      <c r="D150" s="244" t="s">
        <v>5804</v>
      </c>
      <c r="E150" s="237">
        <v>479115</v>
      </c>
      <c r="F150" s="233"/>
    </row>
    <row r="151" spans="1:16">
      <c r="A151" s="587" t="s">
        <v>5699</v>
      </c>
      <c r="B151" s="579">
        <v>2192</v>
      </c>
      <c r="C151" s="115" t="s">
        <v>599</v>
      </c>
      <c r="D151" s="244" t="s">
        <v>5804</v>
      </c>
      <c r="E151" s="309"/>
      <c r="F151" s="594">
        <f>E150</f>
        <v>479115</v>
      </c>
    </row>
    <row r="152" spans="1:16">
      <c r="A152" s="587" t="s">
        <v>5699</v>
      </c>
      <c r="B152" s="579">
        <v>2192</v>
      </c>
      <c r="C152" s="115" t="s">
        <v>18</v>
      </c>
      <c r="D152" s="244" t="s">
        <v>5805</v>
      </c>
      <c r="E152" s="146">
        <v>1112842</v>
      </c>
      <c r="F152" s="233"/>
      <c r="J152" s="233"/>
    </row>
    <row r="153" spans="1:16">
      <c r="A153" s="587" t="s">
        <v>5699</v>
      </c>
      <c r="B153" s="578">
        <v>1121</v>
      </c>
      <c r="C153" s="560" t="s">
        <v>243</v>
      </c>
      <c r="D153" s="244" t="s">
        <v>5805</v>
      </c>
      <c r="E153" s="309"/>
      <c r="F153" s="594">
        <f>E152</f>
        <v>1112842</v>
      </c>
    </row>
    <row r="154" spans="1:16">
      <c r="A154" s="587" t="s">
        <v>5699</v>
      </c>
      <c r="B154" s="578">
        <v>1121</v>
      </c>
      <c r="C154" s="560" t="s">
        <v>2917</v>
      </c>
      <c r="D154" s="244" t="s">
        <v>5806</v>
      </c>
      <c r="E154" s="146">
        <v>355944</v>
      </c>
      <c r="F154" s="233"/>
    </row>
    <row r="155" spans="1:16">
      <c r="A155" s="587" t="s">
        <v>5699</v>
      </c>
      <c r="B155" s="579">
        <v>2192</v>
      </c>
      <c r="C155" s="115" t="s">
        <v>599</v>
      </c>
      <c r="D155" s="244" t="s">
        <v>5806</v>
      </c>
      <c r="E155" s="309"/>
      <c r="F155" s="594">
        <f>E154</f>
        <v>355944</v>
      </c>
      <c r="G155" s="581">
        <f>SUM(E144:E155)-SUM(F144:F155)</f>
        <v>0</v>
      </c>
    </row>
  </sheetData>
  <autoFilter ref="A1:P155"/>
  <mergeCells count="8">
    <mergeCell ref="M34:O34"/>
    <mergeCell ref="M44:O44"/>
    <mergeCell ref="M38:O38"/>
    <mergeCell ref="M28:O28"/>
    <mergeCell ref="I2:O2"/>
    <mergeCell ref="H13:K13"/>
    <mergeCell ref="M22:O22"/>
    <mergeCell ref="M13:O13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66"/>
  <sheetViews>
    <sheetView zoomScaleNormal="100" workbookViewId="0">
      <pane ySplit="1" topLeftCell="A11" activePane="bottomLeft" state="frozen"/>
      <selection pane="bottomLeft" activeCell="O17" sqref="O17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5" style="61" customWidth="1"/>
    <col min="5" max="5" width="13.75" style="234" bestFit="1" customWidth="1"/>
    <col min="6" max="6" width="13.75" style="186" bestFit="1" customWidth="1"/>
    <col min="7" max="7" width="4.125" style="186" customWidth="1"/>
    <col min="8" max="8" width="1.5" style="584" customWidth="1"/>
    <col min="9" max="9" width="6.5" style="186" customWidth="1"/>
    <col min="10" max="10" width="16.125" style="186" bestFit="1" customWidth="1"/>
    <col min="11" max="11" width="11.25" style="186" customWidth="1"/>
    <col min="12" max="12" width="1.625" style="186" customWidth="1"/>
    <col min="13" max="13" width="4.875" style="186" bestFit="1" customWidth="1"/>
    <col min="14" max="14" width="12.875" style="186" customWidth="1"/>
    <col min="15" max="15" width="9.375" style="186" customWidth="1"/>
    <col min="16" max="16" width="3.125" style="186" customWidth="1"/>
    <col min="17" max="19" width="9" style="187"/>
    <col min="20" max="16384" width="9" style="186"/>
  </cols>
  <sheetData>
    <row r="1" spans="1:16">
      <c r="A1" s="263" t="s">
        <v>4904</v>
      </c>
      <c r="B1" s="583" t="s">
        <v>2384</v>
      </c>
      <c r="C1" s="583" t="s">
        <v>4884</v>
      </c>
      <c r="D1" s="583" t="s">
        <v>474</v>
      </c>
      <c r="E1" s="586" t="s">
        <v>4886</v>
      </c>
      <c r="F1" s="583" t="s">
        <v>4885</v>
      </c>
      <c r="G1" s="230"/>
    </row>
    <row r="2" spans="1:16" s="187" customFormat="1">
      <c r="A2" s="587" t="s">
        <v>10037</v>
      </c>
      <c r="B2" s="576">
        <v>1111</v>
      </c>
      <c r="C2" t="s">
        <v>876</v>
      </c>
      <c r="D2" s="115" t="s">
        <v>10168</v>
      </c>
      <c r="E2" s="236">
        <v>53058</v>
      </c>
      <c r="F2" s="229"/>
      <c r="H2" s="584"/>
      <c r="I2" s="940" t="s">
        <v>5785</v>
      </c>
      <c r="J2" s="940"/>
      <c r="K2" s="940"/>
      <c r="L2" s="940"/>
      <c r="M2" s="940"/>
      <c r="N2" s="940"/>
      <c r="O2" s="940"/>
      <c r="P2" s="232"/>
    </row>
    <row r="3" spans="1:16" s="187" customFormat="1">
      <c r="A3" s="587" t="s">
        <v>10037</v>
      </c>
      <c r="B3" s="576">
        <v>1112</v>
      </c>
      <c r="C3" s="61" t="s">
        <v>246</v>
      </c>
      <c r="D3" s="115" t="s">
        <v>10092</v>
      </c>
      <c r="E3" s="236">
        <v>210140</v>
      </c>
      <c r="F3" s="236"/>
      <c r="H3" s="584"/>
      <c r="I3" s="576">
        <v>1111</v>
      </c>
      <c r="J3" t="s">
        <v>876</v>
      </c>
      <c r="K3" s="643">
        <f t="shared" ref="K3:K9" si="0">(SUMIF($B$2:$B$207,I3,$E$2:$E$207)-SUMIF($B$2:$B$207,I3,$F$2:$F$207))</f>
        <v>58344</v>
      </c>
      <c r="M3" s="578">
        <v>2123</v>
      </c>
      <c r="N3" s="300" t="s">
        <v>1214</v>
      </c>
      <c r="O3" s="643">
        <f t="shared" ref="O3:O8" si="1">-(SUMIF($B$2:$B$207,M3,$E$2:$E$207)-SUMIF($B$2:$B$207,M3,$F$2:$F$207))</f>
        <v>84890</v>
      </c>
      <c r="P3" s="232"/>
    </row>
    <row r="4" spans="1:16" s="187" customFormat="1">
      <c r="A4" s="587" t="s">
        <v>10038</v>
      </c>
      <c r="B4" s="576">
        <v>1112</v>
      </c>
      <c r="C4" s="166" t="s">
        <v>247</v>
      </c>
      <c r="D4" s="115" t="s">
        <v>10092</v>
      </c>
      <c r="E4" s="236">
        <v>1173</v>
      </c>
      <c r="F4" s="236"/>
      <c r="H4" s="584"/>
      <c r="I4" s="576">
        <v>1112</v>
      </c>
      <c r="J4" s="175" t="s">
        <v>4855</v>
      </c>
      <c r="K4" s="643">
        <f t="shared" si="0"/>
        <v>179669</v>
      </c>
      <c r="M4" s="579">
        <v>2131</v>
      </c>
      <c r="N4" s="299" t="s">
        <v>4887</v>
      </c>
      <c r="O4" s="643">
        <f t="shared" si="1"/>
        <v>0</v>
      </c>
      <c r="P4" s="232"/>
    </row>
    <row r="5" spans="1:16" s="187" customFormat="1">
      <c r="A5" s="587" t="s">
        <v>10037</v>
      </c>
      <c r="B5" s="576">
        <v>1112</v>
      </c>
      <c r="C5" s="175" t="s">
        <v>4958</v>
      </c>
      <c r="D5" s="115" t="s">
        <v>10092</v>
      </c>
      <c r="E5" s="236">
        <v>2600</v>
      </c>
      <c r="F5" s="236"/>
      <c r="H5" s="584"/>
      <c r="I5" s="576">
        <v>1121</v>
      </c>
      <c r="J5" s="61" t="s">
        <v>2917</v>
      </c>
      <c r="K5" s="643">
        <f t="shared" si="0"/>
        <v>2129301</v>
      </c>
      <c r="M5" s="647">
        <v>2192</v>
      </c>
      <c r="N5" s="314" t="s">
        <v>18</v>
      </c>
      <c r="O5" s="643">
        <f t="shared" si="1"/>
        <v>0</v>
      </c>
    </row>
    <row r="6" spans="1:16">
      <c r="A6" s="587" t="s">
        <v>10037</v>
      </c>
      <c r="B6" s="576">
        <v>1121</v>
      </c>
      <c r="C6" s="61" t="s">
        <v>2917</v>
      </c>
      <c r="D6" s="115" t="s">
        <v>10092</v>
      </c>
      <c r="E6" s="236">
        <v>2028644</v>
      </c>
      <c r="F6" s="236"/>
      <c r="G6" s="187"/>
      <c r="I6" s="577">
        <v>1123</v>
      </c>
      <c r="J6" s="311" t="s">
        <v>3638</v>
      </c>
      <c r="K6" s="643">
        <f t="shared" si="0"/>
        <v>426990</v>
      </c>
      <c r="L6" s="187"/>
      <c r="M6" s="579">
        <v>2194</v>
      </c>
      <c r="N6" s="648" t="s">
        <v>1216</v>
      </c>
      <c r="O6" s="643">
        <f t="shared" si="1"/>
        <v>34335</v>
      </c>
      <c r="P6" s="187"/>
    </row>
    <row r="7" spans="1:16">
      <c r="A7" s="587" t="s">
        <v>10037</v>
      </c>
      <c r="B7" s="577">
        <v>1123</v>
      </c>
      <c r="C7" s="311" t="s">
        <v>3638</v>
      </c>
      <c r="D7" s="115" t="s">
        <v>10092</v>
      </c>
      <c r="E7" s="236">
        <v>499380</v>
      </c>
      <c r="F7" s="232"/>
      <c r="G7" s="187"/>
      <c r="H7" s="585"/>
      <c r="I7" s="578">
        <v>1130</v>
      </c>
      <c r="J7" s="300" t="s">
        <v>3889</v>
      </c>
      <c r="K7" s="643">
        <f t="shared" si="0"/>
        <v>718321.51</v>
      </c>
      <c r="L7" s="187"/>
      <c r="M7" s="579">
        <v>3110</v>
      </c>
      <c r="N7" s="648" t="s">
        <v>4857</v>
      </c>
      <c r="O7" s="643">
        <f t="shared" si="1"/>
        <v>5000000</v>
      </c>
    </row>
    <row r="8" spans="1:16">
      <c r="A8" s="587" t="s">
        <v>10037</v>
      </c>
      <c r="B8" s="578">
        <v>1130</v>
      </c>
      <c r="C8" s="300" t="s">
        <v>3889</v>
      </c>
      <c r="D8" s="115" t="s">
        <v>10092</v>
      </c>
      <c r="E8" s="236">
        <v>718694</v>
      </c>
      <c r="F8" s="232"/>
      <c r="G8" s="233"/>
      <c r="H8" s="585"/>
      <c r="I8" s="578">
        <v>1194</v>
      </c>
      <c r="J8" s="300" t="s">
        <v>3798</v>
      </c>
      <c r="K8" s="643">
        <f t="shared" si="0"/>
        <v>0</v>
      </c>
      <c r="L8" s="187"/>
      <c r="M8" s="579">
        <v>3430</v>
      </c>
      <c r="N8" s="648" t="s">
        <v>4858</v>
      </c>
      <c r="O8" s="643">
        <f t="shared" si="1"/>
        <v>-1573435</v>
      </c>
    </row>
    <row r="9" spans="1:16">
      <c r="A9" s="587" t="s">
        <v>10037</v>
      </c>
      <c r="B9" s="578">
        <v>1901</v>
      </c>
      <c r="C9" s="300" t="s">
        <v>4856</v>
      </c>
      <c r="D9" s="115" t="s">
        <v>10092</v>
      </c>
      <c r="E9" s="236">
        <v>30000</v>
      </c>
      <c r="F9" s="232"/>
      <c r="G9" s="233"/>
      <c r="H9" s="585"/>
      <c r="I9" s="578">
        <v>1901</v>
      </c>
      <c r="J9" s="300" t="s">
        <v>4856</v>
      </c>
      <c r="K9" s="643">
        <f t="shared" si="0"/>
        <v>30000</v>
      </c>
      <c r="L9" s="187"/>
      <c r="M9" s="579">
        <v>3433</v>
      </c>
      <c r="N9" s="648" t="s">
        <v>10184</v>
      </c>
      <c r="O9" s="643">
        <v>-1573435</v>
      </c>
    </row>
    <row r="10" spans="1:16">
      <c r="A10" s="587" t="s">
        <v>10037</v>
      </c>
      <c r="B10" s="578">
        <v>2123</v>
      </c>
      <c r="C10" s="300" t="s">
        <v>595</v>
      </c>
      <c r="D10" s="115" t="s">
        <v>10092</v>
      </c>
      <c r="E10" s="236"/>
      <c r="F10" s="236">
        <v>79762</v>
      </c>
      <c r="H10" s="585"/>
      <c r="K10" s="643"/>
      <c r="L10" s="187"/>
      <c r="M10" s="336">
        <v>3440</v>
      </c>
      <c r="N10" s="648" t="s">
        <v>4861</v>
      </c>
      <c r="O10" s="643">
        <f>K35</f>
        <v>-3164.9900000002235</v>
      </c>
    </row>
    <row r="11" spans="1:16">
      <c r="A11" s="587" t="s">
        <v>10037</v>
      </c>
      <c r="B11" s="578">
        <v>2194</v>
      </c>
      <c r="C11" s="311" t="s">
        <v>244</v>
      </c>
      <c r="D11" s="115" t="s">
        <v>10092</v>
      </c>
      <c r="E11" s="236"/>
      <c r="F11" s="236">
        <v>37362</v>
      </c>
      <c r="I11" s="583">
        <v>1000</v>
      </c>
      <c r="J11" s="300" t="s">
        <v>5786</v>
      </c>
      <c r="K11" s="643">
        <f>SUM(K3:K10)</f>
        <v>3542625.51</v>
      </c>
      <c r="L11" s="187"/>
      <c r="M11" s="336">
        <v>9000</v>
      </c>
      <c r="N11" s="648" t="s">
        <v>5789</v>
      </c>
      <c r="O11" s="643">
        <f>SUM(O3:O8)+O10</f>
        <v>3542625.01</v>
      </c>
      <c r="P11" s="581">
        <f>K11-O11</f>
        <v>0.5</v>
      </c>
    </row>
    <row r="12" spans="1:16">
      <c r="A12" s="587" t="s">
        <v>10037</v>
      </c>
      <c r="B12" s="578">
        <v>3110</v>
      </c>
      <c r="C12" s="311" t="s">
        <v>4882</v>
      </c>
      <c r="D12" s="115" t="s">
        <v>10092</v>
      </c>
      <c r="E12" s="236"/>
      <c r="F12" s="235">
        <v>5000000</v>
      </c>
      <c r="I12" s="940" t="s">
        <v>5782</v>
      </c>
      <c r="J12" s="940"/>
      <c r="K12" s="940"/>
      <c r="M12" s="940" t="s">
        <v>5783</v>
      </c>
      <c r="N12" s="941"/>
      <c r="O12" s="941"/>
    </row>
    <row r="13" spans="1:16">
      <c r="A13" s="587" t="s">
        <v>10037</v>
      </c>
      <c r="B13" s="578">
        <v>3430</v>
      </c>
      <c r="C13" s="311" t="s">
        <v>4883</v>
      </c>
      <c r="D13" s="115" t="s">
        <v>10092</v>
      </c>
      <c r="E13" s="236"/>
      <c r="F13" s="235">
        <f>-1572897-538</f>
        <v>-1573435</v>
      </c>
      <c r="G13" s="581">
        <f>SUM(E2:E13)-SUM(F2:F13)</f>
        <v>0</v>
      </c>
      <c r="I13" s="583">
        <v>4201</v>
      </c>
      <c r="J13" s="582" t="s">
        <v>5756</v>
      </c>
      <c r="K13" s="643">
        <f>-(SUMIF($B$2:$B$207,I13,$E$2:$E$207)-SUMIF($B$2:$B$207,I13,$F$2:$F$207))</f>
        <v>2686242</v>
      </c>
      <c r="M13" s="583"/>
      <c r="N13" s="582" t="s">
        <v>5752</v>
      </c>
      <c r="O13" s="643">
        <f>K13</f>
        <v>2686242</v>
      </c>
    </row>
    <row r="14" spans="1:16">
      <c r="B14" s="578"/>
      <c r="C14" s="231"/>
      <c r="D14" s="220"/>
      <c r="E14" s="236"/>
      <c r="F14" s="236"/>
      <c r="I14" s="583">
        <v>4202</v>
      </c>
      <c r="J14" s="582" t="s">
        <v>5753</v>
      </c>
      <c r="K14" s="239">
        <f>-(SUMIF($B$2:$B$207,I14,$E$2:$E$207)-SUMIF($B$2:$B$207,I14,$F$2:$F$207))</f>
        <v>0</v>
      </c>
      <c r="M14" s="583"/>
      <c r="N14" s="582" t="s">
        <v>5757</v>
      </c>
      <c r="O14" s="643">
        <f>F16</f>
        <v>2538242</v>
      </c>
    </row>
    <row r="15" spans="1:16">
      <c r="A15" s="587" t="s">
        <v>10093</v>
      </c>
      <c r="B15" s="576">
        <v>1123</v>
      </c>
      <c r="C15" t="s">
        <v>3638</v>
      </c>
      <c r="D15" s="115" t="s">
        <v>10046</v>
      </c>
      <c r="E15" s="575">
        <f>F16+F17</f>
        <v>2665155</v>
      </c>
      <c r="F15" s="229"/>
      <c r="I15" s="583">
        <v>4203</v>
      </c>
      <c r="J15" s="582" t="s">
        <v>5754</v>
      </c>
      <c r="K15" s="239">
        <f>-(SUMIF($B$2:$B$207,I15,$E$2:$E$207)-SUMIF($B$2:$B$207,I15,$F$2:$F$207))</f>
        <v>0</v>
      </c>
      <c r="M15" s="583"/>
      <c r="N15" s="582" t="s">
        <v>5784</v>
      </c>
      <c r="O15" s="187">
        <f>SUM(O16:O19)</f>
        <v>148000</v>
      </c>
    </row>
    <row r="16" spans="1:16">
      <c r="A16" s="587" t="s">
        <v>10093</v>
      </c>
      <c r="B16" s="576">
        <v>4201</v>
      </c>
      <c r="C16" s="175" t="s">
        <v>337</v>
      </c>
      <c r="D16" s="115" t="s">
        <v>10046</v>
      </c>
      <c r="E16" s="229"/>
      <c r="F16" s="236">
        <v>2538242</v>
      </c>
      <c r="I16" s="583"/>
      <c r="J16" s="582" t="s">
        <v>5755</v>
      </c>
      <c r="K16" s="643">
        <f>K13-K14-K15</f>
        <v>2686242</v>
      </c>
      <c r="M16" s="583" t="s">
        <v>5740</v>
      </c>
      <c r="N16" s="582" t="s">
        <v>10165</v>
      </c>
      <c r="O16" s="232">
        <f>-'6正'!O19</f>
        <v>0</v>
      </c>
    </row>
    <row r="17" spans="1:16">
      <c r="A17" s="587" t="s">
        <v>10093</v>
      </c>
      <c r="B17" s="576">
        <v>2194</v>
      </c>
      <c r="C17" s="175" t="s">
        <v>244</v>
      </c>
      <c r="D17" s="115" t="s">
        <v>10046</v>
      </c>
      <c r="E17" s="229"/>
      <c r="F17" s="236">
        <v>126913</v>
      </c>
      <c r="I17" s="583"/>
      <c r="J17" s="582" t="s">
        <v>5762</v>
      </c>
      <c r="K17" s="644">
        <f>O25</f>
        <v>207976.99</v>
      </c>
      <c r="M17" s="583" t="s">
        <v>5740</v>
      </c>
      <c r="N17" s="582" t="s">
        <v>10166</v>
      </c>
      <c r="O17" s="649">
        <v>430000</v>
      </c>
    </row>
    <row r="18" spans="1:16">
      <c r="A18" s="587" t="s">
        <v>10093</v>
      </c>
      <c r="B18" s="576">
        <v>4201</v>
      </c>
      <c r="C18" s="313" t="s">
        <v>1309</v>
      </c>
      <c r="D18" t="s">
        <v>10173</v>
      </c>
      <c r="E18" s="172"/>
      <c r="F18" s="162"/>
      <c r="G18" s="187"/>
      <c r="I18" s="583"/>
      <c r="J18" s="582" t="s">
        <v>5763</v>
      </c>
      <c r="K18" s="644">
        <f>K16-K17</f>
        <v>2478265.0099999998</v>
      </c>
      <c r="M18" s="583" t="s">
        <v>5741</v>
      </c>
      <c r="N18" s="582" t="s">
        <v>10164</v>
      </c>
      <c r="O18" s="650"/>
    </row>
    <row r="19" spans="1:16">
      <c r="A19" s="587" t="s">
        <v>10093</v>
      </c>
      <c r="B19" s="577">
        <v>2131</v>
      </c>
      <c r="C19" s="560" t="s">
        <v>4953</v>
      </c>
      <c r="D19" t="s">
        <v>10173</v>
      </c>
      <c r="E19" s="161"/>
      <c r="F19" s="594">
        <f>E18</f>
        <v>0</v>
      </c>
      <c r="G19" s="187"/>
      <c r="I19" s="583"/>
      <c r="J19" s="582" t="s">
        <v>5764</v>
      </c>
      <c r="K19" s="606">
        <f>K18/K$16</f>
        <v>0.9225769718439365</v>
      </c>
      <c r="M19" s="583" t="s">
        <v>5741</v>
      </c>
      <c r="N19" s="582" t="s">
        <v>10167</v>
      </c>
      <c r="O19" s="186">
        <f>-'6正'!O18</f>
        <v>-282000</v>
      </c>
      <c r="P19" s="581">
        <f>O13-O14-O15</f>
        <v>0</v>
      </c>
    </row>
    <row r="20" spans="1:16">
      <c r="A20" s="587" t="s">
        <v>10093</v>
      </c>
      <c r="B20" s="576">
        <v>2131</v>
      </c>
      <c r="C20" s="310" t="s">
        <v>1308</v>
      </c>
      <c r="D20" t="s">
        <v>10172</v>
      </c>
      <c r="E20" s="172"/>
      <c r="F20" s="162"/>
      <c r="G20" s="233"/>
      <c r="I20" s="583"/>
      <c r="J20" s="582" t="s">
        <v>5765</v>
      </c>
      <c r="K20" s="643">
        <f>SUM(K22:K31)</f>
        <v>2481523</v>
      </c>
    </row>
    <row r="21" spans="1:16">
      <c r="A21" s="587" t="s">
        <v>10093</v>
      </c>
      <c r="B21" s="576">
        <v>4201</v>
      </c>
      <c r="C21" s="259" t="s">
        <v>337</v>
      </c>
      <c r="D21" t="s">
        <v>10172</v>
      </c>
      <c r="E21" s="161"/>
      <c r="F21" s="594">
        <f>E20</f>
        <v>0</v>
      </c>
      <c r="G21" s="581">
        <f>SUM(E15:E21)-SUM(F15:F21)</f>
        <v>0</v>
      </c>
      <c r="I21" s="583"/>
      <c r="J21" s="582" t="s">
        <v>5766</v>
      </c>
      <c r="K21" s="606">
        <f>K20/K$16</f>
        <v>0.92378981491615419</v>
      </c>
      <c r="M21" s="940" t="s">
        <v>5790</v>
      </c>
      <c r="N21" s="941"/>
      <c r="O21" s="941"/>
    </row>
    <row r="22" spans="1:16">
      <c r="A22" s="587"/>
      <c r="B22" s="577"/>
      <c r="C22" s="560"/>
      <c r="D22"/>
      <c r="E22" s="161"/>
      <c r="F22" s="161"/>
      <c r="I22" s="583">
        <v>6201</v>
      </c>
      <c r="J22" s="582" t="s">
        <v>5767</v>
      </c>
      <c r="K22" s="643">
        <f t="shared" ref="K22:K30" si="2">(SUMIF($B$2:$B$207,I22,$E$2:$E$207)-SUMIF($B$2:$B$207,I22,$F$2:$F$207))</f>
        <v>1817500</v>
      </c>
      <c r="M22" s="583"/>
      <c r="N22" s="582" t="s">
        <v>5791</v>
      </c>
      <c r="O22" s="186">
        <f>E8</f>
        <v>718694</v>
      </c>
    </row>
    <row r="23" spans="1:16">
      <c r="A23" s="587" t="s">
        <v>10094</v>
      </c>
      <c r="B23" s="578">
        <v>1121</v>
      </c>
      <c r="C23" s="61" t="s">
        <v>2917</v>
      </c>
      <c r="D23" s="115" t="s">
        <v>10040</v>
      </c>
      <c r="E23" s="235">
        <v>1482030</v>
      </c>
      <c r="F23" s="232"/>
      <c r="I23" s="583">
        <v>6202</v>
      </c>
      <c r="J23" s="582" t="s">
        <v>5768</v>
      </c>
      <c r="K23" s="643">
        <f t="shared" si="2"/>
        <v>210000</v>
      </c>
      <c r="M23" s="583">
        <v>5201</v>
      </c>
      <c r="N23" s="582" t="s">
        <v>5792</v>
      </c>
      <c r="O23" s="186">
        <f>SUMIF($B$2:$B$207,M23,$E$2:$E$207)</f>
        <v>207604</v>
      </c>
    </row>
    <row r="24" spans="1:16">
      <c r="A24" s="587" t="s">
        <v>10094</v>
      </c>
      <c r="B24" s="578">
        <v>1121</v>
      </c>
      <c r="C24" s="61" t="s">
        <v>2917</v>
      </c>
      <c r="D24" s="115" t="s">
        <v>4448</v>
      </c>
      <c r="E24" s="235">
        <v>401310</v>
      </c>
      <c r="F24" s="232"/>
      <c r="I24" s="583">
        <v>6203</v>
      </c>
      <c r="J24" s="582" t="s">
        <v>5769</v>
      </c>
      <c r="K24" s="643">
        <f t="shared" si="2"/>
        <v>840</v>
      </c>
      <c r="M24" s="583" t="s">
        <v>5741</v>
      </c>
      <c r="N24" s="582" t="s">
        <v>5793</v>
      </c>
      <c r="O24" s="643">
        <f>-K7+0.5</f>
        <v>-718321.01</v>
      </c>
    </row>
    <row r="25" spans="1:16">
      <c r="A25" s="587" t="s">
        <v>10094</v>
      </c>
      <c r="B25" s="578">
        <v>2131</v>
      </c>
      <c r="C25" s="61" t="s">
        <v>1308</v>
      </c>
      <c r="D25" s="115" t="s">
        <v>10102</v>
      </c>
      <c r="E25" s="235">
        <v>479115</v>
      </c>
      <c r="F25" s="232"/>
      <c r="I25" s="583">
        <v>6205</v>
      </c>
      <c r="J25" s="582" t="s">
        <v>5770</v>
      </c>
      <c r="K25" s="186">
        <f t="shared" si="2"/>
        <v>7536</v>
      </c>
      <c r="N25" s="582" t="s">
        <v>5794</v>
      </c>
      <c r="O25" s="186">
        <f>SUM(O22:O24)</f>
        <v>207976.99</v>
      </c>
    </row>
    <row r="26" spans="1:16">
      <c r="A26" s="587" t="s">
        <v>10094</v>
      </c>
      <c r="B26" s="576">
        <v>1123</v>
      </c>
      <c r="C26" s="240" t="s">
        <v>242</v>
      </c>
      <c r="D26" s="115" t="s">
        <v>10043</v>
      </c>
      <c r="E26" s="232"/>
      <c r="F26" s="235">
        <v>1420605</v>
      </c>
      <c r="I26" s="583">
        <v>6207</v>
      </c>
      <c r="J26" s="582" t="s">
        <v>5771</v>
      </c>
      <c r="K26" s="186">
        <f t="shared" si="2"/>
        <v>61824</v>
      </c>
    </row>
    <row r="27" spans="1:16">
      <c r="A27" s="587" t="s">
        <v>10094</v>
      </c>
      <c r="B27" s="576">
        <v>1123</v>
      </c>
      <c r="C27" s="240" t="s">
        <v>242</v>
      </c>
      <c r="D27" s="115" t="s">
        <v>10042</v>
      </c>
      <c r="E27" s="232"/>
      <c r="F27" s="235">
        <v>479115</v>
      </c>
      <c r="H27" s="580"/>
      <c r="I27" s="583">
        <v>6209</v>
      </c>
      <c r="J27" s="582" t="s">
        <v>5772</v>
      </c>
      <c r="K27" s="186">
        <f t="shared" si="2"/>
        <v>13602</v>
      </c>
      <c r="M27" s="940" t="s">
        <v>5797</v>
      </c>
      <c r="N27" s="940"/>
      <c r="O27" s="940"/>
    </row>
    <row r="28" spans="1:16">
      <c r="A28" s="587" t="s">
        <v>10094</v>
      </c>
      <c r="B28" s="578">
        <v>2131</v>
      </c>
      <c r="C28" s="240" t="s">
        <v>423</v>
      </c>
      <c r="D28" s="115" t="s">
        <v>10103</v>
      </c>
      <c r="E28" s="232"/>
      <c r="F28" s="235">
        <v>462735</v>
      </c>
      <c r="G28" s="233"/>
      <c r="I28" s="583">
        <v>6213</v>
      </c>
      <c r="J28" s="582" t="s">
        <v>5773</v>
      </c>
      <c r="K28" s="186">
        <f t="shared" si="2"/>
        <v>12761</v>
      </c>
      <c r="M28" s="230">
        <v>6215</v>
      </c>
      <c r="N28" s="582" t="s">
        <v>1220</v>
      </c>
      <c r="O28" s="186">
        <f>(SUMIF($B$2:$B$207,M28,$E$2:$E$207)-SUMIF($B$2:$B$207,M28,$F$2:$F$207))</f>
        <v>474</v>
      </c>
    </row>
    <row r="29" spans="1:16">
      <c r="A29" s="587" t="s">
        <v>10094</v>
      </c>
      <c r="B29" s="578">
        <v>1121</v>
      </c>
      <c r="C29" s="61" t="s">
        <v>2917</v>
      </c>
      <c r="D29" s="115" t="s">
        <v>4853</v>
      </c>
      <c r="E29" s="235">
        <v>348180</v>
      </c>
      <c r="F29" s="232"/>
      <c r="G29" s="679"/>
      <c r="I29" s="583">
        <v>6214</v>
      </c>
      <c r="J29" s="582" t="s">
        <v>5774</v>
      </c>
      <c r="K29" s="186">
        <f t="shared" si="2"/>
        <v>222997</v>
      </c>
      <c r="M29" s="230">
        <v>6230</v>
      </c>
      <c r="N29" s="582" t="s">
        <v>1221</v>
      </c>
      <c r="O29" s="186">
        <f>(SUMIF($B$2:$B$207,M29,$E$2:$E$207)-SUMIF($B$2:$B$207,M29,$F$2:$F$207))</f>
        <v>1293</v>
      </c>
    </row>
    <row r="30" spans="1:16">
      <c r="A30" s="587" t="s">
        <v>10094</v>
      </c>
      <c r="B30" s="576">
        <v>1123</v>
      </c>
      <c r="C30" s="240" t="s">
        <v>242</v>
      </c>
      <c r="D30" s="115" t="s">
        <v>10041</v>
      </c>
      <c r="E30" s="232"/>
      <c r="F30" s="574">
        <f>E29</f>
        <v>348180</v>
      </c>
      <c r="I30" s="583">
        <v>6219</v>
      </c>
      <c r="J30" s="582" t="s">
        <v>5775</v>
      </c>
      <c r="K30" s="186">
        <f t="shared" si="2"/>
        <v>115200</v>
      </c>
      <c r="M30" s="230">
        <v>6232</v>
      </c>
      <c r="N30" s="582" t="s">
        <v>1218</v>
      </c>
      <c r="O30" s="186">
        <f>(SUMIF($B$2:$B$207,M30,$E$2:$E$207)-SUMIF($B$2:$B$207,M30,$F$2:$F$207))</f>
        <v>17496</v>
      </c>
    </row>
    <row r="31" spans="1:16">
      <c r="A31" s="587" t="s">
        <v>10094</v>
      </c>
      <c r="B31" s="577" t="s">
        <v>4859</v>
      </c>
      <c r="C31" s="61" t="s">
        <v>246</v>
      </c>
      <c r="D31" s="299" t="s">
        <v>10044</v>
      </c>
      <c r="E31" s="236">
        <v>2435940</v>
      </c>
      <c r="F31" s="187"/>
      <c r="I31" s="583"/>
      <c r="J31" s="582" t="s">
        <v>5776</v>
      </c>
      <c r="K31" s="186">
        <f>O31</f>
        <v>19263</v>
      </c>
      <c r="N31" s="582" t="s">
        <v>2684</v>
      </c>
      <c r="O31" s="186">
        <f>SUM(O28:O30)</f>
        <v>19263</v>
      </c>
      <c r="P31" s="581">
        <f>K31-O31</f>
        <v>0</v>
      </c>
    </row>
    <row r="32" spans="1:16">
      <c r="A32" s="587" t="s">
        <v>10094</v>
      </c>
      <c r="B32" s="577" t="s">
        <v>4860</v>
      </c>
      <c r="C32" s="231" t="s">
        <v>243</v>
      </c>
      <c r="D32" s="299" t="s">
        <v>10044</v>
      </c>
      <c r="E32" s="229"/>
      <c r="F32" s="575">
        <f>E31</f>
        <v>2435940</v>
      </c>
      <c r="G32" s="581">
        <f>SUM(E23:E32)-SUM(F23:F32)</f>
        <v>0</v>
      </c>
      <c r="J32" s="582" t="s">
        <v>5777</v>
      </c>
      <c r="K32" s="186">
        <f>K18-K20</f>
        <v>-3257.9900000002235</v>
      </c>
      <c r="N32" s="582"/>
      <c r="O32" s="233"/>
    </row>
    <row r="33" spans="1:16">
      <c r="B33" s="577"/>
      <c r="C33" s="231"/>
      <c r="D33" s="299"/>
      <c r="E33" s="229"/>
      <c r="F33" s="229"/>
      <c r="G33" s="229"/>
      <c r="J33" s="582" t="s">
        <v>5778</v>
      </c>
      <c r="K33" s="606">
        <f>K32/K$16</f>
        <v>-1.2128430722177018E-3</v>
      </c>
      <c r="M33" s="940" t="s">
        <v>5798</v>
      </c>
      <c r="N33" s="940"/>
      <c r="O33" s="940"/>
    </row>
    <row r="34" spans="1:16">
      <c r="A34" s="587" t="s">
        <v>10095</v>
      </c>
      <c r="B34" s="578">
        <v>1112</v>
      </c>
      <c r="C34" s="61" t="s">
        <v>246</v>
      </c>
      <c r="D34" s="299" t="s">
        <v>10045</v>
      </c>
      <c r="E34" s="236">
        <f>460655-14000+3150</f>
        <v>449805</v>
      </c>
      <c r="F34" s="187"/>
      <c r="I34" s="583">
        <v>7101</v>
      </c>
      <c r="J34" s="582" t="s">
        <v>5779</v>
      </c>
      <c r="K34" s="186">
        <f>-(SUMIF($B$2:$B$207,I34,$E$2:$E$207)-SUMIF($B$2:$B$207,I34,$F$2:$F$207))</f>
        <v>93</v>
      </c>
      <c r="N34" s="582" t="s">
        <v>5795</v>
      </c>
      <c r="O34" s="186">
        <f>4*12</f>
        <v>48</v>
      </c>
    </row>
    <row r="35" spans="1:16">
      <c r="A35" s="587" t="s">
        <v>10095</v>
      </c>
      <c r="B35" s="577">
        <v>1112</v>
      </c>
      <c r="C35" s="61" t="s">
        <v>247</v>
      </c>
      <c r="D35" s="299" t="s">
        <v>10045</v>
      </c>
      <c r="E35" s="236">
        <v>39690</v>
      </c>
      <c r="F35" s="236"/>
      <c r="J35" s="582" t="s">
        <v>5780</v>
      </c>
      <c r="K35" s="186">
        <f>K32+K34</f>
        <v>-3164.9900000002235</v>
      </c>
      <c r="M35" s="578"/>
      <c r="N35" s="582" t="s">
        <v>5796</v>
      </c>
      <c r="O35" s="186">
        <f>O34*2400</f>
        <v>115200</v>
      </c>
      <c r="P35" s="581">
        <f>K30-O35</f>
        <v>0</v>
      </c>
    </row>
    <row r="36" spans="1:16">
      <c r="A36" s="587" t="s">
        <v>10095</v>
      </c>
      <c r="B36" s="578">
        <v>6230</v>
      </c>
      <c r="C36" s="61" t="s">
        <v>1221</v>
      </c>
      <c r="D36" s="299" t="s">
        <v>10104</v>
      </c>
      <c r="E36" s="236">
        <v>150</v>
      </c>
      <c r="F36" s="187"/>
      <c r="J36" s="582" t="s">
        <v>5781</v>
      </c>
      <c r="K36" s="606">
        <f>K35/(K$16+K$34)</f>
        <v>-1.1781814256227251E-3</v>
      </c>
      <c r="M36" s="579"/>
      <c r="N36" s="220"/>
    </row>
    <row r="37" spans="1:16">
      <c r="A37" s="587" t="s">
        <v>10095</v>
      </c>
      <c r="B37" s="578">
        <v>1123</v>
      </c>
      <c r="C37" s="240" t="s">
        <v>242</v>
      </c>
      <c r="D37" s="299" t="s">
        <v>10147</v>
      </c>
      <c r="E37" s="229"/>
      <c r="F37" s="600">
        <f>SUM(E34:E36)</f>
        <v>489645</v>
      </c>
      <c r="G37" s="581">
        <f>SUM(E34:E37)-SUM(F34:F37)</f>
        <v>0</v>
      </c>
      <c r="M37" s="940" t="s">
        <v>5800</v>
      </c>
      <c r="N37" s="940"/>
      <c r="O37" s="940"/>
    </row>
    <row r="38" spans="1:16">
      <c r="N38" s="582" t="s">
        <v>5747</v>
      </c>
      <c r="O38" s="187">
        <v>1803500</v>
      </c>
    </row>
    <row r="39" spans="1:16">
      <c r="A39" s="587" t="s">
        <v>10139</v>
      </c>
      <c r="B39" s="579">
        <v>6201</v>
      </c>
      <c r="C39" s="134" t="s">
        <v>2919</v>
      </c>
      <c r="D39" s="134" t="s">
        <v>10053</v>
      </c>
      <c r="E39" s="239">
        <v>1803500</v>
      </c>
      <c r="F39" s="236"/>
      <c r="M39" s="583" t="s">
        <v>5741</v>
      </c>
      <c r="N39" s="582" t="s">
        <v>1396</v>
      </c>
      <c r="O39" s="187">
        <f>-'6正'!O41</f>
        <v>-57400</v>
      </c>
    </row>
    <row r="40" spans="1:16">
      <c r="A40" s="587" t="s">
        <v>10139</v>
      </c>
      <c r="B40" s="579">
        <v>6201</v>
      </c>
      <c r="C40" s="134" t="s">
        <v>2919</v>
      </c>
      <c r="D40" s="554" t="s">
        <v>10054</v>
      </c>
      <c r="E40" s="239">
        <v>203600</v>
      </c>
      <c r="F40" s="236"/>
      <c r="M40" s="583" t="s">
        <v>5740</v>
      </c>
      <c r="N40" s="582" t="s">
        <v>1397</v>
      </c>
      <c r="O40" s="187">
        <v>71400</v>
      </c>
    </row>
    <row r="41" spans="1:16">
      <c r="A41" s="587" t="s">
        <v>10139</v>
      </c>
      <c r="B41" s="579">
        <v>6201</v>
      </c>
      <c r="C41" s="134" t="s">
        <v>605</v>
      </c>
      <c r="D41" s="554" t="s">
        <v>10055</v>
      </c>
      <c r="E41" s="239"/>
      <c r="F41" s="239">
        <v>189600</v>
      </c>
      <c r="N41" s="582" t="s">
        <v>5799</v>
      </c>
      <c r="O41" s="186">
        <f>SUM(O38:O40)</f>
        <v>1817500</v>
      </c>
      <c r="P41" s="581">
        <f>K22-O41</f>
        <v>0</v>
      </c>
    </row>
    <row r="42" spans="1:16">
      <c r="A42" s="587" t="s">
        <v>10139</v>
      </c>
      <c r="B42" s="578">
        <v>2123</v>
      </c>
      <c r="C42" s="61" t="s">
        <v>595</v>
      </c>
      <c r="D42" s="134" t="s">
        <v>10056</v>
      </c>
      <c r="E42" s="237"/>
      <c r="F42" s="589">
        <f>E39+E40-F41</f>
        <v>1817500</v>
      </c>
      <c r="N42" s="582"/>
    </row>
    <row r="43" spans="1:16">
      <c r="A43" s="587" t="s">
        <v>10139</v>
      </c>
      <c r="B43" s="579">
        <v>6219</v>
      </c>
      <c r="C43" s="134" t="s">
        <v>2920</v>
      </c>
      <c r="D43" s="134" t="s">
        <v>10057</v>
      </c>
      <c r="E43" s="236">
        <f>2400*12*2</f>
        <v>57600</v>
      </c>
      <c r="F43" s="236"/>
      <c r="M43" s="940" t="s">
        <v>5801</v>
      </c>
      <c r="N43" s="940"/>
      <c r="O43" s="940"/>
    </row>
    <row r="44" spans="1:16">
      <c r="A44" s="587" t="s">
        <v>10139</v>
      </c>
      <c r="B44" s="578">
        <v>2123</v>
      </c>
      <c r="C44" s="61" t="s">
        <v>595</v>
      </c>
      <c r="D44" s="134" t="s">
        <v>10057</v>
      </c>
      <c r="F44" s="588">
        <f>E43</f>
        <v>57600</v>
      </c>
      <c r="N44" s="582" t="s">
        <v>5747</v>
      </c>
      <c r="O44" s="187">
        <v>204000</v>
      </c>
    </row>
    <row r="45" spans="1:16">
      <c r="A45" s="587" t="s">
        <v>10139</v>
      </c>
      <c r="B45" s="579">
        <v>6219</v>
      </c>
      <c r="C45" s="134" t="s">
        <v>2920</v>
      </c>
      <c r="D45" s="134" t="s">
        <v>10058</v>
      </c>
      <c r="E45" s="236">
        <f>2400*12*2</f>
        <v>57600</v>
      </c>
      <c r="F45" s="236"/>
      <c r="M45" s="583" t="s">
        <v>5741</v>
      </c>
      <c r="N45" s="582" t="s">
        <v>1396</v>
      </c>
      <c r="O45" s="187">
        <v>0</v>
      </c>
    </row>
    <row r="46" spans="1:16">
      <c r="A46" s="587" t="s">
        <v>10139</v>
      </c>
      <c r="B46" s="578">
        <v>2123</v>
      </c>
      <c r="C46" s="61" t="s">
        <v>595</v>
      </c>
      <c r="D46" s="134" t="s">
        <v>10058</v>
      </c>
      <c r="E46" s="237"/>
      <c r="F46" s="588">
        <f>E45</f>
        <v>57600</v>
      </c>
      <c r="M46" s="583" t="s">
        <v>5740</v>
      </c>
      <c r="N46" s="582" t="s">
        <v>1397</v>
      </c>
      <c r="O46" s="187">
        <v>0</v>
      </c>
    </row>
    <row r="47" spans="1:16">
      <c r="A47" s="587" t="s">
        <v>10139</v>
      </c>
      <c r="B47" s="578">
        <v>2123</v>
      </c>
      <c r="C47" s="61" t="s">
        <v>1214</v>
      </c>
      <c r="D47" s="134" t="s">
        <v>10059</v>
      </c>
      <c r="E47" s="589">
        <f>F48+F49</f>
        <v>1350762</v>
      </c>
      <c r="F47" s="233"/>
      <c r="N47" s="582" t="s">
        <v>5802</v>
      </c>
      <c r="O47" s="186">
        <f>SUM(O44:O46)</f>
        <v>204000</v>
      </c>
    </row>
    <row r="48" spans="1:16">
      <c r="A48" s="587" t="s">
        <v>10139</v>
      </c>
      <c r="B48" s="578">
        <v>1112</v>
      </c>
      <c r="C48" s="61" t="s">
        <v>251</v>
      </c>
      <c r="D48" s="134" t="s">
        <v>10059</v>
      </c>
      <c r="E48" s="237"/>
      <c r="F48" s="233">
        <v>1350762</v>
      </c>
    </row>
    <row r="49" spans="1:19" s="584" customFormat="1">
      <c r="A49" s="587" t="s">
        <v>10139</v>
      </c>
      <c r="B49" s="578">
        <v>1112</v>
      </c>
      <c r="C49" s="300" t="s">
        <v>249</v>
      </c>
      <c r="D49" s="134" t="s">
        <v>10059</v>
      </c>
      <c r="E49" s="237"/>
      <c r="F49" s="233">
        <v>0</v>
      </c>
      <c r="G49" s="581">
        <f>SUM(E39:E49)-SUM(F39:F49)</f>
        <v>0</v>
      </c>
      <c r="I49" s="186"/>
      <c r="J49" s="186"/>
      <c r="K49" s="186"/>
      <c r="L49" s="186"/>
      <c r="M49" s="186"/>
      <c r="N49" s="186"/>
      <c r="O49" s="186"/>
      <c r="P49" s="186"/>
      <c r="Q49" s="187"/>
      <c r="R49" s="187"/>
      <c r="S49" s="187"/>
    </row>
    <row r="50" spans="1:19" s="584" customFormat="1">
      <c r="A50" s="583"/>
      <c r="B50" s="263"/>
      <c r="C50" s="151"/>
      <c r="D50" s="61"/>
      <c r="E50" s="234"/>
      <c r="F50" s="186"/>
      <c r="G50" s="186"/>
      <c r="I50" s="186"/>
      <c r="J50" s="186"/>
      <c r="K50" s="186"/>
      <c r="L50" s="186"/>
      <c r="M50" s="186"/>
      <c r="N50" s="186"/>
      <c r="O50" s="186"/>
      <c r="P50" s="186"/>
      <c r="Q50" s="187"/>
      <c r="R50" s="187"/>
      <c r="S50" s="187"/>
    </row>
    <row r="51" spans="1:19" s="584" customFormat="1">
      <c r="A51" s="587" t="s">
        <v>10048</v>
      </c>
      <c r="B51" s="579">
        <v>6202</v>
      </c>
      <c r="C51" s="220" t="s">
        <v>2918</v>
      </c>
      <c r="D51" s="300" t="s">
        <v>10047</v>
      </c>
      <c r="E51" s="236">
        <f>17000*10+20000*2</f>
        <v>210000</v>
      </c>
      <c r="F51" s="187"/>
      <c r="G51" s="186"/>
      <c r="I51" s="186"/>
      <c r="J51" s="186"/>
      <c r="K51" s="186"/>
      <c r="L51" s="186"/>
      <c r="M51" s="186"/>
      <c r="N51" s="186"/>
      <c r="O51" s="186"/>
      <c r="P51" s="186"/>
      <c r="Q51" s="187"/>
      <c r="R51" s="187"/>
      <c r="S51" s="187"/>
    </row>
    <row r="52" spans="1:19" s="584" customFormat="1">
      <c r="A52" s="587" t="s">
        <v>10048</v>
      </c>
      <c r="B52" s="578">
        <v>6230</v>
      </c>
      <c r="C52" s="61" t="s">
        <v>1221</v>
      </c>
      <c r="D52" s="582" t="s">
        <v>10049</v>
      </c>
      <c r="E52" s="236">
        <f>15*9+30*2</f>
        <v>195</v>
      </c>
      <c r="F52" s="186"/>
      <c r="G52" s="186"/>
      <c r="I52" s="186"/>
      <c r="J52" s="186"/>
      <c r="K52" s="186"/>
      <c r="L52" s="186"/>
      <c r="M52" s="186"/>
      <c r="N52" s="186"/>
      <c r="O52" s="186"/>
      <c r="P52" s="186"/>
      <c r="Q52" s="187"/>
      <c r="R52" s="187"/>
      <c r="S52" s="187"/>
    </row>
    <row r="53" spans="1:19" s="584" customFormat="1">
      <c r="A53" s="587" t="s">
        <v>10048</v>
      </c>
      <c r="B53" s="578">
        <v>1112</v>
      </c>
      <c r="C53" s="61" t="s">
        <v>251</v>
      </c>
      <c r="D53" s="300" t="s">
        <v>10047</v>
      </c>
      <c r="E53" s="229"/>
      <c r="F53" s="588">
        <v>210195</v>
      </c>
      <c r="G53" s="186"/>
      <c r="I53" s="186"/>
      <c r="J53" s="186"/>
      <c r="K53" s="186"/>
      <c r="L53" s="186"/>
      <c r="M53" s="186"/>
      <c r="N53" s="186"/>
      <c r="O53" s="186"/>
      <c r="P53" s="186"/>
      <c r="Q53" s="187"/>
      <c r="R53" s="187"/>
      <c r="S53" s="187"/>
    </row>
    <row r="54" spans="1:19" s="584" customFormat="1">
      <c r="A54" s="587" t="s">
        <v>10048</v>
      </c>
      <c r="B54" s="577">
        <v>1112</v>
      </c>
      <c r="C54" s="61" t="s">
        <v>247</v>
      </c>
      <c r="D54" s="300" t="s">
        <v>10105</v>
      </c>
      <c r="E54" s="236">
        <v>1</v>
      </c>
      <c r="F54" s="187"/>
      <c r="G54" s="186"/>
      <c r="I54" s="186"/>
      <c r="J54" s="186"/>
      <c r="K54" s="186"/>
      <c r="L54" s="186"/>
      <c r="M54" s="186"/>
      <c r="N54" s="186"/>
      <c r="O54" s="186"/>
      <c r="P54" s="186"/>
      <c r="Q54" s="187"/>
      <c r="R54" s="187"/>
      <c r="S54" s="187"/>
    </row>
    <row r="55" spans="1:19" s="584" customFormat="1">
      <c r="A55" s="587" t="s">
        <v>10048</v>
      </c>
      <c r="B55" s="578">
        <v>7101</v>
      </c>
      <c r="C55" s="186" t="s">
        <v>2787</v>
      </c>
      <c r="D55" s="300" t="s">
        <v>10106</v>
      </c>
      <c r="E55" s="229"/>
      <c r="F55" s="588">
        <f>E54</f>
        <v>1</v>
      </c>
      <c r="G55" s="186"/>
      <c r="I55" s="186"/>
      <c r="J55" s="186"/>
      <c r="K55" s="186"/>
      <c r="L55" s="186"/>
      <c r="M55" s="186"/>
      <c r="N55" s="186"/>
      <c r="O55" s="186"/>
      <c r="P55" s="186"/>
      <c r="Q55" s="187"/>
      <c r="R55" s="187"/>
      <c r="S55" s="187"/>
    </row>
    <row r="56" spans="1:19" s="584" customFormat="1">
      <c r="A56" s="587" t="s">
        <v>10048</v>
      </c>
      <c r="B56" s="577">
        <v>1112</v>
      </c>
      <c r="C56" s="61" t="s">
        <v>247</v>
      </c>
      <c r="D56" s="300" t="s">
        <v>10107</v>
      </c>
      <c r="E56" s="236">
        <v>2</v>
      </c>
      <c r="F56" s="187"/>
      <c r="G56" s="186"/>
      <c r="I56" s="186"/>
      <c r="J56" s="186"/>
      <c r="K56" s="186"/>
      <c r="L56" s="186"/>
      <c r="M56" s="186"/>
      <c r="N56" s="186"/>
      <c r="O56" s="186"/>
      <c r="P56" s="186"/>
      <c r="Q56" s="187"/>
      <c r="R56" s="187"/>
      <c r="S56" s="187"/>
    </row>
    <row r="57" spans="1:19" s="584" customFormat="1">
      <c r="A57" s="587" t="s">
        <v>10048</v>
      </c>
      <c r="B57" s="578">
        <v>7101</v>
      </c>
      <c r="C57" s="186" t="s">
        <v>2787</v>
      </c>
      <c r="D57" s="300" t="s">
        <v>10107</v>
      </c>
      <c r="E57" s="229"/>
      <c r="F57" s="588">
        <f>E56</f>
        <v>2</v>
      </c>
      <c r="G57" s="186"/>
      <c r="I57" s="186"/>
      <c r="J57" s="186"/>
      <c r="K57" s="186"/>
      <c r="L57" s="186"/>
      <c r="M57" s="186"/>
      <c r="N57" s="186"/>
      <c r="O57" s="186"/>
      <c r="P57" s="186"/>
      <c r="Q57" s="187"/>
      <c r="R57" s="187"/>
      <c r="S57" s="187"/>
    </row>
    <row r="58" spans="1:19" s="584" customFormat="1">
      <c r="A58" s="587" t="s">
        <v>10048</v>
      </c>
      <c r="B58" s="578">
        <v>1112</v>
      </c>
      <c r="C58" s="61" t="s">
        <v>246</v>
      </c>
      <c r="D58" s="300" t="s">
        <v>10108</v>
      </c>
      <c r="E58" s="236">
        <v>45</v>
      </c>
      <c r="F58" s="187"/>
      <c r="G58" s="186"/>
      <c r="I58" s="186"/>
      <c r="J58" s="186"/>
      <c r="K58" s="186"/>
      <c r="L58" s="186"/>
      <c r="M58" s="186"/>
      <c r="N58" s="186"/>
      <c r="O58" s="186"/>
      <c r="P58" s="186"/>
      <c r="Q58" s="187"/>
      <c r="R58" s="187"/>
      <c r="S58" s="187"/>
    </row>
    <row r="59" spans="1:19" s="584" customFormat="1">
      <c r="A59" s="587" t="s">
        <v>10048</v>
      </c>
      <c r="B59" s="578">
        <v>7101</v>
      </c>
      <c r="C59" s="186" t="s">
        <v>2787</v>
      </c>
      <c r="D59" s="300" t="s">
        <v>10108</v>
      </c>
      <c r="E59" s="229"/>
      <c r="F59" s="588">
        <f>E58</f>
        <v>45</v>
      </c>
      <c r="G59" s="186"/>
      <c r="I59" s="186"/>
      <c r="J59" s="186"/>
      <c r="K59" s="186"/>
      <c r="L59" s="186"/>
      <c r="M59" s="186"/>
      <c r="N59" s="186"/>
      <c r="O59" s="186"/>
      <c r="P59" s="186"/>
      <c r="Q59" s="187"/>
      <c r="R59" s="187"/>
      <c r="S59" s="187"/>
    </row>
    <row r="60" spans="1:19" s="584" customFormat="1">
      <c r="A60" s="587" t="s">
        <v>10048</v>
      </c>
      <c r="B60" s="578">
        <v>1112</v>
      </c>
      <c r="C60" s="61" t="s">
        <v>246</v>
      </c>
      <c r="D60" s="300" t="s">
        <v>10109</v>
      </c>
      <c r="E60" s="236">
        <v>45</v>
      </c>
      <c r="F60" s="187"/>
      <c r="G60" s="186"/>
      <c r="I60" s="186"/>
      <c r="J60" s="186"/>
      <c r="K60" s="186"/>
      <c r="L60" s="186"/>
      <c r="M60" s="186"/>
      <c r="N60" s="186"/>
      <c r="O60" s="186"/>
      <c r="P60" s="186"/>
      <c r="Q60" s="187"/>
      <c r="R60" s="187"/>
      <c r="S60" s="187"/>
    </row>
    <row r="61" spans="1:19" s="584" customFormat="1">
      <c r="A61" s="587" t="s">
        <v>10048</v>
      </c>
      <c r="B61" s="578">
        <v>7101</v>
      </c>
      <c r="C61" s="186" t="s">
        <v>2787</v>
      </c>
      <c r="D61" s="300" t="s">
        <v>10109</v>
      </c>
      <c r="E61" s="229"/>
      <c r="F61" s="588">
        <f>E60</f>
        <v>45</v>
      </c>
      <c r="G61" s="186"/>
      <c r="I61" s="186"/>
      <c r="J61" s="186"/>
      <c r="K61" s="186"/>
      <c r="L61" s="186"/>
      <c r="M61" s="186"/>
      <c r="N61" s="186"/>
      <c r="O61" s="186"/>
      <c r="P61" s="186"/>
      <c r="Q61" s="187"/>
      <c r="R61" s="187"/>
      <c r="S61" s="187"/>
    </row>
    <row r="62" spans="1:19" s="584" customFormat="1">
      <c r="A62" s="587" t="s">
        <v>10048</v>
      </c>
      <c r="B62" s="579">
        <v>6214</v>
      </c>
      <c r="C62" s="220" t="s">
        <v>2789</v>
      </c>
      <c r="D62" s="299" t="s">
        <v>10050</v>
      </c>
      <c r="E62" s="236">
        <v>77590</v>
      </c>
      <c r="F62" s="187"/>
      <c r="G62" s="186"/>
      <c r="I62" s="186"/>
      <c r="J62" s="186"/>
      <c r="K62" s="186"/>
      <c r="L62" s="186"/>
      <c r="M62" s="186"/>
      <c r="N62" s="186"/>
      <c r="O62" s="186"/>
      <c r="P62" s="186"/>
      <c r="Q62" s="187"/>
      <c r="R62" s="187"/>
      <c r="S62" s="187"/>
    </row>
    <row r="63" spans="1:19" s="584" customFormat="1">
      <c r="A63" s="587" t="s">
        <v>10048</v>
      </c>
      <c r="B63" s="579">
        <v>6214</v>
      </c>
      <c r="C63" s="220" t="s">
        <v>2789</v>
      </c>
      <c r="D63" s="299" t="s">
        <v>10110</v>
      </c>
      <c r="E63" s="236">
        <v>19994</v>
      </c>
      <c r="F63" s="187"/>
      <c r="G63" s="186"/>
      <c r="I63" s="186"/>
      <c r="J63" s="186"/>
      <c r="K63" s="186"/>
      <c r="L63" s="186"/>
      <c r="M63" s="186"/>
      <c r="N63" s="186"/>
      <c r="O63" s="186"/>
      <c r="P63" s="186"/>
      <c r="Q63" s="187"/>
      <c r="R63" s="187"/>
      <c r="S63" s="187"/>
    </row>
    <row r="64" spans="1:19" s="584" customFormat="1">
      <c r="A64" s="587" t="s">
        <v>10048</v>
      </c>
      <c r="B64" s="578">
        <v>1112</v>
      </c>
      <c r="C64" s="220" t="s">
        <v>251</v>
      </c>
      <c r="D64" s="299" t="s">
        <v>10050</v>
      </c>
      <c r="E64" s="229"/>
      <c r="F64" s="588">
        <f>SUM(E62:E63)</f>
        <v>97584</v>
      </c>
      <c r="G64" s="186"/>
      <c r="I64" s="186"/>
      <c r="J64" s="186"/>
      <c r="K64" s="186"/>
      <c r="L64" s="186"/>
      <c r="M64" s="186"/>
      <c r="N64" s="186"/>
      <c r="O64" s="186"/>
      <c r="P64" s="186"/>
      <c r="Q64" s="187"/>
      <c r="R64" s="187"/>
      <c r="S64" s="187"/>
    </row>
    <row r="65" spans="1:19" s="584" customFormat="1">
      <c r="A65" s="587" t="s">
        <v>10048</v>
      </c>
      <c r="B65" s="579">
        <v>6214</v>
      </c>
      <c r="C65" s="220" t="s">
        <v>2790</v>
      </c>
      <c r="D65" s="300" t="s">
        <v>10111</v>
      </c>
      <c r="E65" s="236">
        <v>75046</v>
      </c>
      <c r="F65" s="187"/>
      <c r="G65" s="186"/>
      <c r="I65" s="186"/>
      <c r="J65" s="186"/>
      <c r="K65" s="186"/>
      <c r="L65" s="186"/>
      <c r="M65" s="186"/>
      <c r="N65" s="186"/>
      <c r="O65" s="186"/>
      <c r="P65" s="186"/>
      <c r="Q65" s="187"/>
      <c r="R65" s="187"/>
      <c r="S65" s="187"/>
    </row>
    <row r="66" spans="1:19" s="584" customFormat="1">
      <c r="A66" s="587" t="s">
        <v>10048</v>
      </c>
      <c r="B66" s="578">
        <v>1112</v>
      </c>
      <c r="C66" s="61" t="s">
        <v>251</v>
      </c>
      <c r="D66" s="300" t="s">
        <v>10111</v>
      </c>
      <c r="E66" s="229"/>
      <c r="F66" s="588">
        <f>E65</f>
        <v>75046</v>
      </c>
      <c r="G66" s="186"/>
      <c r="I66" s="186"/>
      <c r="J66" s="186"/>
      <c r="K66" s="186"/>
      <c r="L66" s="186"/>
      <c r="M66" s="186"/>
      <c r="N66" s="186"/>
      <c r="O66" s="186"/>
      <c r="P66" s="186"/>
      <c r="Q66" s="187"/>
      <c r="R66" s="187"/>
      <c r="S66" s="187"/>
    </row>
    <row r="67" spans="1:19" s="584" customFormat="1">
      <c r="A67" s="587" t="s">
        <v>10048</v>
      </c>
      <c r="B67" s="579">
        <v>6214</v>
      </c>
      <c r="C67" s="220" t="s">
        <v>2791</v>
      </c>
      <c r="D67" s="300" t="s">
        <v>10112</v>
      </c>
      <c r="E67" s="236">
        <v>50367</v>
      </c>
      <c r="F67" s="187"/>
      <c r="G67" s="186"/>
      <c r="I67" s="186"/>
      <c r="J67" s="186"/>
      <c r="K67" s="186"/>
      <c r="L67" s="186"/>
      <c r="M67" s="186"/>
      <c r="N67" s="186"/>
      <c r="O67" s="186"/>
      <c r="P67" s="186"/>
      <c r="Q67" s="187"/>
      <c r="R67" s="187"/>
      <c r="S67" s="187"/>
    </row>
    <row r="68" spans="1:19" s="584" customFormat="1">
      <c r="A68" s="587" t="s">
        <v>10048</v>
      </c>
      <c r="B68" s="578">
        <v>1112</v>
      </c>
      <c r="C68" s="61" t="s">
        <v>251</v>
      </c>
      <c r="D68" s="300" t="s">
        <v>10112</v>
      </c>
      <c r="E68" s="229"/>
      <c r="F68" s="588">
        <f>E67</f>
        <v>50367</v>
      </c>
      <c r="G68" s="581">
        <f>SUM(E51:E68)-SUM(F51:F68)</f>
        <v>0</v>
      </c>
      <c r="I68" s="186"/>
      <c r="J68" s="186"/>
      <c r="K68" s="186"/>
      <c r="L68" s="186"/>
      <c r="M68" s="186"/>
      <c r="N68" s="186"/>
      <c r="O68" s="186"/>
      <c r="P68" s="186"/>
      <c r="Q68" s="187"/>
      <c r="R68" s="187"/>
      <c r="S68" s="187"/>
    </row>
    <row r="69" spans="1:19" s="584" customFormat="1">
      <c r="A69" s="583"/>
      <c r="B69" s="263"/>
      <c r="C69" s="151"/>
      <c r="D69" s="61"/>
      <c r="E69" s="234"/>
      <c r="F69" s="186"/>
      <c r="G69" s="186"/>
      <c r="I69" s="186"/>
      <c r="J69" s="186"/>
      <c r="K69" s="186"/>
      <c r="L69" s="186"/>
      <c r="M69" s="186"/>
      <c r="N69" s="186"/>
      <c r="O69" s="186"/>
      <c r="P69" s="186"/>
      <c r="Q69" s="187"/>
      <c r="R69" s="187"/>
      <c r="S69" s="187"/>
    </row>
    <row r="70" spans="1:19" s="584" customFormat="1">
      <c r="A70" s="587" t="s">
        <v>10052</v>
      </c>
      <c r="B70" s="579">
        <v>6207</v>
      </c>
      <c r="C70" s="134" t="s">
        <v>1215</v>
      </c>
      <c r="D70" s="134" t="s">
        <v>10051</v>
      </c>
      <c r="E70" s="239">
        <v>57562</v>
      </c>
      <c r="F70" s="236"/>
      <c r="G70" s="186"/>
      <c r="I70" s="186"/>
      <c r="J70" s="186"/>
      <c r="K70" s="186"/>
      <c r="L70" s="186"/>
      <c r="M70" s="186"/>
      <c r="N70" s="186"/>
      <c r="O70" s="186"/>
      <c r="P70" s="186"/>
      <c r="Q70" s="187"/>
      <c r="R70" s="187"/>
      <c r="S70" s="187"/>
    </row>
    <row r="71" spans="1:19" s="584" customFormat="1">
      <c r="A71" s="587" t="s">
        <v>10052</v>
      </c>
      <c r="B71" s="579">
        <v>1194</v>
      </c>
      <c r="C71" s="134" t="s">
        <v>3798</v>
      </c>
      <c r="D71" s="134" t="s">
        <v>10051</v>
      </c>
      <c r="E71" s="236">
        <v>2883</v>
      </c>
      <c r="F71" s="236"/>
      <c r="G71" s="186"/>
      <c r="I71" s="186"/>
      <c r="J71" s="186"/>
      <c r="K71" s="186"/>
      <c r="L71" s="186"/>
      <c r="M71" s="186"/>
      <c r="N71" s="186"/>
      <c r="O71" s="186"/>
      <c r="P71" s="186"/>
      <c r="Q71" s="187"/>
      <c r="R71" s="187"/>
      <c r="S71" s="187"/>
    </row>
    <row r="72" spans="1:19" s="584" customFormat="1">
      <c r="A72" s="587" t="s">
        <v>10052</v>
      </c>
      <c r="B72" s="578">
        <v>1112</v>
      </c>
      <c r="C72" s="61" t="s">
        <v>251</v>
      </c>
      <c r="D72" s="134" t="s">
        <v>10051</v>
      </c>
      <c r="E72" s="237"/>
      <c r="F72" s="239">
        <v>60445</v>
      </c>
      <c r="G72" s="186"/>
      <c r="I72" s="186"/>
      <c r="J72" s="186"/>
      <c r="K72" s="186"/>
      <c r="L72" s="186"/>
      <c r="M72" s="186"/>
      <c r="N72" s="186"/>
      <c r="O72" s="186"/>
      <c r="P72" s="186"/>
      <c r="Q72" s="187"/>
      <c r="R72" s="187"/>
      <c r="S72" s="187"/>
    </row>
    <row r="73" spans="1:19" s="584" customFormat="1">
      <c r="A73" s="587" t="s">
        <v>10052</v>
      </c>
      <c r="B73" s="579">
        <v>6213</v>
      </c>
      <c r="C73" s="134" t="s">
        <v>877</v>
      </c>
      <c r="D73" s="134" t="s">
        <v>10114</v>
      </c>
      <c r="E73" s="239">
        <v>9899</v>
      </c>
      <c r="F73" s="236"/>
      <c r="G73" s="186"/>
      <c r="I73" s="186"/>
      <c r="J73" s="186"/>
      <c r="K73" s="186"/>
      <c r="L73" s="186"/>
      <c r="M73" s="186"/>
      <c r="N73" s="186"/>
      <c r="O73" s="186"/>
      <c r="P73" s="186"/>
      <c r="Q73" s="187"/>
      <c r="R73" s="187"/>
      <c r="S73" s="187"/>
    </row>
    <row r="74" spans="1:19" s="584" customFormat="1">
      <c r="A74" s="587" t="s">
        <v>10052</v>
      </c>
      <c r="B74" s="579">
        <v>1194</v>
      </c>
      <c r="C74" s="134" t="s">
        <v>3798</v>
      </c>
      <c r="D74" s="134" t="s">
        <v>10114</v>
      </c>
      <c r="E74" s="236">
        <v>496</v>
      </c>
      <c r="F74" s="236"/>
      <c r="G74" s="186"/>
      <c r="I74" s="186"/>
      <c r="J74" s="186"/>
      <c r="K74" s="186"/>
      <c r="L74" s="186"/>
      <c r="M74" s="186"/>
      <c r="N74" s="186"/>
      <c r="O74" s="186"/>
      <c r="P74" s="186"/>
      <c r="Q74" s="187"/>
      <c r="R74" s="187"/>
      <c r="S74" s="187"/>
    </row>
    <row r="75" spans="1:19" s="584" customFormat="1">
      <c r="A75" s="587" t="s">
        <v>10052</v>
      </c>
      <c r="B75" s="578">
        <v>1112</v>
      </c>
      <c r="C75" s="61" t="s">
        <v>251</v>
      </c>
      <c r="D75" s="134" t="s">
        <v>10114</v>
      </c>
      <c r="E75" s="237"/>
      <c r="F75" s="239">
        <v>10795</v>
      </c>
      <c r="G75" s="186"/>
      <c r="I75" s="186"/>
      <c r="J75" s="186"/>
      <c r="K75" s="186"/>
      <c r="L75" s="186"/>
      <c r="M75" s="186"/>
      <c r="N75" s="186"/>
      <c r="O75" s="186"/>
      <c r="P75" s="186"/>
      <c r="Q75" s="187"/>
      <c r="R75" s="187"/>
      <c r="S75" s="187"/>
    </row>
    <row r="76" spans="1:19" s="584" customFormat="1">
      <c r="A76" s="587" t="s">
        <v>10052</v>
      </c>
      <c r="B76" s="579">
        <v>6213</v>
      </c>
      <c r="C76" s="134" t="s">
        <v>877</v>
      </c>
      <c r="D76" s="134" t="s">
        <v>10113</v>
      </c>
      <c r="E76" s="239">
        <v>1816</v>
      </c>
      <c r="F76" s="236"/>
      <c r="G76" s="186"/>
      <c r="I76" s="186"/>
      <c r="J76" s="186"/>
      <c r="K76" s="186"/>
      <c r="L76" s="186"/>
      <c r="M76" s="186"/>
      <c r="N76" s="186"/>
      <c r="O76" s="186"/>
      <c r="P76" s="186"/>
      <c r="Q76" s="187"/>
      <c r="R76" s="187"/>
      <c r="S76" s="187"/>
    </row>
    <row r="77" spans="1:19" s="584" customFormat="1">
      <c r="A77" s="587" t="s">
        <v>10052</v>
      </c>
      <c r="B77" s="579">
        <v>1194</v>
      </c>
      <c r="C77" s="134" t="s">
        <v>3798</v>
      </c>
      <c r="D77" s="134" t="s">
        <v>10113</v>
      </c>
      <c r="E77" s="236">
        <v>91</v>
      </c>
      <c r="F77" s="236"/>
      <c r="G77" s="186"/>
      <c r="I77" s="186"/>
      <c r="J77" s="186"/>
      <c r="K77" s="186"/>
      <c r="L77" s="186"/>
      <c r="M77" s="186"/>
      <c r="N77" s="186"/>
      <c r="O77" s="186"/>
      <c r="P77" s="186"/>
      <c r="Q77" s="187"/>
      <c r="R77" s="187"/>
      <c r="S77" s="187"/>
    </row>
    <row r="78" spans="1:19" s="584" customFormat="1">
      <c r="A78" s="587" t="s">
        <v>10052</v>
      </c>
      <c r="B78" s="579">
        <v>1111</v>
      </c>
      <c r="C78" s="61" t="s">
        <v>602</v>
      </c>
      <c r="D78" s="134" t="s">
        <v>10113</v>
      </c>
      <c r="E78" s="237"/>
      <c r="F78" s="239">
        <v>1507</v>
      </c>
      <c r="G78" s="186"/>
      <c r="I78" s="186"/>
      <c r="J78" s="186"/>
      <c r="K78" s="186"/>
      <c r="L78" s="186"/>
      <c r="M78" s="186"/>
      <c r="N78" s="186"/>
      <c r="O78" s="186"/>
      <c r="P78" s="186"/>
      <c r="Q78" s="187"/>
      <c r="R78" s="187"/>
      <c r="S78" s="187"/>
    </row>
    <row r="79" spans="1:19" s="584" customFormat="1">
      <c r="A79" s="587" t="s">
        <v>10052</v>
      </c>
      <c r="B79" s="579">
        <v>1111</v>
      </c>
      <c r="C79" s="134" t="s">
        <v>463</v>
      </c>
      <c r="D79" s="134" t="s">
        <v>10154</v>
      </c>
      <c r="E79" s="236">
        <v>2900</v>
      </c>
      <c r="F79" s="236"/>
      <c r="G79" s="186"/>
      <c r="I79" s="186"/>
      <c r="J79" s="186"/>
      <c r="K79" s="186"/>
      <c r="L79" s="186"/>
      <c r="M79" s="186"/>
      <c r="N79" s="186"/>
      <c r="O79" s="186"/>
      <c r="P79" s="186"/>
      <c r="Q79" s="187"/>
      <c r="R79" s="187"/>
      <c r="S79" s="187"/>
    </row>
    <row r="80" spans="1:19" s="584" customFormat="1">
      <c r="A80" s="587" t="s">
        <v>10052</v>
      </c>
      <c r="B80" s="579">
        <v>2192</v>
      </c>
      <c r="C80" s="299" t="s">
        <v>10156</v>
      </c>
      <c r="D80" s="134" t="s">
        <v>10153</v>
      </c>
      <c r="E80" s="236"/>
      <c r="F80" s="236">
        <v>2900</v>
      </c>
      <c r="G80" s="186"/>
      <c r="I80" s="186"/>
      <c r="J80" s="186"/>
      <c r="K80" s="186"/>
      <c r="L80" s="186"/>
      <c r="M80" s="186"/>
      <c r="N80" s="186"/>
      <c r="O80" s="186"/>
      <c r="P80" s="186"/>
      <c r="Q80" s="187"/>
      <c r="R80" s="187"/>
      <c r="S80" s="187"/>
    </row>
    <row r="81" spans="1:19" s="584" customFormat="1">
      <c r="A81" s="587" t="s">
        <v>10052</v>
      </c>
      <c r="B81" s="579">
        <v>1111</v>
      </c>
      <c r="C81" s="134" t="s">
        <v>463</v>
      </c>
      <c r="D81" s="134" t="s">
        <v>10174</v>
      </c>
      <c r="E81" s="236">
        <v>35000</v>
      </c>
      <c r="F81" s="236"/>
      <c r="G81" s="186"/>
      <c r="I81" s="186"/>
      <c r="J81" s="186"/>
      <c r="K81" s="186"/>
      <c r="L81" s="186"/>
      <c r="M81" s="186"/>
      <c r="N81" s="186"/>
      <c r="O81" s="186"/>
      <c r="P81" s="186"/>
      <c r="Q81" s="187"/>
      <c r="R81" s="187"/>
      <c r="S81" s="187"/>
    </row>
    <row r="82" spans="1:19" s="584" customFormat="1">
      <c r="A82" s="587" t="s">
        <v>10052</v>
      </c>
      <c r="B82" s="578">
        <v>1112</v>
      </c>
      <c r="C82" s="61" t="s">
        <v>251</v>
      </c>
      <c r="D82" s="134" t="s">
        <v>10174</v>
      </c>
      <c r="E82" s="237"/>
      <c r="F82" s="589">
        <f>E81</f>
        <v>35000</v>
      </c>
      <c r="G82" s="581">
        <f>SUM(E70:E82)-SUM(F70:F82)</f>
        <v>0</v>
      </c>
      <c r="I82" s="186"/>
      <c r="J82" s="186"/>
      <c r="K82" s="186"/>
      <c r="L82" s="186"/>
      <c r="M82" s="186"/>
      <c r="N82" s="186"/>
      <c r="O82" s="186"/>
      <c r="P82" s="186"/>
      <c r="Q82" s="187"/>
      <c r="R82" s="187"/>
      <c r="S82" s="187"/>
    </row>
    <row r="83" spans="1:19" s="584" customFormat="1">
      <c r="A83" s="583"/>
      <c r="B83" s="263"/>
      <c r="C83" s="151"/>
      <c r="D83" s="61"/>
      <c r="E83" s="234"/>
      <c r="F83" s="186"/>
      <c r="G83" s="186"/>
      <c r="I83" s="186"/>
      <c r="J83" s="186"/>
      <c r="K83" s="186"/>
      <c r="L83" s="186"/>
      <c r="M83" s="186"/>
      <c r="N83" s="186"/>
      <c r="O83" s="186"/>
      <c r="P83" s="186"/>
      <c r="Q83" s="187"/>
      <c r="R83" s="187"/>
      <c r="S83" s="187"/>
    </row>
    <row r="84" spans="1:19" s="584" customFormat="1">
      <c r="A84" s="587" t="s">
        <v>10140</v>
      </c>
      <c r="B84" s="579">
        <v>6213</v>
      </c>
      <c r="C84" s="61" t="s">
        <v>1217</v>
      </c>
      <c r="D84" s="244" t="s">
        <v>10117</v>
      </c>
      <c r="E84" s="236">
        <v>901</v>
      </c>
      <c r="F84" s="233"/>
      <c r="G84" s="186"/>
      <c r="I84" s="186"/>
      <c r="J84" s="186"/>
      <c r="K84" s="186"/>
      <c r="L84" s="186"/>
      <c r="M84" s="186"/>
      <c r="N84" s="186"/>
      <c r="O84" s="186"/>
      <c r="P84" s="186"/>
      <c r="Q84" s="187"/>
      <c r="R84" s="187"/>
      <c r="S84" s="187"/>
    </row>
    <row r="85" spans="1:19" s="584" customFormat="1">
      <c r="A85" s="587" t="s">
        <v>10140</v>
      </c>
      <c r="B85" s="579">
        <v>1194</v>
      </c>
      <c r="C85" s="61" t="s">
        <v>3798</v>
      </c>
      <c r="D85" s="244" t="s">
        <v>10117</v>
      </c>
      <c r="E85" s="236">
        <v>45</v>
      </c>
      <c r="F85" s="239"/>
      <c r="G85" s="186"/>
      <c r="I85" s="186"/>
      <c r="J85" s="186"/>
      <c r="K85" s="186"/>
      <c r="L85" s="186"/>
      <c r="M85" s="186"/>
      <c r="N85" s="186"/>
      <c r="O85" s="186"/>
      <c r="P85" s="186"/>
      <c r="Q85" s="187"/>
      <c r="R85" s="187"/>
      <c r="S85" s="187"/>
    </row>
    <row r="86" spans="1:19" s="584" customFormat="1">
      <c r="A86" s="587" t="s">
        <v>10140</v>
      </c>
      <c r="B86" s="579">
        <v>6213</v>
      </c>
      <c r="C86" s="61" t="s">
        <v>1217</v>
      </c>
      <c r="D86" s="134" t="s">
        <v>10116</v>
      </c>
      <c r="E86" s="236">
        <v>145</v>
      </c>
      <c r="F86" s="236"/>
      <c r="G86" s="186"/>
      <c r="I86" s="186"/>
      <c r="J86" s="186"/>
      <c r="K86" s="186"/>
      <c r="L86" s="186"/>
      <c r="M86" s="186"/>
      <c r="N86" s="186"/>
      <c r="O86" s="186"/>
      <c r="P86" s="186"/>
      <c r="Q86" s="187"/>
      <c r="R86" s="187"/>
      <c r="S86" s="187"/>
    </row>
    <row r="87" spans="1:19" s="584" customFormat="1">
      <c r="A87" s="587" t="s">
        <v>10140</v>
      </c>
      <c r="B87" s="579">
        <v>1111</v>
      </c>
      <c r="C87" s="61" t="s">
        <v>602</v>
      </c>
      <c r="D87" s="244" t="s">
        <v>10115</v>
      </c>
      <c r="E87" s="237"/>
      <c r="F87" s="232">
        <v>1091</v>
      </c>
      <c r="G87" s="581">
        <f>SUM(E84:E87)-SUM(F84:F87)</f>
        <v>0</v>
      </c>
      <c r="I87" s="186"/>
      <c r="J87" s="186"/>
      <c r="K87" s="186"/>
      <c r="L87" s="186"/>
      <c r="M87" s="186"/>
      <c r="N87" s="186"/>
      <c r="O87" s="186"/>
      <c r="P87" s="186"/>
      <c r="Q87" s="187"/>
      <c r="R87" s="187"/>
      <c r="S87" s="187"/>
    </row>
    <row r="88" spans="1:19" s="584" customFormat="1">
      <c r="A88" s="583"/>
      <c r="B88" s="263"/>
      <c r="C88" s="151"/>
      <c r="D88" s="61"/>
      <c r="E88" s="234"/>
      <c r="F88" s="186"/>
      <c r="G88" s="186"/>
      <c r="I88" s="186"/>
      <c r="J88" s="186"/>
      <c r="K88" s="186"/>
      <c r="L88" s="186"/>
      <c r="M88" s="186"/>
      <c r="N88" s="186"/>
      <c r="O88" s="186"/>
      <c r="P88" s="186"/>
      <c r="Q88" s="187"/>
      <c r="R88" s="187"/>
      <c r="S88" s="187"/>
    </row>
    <row r="89" spans="1:19" s="584" customFormat="1">
      <c r="A89" s="587" t="s">
        <v>10141</v>
      </c>
      <c r="B89" s="579">
        <v>6205</v>
      </c>
      <c r="C89" s="134" t="s">
        <v>1224</v>
      </c>
      <c r="D89" s="134" t="s">
        <v>598</v>
      </c>
      <c r="E89" s="239">
        <v>7536</v>
      </c>
      <c r="F89" s="236"/>
      <c r="G89" s="186"/>
      <c r="I89" s="186"/>
      <c r="J89" s="186"/>
      <c r="K89" s="186"/>
      <c r="L89" s="186"/>
      <c r="M89" s="186"/>
      <c r="N89" s="186"/>
      <c r="O89" s="186"/>
      <c r="P89" s="186"/>
      <c r="Q89" s="187"/>
      <c r="R89" s="187"/>
      <c r="S89" s="187"/>
    </row>
    <row r="90" spans="1:19" s="584" customFormat="1">
      <c r="A90" s="587" t="s">
        <v>10141</v>
      </c>
      <c r="B90" s="579">
        <v>6203</v>
      </c>
      <c r="C90" s="61" t="s">
        <v>1223</v>
      </c>
      <c r="D90" s="134" t="s">
        <v>2615</v>
      </c>
      <c r="E90" s="236">
        <v>840</v>
      </c>
      <c r="F90" s="239"/>
      <c r="G90" s="186"/>
      <c r="I90" s="186"/>
      <c r="J90" s="186"/>
      <c r="K90" s="186"/>
      <c r="L90" s="186"/>
      <c r="M90" s="186"/>
      <c r="N90" s="186"/>
      <c r="O90" s="186"/>
      <c r="P90" s="186"/>
      <c r="Q90" s="187"/>
      <c r="R90" s="187"/>
      <c r="S90" s="187"/>
    </row>
    <row r="91" spans="1:19" s="584" customFormat="1">
      <c r="A91" s="587" t="s">
        <v>10141</v>
      </c>
      <c r="B91" s="578">
        <v>6232</v>
      </c>
      <c r="C91" s="61" t="s">
        <v>1218</v>
      </c>
      <c r="D91" s="245" t="s">
        <v>10060</v>
      </c>
      <c r="E91" s="237">
        <v>17496</v>
      </c>
      <c r="F91" s="233"/>
      <c r="G91" s="186"/>
      <c r="I91" s="186"/>
      <c r="J91" s="186"/>
      <c r="K91" s="186"/>
      <c r="L91" s="186"/>
      <c r="M91" s="186"/>
      <c r="N91" s="186"/>
      <c r="O91" s="186"/>
      <c r="P91" s="186"/>
      <c r="Q91" s="187"/>
      <c r="R91" s="187"/>
      <c r="S91" s="187"/>
    </row>
    <row r="92" spans="1:19" s="584" customFormat="1">
      <c r="A92" s="587" t="s">
        <v>10141</v>
      </c>
      <c r="B92" s="578">
        <v>6207</v>
      </c>
      <c r="C92" s="61" t="s">
        <v>1222</v>
      </c>
      <c r="D92" s="244" t="s">
        <v>600</v>
      </c>
      <c r="E92" s="237">
        <v>2662</v>
      </c>
      <c r="F92" s="233"/>
      <c r="G92" s="186"/>
      <c r="I92" s="186"/>
      <c r="J92" s="186"/>
      <c r="K92" s="186"/>
      <c r="L92" s="186"/>
      <c r="M92" s="186"/>
      <c r="N92" s="186"/>
      <c r="O92" s="186"/>
      <c r="P92" s="186"/>
      <c r="Q92" s="187"/>
      <c r="R92" s="187"/>
      <c r="S92" s="187"/>
    </row>
    <row r="93" spans="1:19" s="584" customFormat="1">
      <c r="A93" s="587" t="s">
        <v>10141</v>
      </c>
      <c r="B93" s="578">
        <v>6230</v>
      </c>
      <c r="C93" s="61" t="s">
        <v>1221</v>
      </c>
      <c r="D93" s="244" t="s">
        <v>5717</v>
      </c>
      <c r="E93" s="237">
        <v>948</v>
      </c>
      <c r="F93" s="233"/>
      <c r="G93" s="186"/>
      <c r="I93" s="186"/>
      <c r="J93" s="186"/>
      <c r="K93" s="186"/>
      <c r="L93" s="186"/>
      <c r="M93" s="186"/>
      <c r="N93" s="186"/>
      <c r="O93" s="186"/>
      <c r="P93" s="186"/>
      <c r="Q93" s="187"/>
      <c r="R93" s="187"/>
      <c r="S93" s="187"/>
    </row>
    <row r="94" spans="1:19" s="584" customFormat="1">
      <c r="A94" s="587" t="s">
        <v>10141</v>
      </c>
      <c r="B94" s="579">
        <v>6215</v>
      </c>
      <c r="C94" s="61" t="s">
        <v>1220</v>
      </c>
      <c r="D94" s="244" t="s">
        <v>5750</v>
      </c>
      <c r="E94" s="237">
        <v>474</v>
      </c>
      <c r="F94" s="233"/>
      <c r="G94" s="186"/>
      <c r="I94" s="186"/>
      <c r="J94" s="186"/>
      <c r="K94" s="186"/>
      <c r="L94" s="186"/>
      <c r="M94" s="186"/>
      <c r="N94" s="186"/>
      <c r="O94" s="186"/>
      <c r="P94" s="186"/>
      <c r="Q94" s="187"/>
      <c r="R94" s="187"/>
      <c r="S94" s="187"/>
    </row>
    <row r="95" spans="1:19" s="584" customFormat="1">
      <c r="A95" s="587" t="s">
        <v>10069</v>
      </c>
      <c r="B95" s="579">
        <v>2192</v>
      </c>
      <c r="C95" s="299" t="s">
        <v>10137</v>
      </c>
      <c r="D95" s="244" t="s">
        <v>10157</v>
      </c>
      <c r="E95" s="236">
        <v>10</v>
      </c>
      <c r="F95" s="186"/>
      <c r="G95" s="186"/>
      <c r="I95" s="186"/>
      <c r="J95" s="186"/>
      <c r="K95" s="186"/>
      <c r="L95" s="186"/>
      <c r="M95" s="186"/>
      <c r="N95" s="186"/>
      <c r="O95" s="186"/>
      <c r="P95" s="186"/>
      <c r="Q95" s="187"/>
      <c r="R95" s="187"/>
      <c r="S95" s="187"/>
    </row>
    <row r="96" spans="1:19" s="584" customFormat="1">
      <c r="A96" s="587" t="s">
        <v>10069</v>
      </c>
      <c r="B96" s="579">
        <v>2192</v>
      </c>
      <c r="C96" s="299" t="s">
        <v>10137</v>
      </c>
      <c r="D96" s="244" t="s">
        <v>10151</v>
      </c>
      <c r="E96" s="236">
        <v>50</v>
      </c>
      <c r="F96" s="186"/>
      <c r="G96" s="186"/>
      <c r="I96" s="186"/>
      <c r="J96" s="186"/>
      <c r="K96" s="186"/>
      <c r="L96" s="186"/>
      <c r="M96" s="186"/>
      <c r="N96" s="186"/>
      <c r="O96" s="186"/>
      <c r="P96" s="186"/>
      <c r="Q96" s="187"/>
      <c r="R96" s="187"/>
      <c r="S96" s="187"/>
    </row>
    <row r="97" spans="1:19" s="584" customFormat="1">
      <c r="A97" s="587" t="s">
        <v>10141</v>
      </c>
      <c r="B97" s="579">
        <v>1111</v>
      </c>
      <c r="C97" s="61" t="s">
        <v>602</v>
      </c>
      <c r="D97" s="244" t="s">
        <v>603</v>
      </c>
      <c r="E97" s="237"/>
      <c r="F97" s="589">
        <f>SUM(E89:E96)</f>
        <v>30016</v>
      </c>
      <c r="G97" s="581">
        <f>SUM(E89:E97)-SUM(F89:F97)</f>
        <v>0</v>
      </c>
      <c r="I97" s="186"/>
      <c r="J97" s="186"/>
      <c r="K97" s="186"/>
      <c r="L97" s="186"/>
      <c r="M97" s="186"/>
      <c r="N97" s="186"/>
      <c r="O97" s="186"/>
      <c r="P97" s="186"/>
      <c r="Q97" s="187"/>
      <c r="R97" s="187"/>
      <c r="S97" s="187"/>
    </row>
    <row r="98" spans="1:19" s="584" customFormat="1">
      <c r="A98" s="583"/>
      <c r="B98" s="263"/>
      <c r="C98" s="151"/>
      <c r="D98" s="61"/>
      <c r="E98" s="234"/>
      <c r="F98" s="186"/>
      <c r="G98" s="186"/>
      <c r="I98" s="186"/>
      <c r="J98" s="186"/>
      <c r="K98" s="186"/>
      <c r="L98" s="186"/>
      <c r="M98" s="186"/>
      <c r="N98" s="186"/>
      <c r="O98" s="186"/>
      <c r="P98" s="186"/>
      <c r="Q98" s="187"/>
      <c r="R98" s="187"/>
      <c r="S98" s="187"/>
    </row>
    <row r="99" spans="1:19" s="584" customFormat="1">
      <c r="A99" s="587" t="s">
        <v>10142</v>
      </c>
      <c r="B99" s="578">
        <v>2194</v>
      </c>
      <c r="C99" s="61" t="s">
        <v>1216</v>
      </c>
      <c r="D99" s="245" t="s">
        <v>10118</v>
      </c>
      <c r="E99" s="589">
        <f>F101-E100</f>
        <v>13893</v>
      </c>
      <c r="F99" s="232"/>
      <c r="G99" s="186"/>
      <c r="I99" s="186"/>
      <c r="J99" s="186"/>
      <c r="K99" s="186"/>
      <c r="L99" s="186"/>
      <c r="M99" s="186"/>
      <c r="N99" s="186"/>
      <c r="O99" s="186"/>
      <c r="P99" s="186"/>
      <c r="Q99" s="187"/>
      <c r="R99" s="187"/>
      <c r="S99" s="187"/>
    </row>
    <row r="100" spans="1:19" s="584" customFormat="1">
      <c r="A100" s="587" t="s">
        <v>10142</v>
      </c>
      <c r="B100" s="579">
        <v>1194</v>
      </c>
      <c r="C100" s="300" t="s">
        <v>3798</v>
      </c>
      <c r="D100" s="245" t="s">
        <v>10119</v>
      </c>
      <c r="E100" s="232">
        <v>0</v>
      </c>
      <c r="F100" s="232"/>
      <c r="G100" s="186"/>
      <c r="I100" s="186"/>
      <c r="J100" s="186"/>
      <c r="K100" s="186"/>
      <c r="L100" s="186"/>
      <c r="M100" s="186"/>
      <c r="N100" s="186"/>
      <c r="O100" s="186"/>
      <c r="P100" s="186"/>
      <c r="Q100" s="187"/>
      <c r="R100" s="187"/>
      <c r="S100" s="187"/>
    </row>
    <row r="101" spans="1:19" s="584" customFormat="1">
      <c r="A101" s="587" t="s">
        <v>10142</v>
      </c>
      <c r="B101" s="579">
        <v>1194</v>
      </c>
      <c r="C101" s="61" t="s">
        <v>596</v>
      </c>
      <c r="D101" s="245" t="s">
        <v>10120</v>
      </c>
      <c r="E101" s="236"/>
      <c r="F101" s="232">
        <v>13893</v>
      </c>
      <c r="G101" s="186"/>
      <c r="I101" s="186"/>
      <c r="J101" s="186"/>
      <c r="K101" s="186"/>
      <c r="L101" s="186"/>
      <c r="M101" s="186"/>
      <c r="N101" s="186"/>
      <c r="O101" s="186"/>
      <c r="P101" s="186"/>
      <c r="Q101" s="187"/>
      <c r="R101" s="187"/>
      <c r="S101" s="187"/>
    </row>
    <row r="102" spans="1:19" s="584" customFormat="1">
      <c r="A102" s="587" t="s">
        <v>10142</v>
      </c>
      <c r="B102" s="577">
        <v>2194</v>
      </c>
      <c r="C102" s="300" t="s">
        <v>1216</v>
      </c>
      <c r="D102" s="300" t="s">
        <v>10121</v>
      </c>
      <c r="E102" s="589">
        <f>SUM(F103:F105)</f>
        <v>116047</v>
      </c>
      <c r="F102" s="187"/>
      <c r="G102" s="186"/>
      <c r="I102" s="186"/>
      <c r="J102" s="186"/>
      <c r="K102" s="186"/>
      <c r="L102" s="186"/>
      <c r="M102" s="186"/>
      <c r="N102" s="186"/>
      <c r="O102" s="186"/>
      <c r="P102" s="186"/>
      <c r="Q102" s="187"/>
      <c r="R102" s="187"/>
      <c r="S102" s="187"/>
    </row>
    <row r="103" spans="1:19" s="584" customFormat="1">
      <c r="A103" s="587" t="s">
        <v>10142</v>
      </c>
      <c r="B103" s="576">
        <v>1111</v>
      </c>
      <c r="C103" t="s">
        <v>5748</v>
      </c>
      <c r="D103" s="299"/>
      <c r="E103" s="236"/>
      <c r="F103" s="236"/>
      <c r="G103" s="186"/>
      <c r="I103" s="186"/>
      <c r="J103" s="186"/>
      <c r="K103" s="186"/>
      <c r="L103" s="186"/>
      <c r="M103" s="186"/>
      <c r="N103" s="186"/>
      <c r="O103" s="186"/>
      <c r="P103" s="186"/>
      <c r="Q103" s="187"/>
      <c r="R103" s="187"/>
      <c r="S103" s="187"/>
    </row>
    <row r="104" spans="1:19" s="584" customFormat="1">
      <c r="A104" s="587" t="s">
        <v>10142</v>
      </c>
      <c r="B104" s="578">
        <v>1112</v>
      </c>
      <c r="C104" s="61" t="s">
        <v>251</v>
      </c>
      <c r="D104" s="300" t="s">
        <v>10122</v>
      </c>
      <c r="E104" s="229"/>
      <c r="F104" s="236">
        <v>105377</v>
      </c>
      <c r="G104" s="186"/>
      <c r="I104" s="186"/>
      <c r="J104" s="186"/>
      <c r="K104" s="186"/>
      <c r="L104" s="186"/>
      <c r="M104" s="186"/>
      <c r="N104" s="186"/>
      <c r="O104" s="186"/>
      <c r="P104" s="186"/>
      <c r="Q104" s="187"/>
      <c r="R104" s="187"/>
      <c r="S104" s="187"/>
    </row>
    <row r="105" spans="1:19" s="584" customFormat="1">
      <c r="A105" s="587" t="s">
        <v>10142</v>
      </c>
      <c r="B105" s="578">
        <v>1112</v>
      </c>
      <c r="C105" s="300" t="s">
        <v>249</v>
      </c>
      <c r="D105" s="300" t="s">
        <v>10123</v>
      </c>
      <c r="E105" s="237"/>
      <c r="F105" s="233">
        <v>10670</v>
      </c>
      <c r="G105" s="581">
        <f>SUM(E99:E105)-SUM(F99:F105)</f>
        <v>0</v>
      </c>
      <c r="I105" s="186"/>
      <c r="J105" s="186"/>
      <c r="K105" s="186"/>
      <c r="L105" s="186"/>
      <c r="M105" s="186"/>
      <c r="N105" s="186"/>
      <c r="O105" s="186"/>
      <c r="P105" s="186"/>
      <c r="Q105" s="187"/>
      <c r="R105" s="187"/>
      <c r="S105" s="187"/>
    </row>
    <row r="106" spans="1:19" s="584" customFormat="1">
      <c r="A106" s="583"/>
      <c r="B106" s="263"/>
      <c r="C106" s="151"/>
      <c r="D106" s="61"/>
      <c r="E106" s="234"/>
      <c r="F106" s="186"/>
      <c r="G106" s="186"/>
      <c r="I106" s="186"/>
      <c r="J106" s="186"/>
      <c r="K106" s="186"/>
      <c r="L106" s="186"/>
      <c r="M106" s="186"/>
      <c r="N106" s="186"/>
      <c r="O106" s="186"/>
      <c r="P106" s="186"/>
      <c r="Q106" s="187"/>
      <c r="R106" s="187"/>
      <c r="S106" s="187"/>
    </row>
    <row r="107" spans="1:19" s="584" customFormat="1">
      <c r="A107" s="587" t="s">
        <v>10062</v>
      </c>
      <c r="B107" s="579">
        <v>5201</v>
      </c>
      <c r="C107" s="134" t="s">
        <v>1219</v>
      </c>
      <c r="D107" s="134" t="s">
        <v>10061</v>
      </c>
      <c r="E107" s="236">
        <v>207604</v>
      </c>
      <c r="F107" s="236"/>
      <c r="G107" s="186"/>
      <c r="I107" s="186"/>
      <c r="J107" s="186"/>
      <c r="K107" s="186"/>
      <c r="L107" s="186"/>
      <c r="M107" s="186"/>
      <c r="N107" s="186"/>
      <c r="O107" s="186"/>
      <c r="P107" s="186"/>
      <c r="Q107" s="187"/>
      <c r="R107" s="187"/>
      <c r="S107" s="187"/>
    </row>
    <row r="108" spans="1:19" s="584" customFormat="1">
      <c r="A108" s="587" t="s">
        <v>10062</v>
      </c>
      <c r="B108" s="579">
        <v>1194</v>
      </c>
      <c r="C108" s="61" t="s">
        <v>3798</v>
      </c>
      <c r="D108" s="134" t="s">
        <v>10061</v>
      </c>
      <c r="E108" s="236">
        <v>10378</v>
      </c>
      <c r="F108" s="239"/>
      <c r="G108" s="186"/>
      <c r="I108" s="186"/>
      <c r="J108" s="186"/>
      <c r="K108" s="186"/>
      <c r="L108" s="186"/>
      <c r="M108" s="186"/>
      <c r="N108" s="186"/>
      <c r="O108" s="186"/>
      <c r="P108" s="186"/>
      <c r="Q108" s="187"/>
      <c r="R108" s="187"/>
      <c r="S108" s="187"/>
    </row>
    <row r="109" spans="1:19" s="584" customFormat="1">
      <c r="A109" s="587" t="s">
        <v>10062</v>
      </c>
      <c r="B109" s="579">
        <v>6209</v>
      </c>
      <c r="C109" s="220" t="s">
        <v>597</v>
      </c>
      <c r="D109" s="244" t="s">
        <v>10063</v>
      </c>
      <c r="E109" s="236">
        <v>13602</v>
      </c>
      <c r="F109" s="237"/>
      <c r="G109" s="186"/>
      <c r="I109" s="186"/>
      <c r="J109" s="186"/>
      <c r="K109" s="186"/>
      <c r="L109" s="186"/>
      <c r="M109" s="186"/>
      <c r="N109" s="186"/>
      <c r="O109" s="186"/>
      <c r="P109" s="186"/>
      <c r="Q109" s="187"/>
      <c r="R109" s="187"/>
      <c r="S109" s="187"/>
    </row>
    <row r="110" spans="1:19" s="584" customFormat="1">
      <c r="A110" s="587" t="s">
        <v>10062</v>
      </c>
      <c r="B110" s="579">
        <v>6207</v>
      </c>
      <c r="C110" s="61" t="s">
        <v>1215</v>
      </c>
      <c r="D110" s="244" t="s">
        <v>5720</v>
      </c>
      <c r="E110" s="236">
        <v>1600</v>
      </c>
      <c r="F110" s="233"/>
      <c r="G110" s="186"/>
      <c r="I110" s="186"/>
      <c r="J110" s="186"/>
      <c r="K110" s="186"/>
      <c r="L110" s="186"/>
      <c r="M110" s="186"/>
      <c r="N110" s="186"/>
      <c r="O110" s="186"/>
      <c r="P110" s="186"/>
      <c r="Q110" s="187"/>
      <c r="R110" s="187"/>
      <c r="S110" s="187"/>
    </row>
    <row r="111" spans="1:19" s="584" customFormat="1">
      <c r="A111" s="587" t="s">
        <v>10062</v>
      </c>
      <c r="B111" s="578">
        <v>2123</v>
      </c>
      <c r="C111" s="166" t="s">
        <v>4455</v>
      </c>
      <c r="D111" s="244" t="s">
        <v>10175</v>
      </c>
      <c r="E111" s="239">
        <v>0</v>
      </c>
      <c r="F111" s="239"/>
      <c r="G111" s="186"/>
      <c r="I111" s="186"/>
      <c r="J111" s="186"/>
      <c r="K111" s="186"/>
      <c r="L111" s="186"/>
      <c r="M111" s="186"/>
      <c r="N111" s="186"/>
      <c r="O111" s="186"/>
      <c r="P111" s="186"/>
      <c r="Q111" s="187"/>
      <c r="R111" s="187"/>
      <c r="S111" s="187"/>
    </row>
    <row r="112" spans="1:19" s="584" customFormat="1">
      <c r="A112" s="587" t="s">
        <v>10062</v>
      </c>
      <c r="B112" s="578">
        <v>2123</v>
      </c>
      <c r="C112" s="166" t="s">
        <v>4455</v>
      </c>
      <c r="D112" s="244" t="s">
        <v>10176</v>
      </c>
      <c r="E112" s="239">
        <v>0</v>
      </c>
      <c r="F112" s="239"/>
      <c r="G112" s="186"/>
      <c r="I112" s="186"/>
      <c r="J112" s="186"/>
      <c r="K112" s="186"/>
      <c r="L112" s="186"/>
      <c r="M112" s="186"/>
      <c r="N112" s="186"/>
      <c r="O112" s="186"/>
      <c r="P112" s="186"/>
      <c r="Q112" s="187"/>
      <c r="R112" s="187"/>
      <c r="S112" s="187"/>
    </row>
    <row r="113" spans="1:19" s="584" customFormat="1">
      <c r="A113" s="587" t="s">
        <v>10062</v>
      </c>
      <c r="B113" s="578">
        <v>2123</v>
      </c>
      <c r="C113" s="166" t="s">
        <v>4455</v>
      </c>
      <c r="D113" s="244" t="s">
        <v>10177</v>
      </c>
      <c r="E113" s="239">
        <v>22362</v>
      </c>
      <c r="F113" s="239"/>
      <c r="G113" s="186"/>
      <c r="I113" s="186"/>
      <c r="J113" s="186"/>
      <c r="K113" s="186"/>
      <c r="L113" s="186"/>
      <c r="M113" s="186"/>
      <c r="N113" s="186"/>
      <c r="O113" s="186"/>
      <c r="P113" s="186"/>
      <c r="Q113" s="187"/>
      <c r="R113" s="187"/>
      <c r="S113" s="187"/>
    </row>
    <row r="114" spans="1:19" s="584" customFormat="1">
      <c r="A114" s="587" t="s">
        <v>10069</v>
      </c>
      <c r="B114" s="579">
        <v>2192</v>
      </c>
      <c r="C114" s="299" t="s">
        <v>10137</v>
      </c>
      <c r="D114" s="244" t="s">
        <v>10138</v>
      </c>
      <c r="E114" s="236">
        <v>2</v>
      </c>
      <c r="F114" s="186"/>
      <c r="G114" s="186"/>
      <c r="I114" s="186"/>
      <c r="J114" s="186"/>
      <c r="K114" s="186"/>
      <c r="L114" s="186"/>
      <c r="M114" s="186"/>
      <c r="N114" s="186"/>
      <c r="O114" s="186"/>
      <c r="P114" s="186"/>
      <c r="Q114" s="187"/>
      <c r="R114" s="187"/>
      <c r="S114" s="187"/>
    </row>
    <row r="115" spans="1:19" s="584" customFormat="1">
      <c r="A115" s="587" t="s">
        <v>10062</v>
      </c>
      <c r="B115" s="578">
        <v>2123</v>
      </c>
      <c r="C115" s="61" t="s">
        <v>595</v>
      </c>
      <c r="D115" s="244" t="s">
        <v>10064</v>
      </c>
      <c r="E115" s="229"/>
      <c r="F115" s="239">
        <v>0</v>
      </c>
      <c r="G115" s="186"/>
      <c r="I115" s="186"/>
      <c r="J115" s="186"/>
      <c r="K115" s="186"/>
      <c r="L115" s="186"/>
      <c r="M115" s="186"/>
      <c r="N115" s="186"/>
      <c r="O115" s="186"/>
      <c r="P115" s="186"/>
      <c r="Q115" s="187"/>
      <c r="R115" s="187"/>
      <c r="S115" s="187"/>
    </row>
    <row r="116" spans="1:19" s="584" customFormat="1">
      <c r="A116" s="587" t="s">
        <v>10062</v>
      </c>
      <c r="B116" s="578">
        <v>2123</v>
      </c>
      <c r="C116" s="61" t="s">
        <v>595</v>
      </c>
      <c r="D116" s="244" t="s">
        <v>10065</v>
      </c>
      <c r="E116" s="229"/>
      <c r="F116" s="239">
        <v>0</v>
      </c>
      <c r="G116" s="186"/>
      <c r="I116" s="186"/>
      <c r="J116" s="186"/>
      <c r="K116" s="186"/>
      <c r="L116" s="186"/>
      <c r="M116" s="186"/>
      <c r="N116" s="186"/>
      <c r="O116" s="186"/>
      <c r="P116" s="186"/>
      <c r="Q116" s="187"/>
      <c r="R116" s="187"/>
      <c r="S116" s="187"/>
    </row>
    <row r="117" spans="1:19" s="584" customFormat="1">
      <c r="A117" s="587" t="s">
        <v>10062</v>
      </c>
      <c r="B117" s="578">
        <v>2123</v>
      </c>
      <c r="C117" s="61" t="s">
        <v>595</v>
      </c>
      <c r="D117" s="244" t="s">
        <v>10066</v>
      </c>
      <c r="E117" s="229"/>
      <c r="F117" s="239">
        <v>13490</v>
      </c>
      <c r="G117" s="186"/>
      <c r="I117" s="186"/>
      <c r="J117" s="186"/>
      <c r="K117" s="186"/>
      <c r="L117" s="186"/>
      <c r="M117" s="186"/>
      <c r="N117" s="186"/>
      <c r="O117" s="186"/>
      <c r="P117" s="186"/>
      <c r="Q117" s="187"/>
      <c r="R117" s="187"/>
      <c r="S117" s="187"/>
    </row>
    <row r="118" spans="1:19" s="584" customFormat="1">
      <c r="A118" s="587" t="s">
        <v>10062</v>
      </c>
      <c r="B118" s="577">
        <v>1112</v>
      </c>
      <c r="C118" s="61" t="s">
        <v>251</v>
      </c>
      <c r="D118" s="244" t="s">
        <v>10067</v>
      </c>
      <c r="E118" s="236"/>
      <c r="F118" s="233">
        <v>228556</v>
      </c>
      <c r="G118" s="186"/>
      <c r="I118" s="186"/>
      <c r="J118" s="186"/>
      <c r="K118" s="186"/>
      <c r="L118" s="186"/>
      <c r="M118" s="186"/>
      <c r="N118" s="186"/>
      <c r="O118" s="186"/>
      <c r="P118" s="186"/>
      <c r="Q118" s="187"/>
      <c r="R118" s="187"/>
      <c r="S118" s="187"/>
    </row>
    <row r="119" spans="1:19" s="584" customFormat="1">
      <c r="A119" s="587" t="s">
        <v>10062</v>
      </c>
      <c r="B119" s="578">
        <v>1112</v>
      </c>
      <c r="C119" s="300" t="s">
        <v>249</v>
      </c>
      <c r="D119" s="244" t="s">
        <v>10068</v>
      </c>
      <c r="E119" s="237"/>
      <c r="F119" s="233">
        <v>13502</v>
      </c>
      <c r="G119" s="581">
        <f>SUM(E107:E119)-SUM(F107:F119)</f>
        <v>0</v>
      </c>
      <c r="I119" s="186"/>
      <c r="J119" s="186"/>
      <c r="K119" s="186"/>
      <c r="L119" s="186"/>
      <c r="M119" s="186"/>
      <c r="N119" s="186"/>
      <c r="O119" s="186"/>
      <c r="P119" s="186"/>
      <c r="Q119" s="187"/>
      <c r="R119" s="187"/>
      <c r="S119" s="187"/>
    </row>
    <row r="120" spans="1:19" s="584" customFormat="1">
      <c r="A120" s="583"/>
      <c r="B120" s="263"/>
      <c r="C120" s="151"/>
      <c r="D120" s="61"/>
      <c r="E120" s="234"/>
      <c r="F120" s="233"/>
      <c r="G120" s="186"/>
      <c r="I120" s="186"/>
      <c r="J120" s="186"/>
      <c r="K120" s="186"/>
      <c r="L120" s="186"/>
      <c r="M120" s="186"/>
      <c r="N120" s="186"/>
      <c r="O120" s="186"/>
      <c r="P120" s="186"/>
      <c r="Q120" s="187"/>
      <c r="R120" s="187"/>
      <c r="S120" s="187"/>
    </row>
    <row r="121" spans="1:19" s="584" customFormat="1">
      <c r="A121" s="587" t="s">
        <v>10143</v>
      </c>
      <c r="B121" s="578">
        <v>5901</v>
      </c>
      <c r="C121" s="592" t="s">
        <v>3895</v>
      </c>
      <c r="D121" s="166" t="s">
        <v>10124</v>
      </c>
      <c r="E121" s="108">
        <v>207976.49</v>
      </c>
      <c r="F121" s="106"/>
      <c r="G121" s="186"/>
      <c r="I121" s="186"/>
      <c r="J121" s="186"/>
      <c r="K121" s="186"/>
      <c r="L121" s="186"/>
      <c r="M121" s="186"/>
      <c r="N121" s="186"/>
      <c r="O121" s="186"/>
      <c r="P121" s="186"/>
      <c r="Q121" s="187"/>
      <c r="R121" s="187"/>
      <c r="S121" s="187"/>
    </row>
    <row r="122" spans="1:19" s="584" customFormat="1">
      <c r="A122" s="587" t="s">
        <v>10143</v>
      </c>
      <c r="B122" s="578">
        <v>1130</v>
      </c>
      <c r="C122" s="151" t="s">
        <v>3896</v>
      </c>
      <c r="D122" s="166" t="s">
        <v>10124</v>
      </c>
      <c r="E122" s="108"/>
      <c r="F122" s="595">
        <f>E121</f>
        <v>207976.49</v>
      </c>
      <c r="G122" s="186"/>
      <c r="I122" s="186"/>
      <c r="J122" s="186"/>
      <c r="K122" s="186"/>
      <c r="L122" s="186"/>
      <c r="M122" s="186"/>
      <c r="N122" s="186"/>
      <c r="O122" s="186"/>
      <c r="P122" s="186"/>
      <c r="Q122" s="187"/>
      <c r="R122" s="187"/>
      <c r="S122" s="187"/>
    </row>
    <row r="123" spans="1:19" s="584" customFormat="1">
      <c r="A123" s="587" t="s">
        <v>10143</v>
      </c>
      <c r="B123" s="578">
        <v>1130</v>
      </c>
      <c r="C123" s="593" t="s">
        <v>3889</v>
      </c>
      <c r="D123" s="6" t="s">
        <v>3890</v>
      </c>
      <c r="E123" s="15">
        <v>0</v>
      </c>
      <c r="F123" s="13"/>
      <c r="G123" s="15"/>
      <c r="I123" s="186"/>
      <c r="J123" s="186"/>
      <c r="K123" s="186"/>
      <c r="L123" s="186"/>
      <c r="M123" s="186"/>
      <c r="N123" s="186"/>
      <c r="O123" s="186"/>
      <c r="P123" s="186"/>
      <c r="Q123" s="187"/>
      <c r="R123" s="187"/>
      <c r="S123" s="187"/>
    </row>
    <row r="124" spans="1:19" s="584" customFormat="1">
      <c r="A124" s="587" t="s">
        <v>10143</v>
      </c>
      <c r="B124" s="578">
        <v>1130</v>
      </c>
      <c r="C124" s="593" t="s">
        <v>3891</v>
      </c>
      <c r="D124" s="166" t="s">
        <v>5683</v>
      </c>
      <c r="E124" s="197">
        <v>207604</v>
      </c>
      <c r="F124" s="16"/>
      <c r="G124" s="186"/>
      <c r="I124" s="186"/>
      <c r="J124" s="186"/>
      <c r="K124" s="186"/>
      <c r="L124" s="186"/>
      <c r="M124" s="186"/>
      <c r="N124" s="186"/>
      <c r="O124" s="186"/>
      <c r="P124" s="186"/>
      <c r="Q124" s="187"/>
      <c r="R124" s="187"/>
      <c r="S124" s="187"/>
    </row>
    <row r="125" spans="1:19" s="584" customFormat="1">
      <c r="A125" s="587" t="s">
        <v>10143</v>
      </c>
      <c r="B125" s="578">
        <v>1130</v>
      </c>
      <c r="C125" s="151" t="s">
        <v>3892</v>
      </c>
      <c r="D125" s="6" t="s">
        <v>3893</v>
      </c>
      <c r="E125" s="15"/>
      <c r="F125" s="141">
        <v>0</v>
      </c>
      <c r="G125" s="186"/>
      <c r="I125" s="186"/>
      <c r="J125" s="186"/>
      <c r="K125" s="186"/>
      <c r="L125" s="186"/>
      <c r="M125" s="186"/>
      <c r="N125" s="186"/>
      <c r="O125" s="186"/>
      <c r="P125" s="186"/>
      <c r="Q125" s="187"/>
      <c r="R125" s="187"/>
      <c r="S125" s="187"/>
    </row>
    <row r="126" spans="1:19" s="584" customFormat="1">
      <c r="A126" s="587" t="s">
        <v>10143</v>
      </c>
      <c r="B126" s="578">
        <v>5201</v>
      </c>
      <c r="C126" s="195" t="s">
        <v>4954</v>
      </c>
      <c r="D126" s="6" t="s">
        <v>3894</v>
      </c>
      <c r="E126" s="15"/>
      <c r="F126" s="596">
        <f>E123+E124-F125</f>
        <v>207604</v>
      </c>
      <c r="G126" s="581">
        <f>SUM(E121:E126)-SUM(F121:F126)</f>
        <v>0</v>
      </c>
      <c r="I126" s="186"/>
      <c r="J126" s="186"/>
      <c r="K126" s="186"/>
      <c r="L126" s="186"/>
      <c r="M126" s="186"/>
      <c r="N126" s="186"/>
      <c r="O126" s="186"/>
      <c r="P126" s="186"/>
      <c r="Q126" s="187"/>
      <c r="R126" s="187"/>
      <c r="S126" s="187"/>
    </row>
    <row r="127" spans="1:19" s="584" customFormat="1">
      <c r="A127" s="583"/>
      <c r="B127" s="578"/>
      <c r="C127" s="231"/>
      <c r="D127" s="220"/>
      <c r="E127" s="236"/>
      <c r="F127" s="236"/>
      <c r="G127" s="186"/>
      <c r="I127" s="186"/>
      <c r="J127" s="186"/>
      <c r="K127" s="186"/>
      <c r="L127" s="186"/>
      <c r="M127" s="186"/>
      <c r="N127" s="186"/>
      <c r="O127" s="186"/>
      <c r="P127" s="186"/>
      <c r="Q127" s="187"/>
      <c r="R127" s="187"/>
      <c r="S127" s="187"/>
    </row>
    <row r="128" spans="1:19" s="584" customFormat="1">
      <c r="A128" s="587" t="s">
        <v>10144</v>
      </c>
      <c r="B128" s="579">
        <v>2192</v>
      </c>
      <c r="C128" s="220" t="s">
        <v>18</v>
      </c>
      <c r="D128" t="s">
        <v>10125</v>
      </c>
      <c r="E128" s="236">
        <v>30000</v>
      </c>
      <c r="F128" s="237"/>
      <c r="G128" s="186"/>
      <c r="I128" s="186"/>
      <c r="J128" s="186"/>
      <c r="K128" s="186"/>
      <c r="L128" s="186"/>
      <c r="M128" s="186"/>
      <c r="N128" s="186"/>
      <c r="O128" s="186"/>
      <c r="P128" s="186"/>
      <c r="Q128" s="187"/>
      <c r="R128" s="187"/>
      <c r="S128" s="187"/>
    </row>
    <row r="129" spans="1:19" s="584" customFormat="1">
      <c r="A129" s="587" t="s">
        <v>10144</v>
      </c>
      <c r="B129" s="579">
        <v>2192</v>
      </c>
      <c r="C129" s="220" t="s">
        <v>18</v>
      </c>
      <c r="D129" t="s">
        <v>10126</v>
      </c>
      <c r="E129" s="236">
        <v>20030</v>
      </c>
      <c r="F129" s="237"/>
      <c r="G129" s="186"/>
      <c r="I129" s="186"/>
      <c r="J129" s="186"/>
      <c r="K129" s="186"/>
      <c r="L129" s="186"/>
      <c r="M129" s="186"/>
      <c r="N129" s="186"/>
      <c r="O129" s="186"/>
      <c r="P129" s="186"/>
      <c r="Q129" s="187"/>
      <c r="R129" s="187"/>
      <c r="S129" s="187"/>
    </row>
    <row r="130" spans="1:19" s="584" customFormat="1">
      <c r="A130" s="587" t="s">
        <v>10144</v>
      </c>
      <c r="B130" s="579">
        <v>2192</v>
      </c>
      <c r="C130" s="220" t="s">
        <v>18</v>
      </c>
      <c r="D130" t="s">
        <v>10127</v>
      </c>
      <c r="E130" s="236">
        <v>16000</v>
      </c>
      <c r="F130" s="237"/>
      <c r="G130" s="186"/>
      <c r="I130" s="186"/>
      <c r="J130" s="186"/>
      <c r="K130" s="186"/>
      <c r="L130" s="186"/>
      <c r="M130" s="186"/>
      <c r="N130" s="186"/>
      <c r="O130" s="186"/>
      <c r="P130" s="186"/>
      <c r="Q130" s="187"/>
      <c r="R130" s="187"/>
      <c r="S130" s="187"/>
    </row>
    <row r="131" spans="1:19" s="584" customFormat="1">
      <c r="A131" s="587" t="s">
        <v>10144</v>
      </c>
      <c r="B131" s="579">
        <v>2192</v>
      </c>
      <c r="C131" s="220" t="s">
        <v>18</v>
      </c>
      <c r="D131" t="s">
        <v>10128</v>
      </c>
      <c r="E131" s="236">
        <v>200060</v>
      </c>
      <c r="F131" s="237"/>
      <c r="G131" s="186"/>
      <c r="I131" s="186"/>
      <c r="J131" s="186"/>
      <c r="K131" s="186"/>
      <c r="L131" s="186"/>
      <c r="M131" s="186"/>
      <c r="N131" s="186"/>
      <c r="O131" s="186"/>
      <c r="P131" s="186"/>
      <c r="Q131" s="187"/>
      <c r="R131" s="187"/>
      <c r="S131" s="187"/>
    </row>
    <row r="132" spans="1:19" s="584" customFormat="1">
      <c r="A132" s="587" t="s">
        <v>10144</v>
      </c>
      <c r="B132" s="579">
        <v>2192</v>
      </c>
      <c r="C132" s="220" t="s">
        <v>18</v>
      </c>
      <c r="D132" t="s">
        <v>10129</v>
      </c>
      <c r="E132" s="236">
        <v>77000</v>
      </c>
      <c r="F132" s="237"/>
      <c r="G132" s="186"/>
      <c r="I132" s="186"/>
      <c r="J132" s="186"/>
      <c r="K132" s="186"/>
      <c r="L132" s="186"/>
      <c r="M132" s="186"/>
      <c r="N132" s="186"/>
      <c r="O132" s="186"/>
      <c r="P132" s="186"/>
      <c r="Q132" s="187"/>
      <c r="R132" s="187"/>
      <c r="S132" s="187"/>
    </row>
    <row r="133" spans="1:19" s="584" customFormat="1">
      <c r="A133" s="587" t="s">
        <v>10144</v>
      </c>
      <c r="B133" s="579">
        <v>2192</v>
      </c>
      <c r="C133" s="220" t="s">
        <v>18</v>
      </c>
      <c r="D133" t="s">
        <v>10130</v>
      </c>
      <c r="E133" s="236">
        <v>6000</v>
      </c>
      <c r="F133" s="237"/>
      <c r="G133" s="186"/>
      <c r="I133" s="186"/>
      <c r="J133" s="186"/>
      <c r="K133" s="186"/>
      <c r="L133" s="186"/>
      <c r="M133" s="186"/>
      <c r="N133" s="186"/>
      <c r="O133" s="186"/>
      <c r="P133" s="186"/>
      <c r="Q133" s="187"/>
      <c r="R133" s="187"/>
      <c r="S133" s="187"/>
    </row>
    <row r="134" spans="1:19" s="584" customFormat="1">
      <c r="A134" s="587" t="s">
        <v>10144</v>
      </c>
      <c r="B134" s="579">
        <v>2192</v>
      </c>
      <c r="C134" s="220" t="s">
        <v>18</v>
      </c>
      <c r="D134" t="s">
        <v>10131</v>
      </c>
      <c r="E134" s="236">
        <v>30000</v>
      </c>
      <c r="F134" s="237"/>
      <c r="G134" s="186"/>
      <c r="I134" s="186"/>
      <c r="J134" s="186"/>
      <c r="K134" s="186"/>
      <c r="L134" s="186"/>
      <c r="M134" s="186"/>
      <c r="N134" s="186"/>
      <c r="O134" s="186"/>
      <c r="P134" s="186"/>
      <c r="Q134" s="187"/>
      <c r="R134" s="187"/>
      <c r="S134" s="187"/>
    </row>
    <row r="135" spans="1:19" s="584" customFormat="1">
      <c r="A135" s="587" t="s">
        <v>10144</v>
      </c>
      <c r="B135" s="579">
        <v>2192</v>
      </c>
      <c r="C135" s="220" t="s">
        <v>18</v>
      </c>
      <c r="D135" t="s">
        <v>10132</v>
      </c>
      <c r="E135" s="236">
        <v>104030</v>
      </c>
      <c r="F135" s="237"/>
      <c r="G135" s="186"/>
      <c r="I135" s="186"/>
      <c r="J135" s="186"/>
      <c r="K135" s="186"/>
      <c r="L135" s="186"/>
      <c r="M135" s="186"/>
      <c r="N135" s="186"/>
      <c r="O135" s="186"/>
      <c r="P135" s="186"/>
      <c r="Q135" s="187"/>
      <c r="R135" s="187"/>
      <c r="S135" s="187"/>
    </row>
    <row r="136" spans="1:19" s="584" customFormat="1">
      <c r="A136" s="587" t="s">
        <v>10144</v>
      </c>
      <c r="B136" s="579">
        <v>2192</v>
      </c>
      <c r="C136" s="220" t="s">
        <v>18</v>
      </c>
      <c r="D136" t="s">
        <v>10133</v>
      </c>
      <c r="E136" s="236">
        <v>114521</v>
      </c>
      <c r="F136" s="237"/>
      <c r="G136" s="186"/>
      <c r="I136" s="186"/>
      <c r="J136" s="186"/>
      <c r="K136" s="186"/>
      <c r="L136" s="186"/>
      <c r="M136" s="186"/>
      <c r="N136" s="186"/>
      <c r="O136" s="186"/>
      <c r="P136" s="186"/>
      <c r="Q136" s="187"/>
      <c r="R136" s="187"/>
      <c r="S136" s="187"/>
    </row>
    <row r="137" spans="1:19" s="584" customFormat="1">
      <c r="A137" s="587" t="s">
        <v>10144</v>
      </c>
      <c r="B137" s="579">
        <v>2192</v>
      </c>
      <c r="C137" s="220" t="s">
        <v>18</v>
      </c>
      <c r="D137" t="s">
        <v>10158</v>
      </c>
      <c r="E137" s="236">
        <v>50000</v>
      </c>
      <c r="F137" s="237"/>
      <c r="G137" s="186"/>
      <c r="I137" s="186"/>
      <c r="J137" s="186"/>
      <c r="K137" s="186"/>
      <c r="L137" s="186"/>
      <c r="M137" s="186"/>
      <c r="N137" s="186"/>
      <c r="O137" s="186"/>
      <c r="P137" s="186"/>
      <c r="Q137" s="187"/>
      <c r="R137" s="187"/>
      <c r="S137" s="187"/>
    </row>
    <row r="138" spans="1:19" s="584" customFormat="1">
      <c r="A138" s="587" t="s">
        <v>10144</v>
      </c>
      <c r="B138" s="579">
        <v>2192</v>
      </c>
      <c r="C138" s="220" t="s">
        <v>18</v>
      </c>
      <c r="D138" t="s">
        <v>10159</v>
      </c>
      <c r="E138" s="236">
        <v>60000</v>
      </c>
      <c r="F138" s="237"/>
      <c r="G138" s="186"/>
      <c r="I138" s="186"/>
      <c r="J138" s="186"/>
      <c r="K138" s="186"/>
      <c r="L138" s="186"/>
      <c r="M138" s="186"/>
      <c r="N138" s="186"/>
      <c r="O138" s="186"/>
      <c r="P138" s="186"/>
      <c r="Q138" s="187"/>
      <c r="R138" s="187"/>
      <c r="S138" s="187"/>
    </row>
    <row r="139" spans="1:19" s="584" customFormat="1">
      <c r="A139" s="587" t="s">
        <v>10144</v>
      </c>
      <c r="B139" s="579">
        <v>2192</v>
      </c>
      <c r="C139" s="220" t="s">
        <v>18</v>
      </c>
      <c r="D139" t="s">
        <v>10160</v>
      </c>
      <c r="E139" s="236">
        <v>3832</v>
      </c>
      <c r="F139" s="237"/>
      <c r="G139" s="186"/>
      <c r="I139" s="186"/>
      <c r="J139" s="186"/>
      <c r="K139" s="186"/>
      <c r="L139" s="186"/>
      <c r="M139" s="186"/>
      <c r="N139" s="186"/>
      <c r="O139" s="186"/>
      <c r="P139" s="186"/>
      <c r="Q139" s="187"/>
      <c r="R139" s="187"/>
      <c r="S139" s="187"/>
    </row>
    <row r="140" spans="1:19" s="584" customFormat="1">
      <c r="A140" s="587" t="s">
        <v>10144</v>
      </c>
      <c r="B140" s="578">
        <v>1112</v>
      </c>
      <c r="C140" s="115" t="s">
        <v>4460</v>
      </c>
      <c r="D140" s="314" t="s">
        <v>5810</v>
      </c>
      <c r="E140" s="236"/>
      <c r="F140" s="596">
        <f>SUM(E128:E139)</f>
        <v>711473</v>
      </c>
      <c r="G140" s="581">
        <f>SUM(E128:E140)-SUM(F128:F140)</f>
        <v>0</v>
      </c>
      <c r="I140" s="186"/>
      <c r="J140" s="186"/>
      <c r="K140" s="186"/>
      <c r="L140" s="186"/>
      <c r="M140" s="186"/>
      <c r="N140" s="186"/>
      <c r="O140" s="186"/>
      <c r="P140" s="186"/>
      <c r="Q140" s="187"/>
      <c r="R140" s="187"/>
      <c r="S140" s="187"/>
    </row>
    <row r="141" spans="1:19" s="584" customFormat="1">
      <c r="A141" s="583"/>
      <c r="B141" s="263"/>
      <c r="C141" s="151"/>
      <c r="D141" s="61"/>
      <c r="E141" s="234"/>
      <c r="F141" s="186"/>
      <c r="G141" s="186"/>
      <c r="I141" s="186"/>
      <c r="J141" s="186"/>
      <c r="K141" s="186"/>
      <c r="L141" s="186"/>
      <c r="M141" s="186"/>
      <c r="N141" s="186"/>
      <c r="O141" s="186"/>
      <c r="P141" s="186"/>
      <c r="Q141" s="187"/>
      <c r="R141" s="187"/>
      <c r="S141" s="187"/>
    </row>
    <row r="142" spans="1:19" s="584" customFormat="1">
      <c r="A142" s="587" t="s">
        <v>10145</v>
      </c>
      <c r="B142" s="578">
        <v>2123</v>
      </c>
      <c r="C142" s="220" t="s">
        <v>1214</v>
      </c>
      <c r="D142" s="244" t="s">
        <v>10178</v>
      </c>
      <c r="E142" s="236">
        <f>58000*12</f>
        <v>696000</v>
      </c>
      <c r="F142" s="232"/>
      <c r="G142" s="186"/>
      <c r="I142" s="186"/>
      <c r="J142" s="186"/>
      <c r="K142" s="186"/>
      <c r="L142" s="186"/>
      <c r="M142" s="186"/>
      <c r="N142" s="186"/>
      <c r="O142" s="186"/>
      <c r="P142" s="186"/>
      <c r="Q142" s="187"/>
      <c r="R142" s="187"/>
      <c r="S142" s="187"/>
    </row>
    <row r="143" spans="1:19" s="584" customFormat="1">
      <c r="A143" s="587" t="s">
        <v>10145</v>
      </c>
      <c r="B143" s="579">
        <v>2192</v>
      </c>
      <c r="C143" s="220" t="s">
        <v>599</v>
      </c>
      <c r="D143" s="244" t="s">
        <v>10178</v>
      </c>
      <c r="E143" s="236"/>
      <c r="F143" s="588">
        <f>E142</f>
        <v>696000</v>
      </c>
      <c r="G143" s="186"/>
      <c r="I143" s="186"/>
      <c r="J143" s="186"/>
      <c r="K143" s="186"/>
      <c r="L143" s="186"/>
      <c r="M143" s="186"/>
      <c r="N143" s="186"/>
      <c r="O143" s="186"/>
      <c r="P143" s="186"/>
      <c r="Q143" s="187"/>
      <c r="R143" s="187"/>
      <c r="S143" s="187"/>
    </row>
    <row r="144" spans="1:19" s="584" customFormat="1">
      <c r="A144" s="587" t="s">
        <v>10145</v>
      </c>
      <c r="B144" s="578">
        <v>2123</v>
      </c>
      <c r="C144" s="220" t="s">
        <v>1214</v>
      </c>
      <c r="D144" s="244" t="s">
        <v>10179</v>
      </c>
      <c r="E144" s="236">
        <f>2400*12*2</f>
        <v>57600</v>
      </c>
      <c r="F144" s="232"/>
      <c r="G144" s="186"/>
      <c r="I144" s="186"/>
      <c r="J144" s="186"/>
      <c r="K144" s="186"/>
      <c r="L144" s="186"/>
      <c r="M144" s="186"/>
      <c r="N144" s="186"/>
      <c r="O144" s="186"/>
      <c r="P144" s="186"/>
      <c r="Q144" s="187"/>
      <c r="R144" s="187"/>
      <c r="S144" s="187"/>
    </row>
    <row r="145" spans="1:19" s="584" customFormat="1">
      <c r="A145" s="587" t="s">
        <v>10145</v>
      </c>
      <c r="B145" s="579">
        <v>2192</v>
      </c>
      <c r="C145" s="220" t="s">
        <v>599</v>
      </c>
      <c r="D145" s="244" t="s">
        <v>10179</v>
      </c>
      <c r="E145" s="236"/>
      <c r="F145" s="588">
        <f>E144</f>
        <v>57600</v>
      </c>
      <c r="G145" s="186"/>
      <c r="I145" s="186"/>
      <c r="J145" s="186"/>
      <c r="K145" s="186"/>
      <c r="L145" s="186"/>
      <c r="M145" s="186"/>
      <c r="N145" s="186"/>
      <c r="O145" s="186"/>
      <c r="P145" s="186"/>
      <c r="Q145" s="187"/>
      <c r="R145" s="187"/>
      <c r="S145" s="187"/>
    </row>
    <row r="146" spans="1:19" s="584" customFormat="1">
      <c r="A146" s="587" t="s">
        <v>5699</v>
      </c>
      <c r="B146" s="579">
        <v>2192</v>
      </c>
      <c r="C146" s="115" t="s">
        <v>18</v>
      </c>
      <c r="D146" s="244" t="s">
        <v>10162</v>
      </c>
      <c r="E146" s="146">
        <v>132200</v>
      </c>
      <c r="F146" s="233"/>
      <c r="G146" s="186"/>
      <c r="I146" s="186"/>
      <c r="J146" s="186"/>
      <c r="K146" s="186"/>
      <c r="L146" s="186"/>
      <c r="M146" s="186"/>
      <c r="N146" s="186"/>
      <c r="O146" s="186"/>
      <c r="P146" s="186"/>
      <c r="Q146" s="187"/>
      <c r="R146" s="187"/>
      <c r="S146" s="187"/>
    </row>
    <row r="147" spans="1:19" s="584" customFormat="1">
      <c r="A147" s="587" t="s">
        <v>5699</v>
      </c>
      <c r="B147" s="578">
        <v>2123</v>
      </c>
      <c r="C147" s="115" t="s">
        <v>595</v>
      </c>
      <c r="D147" s="244" t="s">
        <v>10162</v>
      </c>
      <c r="E147" s="309"/>
      <c r="F147" s="594">
        <f>E146</f>
        <v>132200</v>
      </c>
      <c r="G147" s="186"/>
      <c r="I147" s="186"/>
      <c r="J147" s="186"/>
      <c r="K147" s="186"/>
      <c r="L147" s="186"/>
      <c r="M147" s="186"/>
      <c r="N147" s="186"/>
      <c r="O147" s="186"/>
      <c r="P147" s="186"/>
      <c r="Q147" s="187"/>
      <c r="R147" s="187"/>
      <c r="S147" s="187"/>
    </row>
    <row r="148" spans="1:19" s="584" customFormat="1">
      <c r="A148" s="587" t="s">
        <v>5698</v>
      </c>
      <c r="B148" s="578">
        <v>2123</v>
      </c>
      <c r="C148" s="115" t="s">
        <v>1214</v>
      </c>
      <c r="D148" s="244" t="s">
        <v>10163</v>
      </c>
      <c r="E148" s="236">
        <v>132200</v>
      </c>
      <c r="F148" s="232"/>
      <c r="G148" s="186"/>
      <c r="I148" s="186"/>
      <c r="J148" s="186"/>
      <c r="K148" s="186"/>
      <c r="L148" s="186"/>
      <c r="M148" s="186"/>
      <c r="N148" s="186"/>
      <c r="O148" s="186"/>
      <c r="P148" s="186"/>
      <c r="Q148" s="187"/>
      <c r="R148" s="187"/>
      <c r="S148" s="187"/>
    </row>
    <row r="149" spans="1:19">
      <c r="A149" s="587" t="s">
        <v>5698</v>
      </c>
      <c r="B149" s="579">
        <v>2192</v>
      </c>
      <c r="C149" s="115" t="s">
        <v>599</v>
      </c>
      <c r="D149" s="244" t="s">
        <v>10163</v>
      </c>
      <c r="E149" s="236"/>
      <c r="F149" s="588">
        <f>E148</f>
        <v>132200</v>
      </c>
    </row>
    <row r="150" spans="1:19">
      <c r="A150" s="587" t="s">
        <v>10145</v>
      </c>
      <c r="B150" s="579">
        <v>2192</v>
      </c>
      <c r="C150" s="115" t="s">
        <v>18</v>
      </c>
      <c r="D150" s="244" t="s">
        <v>10171</v>
      </c>
      <c r="E150" s="146">
        <f>-'7薪'!C60</f>
        <v>200000</v>
      </c>
      <c r="F150" s="233"/>
    </row>
    <row r="151" spans="1:19">
      <c r="A151" s="587" t="s">
        <v>10145</v>
      </c>
      <c r="B151" s="578">
        <v>2123</v>
      </c>
      <c r="C151" s="115" t="s">
        <v>595</v>
      </c>
      <c r="D151" s="244" t="s">
        <v>10171</v>
      </c>
      <c r="E151" s="309"/>
      <c r="F151" s="594">
        <f>E150</f>
        <v>200000</v>
      </c>
      <c r="J151" s="233"/>
    </row>
    <row r="152" spans="1:19">
      <c r="A152" s="587" t="s">
        <v>10145</v>
      </c>
      <c r="B152" s="578">
        <v>2123</v>
      </c>
      <c r="C152" s="299" t="s">
        <v>1214</v>
      </c>
      <c r="D152" s="244" t="s">
        <v>10134</v>
      </c>
      <c r="E152" s="236">
        <v>14338</v>
      </c>
      <c r="F152" s="232"/>
    </row>
    <row r="153" spans="1:19">
      <c r="A153" s="587" t="s">
        <v>10145</v>
      </c>
      <c r="B153" s="579">
        <v>2192</v>
      </c>
      <c r="C153" s="299" t="s">
        <v>599</v>
      </c>
      <c r="D153" s="244" t="s">
        <v>10134</v>
      </c>
      <c r="E153" s="236"/>
      <c r="F153" s="588">
        <f>E152</f>
        <v>14338</v>
      </c>
      <c r="G153" s="581">
        <f>SUM(E142:E153)-SUM(F142:F153)</f>
        <v>0</v>
      </c>
    </row>
    <row r="154" spans="1:19">
      <c r="A154" s="587"/>
      <c r="B154" s="263"/>
      <c r="C154" s="151"/>
    </row>
    <row r="155" spans="1:19">
      <c r="A155" s="587" t="s">
        <v>10146</v>
      </c>
      <c r="B155" s="576">
        <v>4201</v>
      </c>
      <c r="C155" s="259" t="s">
        <v>1309</v>
      </c>
      <c r="D155" s="244" t="s">
        <v>10180</v>
      </c>
      <c r="E155" s="237">
        <v>282000</v>
      </c>
      <c r="F155" s="233"/>
    </row>
    <row r="156" spans="1:19">
      <c r="A156" s="587" t="s">
        <v>10146</v>
      </c>
      <c r="B156" s="579">
        <v>2192</v>
      </c>
      <c r="C156" s="115" t="s">
        <v>599</v>
      </c>
      <c r="D156" s="244" t="s">
        <v>10180</v>
      </c>
      <c r="E156" s="309"/>
      <c r="F156" s="594">
        <f>E155</f>
        <v>282000</v>
      </c>
    </row>
    <row r="157" spans="1:19">
      <c r="A157" s="587" t="s">
        <v>10146</v>
      </c>
      <c r="B157" s="579">
        <v>2192</v>
      </c>
      <c r="C157" s="115" t="s">
        <v>18</v>
      </c>
      <c r="D157" s="244" t="s">
        <v>10181</v>
      </c>
      <c r="E157" s="146">
        <v>430000</v>
      </c>
      <c r="F157" s="233"/>
    </row>
    <row r="158" spans="1:19">
      <c r="A158" s="587" t="s">
        <v>10146</v>
      </c>
      <c r="B158" s="576">
        <v>4201</v>
      </c>
      <c r="C158" s="259" t="s">
        <v>337</v>
      </c>
      <c r="D158" s="244" t="s">
        <v>10181</v>
      </c>
      <c r="E158" s="309"/>
      <c r="F158" s="594">
        <f>E157</f>
        <v>430000</v>
      </c>
    </row>
    <row r="159" spans="1:19">
      <c r="A159" s="587" t="s">
        <v>10146</v>
      </c>
      <c r="B159" s="579">
        <v>2192</v>
      </c>
      <c r="C159" s="115" t="s">
        <v>18</v>
      </c>
      <c r="D159" s="244" t="s">
        <v>10169</v>
      </c>
      <c r="E159" s="146">
        <f>-余額!O47</f>
        <v>479115</v>
      </c>
      <c r="F159" s="233"/>
    </row>
    <row r="160" spans="1:19">
      <c r="A160" s="587" t="s">
        <v>10146</v>
      </c>
      <c r="B160" s="579">
        <v>2131</v>
      </c>
      <c r="C160" s="299" t="s">
        <v>5744</v>
      </c>
      <c r="D160" s="244" t="s">
        <v>10169</v>
      </c>
      <c r="E160" s="309"/>
      <c r="F160" s="594">
        <f>E159</f>
        <v>479115</v>
      </c>
    </row>
    <row r="161" spans="1:7">
      <c r="A161" s="587" t="s">
        <v>10146</v>
      </c>
      <c r="B161" s="579">
        <v>2131</v>
      </c>
      <c r="C161" s="299" t="s">
        <v>4887</v>
      </c>
      <c r="D161" s="244" t="s">
        <v>10170</v>
      </c>
      <c r="E161" s="237">
        <f>-余額!K50</f>
        <v>462735</v>
      </c>
      <c r="F161" s="233"/>
    </row>
    <row r="162" spans="1:7">
      <c r="A162" s="587" t="s">
        <v>10146</v>
      </c>
      <c r="B162" s="579">
        <v>2192</v>
      </c>
      <c r="C162" s="115" t="s">
        <v>599</v>
      </c>
      <c r="D162" s="244" t="s">
        <v>10170</v>
      </c>
      <c r="E162" s="309"/>
      <c r="F162" s="594">
        <f>E161</f>
        <v>462735</v>
      </c>
    </row>
    <row r="163" spans="1:7">
      <c r="A163" s="587" t="s">
        <v>10146</v>
      </c>
      <c r="B163" s="579">
        <v>2192</v>
      </c>
      <c r="C163" s="115" t="s">
        <v>18</v>
      </c>
      <c r="D163" s="244" t="s">
        <v>10183</v>
      </c>
      <c r="E163" s="146">
        <f>余額!O18</f>
        <v>354944</v>
      </c>
      <c r="F163" s="233"/>
    </row>
    <row r="164" spans="1:7">
      <c r="A164" s="587" t="s">
        <v>10146</v>
      </c>
      <c r="B164" s="578">
        <v>1121</v>
      </c>
      <c r="C164" s="560" t="s">
        <v>243</v>
      </c>
      <c r="D164" s="244" t="s">
        <v>10183</v>
      </c>
      <c r="E164" s="309"/>
      <c r="F164" s="594">
        <f>E163</f>
        <v>354944</v>
      </c>
    </row>
    <row r="165" spans="1:7">
      <c r="A165" s="587" t="s">
        <v>10146</v>
      </c>
      <c r="B165" s="578">
        <v>1121</v>
      </c>
      <c r="C165" s="560" t="s">
        <v>2917</v>
      </c>
      <c r="D165" s="244" t="s">
        <v>10182</v>
      </c>
      <c r="E165" s="146">
        <f>余額!K18</f>
        <v>660021</v>
      </c>
      <c r="F165" s="233"/>
    </row>
    <row r="166" spans="1:7">
      <c r="A166" s="587" t="s">
        <v>10146</v>
      </c>
      <c r="B166" s="579">
        <v>2192</v>
      </c>
      <c r="C166" s="115" t="s">
        <v>599</v>
      </c>
      <c r="D166" s="244" t="s">
        <v>10182</v>
      </c>
      <c r="E166" s="309"/>
      <c r="F166" s="594">
        <f>E165</f>
        <v>660021</v>
      </c>
      <c r="G166" s="581">
        <f>SUM(E155:E166)-SUM(F155:F166)</f>
        <v>0</v>
      </c>
    </row>
  </sheetData>
  <autoFilter ref="A1:P170"/>
  <mergeCells count="8">
    <mergeCell ref="M37:O37"/>
    <mergeCell ref="M43:O43"/>
    <mergeCell ref="I2:O2"/>
    <mergeCell ref="M12:O12"/>
    <mergeCell ref="M21:O21"/>
    <mergeCell ref="M27:O27"/>
    <mergeCell ref="M33:O33"/>
    <mergeCell ref="I12:K12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75"/>
  <sheetViews>
    <sheetView zoomScaleNormal="100" workbookViewId="0">
      <pane ySplit="1" topLeftCell="A35" activePane="bottomLeft" state="frozen"/>
      <selection pane="bottomLeft" activeCell="F26" sqref="F26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6" style="61" customWidth="1"/>
    <col min="5" max="5" width="14.875" style="234" bestFit="1" customWidth="1"/>
    <col min="6" max="6" width="13.875" style="186" customWidth="1"/>
    <col min="7" max="7" width="3.5" style="186" customWidth="1"/>
    <col min="8" max="8" width="1.5" style="584" customWidth="1"/>
    <col min="9" max="9" width="6.5" style="186" customWidth="1"/>
    <col min="10" max="10" width="16.125" style="186" bestFit="1" customWidth="1"/>
    <col min="11" max="11" width="11.25" style="186" customWidth="1"/>
    <col min="12" max="12" width="1.625" style="186" customWidth="1"/>
    <col min="13" max="13" width="5.5" style="186" bestFit="1" customWidth="1"/>
    <col min="14" max="14" width="15.75" style="186" customWidth="1"/>
    <col min="15" max="15" width="9.375" style="186" customWidth="1"/>
    <col min="16" max="16" width="3.375" style="186" customWidth="1"/>
    <col min="17" max="19" width="9" style="187"/>
    <col min="20" max="16384" width="9" style="186"/>
  </cols>
  <sheetData>
    <row r="1" spans="1:16">
      <c r="A1" s="263" t="s">
        <v>4904</v>
      </c>
      <c r="B1" s="583" t="s">
        <v>2384</v>
      </c>
      <c r="C1" s="583" t="s">
        <v>4884</v>
      </c>
      <c r="D1" s="583" t="s">
        <v>474</v>
      </c>
      <c r="E1" s="586" t="s">
        <v>4886</v>
      </c>
      <c r="F1" s="583" t="s">
        <v>4885</v>
      </c>
      <c r="G1" s="230"/>
    </row>
    <row r="2" spans="1:16" s="187" customFormat="1">
      <c r="A2" s="587" t="s">
        <v>15113</v>
      </c>
      <c r="B2" s="576">
        <v>1111</v>
      </c>
      <c r="C2" t="s">
        <v>876</v>
      </c>
      <c r="D2" s="115" t="s">
        <v>15160</v>
      </c>
      <c r="E2" s="236">
        <v>58344</v>
      </c>
      <c r="F2" s="229"/>
      <c r="H2" s="584"/>
      <c r="I2" s="940" t="s">
        <v>5785</v>
      </c>
      <c r="J2" s="940"/>
      <c r="K2" s="940"/>
      <c r="L2" s="940"/>
      <c r="M2" s="940"/>
      <c r="N2" s="940"/>
      <c r="O2" s="940"/>
      <c r="P2" s="232"/>
    </row>
    <row r="3" spans="1:16" s="187" customFormat="1">
      <c r="A3" s="587" t="s">
        <v>15113</v>
      </c>
      <c r="B3" s="576">
        <v>1112</v>
      </c>
      <c r="C3" s="61" t="s">
        <v>246</v>
      </c>
      <c r="D3" s="115" t="s">
        <v>15160</v>
      </c>
      <c r="E3" s="236">
        <v>174375</v>
      </c>
      <c r="F3" s="236"/>
      <c r="H3" s="584"/>
      <c r="I3" s="576">
        <v>1111</v>
      </c>
      <c r="J3" t="s">
        <v>876</v>
      </c>
      <c r="K3" s="643">
        <f t="shared" ref="K3:K9" si="0">(SUMIF($B$2:$B$208,I3,$E$2:$E$208)-SUMIF($B$2:$B$208,I3,$F$2:$F$208))</f>
        <v>5075</v>
      </c>
      <c r="M3" s="578">
        <v>2123</v>
      </c>
      <c r="N3" s="300" t="s">
        <v>1214</v>
      </c>
      <c r="O3" s="643">
        <f t="shared" ref="O3:O7" si="1">-(SUMIF($B$2:$B$208,M3,$E$2:$E$208)-SUMIF($B$2:$B$208,M3,$F$2:$F$208))</f>
        <v>79910</v>
      </c>
      <c r="P3" s="232"/>
    </row>
    <row r="4" spans="1:16" s="187" customFormat="1">
      <c r="A4" s="587" t="s">
        <v>15113</v>
      </c>
      <c r="B4" s="576">
        <v>1112</v>
      </c>
      <c r="C4" s="166" t="s">
        <v>247</v>
      </c>
      <c r="D4" s="115" t="s">
        <v>15160</v>
      </c>
      <c r="E4" s="236">
        <v>2694</v>
      </c>
      <c r="F4" s="236"/>
      <c r="H4" s="584"/>
      <c r="I4" s="576">
        <v>1112</v>
      </c>
      <c r="J4" s="175" t="s">
        <v>4855</v>
      </c>
      <c r="K4" s="643">
        <f t="shared" si="0"/>
        <v>162353</v>
      </c>
      <c r="M4" s="579">
        <v>2131</v>
      </c>
      <c r="N4" s="299" t="s">
        <v>4887</v>
      </c>
      <c r="O4" s="643">
        <f t="shared" si="1"/>
        <v>0</v>
      </c>
      <c r="P4" s="232"/>
    </row>
    <row r="5" spans="1:16" s="187" customFormat="1">
      <c r="A5" s="587" t="s">
        <v>15113</v>
      </c>
      <c r="B5" s="576">
        <v>1112</v>
      </c>
      <c r="C5" s="175" t="s">
        <v>4958</v>
      </c>
      <c r="D5" s="115" t="s">
        <v>15160</v>
      </c>
      <c r="E5" s="236">
        <v>2600</v>
      </c>
      <c r="F5" s="236"/>
      <c r="H5" s="584"/>
      <c r="I5" s="576">
        <v>1121</v>
      </c>
      <c r="J5" s="61" t="s">
        <v>2917</v>
      </c>
      <c r="K5" s="643">
        <f t="shared" si="0"/>
        <v>2144743</v>
      </c>
      <c r="M5" s="647">
        <v>2192</v>
      </c>
      <c r="N5" s="314" t="s">
        <v>18</v>
      </c>
      <c r="O5" s="643">
        <f t="shared" si="1"/>
        <v>0</v>
      </c>
    </row>
    <row r="6" spans="1:16">
      <c r="A6" s="587" t="s">
        <v>15113</v>
      </c>
      <c r="B6" s="576">
        <v>1121</v>
      </c>
      <c r="C6" s="61" t="s">
        <v>2917</v>
      </c>
      <c r="D6" s="115" t="s">
        <v>15160</v>
      </c>
      <c r="E6" s="236">
        <v>2129301</v>
      </c>
      <c r="F6" s="236"/>
      <c r="G6" s="187"/>
      <c r="I6" s="577">
        <v>1123</v>
      </c>
      <c r="J6" s="311" t="s">
        <v>3638</v>
      </c>
      <c r="K6" s="643">
        <f t="shared" si="0"/>
        <v>505575</v>
      </c>
      <c r="L6" s="187"/>
      <c r="M6" s="579">
        <v>2194</v>
      </c>
      <c r="N6" s="648" t="s">
        <v>1216</v>
      </c>
      <c r="O6" s="643">
        <f t="shared" si="1"/>
        <v>43064</v>
      </c>
      <c r="P6" s="187"/>
    </row>
    <row r="7" spans="1:16">
      <c r="A7" s="587" t="s">
        <v>15113</v>
      </c>
      <c r="B7" s="577">
        <v>1123</v>
      </c>
      <c r="C7" s="311" t="s">
        <v>3638</v>
      </c>
      <c r="D7" s="115" t="s">
        <v>15160</v>
      </c>
      <c r="E7" s="236">
        <v>426990</v>
      </c>
      <c r="F7" s="232"/>
      <c r="G7" s="187"/>
      <c r="H7" s="585"/>
      <c r="I7" s="578">
        <v>1130</v>
      </c>
      <c r="J7" s="300" t="s">
        <v>3889</v>
      </c>
      <c r="K7" s="643">
        <f t="shared" si="0"/>
        <v>694846</v>
      </c>
      <c r="L7" s="187"/>
      <c r="M7" s="579">
        <v>3110</v>
      </c>
      <c r="N7" s="648" t="s">
        <v>4857</v>
      </c>
      <c r="O7" s="643">
        <f t="shared" si="1"/>
        <v>5000000</v>
      </c>
    </row>
    <row r="8" spans="1:16">
      <c r="A8" s="587" t="s">
        <v>15113</v>
      </c>
      <c r="B8" s="578">
        <v>1130</v>
      </c>
      <c r="C8" s="300" t="s">
        <v>3889</v>
      </c>
      <c r="D8" s="115" t="s">
        <v>15160</v>
      </c>
      <c r="E8" s="236">
        <v>718322</v>
      </c>
      <c r="F8" s="232"/>
      <c r="G8" s="233"/>
      <c r="H8" s="585"/>
      <c r="I8" s="578">
        <v>1194</v>
      </c>
      <c r="J8" s="300" t="s">
        <v>3798</v>
      </c>
      <c r="K8" s="643">
        <f t="shared" si="0"/>
        <v>0</v>
      </c>
      <c r="L8" s="187"/>
      <c r="M8" s="579">
        <v>3432</v>
      </c>
      <c r="N8" s="648" t="s">
        <v>10184</v>
      </c>
      <c r="O8" s="643">
        <f>-(SUMIF($B$2:$B$208,M8,$E$2:$E$208)-SUMIF($B$2:$B$208,M8,$F$2:$F$208))</f>
        <v>-1576599</v>
      </c>
    </row>
    <row r="9" spans="1:16">
      <c r="A9" s="587" t="s">
        <v>15113</v>
      </c>
      <c r="B9" s="578">
        <v>1901</v>
      </c>
      <c r="C9" s="300" t="s">
        <v>4856</v>
      </c>
      <c r="D9" s="115" t="s">
        <v>15160</v>
      </c>
      <c r="E9" s="236">
        <v>30000</v>
      </c>
      <c r="F9" s="232"/>
      <c r="G9" s="233"/>
      <c r="H9" s="585"/>
      <c r="I9" s="578">
        <v>1901</v>
      </c>
      <c r="J9" s="300" t="s">
        <v>4856</v>
      </c>
      <c r="K9" s="643">
        <f t="shared" si="0"/>
        <v>30000</v>
      </c>
      <c r="L9" s="187"/>
      <c r="M9" s="336">
        <v>3440</v>
      </c>
      <c r="N9" s="648" t="s">
        <v>4861</v>
      </c>
      <c r="O9" s="643">
        <f>K34</f>
        <v>-3783</v>
      </c>
    </row>
    <row r="10" spans="1:16">
      <c r="A10" s="587" t="s">
        <v>15113</v>
      </c>
      <c r="B10" s="578">
        <v>2123</v>
      </c>
      <c r="C10" s="300" t="s">
        <v>595</v>
      </c>
      <c r="D10" s="115" t="s">
        <v>15160</v>
      </c>
      <c r="E10" s="236"/>
      <c r="F10" s="236">
        <v>84890</v>
      </c>
      <c r="H10" s="585"/>
      <c r="I10" s="583">
        <v>1000</v>
      </c>
      <c r="J10" s="300" t="s">
        <v>5786</v>
      </c>
      <c r="K10" s="643">
        <f>SUM(K3:K9)</f>
        <v>3542592</v>
      </c>
      <c r="L10" s="187"/>
      <c r="M10" s="336">
        <v>9000</v>
      </c>
      <c r="N10" s="648" t="s">
        <v>5789</v>
      </c>
      <c r="O10" s="643">
        <f>SUM(O3:O9)</f>
        <v>3542592</v>
      </c>
      <c r="P10" s="581">
        <f>K10-O10</f>
        <v>0</v>
      </c>
    </row>
    <row r="11" spans="1:16">
      <c r="A11" s="587" t="s">
        <v>15113</v>
      </c>
      <c r="B11" s="578">
        <v>2194</v>
      </c>
      <c r="C11" s="311" t="s">
        <v>244</v>
      </c>
      <c r="D11" s="115" t="s">
        <v>15160</v>
      </c>
      <c r="E11" s="236"/>
      <c r="F11" s="236">
        <v>34335</v>
      </c>
      <c r="I11" s="940" t="s">
        <v>5782</v>
      </c>
      <c r="J11" s="940"/>
      <c r="K11" s="940"/>
      <c r="M11" s="940" t="s">
        <v>5783</v>
      </c>
      <c r="N11" s="941"/>
      <c r="O11" s="941"/>
    </row>
    <row r="12" spans="1:16">
      <c r="A12" s="587" t="s">
        <v>15113</v>
      </c>
      <c r="B12" s="578">
        <v>3110</v>
      </c>
      <c r="C12" s="311" t="s">
        <v>4882</v>
      </c>
      <c r="D12" s="115" t="s">
        <v>15160</v>
      </c>
      <c r="E12" s="236"/>
      <c r="F12" s="235">
        <v>5000000</v>
      </c>
      <c r="I12" s="583">
        <v>4201</v>
      </c>
      <c r="J12" s="582" t="s">
        <v>5756</v>
      </c>
      <c r="K12" s="643">
        <f>-(SUMIF($B$2:$B$208,I12,$E$2:$E$208)-SUMIF($B$2:$B$208,I12,$F$2:$F$208))</f>
        <v>2644957</v>
      </c>
      <c r="M12" s="583"/>
      <c r="N12" s="582" t="s">
        <v>5752</v>
      </c>
      <c r="O12" s="643">
        <f>K12</f>
        <v>2644957</v>
      </c>
    </row>
    <row r="13" spans="1:16">
      <c r="A13" s="587" t="s">
        <v>15113</v>
      </c>
      <c r="B13" s="578">
        <v>3432</v>
      </c>
      <c r="C13" s="311" t="s">
        <v>4883</v>
      </c>
      <c r="D13" s="115" t="s">
        <v>15160</v>
      </c>
      <c r="E13" s="236"/>
      <c r="F13" s="235">
        <v>-1576599</v>
      </c>
      <c r="G13" s="581">
        <f>SUM(E2:E13)-SUM(F2:F13)</f>
        <v>0</v>
      </c>
      <c r="I13" s="583">
        <v>4202</v>
      </c>
      <c r="J13" s="582" t="s">
        <v>5753</v>
      </c>
      <c r="K13" s="239">
        <f>-(SUMIF($B$2:$B$208,I13,$E$2:$E$208)-SUMIF($B$2:$B$208,I13,$F$2:$F$208))</f>
        <v>0</v>
      </c>
      <c r="M13" s="583"/>
      <c r="N13" s="582" t="s">
        <v>5757</v>
      </c>
      <c r="O13" s="643">
        <f>F16</f>
        <v>2609957</v>
      </c>
    </row>
    <row r="14" spans="1:16">
      <c r="B14" s="578"/>
      <c r="C14" s="231"/>
      <c r="D14" s="220"/>
      <c r="E14" s="236"/>
      <c r="F14" s="236"/>
      <c r="I14" s="583">
        <v>4203</v>
      </c>
      <c r="J14" s="582" t="s">
        <v>5754</v>
      </c>
      <c r="K14" s="239">
        <f>-(SUMIF($B$2:$B$208,I14,$E$2:$E$208)-SUMIF($B$2:$B$208,I14,$F$2:$F$208))</f>
        <v>0</v>
      </c>
      <c r="M14" s="583"/>
      <c r="N14" s="582" t="s">
        <v>5784</v>
      </c>
      <c r="O14" s="187">
        <f>SUM(O15:O18)</f>
        <v>35000</v>
      </c>
    </row>
    <row r="15" spans="1:16">
      <c r="A15" s="587" t="s">
        <v>15114</v>
      </c>
      <c r="B15" s="576">
        <v>1123</v>
      </c>
      <c r="C15" t="s">
        <v>3638</v>
      </c>
      <c r="D15" s="115" t="s">
        <v>15115</v>
      </c>
      <c r="E15" s="575">
        <f>F16+F17</f>
        <v>2740455</v>
      </c>
      <c r="F15" s="229"/>
      <c r="I15" s="583"/>
      <c r="J15" s="582" t="s">
        <v>5755</v>
      </c>
      <c r="K15" s="643">
        <f>K12-K13-K14</f>
        <v>2644957</v>
      </c>
      <c r="M15" s="583" t="s">
        <v>5740</v>
      </c>
      <c r="N15" s="582" t="s">
        <v>10165</v>
      </c>
      <c r="O15" s="232">
        <f>-'6正'!O19</f>
        <v>0</v>
      </c>
    </row>
    <row r="16" spans="1:16">
      <c r="A16" s="587" t="s">
        <v>15114</v>
      </c>
      <c r="B16" s="576">
        <v>4201</v>
      </c>
      <c r="C16" s="175" t="s">
        <v>337</v>
      </c>
      <c r="D16" s="115" t="s">
        <v>15115</v>
      </c>
      <c r="E16" s="229"/>
      <c r="F16" s="236">
        <v>2609957</v>
      </c>
      <c r="I16" s="583"/>
      <c r="J16" s="582" t="s">
        <v>5762</v>
      </c>
      <c r="K16" s="644">
        <f>O24</f>
        <v>159005</v>
      </c>
      <c r="M16" s="583" t="s">
        <v>5740</v>
      </c>
      <c r="N16" s="582" t="s">
        <v>10166</v>
      </c>
      <c r="O16" s="649">
        <v>465000</v>
      </c>
    </row>
    <row r="17" spans="1:16">
      <c r="A17" s="587" t="s">
        <v>15114</v>
      </c>
      <c r="B17" s="576">
        <v>2194</v>
      </c>
      <c r="C17" s="175" t="s">
        <v>244</v>
      </c>
      <c r="D17" s="115" t="s">
        <v>15115</v>
      </c>
      <c r="E17" s="229"/>
      <c r="F17" s="236">
        <v>130498</v>
      </c>
      <c r="I17" s="583"/>
      <c r="J17" s="582" t="s">
        <v>5763</v>
      </c>
      <c r="K17" s="644">
        <f>K15-K16</f>
        <v>2485952</v>
      </c>
      <c r="M17" s="583" t="s">
        <v>5741</v>
      </c>
      <c r="N17" s="582" t="s">
        <v>10164</v>
      </c>
      <c r="O17" s="650"/>
    </row>
    <row r="18" spans="1:16">
      <c r="A18" s="587" t="s">
        <v>15114</v>
      </c>
      <c r="B18" s="576">
        <v>4201</v>
      </c>
      <c r="C18" s="313" t="s">
        <v>1309</v>
      </c>
      <c r="D18" t="s">
        <v>15161</v>
      </c>
      <c r="E18" s="172"/>
      <c r="F18" s="162"/>
      <c r="G18" s="187"/>
      <c r="I18" s="583"/>
      <c r="J18" s="582" t="s">
        <v>5764</v>
      </c>
      <c r="K18" s="606">
        <f>K17/K$15</f>
        <v>0.9398837107748822</v>
      </c>
      <c r="M18" s="583" t="s">
        <v>5741</v>
      </c>
      <c r="N18" s="582" t="s">
        <v>15225</v>
      </c>
      <c r="O18" s="186">
        <f>-'7正'!O17</f>
        <v>-430000</v>
      </c>
      <c r="P18" s="581">
        <f>O12-O13-O14</f>
        <v>0</v>
      </c>
    </row>
    <row r="19" spans="1:16">
      <c r="A19" s="587" t="s">
        <v>15114</v>
      </c>
      <c r="B19" s="577">
        <v>2131</v>
      </c>
      <c r="C19" s="560" t="s">
        <v>4953</v>
      </c>
      <c r="D19" t="s">
        <v>15161</v>
      </c>
      <c r="E19" s="161"/>
      <c r="F19" s="594">
        <f>E18</f>
        <v>0</v>
      </c>
      <c r="G19" s="187"/>
      <c r="I19" s="583"/>
      <c r="J19" s="582" t="s">
        <v>5765</v>
      </c>
      <c r="K19" s="643">
        <f>SUM(K21:K30)</f>
        <v>2489846</v>
      </c>
    </row>
    <row r="20" spans="1:16">
      <c r="A20" s="587" t="s">
        <v>15114</v>
      </c>
      <c r="B20" s="576">
        <v>2131</v>
      </c>
      <c r="C20" s="310" t="s">
        <v>1308</v>
      </c>
      <c r="D20" t="s">
        <v>15116</v>
      </c>
      <c r="E20" s="172"/>
      <c r="F20" s="162"/>
      <c r="G20" s="233"/>
      <c r="I20" s="583"/>
      <c r="J20" s="582" t="s">
        <v>5766</v>
      </c>
      <c r="K20" s="606">
        <f>K19/K$15</f>
        <v>0.94135594642937481</v>
      </c>
      <c r="M20" s="940" t="s">
        <v>5790</v>
      </c>
      <c r="N20" s="941"/>
      <c r="O20" s="941"/>
    </row>
    <row r="21" spans="1:16">
      <c r="A21" s="587" t="s">
        <v>15114</v>
      </c>
      <c r="B21" s="576">
        <v>4201</v>
      </c>
      <c r="C21" s="259" t="s">
        <v>337</v>
      </c>
      <c r="D21" t="s">
        <v>15116</v>
      </c>
      <c r="E21" s="161"/>
      <c r="F21" s="594">
        <f>E20</f>
        <v>0</v>
      </c>
      <c r="G21" s="581">
        <f>SUM(E15:E21)-SUM(F15:F21)</f>
        <v>0</v>
      </c>
      <c r="I21" s="583">
        <v>6201</v>
      </c>
      <c r="J21" s="582" t="s">
        <v>5767</v>
      </c>
      <c r="K21" s="643">
        <f t="shared" ref="K21:K29" si="2">(SUMIF($B$2:$B$208,I21,$E$2:$E$208)-SUMIF($B$2:$B$208,I21,$F$2:$F$208))</f>
        <v>1775500</v>
      </c>
      <c r="M21" s="583"/>
      <c r="N21" s="582" t="s">
        <v>5791</v>
      </c>
      <c r="O21" s="186">
        <f>E8</f>
        <v>718322</v>
      </c>
    </row>
    <row r="22" spans="1:16">
      <c r="A22" s="587"/>
      <c r="B22" s="577"/>
      <c r="C22" s="560"/>
      <c r="D22"/>
      <c r="E22" s="161"/>
      <c r="F22" s="161"/>
      <c r="I22" s="583">
        <v>6202</v>
      </c>
      <c r="J22" s="582" t="s">
        <v>5768</v>
      </c>
      <c r="K22" s="643">
        <f t="shared" si="2"/>
        <v>240000</v>
      </c>
      <c r="M22" s="583">
        <v>5201</v>
      </c>
      <c r="N22" s="582" t="s">
        <v>5792</v>
      </c>
      <c r="O22" s="186">
        <f>SUMIF($B$2:$B$208,M22,$E$2:$E$208)</f>
        <v>135529</v>
      </c>
    </row>
    <row r="23" spans="1:16">
      <c r="A23" s="587" t="s">
        <v>15117</v>
      </c>
      <c r="B23" s="578">
        <v>1121</v>
      </c>
      <c r="C23" s="61" t="s">
        <v>2917</v>
      </c>
      <c r="D23" s="115" t="s">
        <v>15118</v>
      </c>
      <c r="E23" s="235">
        <v>1567275</v>
      </c>
      <c r="F23" s="232"/>
      <c r="I23" s="583">
        <v>6203</v>
      </c>
      <c r="J23" s="582" t="s">
        <v>5769</v>
      </c>
      <c r="K23" s="643">
        <f t="shared" si="2"/>
        <v>562</v>
      </c>
      <c r="M23" s="583" t="s">
        <v>5741</v>
      </c>
      <c r="N23" s="582" t="s">
        <v>5793</v>
      </c>
      <c r="O23" s="643">
        <f>-K7</f>
        <v>-694846</v>
      </c>
    </row>
    <row r="24" spans="1:16">
      <c r="A24" s="587" t="s">
        <v>15117</v>
      </c>
      <c r="B24" s="578">
        <v>1121</v>
      </c>
      <c r="C24" s="61" t="s">
        <v>2917</v>
      </c>
      <c r="D24" s="115" t="s">
        <v>4448</v>
      </c>
      <c r="E24" s="235">
        <v>163800</v>
      </c>
      <c r="F24" s="232"/>
      <c r="I24" s="583">
        <v>6205</v>
      </c>
      <c r="J24" s="582" t="s">
        <v>5770</v>
      </c>
      <c r="K24" s="186">
        <f t="shared" si="2"/>
        <v>7025</v>
      </c>
      <c r="N24" s="582" t="s">
        <v>5794</v>
      </c>
      <c r="O24" s="186">
        <f>SUM(O21:O23)</f>
        <v>159005</v>
      </c>
    </row>
    <row r="25" spans="1:16">
      <c r="A25" s="587" t="s">
        <v>15117</v>
      </c>
      <c r="B25" s="578">
        <v>2131</v>
      </c>
      <c r="C25" s="61" t="s">
        <v>1308</v>
      </c>
      <c r="D25" s="115" t="s">
        <v>10103</v>
      </c>
      <c r="E25" s="235">
        <v>462735</v>
      </c>
      <c r="F25" s="232"/>
      <c r="I25" s="583">
        <v>6207</v>
      </c>
      <c r="J25" s="582" t="s">
        <v>5771</v>
      </c>
      <c r="K25" s="186">
        <f t="shared" si="2"/>
        <v>62485</v>
      </c>
    </row>
    <row r="26" spans="1:16">
      <c r="A26" s="812" t="s">
        <v>15117</v>
      </c>
      <c r="B26" s="811">
        <v>1123</v>
      </c>
      <c r="C26" s="806" t="s">
        <v>242</v>
      </c>
      <c r="D26" s="799" t="s">
        <v>15207</v>
      </c>
      <c r="E26" s="803"/>
      <c r="F26" s="235">
        <f>6300+113400+165900</f>
        <v>285600</v>
      </c>
      <c r="G26" s="771"/>
      <c r="I26" s="583">
        <v>6209</v>
      </c>
      <c r="J26" s="582" t="s">
        <v>5772</v>
      </c>
      <c r="K26" s="186">
        <f t="shared" si="2"/>
        <v>8552</v>
      </c>
      <c r="M26" s="940" t="s">
        <v>5797</v>
      </c>
      <c r="N26" s="940"/>
      <c r="O26" s="940"/>
    </row>
    <row r="27" spans="1:16">
      <c r="A27" s="587" t="s">
        <v>15117</v>
      </c>
      <c r="B27" s="576">
        <v>1123</v>
      </c>
      <c r="C27" s="240" t="s">
        <v>242</v>
      </c>
      <c r="D27" s="115" t="s">
        <v>15119</v>
      </c>
      <c r="E27" s="232"/>
      <c r="F27" s="235">
        <v>1281675</v>
      </c>
      <c r="H27" s="580"/>
      <c r="I27" s="583">
        <v>6213</v>
      </c>
      <c r="J27" s="582" t="s">
        <v>5773</v>
      </c>
      <c r="K27" s="186">
        <f t="shared" si="2"/>
        <v>12672</v>
      </c>
      <c r="M27" s="230">
        <v>6215</v>
      </c>
      <c r="N27" s="582" t="s">
        <v>1220</v>
      </c>
      <c r="O27" s="186">
        <f>(SUMIF($B$2:$B$208,M27,$E$2:$E$208)-SUMIF($B$2:$B$208,M27,$F$2:$F$208))</f>
        <v>2498</v>
      </c>
    </row>
    <row r="28" spans="1:16">
      <c r="A28" s="587" t="s">
        <v>15117</v>
      </c>
      <c r="B28" s="576">
        <v>1123</v>
      </c>
      <c r="C28" s="240" t="s">
        <v>242</v>
      </c>
      <c r="D28" s="115" t="s">
        <v>15120</v>
      </c>
      <c r="E28" s="232"/>
      <c r="F28" s="235">
        <v>290745</v>
      </c>
      <c r="I28" s="583">
        <v>6214</v>
      </c>
      <c r="J28" s="582" t="s">
        <v>5774</v>
      </c>
      <c r="K28" s="186">
        <f t="shared" si="2"/>
        <v>243514</v>
      </c>
      <c r="M28" s="230">
        <v>6230</v>
      </c>
      <c r="N28" s="582" t="s">
        <v>1221</v>
      </c>
      <c r="O28" s="186">
        <f>(SUMIF($B$2:$B$208,M28,$E$2:$E$208)-SUMIF($B$2:$B$208,M28,$F$2:$F$208))</f>
        <v>4252</v>
      </c>
    </row>
    <row r="29" spans="1:16">
      <c r="A29" s="587" t="s">
        <v>15117</v>
      </c>
      <c r="B29" s="578">
        <v>2131</v>
      </c>
      <c r="C29" s="240" t="s">
        <v>423</v>
      </c>
      <c r="D29" s="115" t="s">
        <v>15121</v>
      </c>
      <c r="E29" s="232"/>
      <c r="F29" s="235">
        <f>20475*14+16380*3</f>
        <v>335790</v>
      </c>
      <c r="G29" s="233"/>
      <c r="I29" s="583">
        <v>6219</v>
      </c>
      <c r="J29" s="582" t="s">
        <v>5775</v>
      </c>
      <c r="K29" s="186">
        <f t="shared" si="2"/>
        <v>115200</v>
      </c>
      <c r="M29" s="230">
        <v>6232</v>
      </c>
      <c r="N29" s="582" t="s">
        <v>1218</v>
      </c>
      <c r="O29" s="186">
        <f>(SUMIF($B$2:$B$208,M29,$E$2:$E$208)-SUMIF($B$2:$B$208,M29,$F$2:$F$208))</f>
        <v>17586</v>
      </c>
    </row>
    <row r="30" spans="1:16">
      <c r="A30" s="587" t="s">
        <v>15117</v>
      </c>
      <c r="B30" s="578">
        <v>1121</v>
      </c>
      <c r="C30" s="61" t="s">
        <v>2917</v>
      </c>
      <c r="D30" s="115" t="s">
        <v>15206</v>
      </c>
      <c r="E30" s="235">
        <v>0</v>
      </c>
      <c r="F30" s="232"/>
      <c r="G30" s="679"/>
      <c r="I30" s="583"/>
      <c r="J30" s="582" t="s">
        <v>5776</v>
      </c>
      <c r="K30" s="186">
        <f>O30</f>
        <v>24336</v>
      </c>
      <c r="N30" s="582" t="s">
        <v>2684</v>
      </c>
      <c r="O30" s="186">
        <f>SUM(O27:O29)</f>
        <v>24336</v>
      </c>
      <c r="P30" s="581">
        <f>K30-O30</f>
        <v>0</v>
      </c>
    </row>
    <row r="31" spans="1:16">
      <c r="A31" s="587" t="s">
        <v>15117</v>
      </c>
      <c r="B31" s="576">
        <v>1123</v>
      </c>
      <c r="C31" s="240" t="s">
        <v>242</v>
      </c>
      <c r="D31" s="115" t="s">
        <v>15122</v>
      </c>
      <c r="E31" s="232"/>
      <c r="F31" s="574">
        <f>E30</f>
        <v>0</v>
      </c>
      <c r="J31" s="582" t="s">
        <v>5777</v>
      </c>
      <c r="K31" s="186">
        <f>K17-K19</f>
        <v>-3894</v>
      </c>
      <c r="N31" s="582"/>
      <c r="O31" s="233"/>
    </row>
    <row r="32" spans="1:16">
      <c r="A32" s="587" t="s">
        <v>15117</v>
      </c>
      <c r="B32" s="577" t="s">
        <v>4859</v>
      </c>
      <c r="C32" s="61" t="s">
        <v>246</v>
      </c>
      <c r="D32" s="299" t="s">
        <v>15205</v>
      </c>
      <c r="E32" s="236">
        <v>1992240</v>
      </c>
      <c r="F32" s="187"/>
      <c r="J32" s="582" t="s">
        <v>5778</v>
      </c>
      <c r="K32" s="606">
        <f>K31/K$15</f>
        <v>-1.4722356544926817E-3</v>
      </c>
      <c r="M32" s="940" t="s">
        <v>5798</v>
      </c>
      <c r="N32" s="940"/>
      <c r="O32" s="940"/>
    </row>
    <row r="33" spans="1:16">
      <c r="A33" s="587" t="s">
        <v>15117</v>
      </c>
      <c r="B33" s="577" t="s">
        <v>4860</v>
      </c>
      <c r="C33" s="231" t="s">
        <v>243</v>
      </c>
      <c r="D33" s="299" t="s">
        <v>15205</v>
      </c>
      <c r="E33" s="229"/>
      <c r="F33" s="575">
        <f>E32</f>
        <v>1992240</v>
      </c>
      <c r="G33" s="581">
        <f>SUM(E23:E33)-SUM(F23:F33)</f>
        <v>0</v>
      </c>
      <c r="I33" s="583">
        <v>7101</v>
      </c>
      <c r="J33" s="582" t="s">
        <v>5779</v>
      </c>
      <c r="K33" s="186">
        <f>-(SUMIF($B$2:$B$208,I33,$E$2:$E$208)-SUMIF($B$2:$B$208,I33,$F$2:$F$208))</f>
        <v>111</v>
      </c>
      <c r="N33" s="582" t="s">
        <v>5795</v>
      </c>
      <c r="O33" s="186">
        <f>4*12</f>
        <v>48</v>
      </c>
    </row>
    <row r="34" spans="1:16">
      <c r="B34" s="577"/>
      <c r="C34" s="231"/>
      <c r="D34" s="299"/>
      <c r="E34" s="229"/>
      <c r="F34" s="229"/>
      <c r="G34" s="229"/>
      <c r="J34" s="582" t="s">
        <v>5780</v>
      </c>
      <c r="K34" s="186">
        <f>K31+K33</f>
        <v>-3783</v>
      </c>
      <c r="M34" s="578"/>
      <c r="N34" s="582" t="s">
        <v>5796</v>
      </c>
      <c r="O34" s="186">
        <f>O33*2400</f>
        <v>115200</v>
      </c>
      <c r="P34" s="581">
        <f>K29-O34</f>
        <v>0</v>
      </c>
    </row>
    <row r="35" spans="1:16">
      <c r="A35" s="587" t="s">
        <v>15123</v>
      </c>
      <c r="B35" s="578">
        <v>1112</v>
      </c>
      <c r="C35" s="61" t="s">
        <v>246</v>
      </c>
      <c r="D35" s="299" t="s">
        <v>15124</v>
      </c>
      <c r="E35" s="236">
        <f>803625-66150</f>
        <v>737475</v>
      </c>
      <c r="F35" s="187"/>
      <c r="J35" s="582" t="s">
        <v>5781</v>
      </c>
      <c r="K35" s="606">
        <f>K34/(K$15+K$33)</f>
        <v>-1.4302089776141861E-3</v>
      </c>
      <c r="M35" s="579"/>
      <c r="N35" s="220"/>
    </row>
    <row r="36" spans="1:16">
      <c r="A36" s="587" t="s">
        <v>15123</v>
      </c>
      <c r="B36" s="577">
        <v>1112</v>
      </c>
      <c r="C36" s="61" t="s">
        <v>247</v>
      </c>
      <c r="D36" s="299" t="s">
        <v>15124</v>
      </c>
      <c r="E36" s="236">
        <v>66150</v>
      </c>
      <c r="F36" s="236"/>
      <c r="M36" s="940" t="s">
        <v>5800</v>
      </c>
      <c r="N36" s="940"/>
      <c r="O36" s="940"/>
    </row>
    <row r="37" spans="1:16">
      <c r="A37" s="587" t="s">
        <v>15123</v>
      </c>
      <c r="B37" s="578">
        <v>6230</v>
      </c>
      <c r="C37" s="61" t="s">
        <v>1221</v>
      </c>
      <c r="D37" s="299" t="s">
        <v>15252</v>
      </c>
      <c r="E37" s="236">
        <v>225</v>
      </c>
      <c r="F37" s="187"/>
      <c r="N37" s="582" t="s">
        <v>5747</v>
      </c>
      <c r="O37" s="187">
        <v>1799750</v>
      </c>
    </row>
    <row r="38" spans="1:16">
      <c r="A38" s="587" t="s">
        <v>15123</v>
      </c>
      <c r="B38" s="578">
        <v>1123</v>
      </c>
      <c r="C38" s="240" t="s">
        <v>242</v>
      </c>
      <c r="D38" s="299" t="s">
        <v>15124</v>
      </c>
      <c r="E38" s="229"/>
      <c r="F38" s="600">
        <f>SUM(E35:E37)</f>
        <v>803850</v>
      </c>
      <c r="G38" s="581">
        <f>SUM(E35:E38)-SUM(F35:F38)</f>
        <v>0</v>
      </c>
      <c r="M38" s="583" t="s">
        <v>5741</v>
      </c>
      <c r="N38" s="582" t="s">
        <v>1396</v>
      </c>
      <c r="O38" s="187">
        <v>-71400</v>
      </c>
    </row>
    <row r="39" spans="1:16">
      <c r="M39" s="583" t="s">
        <v>5740</v>
      </c>
      <c r="N39" s="582" t="s">
        <v>1397</v>
      </c>
      <c r="O39" s="187">
        <v>47150</v>
      </c>
    </row>
    <row r="40" spans="1:16">
      <c r="A40" s="587" t="s">
        <v>15125</v>
      </c>
      <c r="B40" s="579">
        <v>6201</v>
      </c>
      <c r="C40" s="134" t="s">
        <v>2919</v>
      </c>
      <c r="D40" s="134" t="s">
        <v>15162</v>
      </c>
      <c r="E40" s="239">
        <v>1799750</v>
      </c>
      <c r="F40" s="236"/>
      <c r="J40" s="805"/>
      <c r="N40" s="582" t="s">
        <v>5799</v>
      </c>
      <c r="O40" s="186">
        <f>SUM(O37:O39)</f>
        <v>1775500</v>
      </c>
      <c r="P40" s="581">
        <f>K21-O40</f>
        <v>0</v>
      </c>
    </row>
    <row r="41" spans="1:16">
      <c r="A41" s="587" t="s">
        <v>15125</v>
      </c>
      <c r="B41" s="579">
        <v>6201</v>
      </c>
      <c r="C41" s="134" t="s">
        <v>2919</v>
      </c>
      <c r="D41" s="554" t="s">
        <v>15126</v>
      </c>
      <c r="E41" s="239">
        <v>179350</v>
      </c>
      <c r="F41" s="236"/>
      <c r="N41" s="582"/>
    </row>
    <row r="42" spans="1:16">
      <c r="A42" s="587" t="s">
        <v>15125</v>
      </c>
      <c r="B42" s="579">
        <v>6201</v>
      </c>
      <c r="C42" s="134" t="s">
        <v>605</v>
      </c>
      <c r="D42" s="554" t="s">
        <v>15163</v>
      </c>
      <c r="E42" s="239"/>
      <c r="F42" s="239">
        <v>203600</v>
      </c>
      <c r="M42" s="940" t="s">
        <v>5801</v>
      </c>
      <c r="N42" s="940"/>
      <c r="O42" s="940"/>
    </row>
    <row r="43" spans="1:16">
      <c r="A43" s="587" t="s">
        <v>15125</v>
      </c>
      <c r="B43" s="578">
        <v>2123</v>
      </c>
      <c r="C43" s="61" t="s">
        <v>595</v>
      </c>
      <c r="D43" s="134" t="s">
        <v>15127</v>
      </c>
      <c r="E43" s="237"/>
      <c r="F43" s="589">
        <f>E40+E41-F42</f>
        <v>1775500</v>
      </c>
      <c r="N43" s="582" t="s">
        <v>15253</v>
      </c>
      <c r="O43" s="187">
        <v>240000</v>
      </c>
    </row>
    <row r="44" spans="1:16">
      <c r="A44" s="587" t="s">
        <v>15125</v>
      </c>
      <c r="B44" s="579">
        <v>6219</v>
      </c>
      <c r="C44" s="134" t="s">
        <v>2920</v>
      </c>
      <c r="D44" s="134" t="s">
        <v>15128</v>
      </c>
      <c r="E44" s="236">
        <f>2400*12*2</f>
        <v>57600</v>
      </c>
      <c r="F44" s="236"/>
      <c r="M44" s="583" t="s">
        <v>5741</v>
      </c>
      <c r="N44" s="582" t="s">
        <v>1396</v>
      </c>
      <c r="O44" s="187">
        <v>0</v>
      </c>
    </row>
    <row r="45" spans="1:16">
      <c r="A45" s="587" t="s">
        <v>15125</v>
      </c>
      <c r="B45" s="578">
        <v>2123</v>
      </c>
      <c r="C45" s="61" t="s">
        <v>595</v>
      </c>
      <c r="D45" s="134" t="s">
        <v>15128</v>
      </c>
      <c r="F45" s="588">
        <f>E44</f>
        <v>57600</v>
      </c>
      <c r="M45" s="583" t="s">
        <v>5740</v>
      </c>
      <c r="N45" s="582" t="s">
        <v>1397</v>
      </c>
      <c r="O45" s="187">
        <v>0</v>
      </c>
    </row>
    <row r="46" spans="1:16">
      <c r="A46" s="587" t="s">
        <v>15125</v>
      </c>
      <c r="B46" s="579">
        <v>6219</v>
      </c>
      <c r="C46" s="134" t="s">
        <v>2920</v>
      </c>
      <c r="D46" s="134" t="s">
        <v>15129</v>
      </c>
      <c r="E46" s="236">
        <f>2400*12*2</f>
        <v>57600</v>
      </c>
      <c r="F46" s="236"/>
      <c r="N46" s="582" t="s">
        <v>5802</v>
      </c>
      <c r="O46" s="186">
        <f>SUM(O43:O45)</f>
        <v>240000</v>
      </c>
      <c r="P46" s="581">
        <f>K22-O46</f>
        <v>0</v>
      </c>
    </row>
    <row r="47" spans="1:16">
      <c r="A47" s="587" t="s">
        <v>15125</v>
      </c>
      <c r="B47" s="578">
        <v>2123</v>
      </c>
      <c r="C47" s="61" t="s">
        <v>595</v>
      </c>
      <c r="D47" s="134" t="s">
        <v>15129</v>
      </c>
      <c r="E47" s="237"/>
      <c r="F47" s="588">
        <f>E46</f>
        <v>57600</v>
      </c>
    </row>
    <row r="48" spans="1:16">
      <c r="A48" s="587" t="s">
        <v>15125</v>
      </c>
      <c r="B48" s="578">
        <v>2123</v>
      </c>
      <c r="C48" s="61" t="s">
        <v>1214</v>
      </c>
      <c r="D48" s="134" t="s">
        <v>15130</v>
      </c>
      <c r="E48" s="589">
        <f>F49+F50</f>
        <v>1314774</v>
      </c>
      <c r="F48" s="233"/>
    </row>
    <row r="49" spans="1:19" s="584" customFormat="1">
      <c r="A49" s="587" t="s">
        <v>15125</v>
      </c>
      <c r="B49" s="578">
        <v>1112</v>
      </c>
      <c r="C49" s="61" t="s">
        <v>251</v>
      </c>
      <c r="D49" s="134" t="s">
        <v>15130</v>
      </c>
      <c r="E49" s="237"/>
      <c r="F49" s="764">
        <f>1238320+61454</f>
        <v>1299774</v>
      </c>
      <c r="G49" s="186"/>
      <c r="I49" s="186"/>
      <c r="J49" s="186"/>
      <c r="K49" s="186"/>
      <c r="L49" s="186"/>
      <c r="M49" s="186"/>
      <c r="N49" s="186"/>
      <c r="O49" s="186"/>
      <c r="P49" s="186"/>
      <c r="Q49" s="187"/>
      <c r="R49" s="187"/>
      <c r="S49" s="187"/>
    </row>
    <row r="50" spans="1:19" s="584" customFormat="1">
      <c r="A50" s="587" t="s">
        <v>15125</v>
      </c>
      <c r="B50" s="578">
        <v>1112</v>
      </c>
      <c r="C50" s="300" t="s">
        <v>249</v>
      </c>
      <c r="D50" s="134" t="s">
        <v>15130</v>
      </c>
      <c r="E50" s="237"/>
      <c r="F50" s="233">
        <v>15000</v>
      </c>
      <c r="G50" s="581">
        <f>SUM(E40:E50)-SUM(F40:F50)</f>
        <v>0</v>
      </c>
      <c r="I50" s="186"/>
      <c r="J50" s="186"/>
      <c r="K50" s="186"/>
      <c r="L50" s="186"/>
      <c r="M50" s="186"/>
      <c r="N50" s="186"/>
      <c r="O50" s="186"/>
      <c r="P50" s="186"/>
      <c r="Q50" s="187"/>
      <c r="R50" s="187"/>
      <c r="S50" s="187"/>
    </row>
    <row r="51" spans="1:19" s="584" customFormat="1">
      <c r="A51" s="583"/>
      <c r="B51" s="263"/>
      <c r="C51" s="151"/>
      <c r="D51" s="61"/>
      <c r="E51" s="234"/>
      <c r="F51" s="186"/>
      <c r="G51" s="186"/>
      <c r="I51" s="186"/>
      <c r="J51" s="186"/>
      <c r="K51" s="186"/>
      <c r="L51" s="186"/>
      <c r="M51" s="186"/>
      <c r="N51" s="186"/>
      <c r="O51" s="186"/>
      <c r="P51" s="186"/>
      <c r="Q51" s="187"/>
      <c r="R51" s="187"/>
      <c r="S51" s="187"/>
    </row>
    <row r="52" spans="1:19" s="584" customFormat="1">
      <c r="A52" s="587" t="s">
        <v>15131</v>
      </c>
      <c r="B52" s="579">
        <v>6202</v>
      </c>
      <c r="C52" s="220" t="s">
        <v>2918</v>
      </c>
      <c r="D52" s="300" t="s">
        <v>15232</v>
      </c>
      <c r="E52" s="236">
        <v>240000</v>
      </c>
      <c r="F52" s="187"/>
      <c r="G52" s="186"/>
      <c r="I52" s="186"/>
      <c r="J52" s="763" t="s">
        <v>15230</v>
      </c>
      <c r="K52" s="186"/>
      <c r="L52" s="186"/>
      <c r="M52" s="186"/>
      <c r="N52" s="186"/>
      <c r="O52" s="186"/>
      <c r="P52" s="186"/>
      <c r="Q52" s="187"/>
      <c r="R52" s="187"/>
      <c r="S52" s="187"/>
    </row>
    <row r="53" spans="1:19" s="584" customFormat="1">
      <c r="A53" s="587" t="s">
        <v>15131</v>
      </c>
      <c r="B53" s="578">
        <v>6230</v>
      </c>
      <c r="C53" s="61" t="s">
        <v>1221</v>
      </c>
      <c r="D53" s="582" t="s">
        <v>15231</v>
      </c>
      <c r="E53" s="236">
        <f>10*8</f>
        <v>80</v>
      </c>
      <c r="F53" s="186"/>
      <c r="G53" s="186"/>
      <c r="I53" s="186"/>
      <c r="J53" s="186"/>
      <c r="K53" s="186"/>
      <c r="L53" s="186"/>
      <c r="M53" s="186"/>
      <c r="N53" s="186"/>
      <c r="O53" s="186"/>
      <c r="P53" s="186"/>
      <c r="Q53" s="187"/>
      <c r="R53" s="187"/>
      <c r="S53" s="187"/>
    </row>
    <row r="54" spans="1:19" s="584" customFormat="1">
      <c r="A54" s="587" t="s">
        <v>15131</v>
      </c>
      <c r="B54" s="578">
        <v>1112</v>
      </c>
      <c r="C54" s="61" t="s">
        <v>251</v>
      </c>
      <c r="D54" s="300" t="s">
        <v>15232</v>
      </c>
      <c r="E54" s="229"/>
      <c r="F54" s="588">
        <v>240080</v>
      </c>
      <c r="G54" s="186"/>
      <c r="I54" s="186"/>
      <c r="J54" s="186"/>
      <c r="K54" s="186"/>
      <c r="L54" s="186"/>
      <c r="M54" s="186"/>
      <c r="N54" s="186"/>
      <c r="O54" s="186"/>
      <c r="P54" s="186"/>
      <c r="Q54" s="187"/>
      <c r="R54" s="187"/>
      <c r="S54" s="187"/>
    </row>
    <row r="55" spans="1:19" s="584" customFormat="1">
      <c r="A55" s="587" t="s">
        <v>15131</v>
      </c>
      <c r="B55" s="577">
        <v>1112</v>
      </c>
      <c r="C55" s="61" t="s">
        <v>247</v>
      </c>
      <c r="D55" s="300" t="s">
        <v>15132</v>
      </c>
      <c r="E55" s="236">
        <v>2</v>
      </c>
      <c r="F55" s="187"/>
      <c r="G55" s="186"/>
      <c r="I55" s="186"/>
      <c r="J55" s="186"/>
      <c r="K55" s="186"/>
      <c r="L55" s="186"/>
      <c r="M55" s="186"/>
      <c r="N55" s="186"/>
      <c r="O55" s="186"/>
      <c r="P55" s="186"/>
      <c r="Q55" s="187"/>
      <c r="R55" s="187"/>
      <c r="S55" s="187"/>
    </row>
    <row r="56" spans="1:19" s="584" customFormat="1">
      <c r="A56" s="587" t="s">
        <v>15131</v>
      </c>
      <c r="B56" s="578">
        <v>7101</v>
      </c>
      <c r="C56" s="186" t="s">
        <v>2787</v>
      </c>
      <c r="D56" s="300" t="s">
        <v>15132</v>
      </c>
      <c r="E56" s="229"/>
      <c r="F56" s="588">
        <f>E55</f>
        <v>2</v>
      </c>
      <c r="G56" s="186"/>
      <c r="I56" s="186"/>
      <c r="J56" s="186"/>
      <c r="K56" s="186"/>
      <c r="L56" s="186"/>
      <c r="M56" s="186"/>
      <c r="N56" s="186"/>
      <c r="O56" s="186"/>
      <c r="P56" s="186"/>
      <c r="Q56" s="187"/>
      <c r="R56" s="187"/>
      <c r="S56" s="187"/>
    </row>
    <row r="57" spans="1:19" s="584" customFormat="1">
      <c r="A57" s="587" t="s">
        <v>15131</v>
      </c>
      <c r="B57" s="577">
        <v>1112</v>
      </c>
      <c r="C57" s="61" t="s">
        <v>247</v>
      </c>
      <c r="D57" s="300" t="s">
        <v>15133</v>
      </c>
      <c r="E57" s="236">
        <v>1</v>
      </c>
      <c r="F57" s="187"/>
      <c r="G57" s="186"/>
      <c r="I57" s="186"/>
      <c r="J57" s="186"/>
      <c r="K57" s="186"/>
      <c r="L57" s="186"/>
      <c r="M57" s="186"/>
      <c r="N57" s="186"/>
      <c r="O57" s="186"/>
      <c r="P57" s="186"/>
      <c r="Q57" s="187"/>
      <c r="R57" s="187"/>
      <c r="S57" s="187"/>
    </row>
    <row r="58" spans="1:19" s="584" customFormat="1">
      <c r="A58" s="587" t="s">
        <v>15131</v>
      </c>
      <c r="B58" s="578">
        <v>7101</v>
      </c>
      <c r="C58" s="186" t="s">
        <v>2787</v>
      </c>
      <c r="D58" s="300" t="s">
        <v>15133</v>
      </c>
      <c r="E58" s="229"/>
      <c r="F58" s="588">
        <f>E57</f>
        <v>1</v>
      </c>
      <c r="G58" s="186"/>
      <c r="I58" s="186"/>
      <c r="J58" s="186"/>
      <c r="K58" s="186"/>
      <c r="L58" s="186"/>
      <c r="M58" s="186"/>
      <c r="N58" s="186"/>
      <c r="O58" s="186"/>
      <c r="P58" s="186"/>
      <c r="Q58" s="187"/>
      <c r="R58" s="187"/>
      <c r="S58" s="187"/>
    </row>
    <row r="59" spans="1:19" s="584" customFormat="1">
      <c r="A59" s="587" t="s">
        <v>15131</v>
      </c>
      <c r="B59" s="578">
        <v>1112</v>
      </c>
      <c r="C59" s="61" t="s">
        <v>246</v>
      </c>
      <c r="D59" s="300" t="s">
        <v>15134</v>
      </c>
      <c r="E59" s="236">
        <v>58</v>
      </c>
      <c r="F59" s="187"/>
      <c r="G59" s="186"/>
      <c r="I59" s="186"/>
      <c r="J59" s="186"/>
      <c r="K59" s="186"/>
      <c r="L59" s="186"/>
      <c r="M59" s="186"/>
      <c r="N59" s="186"/>
      <c r="O59" s="186"/>
      <c r="P59" s="186"/>
      <c r="Q59" s="187"/>
      <c r="R59" s="187"/>
      <c r="S59" s="187"/>
    </row>
    <row r="60" spans="1:19" s="584" customFormat="1">
      <c r="A60" s="587" t="s">
        <v>15131</v>
      </c>
      <c r="B60" s="578">
        <v>7101</v>
      </c>
      <c r="C60" s="186" t="s">
        <v>2787</v>
      </c>
      <c r="D60" s="300" t="s">
        <v>15134</v>
      </c>
      <c r="E60" s="229"/>
      <c r="F60" s="588">
        <f>E59</f>
        <v>58</v>
      </c>
      <c r="G60" s="186"/>
      <c r="I60" s="186"/>
      <c r="J60" s="186"/>
      <c r="K60" s="186"/>
      <c r="L60" s="186"/>
      <c r="M60" s="186"/>
      <c r="N60" s="186"/>
      <c r="O60" s="186"/>
      <c r="P60" s="186"/>
      <c r="Q60" s="187"/>
      <c r="R60" s="187"/>
      <c r="S60" s="187"/>
    </row>
    <row r="61" spans="1:19" s="584" customFormat="1">
      <c r="A61" s="587" t="s">
        <v>15131</v>
      </c>
      <c r="B61" s="578">
        <v>1112</v>
      </c>
      <c r="C61" s="61" t="s">
        <v>246</v>
      </c>
      <c r="D61" s="300" t="s">
        <v>15135</v>
      </c>
      <c r="E61" s="236">
        <v>50</v>
      </c>
      <c r="F61" s="187"/>
      <c r="G61" s="186"/>
      <c r="I61" s="186"/>
      <c r="J61" s="186"/>
      <c r="K61" s="186"/>
      <c r="L61" s="186"/>
      <c r="M61" s="186"/>
      <c r="N61" s="186"/>
      <c r="O61" s="186"/>
      <c r="P61" s="186"/>
      <c r="Q61" s="187"/>
      <c r="R61" s="187"/>
      <c r="S61" s="187"/>
    </row>
    <row r="62" spans="1:19" s="584" customFormat="1">
      <c r="A62" s="587" t="s">
        <v>15131</v>
      </c>
      <c r="B62" s="578">
        <v>7101</v>
      </c>
      <c r="C62" s="186" t="s">
        <v>2787</v>
      </c>
      <c r="D62" s="300" t="s">
        <v>15135</v>
      </c>
      <c r="E62" s="229"/>
      <c r="F62" s="588">
        <f>E61</f>
        <v>50</v>
      </c>
      <c r="G62" s="186"/>
      <c r="I62" s="186"/>
      <c r="J62" s="186"/>
      <c r="K62" s="186"/>
      <c r="L62" s="186"/>
      <c r="M62" s="186"/>
      <c r="N62" s="186"/>
      <c r="O62" s="186"/>
      <c r="P62" s="186"/>
      <c r="Q62" s="187"/>
      <c r="R62" s="187"/>
      <c r="S62" s="187"/>
    </row>
    <row r="63" spans="1:19" s="584" customFormat="1">
      <c r="A63" s="587" t="s">
        <v>15131</v>
      </c>
      <c r="B63" s="579">
        <v>6214</v>
      </c>
      <c r="C63" s="220" t="s">
        <v>2789</v>
      </c>
      <c r="D63" s="299" t="s">
        <v>15164</v>
      </c>
      <c r="E63" s="236">
        <v>84533</v>
      </c>
      <c r="F63" s="187"/>
      <c r="G63" s="186"/>
      <c r="I63" s="186"/>
      <c r="J63" s="186"/>
      <c r="K63" s="186"/>
      <c r="L63" s="186"/>
      <c r="M63" s="186"/>
      <c r="N63" s="186"/>
      <c r="O63" s="186"/>
      <c r="P63" s="186"/>
      <c r="Q63" s="187"/>
      <c r="R63" s="187"/>
      <c r="S63" s="187"/>
    </row>
    <row r="64" spans="1:19" s="584" customFormat="1">
      <c r="A64" s="587" t="s">
        <v>15131</v>
      </c>
      <c r="B64" s="579">
        <v>6214</v>
      </c>
      <c r="C64" s="220" t="s">
        <v>2789</v>
      </c>
      <c r="D64" s="299" t="s">
        <v>15172</v>
      </c>
      <c r="E64" s="236">
        <v>24674</v>
      </c>
      <c r="F64" s="187"/>
      <c r="G64" s="186"/>
      <c r="I64" s="186"/>
      <c r="J64" s="186"/>
      <c r="K64" s="186"/>
      <c r="L64" s="186"/>
      <c r="M64" s="186"/>
      <c r="N64" s="186"/>
      <c r="O64" s="186"/>
      <c r="P64" s="186"/>
      <c r="Q64" s="187"/>
      <c r="R64" s="187"/>
      <c r="S64" s="187"/>
    </row>
    <row r="65" spans="1:19" s="584" customFormat="1">
      <c r="A65" s="587" t="s">
        <v>15131</v>
      </c>
      <c r="B65" s="578">
        <v>1112</v>
      </c>
      <c r="C65" s="220" t="s">
        <v>251</v>
      </c>
      <c r="D65" s="299" t="s">
        <v>15164</v>
      </c>
      <c r="E65" s="229"/>
      <c r="F65" s="588">
        <f>SUM(E63:E64)</f>
        <v>109207</v>
      </c>
      <c r="G65" s="186"/>
      <c r="I65" s="186"/>
      <c r="J65" s="186"/>
      <c r="K65" s="186"/>
      <c r="L65" s="186"/>
      <c r="M65" s="186"/>
      <c r="N65" s="186"/>
      <c r="O65" s="186"/>
      <c r="P65" s="186"/>
      <c r="Q65" s="187"/>
      <c r="R65" s="187"/>
      <c r="S65" s="187"/>
    </row>
    <row r="66" spans="1:19" s="584" customFormat="1">
      <c r="A66" s="587" t="s">
        <v>15131</v>
      </c>
      <c r="B66" s="579">
        <v>6214</v>
      </c>
      <c r="C66" s="220" t="s">
        <v>2790</v>
      </c>
      <c r="D66" s="300" t="s">
        <v>15165</v>
      </c>
      <c r="E66" s="236">
        <v>83169</v>
      </c>
      <c r="F66" s="187"/>
      <c r="G66" s="186"/>
      <c r="I66" s="186"/>
      <c r="J66" s="186"/>
      <c r="K66" s="186"/>
      <c r="L66" s="186"/>
      <c r="M66" s="186"/>
      <c r="N66" s="186"/>
      <c r="O66" s="186"/>
      <c r="P66" s="186"/>
      <c r="Q66" s="187"/>
      <c r="R66" s="187"/>
      <c r="S66" s="187"/>
    </row>
    <row r="67" spans="1:19" s="584" customFormat="1">
      <c r="A67" s="587" t="s">
        <v>15131</v>
      </c>
      <c r="B67" s="578">
        <v>1112</v>
      </c>
      <c r="C67" s="61" t="s">
        <v>251</v>
      </c>
      <c r="D67" s="300" t="s">
        <v>15165</v>
      </c>
      <c r="E67" s="229"/>
      <c r="F67" s="588">
        <f>E66</f>
        <v>83169</v>
      </c>
      <c r="G67" s="186"/>
      <c r="I67" s="186"/>
      <c r="J67" s="186"/>
      <c r="K67" s="186"/>
      <c r="L67" s="186"/>
      <c r="M67" s="186"/>
      <c r="N67" s="186"/>
      <c r="O67" s="186"/>
      <c r="P67" s="186"/>
      <c r="Q67" s="187"/>
      <c r="R67" s="187"/>
      <c r="S67" s="187"/>
    </row>
    <row r="68" spans="1:19" s="584" customFormat="1">
      <c r="A68" s="587" t="s">
        <v>15131</v>
      </c>
      <c r="B68" s="579">
        <v>6214</v>
      </c>
      <c r="C68" s="220" t="s">
        <v>2791</v>
      </c>
      <c r="D68" s="300" t="s">
        <v>15166</v>
      </c>
      <c r="E68" s="236">
        <v>51138</v>
      </c>
      <c r="F68" s="187"/>
      <c r="G68" s="186"/>
      <c r="I68" s="186"/>
      <c r="J68" s="186"/>
      <c r="K68" s="186"/>
      <c r="L68" s="186"/>
      <c r="M68" s="186"/>
      <c r="N68" s="186"/>
      <c r="O68" s="186"/>
      <c r="P68" s="186"/>
      <c r="Q68" s="187"/>
      <c r="R68" s="187"/>
      <c r="S68" s="187"/>
    </row>
    <row r="69" spans="1:19" s="584" customFormat="1">
      <c r="A69" s="587" t="s">
        <v>15131</v>
      </c>
      <c r="B69" s="578">
        <v>1112</v>
      </c>
      <c r="C69" s="61" t="s">
        <v>251</v>
      </c>
      <c r="D69" s="300" t="s">
        <v>15166</v>
      </c>
      <c r="E69" s="229"/>
      <c r="F69" s="588">
        <f>E68</f>
        <v>51138</v>
      </c>
      <c r="G69" s="581">
        <f>SUM(E52:E69)-SUM(F52:F69)</f>
        <v>0</v>
      </c>
      <c r="I69" s="186"/>
      <c r="J69" s="186"/>
      <c r="K69" s="186"/>
      <c r="L69" s="186"/>
      <c r="M69" s="186"/>
      <c r="N69" s="186"/>
      <c r="O69" s="186"/>
      <c r="P69" s="186"/>
      <c r="Q69" s="187"/>
      <c r="R69" s="187"/>
      <c r="S69" s="187"/>
    </row>
    <row r="70" spans="1:19" s="584" customFormat="1">
      <c r="A70" s="583"/>
      <c r="B70" s="263"/>
      <c r="C70" s="151"/>
      <c r="D70" s="61"/>
      <c r="E70" s="234"/>
      <c r="F70" s="186"/>
      <c r="G70" s="186"/>
      <c r="I70" s="186"/>
      <c r="J70" s="186"/>
      <c r="K70" s="186"/>
      <c r="L70" s="186"/>
      <c r="M70" s="186"/>
      <c r="N70" s="186"/>
      <c r="O70" s="186"/>
      <c r="P70" s="186"/>
      <c r="Q70" s="187"/>
      <c r="R70" s="187"/>
      <c r="S70" s="187"/>
    </row>
    <row r="71" spans="1:19" s="584" customFormat="1">
      <c r="A71" s="587" t="s">
        <v>15136</v>
      </c>
      <c r="B71" s="579">
        <v>6207</v>
      </c>
      <c r="C71" s="134" t="s">
        <v>1215</v>
      </c>
      <c r="D71" s="134" t="s">
        <v>15137</v>
      </c>
      <c r="E71" s="239">
        <v>56861</v>
      </c>
      <c r="F71" s="236"/>
      <c r="G71" s="186"/>
      <c r="I71" s="186"/>
      <c r="J71" s="186"/>
      <c r="K71" s="186"/>
      <c r="L71" s="186"/>
      <c r="M71" s="186"/>
      <c r="N71" s="186"/>
      <c r="O71" s="186"/>
      <c r="P71" s="186"/>
      <c r="Q71" s="187"/>
      <c r="R71" s="187"/>
      <c r="S71" s="187"/>
    </row>
    <row r="72" spans="1:19" s="584" customFormat="1">
      <c r="A72" s="587" t="s">
        <v>15136</v>
      </c>
      <c r="B72" s="579">
        <v>1194</v>
      </c>
      <c r="C72" s="134" t="s">
        <v>3798</v>
      </c>
      <c r="D72" s="134" t="s">
        <v>15137</v>
      </c>
      <c r="E72" s="236">
        <v>2846</v>
      </c>
      <c r="F72" s="236"/>
      <c r="G72" s="186"/>
      <c r="I72" s="186"/>
      <c r="J72" s="186"/>
      <c r="K72" s="186"/>
      <c r="L72" s="186"/>
      <c r="M72" s="186"/>
      <c r="N72" s="186"/>
      <c r="O72" s="186"/>
      <c r="P72" s="186"/>
      <c r="Q72" s="187"/>
      <c r="R72" s="187"/>
      <c r="S72" s="187"/>
    </row>
    <row r="73" spans="1:19" s="584" customFormat="1">
      <c r="A73" s="587" t="s">
        <v>15136</v>
      </c>
      <c r="B73" s="578">
        <v>1112</v>
      </c>
      <c r="C73" s="61" t="s">
        <v>251</v>
      </c>
      <c r="D73" s="134" t="s">
        <v>15137</v>
      </c>
      <c r="E73" s="237"/>
      <c r="F73" s="239">
        <v>59707</v>
      </c>
      <c r="G73" s="186"/>
      <c r="I73" s="186"/>
      <c r="J73" s="186"/>
      <c r="K73" s="186"/>
      <c r="L73" s="186"/>
      <c r="M73" s="186"/>
      <c r="N73" s="186"/>
      <c r="O73" s="186"/>
      <c r="P73" s="186"/>
      <c r="Q73" s="187"/>
      <c r="R73" s="187"/>
      <c r="S73" s="187"/>
    </row>
    <row r="74" spans="1:19" s="584" customFormat="1">
      <c r="A74" s="587" t="s">
        <v>15136</v>
      </c>
      <c r="B74" s="579">
        <v>6213</v>
      </c>
      <c r="C74" s="134" t="s">
        <v>877</v>
      </c>
      <c r="D74" s="134" t="s">
        <v>15173</v>
      </c>
      <c r="E74" s="239">
        <v>11636</v>
      </c>
      <c r="F74" s="236"/>
      <c r="G74" s="186"/>
      <c r="I74" s="186"/>
      <c r="J74" s="186"/>
      <c r="K74" s="186"/>
      <c r="L74" s="186"/>
      <c r="M74" s="186"/>
      <c r="N74" s="186"/>
      <c r="O74" s="186"/>
      <c r="P74" s="186"/>
      <c r="Q74" s="187"/>
      <c r="R74" s="187"/>
      <c r="S74" s="187"/>
    </row>
    <row r="75" spans="1:19" s="584" customFormat="1">
      <c r="A75" s="587" t="s">
        <v>15136</v>
      </c>
      <c r="B75" s="579">
        <v>1194</v>
      </c>
      <c r="C75" s="134" t="s">
        <v>3798</v>
      </c>
      <c r="D75" s="134" t="s">
        <v>15173</v>
      </c>
      <c r="E75" s="236">
        <v>583</v>
      </c>
      <c r="F75" s="236"/>
      <c r="G75" s="186"/>
      <c r="I75" s="186"/>
      <c r="J75" s="186"/>
      <c r="K75" s="186"/>
      <c r="L75" s="186"/>
      <c r="M75" s="186"/>
      <c r="N75" s="186"/>
      <c r="O75" s="186"/>
      <c r="P75" s="186"/>
      <c r="Q75" s="187"/>
      <c r="R75" s="187"/>
      <c r="S75" s="187"/>
    </row>
    <row r="76" spans="1:19" s="584" customFormat="1">
      <c r="A76" s="587" t="s">
        <v>15136</v>
      </c>
      <c r="B76" s="578">
        <v>1112</v>
      </c>
      <c r="C76" s="61" t="s">
        <v>251</v>
      </c>
      <c r="D76" s="134" t="s">
        <v>15173</v>
      </c>
      <c r="E76" s="237"/>
      <c r="F76" s="239">
        <v>12219</v>
      </c>
      <c r="G76" s="186"/>
      <c r="I76" s="186"/>
      <c r="J76" s="186"/>
      <c r="K76" s="186"/>
      <c r="L76" s="186"/>
      <c r="M76" s="186"/>
      <c r="N76" s="186"/>
      <c r="O76" s="186"/>
      <c r="P76" s="186"/>
      <c r="Q76" s="187"/>
      <c r="R76" s="187"/>
      <c r="S76" s="187"/>
    </row>
    <row r="77" spans="1:19" s="584" customFormat="1">
      <c r="A77" s="587" t="s">
        <v>15136</v>
      </c>
      <c r="B77" s="579">
        <v>1111</v>
      </c>
      <c r="C77" s="134" t="s">
        <v>463</v>
      </c>
      <c r="D77" s="134" t="s">
        <v>15138</v>
      </c>
      <c r="E77" s="236">
        <v>20556</v>
      </c>
      <c r="F77" s="236"/>
      <c r="G77" s="186"/>
      <c r="I77" s="186"/>
      <c r="J77" s="186"/>
      <c r="K77" s="186"/>
      <c r="L77" s="186"/>
      <c r="M77" s="186"/>
      <c r="N77" s="186"/>
      <c r="O77" s="186"/>
      <c r="P77" s="186"/>
      <c r="Q77" s="187"/>
      <c r="R77" s="187"/>
      <c r="S77" s="187"/>
    </row>
    <row r="78" spans="1:19" s="584" customFormat="1">
      <c r="A78" s="587" t="s">
        <v>15136</v>
      </c>
      <c r="B78" s="578">
        <v>1112</v>
      </c>
      <c r="C78" s="61" t="s">
        <v>251</v>
      </c>
      <c r="D78" s="134" t="s">
        <v>15138</v>
      </c>
      <c r="E78" s="237"/>
      <c r="F78" s="589">
        <f>E77</f>
        <v>20556</v>
      </c>
      <c r="G78" s="581">
        <f>SUM(E71:E78)-SUM(F71:F78)</f>
        <v>0</v>
      </c>
      <c r="I78" s="186"/>
      <c r="J78" s="186"/>
      <c r="K78" s="186"/>
      <c r="L78" s="186"/>
      <c r="M78" s="186"/>
      <c r="N78" s="186"/>
      <c r="O78" s="186"/>
      <c r="P78" s="186"/>
      <c r="Q78" s="187"/>
      <c r="R78" s="187"/>
      <c r="S78" s="187"/>
    </row>
    <row r="79" spans="1:19" s="584" customFormat="1">
      <c r="A79" s="583"/>
      <c r="B79" s="263"/>
      <c r="C79" s="151"/>
      <c r="D79" s="61"/>
      <c r="E79" s="234"/>
      <c r="F79" s="186"/>
      <c r="G79" s="186"/>
      <c r="I79" s="186"/>
      <c r="J79" s="186"/>
      <c r="K79" s="186"/>
      <c r="L79" s="186"/>
      <c r="M79" s="186"/>
      <c r="N79" s="186"/>
      <c r="O79" s="186"/>
      <c r="P79" s="186"/>
      <c r="Q79" s="187"/>
      <c r="R79" s="187"/>
      <c r="S79" s="187"/>
    </row>
    <row r="80" spans="1:19" s="584" customFormat="1">
      <c r="A80" s="587" t="s">
        <v>15139</v>
      </c>
      <c r="B80" s="579">
        <v>6213</v>
      </c>
      <c r="C80" s="61" t="s">
        <v>1217</v>
      </c>
      <c r="D80" s="244" t="s">
        <v>15140</v>
      </c>
      <c r="E80" s="236">
        <v>897</v>
      </c>
      <c r="F80" s="233"/>
      <c r="G80" s="186"/>
      <c r="I80" s="186"/>
      <c r="J80" s="186"/>
      <c r="K80" s="186"/>
      <c r="L80" s="186"/>
      <c r="M80" s="186"/>
      <c r="N80" s="186"/>
      <c r="O80" s="186"/>
      <c r="P80" s="186"/>
      <c r="Q80" s="187"/>
      <c r="R80" s="187"/>
      <c r="S80" s="187"/>
    </row>
    <row r="81" spans="1:19" s="584" customFormat="1">
      <c r="A81" s="587" t="s">
        <v>15139</v>
      </c>
      <c r="B81" s="579">
        <v>1194</v>
      </c>
      <c r="C81" s="61" t="s">
        <v>3798</v>
      </c>
      <c r="D81" s="244" t="s">
        <v>15140</v>
      </c>
      <c r="E81" s="236">
        <v>44</v>
      </c>
      <c r="F81" s="239"/>
      <c r="G81" s="186"/>
      <c r="I81" s="186"/>
      <c r="J81" s="186"/>
      <c r="K81" s="186"/>
      <c r="L81" s="186"/>
      <c r="M81" s="186"/>
      <c r="N81" s="186"/>
      <c r="O81" s="186"/>
      <c r="P81" s="186"/>
      <c r="Q81" s="187"/>
      <c r="R81" s="187"/>
      <c r="S81" s="187"/>
    </row>
    <row r="82" spans="1:19" s="584" customFormat="1">
      <c r="A82" s="587" t="s">
        <v>15139</v>
      </c>
      <c r="B82" s="579">
        <v>6213</v>
      </c>
      <c r="C82" s="61" t="s">
        <v>1217</v>
      </c>
      <c r="D82" s="134" t="s">
        <v>15141</v>
      </c>
      <c r="E82" s="236">
        <v>139</v>
      </c>
      <c r="F82" s="236"/>
      <c r="G82" s="186"/>
      <c r="I82" s="186"/>
      <c r="J82" s="186"/>
      <c r="K82" s="186"/>
      <c r="L82" s="186"/>
      <c r="M82" s="186"/>
      <c r="N82" s="186"/>
      <c r="O82" s="186"/>
      <c r="P82" s="186"/>
      <c r="Q82" s="187"/>
      <c r="R82" s="187"/>
      <c r="S82" s="187"/>
    </row>
    <row r="83" spans="1:19" s="584" customFormat="1">
      <c r="A83" s="587" t="s">
        <v>15139</v>
      </c>
      <c r="B83" s="579">
        <v>1111</v>
      </c>
      <c r="C83" s="61" t="s">
        <v>602</v>
      </c>
      <c r="D83" s="244" t="s">
        <v>15142</v>
      </c>
      <c r="E83" s="237"/>
      <c r="F83" s="232">
        <v>1080</v>
      </c>
      <c r="G83" s="581">
        <f>SUM(E80:E83)-SUM(F80:F83)</f>
        <v>0</v>
      </c>
      <c r="I83" s="186"/>
      <c r="J83" s="186"/>
      <c r="K83" s="186"/>
      <c r="L83" s="186"/>
      <c r="M83" s="186"/>
      <c r="N83" s="186"/>
      <c r="O83" s="186"/>
      <c r="P83" s="186"/>
      <c r="Q83" s="187"/>
      <c r="R83" s="187"/>
      <c r="S83" s="187"/>
    </row>
    <row r="84" spans="1:19" s="584" customFormat="1">
      <c r="A84" s="583"/>
      <c r="B84" s="263"/>
      <c r="C84" s="151"/>
      <c r="D84" s="61"/>
      <c r="E84" s="234"/>
      <c r="F84" s="186"/>
      <c r="G84" s="186"/>
      <c r="I84" s="186"/>
      <c r="J84" s="186"/>
      <c r="K84" s="186"/>
      <c r="L84" s="186"/>
      <c r="M84" s="186"/>
      <c r="N84" s="186"/>
      <c r="O84" s="186"/>
      <c r="P84" s="186"/>
      <c r="Q84" s="187"/>
      <c r="R84" s="187"/>
      <c r="S84" s="187"/>
    </row>
    <row r="85" spans="1:19" s="584" customFormat="1">
      <c r="A85" s="587" t="s">
        <v>15143</v>
      </c>
      <c r="B85" s="579">
        <v>6205</v>
      </c>
      <c r="C85" s="134" t="s">
        <v>1224</v>
      </c>
      <c r="D85" s="134" t="s">
        <v>598</v>
      </c>
      <c r="E85" s="239">
        <v>7025</v>
      </c>
      <c r="F85" s="236"/>
      <c r="G85" s="186"/>
      <c r="I85" s="186"/>
      <c r="J85" s="186"/>
      <c r="K85" s="186"/>
      <c r="L85" s="186"/>
      <c r="M85" s="186"/>
      <c r="N85" s="186"/>
      <c r="O85" s="186"/>
      <c r="P85" s="186"/>
      <c r="Q85" s="187"/>
      <c r="R85" s="187"/>
      <c r="S85" s="187"/>
    </row>
    <row r="86" spans="1:19" s="584" customFormat="1">
      <c r="A86" s="587" t="s">
        <v>15143</v>
      </c>
      <c r="B86" s="579">
        <v>6203</v>
      </c>
      <c r="C86" s="61" t="s">
        <v>1223</v>
      </c>
      <c r="D86" s="134" t="s">
        <v>2615</v>
      </c>
      <c r="E86" s="236">
        <v>562</v>
      </c>
      <c r="F86" s="239"/>
      <c r="G86" s="186"/>
      <c r="I86" s="186"/>
      <c r="J86" s="186"/>
      <c r="K86" s="186"/>
      <c r="L86" s="186"/>
      <c r="M86" s="186"/>
      <c r="N86" s="186"/>
      <c r="O86" s="186"/>
      <c r="P86" s="186"/>
      <c r="Q86" s="187"/>
      <c r="R86" s="187"/>
      <c r="S86" s="187"/>
    </row>
    <row r="87" spans="1:19" s="584" customFormat="1">
      <c r="A87" s="587" t="s">
        <v>15143</v>
      </c>
      <c r="B87" s="578">
        <v>6232</v>
      </c>
      <c r="C87" s="61" t="s">
        <v>1218</v>
      </c>
      <c r="D87" s="245" t="s">
        <v>15174</v>
      </c>
      <c r="E87" s="237">
        <v>4374</v>
      </c>
      <c r="F87" s="233"/>
      <c r="G87" s="186"/>
      <c r="I87" s="186"/>
      <c r="J87" s="186"/>
      <c r="K87" s="186"/>
      <c r="L87" s="186"/>
      <c r="M87" s="186"/>
      <c r="N87" s="186"/>
      <c r="O87" s="186"/>
      <c r="P87" s="186"/>
      <c r="Q87" s="187"/>
      <c r="R87" s="187"/>
      <c r="S87" s="187"/>
    </row>
    <row r="88" spans="1:19" s="584" customFormat="1">
      <c r="A88" s="587" t="s">
        <v>15143</v>
      </c>
      <c r="B88" s="578">
        <v>6207</v>
      </c>
      <c r="C88" s="61" t="s">
        <v>1222</v>
      </c>
      <c r="D88" s="244" t="s">
        <v>600</v>
      </c>
      <c r="E88" s="237">
        <v>3624</v>
      </c>
      <c r="F88" s="233"/>
      <c r="G88" s="186"/>
      <c r="I88" s="186"/>
      <c r="J88" s="186"/>
      <c r="K88" s="186"/>
      <c r="L88" s="186"/>
      <c r="M88" s="186"/>
      <c r="N88" s="186"/>
      <c r="O88" s="186"/>
      <c r="P88" s="186"/>
      <c r="Q88" s="187"/>
      <c r="R88" s="187"/>
      <c r="S88" s="187"/>
    </row>
    <row r="89" spans="1:19" s="584" customFormat="1">
      <c r="A89" s="587" t="s">
        <v>15143</v>
      </c>
      <c r="B89" s="578">
        <v>6230</v>
      </c>
      <c r="C89" s="61" t="s">
        <v>1221</v>
      </c>
      <c r="D89" s="244" t="s">
        <v>5717</v>
      </c>
      <c r="E89" s="237">
        <v>3497</v>
      </c>
      <c r="F89" s="233"/>
      <c r="G89" s="186"/>
      <c r="I89" s="186"/>
      <c r="J89" s="186"/>
      <c r="K89" s="186"/>
      <c r="L89" s="186"/>
      <c r="M89" s="186"/>
      <c r="N89" s="186"/>
      <c r="O89" s="186"/>
      <c r="P89" s="186"/>
      <c r="Q89" s="187"/>
      <c r="R89" s="187"/>
      <c r="S89" s="187"/>
    </row>
    <row r="90" spans="1:19" s="584" customFormat="1">
      <c r="A90" s="812" t="s">
        <v>15143</v>
      </c>
      <c r="B90" s="578">
        <v>6230</v>
      </c>
      <c r="C90" s="61" t="s">
        <v>1221</v>
      </c>
      <c r="D90" s="807" t="s">
        <v>15246</v>
      </c>
      <c r="E90" s="237">
        <f>250+200</f>
        <v>450</v>
      </c>
      <c r="F90" s="233"/>
      <c r="G90" s="771"/>
      <c r="I90" s="186"/>
      <c r="J90" s="186"/>
      <c r="K90" s="186"/>
      <c r="L90" s="186"/>
      <c r="M90" s="186"/>
      <c r="N90" s="186"/>
      <c r="O90" s="186"/>
      <c r="P90" s="186"/>
      <c r="Q90" s="187"/>
      <c r="R90" s="187"/>
      <c r="S90" s="187"/>
    </row>
    <row r="91" spans="1:19" s="584" customFormat="1">
      <c r="A91" s="587" t="s">
        <v>15143</v>
      </c>
      <c r="B91" s="579">
        <v>6215</v>
      </c>
      <c r="C91" s="61" t="s">
        <v>1220</v>
      </c>
      <c r="D91" s="244" t="s">
        <v>5750</v>
      </c>
      <c r="E91" s="237">
        <v>600</v>
      </c>
      <c r="F91" s="233"/>
      <c r="G91" s="186"/>
      <c r="I91" s="186"/>
      <c r="J91" s="186"/>
      <c r="K91" s="186"/>
      <c r="L91" s="186"/>
      <c r="M91" s="186"/>
      <c r="N91" s="186"/>
      <c r="O91" s="186"/>
      <c r="P91" s="186"/>
      <c r="Q91" s="187"/>
      <c r="R91" s="187"/>
      <c r="S91" s="187"/>
    </row>
    <row r="92" spans="1:19" s="584" customFormat="1">
      <c r="A92" s="587" t="s">
        <v>15145</v>
      </c>
      <c r="B92" s="579">
        <v>2192</v>
      </c>
      <c r="C92" s="299" t="s">
        <v>10137</v>
      </c>
      <c r="D92" s="244" t="s">
        <v>10157</v>
      </c>
      <c r="E92" s="236"/>
      <c r="F92" s="186"/>
      <c r="G92" s="186"/>
      <c r="I92" s="186"/>
      <c r="J92" s="186"/>
      <c r="K92" s="186"/>
      <c r="L92" s="186"/>
      <c r="M92" s="186"/>
      <c r="N92" s="186"/>
      <c r="O92" s="186"/>
      <c r="P92" s="186"/>
      <c r="Q92" s="187"/>
      <c r="R92" s="187"/>
      <c r="S92" s="187"/>
    </row>
    <row r="93" spans="1:19" s="584" customFormat="1">
      <c r="A93" s="587" t="s">
        <v>15143</v>
      </c>
      <c r="B93" s="579">
        <v>1111</v>
      </c>
      <c r="C93" s="61" t="s">
        <v>602</v>
      </c>
      <c r="D93" s="244" t="s">
        <v>603</v>
      </c>
      <c r="E93" s="237"/>
      <c r="F93" s="589">
        <f>SUM(E85:E92)</f>
        <v>20132</v>
      </c>
      <c r="G93" s="771"/>
      <c r="I93" s="186"/>
      <c r="J93" s="186"/>
      <c r="K93" s="186"/>
      <c r="L93" s="186"/>
      <c r="M93" s="186"/>
      <c r="N93" s="186"/>
      <c r="O93" s="186"/>
      <c r="P93" s="186"/>
      <c r="Q93" s="187"/>
      <c r="R93" s="187"/>
      <c r="S93" s="187"/>
    </row>
    <row r="94" spans="1:19" s="584" customFormat="1">
      <c r="A94" s="587" t="s">
        <v>15143</v>
      </c>
      <c r="B94" s="578">
        <v>6232</v>
      </c>
      <c r="C94" s="61" t="s">
        <v>1218</v>
      </c>
      <c r="D94" s="245" t="s">
        <v>15236</v>
      </c>
      <c r="E94" s="237">
        <v>13212</v>
      </c>
      <c r="F94" s="233"/>
      <c r="G94" s="186"/>
      <c r="I94" s="186"/>
      <c r="J94" s="186"/>
      <c r="K94" s="186"/>
      <c r="L94" s="186"/>
      <c r="M94" s="186"/>
      <c r="N94" s="186"/>
      <c r="O94" s="186"/>
      <c r="P94" s="186"/>
      <c r="Q94" s="187"/>
      <c r="R94" s="187"/>
      <c r="S94" s="187"/>
    </row>
    <row r="95" spans="1:19" s="584" customFormat="1">
      <c r="A95" s="812" t="s">
        <v>15146</v>
      </c>
      <c r="B95" s="578">
        <v>1112</v>
      </c>
      <c r="C95" s="61" t="s">
        <v>251</v>
      </c>
      <c r="D95" s="300" t="s">
        <v>15175</v>
      </c>
      <c r="E95" s="229"/>
      <c r="F95" s="589">
        <f>SUM(E94)</f>
        <v>13212</v>
      </c>
      <c r="G95" s="581">
        <f>SUM(E85:E95)-SUM(F85:F95)</f>
        <v>0</v>
      </c>
      <c r="I95" s="186"/>
      <c r="J95" s="186"/>
      <c r="K95" s="186"/>
      <c r="L95" s="186"/>
      <c r="M95" s="186"/>
      <c r="N95" s="186"/>
      <c r="O95" s="186"/>
      <c r="P95" s="186"/>
      <c r="Q95" s="187"/>
      <c r="R95" s="187"/>
      <c r="S95" s="187"/>
    </row>
    <row r="96" spans="1:19" s="584" customFormat="1">
      <c r="A96" s="583"/>
      <c r="B96" s="263"/>
      <c r="C96" s="151"/>
      <c r="D96" s="61"/>
      <c r="E96" s="234"/>
      <c r="F96" s="186"/>
      <c r="G96" s="186"/>
      <c r="I96" s="186"/>
      <c r="J96" s="233"/>
      <c r="K96" s="186"/>
      <c r="L96" s="186"/>
      <c r="M96" s="186"/>
      <c r="N96" s="186"/>
      <c r="O96" s="186"/>
      <c r="P96" s="186"/>
      <c r="Q96" s="187"/>
      <c r="R96" s="187"/>
      <c r="S96" s="187"/>
    </row>
    <row r="97" spans="1:19" s="584" customFormat="1">
      <c r="A97" s="587" t="s">
        <v>15146</v>
      </c>
      <c r="B97" s="578">
        <v>2194</v>
      </c>
      <c r="C97" s="61" t="s">
        <v>1216</v>
      </c>
      <c r="D97" s="245" t="s">
        <v>15147</v>
      </c>
      <c r="E97" s="589">
        <f>F99-E98</f>
        <v>10401</v>
      </c>
      <c r="F97" s="232"/>
      <c r="G97" s="186"/>
      <c r="I97" s="186"/>
      <c r="J97" s="186"/>
      <c r="K97" s="186"/>
      <c r="L97" s="186"/>
      <c r="M97" s="186"/>
      <c r="N97" s="186"/>
      <c r="O97" s="186"/>
      <c r="P97" s="186"/>
      <c r="Q97" s="187"/>
      <c r="R97" s="187"/>
      <c r="S97" s="187"/>
    </row>
    <row r="98" spans="1:19" s="584" customFormat="1">
      <c r="A98" s="587" t="s">
        <v>15146</v>
      </c>
      <c r="B98" s="579">
        <v>1194</v>
      </c>
      <c r="C98" s="300" t="s">
        <v>3798</v>
      </c>
      <c r="D98" s="245" t="s">
        <v>15148</v>
      </c>
      <c r="E98" s="232">
        <v>0</v>
      </c>
      <c r="F98" s="232"/>
      <c r="G98" s="186"/>
      <c r="I98" s="186"/>
      <c r="J98" s="186"/>
      <c r="K98" s="186"/>
      <c r="L98" s="186"/>
      <c r="M98" s="186"/>
      <c r="N98" s="186"/>
      <c r="O98" s="186"/>
      <c r="P98" s="186"/>
      <c r="Q98" s="187"/>
      <c r="R98" s="187"/>
      <c r="S98" s="187"/>
    </row>
    <row r="99" spans="1:19" s="584" customFormat="1">
      <c r="A99" s="587" t="s">
        <v>15146</v>
      </c>
      <c r="B99" s="579">
        <v>1194</v>
      </c>
      <c r="C99" s="61" t="s">
        <v>596</v>
      </c>
      <c r="D99" s="245" t="s">
        <v>15144</v>
      </c>
      <c r="E99" s="236"/>
      <c r="F99" s="232">
        <v>10401</v>
      </c>
      <c r="G99" s="186"/>
      <c r="I99" s="186"/>
      <c r="J99" s="186"/>
      <c r="K99" s="186"/>
      <c r="L99" s="186"/>
      <c r="M99" s="186"/>
      <c r="N99" s="186"/>
      <c r="O99" s="186"/>
      <c r="P99" s="186"/>
      <c r="Q99" s="187"/>
      <c r="R99" s="187"/>
      <c r="S99" s="187"/>
    </row>
    <row r="100" spans="1:19" s="584" customFormat="1">
      <c r="A100" s="587" t="s">
        <v>15146</v>
      </c>
      <c r="B100" s="577">
        <v>2194</v>
      </c>
      <c r="C100" s="300" t="s">
        <v>1216</v>
      </c>
      <c r="D100" s="300" t="s">
        <v>15255</v>
      </c>
      <c r="E100" s="589">
        <f>SUM(F101:F102)</f>
        <v>111368</v>
      </c>
      <c r="F100" s="187"/>
      <c r="G100" s="186"/>
      <c r="I100" s="186"/>
      <c r="J100" s="186"/>
      <c r="K100" s="186"/>
      <c r="L100" s="186"/>
      <c r="M100" s="186"/>
      <c r="N100" s="186"/>
      <c r="O100" s="186"/>
      <c r="P100" s="186"/>
      <c r="Q100" s="187"/>
      <c r="R100" s="187"/>
      <c r="S100" s="187"/>
    </row>
    <row r="101" spans="1:19" s="584" customFormat="1">
      <c r="A101" s="587" t="s">
        <v>15146</v>
      </c>
      <c r="B101" s="578">
        <v>1112</v>
      </c>
      <c r="C101" s="61" t="s">
        <v>251</v>
      </c>
      <c r="D101" s="300" t="s">
        <v>15175</v>
      </c>
      <c r="E101" s="229"/>
      <c r="F101" s="236">
        <v>111368</v>
      </c>
      <c r="G101" s="186"/>
      <c r="I101" s="186"/>
      <c r="J101" s="186"/>
      <c r="K101" s="186"/>
      <c r="L101" s="186"/>
      <c r="M101" s="186"/>
      <c r="N101" s="186"/>
      <c r="O101" s="186"/>
      <c r="P101" s="186"/>
      <c r="Q101" s="187"/>
      <c r="R101" s="187"/>
      <c r="S101" s="187"/>
    </row>
    <row r="102" spans="1:19" s="584" customFormat="1">
      <c r="A102" s="587" t="s">
        <v>15146</v>
      </c>
      <c r="B102" s="578">
        <v>1112</v>
      </c>
      <c r="C102" s="300" t="s">
        <v>249</v>
      </c>
      <c r="D102" s="300" t="s">
        <v>15149</v>
      </c>
      <c r="E102" s="237"/>
      <c r="F102" s="233"/>
      <c r="G102" s="581">
        <f>SUM(E97:E102)-SUM(F97:F102)</f>
        <v>0</v>
      </c>
      <c r="I102" s="186"/>
      <c r="J102" s="186"/>
      <c r="K102" s="186"/>
      <c r="L102" s="186"/>
      <c r="M102" s="186"/>
      <c r="N102" s="186"/>
      <c r="O102" s="186"/>
      <c r="P102" s="186"/>
      <c r="Q102" s="187"/>
      <c r="R102" s="187"/>
      <c r="S102" s="187"/>
    </row>
    <row r="103" spans="1:19" s="584" customFormat="1">
      <c r="A103" s="583"/>
      <c r="B103" s="263"/>
      <c r="C103" s="151"/>
      <c r="D103" s="61"/>
      <c r="E103" s="234"/>
      <c r="F103" s="186"/>
      <c r="G103" s="186"/>
      <c r="I103" s="186"/>
      <c r="J103" s="186"/>
      <c r="K103" s="186"/>
      <c r="L103" s="186"/>
      <c r="M103" s="186"/>
      <c r="N103" s="186"/>
      <c r="O103" s="186"/>
      <c r="P103" s="186"/>
      <c r="Q103" s="187"/>
      <c r="R103" s="187"/>
      <c r="S103" s="187"/>
    </row>
    <row r="104" spans="1:19" s="584" customFormat="1">
      <c r="A104" s="587" t="s">
        <v>15150</v>
      </c>
      <c r="B104" s="579">
        <v>5201</v>
      </c>
      <c r="C104" s="134" t="s">
        <v>1219</v>
      </c>
      <c r="D104" s="134" t="s">
        <v>15151</v>
      </c>
      <c r="E104" s="236">
        <v>135529</v>
      </c>
      <c r="F104" s="236"/>
      <c r="G104" s="186"/>
      <c r="I104" s="186"/>
      <c r="J104" s="186"/>
      <c r="K104" s="186"/>
      <c r="L104" s="186"/>
      <c r="M104" s="186"/>
      <c r="N104" s="186"/>
      <c r="O104" s="186"/>
      <c r="P104" s="186"/>
      <c r="Q104" s="187"/>
      <c r="R104" s="187"/>
      <c r="S104" s="187"/>
    </row>
    <row r="105" spans="1:19" s="584" customFormat="1">
      <c r="A105" s="587" t="s">
        <v>15150</v>
      </c>
      <c r="B105" s="579">
        <v>1194</v>
      </c>
      <c r="C105" s="61" t="s">
        <v>3798</v>
      </c>
      <c r="D105" s="134" t="s">
        <v>15151</v>
      </c>
      <c r="E105" s="236">
        <v>6776</v>
      </c>
      <c r="F105" s="239"/>
      <c r="G105" s="186"/>
      <c r="I105" s="186"/>
      <c r="J105" s="186"/>
      <c r="K105" s="186"/>
      <c r="L105" s="186"/>
      <c r="M105" s="186"/>
      <c r="N105" s="186"/>
      <c r="O105" s="186"/>
      <c r="P105" s="186"/>
      <c r="Q105" s="187"/>
      <c r="R105" s="187"/>
      <c r="S105" s="187"/>
    </row>
    <row r="106" spans="1:19" s="584" customFormat="1">
      <c r="A106" s="812" t="s">
        <v>15150</v>
      </c>
      <c r="B106" s="816">
        <v>6209</v>
      </c>
      <c r="C106" s="299" t="s">
        <v>597</v>
      </c>
      <c r="D106" s="807" t="s">
        <v>15237</v>
      </c>
      <c r="E106" s="309">
        <v>3048</v>
      </c>
      <c r="F106" s="237"/>
      <c r="G106" s="186"/>
      <c r="I106" s="186"/>
      <c r="J106" s="186"/>
      <c r="K106" s="186"/>
      <c r="L106" s="186"/>
      <c r="M106" s="186"/>
      <c r="N106" s="186"/>
      <c r="O106" s="186"/>
      <c r="P106" s="186"/>
      <c r="Q106" s="187"/>
      <c r="R106" s="187"/>
      <c r="S106" s="187"/>
    </row>
    <row r="107" spans="1:19" s="584" customFormat="1">
      <c r="A107" s="812" t="s">
        <v>15150</v>
      </c>
      <c r="B107" s="579">
        <v>1194</v>
      </c>
      <c r="C107" s="61" t="s">
        <v>3798</v>
      </c>
      <c r="D107" s="807" t="s">
        <v>15237</v>
      </c>
      <c r="E107" s="236">
        <v>152</v>
      </c>
      <c r="F107" s="239"/>
      <c r="G107" s="771"/>
      <c r="I107" s="186"/>
      <c r="J107" s="186"/>
      <c r="K107" s="186"/>
      <c r="L107" s="186"/>
      <c r="M107" s="186"/>
      <c r="N107" s="186"/>
      <c r="O107" s="186"/>
      <c r="P107" s="186"/>
      <c r="Q107" s="187"/>
      <c r="R107" s="187"/>
      <c r="S107" s="187"/>
    </row>
    <row r="108" spans="1:19" s="584" customFormat="1">
      <c r="A108" s="587" t="s">
        <v>15150</v>
      </c>
      <c r="B108" s="579">
        <v>6209</v>
      </c>
      <c r="C108" s="220" t="s">
        <v>597</v>
      </c>
      <c r="D108" s="244" t="s">
        <v>15238</v>
      </c>
      <c r="E108" s="236">
        <v>5504</v>
      </c>
      <c r="F108" s="237"/>
      <c r="G108" s="186"/>
      <c r="I108" s="186"/>
      <c r="J108" s="186"/>
      <c r="K108" s="186"/>
      <c r="L108" s="186"/>
      <c r="M108" s="186"/>
      <c r="N108" s="186"/>
      <c r="O108" s="186"/>
      <c r="P108" s="186"/>
      <c r="Q108" s="187"/>
      <c r="R108" s="187"/>
      <c r="S108" s="187"/>
    </row>
    <row r="109" spans="1:19" s="584" customFormat="1">
      <c r="A109" s="812" t="s">
        <v>15150</v>
      </c>
      <c r="B109" s="579">
        <v>6215</v>
      </c>
      <c r="C109" s="61" t="s">
        <v>1220</v>
      </c>
      <c r="D109" s="807" t="s">
        <v>15250</v>
      </c>
      <c r="E109" s="309">
        <v>1898</v>
      </c>
      <c r="F109" s="237"/>
      <c r="G109" s="186"/>
      <c r="I109" s="186"/>
      <c r="J109" s="186"/>
      <c r="K109" s="186"/>
      <c r="L109" s="186"/>
      <c r="M109" s="186"/>
      <c r="N109" s="186"/>
      <c r="O109" s="186"/>
      <c r="P109" s="186"/>
      <c r="Q109" s="187"/>
      <c r="R109" s="187"/>
      <c r="S109" s="187"/>
    </row>
    <row r="110" spans="1:19" s="584" customFormat="1">
      <c r="A110" s="587" t="s">
        <v>15150</v>
      </c>
      <c r="B110" s="579">
        <v>6207</v>
      </c>
      <c r="C110" s="61" t="s">
        <v>1215</v>
      </c>
      <c r="D110" s="244" t="s">
        <v>15239</v>
      </c>
      <c r="E110" s="236">
        <v>2000</v>
      </c>
      <c r="F110" s="233"/>
      <c r="G110" s="186"/>
      <c r="I110" s="186"/>
      <c r="J110" s="186"/>
      <c r="K110" s="186"/>
      <c r="L110" s="186"/>
      <c r="M110" s="186"/>
      <c r="N110" s="186"/>
      <c r="O110" s="186"/>
      <c r="P110" s="186"/>
      <c r="Q110" s="187"/>
      <c r="R110" s="187"/>
      <c r="S110" s="187"/>
    </row>
    <row r="111" spans="1:19" s="584" customFormat="1">
      <c r="A111" s="587" t="s">
        <v>15150</v>
      </c>
      <c r="B111" s="578">
        <v>2123</v>
      </c>
      <c r="C111" s="166" t="s">
        <v>4455</v>
      </c>
      <c r="D111" s="244" t="s">
        <v>15167</v>
      </c>
      <c r="E111" s="239">
        <v>13490</v>
      </c>
      <c r="F111" s="239"/>
      <c r="G111" s="186"/>
      <c r="I111" s="186"/>
      <c r="J111" s="186"/>
      <c r="K111" s="186"/>
      <c r="L111" s="186"/>
      <c r="M111" s="186"/>
      <c r="N111" s="186"/>
      <c r="O111" s="186"/>
      <c r="P111" s="186"/>
      <c r="Q111" s="187"/>
      <c r="R111" s="187"/>
      <c r="S111" s="187"/>
    </row>
    <row r="112" spans="1:19" s="584" customFormat="1">
      <c r="A112" s="812" t="s">
        <v>15150</v>
      </c>
      <c r="B112" s="579">
        <v>2192</v>
      </c>
      <c r="C112" s="299" t="s">
        <v>10137</v>
      </c>
      <c r="D112" s="244" t="s">
        <v>10138</v>
      </c>
      <c r="E112" s="309">
        <v>0</v>
      </c>
      <c r="F112" s="186"/>
      <c r="G112" s="186"/>
      <c r="I112" s="186"/>
      <c r="J112" s="186"/>
      <c r="K112" s="186"/>
      <c r="L112" s="186"/>
      <c r="M112" s="186"/>
      <c r="N112" s="186"/>
      <c r="O112" s="186"/>
      <c r="P112" s="186"/>
      <c r="Q112" s="187"/>
      <c r="R112" s="187"/>
      <c r="S112" s="187"/>
    </row>
    <row r="113" spans="1:19" s="584" customFormat="1">
      <c r="A113" s="587" t="s">
        <v>15150</v>
      </c>
      <c r="B113" s="578">
        <v>2123</v>
      </c>
      <c r="C113" s="61" t="s">
        <v>595</v>
      </c>
      <c r="D113" s="244" t="s">
        <v>15152</v>
      </c>
      <c r="E113" s="229"/>
      <c r="F113" s="239">
        <v>32760</v>
      </c>
      <c r="G113" s="186"/>
      <c r="I113" s="186"/>
      <c r="J113" s="186"/>
      <c r="K113" s="186"/>
      <c r="L113" s="186"/>
      <c r="M113" s="186"/>
      <c r="N113" s="186"/>
      <c r="O113" s="186"/>
      <c r="P113" s="186"/>
      <c r="Q113" s="187"/>
      <c r="R113" s="187"/>
      <c r="S113" s="187"/>
    </row>
    <row r="114" spans="1:19" s="584" customFormat="1">
      <c r="A114" s="587" t="s">
        <v>15150</v>
      </c>
      <c r="B114" s="577">
        <v>1112</v>
      </c>
      <c r="C114" s="61" t="s">
        <v>251</v>
      </c>
      <c r="D114" s="244" t="s">
        <v>15256</v>
      </c>
      <c r="E114" s="236"/>
      <c r="F114" s="233">
        <v>131547</v>
      </c>
      <c r="G114" s="186"/>
      <c r="I114" s="186"/>
      <c r="J114" s="186"/>
      <c r="K114" s="186"/>
      <c r="L114" s="186"/>
      <c r="M114" s="186"/>
      <c r="N114" s="186"/>
      <c r="O114" s="186"/>
      <c r="P114" s="186"/>
      <c r="Q114" s="187"/>
      <c r="R114" s="187"/>
      <c r="S114" s="187"/>
    </row>
    <row r="115" spans="1:19" s="584" customFormat="1">
      <c r="A115" s="812" t="s">
        <v>15150</v>
      </c>
      <c r="B115" s="577">
        <v>1112</v>
      </c>
      <c r="C115" s="300" t="s">
        <v>251</v>
      </c>
      <c r="D115" s="807" t="s">
        <v>15257</v>
      </c>
      <c r="E115" s="309"/>
      <c r="F115" s="764">
        <v>4090</v>
      </c>
      <c r="G115" s="581">
        <f>SUM(E104:E115)-SUM(F104:F115)</f>
        <v>0</v>
      </c>
      <c r="I115" s="186"/>
      <c r="J115" s="186"/>
      <c r="K115" s="186"/>
      <c r="L115" s="186"/>
      <c r="M115" s="186"/>
      <c r="N115" s="186"/>
      <c r="O115" s="186"/>
      <c r="P115" s="186"/>
      <c r="Q115" s="187"/>
      <c r="R115" s="187"/>
      <c r="S115" s="187"/>
    </row>
    <row r="116" spans="1:19" s="584" customFormat="1">
      <c r="A116" s="583"/>
      <c r="B116" s="263"/>
      <c r="C116" s="151"/>
      <c r="D116" s="61"/>
      <c r="E116" s="234"/>
      <c r="F116" s="233"/>
      <c r="G116" s="186"/>
      <c r="I116" s="186"/>
      <c r="J116" s="186"/>
      <c r="K116" s="186"/>
      <c r="L116" s="186"/>
      <c r="M116" s="186"/>
      <c r="N116" s="186"/>
      <c r="O116" s="186"/>
      <c r="P116" s="186"/>
      <c r="Q116" s="187"/>
      <c r="R116" s="187"/>
      <c r="S116" s="187"/>
    </row>
    <row r="117" spans="1:19" s="584" customFormat="1">
      <c r="A117" s="587" t="s">
        <v>15153</v>
      </c>
      <c r="B117" s="578">
        <v>5901</v>
      </c>
      <c r="C117" s="592" t="s">
        <v>3895</v>
      </c>
      <c r="D117" s="166" t="s">
        <v>15251</v>
      </c>
      <c r="E117" s="108">
        <v>159005</v>
      </c>
      <c r="F117" s="106"/>
      <c r="G117" s="186"/>
      <c r="I117" s="186"/>
      <c r="J117" s="186"/>
      <c r="K117" s="186"/>
      <c r="L117" s="186"/>
      <c r="M117" s="186"/>
      <c r="N117" s="186"/>
      <c r="O117" s="186"/>
      <c r="P117" s="186"/>
      <c r="Q117" s="187"/>
      <c r="R117" s="187"/>
      <c r="S117" s="187"/>
    </row>
    <row r="118" spans="1:19" s="584" customFormat="1">
      <c r="A118" s="587" t="s">
        <v>15153</v>
      </c>
      <c r="B118" s="578">
        <v>1130</v>
      </c>
      <c r="C118" s="151" t="s">
        <v>3896</v>
      </c>
      <c r="D118" s="166" t="s">
        <v>15251</v>
      </c>
      <c r="E118" s="108"/>
      <c r="F118" s="595">
        <f>E117</f>
        <v>159005</v>
      </c>
      <c r="G118" s="186"/>
      <c r="I118" s="186"/>
      <c r="J118" s="186"/>
      <c r="K118" s="186"/>
      <c r="L118" s="186"/>
      <c r="M118" s="186"/>
      <c r="N118" s="186"/>
      <c r="O118" s="186"/>
      <c r="P118" s="186"/>
      <c r="Q118" s="187"/>
      <c r="R118" s="187"/>
      <c r="S118" s="187"/>
    </row>
    <row r="119" spans="1:19" s="584" customFormat="1">
      <c r="A119" s="587" t="s">
        <v>15153</v>
      </c>
      <c r="B119" s="578">
        <v>1130</v>
      </c>
      <c r="C119" s="593" t="s">
        <v>3889</v>
      </c>
      <c r="D119" s="6" t="s">
        <v>3890</v>
      </c>
      <c r="E119" s="15">
        <v>0</v>
      </c>
      <c r="F119" s="13"/>
      <c r="G119" s="15"/>
      <c r="I119" s="186"/>
      <c r="J119" s="186"/>
      <c r="K119" s="186"/>
      <c r="L119" s="186"/>
      <c r="M119" s="186"/>
      <c r="N119" s="186"/>
      <c r="O119" s="186"/>
      <c r="P119" s="186"/>
      <c r="Q119" s="187"/>
      <c r="R119" s="187"/>
      <c r="S119" s="187"/>
    </row>
    <row r="120" spans="1:19" s="584" customFormat="1">
      <c r="A120" s="587" t="s">
        <v>15153</v>
      </c>
      <c r="B120" s="578">
        <v>1130</v>
      </c>
      <c r="C120" s="593" t="s">
        <v>3891</v>
      </c>
      <c r="D120" s="166" t="s">
        <v>5683</v>
      </c>
      <c r="E120" s="197">
        <v>135529</v>
      </c>
      <c r="F120" s="16"/>
      <c r="G120" s="186"/>
      <c r="I120" s="186"/>
      <c r="J120" s="186"/>
      <c r="K120" s="186"/>
      <c r="L120" s="186"/>
      <c r="M120" s="186"/>
      <c r="N120" s="186"/>
      <c r="O120" s="186"/>
      <c r="P120" s="186"/>
      <c r="Q120" s="187"/>
      <c r="R120" s="187"/>
      <c r="S120" s="187"/>
    </row>
    <row r="121" spans="1:19" s="584" customFormat="1">
      <c r="A121" s="587" t="s">
        <v>15153</v>
      </c>
      <c r="B121" s="578">
        <v>1130</v>
      </c>
      <c r="C121" s="151" t="s">
        <v>3892</v>
      </c>
      <c r="D121" s="6" t="s">
        <v>3893</v>
      </c>
      <c r="E121" s="15"/>
      <c r="F121" s="141">
        <v>0</v>
      </c>
      <c r="G121" s="186"/>
      <c r="I121" s="186"/>
      <c r="J121" s="233"/>
      <c r="K121" s="186"/>
      <c r="L121" s="186"/>
      <c r="M121" s="186"/>
      <c r="N121" s="186"/>
      <c r="O121" s="186"/>
      <c r="P121" s="186"/>
      <c r="Q121" s="187"/>
      <c r="R121" s="187"/>
      <c r="S121" s="187"/>
    </row>
    <row r="122" spans="1:19" s="584" customFormat="1">
      <c r="A122" s="587" t="s">
        <v>15153</v>
      </c>
      <c r="B122" s="578">
        <v>5201</v>
      </c>
      <c r="C122" s="195" t="s">
        <v>4954</v>
      </c>
      <c r="D122" s="6" t="s">
        <v>3894</v>
      </c>
      <c r="E122" s="15"/>
      <c r="F122" s="596">
        <f>E119+E120-F121</f>
        <v>135529</v>
      </c>
      <c r="G122" s="581">
        <f>SUM(E117:E122)-SUM(F117:F122)</f>
        <v>0</v>
      </c>
      <c r="I122" s="186"/>
      <c r="J122" s="186"/>
      <c r="K122" s="186"/>
      <c r="L122" s="186"/>
      <c r="M122" s="186"/>
      <c r="N122" s="186"/>
      <c r="O122" s="186"/>
      <c r="P122" s="186"/>
      <c r="Q122" s="187"/>
      <c r="R122" s="187"/>
      <c r="S122" s="187"/>
    </row>
    <row r="123" spans="1:19" s="584" customFormat="1">
      <c r="A123" s="583"/>
      <c r="B123" s="578"/>
      <c r="C123" s="231"/>
      <c r="D123" s="220"/>
      <c r="E123" s="236"/>
      <c r="F123" s="236"/>
      <c r="G123" s="186"/>
      <c r="I123" s="186"/>
      <c r="J123" s="186"/>
      <c r="K123" s="186"/>
      <c r="L123" s="186"/>
      <c r="M123" s="186"/>
      <c r="N123" s="186"/>
      <c r="O123" s="186"/>
      <c r="P123" s="186"/>
      <c r="Q123" s="187"/>
      <c r="R123" s="187"/>
      <c r="S123" s="187"/>
    </row>
    <row r="124" spans="1:19" s="584" customFormat="1">
      <c r="A124" s="812" t="s">
        <v>15145</v>
      </c>
      <c r="B124" s="579">
        <v>2192</v>
      </c>
      <c r="C124" s="220" t="s">
        <v>18</v>
      </c>
      <c r="D124" t="s">
        <v>15177</v>
      </c>
      <c r="E124" s="236">
        <v>16800</v>
      </c>
      <c r="F124" s="237"/>
      <c r="G124" s="771"/>
      <c r="I124" s="186"/>
      <c r="J124" s="186"/>
      <c r="K124" s="186"/>
      <c r="L124" s="186"/>
      <c r="M124" s="186"/>
      <c r="N124" s="186"/>
      <c r="O124" s="186"/>
      <c r="P124" s="186"/>
      <c r="Q124" s="187"/>
      <c r="R124" s="187"/>
      <c r="S124" s="187"/>
    </row>
    <row r="125" spans="1:19" s="584" customFormat="1">
      <c r="A125" s="587" t="s">
        <v>15145</v>
      </c>
      <c r="B125" s="579">
        <v>2192</v>
      </c>
      <c r="C125" s="220" t="s">
        <v>18</v>
      </c>
      <c r="D125" t="s">
        <v>15178</v>
      </c>
      <c r="E125" s="236">
        <v>92120</v>
      </c>
      <c r="F125" s="237"/>
      <c r="G125" s="186"/>
      <c r="I125" s="186"/>
      <c r="J125" s="186"/>
      <c r="K125" s="186"/>
      <c r="L125" s="186"/>
      <c r="M125" s="186"/>
      <c r="N125" s="186"/>
      <c r="O125" s="186"/>
      <c r="P125" s="186"/>
      <c r="Q125" s="187"/>
      <c r="R125" s="187"/>
      <c r="S125" s="187"/>
    </row>
    <row r="126" spans="1:19" s="584" customFormat="1">
      <c r="A126" s="587" t="s">
        <v>15145</v>
      </c>
      <c r="B126" s="579">
        <v>2192</v>
      </c>
      <c r="C126" s="220" t="s">
        <v>18</v>
      </c>
      <c r="D126" t="s">
        <v>15179</v>
      </c>
      <c r="E126" s="236">
        <v>6600</v>
      </c>
      <c r="F126" s="237"/>
      <c r="G126" s="186"/>
      <c r="I126" s="186"/>
      <c r="J126" s="186"/>
      <c r="K126" s="186"/>
      <c r="L126" s="186"/>
      <c r="M126" s="186"/>
      <c r="N126" s="186"/>
      <c r="O126" s="186"/>
      <c r="P126" s="186"/>
      <c r="Q126" s="187"/>
      <c r="R126" s="187"/>
      <c r="S126" s="187"/>
    </row>
    <row r="127" spans="1:19" s="584" customFormat="1">
      <c r="A127" s="587" t="s">
        <v>15145</v>
      </c>
      <c r="B127" s="579">
        <v>2192</v>
      </c>
      <c r="C127" s="220" t="s">
        <v>18</v>
      </c>
      <c r="D127" t="s">
        <v>15180</v>
      </c>
      <c r="E127" s="236">
        <v>37990</v>
      </c>
      <c r="F127" s="237"/>
      <c r="G127" s="186"/>
      <c r="I127" s="186"/>
      <c r="J127" s="186"/>
      <c r="K127" s="186"/>
      <c r="L127" s="186"/>
      <c r="M127" s="186"/>
      <c r="N127" s="186"/>
      <c r="O127" s="186"/>
      <c r="P127" s="186"/>
      <c r="Q127" s="187"/>
      <c r="R127" s="187"/>
      <c r="S127" s="187"/>
    </row>
    <row r="128" spans="1:19" s="584" customFormat="1">
      <c r="A128" s="587" t="s">
        <v>15145</v>
      </c>
      <c r="B128" s="579">
        <v>2192</v>
      </c>
      <c r="C128" s="220" t="s">
        <v>18</v>
      </c>
      <c r="D128" t="s">
        <v>15181</v>
      </c>
      <c r="E128" s="236">
        <v>20000</v>
      </c>
      <c r="F128" s="237"/>
      <c r="G128" s="186"/>
      <c r="I128" s="186"/>
      <c r="J128" s="186"/>
      <c r="K128" s="186"/>
      <c r="L128" s="186"/>
      <c r="M128" s="186"/>
      <c r="N128" s="186"/>
      <c r="O128" s="186"/>
      <c r="P128" s="186"/>
      <c r="Q128" s="187"/>
      <c r="R128" s="187"/>
      <c r="S128" s="187"/>
    </row>
    <row r="129" spans="1:19" s="584" customFormat="1">
      <c r="A129" s="587" t="s">
        <v>15145</v>
      </c>
      <c r="B129" s="579">
        <v>2192</v>
      </c>
      <c r="C129" s="220" t="s">
        <v>18</v>
      </c>
      <c r="D129" t="s">
        <v>15182</v>
      </c>
      <c r="E129" s="236">
        <v>12000</v>
      </c>
      <c r="F129" s="237"/>
      <c r="G129" s="186"/>
      <c r="I129" s="186"/>
      <c r="J129" s="186"/>
      <c r="K129" s="186"/>
      <c r="L129" s="186"/>
      <c r="M129" s="186"/>
      <c r="N129" s="186"/>
      <c r="O129" s="186"/>
      <c r="P129" s="186"/>
      <c r="Q129" s="187"/>
      <c r="R129" s="187"/>
      <c r="S129" s="187"/>
    </row>
    <row r="130" spans="1:19" s="584" customFormat="1">
      <c r="A130" s="587" t="s">
        <v>15145</v>
      </c>
      <c r="B130" s="579">
        <v>2192</v>
      </c>
      <c r="C130" s="220" t="s">
        <v>18</v>
      </c>
      <c r="D130" t="s">
        <v>15183</v>
      </c>
      <c r="E130" s="236">
        <v>130010</v>
      </c>
      <c r="F130" s="237"/>
      <c r="G130" s="186"/>
      <c r="I130" s="186"/>
      <c r="J130" s="186"/>
      <c r="K130" s="186"/>
      <c r="L130" s="186"/>
      <c r="M130" s="186"/>
      <c r="N130" s="186"/>
      <c r="O130" s="186"/>
      <c r="P130" s="186"/>
      <c r="Q130" s="187"/>
      <c r="R130" s="187"/>
      <c r="S130" s="187"/>
    </row>
    <row r="131" spans="1:19" s="584" customFormat="1">
      <c r="A131" s="587" t="s">
        <v>15145</v>
      </c>
      <c r="B131" s="579">
        <v>2192</v>
      </c>
      <c r="C131" s="220" t="s">
        <v>18</v>
      </c>
      <c r="D131" t="s">
        <v>15184</v>
      </c>
      <c r="E131" s="236">
        <v>150010</v>
      </c>
      <c r="F131" s="237"/>
      <c r="G131" s="186"/>
      <c r="I131" s="186"/>
      <c r="J131" s="186"/>
      <c r="K131" s="186"/>
      <c r="L131" s="186"/>
      <c r="M131" s="186"/>
      <c r="N131" s="186"/>
      <c r="O131" s="186"/>
      <c r="P131" s="186"/>
      <c r="Q131" s="187"/>
      <c r="R131" s="187"/>
      <c r="S131" s="187"/>
    </row>
    <row r="132" spans="1:19" s="584" customFormat="1">
      <c r="A132" s="587" t="s">
        <v>15145</v>
      </c>
      <c r="B132" s="579">
        <v>2192</v>
      </c>
      <c r="C132" s="220" t="s">
        <v>18</v>
      </c>
      <c r="D132" t="s">
        <v>15185</v>
      </c>
      <c r="E132" s="236">
        <v>4010</v>
      </c>
      <c r="F132" s="237"/>
      <c r="G132" s="186"/>
      <c r="I132" s="186"/>
      <c r="J132" s="186"/>
      <c r="K132" s="186"/>
      <c r="L132" s="186"/>
      <c r="M132" s="186"/>
      <c r="N132" s="186"/>
      <c r="O132" s="186"/>
      <c r="P132" s="186"/>
      <c r="Q132" s="187"/>
      <c r="R132" s="187"/>
      <c r="S132" s="187"/>
    </row>
    <row r="133" spans="1:19" s="584" customFormat="1">
      <c r="A133" s="587" t="s">
        <v>15145</v>
      </c>
      <c r="B133" s="579">
        <v>2192</v>
      </c>
      <c r="C133" s="220" t="s">
        <v>18</v>
      </c>
      <c r="D133" t="s">
        <v>15186</v>
      </c>
      <c r="E133" s="236">
        <v>7004</v>
      </c>
      <c r="F133" s="237"/>
      <c r="G133" s="186"/>
      <c r="I133" s="186"/>
      <c r="J133" s="186"/>
      <c r="K133" s="186"/>
      <c r="L133" s="186"/>
      <c r="M133" s="186"/>
      <c r="N133" s="186"/>
      <c r="O133" s="186"/>
      <c r="P133" s="186"/>
      <c r="Q133" s="187"/>
      <c r="R133" s="187"/>
      <c r="S133" s="187"/>
    </row>
    <row r="134" spans="1:19" s="584" customFormat="1">
      <c r="A134" s="587" t="s">
        <v>15145</v>
      </c>
      <c r="B134" s="579">
        <v>2192</v>
      </c>
      <c r="C134" s="220" t="s">
        <v>18</v>
      </c>
      <c r="D134" t="s">
        <v>15187</v>
      </c>
      <c r="E134" s="236">
        <v>7510</v>
      </c>
      <c r="F134" s="237"/>
      <c r="G134" s="186"/>
      <c r="I134" s="186"/>
      <c r="J134" s="186"/>
      <c r="K134" s="186"/>
      <c r="L134" s="186"/>
      <c r="M134" s="186"/>
      <c r="N134" s="186"/>
      <c r="O134" s="186"/>
      <c r="P134" s="186"/>
      <c r="Q134" s="187"/>
      <c r="R134" s="187"/>
      <c r="S134" s="187"/>
    </row>
    <row r="135" spans="1:19" s="584" customFormat="1">
      <c r="A135" s="587" t="s">
        <v>15145</v>
      </c>
      <c r="B135" s="579">
        <v>2192</v>
      </c>
      <c r="C135" s="220" t="s">
        <v>18</v>
      </c>
      <c r="D135" t="s">
        <v>15188</v>
      </c>
      <c r="E135" s="236">
        <v>18171</v>
      </c>
      <c r="F135" s="237"/>
      <c r="G135" s="186"/>
      <c r="I135" s="186"/>
      <c r="J135" s="186"/>
      <c r="K135" s="186"/>
      <c r="L135" s="186"/>
      <c r="M135" s="186"/>
      <c r="N135" s="186"/>
      <c r="O135" s="186"/>
      <c r="P135" s="186"/>
      <c r="Q135" s="187"/>
      <c r="R135" s="187"/>
      <c r="S135" s="187"/>
    </row>
    <row r="136" spans="1:19" s="584" customFormat="1">
      <c r="A136" s="587" t="s">
        <v>15145</v>
      </c>
      <c r="B136" s="579">
        <v>2192</v>
      </c>
      <c r="C136" s="220" t="s">
        <v>18</v>
      </c>
      <c r="D136" t="s">
        <v>15189</v>
      </c>
      <c r="E136" s="236">
        <v>160000</v>
      </c>
      <c r="F136" s="237"/>
      <c r="G136" s="186"/>
      <c r="I136" s="186"/>
      <c r="J136" s="186"/>
      <c r="K136" s="186"/>
      <c r="L136" s="186"/>
      <c r="M136" s="186"/>
      <c r="N136" s="186"/>
      <c r="O136" s="186"/>
      <c r="P136" s="186"/>
      <c r="Q136" s="187"/>
      <c r="R136" s="187"/>
      <c r="S136" s="187"/>
    </row>
    <row r="137" spans="1:19" s="584" customFormat="1">
      <c r="A137" s="587" t="s">
        <v>15145</v>
      </c>
      <c r="B137" s="578">
        <v>1112</v>
      </c>
      <c r="C137" s="115" t="s">
        <v>4460</v>
      </c>
      <c r="D137" s="314" t="s">
        <v>5810</v>
      </c>
      <c r="E137" s="236"/>
      <c r="F137" s="596">
        <f>SUM(E124:E136)</f>
        <v>662225</v>
      </c>
      <c r="G137" s="771"/>
      <c r="I137" s="186"/>
      <c r="J137" s="186"/>
      <c r="K137" s="186"/>
      <c r="L137" s="186"/>
      <c r="M137" s="186"/>
      <c r="N137" s="186"/>
      <c r="O137" s="186"/>
      <c r="P137" s="186"/>
      <c r="Q137" s="187"/>
      <c r="R137" s="187"/>
      <c r="S137" s="187"/>
    </row>
    <row r="138" spans="1:19" s="584" customFormat="1">
      <c r="A138" s="587" t="s">
        <v>15145</v>
      </c>
      <c r="B138" s="579">
        <v>2192</v>
      </c>
      <c r="C138" s="220" t="s">
        <v>18</v>
      </c>
      <c r="D138" t="s">
        <v>15258</v>
      </c>
      <c r="E138" s="236">
        <v>1800</v>
      </c>
      <c r="F138" s="237"/>
      <c r="G138" s="186"/>
      <c r="I138" s="186"/>
      <c r="J138" s="186"/>
      <c r="K138" s="186"/>
      <c r="L138" s="186"/>
      <c r="M138" s="186"/>
      <c r="N138" s="186"/>
      <c r="O138" s="186"/>
      <c r="P138" s="186"/>
      <c r="Q138" s="187"/>
      <c r="R138" s="187"/>
      <c r="S138" s="187"/>
    </row>
    <row r="139" spans="1:19" s="584" customFormat="1">
      <c r="A139" s="812" t="s">
        <v>15143</v>
      </c>
      <c r="B139" s="579">
        <v>1111</v>
      </c>
      <c r="C139" s="61" t="s">
        <v>602</v>
      </c>
      <c r="D139" s="314" t="s">
        <v>15254</v>
      </c>
      <c r="E139" s="237"/>
      <c r="F139" s="589">
        <f>SUM(E138)</f>
        <v>1800</v>
      </c>
      <c r="G139" s="581">
        <f>SUM(E124:E139)-SUM(F124:F139)</f>
        <v>0</v>
      </c>
      <c r="I139" s="186"/>
      <c r="J139" s="186"/>
      <c r="K139" s="186"/>
      <c r="L139" s="186"/>
      <c r="M139" s="186"/>
      <c r="N139" s="186"/>
      <c r="O139" s="186"/>
      <c r="P139" s="186"/>
      <c r="Q139" s="187"/>
      <c r="R139" s="187"/>
      <c r="S139" s="187"/>
    </row>
    <row r="140" spans="1:19" s="584" customFormat="1">
      <c r="A140" s="583"/>
      <c r="B140" s="263"/>
      <c r="C140" s="151"/>
      <c r="D140" s="61"/>
      <c r="E140" s="234"/>
      <c r="F140" s="186"/>
      <c r="G140" s="186"/>
      <c r="I140" s="186"/>
      <c r="J140" s="186"/>
      <c r="K140" s="186"/>
      <c r="L140" s="186"/>
      <c r="M140" s="186"/>
      <c r="N140" s="186"/>
      <c r="O140" s="186"/>
      <c r="P140" s="186"/>
      <c r="Q140" s="187"/>
      <c r="R140" s="187"/>
      <c r="S140" s="187"/>
    </row>
    <row r="141" spans="1:19" s="584" customFormat="1">
      <c r="A141" s="587" t="s">
        <v>15154</v>
      </c>
      <c r="B141" s="578">
        <v>2123</v>
      </c>
      <c r="C141" s="220" t="s">
        <v>1214</v>
      </c>
      <c r="D141" s="244" t="s">
        <v>10178</v>
      </c>
      <c r="E141" s="236">
        <f>58000*12</f>
        <v>696000</v>
      </c>
      <c r="F141" s="232"/>
      <c r="G141" s="186"/>
      <c r="I141" s="186"/>
      <c r="J141" s="186"/>
      <c r="K141" s="186"/>
      <c r="L141" s="186"/>
      <c r="M141" s="186"/>
      <c r="N141" s="186"/>
      <c r="O141" s="186"/>
      <c r="P141" s="186"/>
      <c r="Q141" s="187"/>
      <c r="R141" s="187"/>
      <c r="S141" s="187"/>
    </row>
    <row r="142" spans="1:19" s="584" customFormat="1">
      <c r="A142" s="587" t="s">
        <v>15154</v>
      </c>
      <c r="B142" s="579">
        <v>2192</v>
      </c>
      <c r="C142" s="220" t="s">
        <v>599</v>
      </c>
      <c r="D142" s="244" t="s">
        <v>10178</v>
      </c>
      <c r="E142" s="236"/>
      <c r="F142" s="588">
        <f>E141</f>
        <v>696000</v>
      </c>
      <c r="G142" s="186"/>
      <c r="I142" s="186"/>
      <c r="J142" s="186"/>
      <c r="K142" s="186"/>
      <c r="L142" s="186"/>
      <c r="M142" s="186"/>
      <c r="N142" s="186"/>
      <c r="O142" s="186"/>
      <c r="P142" s="186"/>
      <c r="Q142" s="187"/>
      <c r="R142" s="187"/>
      <c r="S142" s="187"/>
    </row>
    <row r="143" spans="1:19" s="584" customFormat="1">
      <c r="A143" s="587" t="s">
        <v>15154</v>
      </c>
      <c r="B143" s="578">
        <v>2123</v>
      </c>
      <c r="C143" s="220" t="s">
        <v>1214</v>
      </c>
      <c r="D143" s="244" t="s">
        <v>10179</v>
      </c>
      <c r="E143" s="236">
        <f>2400*12*2</f>
        <v>57600</v>
      </c>
      <c r="F143" s="232"/>
      <c r="G143" s="186"/>
      <c r="I143" s="186"/>
      <c r="J143" s="186"/>
      <c r="K143" s="186"/>
      <c r="L143" s="186"/>
      <c r="M143" s="186"/>
      <c r="N143" s="186"/>
      <c r="O143" s="186"/>
      <c r="P143" s="186"/>
      <c r="Q143" s="187"/>
      <c r="R143" s="187"/>
      <c r="S143" s="187"/>
    </row>
    <row r="144" spans="1:19" s="584" customFormat="1">
      <c r="A144" s="587" t="s">
        <v>15154</v>
      </c>
      <c r="B144" s="579">
        <v>2192</v>
      </c>
      <c r="C144" s="220" t="s">
        <v>599</v>
      </c>
      <c r="D144" s="244" t="s">
        <v>10179</v>
      </c>
      <c r="E144" s="236"/>
      <c r="F144" s="588">
        <f>E143</f>
        <v>57600</v>
      </c>
      <c r="G144" s="186"/>
      <c r="I144" s="186"/>
      <c r="J144" s="186"/>
      <c r="K144" s="186"/>
      <c r="L144" s="186"/>
      <c r="M144" s="186"/>
      <c r="N144" s="186"/>
      <c r="O144" s="186"/>
      <c r="P144" s="186"/>
      <c r="Q144" s="187"/>
      <c r="R144" s="187"/>
      <c r="S144" s="187"/>
    </row>
    <row r="145" spans="1:19" s="584" customFormat="1">
      <c r="A145" s="587" t="s">
        <v>15168</v>
      </c>
      <c r="B145" s="579">
        <v>2192</v>
      </c>
      <c r="C145" s="115" t="s">
        <v>18</v>
      </c>
      <c r="D145" s="244" t="s">
        <v>15169</v>
      </c>
      <c r="E145" s="146">
        <v>132200</v>
      </c>
      <c r="F145" s="233"/>
      <c r="G145" s="186"/>
      <c r="I145" s="186"/>
      <c r="J145" s="186"/>
      <c r="K145" s="186"/>
      <c r="L145" s="186"/>
      <c r="M145" s="186"/>
      <c r="N145" s="186"/>
      <c r="O145" s="186"/>
      <c r="P145" s="186"/>
      <c r="Q145" s="187"/>
      <c r="R145" s="187"/>
      <c r="S145" s="187"/>
    </row>
    <row r="146" spans="1:19" s="584" customFormat="1">
      <c r="A146" s="587" t="s">
        <v>15168</v>
      </c>
      <c r="B146" s="578">
        <v>2123</v>
      </c>
      <c r="C146" s="115" t="s">
        <v>595</v>
      </c>
      <c r="D146" s="244" t="s">
        <v>15169</v>
      </c>
      <c r="E146" s="309"/>
      <c r="F146" s="594">
        <f>E145</f>
        <v>132200</v>
      </c>
      <c r="G146" s="186"/>
      <c r="I146" s="186"/>
      <c r="J146" s="186"/>
      <c r="K146" s="186"/>
      <c r="L146" s="186"/>
      <c r="M146" s="186"/>
      <c r="N146" s="186"/>
      <c r="O146" s="186"/>
      <c r="P146" s="186"/>
      <c r="Q146" s="187"/>
      <c r="R146" s="187"/>
      <c r="S146" s="187"/>
    </row>
    <row r="147" spans="1:19" s="584" customFormat="1">
      <c r="A147" s="587" t="s">
        <v>15170</v>
      </c>
      <c r="B147" s="578">
        <v>2123</v>
      </c>
      <c r="C147" s="115" t="s">
        <v>1214</v>
      </c>
      <c r="D147" s="244" t="s">
        <v>15155</v>
      </c>
      <c r="E147" s="236">
        <v>132200</v>
      </c>
      <c r="F147" s="232"/>
      <c r="G147" s="186"/>
      <c r="I147" s="186"/>
      <c r="J147" s="186"/>
      <c r="K147" s="186"/>
      <c r="L147" s="186"/>
      <c r="M147" s="186"/>
      <c r="N147" s="186"/>
      <c r="O147" s="186"/>
      <c r="P147" s="186"/>
      <c r="Q147" s="187"/>
      <c r="R147" s="187"/>
      <c r="S147" s="187"/>
    </row>
    <row r="148" spans="1:19" s="584" customFormat="1">
      <c r="A148" s="587" t="s">
        <v>15170</v>
      </c>
      <c r="B148" s="579">
        <v>2192</v>
      </c>
      <c r="C148" s="115" t="s">
        <v>599</v>
      </c>
      <c r="D148" s="244" t="s">
        <v>15155</v>
      </c>
      <c r="E148" s="236"/>
      <c r="F148" s="588">
        <f>E147</f>
        <v>132200</v>
      </c>
      <c r="G148" s="186"/>
      <c r="I148" s="186"/>
      <c r="J148" s="186"/>
      <c r="K148" s="186"/>
      <c r="L148" s="186"/>
      <c r="M148" s="186"/>
      <c r="N148" s="186"/>
      <c r="O148" s="186"/>
      <c r="P148" s="186"/>
      <c r="Q148" s="187"/>
      <c r="R148" s="187"/>
      <c r="S148" s="187"/>
    </row>
    <row r="149" spans="1:19" s="584" customFormat="1">
      <c r="A149" s="587" t="s">
        <v>15154</v>
      </c>
      <c r="B149" s="579">
        <v>2192</v>
      </c>
      <c r="C149" s="115" t="s">
        <v>18</v>
      </c>
      <c r="D149" s="244" t="s">
        <v>15156</v>
      </c>
      <c r="E149" s="146">
        <f>-'7薪'!C60</f>
        <v>200000</v>
      </c>
      <c r="F149" s="233"/>
      <c r="G149" s="186"/>
      <c r="I149" s="186"/>
      <c r="J149" s="186"/>
      <c r="K149" s="186"/>
      <c r="L149" s="186"/>
      <c r="M149" s="186"/>
      <c r="N149" s="186"/>
      <c r="O149" s="186"/>
      <c r="P149" s="186"/>
      <c r="Q149" s="187"/>
      <c r="R149" s="187"/>
      <c r="S149" s="187"/>
    </row>
    <row r="150" spans="1:19" s="584" customFormat="1">
      <c r="A150" s="587" t="s">
        <v>15154</v>
      </c>
      <c r="B150" s="578">
        <v>2123</v>
      </c>
      <c r="C150" s="115" t="s">
        <v>595</v>
      </c>
      <c r="D150" s="244" t="s">
        <v>15156</v>
      </c>
      <c r="E150" s="309"/>
      <c r="F150" s="594">
        <f>E149</f>
        <v>200000</v>
      </c>
      <c r="G150" s="186"/>
      <c r="I150" s="186"/>
      <c r="J150" s="186"/>
      <c r="K150" s="186"/>
      <c r="L150" s="186"/>
      <c r="M150" s="186"/>
      <c r="N150" s="186"/>
      <c r="O150" s="186"/>
      <c r="P150" s="186"/>
      <c r="Q150" s="187"/>
      <c r="R150" s="187"/>
      <c r="S150" s="187"/>
    </row>
    <row r="151" spans="1:19" s="584" customFormat="1">
      <c r="A151" s="587" t="s">
        <v>15154</v>
      </c>
      <c r="B151" s="578">
        <v>2123</v>
      </c>
      <c r="C151" s="299" t="s">
        <v>1214</v>
      </c>
      <c r="D151" s="244" t="s">
        <v>15157</v>
      </c>
      <c r="E151" s="236">
        <v>46576</v>
      </c>
      <c r="F151" s="232"/>
      <c r="G151" s="186"/>
      <c r="I151" s="186"/>
      <c r="J151" s="186"/>
      <c r="K151" s="186"/>
      <c r="L151" s="186"/>
      <c r="M151" s="186"/>
      <c r="N151" s="186"/>
      <c r="O151" s="186"/>
      <c r="P151" s="186"/>
      <c r="Q151" s="187"/>
      <c r="R151" s="187"/>
      <c r="S151" s="187"/>
    </row>
    <row r="152" spans="1:19" s="584" customFormat="1">
      <c r="A152" s="587" t="s">
        <v>15154</v>
      </c>
      <c r="B152" s="579">
        <v>2192</v>
      </c>
      <c r="C152" s="299" t="s">
        <v>599</v>
      </c>
      <c r="D152" s="244" t="s">
        <v>15157</v>
      </c>
      <c r="E152" s="236"/>
      <c r="F152" s="588">
        <f>E151</f>
        <v>46576</v>
      </c>
      <c r="G152" s="581">
        <f>SUM(E141:E152)-SUM(F141:F152)</f>
        <v>0</v>
      </c>
      <c r="I152" s="186"/>
      <c r="J152" s="186"/>
      <c r="K152" s="186"/>
      <c r="L152" s="186"/>
      <c r="M152" s="186"/>
      <c r="N152" s="186"/>
      <c r="O152" s="186"/>
      <c r="P152" s="186"/>
      <c r="Q152" s="187"/>
      <c r="R152" s="187"/>
      <c r="S152" s="187"/>
    </row>
    <row r="153" spans="1:19" s="584" customFormat="1">
      <c r="A153" s="587"/>
      <c r="B153" s="263"/>
      <c r="C153" s="151"/>
      <c r="D153" s="61"/>
      <c r="E153" s="234"/>
      <c r="F153" s="186"/>
      <c r="G153" s="186"/>
      <c r="I153" s="186"/>
      <c r="J153" s="186"/>
      <c r="K153" s="186"/>
      <c r="L153" s="186"/>
      <c r="M153" s="186"/>
      <c r="N153" s="186"/>
      <c r="O153" s="186"/>
      <c r="P153" s="186"/>
      <c r="Q153" s="187"/>
      <c r="R153" s="187"/>
      <c r="S153" s="187"/>
    </row>
    <row r="154" spans="1:19">
      <c r="A154" s="587" t="s">
        <v>15158</v>
      </c>
      <c r="B154" s="576">
        <v>4201</v>
      </c>
      <c r="C154" s="259" t="s">
        <v>1309</v>
      </c>
      <c r="D154" s="244" t="s">
        <v>15171</v>
      </c>
      <c r="E154" s="237">
        <v>430000</v>
      </c>
      <c r="F154" s="233"/>
    </row>
    <row r="155" spans="1:19">
      <c r="A155" s="587" t="s">
        <v>15158</v>
      </c>
      <c r="B155" s="579">
        <v>2192</v>
      </c>
      <c r="C155" s="115" t="s">
        <v>599</v>
      </c>
      <c r="D155" s="244" t="s">
        <v>15171</v>
      </c>
      <c r="E155" s="309"/>
      <c r="F155" s="594">
        <f>E154</f>
        <v>430000</v>
      </c>
      <c r="J155" s="233"/>
    </row>
    <row r="156" spans="1:19">
      <c r="A156" s="587" t="s">
        <v>15158</v>
      </c>
      <c r="B156" s="579">
        <v>2192</v>
      </c>
      <c r="C156" s="115" t="s">
        <v>18</v>
      </c>
      <c r="D156" s="244" t="s">
        <v>15159</v>
      </c>
      <c r="E156" s="146">
        <v>465000</v>
      </c>
      <c r="F156" s="233"/>
    </row>
    <row r="157" spans="1:19">
      <c r="A157" s="587" t="s">
        <v>15158</v>
      </c>
      <c r="B157" s="576">
        <v>4201</v>
      </c>
      <c r="C157" s="259" t="s">
        <v>337</v>
      </c>
      <c r="D157" s="244" t="s">
        <v>15159</v>
      </c>
      <c r="E157" s="309"/>
      <c r="F157" s="594">
        <f>E156</f>
        <v>465000</v>
      </c>
    </row>
    <row r="158" spans="1:19">
      <c r="A158" s="587" t="s">
        <v>15158</v>
      </c>
      <c r="B158" s="579">
        <v>2192</v>
      </c>
      <c r="C158" s="115" t="s">
        <v>18</v>
      </c>
      <c r="D158" s="244" t="s">
        <v>15213</v>
      </c>
      <c r="E158" s="146">
        <v>462735</v>
      </c>
      <c r="F158" s="233"/>
    </row>
    <row r="159" spans="1:19">
      <c r="A159" s="587" t="s">
        <v>15158</v>
      </c>
      <c r="B159" s="579">
        <v>2131</v>
      </c>
      <c r="C159" s="299" t="s">
        <v>5744</v>
      </c>
      <c r="D159" s="807" t="s">
        <v>15213</v>
      </c>
      <c r="E159" s="309"/>
      <c r="F159" s="594">
        <f>E158</f>
        <v>462735</v>
      </c>
    </row>
    <row r="160" spans="1:19">
      <c r="A160" s="587" t="s">
        <v>15158</v>
      </c>
      <c r="B160" s="579">
        <v>2131</v>
      </c>
      <c r="C160" s="299" t="s">
        <v>4887</v>
      </c>
      <c r="D160" s="244" t="s">
        <v>15214</v>
      </c>
      <c r="E160" s="237">
        <v>335790</v>
      </c>
      <c r="F160" s="233"/>
    </row>
    <row r="161" spans="1:19">
      <c r="A161" s="587" t="s">
        <v>15158</v>
      </c>
      <c r="B161" s="579">
        <v>2192</v>
      </c>
      <c r="C161" s="115" t="s">
        <v>599</v>
      </c>
      <c r="D161" s="244" t="s">
        <v>15214</v>
      </c>
      <c r="E161" s="309"/>
      <c r="F161" s="594">
        <f>E160</f>
        <v>335790</v>
      </c>
    </row>
    <row r="162" spans="1:19">
      <c r="A162" s="587" t="s">
        <v>15158</v>
      </c>
      <c r="B162" s="579">
        <v>2192</v>
      </c>
      <c r="C162" s="115" t="s">
        <v>18</v>
      </c>
      <c r="D162" s="244" t="s">
        <v>15260</v>
      </c>
      <c r="E162" s="146">
        <v>50813</v>
      </c>
      <c r="F162" s="233"/>
    </row>
    <row r="163" spans="1:19">
      <c r="A163" s="587" t="s">
        <v>15158</v>
      </c>
      <c r="B163" s="811">
        <v>1111</v>
      </c>
      <c r="C163" t="s">
        <v>15259</v>
      </c>
      <c r="D163" s="807" t="s">
        <v>15260</v>
      </c>
      <c r="E163" s="309"/>
      <c r="F163" s="594">
        <f>E162</f>
        <v>50813</v>
      </c>
    </row>
    <row r="164" spans="1:19">
      <c r="A164" s="812" t="s">
        <v>15158</v>
      </c>
      <c r="B164" s="579">
        <v>2192</v>
      </c>
      <c r="C164" s="799" t="s">
        <v>18</v>
      </c>
      <c r="D164" s="807" t="s">
        <v>15204</v>
      </c>
      <c r="E164" s="146">
        <v>660021</v>
      </c>
      <c r="F164" s="233"/>
      <c r="G164" s="771"/>
    </row>
    <row r="165" spans="1:19">
      <c r="A165" s="812" t="s">
        <v>15158</v>
      </c>
      <c r="B165" s="578">
        <v>1121</v>
      </c>
      <c r="C165" s="560" t="s">
        <v>243</v>
      </c>
      <c r="D165" s="807" t="s">
        <v>15204</v>
      </c>
      <c r="E165" s="309"/>
      <c r="F165" s="594">
        <f>E164</f>
        <v>660021</v>
      </c>
      <c r="G165" s="771"/>
    </row>
    <row r="166" spans="1:19" s="584" customFormat="1">
      <c r="A166" s="587" t="s">
        <v>15158</v>
      </c>
      <c r="B166" s="578">
        <v>1121</v>
      </c>
      <c r="C166" s="560" t="s">
        <v>2917</v>
      </c>
      <c r="D166" s="244" t="s">
        <v>15203</v>
      </c>
      <c r="E166" s="146">
        <v>936628</v>
      </c>
      <c r="F166" s="233"/>
      <c r="G166" s="186"/>
      <c r="I166" s="186"/>
      <c r="J166" s="186"/>
      <c r="K166" s="186"/>
      <c r="L166" s="186"/>
      <c r="M166" s="186"/>
      <c r="N166" s="186"/>
      <c r="O166" s="186"/>
      <c r="P166" s="186"/>
      <c r="Q166" s="187"/>
      <c r="R166" s="187"/>
      <c r="S166" s="187"/>
    </row>
    <row r="167" spans="1:19" s="584" customFormat="1">
      <c r="A167" s="587" t="s">
        <v>15158</v>
      </c>
      <c r="B167" s="579">
        <v>2192</v>
      </c>
      <c r="C167" s="115" t="s">
        <v>599</v>
      </c>
      <c r="D167" s="244" t="s">
        <v>15203</v>
      </c>
      <c r="E167" s="309"/>
      <c r="F167" s="594">
        <f>E166</f>
        <v>936628</v>
      </c>
      <c r="G167" s="581">
        <f>SUM(E154:E167)-SUM(F154:F167)</f>
        <v>0</v>
      </c>
      <c r="I167" s="186"/>
      <c r="J167" s="186"/>
      <c r="K167" s="186"/>
      <c r="L167" s="186"/>
      <c r="M167" s="186"/>
      <c r="N167" s="186"/>
      <c r="O167" s="186"/>
      <c r="P167" s="186"/>
      <c r="Q167" s="187"/>
      <c r="R167" s="187"/>
      <c r="S167" s="187"/>
    </row>
    <row r="168" spans="1:19" s="584" customFormat="1">
      <c r="A168" s="583"/>
      <c r="B168" s="230"/>
      <c r="C168" s="186"/>
      <c r="D168" s="61"/>
      <c r="E168" s="234"/>
      <c r="F168" s="186"/>
      <c r="G168" s="186"/>
      <c r="I168" s="186"/>
      <c r="J168" s="186"/>
      <c r="K168" s="186"/>
      <c r="L168" s="186"/>
      <c r="M168" s="186"/>
      <c r="N168" s="186"/>
      <c r="O168" s="186"/>
      <c r="P168" s="186"/>
      <c r="Q168" s="187"/>
      <c r="R168" s="187"/>
      <c r="S168" s="187"/>
    </row>
    <row r="169" spans="1:19" s="584" customFormat="1">
      <c r="A169" s="583"/>
      <c r="B169" s="230"/>
      <c r="C169" s="186"/>
      <c r="D169" s="61"/>
      <c r="E169" s="234"/>
      <c r="F169" s="186"/>
      <c r="G169" s="186"/>
      <c r="I169" s="186"/>
      <c r="J169" s="186"/>
      <c r="K169" s="186"/>
      <c r="L169" s="186"/>
      <c r="M169" s="186"/>
      <c r="N169" s="186"/>
      <c r="O169" s="186"/>
      <c r="P169" s="186"/>
      <c r="Q169" s="187"/>
      <c r="R169" s="187"/>
      <c r="S169" s="187"/>
    </row>
    <row r="170" spans="1:19" s="584" customFormat="1">
      <c r="A170" s="583"/>
      <c r="B170" s="230"/>
      <c r="C170" s="186"/>
      <c r="D170" s="61"/>
      <c r="E170" s="234"/>
      <c r="F170" s="186"/>
      <c r="G170" s="186"/>
      <c r="I170" s="186"/>
      <c r="J170" s="186"/>
      <c r="K170" s="186"/>
      <c r="L170" s="186"/>
      <c r="M170" s="186"/>
      <c r="N170" s="186"/>
      <c r="O170" s="186"/>
      <c r="P170" s="186"/>
      <c r="Q170" s="187"/>
      <c r="R170" s="187"/>
      <c r="S170" s="187"/>
    </row>
    <row r="171" spans="1:19" s="584" customFormat="1">
      <c r="A171" s="583"/>
      <c r="B171" s="230"/>
      <c r="C171" s="186"/>
      <c r="D171" s="61"/>
      <c r="E171" s="234"/>
      <c r="F171" s="186"/>
      <c r="G171" s="186"/>
      <c r="I171" s="186"/>
      <c r="J171" s="186"/>
      <c r="K171" s="186"/>
      <c r="L171" s="186"/>
      <c r="M171" s="186"/>
      <c r="N171" s="186"/>
      <c r="O171" s="186"/>
      <c r="P171" s="186"/>
      <c r="Q171" s="187"/>
      <c r="R171" s="187"/>
      <c r="S171" s="187"/>
    </row>
    <row r="172" spans="1:19" s="584" customFormat="1">
      <c r="A172" s="583"/>
      <c r="B172" s="230"/>
      <c r="C172" s="186"/>
      <c r="D172" s="61"/>
      <c r="E172" s="234"/>
      <c r="F172" s="186"/>
      <c r="G172" s="186"/>
      <c r="I172" s="186"/>
      <c r="J172" s="186"/>
      <c r="K172" s="186"/>
      <c r="L172" s="186"/>
      <c r="M172" s="186"/>
      <c r="N172" s="186"/>
      <c r="O172" s="186"/>
      <c r="P172" s="186"/>
      <c r="Q172" s="187"/>
      <c r="R172" s="187"/>
      <c r="S172" s="187"/>
    </row>
    <row r="173" spans="1:19" s="584" customFormat="1">
      <c r="A173" s="583"/>
      <c r="B173" s="230"/>
      <c r="C173" s="186"/>
      <c r="D173" s="61"/>
      <c r="E173" s="234"/>
      <c r="F173" s="186"/>
      <c r="G173" s="186"/>
      <c r="I173" s="186"/>
      <c r="J173" s="186"/>
      <c r="K173" s="186"/>
      <c r="L173" s="186"/>
      <c r="M173" s="186"/>
      <c r="N173" s="186"/>
      <c r="O173" s="186"/>
      <c r="P173" s="186"/>
      <c r="Q173" s="187"/>
      <c r="R173" s="187"/>
      <c r="S173" s="187"/>
    </row>
    <row r="174" spans="1:19" s="584" customFormat="1">
      <c r="A174" s="583"/>
      <c r="B174" s="230"/>
      <c r="C174" s="186"/>
      <c r="D174" s="61"/>
      <c r="E174" s="234"/>
      <c r="F174" s="186"/>
      <c r="G174" s="186"/>
      <c r="I174" s="186"/>
      <c r="J174" s="186"/>
      <c r="K174" s="186"/>
      <c r="L174" s="186"/>
      <c r="M174" s="186"/>
      <c r="N174" s="186"/>
      <c r="O174" s="186"/>
      <c r="P174" s="186"/>
      <c r="Q174" s="187"/>
      <c r="R174" s="187"/>
      <c r="S174" s="187"/>
    </row>
    <row r="175" spans="1:19" s="584" customFormat="1">
      <c r="A175" s="583"/>
      <c r="B175" s="230"/>
      <c r="C175" s="186"/>
      <c r="D175" s="61"/>
      <c r="E175" s="234"/>
      <c r="F175" s="186"/>
      <c r="G175" s="186"/>
      <c r="I175" s="186"/>
      <c r="J175" s="186"/>
      <c r="K175" s="186"/>
      <c r="L175" s="186"/>
      <c r="M175" s="186"/>
      <c r="N175" s="186"/>
      <c r="O175" s="186"/>
      <c r="P175" s="186"/>
      <c r="Q175" s="187"/>
      <c r="R175" s="187"/>
      <c r="S175" s="187"/>
    </row>
  </sheetData>
  <autoFilter ref="A1:S176"/>
  <mergeCells count="8">
    <mergeCell ref="M36:O36"/>
    <mergeCell ref="M42:O42"/>
    <mergeCell ref="I2:O2"/>
    <mergeCell ref="I11:K11"/>
    <mergeCell ref="M11:O11"/>
    <mergeCell ref="M20:O20"/>
    <mergeCell ref="M26:O26"/>
    <mergeCell ref="M32:O32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73"/>
  <sheetViews>
    <sheetView tabSelected="1" zoomScaleNormal="100" workbookViewId="0">
      <pane ySplit="1" topLeftCell="A50" activePane="bottomLeft" state="frozen"/>
      <selection pane="bottomLeft" activeCell="P10" sqref="P10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771" customWidth="1"/>
    <col min="4" max="4" width="26" style="61" customWidth="1"/>
    <col min="5" max="5" width="14.875" style="234" bestFit="1" customWidth="1"/>
    <col min="6" max="6" width="13.875" style="771" customWidth="1"/>
    <col min="7" max="7" width="9.125" style="771" bestFit="1" customWidth="1"/>
    <col min="8" max="8" width="1.5" style="584" customWidth="1"/>
    <col min="9" max="9" width="6.5" style="771" customWidth="1"/>
    <col min="10" max="10" width="16.125" style="771" bestFit="1" customWidth="1"/>
    <col min="11" max="11" width="11.25" style="771" customWidth="1"/>
    <col min="12" max="12" width="1.625" style="771" customWidth="1"/>
    <col min="13" max="13" width="5.5" style="771" bestFit="1" customWidth="1"/>
    <col min="14" max="14" width="15.75" style="771" customWidth="1"/>
    <col min="15" max="15" width="9.375" style="771" customWidth="1"/>
    <col min="16" max="16" width="9.125" style="771" bestFit="1" customWidth="1"/>
    <col min="17" max="19" width="9" style="187"/>
    <col min="20" max="16384" width="9" style="771"/>
  </cols>
  <sheetData>
    <row r="1" spans="1:16">
      <c r="A1" s="263" t="s">
        <v>4904</v>
      </c>
      <c r="B1" s="583" t="s">
        <v>2384</v>
      </c>
      <c r="C1" s="583" t="s">
        <v>4884</v>
      </c>
      <c r="D1" s="583" t="s">
        <v>474</v>
      </c>
      <c r="E1" s="586" t="s">
        <v>4886</v>
      </c>
      <c r="F1" s="583" t="s">
        <v>4885</v>
      </c>
      <c r="G1" s="230"/>
    </row>
    <row r="2" spans="1:16" s="187" customFormat="1">
      <c r="A2" s="812" t="s">
        <v>19119</v>
      </c>
      <c r="B2" s="811">
        <v>1111</v>
      </c>
      <c r="C2" t="s">
        <v>876</v>
      </c>
      <c r="D2" s="799" t="s">
        <v>19177</v>
      </c>
      <c r="E2" s="236">
        <f>余額!G2</f>
        <v>5075</v>
      </c>
      <c r="F2" s="229"/>
      <c r="H2" s="584"/>
      <c r="I2" s="940" t="s">
        <v>5785</v>
      </c>
      <c r="J2" s="940"/>
      <c r="K2" s="940"/>
      <c r="L2" s="940"/>
      <c r="M2" s="940"/>
      <c r="N2" s="940"/>
      <c r="O2" s="940"/>
      <c r="P2" s="803"/>
    </row>
    <row r="3" spans="1:16" s="187" customFormat="1">
      <c r="A3" s="812" t="s">
        <v>19119</v>
      </c>
      <c r="B3" s="811">
        <v>1112</v>
      </c>
      <c r="C3" s="61" t="s">
        <v>246</v>
      </c>
      <c r="D3" s="799" t="s">
        <v>19177</v>
      </c>
      <c r="E3" s="236">
        <f>余額!G6</f>
        <v>145906</v>
      </c>
      <c r="F3" s="236"/>
      <c r="H3" s="584"/>
      <c r="I3" s="811">
        <v>1111</v>
      </c>
      <c r="J3" t="s">
        <v>876</v>
      </c>
      <c r="K3" s="643">
        <f>(SUMIF($B$2:$B$203,I3,$E$2:$E$203)-SUMIF($B$2:$B$203,I3,$F$2:$F$203))</f>
        <v>2809</v>
      </c>
      <c r="M3" s="578">
        <v>2123</v>
      </c>
      <c r="N3" s="300" t="s">
        <v>1214</v>
      </c>
      <c r="O3" s="643">
        <f>-(SUMIF($B$2:$B$203,M3,$E$2:$E$203)-SUMIF($B$2:$B$203,M3,$F$2:$F$203))</f>
        <v>31906.003999999724</v>
      </c>
      <c r="P3" s="803"/>
    </row>
    <row r="4" spans="1:16" s="187" customFormat="1">
      <c r="A4" s="812" t="s">
        <v>19119</v>
      </c>
      <c r="B4" s="811">
        <v>1112</v>
      </c>
      <c r="C4" s="166" t="s">
        <v>247</v>
      </c>
      <c r="D4" s="799" t="s">
        <v>19177</v>
      </c>
      <c r="E4" s="236">
        <f>余額!G7</f>
        <v>13847</v>
      </c>
      <c r="F4" s="236"/>
      <c r="H4" s="584"/>
      <c r="I4" s="811">
        <v>1112</v>
      </c>
      <c r="J4" s="175" t="s">
        <v>4855</v>
      </c>
      <c r="K4" s="643">
        <f>(SUMIF($B$2:$B$203,I4,$E$2:$E$203)-SUMIF($B$2:$B$203,I4,$F$2:$F$203))</f>
        <v>241981</v>
      </c>
      <c r="M4" s="579">
        <v>2131</v>
      </c>
      <c r="N4" s="299" t="s">
        <v>4887</v>
      </c>
      <c r="O4" s="643">
        <f>-(SUMIF($B$2:$B$203,M4,$E$2:$E$203)-SUMIF($B$2:$B$203,M4,$F$2:$F$203))</f>
        <v>565110</v>
      </c>
      <c r="P4" s="803"/>
    </row>
    <row r="5" spans="1:16" s="187" customFormat="1">
      <c r="A5" s="812" t="s">
        <v>19119</v>
      </c>
      <c r="B5" s="811">
        <v>1112</v>
      </c>
      <c r="C5" s="175" t="s">
        <v>4958</v>
      </c>
      <c r="D5" s="799" t="s">
        <v>19177</v>
      </c>
      <c r="E5" s="236">
        <f>SUM(余額!G8:G10)</f>
        <v>2600</v>
      </c>
      <c r="F5" s="236"/>
      <c r="H5" s="584"/>
      <c r="I5" s="811">
        <v>1121</v>
      </c>
      <c r="J5" s="61" t="s">
        <v>2917</v>
      </c>
      <c r="K5" s="643">
        <f>(SUMIF($B$2:$B$203,I5,$E$2:$E$203)-SUMIF($B$2:$B$203,I5,$F$2:$F$203))</f>
        <v>1614030</v>
      </c>
      <c r="M5" s="647">
        <v>2192</v>
      </c>
      <c r="N5" s="314" t="s">
        <v>18</v>
      </c>
      <c r="O5" s="643">
        <f>-(SUMIF($B$2:$B$203,M5,$E$2:$E$203)-SUMIF($B$2:$B$203,M5,$F$2:$F$203))</f>
        <v>-184261.00399999996</v>
      </c>
    </row>
    <row r="6" spans="1:16">
      <c r="A6" s="812" t="s">
        <v>19119</v>
      </c>
      <c r="B6" s="811">
        <v>1121</v>
      </c>
      <c r="C6" s="61" t="s">
        <v>2917</v>
      </c>
      <c r="D6" s="799" t="s">
        <v>19177</v>
      </c>
      <c r="E6" s="236">
        <f>余額!G12</f>
        <v>2144743</v>
      </c>
      <c r="F6" s="236"/>
      <c r="G6" s="187"/>
      <c r="I6" s="577">
        <v>1123</v>
      </c>
      <c r="J6" s="311" t="s">
        <v>3638</v>
      </c>
      <c r="K6" s="643">
        <f>(SUMIF($B$2:$B$203,I6,$E$2:$E$203)-SUMIF($B$2:$B$203,I6,$F$2:$F$203))</f>
        <v>345105</v>
      </c>
      <c r="L6" s="187"/>
      <c r="M6" s="579">
        <v>2194</v>
      </c>
      <c r="N6" s="648" t="s">
        <v>1216</v>
      </c>
      <c r="O6" s="643">
        <f>-(SUMIF($B$2:$B$203,M6,$E$2:$E$203)-SUMIF($B$2:$B$203,M6,$F$2:$F$203))</f>
        <v>2142</v>
      </c>
      <c r="P6" s="187"/>
    </row>
    <row r="7" spans="1:16">
      <c r="A7" s="812" t="s">
        <v>19119</v>
      </c>
      <c r="B7" s="577">
        <v>1123</v>
      </c>
      <c r="C7" s="311" t="s">
        <v>3638</v>
      </c>
      <c r="D7" s="799" t="s">
        <v>19177</v>
      </c>
      <c r="E7" s="236">
        <f>余額!G19</f>
        <v>505575</v>
      </c>
      <c r="F7" s="803"/>
      <c r="G7" s="187"/>
      <c r="H7" s="585"/>
      <c r="I7" s="578">
        <v>1130</v>
      </c>
      <c r="J7" s="300" t="s">
        <v>3889</v>
      </c>
      <c r="K7" s="643">
        <f>(SUMIF($B$2:$B$203,I7,$E$2:$E$203)-SUMIF($B$2:$B$203,I7,$F$2:$F$203))</f>
        <v>721544</v>
      </c>
      <c r="L7" s="187"/>
      <c r="M7" s="579">
        <v>3110</v>
      </c>
      <c r="N7" s="648" t="s">
        <v>4857</v>
      </c>
      <c r="O7" s="643">
        <f>-(SUMIF($B$2:$B$203,M7,$E$2:$E$203)-SUMIF($B$2:$B$203,M7,$F$2:$F$203))</f>
        <v>5000000</v>
      </c>
    </row>
    <row r="8" spans="1:16">
      <c r="A8" s="812" t="s">
        <v>19119</v>
      </c>
      <c r="B8" s="578">
        <v>1130</v>
      </c>
      <c r="C8" s="300" t="s">
        <v>3889</v>
      </c>
      <c r="D8" s="799" t="s">
        <v>19177</v>
      </c>
      <c r="E8" s="236">
        <f>'8正'!K7</f>
        <v>694846</v>
      </c>
      <c r="F8" s="803"/>
      <c r="G8" s="233"/>
      <c r="H8" s="585"/>
      <c r="I8" s="578">
        <v>1194</v>
      </c>
      <c r="J8" s="300" t="s">
        <v>3798</v>
      </c>
      <c r="K8" s="643">
        <f>(SUMIF($B$2:$B$203,I8,$E$2:$E$203)-SUMIF($B$2:$B$203,I8,$F$2:$F$203))</f>
        <v>-7764</v>
      </c>
      <c r="L8" s="187"/>
      <c r="M8" s="579">
        <v>3432</v>
      </c>
      <c r="N8" s="648" t="s">
        <v>10184</v>
      </c>
      <c r="O8" s="643">
        <f>-(SUMIF($B$2:$B$203,M8,$E$2:$E$203)-SUMIF($B$2:$B$203,M8,$F$2:$F$203))</f>
        <v>-1580382</v>
      </c>
    </row>
    <row r="9" spans="1:16">
      <c r="A9" s="812" t="s">
        <v>19119</v>
      </c>
      <c r="B9" s="578">
        <v>1901</v>
      </c>
      <c r="C9" s="300" t="s">
        <v>4856</v>
      </c>
      <c r="D9" s="799" t="s">
        <v>19177</v>
      </c>
      <c r="E9" s="236">
        <f>余額!G29</f>
        <v>30000</v>
      </c>
      <c r="F9" s="803"/>
      <c r="G9" s="233"/>
      <c r="H9" s="585"/>
      <c r="I9" s="578">
        <v>1901</v>
      </c>
      <c r="J9" s="300" t="s">
        <v>4856</v>
      </c>
      <c r="K9" s="643">
        <f>(SUMIF($B$2:$B$203,I9,$E$2:$E$203)-SUMIF($B$2:$B$203,I9,$F$2:$F$203))</f>
        <v>30000</v>
      </c>
      <c r="L9" s="187"/>
      <c r="M9" s="336">
        <v>3440</v>
      </c>
      <c r="N9" s="648" t="s">
        <v>4861</v>
      </c>
      <c r="O9" s="643">
        <f>K34</f>
        <v>-15716</v>
      </c>
    </row>
    <row r="10" spans="1:16">
      <c r="A10" s="812" t="s">
        <v>19119</v>
      </c>
      <c r="B10" s="578">
        <v>2123</v>
      </c>
      <c r="C10" s="300" t="s">
        <v>595</v>
      </c>
      <c r="D10" s="799" t="s">
        <v>19177</v>
      </c>
      <c r="E10" s="236"/>
      <c r="F10" s="236">
        <f>余額!G32</f>
        <v>79910</v>
      </c>
      <c r="H10" s="585"/>
      <c r="I10" s="583">
        <v>1000</v>
      </c>
      <c r="J10" s="300" t="s">
        <v>5786</v>
      </c>
      <c r="K10" s="643">
        <f>SUM(K3:K9)</f>
        <v>2947705</v>
      </c>
      <c r="L10" s="187"/>
      <c r="M10" s="336">
        <v>9000</v>
      </c>
      <c r="N10" s="648" t="s">
        <v>5789</v>
      </c>
      <c r="O10" s="643">
        <f>SUM(O3:O9)</f>
        <v>3818799</v>
      </c>
      <c r="P10" s="581">
        <f>K10-O10</f>
        <v>-871094</v>
      </c>
    </row>
    <row r="11" spans="1:16">
      <c r="A11" s="812" t="s">
        <v>19119</v>
      </c>
      <c r="B11" s="578">
        <v>2194</v>
      </c>
      <c r="C11" s="311" t="s">
        <v>244</v>
      </c>
      <c r="D11" s="799" t="s">
        <v>19177</v>
      </c>
      <c r="E11" s="236"/>
      <c r="F11" s="236">
        <f>余額!G48</f>
        <v>43064</v>
      </c>
      <c r="I11" s="940" t="s">
        <v>5782</v>
      </c>
      <c r="J11" s="940"/>
      <c r="K11" s="940"/>
      <c r="M11" s="940" t="s">
        <v>5783</v>
      </c>
      <c r="N11" s="941"/>
      <c r="O11" s="941"/>
    </row>
    <row r="12" spans="1:16">
      <c r="A12" s="812" t="s">
        <v>19119</v>
      </c>
      <c r="B12" s="578">
        <v>3110</v>
      </c>
      <c r="C12" s="311" t="s">
        <v>4882</v>
      </c>
      <c r="D12" s="799" t="s">
        <v>19177</v>
      </c>
      <c r="E12" s="236"/>
      <c r="F12" s="235">
        <v>5000000</v>
      </c>
      <c r="I12" s="583">
        <v>4201</v>
      </c>
      <c r="J12" s="582" t="s">
        <v>5756</v>
      </c>
      <c r="K12" s="643">
        <f>-(SUMIF($B$2:$B$203,I12,$E$2:$E$203)-SUMIF($B$2:$B$203,I12,$F$2:$F$203))</f>
        <v>2753257</v>
      </c>
      <c r="M12" s="583"/>
      <c r="N12" s="582" t="s">
        <v>5752</v>
      </c>
      <c r="O12" s="643">
        <f>K12</f>
        <v>2753257</v>
      </c>
    </row>
    <row r="13" spans="1:16">
      <c r="A13" s="812" t="s">
        <v>19119</v>
      </c>
      <c r="B13" s="578">
        <v>3432</v>
      </c>
      <c r="C13" s="311" t="s">
        <v>4883</v>
      </c>
      <c r="D13" s="799" t="s">
        <v>19177</v>
      </c>
      <c r="E13" s="236"/>
      <c r="F13" s="235">
        <f>SUM('8正'!O8:O9)</f>
        <v>-1580382</v>
      </c>
      <c r="G13" s="581">
        <f>SUM(E2:E13)-SUM(F2:F13)</f>
        <v>0</v>
      </c>
      <c r="I13" s="583">
        <v>4202</v>
      </c>
      <c r="J13" s="582" t="s">
        <v>5753</v>
      </c>
      <c r="K13" s="239">
        <f>-(SUMIF($B$2:$B$203,I13,$E$2:$E$203)-SUMIF($B$2:$B$203,I13,$F$2:$F$203))</f>
        <v>0</v>
      </c>
      <c r="M13" s="583"/>
      <c r="N13" s="582" t="s">
        <v>5757</v>
      </c>
      <c r="O13" s="643">
        <f>F16</f>
        <v>2768257</v>
      </c>
    </row>
    <row r="14" spans="1:16">
      <c r="B14" s="578"/>
      <c r="C14" s="231"/>
      <c r="D14" s="220"/>
      <c r="E14" s="236"/>
      <c r="F14" s="236"/>
      <c r="I14" s="583">
        <v>4203</v>
      </c>
      <c r="J14" s="582" t="s">
        <v>5754</v>
      </c>
      <c r="K14" s="239">
        <f>-(SUMIF($B$2:$B$203,I14,$E$2:$E$203)-SUMIF($B$2:$B$203,I14,$F$2:$F$203))</f>
        <v>0</v>
      </c>
      <c r="M14" s="583"/>
      <c r="N14" s="582" t="s">
        <v>5784</v>
      </c>
      <c r="O14" s="187">
        <f>SUM(O15:O18)</f>
        <v>35000</v>
      </c>
    </row>
    <row r="15" spans="1:16">
      <c r="A15" s="812" t="s">
        <v>19120</v>
      </c>
      <c r="B15" s="811">
        <v>1123</v>
      </c>
      <c r="C15" t="s">
        <v>3638</v>
      </c>
      <c r="D15" s="799" t="s">
        <v>19121</v>
      </c>
      <c r="E15" s="575">
        <v>2906670</v>
      </c>
      <c r="F15" s="229"/>
      <c r="I15" s="583"/>
      <c r="J15" s="582" t="s">
        <v>5755</v>
      </c>
      <c r="K15" s="643">
        <f>K12-K13-K14</f>
        <v>2753257</v>
      </c>
      <c r="M15" s="583" t="s">
        <v>5740</v>
      </c>
      <c r="N15" s="582" t="s">
        <v>10165</v>
      </c>
      <c r="O15" s="803">
        <f>-'6正'!O19</f>
        <v>0</v>
      </c>
    </row>
    <row r="16" spans="1:16">
      <c r="A16" s="812" t="s">
        <v>19120</v>
      </c>
      <c r="B16" s="811">
        <v>4201</v>
      </c>
      <c r="C16" s="175" t="s">
        <v>337</v>
      </c>
      <c r="D16" s="799" t="s">
        <v>19121</v>
      </c>
      <c r="E16" s="229"/>
      <c r="F16" s="236">
        <v>2768257</v>
      </c>
      <c r="I16" s="583"/>
      <c r="J16" s="582" t="s">
        <v>5762</v>
      </c>
      <c r="K16" s="644">
        <f>O24</f>
        <v>130247</v>
      </c>
      <c r="M16" s="583" t="s">
        <v>5740</v>
      </c>
      <c r="N16" s="582" t="s">
        <v>10166</v>
      </c>
      <c r="O16" s="649">
        <v>465000</v>
      </c>
    </row>
    <row r="17" spans="1:16">
      <c r="A17" s="812" t="s">
        <v>19120</v>
      </c>
      <c r="B17" s="811">
        <v>2194</v>
      </c>
      <c r="C17" s="175" t="s">
        <v>244</v>
      </c>
      <c r="D17" s="799" t="s">
        <v>19121</v>
      </c>
      <c r="E17" s="229"/>
      <c r="F17" s="236">
        <v>138413</v>
      </c>
      <c r="I17" s="583"/>
      <c r="J17" s="582" t="s">
        <v>5763</v>
      </c>
      <c r="K17" s="644">
        <f>K15-K16</f>
        <v>2623010</v>
      </c>
      <c r="M17" s="583" t="s">
        <v>5741</v>
      </c>
      <c r="N17" s="582" t="s">
        <v>10164</v>
      </c>
      <c r="O17" s="650"/>
    </row>
    <row r="18" spans="1:16">
      <c r="A18" s="812" t="s">
        <v>19120</v>
      </c>
      <c r="B18" s="811">
        <v>4201</v>
      </c>
      <c r="C18" s="313" t="s">
        <v>1309</v>
      </c>
      <c r="D18" t="s">
        <v>19178</v>
      </c>
      <c r="E18" s="172"/>
      <c r="F18" s="162"/>
      <c r="G18" s="187"/>
      <c r="I18" s="583"/>
      <c r="J18" s="582" t="s">
        <v>5764</v>
      </c>
      <c r="K18" s="606">
        <f>K17/K$15</f>
        <v>0.95269348266434994</v>
      </c>
      <c r="M18" s="583" t="s">
        <v>5741</v>
      </c>
      <c r="N18" s="582" t="s">
        <v>15225</v>
      </c>
      <c r="O18" s="771">
        <f>-'7正'!O17</f>
        <v>-430000</v>
      </c>
      <c r="P18" s="581">
        <f>O12-O13-O14</f>
        <v>-50000</v>
      </c>
    </row>
    <row r="19" spans="1:16">
      <c r="A19" s="812" t="s">
        <v>19120</v>
      </c>
      <c r="B19" s="577">
        <v>2131</v>
      </c>
      <c r="C19" s="560" t="s">
        <v>4953</v>
      </c>
      <c r="D19" t="s">
        <v>19178</v>
      </c>
      <c r="E19" s="161"/>
      <c r="F19" s="594">
        <f>E18</f>
        <v>0</v>
      </c>
      <c r="G19" s="187"/>
      <c r="I19" s="583"/>
      <c r="J19" s="582" t="s">
        <v>5765</v>
      </c>
      <c r="K19" s="643">
        <f>SUM(K21:K30)</f>
        <v>2638770</v>
      </c>
    </row>
    <row r="20" spans="1:16">
      <c r="A20" s="812" t="s">
        <v>19120</v>
      </c>
      <c r="B20" s="811">
        <v>2131</v>
      </c>
      <c r="C20" s="310" t="s">
        <v>1308</v>
      </c>
      <c r="D20" t="s">
        <v>19122</v>
      </c>
      <c r="E20" s="172"/>
      <c r="F20" s="162"/>
      <c r="G20" s="233"/>
      <c r="I20" s="583"/>
      <c r="J20" s="582" t="s">
        <v>5766</v>
      </c>
      <c r="K20" s="606">
        <f>K19/K$15</f>
        <v>0.95841761230426359</v>
      </c>
      <c r="M20" s="940" t="s">
        <v>5790</v>
      </c>
      <c r="N20" s="941"/>
      <c r="O20" s="941"/>
    </row>
    <row r="21" spans="1:16">
      <c r="A21" s="812" t="s">
        <v>19120</v>
      </c>
      <c r="B21" s="811">
        <v>4201</v>
      </c>
      <c r="C21" s="259" t="s">
        <v>337</v>
      </c>
      <c r="D21" t="s">
        <v>19122</v>
      </c>
      <c r="E21" s="161"/>
      <c r="F21" s="594">
        <f>E20</f>
        <v>0</v>
      </c>
      <c r="G21" s="581">
        <f>SUM(E15:E21)-SUM(F15:F21)</f>
        <v>0</v>
      </c>
      <c r="I21" s="583">
        <v>6201</v>
      </c>
      <c r="J21" s="582" t="s">
        <v>5767</v>
      </c>
      <c r="K21" s="643">
        <f>(SUMIF($B$2:$B$203,I21,$E$2:$E$203)-SUMIF($B$2:$B$203,I21,$F$2:$F$203))</f>
        <v>1916600</v>
      </c>
      <c r="M21" s="583"/>
      <c r="N21" s="582" t="s">
        <v>5791</v>
      </c>
      <c r="O21" s="771">
        <f>E8</f>
        <v>694846</v>
      </c>
    </row>
    <row r="22" spans="1:16">
      <c r="A22" s="812"/>
      <c r="B22" s="577"/>
      <c r="C22" s="560"/>
      <c r="D22"/>
      <c r="E22" s="161"/>
      <c r="F22" s="161"/>
      <c r="I22" s="583">
        <v>6202</v>
      </c>
      <c r="J22" s="582" t="s">
        <v>5768</v>
      </c>
      <c r="K22" s="643">
        <f>(SUMIF($B$2:$B$203,I22,$E$2:$E$203)-SUMIF($B$2:$B$203,I22,$F$2:$F$203))</f>
        <v>240000</v>
      </c>
      <c r="M22" s="583">
        <v>5201</v>
      </c>
      <c r="N22" s="582" t="s">
        <v>5792</v>
      </c>
      <c r="O22" s="771">
        <f>SUMIF($B$2:$B$203,M22,$E$2:$E$203)</f>
        <v>156945</v>
      </c>
    </row>
    <row r="23" spans="1:16">
      <c r="A23" s="812" t="s">
        <v>19123</v>
      </c>
      <c r="B23" s="578">
        <v>1121</v>
      </c>
      <c r="C23" s="61" t="s">
        <v>2917</v>
      </c>
      <c r="D23" s="799" t="s">
        <v>19124</v>
      </c>
      <c r="E23" s="235">
        <v>1544205</v>
      </c>
      <c r="F23" s="803"/>
      <c r="I23" s="583">
        <v>6203</v>
      </c>
      <c r="J23" s="582" t="s">
        <v>5769</v>
      </c>
      <c r="K23" s="643">
        <f>(SUMIF($B$2:$B$203,I23,$E$2:$E$203)-SUMIF($B$2:$B$203,I23,$F$2:$F$203))</f>
        <v>637</v>
      </c>
      <c r="M23" s="583" t="s">
        <v>5741</v>
      </c>
      <c r="N23" s="582" t="s">
        <v>5793</v>
      </c>
      <c r="O23" s="643">
        <f>-K7</f>
        <v>-721544</v>
      </c>
    </row>
    <row r="24" spans="1:16">
      <c r="A24" s="812" t="s">
        <v>19123</v>
      </c>
      <c r="B24" s="578">
        <v>1121</v>
      </c>
      <c r="C24" s="61" t="s">
        <v>2917</v>
      </c>
      <c r="D24" s="799" t="s">
        <v>4448</v>
      </c>
      <c r="E24" s="235">
        <v>544635</v>
      </c>
      <c r="F24" s="803"/>
      <c r="I24" s="583">
        <v>6205</v>
      </c>
      <c r="J24" s="582" t="s">
        <v>5770</v>
      </c>
      <c r="K24" s="771">
        <f>(SUMIF($B$2:$B$203,I24,$E$2:$E$203)-SUMIF($B$2:$B$203,I24,$F$2:$F$203))</f>
        <v>5944</v>
      </c>
      <c r="N24" s="582" t="s">
        <v>5794</v>
      </c>
      <c r="O24" s="771">
        <f>SUM(O21:O23)</f>
        <v>130247</v>
      </c>
    </row>
    <row r="25" spans="1:16">
      <c r="A25" s="812" t="s">
        <v>19123</v>
      </c>
      <c r="B25" s="578">
        <v>2131</v>
      </c>
      <c r="C25" s="61" t="s">
        <v>1308</v>
      </c>
      <c r="D25" s="799" t="s">
        <v>15121</v>
      </c>
      <c r="E25" s="235">
        <f>20475*14+16380*3</f>
        <v>335790</v>
      </c>
      <c r="F25" s="803"/>
      <c r="I25" s="583">
        <v>6207</v>
      </c>
      <c r="J25" s="582" t="s">
        <v>5771</v>
      </c>
      <c r="K25" s="771">
        <f>(SUMIF($B$2:$B$203,I25,$E$2:$E$203)-SUMIF($B$2:$B$203,I25,$F$2:$F$203))</f>
        <v>61919</v>
      </c>
    </row>
    <row r="26" spans="1:16">
      <c r="A26" s="812" t="s">
        <v>19123</v>
      </c>
      <c r="B26" s="811">
        <v>1123</v>
      </c>
      <c r="C26" s="806" t="s">
        <v>242</v>
      </c>
      <c r="D26" s="799" t="s">
        <v>19126</v>
      </c>
      <c r="E26" s="803"/>
      <c r="F26" s="235">
        <v>1544205</v>
      </c>
      <c r="I26" s="583">
        <v>6209</v>
      </c>
      <c r="J26" s="582" t="s">
        <v>5772</v>
      </c>
      <c r="K26" s="771">
        <f>(SUMIF($B$2:$B$203,I26,$E$2:$E$203)-SUMIF($B$2:$B$203,I26,$F$2:$F$203))</f>
        <v>3745</v>
      </c>
      <c r="M26" s="940" t="s">
        <v>5797</v>
      </c>
      <c r="N26" s="940"/>
      <c r="O26" s="940"/>
    </row>
    <row r="27" spans="1:16">
      <c r="A27" s="812" t="s">
        <v>19123</v>
      </c>
      <c r="B27" s="811">
        <v>1123</v>
      </c>
      <c r="C27" s="806" t="s">
        <v>242</v>
      </c>
      <c r="D27" s="799" t="s">
        <v>19127</v>
      </c>
      <c r="E27" s="803"/>
      <c r="F27" s="235">
        <v>315315</v>
      </c>
      <c r="H27" s="580"/>
      <c r="I27" s="583">
        <v>6213</v>
      </c>
      <c r="J27" s="582" t="s">
        <v>5773</v>
      </c>
      <c r="K27" s="771">
        <f>(SUMIF($B$2:$B$203,I27,$E$2:$E$203)-SUMIF($B$2:$B$203,I27,$F$2:$F$203))</f>
        <v>11065</v>
      </c>
      <c r="M27" s="230">
        <v>6215</v>
      </c>
      <c r="N27" s="582" t="s">
        <v>1220</v>
      </c>
      <c r="O27" s="771">
        <f>(SUMIF($B$2:$B$203,M27,$E$2:$E$203)-SUMIF($B$2:$B$203,M27,$F$2:$F$203))</f>
        <v>2082</v>
      </c>
    </row>
    <row r="28" spans="1:16">
      <c r="A28" s="812" t="s">
        <v>19123</v>
      </c>
      <c r="B28" s="578">
        <v>2131</v>
      </c>
      <c r="C28" s="806" t="s">
        <v>423</v>
      </c>
      <c r="D28" s="799" t="s">
        <v>19128</v>
      </c>
      <c r="E28" s="803"/>
      <c r="F28" s="235">
        <f>20475*7+20475*7+20475*7+16380*7+20475*1</f>
        <v>565110</v>
      </c>
      <c r="G28" s="233"/>
      <c r="I28" s="583">
        <v>6214</v>
      </c>
      <c r="J28" s="582" t="s">
        <v>5774</v>
      </c>
      <c r="K28" s="771">
        <f>(SUMIF($B$2:$B$203,I28,$E$2:$E$203)-SUMIF($B$2:$B$203,I28,$F$2:$F$203))</f>
        <v>255338</v>
      </c>
      <c r="M28" s="230">
        <v>6230</v>
      </c>
      <c r="N28" s="582" t="s">
        <v>1221</v>
      </c>
      <c r="O28" s="771">
        <f>(SUMIF($B$2:$B$203,M28,$E$2:$E$203)-SUMIF($B$2:$B$203,M28,$F$2:$F$203))</f>
        <v>4250</v>
      </c>
    </row>
    <row r="29" spans="1:16">
      <c r="A29" s="812" t="s">
        <v>19123</v>
      </c>
      <c r="B29" s="578">
        <v>1121</v>
      </c>
      <c r="C29" s="61" t="s">
        <v>2917</v>
      </c>
      <c r="D29" s="799" t="s">
        <v>15206</v>
      </c>
      <c r="E29" s="235">
        <v>259020</v>
      </c>
      <c r="F29" s="803"/>
      <c r="G29" s="679"/>
      <c r="I29" s="583">
        <v>6219</v>
      </c>
      <c r="J29" s="582" t="s">
        <v>5775</v>
      </c>
      <c r="K29" s="771">
        <f>(SUMIF($B$2:$B$203,I29,$E$2:$E$203)-SUMIF($B$2:$B$203,I29,$F$2:$F$203))</f>
        <v>115200</v>
      </c>
      <c r="M29" s="230">
        <v>6232</v>
      </c>
      <c r="N29" s="582" t="s">
        <v>1218</v>
      </c>
      <c r="O29" s="771">
        <f>(SUMIF($B$2:$B$203,M29,$E$2:$E$203)-SUMIF($B$2:$B$203,M29,$F$2:$F$203))</f>
        <v>21990</v>
      </c>
    </row>
    <row r="30" spans="1:16">
      <c r="A30" s="812" t="s">
        <v>19123</v>
      </c>
      <c r="B30" s="811">
        <v>1123</v>
      </c>
      <c r="C30" s="806" t="s">
        <v>242</v>
      </c>
      <c r="D30" s="799" t="s">
        <v>19125</v>
      </c>
      <c r="E30" s="803"/>
      <c r="F30" s="574">
        <f>E29</f>
        <v>259020</v>
      </c>
      <c r="I30" s="583"/>
      <c r="J30" s="582" t="s">
        <v>5776</v>
      </c>
      <c r="K30" s="771">
        <f>O30</f>
        <v>28322</v>
      </c>
      <c r="N30" s="582" t="s">
        <v>2684</v>
      </c>
      <c r="O30" s="771">
        <f>SUM(O27:O29)</f>
        <v>28322</v>
      </c>
      <c r="P30" s="581">
        <f>K30-O30</f>
        <v>0</v>
      </c>
    </row>
    <row r="31" spans="1:16">
      <c r="A31" s="812" t="s">
        <v>19123</v>
      </c>
      <c r="B31" s="577" t="s">
        <v>4859</v>
      </c>
      <c r="C31" s="61" t="s">
        <v>246</v>
      </c>
      <c r="D31" s="299" t="s">
        <v>19206</v>
      </c>
      <c r="E31" s="236">
        <v>1941945</v>
      </c>
      <c r="F31" s="187"/>
      <c r="J31" s="582" t="s">
        <v>5777</v>
      </c>
      <c r="K31" s="771">
        <f>K17-K19</f>
        <v>-15760</v>
      </c>
      <c r="N31" s="582"/>
      <c r="O31" s="233"/>
    </row>
    <row r="32" spans="1:16">
      <c r="A32" s="812" t="s">
        <v>19123</v>
      </c>
      <c r="B32" s="577" t="s">
        <v>4860</v>
      </c>
      <c r="C32" s="231" t="s">
        <v>243</v>
      </c>
      <c r="D32" s="299" t="s">
        <v>19206</v>
      </c>
      <c r="E32" s="229"/>
      <c r="F32" s="575">
        <f>E31</f>
        <v>1941945</v>
      </c>
      <c r="G32" s="581">
        <f>SUM(E23:E32)-SUM(F23:F32)</f>
        <v>0</v>
      </c>
      <c r="J32" s="582" t="s">
        <v>5778</v>
      </c>
      <c r="K32" s="606">
        <f>K31/K$15</f>
        <v>-5.7241296399137458E-3</v>
      </c>
      <c r="M32" s="940" t="s">
        <v>5798</v>
      </c>
      <c r="N32" s="940"/>
      <c r="O32" s="940"/>
    </row>
    <row r="33" spans="1:16">
      <c r="B33" s="577"/>
      <c r="C33" s="231"/>
      <c r="D33" s="299"/>
      <c r="E33" s="229"/>
      <c r="F33" s="229"/>
      <c r="G33" s="229"/>
      <c r="I33" s="583">
        <v>7101</v>
      </c>
      <c r="J33" s="582" t="s">
        <v>5779</v>
      </c>
      <c r="K33" s="771">
        <f>-(SUMIF($B$2:$B$203,I33,$E$2:$E$203)-SUMIF($B$2:$B$203,I33,$F$2:$F$203))</f>
        <v>44</v>
      </c>
      <c r="N33" s="582" t="s">
        <v>5795</v>
      </c>
      <c r="O33" s="771">
        <f>4*12</f>
        <v>48</v>
      </c>
    </row>
    <row r="34" spans="1:16">
      <c r="A34" s="812" t="s">
        <v>19129</v>
      </c>
      <c r="B34" s="578">
        <v>1112</v>
      </c>
      <c r="C34" s="61" t="s">
        <v>246</v>
      </c>
      <c r="D34" s="299" t="s">
        <v>19130</v>
      </c>
      <c r="E34" s="236">
        <v>908727</v>
      </c>
      <c r="F34" s="187"/>
      <c r="J34" s="582" t="s">
        <v>5780</v>
      </c>
      <c r="K34" s="771">
        <f>K31+K33</f>
        <v>-15716</v>
      </c>
      <c r="M34" s="578"/>
      <c r="N34" s="582" t="s">
        <v>5796</v>
      </c>
      <c r="O34" s="771">
        <f>O33*2400</f>
        <v>115200</v>
      </c>
      <c r="P34" s="581">
        <f>K29-O34</f>
        <v>0</v>
      </c>
    </row>
    <row r="35" spans="1:16">
      <c r="A35" s="812" t="s">
        <v>19129</v>
      </c>
      <c r="B35" s="577">
        <v>1112</v>
      </c>
      <c r="C35" s="61" t="s">
        <v>247</v>
      </c>
      <c r="D35" s="299" t="s">
        <v>19130</v>
      </c>
      <c r="E35" s="236">
        <v>39690</v>
      </c>
      <c r="F35" s="236"/>
      <c r="J35" s="582" t="s">
        <v>5781</v>
      </c>
      <c r="K35" s="606">
        <f>K34/(K$15+K$33)</f>
        <v>-5.7080573464361505E-3</v>
      </c>
      <c r="M35" s="579"/>
      <c r="N35" s="220"/>
    </row>
    <row r="36" spans="1:16">
      <c r="A36" s="812" t="s">
        <v>19129</v>
      </c>
      <c r="B36" s="578">
        <v>6230</v>
      </c>
      <c r="C36" s="61" t="s">
        <v>1221</v>
      </c>
      <c r="D36" s="299" t="s">
        <v>19212</v>
      </c>
      <c r="E36" s="236">
        <v>183</v>
      </c>
      <c r="F36" s="942"/>
      <c r="M36" s="940" t="s">
        <v>5800</v>
      </c>
      <c r="N36" s="940"/>
      <c r="O36" s="940"/>
    </row>
    <row r="37" spans="1:16">
      <c r="A37" s="812" t="s">
        <v>19129</v>
      </c>
      <c r="B37" s="578">
        <v>1123</v>
      </c>
      <c r="C37" s="806" t="s">
        <v>242</v>
      </c>
      <c r="D37" s="299" t="s">
        <v>19130</v>
      </c>
      <c r="E37" s="229"/>
      <c r="F37" s="600">
        <f>SUM(E34:E36)</f>
        <v>948600</v>
      </c>
      <c r="G37" s="581">
        <f>SUM(E34:E37)-SUM(F34:F37)</f>
        <v>0</v>
      </c>
      <c r="N37" s="582" t="s">
        <v>5747</v>
      </c>
      <c r="O37" s="187">
        <v>1799750</v>
      </c>
    </row>
    <row r="38" spans="1:16">
      <c r="M38" s="583" t="s">
        <v>5741</v>
      </c>
      <c r="N38" s="582" t="s">
        <v>1396</v>
      </c>
      <c r="O38" s="187">
        <v>-71400</v>
      </c>
    </row>
    <row r="39" spans="1:16">
      <c r="A39" s="812" t="s">
        <v>19131</v>
      </c>
      <c r="B39" s="579">
        <v>6201</v>
      </c>
      <c r="C39" s="134" t="s">
        <v>2919</v>
      </c>
      <c r="D39" s="134" t="s">
        <v>19179</v>
      </c>
      <c r="E39" s="239">
        <v>1954600</v>
      </c>
      <c r="F39" s="236"/>
      <c r="M39" s="583" t="s">
        <v>5740</v>
      </c>
      <c r="N39" s="582" t="s">
        <v>1397</v>
      </c>
      <c r="O39" s="187">
        <v>47150</v>
      </c>
    </row>
    <row r="40" spans="1:16">
      <c r="A40" s="812" t="s">
        <v>19131</v>
      </c>
      <c r="B40" s="579">
        <v>6201</v>
      </c>
      <c r="C40" s="134" t="s">
        <v>2919</v>
      </c>
      <c r="D40" s="554" t="s">
        <v>19132</v>
      </c>
      <c r="E40" s="239">
        <v>141350</v>
      </c>
      <c r="F40" s="236"/>
      <c r="J40" s="805"/>
      <c r="N40" s="582" t="s">
        <v>5799</v>
      </c>
      <c r="O40" s="771">
        <f>SUM(O37:O39)</f>
        <v>1775500</v>
      </c>
      <c r="P40" s="581">
        <f>K21-O40</f>
        <v>141100</v>
      </c>
    </row>
    <row r="41" spans="1:16">
      <c r="A41" s="812" t="s">
        <v>19131</v>
      </c>
      <c r="B41" s="579">
        <v>6201</v>
      </c>
      <c r="C41" s="134" t="s">
        <v>605</v>
      </c>
      <c r="D41" s="554" t="s">
        <v>15126</v>
      </c>
      <c r="E41" s="239"/>
      <c r="F41" s="239">
        <v>179350</v>
      </c>
      <c r="N41" s="582"/>
    </row>
    <row r="42" spans="1:16">
      <c r="A42" s="812" t="s">
        <v>19131</v>
      </c>
      <c r="B42" s="578">
        <v>2123</v>
      </c>
      <c r="C42" s="61" t="s">
        <v>595</v>
      </c>
      <c r="D42" s="134" t="s">
        <v>19133</v>
      </c>
      <c r="E42" s="237"/>
      <c r="F42" s="589">
        <f>E39+E40-F41</f>
        <v>1916600</v>
      </c>
      <c r="M42" s="940" t="s">
        <v>5801</v>
      </c>
      <c r="N42" s="940"/>
      <c r="O42" s="940"/>
    </row>
    <row r="43" spans="1:16">
      <c r="A43" s="812" t="s">
        <v>19131</v>
      </c>
      <c r="B43" s="579">
        <v>6219</v>
      </c>
      <c r="C43" s="134" t="s">
        <v>2920</v>
      </c>
      <c r="D43" s="134" t="s">
        <v>19134</v>
      </c>
      <c r="E43" s="236">
        <f>2400*12*2</f>
        <v>57600</v>
      </c>
      <c r="F43" s="236"/>
      <c r="N43" s="582" t="s">
        <v>15253</v>
      </c>
      <c r="O43" s="187">
        <v>240000</v>
      </c>
    </row>
    <row r="44" spans="1:16">
      <c r="A44" s="812" t="s">
        <v>19131</v>
      </c>
      <c r="B44" s="578">
        <v>2123</v>
      </c>
      <c r="C44" s="61" t="s">
        <v>595</v>
      </c>
      <c r="D44" s="134" t="s">
        <v>19134</v>
      </c>
      <c r="F44" s="588">
        <f>E43</f>
        <v>57600</v>
      </c>
      <c r="M44" s="583" t="s">
        <v>5741</v>
      </c>
      <c r="N44" s="582" t="s">
        <v>1396</v>
      </c>
      <c r="O44" s="187">
        <v>0</v>
      </c>
    </row>
    <row r="45" spans="1:16">
      <c r="A45" s="812" t="s">
        <v>19131</v>
      </c>
      <c r="B45" s="579">
        <v>6219</v>
      </c>
      <c r="C45" s="134" t="s">
        <v>2920</v>
      </c>
      <c r="D45" s="134" t="s">
        <v>19135</v>
      </c>
      <c r="E45" s="236">
        <f>2400*12*2</f>
        <v>57600</v>
      </c>
      <c r="F45" s="236"/>
      <c r="M45" s="583" t="s">
        <v>5740</v>
      </c>
      <c r="N45" s="582" t="s">
        <v>1397</v>
      </c>
      <c r="O45" s="187">
        <v>0</v>
      </c>
    </row>
    <row r="46" spans="1:16">
      <c r="A46" s="812" t="s">
        <v>19131</v>
      </c>
      <c r="B46" s="578">
        <v>2123</v>
      </c>
      <c r="C46" s="61" t="s">
        <v>595</v>
      </c>
      <c r="D46" s="134" t="s">
        <v>19135</v>
      </c>
      <c r="E46" s="237"/>
      <c r="F46" s="588">
        <f>E45</f>
        <v>57600</v>
      </c>
      <c r="N46" s="582" t="s">
        <v>5802</v>
      </c>
      <c r="O46" s="771">
        <f>SUM(O43:O45)</f>
        <v>240000</v>
      </c>
      <c r="P46" s="581">
        <f>K22-O46</f>
        <v>0</v>
      </c>
    </row>
    <row r="47" spans="1:16">
      <c r="A47" s="812" t="s">
        <v>19131</v>
      </c>
      <c r="B47" s="578">
        <v>2123</v>
      </c>
      <c r="C47" s="61" t="s">
        <v>1214</v>
      </c>
      <c r="D47" s="134" t="s">
        <v>19136</v>
      </c>
      <c r="E47" s="589">
        <f>F48+F49+F50</f>
        <v>1338135</v>
      </c>
      <c r="F47" s="233"/>
    </row>
    <row r="48" spans="1:16">
      <c r="A48" s="812" t="s">
        <v>19131</v>
      </c>
      <c r="B48" s="578">
        <v>1112</v>
      </c>
      <c r="C48" s="61" t="s">
        <v>251</v>
      </c>
      <c r="D48" s="134" t="s">
        <v>19136</v>
      </c>
      <c r="E48" s="237"/>
      <c r="F48" s="925">
        <v>1324905</v>
      </c>
    </row>
    <row r="49" spans="1:19" s="584" customFormat="1">
      <c r="A49" s="812" t="s">
        <v>19131</v>
      </c>
      <c r="B49" s="578">
        <v>1112</v>
      </c>
      <c r="C49" s="300" t="s">
        <v>249</v>
      </c>
      <c r="D49" s="134" t="s">
        <v>19136</v>
      </c>
      <c r="E49" s="237"/>
      <c r="F49" s="925">
        <v>13230</v>
      </c>
      <c r="G49" s="771"/>
      <c r="I49" s="771"/>
      <c r="J49" s="771"/>
      <c r="K49" s="771"/>
      <c r="L49" s="771"/>
      <c r="M49" s="771"/>
      <c r="N49" s="771"/>
      <c r="O49" s="771"/>
      <c r="P49" s="771"/>
      <c r="Q49" s="187"/>
      <c r="R49" s="187"/>
      <c r="S49" s="187"/>
    </row>
    <row r="50" spans="1:19" s="584" customFormat="1">
      <c r="A50" s="812" t="s">
        <v>19131</v>
      </c>
      <c r="B50" s="579">
        <v>1111</v>
      </c>
      <c r="C50" s="61" t="s">
        <v>602</v>
      </c>
      <c r="D50" s="134" t="s">
        <v>19136</v>
      </c>
      <c r="E50" s="943" t="s">
        <v>19213</v>
      </c>
      <c r="F50" s="925"/>
      <c r="G50" s="581">
        <f>SUM(E39:E50)-SUM(F39:F50)</f>
        <v>0</v>
      </c>
      <c r="I50" s="771"/>
      <c r="J50" s="771"/>
      <c r="K50" s="771"/>
      <c r="L50" s="771"/>
      <c r="M50" s="771"/>
      <c r="N50" s="771"/>
      <c r="O50" s="771"/>
      <c r="P50" s="771"/>
      <c r="Q50" s="187"/>
      <c r="R50" s="187"/>
      <c r="S50" s="187"/>
    </row>
    <row r="51" spans="1:19" s="584" customFormat="1">
      <c r="A51" s="583"/>
      <c r="B51" s="263"/>
      <c r="C51" s="151"/>
      <c r="D51" s="61"/>
      <c r="E51" s="234"/>
      <c r="F51" s="771"/>
      <c r="G51" s="771"/>
      <c r="I51" s="771"/>
      <c r="J51" s="771"/>
      <c r="K51" s="771"/>
      <c r="L51" s="771"/>
      <c r="M51" s="771"/>
      <c r="N51" s="771"/>
      <c r="O51" s="771"/>
      <c r="P51" s="771"/>
      <c r="Q51" s="187"/>
      <c r="R51" s="187"/>
      <c r="S51" s="187"/>
    </row>
    <row r="52" spans="1:19" s="584" customFormat="1">
      <c r="A52" s="812" t="s">
        <v>19137</v>
      </c>
      <c r="B52" s="579">
        <v>6202</v>
      </c>
      <c r="C52" s="220" t="s">
        <v>2918</v>
      </c>
      <c r="D52" s="300" t="s">
        <v>19138</v>
      </c>
      <c r="E52" s="923">
        <v>240000</v>
      </c>
      <c r="F52" s="187"/>
      <c r="G52" s="771"/>
      <c r="I52" s="771"/>
      <c r="J52" s="771"/>
      <c r="K52" s="771"/>
      <c r="L52" s="771"/>
      <c r="M52" s="771"/>
      <c r="N52" s="771"/>
      <c r="O52" s="771"/>
      <c r="P52" s="771"/>
      <c r="Q52" s="187"/>
      <c r="R52" s="187"/>
      <c r="S52" s="187"/>
    </row>
    <row r="53" spans="1:19" s="584" customFormat="1">
      <c r="A53" s="812" t="s">
        <v>19137</v>
      </c>
      <c r="B53" s="578">
        <v>6230</v>
      </c>
      <c r="C53" s="61" t="s">
        <v>1221</v>
      </c>
      <c r="D53" s="582" t="s">
        <v>19139</v>
      </c>
      <c r="E53" s="923">
        <v>120</v>
      </c>
      <c r="F53" s="771"/>
      <c r="G53" s="771"/>
      <c r="I53" s="771"/>
      <c r="J53" s="763" t="s">
        <v>15230</v>
      </c>
      <c r="K53" s="771"/>
      <c r="L53" s="771"/>
      <c r="M53" s="771"/>
      <c r="N53" s="771"/>
      <c r="O53" s="771"/>
      <c r="P53" s="771"/>
      <c r="Q53" s="187"/>
      <c r="R53" s="187"/>
      <c r="S53" s="187"/>
    </row>
    <row r="54" spans="1:19" s="584" customFormat="1">
      <c r="A54" s="812" t="s">
        <v>19137</v>
      </c>
      <c r="B54" s="578">
        <v>1112</v>
      </c>
      <c r="C54" s="61" t="s">
        <v>251</v>
      </c>
      <c r="D54" s="300" t="s">
        <v>19138</v>
      </c>
      <c r="E54" s="229"/>
      <c r="F54" s="926">
        <v>240120</v>
      </c>
      <c r="G54" s="771"/>
      <c r="I54" s="771"/>
      <c r="J54" s="771"/>
      <c r="K54" s="771"/>
      <c r="L54" s="771"/>
      <c r="M54" s="771"/>
      <c r="N54" s="771"/>
      <c r="O54" s="771"/>
      <c r="P54" s="771"/>
      <c r="Q54" s="187"/>
      <c r="R54" s="187"/>
      <c r="S54" s="187"/>
    </row>
    <row r="55" spans="1:19" s="584" customFormat="1">
      <c r="A55" s="812" t="s">
        <v>19137</v>
      </c>
      <c r="B55" s="577">
        <v>1112</v>
      </c>
      <c r="C55" s="61" t="s">
        <v>247</v>
      </c>
      <c r="D55" s="300" t="s">
        <v>19140</v>
      </c>
      <c r="E55" s="923">
        <v>1</v>
      </c>
      <c r="F55" s="187"/>
      <c r="G55" s="771"/>
      <c r="I55" s="771"/>
      <c r="J55" s="771"/>
      <c r="K55" s="771"/>
      <c r="L55" s="771"/>
      <c r="M55" s="771"/>
      <c r="N55" s="771"/>
      <c r="O55" s="771"/>
      <c r="P55" s="771"/>
      <c r="Q55" s="187"/>
      <c r="R55" s="187"/>
      <c r="S55" s="187"/>
    </row>
    <row r="56" spans="1:19" s="584" customFormat="1">
      <c r="A56" s="812" t="s">
        <v>19137</v>
      </c>
      <c r="B56" s="578">
        <v>7101</v>
      </c>
      <c r="C56" s="771" t="s">
        <v>2787</v>
      </c>
      <c r="D56" s="300" t="s">
        <v>19140</v>
      </c>
      <c r="E56" s="229"/>
      <c r="F56" s="588">
        <f>E55</f>
        <v>1</v>
      </c>
      <c r="G56" s="771"/>
      <c r="I56" s="771"/>
      <c r="J56" s="771"/>
      <c r="K56" s="771"/>
      <c r="L56" s="771"/>
      <c r="M56" s="771"/>
      <c r="N56" s="771"/>
      <c r="O56" s="771"/>
      <c r="P56" s="771"/>
      <c r="Q56" s="187"/>
      <c r="R56" s="187"/>
      <c r="S56" s="187"/>
    </row>
    <row r="57" spans="1:19" s="584" customFormat="1">
      <c r="A57" s="812" t="s">
        <v>19137</v>
      </c>
      <c r="B57" s="577">
        <v>1112</v>
      </c>
      <c r="C57" s="61" t="s">
        <v>247</v>
      </c>
      <c r="D57" s="300" t="s">
        <v>19141</v>
      </c>
      <c r="E57" s="236">
        <v>0</v>
      </c>
      <c r="F57" s="187"/>
      <c r="G57" s="771"/>
      <c r="I57" s="771"/>
      <c r="J57" s="771"/>
      <c r="K57" s="771"/>
      <c r="L57" s="771"/>
      <c r="M57" s="771"/>
      <c r="N57" s="771"/>
      <c r="O57" s="771"/>
      <c r="P57" s="771"/>
      <c r="Q57" s="187"/>
      <c r="R57" s="187"/>
      <c r="S57" s="187"/>
    </row>
    <row r="58" spans="1:19" s="584" customFormat="1">
      <c r="A58" s="812" t="s">
        <v>19137</v>
      </c>
      <c r="B58" s="578">
        <v>7101</v>
      </c>
      <c r="C58" s="771" t="s">
        <v>2787</v>
      </c>
      <c r="D58" s="300" t="s">
        <v>19141</v>
      </c>
      <c r="E58" s="229"/>
      <c r="F58" s="588">
        <f>E57</f>
        <v>0</v>
      </c>
      <c r="G58" s="771"/>
      <c r="I58" s="771"/>
      <c r="J58" s="771"/>
      <c r="K58" s="771"/>
      <c r="L58" s="771"/>
      <c r="M58" s="771"/>
      <c r="N58" s="771"/>
      <c r="O58" s="771"/>
      <c r="P58" s="771"/>
      <c r="Q58" s="187"/>
      <c r="R58" s="187"/>
      <c r="S58" s="187"/>
    </row>
    <row r="59" spans="1:19" s="584" customFormat="1">
      <c r="A59" s="812" t="s">
        <v>19137</v>
      </c>
      <c r="B59" s="578">
        <v>1112</v>
      </c>
      <c r="C59" s="61" t="s">
        <v>246</v>
      </c>
      <c r="D59" s="300" t="s">
        <v>19142</v>
      </c>
      <c r="E59" s="923">
        <v>17</v>
      </c>
      <c r="F59" s="187"/>
      <c r="G59" s="771"/>
      <c r="I59" s="771"/>
      <c r="J59" s="771"/>
      <c r="K59" s="771"/>
      <c r="L59" s="771"/>
      <c r="M59" s="771"/>
      <c r="N59" s="771"/>
      <c r="O59" s="771"/>
      <c r="P59" s="771"/>
      <c r="Q59" s="187"/>
      <c r="R59" s="187"/>
      <c r="S59" s="187"/>
    </row>
    <row r="60" spans="1:19" s="584" customFormat="1">
      <c r="A60" s="812" t="s">
        <v>19137</v>
      </c>
      <c r="B60" s="578">
        <v>7101</v>
      </c>
      <c r="C60" s="771" t="s">
        <v>2787</v>
      </c>
      <c r="D60" s="300" t="s">
        <v>19142</v>
      </c>
      <c r="E60" s="229"/>
      <c r="F60" s="588">
        <f>E59</f>
        <v>17</v>
      </c>
      <c r="G60" s="771"/>
      <c r="I60" s="771"/>
      <c r="J60" s="771"/>
      <c r="K60" s="771"/>
      <c r="L60" s="771"/>
      <c r="M60" s="771"/>
      <c r="N60" s="771"/>
      <c r="O60" s="771"/>
      <c r="P60" s="771"/>
      <c r="Q60" s="187"/>
      <c r="R60" s="187"/>
      <c r="S60" s="187"/>
    </row>
    <row r="61" spans="1:19" s="584" customFormat="1">
      <c r="A61" s="812" t="s">
        <v>19137</v>
      </c>
      <c r="B61" s="578">
        <v>1112</v>
      </c>
      <c r="C61" s="61" t="s">
        <v>246</v>
      </c>
      <c r="D61" s="300" t="s">
        <v>19143</v>
      </c>
      <c r="E61" s="923">
        <v>26</v>
      </c>
      <c r="F61" s="187"/>
      <c r="G61" s="771"/>
      <c r="I61" s="771"/>
      <c r="J61" s="771"/>
      <c r="K61" s="771"/>
      <c r="L61" s="771"/>
      <c r="M61" s="771"/>
      <c r="N61" s="771"/>
      <c r="O61" s="771"/>
      <c r="P61" s="771"/>
      <c r="Q61" s="187"/>
      <c r="R61" s="187"/>
      <c r="S61" s="187"/>
    </row>
    <row r="62" spans="1:19" s="584" customFormat="1">
      <c r="A62" s="812" t="s">
        <v>19137</v>
      </c>
      <c r="B62" s="578">
        <v>7101</v>
      </c>
      <c r="C62" s="771" t="s">
        <v>2787</v>
      </c>
      <c r="D62" s="300" t="s">
        <v>19143</v>
      </c>
      <c r="E62" s="229"/>
      <c r="F62" s="588">
        <f>E61</f>
        <v>26</v>
      </c>
      <c r="G62" s="771"/>
      <c r="I62" s="771"/>
      <c r="J62" s="771"/>
      <c r="K62" s="771"/>
      <c r="L62" s="771"/>
      <c r="M62" s="771"/>
      <c r="N62" s="771"/>
      <c r="O62" s="771"/>
      <c r="P62" s="771"/>
      <c r="Q62" s="187"/>
      <c r="R62" s="187"/>
      <c r="S62" s="187"/>
    </row>
    <row r="63" spans="1:19" s="584" customFormat="1">
      <c r="A63" s="812" t="s">
        <v>19137</v>
      </c>
      <c r="B63" s="579">
        <v>6214</v>
      </c>
      <c r="C63" s="220" t="s">
        <v>2789</v>
      </c>
      <c r="D63" s="299" t="s">
        <v>19180</v>
      </c>
      <c r="E63" s="923">
        <v>73010</v>
      </c>
      <c r="F63" s="187"/>
      <c r="G63" s="771"/>
      <c r="I63" s="771"/>
      <c r="J63" s="771"/>
      <c r="K63" s="771"/>
      <c r="L63" s="771"/>
      <c r="M63" s="771"/>
      <c r="N63" s="771"/>
      <c r="O63" s="771"/>
      <c r="P63" s="771"/>
      <c r="Q63" s="187"/>
      <c r="R63" s="187"/>
      <c r="S63" s="187"/>
    </row>
    <row r="64" spans="1:19" s="584" customFormat="1">
      <c r="A64" s="812" t="s">
        <v>19137</v>
      </c>
      <c r="B64" s="579">
        <v>6214</v>
      </c>
      <c r="C64" s="220" t="s">
        <v>2789</v>
      </c>
      <c r="D64" s="299" t="s">
        <v>19188</v>
      </c>
      <c r="E64" s="236">
        <v>0</v>
      </c>
      <c r="F64" s="187"/>
      <c r="G64" s="771"/>
      <c r="I64" s="771"/>
      <c r="J64" s="771"/>
      <c r="K64" s="771"/>
      <c r="L64" s="771"/>
      <c r="M64" s="771"/>
      <c r="N64" s="771"/>
      <c r="O64" s="771"/>
      <c r="P64" s="771"/>
      <c r="Q64" s="187"/>
      <c r="R64" s="187"/>
      <c r="S64" s="187"/>
    </row>
    <row r="65" spans="1:19" s="584" customFormat="1">
      <c r="A65" s="812" t="s">
        <v>19137</v>
      </c>
      <c r="B65" s="578">
        <v>1112</v>
      </c>
      <c r="C65" s="220" t="s">
        <v>251</v>
      </c>
      <c r="D65" s="299" t="s">
        <v>19180</v>
      </c>
      <c r="E65" s="229"/>
      <c r="F65" s="588">
        <f>SUM(E63:E64)</f>
        <v>73010</v>
      </c>
      <c r="G65" s="771"/>
      <c r="I65" s="771"/>
      <c r="J65" s="771"/>
      <c r="K65" s="771"/>
      <c r="L65" s="771"/>
      <c r="M65" s="771"/>
      <c r="N65" s="771"/>
      <c r="O65" s="771"/>
      <c r="P65" s="771"/>
      <c r="Q65" s="187"/>
      <c r="R65" s="187"/>
      <c r="S65" s="187"/>
    </row>
    <row r="66" spans="1:19" s="584" customFormat="1">
      <c r="A66" s="812" t="s">
        <v>19137</v>
      </c>
      <c r="B66" s="579">
        <v>6214</v>
      </c>
      <c r="C66" s="220" t="s">
        <v>2790</v>
      </c>
      <c r="D66" s="300" t="s">
        <v>19181</v>
      </c>
      <c r="E66" s="923">
        <v>130614</v>
      </c>
      <c r="F66" s="187"/>
      <c r="G66" s="771"/>
      <c r="I66" s="771"/>
      <c r="J66" s="771"/>
      <c r="K66" s="771"/>
      <c r="L66" s="771"/>
      <c r="M66" s="771"/>
      <c r="N66" s="771"/>
      <c r="O66" s="771"/>
      <c r="P66" s="771"/>
      <c r="Q66" s="187"/>
      <c r="R66" s="187"/>
      <c r="S66" s="187"/>
    </row>
    <row r="67" spans="1:19" s="584" customFormat="1">
      <c r="A67" s="812" t="s">
        <v>19137</v>
      </c>
      <c r="B67" s="578">
        <v>1112</v>
      </c>
      <c r="C67" s="61" t="s">
        <v>251</v>
      </c>
      <c r="D67" s="300" t="s">
        <v>19181</v>
      </c>
      <c r="E67" s="229"/>
      <c r="F67" s="588">
        <f>E66</f>
        <v>130614</v>
      </c>
      <c r="G67" s="771"/>
      <c r="I67" s="771"/>
      <c r="J67" s="771"/>
      <c r="K67" s="771"/>
      <c r="L67" s="771"/>
      <c r="M67" s="771"/>
      <c r="N67" s="771"/>
      <c r="O67" s="771"/>
      <c r="P67" s="771"/>
      <c r="Q67" s="187"/>
      <c r="R67" s="187"/>
      <c r="S67" s="187"/>
    </row>
    <row r="68" spans="1:19" s="584" customFormat="1">
      <c r="A68" s="812" t="s">
        <v>19137</v>
      </c>
      <c r="B68" s="579">
        <v>6214</v>
      </c>
      <c r="C68" s="220" t="s">
        <v>2791</v>
      </c>
      <c r="D68" s="300" t="s">
        <v>19182</v>
      </c>
      <c r="E68" s="923">
        <v>51714</v>
      </c>
      <c r="F68" s="187"/>
      <c r="G68" s="771"/>
      <c r="I68" s="771"/>
      <c r="J68" s="771"/>
      <c r="K68" s="771"/>
      <c r="L68" s="771"/>
      <c r="M68" s="771"/>
      <c r="N68" s="771"/>
      <c r="O68" s="771"/>
      <c r="P68" s="771"/>
      <c r="Q68" s="187"/>
      <c r="R68" s="187"/>
      <c r="S68" s="187"/>
    </row>
    <row r="69" spans="1:19" s="584" customFormat="1">
      <c r="A69" s="812" t="s">
        <v>19137</v>
      </c>
      <c r="B69" s="578">
        <v>1112</v>
      </c>
      <c r="C69" s="61" t="s">
        <v>251</v>
      </c>
      <c r="D69" s="300" t="s">
        <v>19182</v>
      </c>
      <c r="E69" s="229"/>
      <c r="F69" s="588">
        <f>E68</f>
        <v>51714</v>
      </c>
      <c r="G69" s="581">
        <f>SUM(E52:E69)-SUM(F52:F69)</f>
        <v>0</v>
      </c>
      <c r="I69" s="771"/>
      <c r="J69" s="771"/>
      <c r="K69" s="771"/>
      <c r="L69" s="771"/>
      <c r="M69" s="771"/>
      <c r="N69" s="771"/>
      <c r="O69" s="771"/>
      <c r="P69" s="771"/>
      <c r="Q69" s="187"/>
      <c r="R69" s="187"/>
      <c r="S69" s="187"/>
    </row>
    <row r="70" spans="1:19" s="584" customFormat="1">
      <c r="A70" s="583"/>
      <c r="B70" s="263"/>
      <c r="C70" s="151"/>
      <c r="D70" s="61"/>
      <c r="E70" s="234"/>
      <c r="F70" s="771"/>
      <c r="G70" s="771"/>
      <c r="I70" s="771"/>
      <c r="J70" s="771"/>
      <c r="K70" s="771"/>
      <c r="L70" s="771"/>
      <c r="M70" s="771"/>
      <c r="N70" s="771"/>
      <c r="O70" s="771"/>
      <c r="P70" s="771"/>
      <c r="Q70" s="187"/>
      <c r="R70" s="187"/>
      <c r="S70" s="187"/>
    </row>
    <row r="71" spans="1:19" s="584" customFormat="1">
      <c r="A71" s="812" t="s">
        <v>19144</v>
      </c>
      <c r="B71" s="579">
        <v>6207</v>
      </c>
      <c r="C71" s="134" t="s">
        <v>1215</v>
      </c>
      <c r="D71" s="134" t="s">
        <v>19145</v>
      </c>
      <c r="E71" s="924">
        <v>56695</v>
      </c>
      <c r="F71" s="236"/>
      <c r="G71" s="771"/>
      <c r="I71" s="771"/>
      <c r="J71" s="771"/>
      <c r="K71" s="771"/>
      <c r="L71" s="771"/>
      <c r="M71" s="771"/>
      <c r="N71" s="771"/>
      <c r="O71" s="771"/>
      <c r="P71" s="771"/>
      <c r="Q71" s="187"/>
      <c r="R71" s="187"/>
      <c r="S71" s="187"/>
    </row>
    <row r="72" spans="1:19" s="584" customFormat="1">
      <c r="A72" s="812" t="s">
        <v>19144</v>
      </c>
      <c r="B72" s="579">
        <v>1194</v>
      </c>
      <c r="C72" s="134" t="s">
        <v>3798</v>
      </c>
      <c r="D72" s="134" t="s">
        <v>19145</v>
      </c>
      <c r="E72" s="923">
        <v>2834</v>
      </c>
      <c r="F72" s="236"/>
      <c r="G72" s="771"/>
      <c r="I72" s="771"/>
      <c r="J72" s="771"/>
      <c r="K72" s="771"/>
      <c r="L72" s="771"/>
      <c r="M72" s="771"/>
      <c r="N72" s="771"/>
      <c r="O72" s="771"/>
      <c r="P72" s="771"/>
      <c r="Q72" s="187"/>
      <c r="R72" s="187"/>
      <c r="S72" s="187"/>
    </row>
    <row r="73" spans="1:19" s="584" customFormat="1">
      <c r="A73" s="812" t="s">
        <v>19144</v>
      </c>
      <c r="B73" s="578">
        <v>1112</v>
      </c>
      <c r="C73" s="61" t="s">
        <v>251</v>
      </c>
      <c r="D73" s="134" t="s">
        <v>19145</v>
      </c>
      <c r="E73" s="237"/>
      <c r="F73" s="924">
        <v>59529</v>
      </c>
      <c r="G73" s="771"/>
      <c r="I73" s="771"/>
      <c r="J73" s="771"/>
      <c r="K73" s="771"/>
      <c r="L73" s="771"/>
      <c r="M73" s="771"/>
      <c r="N73" s="771"/>
      <c r="O73" s="771"/>
      <c r="P73" s="771"/>
      <c r="Q73" s="187"/>
      <c r="R73" s="187"/>
      <c r="S73" s="187"/>
    </row>
    <row r="74" spans="1:19" s="584" customFormat="1">
      <c r="A74" s="812" t="s">
        <v>19144</v>
      </c>
      <c r="B74" s="579">
        <v>6213</v>
      </c>
      <c r="C74" s="134" t="s">
        <v>877</v>
      </c>
      <c r="D74" s="134" t="s">
        <v>19146</v>
      </c>
      <c r="E74" s="924">
        <v>9970</v>
      </c>
      <c r="F74" s="236"/>
      <c r="G74" s="771"/>
      <c r="I74" s="771"/>
      <c r="J74" s="771"/>
      <c r="K74" s="771"/>
      <c r="L74" s="771"/>
      <c r="M74" s="771"/>
      <c r="N74" s="771"/>
      <c r="O74" s="771"/>
      <c r="P74" s="771"/>
      <c r="Q74" s="187"/>
      <c r="R74" s="187"/>
      <c r="S74" s="187"/>
    </row>
    <row r="75" spans="1:19" s="584" customFormat="1">
      <c r="A75" s="812" t="s">
        <v>19144</v>
      </c>
      <c r="B75" s="579">
        <v>1194</v>
      </c>
      <c r="C75" s="134" t="s">
        <v>3798</v>
      </c>
      <c r="D75" s="134" t="s">
        <v>19146</v>
      </c>
      <c r="E75" s="923">
        <v>499</v>
      </c>
      <c r="F75" s="236"/>
      <c r="G75" s="771"/>
      <c r="I75" s="771"/>
      <c r="J75" s="771"/>
      <c r="K75" s="771"/>
      <c r="L75" s="771"/>
      <c r="M75" s="771"/>
      <c r="N75" s="771"/>
      <c r="O75" s="771"/>
      <c r="P75" s="771"/>
      <c r="Q75" s="187"/>
      <c r="R75" s="187"/>
      <c r="S75" s="187"/>
    </row>
    <row r="76" spans="1:19" s="584" customFormat="1">
      <c r="A76" s="812" t="s">
        <v>19144</v>
      </c>
      <c r="B76" s="578">
        <v>1112</v>
      </c>
      <c r="C76" s="61" t="s">
        <v>251</v>
      </c>
      <c r="D76" s="134" t="s">
        <v>19146</v>
      </c>
      <c r="E76" s="237"/>
      <c r="F76" s="924">
        <v>10469</v>
      </c>
      <c r="G76" s="771"/>
      <c r="I76" s="771"/>
      <c r="J76" s="771"/>
      <c r="K76" s="771"/>
      <c r="L76" s="771"/>
      <c r="M76" s="771"/>
      <c r="N76" s="771"/>
      <c r="O76" s="771"/>
      <c r="P76" s="771"/>
      <c r="Q76" s="187"/>
      <c r="R76" s="187"/>
      <c r="S76" s="187"/>
    </row>
    <row r="77" spans="1:19" s="584" customFormat="1">
      <c r="A77" s="812" t="s">
        <v>19144</v>
      </c>
      <c r="B77" s="579">
        <v>1111</v>
      </c>
      <c r="C77" s="134" t="s">
        <v>463</v>
      </c>
      <c r="D77" s="134" t="s">
        <v>19147</v>
      </c>
      <c r="E77" s="923">
        <v>19000</v>
      </c>
      <c r="F77" s="236"/>
      <c r="G77" s="771"/>
      <c r="I77" s="771"/>
      <c r="J77" s="771"/>
      <c r="K77" s="771"/>
      <c r="L77" s="771"/>
      <c r="M77" s="771"/>
      <c r="N77" s="771"/>
      <c r="O77" s="771"/>
      <c r="P77" s="771"/>
      <c r="Q77" s="187"/>
      <c r="R77" s="187"/>
      <c r="S77" s="187"/>
    </row>
    <row r="78" spans="1:19" s="584" customFormat="1">
      <c r="A78" s="812" t="s">
        <v>19144</v>
      </c>
      <c r="B78" s="578">
        <v>1112</v>
      </c>
      <c r="C78" s="61" t="s">
        <v>251</v>
      </c>
      <c r="D78" s="134" t="s">
        <v>19147</v>
      </c>
      <c r="E78" s="237"/>
      <c r="F78" s="589">
        <f>E77</f>
        <v>19000</v>
      </c>
      <c r="G78" s="581">
        <f>SUM(E71:E78)-SUM(F71:F78)</f>
        <v>0</v>
      </c>
      <c r="I78" s="771"/>
      <c r="J78" s="771"/>
      <c r="K78" s="771"/>
      <c r="L78" s="771"/>
      <c r="M78" s="771"/>
      <c r="N78" s="771"/>
      <c r="O78" s="771"/>
      <c r="P78" s="771"/>
      <c r="Q78" s="187"/>
      <c r="R78" s="187"/>
      <c r="S78" s="187"/>
    </row>
    <row r="79" spans="1:19" s="584" customFormat="1">
      <c r="A79" s="583"/>
      <c r="B79" s="263"/>
      <c r="C79" s="151"/>
      <c r="D79" s="61"/>
      <c r="E79" s="234"/>
      <c r="F79" s="771"/>
      <c r="G79" s="771"/>
      <c r="I79" s="771"/>
      <c r="J79" s="771"/>
      <c r="K79" s="771"/>
      <c r="L79" s="771"/>
      <c r="M79" s="771"/>
      <c r="N79" s="771"/>
      <c r="O79" s="771"/>
      <c r="P79" s="771"/>
      <c r="Q79" s="187"/>
      <c r="R79" s="187"/>
      <c r="S79" s="187"/>
    </row>
    <row r="80" spans="1:19" s="584" customFormat="1">
      <c r="A80" s="812" t="s">
        <v>19148</v>
      </c>
      <c r="B80" s="579">
        <v>6213</v>
      </c>
      <c r="C80" s="61" t="s">
        <v>1217</v>
      </c>
      <c r="D80" s="807" t="s">
        <v>19149</v>
      </c>
      <c r="E80" s="923">
        <v>918</v>
      </c>
      <c r="F80" s="233"/>
      <c r="G80" s="771"/>
      <c r="I80" s="771"/>
      <c r="J80" s="771"/>
      <c r="K80" s="771"/>
      <c r="L80" s="771"/>
      <c r="M80" s="771"/>
      <c r="N80" s="771"/>
      <c r="O80" s="771"/>
      <c r="P80" s="771"/>
      <c r="Q80" s="187"/>
      <c r="R80" s="187"/>
      <c r="S80" s="187"/>
    </row>
    <row r="81" spans="1:19" s="584" customFormat="1">
      <c r="A81" s="812" t="s">
        <v>19148</v>
      </c>
      <c r="B81" s="579">
        <v>1194</v>
      </c>
      <c r="C81" s="61" t="s">
        <v>3798</v>
      </c>
      <c r="D81" s="807" t="s">
        <v>19149</v>
      </c>
      <c r="E81" s="923">
        <v>45</v>
      </c>
      <c r="F81" s="239"/>
      <c r="G81" s="771"/>
      <c r="I81" s="771"/>
      <c r="J81" s="771"/>
      <c r="K81" s="771"/>
      <c r="L81" s="771"/>
      <c r="M81" s="771"/>
      <c r="N81" s="771"/>
      <c r="O81" s="771"/>
      <c r="P81" s="771"/>
      <c r="Q81" s="187"/>
      <c r="R81" s="187"/>
      <c r="S81" s="187"/>
    </row>
    <row r="82" spans="1:19" s="584" customFormat="1">
      <c r="A82" s="812" t="s">
        <v>19148</v>
      </c>
      <c r="B82" s="579">
        <v>6213</v>
      </c>
      <c r="C82" s="61" t="s">
        <v>1217</v>
      </c>
      <c r="D82" s="134" t="s">
        <v>19150</v>
      </c>
      <c r="E82" s="923">
        <v>177</v>
      </c>
      <c r="F82" s="236"/>
      <c r="G82" s="771"/>
      <c r="I82" s="771"/>
      <c r="J82" s="771"/>
      <c r="K82" s="771"/>
      <c r="L82" s="771"/>
      <c r="M82" s="771"/>
      <c r="N82" s="771"/>
      <c r="O82" s="771"/>
      <c r="P82" s="771"/>
      <c r="Q82" s="187"/>
      <c r="R82" s="187"/>
      <c r="S82" s="187"/>
    </row>
    <row r="83" spans="1:19" s="584" customFormat="1">
      <c r="A83" s="812" t="s">
        <v>19148</v>
      </c>
      <c r="B83" s="579">
        <v>1111</v>
      </c>
      <c r="C83" s="61" t="s">
        <v>602</v>
      </c>
      <c r="D83" s="807" t="s">
        <v>19151</v>
      </c>
      <c r="E83" s="237"/>
      <c r="F83" s="927">
        <v>1140</v>
      </c>
      <c r="G83" s="581">
        <f>SUM(E80:E83)-SUM(F80:F83)</f>
        <v>0</v>
      </c>
      <c r="I83" s="771"/>
      <c r="J83" s="771"/>
      <c r="K83" s="771"/>
      <c r="L83" s="771"/>
      <c r="M83" s="771"/>
      <c r="N83" s="771"/>
      <c r="O83" s="771"/>
      <c r="P83" s="771"/>
      <c r="Q83" s="187"/>
      <c r="R83" s="187"/>
      <c r="S83" s="187"/>
    </row>
    <row r="84" spans="1:19" s="584" customFormat="1">
      <c r="A84" s="583"/>
      <c r="B84" s="263"/>
      <c r="C84" s="151"/>
      <c r="D84" s="61"/>
      <c r="E84" s="234"/>
      <c r="F84" s="771"/>
      <c r="G84" s="771"/>
      <c r="I84" s="771"/>
      <c r="J84" s="771"/>
      <c r="K84" s="771"/>
      <c r="L84" s="771"/>
      <c r="M84" s="771"/>
      <c r="N84" s="771"/>
      <c r="O84" s="771"/>
      <c r="P84" s="771"/>
      <c r="Q84" s="187"/>
      <c r="R84" s="187"/>
      <c r="S84" s="187"/>
    </row>
    <row r="85" spans="1:19" s="584" customFormat="1">
      <c r="A85" s="812" t="s">
        <v>19152</v>
      </c>
      <c r="B85" s="579">
        <v>6205</v>
      </c>
      <c r="C85" s="134" t="s">
        <v>1224</v>
      </c>
      <c r="D85" s="134" t="s">
        <v>598</v>
      </c>
      <c r="E85" s="924">
        <v>5944</v>
      </c>
      <c r="F85" s="236"/>
      <c r="G85" s="771"/>
      <c r="I85" s="771"/>
      <c r="J85" s="771"/>
      <c r="K85" s="771"/>
      <c r="L85" s="771"/>
      <c r="M85" s="771"/>
      <c r="N85" s="771"/>
      <c r="O85" s="771"/>
      <c r="P85" s="771"/>
      <c r="Q85" s="187"/>
      <c r="R85" s="187"/>
      <c r="S85" s="187"/>
    </row>
    <row r="86" spans="1:19" s="584" customFormat="1">
      <c r="A86" s="812" t="s">
        <v>19152</v>
      </c>
      <c r="B86" s="579">
        <v>6203</v>
      </c>
      <c r="C86" s="61" t="s">
        <v>1223</v>
      </c>
      <c r="D86" s="134" t="s">
        <v>2615</v>
      </c>
      <c r="E86" s="923">
        <v>637</v>
      </c>
      <c r="F86" s="239"/>
      <c r="G86" s="771"/>
      <c r="I86" s="771"/>
      <c r="J86" s="771"/>
      <c r="K86" s="771"/>
      <c r="L86" s="771"/>
      <c r="M86" s="771"/>
      <c r="N86" s="771"/>
      <c r="O86" s="771"/>
      <c r="P86" s="771"/>
      <c r="Q86" s="187"/>
      <c r="R86" s="187"/>
      <c r="S86" s="187"/>
    </row>
    <row r="87" spans="1:19" s="584" customFormat="1">
      <c r="A87" s="812" t="s">
        <v>19152</v>
      </c>
      <c r="B87" s="578">
        <v>6232</v>
      </c>
      <c r="C87" s="61" t="s">
        <v>1218</v>
      </c>
      <c r="D87" s="245" t="s">
        <v>19153</v>
      </c>
      <c r="E87" s="928">
        <v>4374</v>
      </c>
      <c r="F87" s="233"/>
      <c r="G87" s="771"/>
      <c r="I87" s="771"/>
      <c r="J87" s="771"/>
      <c r="K87" s="771"/>
      <c r="L87" s="771"/>
      <c r="M87" s="771"/>
      <c r="N87" s="771"/>
      <c r="O87" s="771"/>
      <c r="P87" s="771"/>
      <c r="Q87" s="187"/>
      <c r="R87" s="187"/>
      <c r="S87" s="187"/>
    </row>
    <row r="88" spans="1:19" s="584" customFormat="1">
      <c r="A88" s="812" t="s">
        <v>19152</v>
      </c>
      <c r="B88" s="578">
        <v>6207</v>
      </c>
      <c r="C88" s="61" t="s">
        <v>1222</v>
      </c>
      <c r="D88" s="807" t="s">
        <v>600</v>
      </c>
      <c r="E88" s="928">
        <v>3624</v>
      </c>
      <c r="F88" s="233"/>
      <c r="G88" s="771"/>
      <c r="I88" s="771"/>
      <c r="J88" s="771"/>
      <c r="K88" s="771"/>
      <c r="L88" s="771"/>
      <c r="M88" s="771"/>
      <c r="N88" s="771"/>
      <c r="O88" s="771"/>
      <c r="P88" s="771"/>
      <c r="Q88" s="187"/>
      <c r="R88" s="187"/>
      <c r="S88" s="187"/>
    </row>
    <row r="89" spans="1:19" s="584" customFormat="1">
      <c r="A89" s="812" t="s">
        <v>19152</v>
      </c>
      <c r="B89" s="578">
        <v>6230</v>
      </c>
      <c r="C89" s="61" t="s">
        <v>1221</v>
      </c>
      <c r="D89" s="807" t="s">
        <v>5717</v>
      </c>
      <c r="E89" s="928">
        <v>3497</v>
      </c>
      <c r="F89" s="233"/>
      <c r="G89" s="771"/>
      <c r="I89" s="771"/>
      <c r="J89" s="771"/>
      <c r="K89" s="771"/>
      <c r="L89" s="771"/>
      <c r="M89" s="771"/>
      <c r="N89" s="771"/>
      <c r="O89" s="771"/>
      <c r="P89" s="771"/>
      <c r="Q89" s="187"/>
      <c r="R89" s="187"/>
      <c r="S89" s="187"/>
    </row>
    <row r="90" spans="1:19" s="584" customFormat="1">
      <c r="A90" s="812" t="s">
        <v>19152</v>
      </c>
      <c r="B90" s="578">
        <v>6230</v>
      </c>
      <c r="C90" s="61" t="s">
        <v>1221</v>
      </c>
      <c r="D90" s="807" t="s">
        <v>15246</v>
      </c>
      <c r="E90" s="928">
        <f>250+200</f>
        <v>450</v>
      </c>
      <c r="F90" s="233"/>
      <c r="G90" s="771"/>
      <c r="I90" s="771"/>
      <c r="J90" s="771"/>
      <c r="K90" s="771"/>
      <c r="L90" s="771"/>
      <c r="M90" s="771"/>
      <c r="N90" s="771"/>
      <c r="O90" s="771"/>
      <c r="P90" s="771"/>
      <c r="Q90" s="187"/>
      <c r="R90" s="187"/>
      <c r="S90" s="187"/>
    </row>
    <row r="91" spans="1:19" s="584" customFormat="1">
      <c r="A91" s="812" t="s">
        <v>19152</v>
      </c>
      <c r="B91" s="579">
        <v>6215</v>
      </c>
      <c r="C91" s="61" t="s">
        <v>1220</v>
      </c>
      <c r="D91" s="807" t="s">
        <v>5750</v>
      </c>
      <c r="E91" s="928">
        <v>600</v>
      </c>
      <c r="F91" s="233"/>
      <c r="G91" s="771"/>
      <c r="I91" s="771"/>
      <c r="J91" s="771"/>
      <c r="K91" s="771"/>
      <c r="L91" s="771"/>
      <c r="M91" s="771"/>
      <c r="N91" s="771"/>
      <c r="O91" s="771"/>
      <c r="P91" s="771"/>
      <c r="Q91" s="187"/>
      <c r="R91" s="187"/>
      <c r="S91" s="187"/>
    </row>
    <row r="92" spans="1:19" s="584" customFormat="1">
      <c r="A92" s="812" t="s">
        <v>19154</v>
      </c>
      <c r="B92" s="579">
        <v>2192</v>
      </c>
      <c r="C92" s="299" t="s">
        <v>10137</v>
      </c>
      <c r="D92" s="807" t="s">
        <v>10157</v>
      </c>
      <c r="E92" s="236"/>
      <c r="F92" s="771"/>
      <c r="G92" s="771"/>
      <c r="I92" s="771"/>
      <c r="J92" s="771"/>
      <c r="K92" s="771"/>
      <c r="L92" s="771"/>
      <c r="M92" s="771"/>
      <c r="N92" s="771"/>
      <c r="O92" s="771"/>
      <c r="P92" s="771"/>
      <c r="Q92" s="187"/>
      <c r="R92" s="187"/>
      <c r="S92" s="187"/>
    </row>
    <row r="93" spans="1:19" s="584" customFormat="1">
      <c r="A93" s="812" t="s">
        <v>19152</v>
      </c>
      <c r="B93" s="579">
        <v>1111</v>
      </c>
      <c r="C93" s="61" t="s">
        <v>602</v>
      </c>
      <c r="D93" s="807" t="s">
        <v>603</v>
      </c>
      <c r="E93" s="237"/>
      <c r="F93" s="589">
        <f>SUM(E85:E92)</f>
        <v>19126</v>
      </c>
      <c r="G93" s="771"/>
      <c r="I93" s="771"/>
      <c r="J93" s="771"/>
      <c r="K93" s="771"/>
      <c r="L93" s="771"/>
      <c r="M93" s="771"/>
      <c r="N93" s="771"/>
      <c r="O93" s="771"/>
      <c r="P93" s="771"/>
      <c r="Q93" s="187"/>
      <c r="R93" s="187"/>
      <c r="S93" s="187"/>
    </row>
    <row r="94" spans="1:19" s="584" customFormat="1">
      <c r="A94" s="812" t="s">
        <v>19152</v>
      </c>
      <c r="B94" s="578">
        <v>6232</v>
      </c>
      <c r="C94" s="61" t="s">
        <v>1218</v>
      </c>
      <c r="D94" s="245" t="s">
        <v>19189</v>
      </c>
      <c r="E94" s="928">
        <v>17616</v>
      </c>
      <c r="F94" s="233"/>
      <c r="G94" s="771"/>
      <c r="I94" s="771"/>
      <c r="J94" s="771"/>
      <c r="K94" s="771"/>
      <c r="L94" s="771"/>
      <c r="M94" s="771"/>
      <c r="N94" s="771"/>
      <c r="O94" s="771"/>
      <c r="P94" s="771"/>
      <c r="Q94" s="187"/>
      <c r="R94" s="187"/>
      <c r="S94" s="187"/>
    </row>
    <row r="95" spans="1:19" s="584" customFormat="1">
      <c r="A95" s="812" t="s">
        <v>19155</v>
      </c>
      <c r="B95" s="578">
        <v>1112</v>
      </c>
      <c r="C95" s="61" t="s">
        <v>251</v>
      </c>
      <c r="D95" s="300" t="s">
        <v>19183</v>
      </c>
      <c r="E95" s="229"/>
      <c r="F95" s="589">
        <f>SUM(E94)</f>
        <v>17616</v>
      </c>
      <c r="G95" s="581">
        <f>SUM(E85:E95)-SUM(F85:F95)</f>
        <v>0</v>
      </c>
      <c r="I95" s="771"/>
      <c r="J95" s="771"/>
      <c r="K95" s="771"/>
      <c r="L95" s="771"/>
      <c r="M95" s="771"/>
      <c r="N95" s="771"/>
      <c r="O95" s="771"/>
      <c r="P95" s="771"/>
      <c r="Q95" s="187"/>
      <c r="R95" s="187"/>
      <c r="S95" s="187"/>
    </row>
    <row r="96" spans="1:19" s="584" customFormat="1">
      <c r="A96" s="583"/>
      <c r="B96" s="263"/>
      <c r="C96" s="151"/>
      <c r="D96" s="61"/>
      <c r="E96" s="234"/>
      <c r="F96" s="771"/>
      <c r="G96" s="771"/>
      <c r="I96" s="771"/>
      <c r="J96" s="771"/>
      <c r="K96" s="771"/>
      <c r="L96" s="771"/>
      <c r="M96" s="771"/>
      <c r="N96" s="771"/>
      <c r="O96" s="771"/>
      <c r="P96" s="771"/>
      <c r="Q96" s="187"/>
      <c r="R96" s="187"/>
      <c r="S96" s="187"/>
    </row>
    <row r="97" spans="1:19" s="584" customFormat="1">
      <c r="A97" s="812" t="s">
        <v>19155</v>
      </c>
      <c r="B97" s="578">
        <v>2194</v>
      </c>
      <c r="C97" s="61" t="s">
        <v>1216</v>
      </c>
      <c r="D97" s="245" t="s">
        <v>19156</v>
      </c>
      <c r="E97" s="589">
        <f>F99-E98</f>
        <v>18957</v>
      </c>
      <c r="F97" s="803"/>
      <c r="G97" s="771"/>
      <c r="I97" s="771"/>
      <c r="J97" s="233"/>
      <c r="K97" s="771"/>
      <c r="L97" s="771"/>
      <c r="M97" s="771"/>
      <c r="N97" s="771"/>
      <c r="O97" s="771"/>
      <c r="P97" s="771"/>
      <c r="Q97" s="187"/>
      <c r="R97" s="187"/>
      <c r="S97" s="187"/>
    </row>
    <row r="98" spans="1:19" s="584" customFormat="1">
      <c r="A98" s="812" t="s">
        <v>19155</v>
      </c>
      <c r="B98" s="579">
        <v>1194</v>
      </c>
      <c r="C98" s="300" t="s">
        <v>3798</v>
      </c>
      <c r="D98" s="245" t="s">
        <v>19157</v>
      </c>
      <c r="E98" s="803">
        <v>0</v>
      </c>
      <c r="F98" s="803"/>
      <c r="G98" s="771"/>
      <c r="I98" s="771"/>
      <c r="J98" s="771"/>
      <c r="K98" s="771"/>
      <c r="L98" s="771"/>
      <c r="M98" s="771"/>
      <c r="N98" s="771"/>
      <c r="O98" s="771"/>
      <c r="P98" s="771"/>
      <c r="Q98" s="187"/>
      <c r="R98" s="187"/>
      <c r="S98" s="187"/>
    </row>
    <row r="99" spans="1:19" s="584" customFormat="1">
      <c r="A99" s="812" t="s">
        <v>19155</v>
      </c>
      <c r="B99" s="579">
        <v>1194</v>
      </c>
      <c r="C99" s="61" t="s">
        <v>596</v>
      </c>
      <c r="D99" s="245" t="s">
        <v>19158</v>
      </c>
      <c r="E99" s="236"/>
      <c r="F99" s="927">
        <v>18957</v>
      </c>
      <c r="G99" s="771"/>
      <c r="I99" s="771"/>
      <c r="J99" s="771"/>
      <c r="K99" s="771"/>
      <c r="L99" s="771"/>
      <c r="M99" s="771"/>
      <c r="N99" s="771"/>
      <c r="O99" s="771"/>
      <c r="P99" s="771"/>
      <c r="Q99" s="187"/>
      <c r="R99" s="187"/>
      <c r="S99" s="187"/>
    </row>
    <row r="100" spans="1:19" s="584" customFormat="1">
      <c r="A100" s="812" t="s">
        <v>19155</v>
      </c>
      <c r="B100" s="577">
        <v>2194</v>
      </c>
      <c r="C100" s="300" t="s">
        <v>1216</v>
      </c>
      <c r="D100" s="300" t="s">
        <v>19184</v>
      </c>
      <c r="E100" s="589">
        <f>SUM(F101:F102)</f>
        <v>160378</v>
      </c>
      <c r="F100" s="187"/>
      <c r="G100" s="771"/>
      <c r="I100" s="771"/>
      <c r="J100" s="771"/>
      <c r="K100" s="771"/>
      <c r="L100" s="771"/>
      <c r="M100" s="771"/>
      <c r="N100" s="771"/>
      <c r="O100" s="771"/>
      <c r="P100" s="771"/>
      <c r="Q100" s="187"/>
      <c r="R100" s="187"/>
      <c r="S100" s="187"/>
    </row>
    <row r="101" spans="1:19" s="584" customFormat="1">
      <c r="A101" s="812" t="s">
        <v>19155</v>
      </c>
      <c r="B101" s="578">
        <v>1112</v>
      </c>
      <c r="C101" s="61" t="s">
        <v>251</v>
      </c>
      <c r="D101" s="300" t="s">
        <v>19183</v>
      </c>
      <c r="E101" s="229"/>
      <c r="F101" s="923">
        <v>160378</v>
      </c>
      <c r="G101" s="771"/>
      <c r="I101" s="771"/>
      <c r="J101" s="771"/>
      <c r="K101" s="771"/>
      <c r="L101" s="771"/>
      <c r="M101" s="771"/>
      <c r="N101" s="771"/>
      <c r="O101" s="771"/>
      <c r="P101" s="771"/>
      <c r="Q101" s="187"/>
      <c r="R101" s="187"/>
      <c r="S101" s="187"/>
    </row>
    <row r="102" spans="1:19" s="584" customFormat="1">
      <c r="A102" s="812" t="s">
        <v>19155</v>
      </c>
      <c r="B102" s="578">
        <v>1112</v>
      </c>
      <c r="C102" s="300" t="s">
        <v>249</v>
      </c>
      <c r="D102" s="300" t="s">
        <v>19159</v>
      </c>
      <c r="E102" s="237"/>
      <c r="F102" s="233"/>
      <c r="G102" s="581">
        <f>SUM(E97:E102)-SUM(F97:F102)</f>
        <v>0</v>
      </c>
      <c r="I102" s="771"/>
      <c r="J102" s="771"/>
      <c r="K102" s="771"/>
      <c r="L102" s="771"/>
      <c r="M102" s="771"/>
      <c r="N102" s="771"/>
      <c r="O102" s="771"/>
      <c r="P102" s="771"/>
      <c r="Q102" s="187"/>
      <c r="R102" s="187"/>
      <c r="S102" s="187"/>
    </row>
    <row r="103" spans="1:19" s="584" customFormat="1">
      <c r="A103" s="583"/>
      <c r="B103" s="263"/>
      <c r="C103" s="151"/>
      <c r="D103" s="61"/>
      <c r="E103" s="234"/>
      <c r="F103" s="771"/>
      <c r="G103" s="771"/>
      <c r="I103" s="771"/>
      <c r="J103" s="771"/>
      <c r="K103" s="771"/>
      <c r="L103" s="771"/>
      <c r="M103" s="771"/>
      <c r="N103" s="771"/>
      <c r="O103" s="771"/>
      <c r="P103" s="771"/>
      <c r="Q103" s="187"/>
      <c r="R103" s="187"/>
      <c r="S103" s="187"/>
    </row>
    <row r="104" spans="1:19" s="584" customFormat="1">
      <c r="A104" s="812" t="s">
        <v>19160</v>
      </c>
      <c r="B104" s="579">
        <v>5201</v>
      </c>
      <c r="C104" s="134" t="s">
        <v>1219</v>
      </c>
      <c r="D104" s="134" t="s">
        <v>19161</v>
      </c>
      <c r="E104" s="923">
        <v>156945</v>
      </c>
      <c r="F104" s="236"/>
      <c r="G104" s="771"/>
      <c r="I104" s="771"/>
      <c r="J104" s="771"/>
      <c r="K104" s="771"/>
      <c r="L104" s="771"/>
      <c r="M104" s="771"/>
      <c r="N104" s="771"/>
      <c r="O104" s="771"/>
      <c r="P104" s="771"/>
      <c r="Q104" s="187"/>
      <c r="R104" s="187"/>
      <c r="S104" s="187"/>
    </row>
    <row r="105" spans="1:19" s="584" customFormat="1">
      <c r="A105" s="812" t="s">
        <v>19160</v>
      </c>
      <c r="B105" s="579">
        <v>1194</v>
      </c>
      <c r="C105" s="61" t="s">
        <v>3798</v>
      </c>
      <c r="D105" s="134" t="s">
        <v>19161</v>
      </c>
      <c r="E105" s="923">
        <v>7815</v>
      </c>
      <c r="F105" s="239"/>
      <c r="G105" s="771"/>
      <c r="I105" s="771"/>
      <c r="J105" s="771"/>
      <c r="K105" s="771"/>
      <c r="L105" s="771"/>
      <c r="M105" s="771"/>
      <c r="N105" s="771"/>
      <c r="O105" s="771"/>
      <c r="P105" s="771"/>
      <c r="Q105" s="187"/>
      <c r="R105" s="187"/>
      <c r="S105" s="187"/>
    </row>
    <row r="106" spans="1:19" s="584" customFormat="1">
      <c r="A106" s="812" t="s">
        <v>19160</v>
      </c>
      <c r="B106" s="816">
        <v>6209</v>
      </c>
      <c r="C106" s="299" t="s">
        <v>597</v>
      </c>
      <c r="D106" s="807" t="s">
        <v>19162</v>
      </c>
      <c r="E106" s="309">
        <v>0</v>
      </c>
      <c r="F106" s="237"/>
      <c r="G106" s="771"/>
      <c r="I106" s="771"/>
      <c r="J106" s="771"/>
      <c r="K106" s="771"/>
      <c r="L106" s="771"/>
      <c r="M106" s="771"/>
      <c r="N106" s="771"/>
      <c r="O106" s="771"/>
      <c r="P106" s="771"/>
      <c r="Q106" s="187"/>
      <c r="R106" s="187"/>
      <c r="S106" s="187"/>
    </row>
    <row r="107" spans="1:19" s="584" customFormat="1">
      <c r="A107" s="812" t="s">
        <v>19160</v>
      </c>
      <c r="B107" s="579">
        <v>1194</v>
      </c>
      <c r="C107" s="61" t="s">
        <v>3798</v>
      </c>
      <c r="D107" s="807" t="s">
        <v>19162</v>
      </c>
      <c r="E107" s="236">
        <v>0</v>
      </c>
      <c r="F107" s="239"/>
      <c r="G107" s="771"/>
      <c r="I107" s="771"/>
      <c r="J107" s="771"/>
      <c r="K107" s="771"/>
      <c r="L107" s="771"/>
      <c r="M107" s="771"/>
      <c r="N107" s="771"/>
      <c r="O107" s="771"/>
      <c r="P107" s="771"/>
      <c r="Q107" s="187"/>
      <c r="R107" s="187"/>
      <c r="S107" s="187"/>
    </row>
    <row r="108" spans="1:19" s="584" customFormat="1">
      <c r="A108" s="812" t="s">
        <v>19160</v>
      </c>
      <c r="B108" s="579">
        <v>6209</v>
      </c>
      <c r="C108" s="220" t="s">
        <v>597</v>
      </c>
      <c r="D108" s="807" t="s">
        <v>19163</v>
      </c>
      <c r="E108" s="923">
        <v>3745</v>
      </c>
      <c r="F108" s="237"/>
      <c r="G108" s="771"/>
      <c r="I108" s="771"/>
      <c r="J108" s="771"/>
      <c r="K108" s="771"/>
      <c r="L108" s="771"/>
      <c r="M108" s="771"/>
      <c r="N108" s="771"/>
      <c r="O108" s="771"/>
      <c r="P108" s="771"/>
      <c r="Q108" s="187"/>
      <c r="R108" s="187"/>
      <c r="S108" s="187"/>
    </row>
    <row r="109" spans="1:19" s="584" customFormat="1">
      <c r="A109" s="812" t="s">
        <v>19160</v>
      </c>
      <c r="B109" s="579">
        <v>6215</v>
      </c>
      <c r="C109" s="61" t="s">
        <v>1220</v>
      </c>
      <c r="D109" s="807" t="s">
        <v>15250</v>
      </c>
      <c r="E109" s="923">
        <v>1482</v>
      </c>
      <c r="F109" s="237"/>
      <c r="G109" s="771"/>
      <c r="I109" s="771"/>
      <c r="J109" s="771"/>
      <c r="K109" s="771"/>
      <c r="L109" s="771"/>
      <c r="M109" s="771"/>
      <c r="N109" s="771"/>
      <c r="O109" s="771"/>
      <c r="P109" s="771"/>
      <c r="Q109" s="187"/>
      <c r="R109" s="187"/>
      <c r="S109" s="187"/>
    </row>
    <row r="110" spans="1:19" s="584" customFormat="1">
      <c r="A110" s="812" t="s">
        <v>19160</v>
      </c>
      <c r="B110" s="579">
        <v>6207</v>
      </c>
      <c r="C110" s="61" t="s">
        <v>1215</v>
      </c>
      <c r="D110" s="807" t="s">
        <v>15239</v>
      </c>
      <c r="E110" s="923">
        <v>1600</v>
      </c>
      <c r="F110" s="233"/>
      <c r="G110" s="771"/>
      <c r="I110" s="771"/>
      <c r="J110" s="771"/>
      <c r="K110" s="771"/>
      <c r="L110" s="771"/>
      <c r="M110" s="771"/>
      <c r="N110" s="771"/>
      <c r="O110" s="771"/>
      <c r="P110" s="771"/>
      <c r="Q110" s="187"/>
      <c r="R110" s="187"/>
      <c r="S110" s="187"/>
    </row>
    <row r="111" spans="1:19" s="584" customFormat="1">
      <c r="A111" s="812" t="s">
        <v>19160</v>
      </c>
      <c r="B111" s="578">
        <v>2123</v>
      </c>
      <c r="C111" s="166" t="s">
        <v>4455</v>
      </c>
      <c r="D111" s="807" t="s">
        <v>19185</v>
      </c>
      <c r="E111" s="924">
        <v>32760</v>
      </c>
      <c r="F111" s="239"/>
      <c r="G111" s="771"/>
      <c r="I111" s="771"/>
      <c r="J111" s="771"/>
      <c r="K111" s="771"/>
      <c r="L111" s="771"/>
      <c r="M111" s="771"/>
      <c r="N111" s="771"/>
      <c r="O111" s="771"/>
      <c r="P111" s="771"/>
      <c r="Q111" s="187"/>
      <c r="R111" s="187"/>
      <c r="S111" s="187"/>
    </row>
    <row r="112" spans="1:19" s="584" customFormat="1">
      <c r="A112" s="812" t="s">
        <v>19160</v>
      </c>
      <c r="B112" s="579">
        <v>2192</v>
      </c>
      <c r="C112" s="299" t="s">
        <v>10137</v>
      </c>
      <c r="D112" s="807" t="s">
        <v>10138</v>
      </c>
      <c r="E112" s="309">
        <v>0</v>
      </c>
      <c r="F112" s="771"/>
      <c r="G112" s="771"/>
      <c r="I112" s="771"/>
      <c r="J112" s="771"/>
      <c r="K112" s="771"/>
      <c r="L112" s="771"/>
      <c r="M112" s="771"/>
      <c r="N112" s="771"/>
      <c r="O112" s="771"/>
      <c r="P112" s="771"/>
      <c r="Q112" s="187"/>
      <c r="R112" s="187"/>
      <c r="S112" s="187"/>
    </row>
    <row r="113" spans="1:19" s="584" customFormat="1">
      <c r="A113" s="812" t="s">
        <v>19160</v>
      </c>
      <c r="B113" s="578">
        <v>2123</v>
      </c>
      <c r="C113" s="61" t="s">
        <v>595</v>
      </c>
      <c r="D113" s="807" t="s">
        <v>19164</v>
      </c>
      <c r="E113" s="229"/>
      <c r="F113" s="924">
        <v>14267</v>
      </c>
      <c r="G113" s="771"/>
      <c r="I113" s="771"/>
      <c r="J113" s="771"/>
      <c r="K113" s="771"/>
      <c r="L113" s="771"/>
      <c r="M113" s="771"/>
      <c r="N113" s="771"/>
      <c r="O113" s="771"/>
      <c r="P113" s="771"/>
      <c r="Q113" s="187"/>
      <c r="R113" s="187"/>
      <c r="S113" s="187"/>
    </row>
    <row r="114" spans="1:19" s="584" customFormat="1">
      <c r="A114" s="812" t="s">
        <v>19160</v>
      </c>
      <c r="B114" s="577">
        <v>1112</v>
      </c>
      <c r="C114" s="61" t="s">
        <v>251</v>
      </c>
      <c r="D114" s="807" t="s">
        <v>19165</v>
      </c>
      <c r="E114" s="236"/>
      <c r="F114" s="925">
        <v>117704</v>
      </c>
      <c r="G114" s="771"/>
      <c r="I114" s="771"/>
      <c r="J114" s="771"/>
      <c r="K114" s="771"/>
      <c r="L114" s="771"/>
      <c r="M114" s="771"/>
      <c r="N114" s="771"/>
      <c r="O114" s="771"/>
      <c r="P114" s="771"/>
      <c r="Q114" s="187"/>
      <c r="R114" s="187"/>
      <c r="S114" s="187"/>
    </row>
    <row r="115" spans="1:19" s="584" customFormat="1">
      <c r="A115" s="812" t="s">
        <v>19160</v>
      </c>
      <c r="B115" s="577">
        <v>1112</v>
      </c>
      <c r="C115" s="300" t="s">
        <v>251</v>
      </c>
      <c r="D115" s="807" t="s">
        <v>19166</v>
      </c>
      <c r="E115" s="309"/>
      <c r="F115" s="925">
        <v>6842</v>
      </c>
      <c r="G115" s="581">
        <f>SUM(E104:E115)-SUM(F104:F115)</f>
        <v>65534</v>
      </c>
      <c r="I115" s="771"/>
      <c r="J115" s="771"/>
      <c r="K115" s="771"/>
      <c r="L115" s="771"/>
      <c r="M115" s="771"/>
      <c r="N115" s="771"/>
      <c r="O115" s="771"/>
      <c r="P115" s="771"/>
      <c r="Q115" s="187"/>
      <c r="R115" s="187"/>
      <c r="S115" s="187"/>
    </row>
    <row r="116" spans="1:19" s="584" customFormat="1">
      <c r="A116" s="583"/>
      <c r="B116" s="263"/>
      <c r="C116" s="151"/>
      <c r="D116" s="61"/>
      <c r="E116" s="234"/>
      <c r="F116" s="233"/>
      <c r="G116" s="771"/>
      <c r="I116" s="771"/>
      <c r="J116" s="771"/>
      <c r="K116" s="771"/>
      <c r="L116" s="771"/>
      <c r="M116" s="771"/>
      <c r="N116" s="771"/>
      <c r="O116" s="771"/>
      <c r="P116" s="771"/>
      <c r="Q116" s="187"/>
      <c r="R116" s="187"/>
      <c r="S116" s="187"/>
    </row>
    <row r="117" spans="1:19" s="584" customFormat="1">
      <c r="A117" s="812" t="s">
        <v>19167</v>
      </c>
      <c r="B117" s="578">
        <v>5901</v>
      </c>
      <c r="C117" s="592" t="s">
        <v>3895</v>
      </c>
      <c r="D117" s="166" t="s">
        <v>15251</v>
      </c>
      <c r="E117" s="929">
        <v>130247</v>
      </c>
      <c r="F117" s="106"/>
      <c r="G117" s="771"/>
      <c r="I117" s="771"/>
      <c r="J117" s="771"/>
      <c r="K117" s="771"/>
      <c r="L117" s="771"/>
      <c r="M117" s="771"/>
      <c r="N117" s="771"/>
      <c r="O117" s="771"/>
      <c r="P117" s="771"/>
      <c r="Q117" s="187"/>
      <c r="R117" s="187"/>
      <c r="S117" s="187"/>
    </row>
    <row r="118" spans="1:19" s="584" customFormat="1">
      <c r="A118" s="812" t="s">
        <v>19167</v>
      </c>
      <c r="B118" s="578">
        <v>1130</v>
      </c>
      <c r="C118" s="151" t="s">
        <v>3896</v>
      </c>
      <c r="D118" s="166" t="s">
        <v>15251</v>
      </c>
      <c r="E118" s="108"/>
      <c r="F118" s="595">
        <f>E117</f>
        <v>130247</v>
      </c>
      <c r="G118" s="771"/>
      <c r="I118" s="771"/>
      <c r="J118" s="771"/>
      <c r="K118" s="771"/>
      <c r="L118" s="771"/>
      <c r="M118" s="771"/>
      <c r="N118" s="771"/>
      <c r="O118" s="771"/>
      <c r="P118" s="771"/>
      <c r="Q118" s="187"/>
      <c r="R118" s="187"/>
      <c r="S118" s="187"/>
    </row>
    <row r="119" spans="1:19" s="584" customFormat="1">
      <c r="A119" s="812" t="s">
        <v>19167</v>
      </c>
      <c r="B119" s="578">
        <v>1130</v>
      </c>
      <c r="C119" s="593" t="s">
        <v>3889</v>
      </c>
      <c r="D119" s="6" t="s">
        <v>3890</v>
      </c>
      <c r="E119" s="15">
        <v>0</v>
      </c>
      <c r="F119" s="13"/>
      <c r="G119" s="15"/>
      <c r="I119" s="771"/>
      <c r="J119" s="771"/>
      <c r="K119" s="771"/>
      <c r="L119" s="771"/>
      <c r="M119" s="771"/>
      <c r="N119" s="771"/>
      <c r="O119" s="771"/>
      <c r="P119" s="771"/>
      <c r="Q119" s="187"/>
      <c r="R119" s="187"/>
      <c r="S119" s="187"/>
    </row>
    <row r="120" spans="1:19" s="584" customFormat="1">
      <c r="A120" s="812" t="s">
        <v>19167</v>
      </c>
      <c r="B120" s="578">
        <v>1130</v>
      </c>
      <c r="C120" s="593" t="s">
        <v>3891</v>
      </c>
      <c r="D120" s="166" t="s">
        <v>19190</v>
      </c>
      <c r="E120" s="928">
        <v>156945</v>
      </c>
      <c r="F120" s="16"/>
      <c r="G120" s="771"/>
      <c r="I120" s="771"/>
      <c r="J120" s="771"/>
      <c r="K120" s="771"/>
      <c r="L120" s="771"/>
      <c r="M120" s="771"/>
      <c r="N120" s="771"/>
      <c r="O120" s="771"/>
      <c r="P120" s="771"/>
      <c r="Q120" s="187"/>
      <c r="R120" s="187"/>
      <c r="S120" s="187"/>
    </row>
    <row r="121" spans="1:19" s="584" customFormat="1">
      <c r="A121" s="812" t="s">
        <v>19167</v>
      </c>
      <c r="B121" s="578">
        <v>1130</v>
      </c>
      <c r="C121" s="151" t="s">
        <v>3892</v>
      </c>
      <c r="D121" s="6" t="s">
        <v>3893</v>
      </c>
      <c r="E121" s="15"/>
      <c r="F121" s="141">
        <v>0</v>
      </c>
      <c r="G121" s="771"/>
      <c r="I121" s="771"/>
      <c r="J121" s="771"/>
      <c r="K121" s="771"/>
      <c r="L121" s="771"/>
      <c r="M121" s="771"/>
      <c r="N121" s="771"/>
      <c r="O121" s="771"/>
      <c r="P121" s="771"/>
      <c r="Q121" s="187"/>
      <c r="R121" s="187"/>
      <c r="S121" s="187"/>
    </row>
    <row r="122" spans="1:19" s="584" customFormat="1">
      <c r="A122" s="812" t="s">
        <v>19167</v>
      </c>
      <c r="B122" s="578">
        <v>5201</v>
      </c>
      <c r="C122" s="195" t="s">
        <v>4954</v>
      </c>
      <c r="D122" s="6" t="s">
        <v>3894</v>
      </c>
      <c r="E122" s="15"/>
      <c r="F122" s="596">
        <f>E119+E120-F121</f>
        <v>156945</v>
      </c>
      <c r="G122" s="581">
        <f>SUM(E117:E122)-SUM(F117:F122)</f>
        <v>0</v>
      </c>
      <c r="I122" s="771"/>
      <c r="J122" s="233"/>
      <c r="K122" s="771"/>
      <c r="L122" s="771"/>
      <c r="M122" s="771"/>
      <c r="N122" s="771"/>
      <c r="O122" s="771"/>
      <c r="P122" s="771"/>
      <c r="Q122" s="187"/>
      <c r="R122" s="187"/>
      <c r="S122" s="187"/>
    </row>
    <row r="123" spans="1:19" s="584" customFormat="1">
      <c r="A123" s="583"/>
      <c r="B123" s="578"/>
      <c r="C123" s="231"/>
      <c r="D123" s="220"/>
      <c r="E123" s="236"/>
      <c r="F123" s="236"/>
      <c r="G123" s="771"/>
      <c r="I123" s="771"/>
      <c r="J123" s="771"/>
      <c r="K123" s="771"/>
      <c r="L123" s="771"/>
      <c r="M123" s="771"/>
      <c r="N123" s="771"/>
      <c r="O123" s="771"/>
      <c r="P123" s="771"/>
      <c r="Q123" s="187"/>
      <c r="R123" s="187"/>
      <c r="S123" s="187"/>
    </row>
    <row r="124" spans="1:19" s="584" customFormat="1">
      <c r="A124" s="812" t="s">
        <v>19154</v>
      </c>
      <c r="B124" s="579">
        <v>2192</v>
      </c>
      <c r="C124" s="220" t="s">
        <v>18</v>
      </c>
      <c r="D124" t="s">
        <v>19191</v>
      </c>
      <c r="E124" s="923">
        <v>8888</v>
      </c>
      <c r="F124" s="237"/>
      <c r="G124" s="771"/>
      <c r="I124" s="771"/>
      <c r="J124" s="771"/>
      <c r="K124" s="771"/>
      <c r="L124" s="771"/>
      <c r="M124" s="771"/>
      <c r="N124" s="771"/>
      <c r="O124" s="771"/>
      <c r="P124" s="771"/>
      <c r="Q124" s="187"/>
      <c r="R124" s="187"/>
      <c r="S124" s="187"/>
    </row>
    <row r="125" spans="1:19" s="584" customFormat="1">
      <c r="A125" s="812" t="s">
        <v>19154</v>
      </c>
      <c r="B125" s="579">
        <v>2192</v>
      </c>
      <c r="C125" s="220" t="s">
        <v>18</v>
      </c>
      <c r="D125" t="s">
        <v>19192</v>
      </c>
      <c r="E125" s="923">
        <v>62100</v>
      </c>
      <c r="F125" s="237"/>
      <c r="G125" s="771"/>
      <c r="I125" s="771"/>
      <c r="J125" s="771"/>
      <c r="K125" s="771"/>
      <c r="L125" s="771"/>
      <c r="M125" s="771"/>
      <c r="N125" s="771"/>
      <c r="O125" s="771"/>
      <c r="P125" s="771"/>
      <c r="Q125" s="187"/>
      <c r="R125" s="187"/>
      <c r="S125" s="187"/>
    </row>
    <row r="126" spans="1:19" s="584" customFormat="1">
      <c r="A126" s="812" t="s">
        <v>19154</v>
      </c>
      <c r="B126" s="579">
        <v>2192</v>
      </c>
      <c r="C126" s="220" t="s">
        <v>18</v>
      </c>
      <c r="D126" t="s">
        <v>19193</v>
      </c>
      <c r="E126" s="923">
        <v>9999</v>
      </c>
      <c r="F126" s="237"/>
      <c r="G126" s="771"/>
      <c r="I126" s="771"/>
      <c r="J126" s="771"/>
      <c r="K126" s="771"/>
      <c r="L126" s="771"/>
      <c r="M126" s="771"/>
      <c r="N126" s="771"/>
      <c r="O126" s="771"/>
      <c r="P126" s="771"/>
      <c r="Q126" s="187"/>
      <c r="R126" s="187"/>
      <c r="S126" s="187"/>
    </row>
    <row r="127" spans="1:19" s="584" customFormat="1">
      <c r="A127" s="812" t="s">
        <v>19154</v>
      </c>
      <c r="B127" s="579">
        <v>2192</v>
      </c>
      <c r="C127" s="220" t="s">
        <v>18</v>
      </c>
      <c r="D127" t="s">
        <v>19194</v>
      </c>
      <c r="E127" s="923">
        <v>52920</v>
      </c>
      <c r="F127" s="237"/>
      <c r="G127" s="771"/>
      <c r="I127" s="771"/>
      <c r="J127" s="771"/>
      <c r="K127" s="771"/>
      <c r="L127" s="771"/>
      <c r="M127" s="771"/>
      <c r="N127" s="771"/>
      <c r="O127" s="771"/>
      <c r="P127" s="771"/>
      <c r="Q127" s="187"/>
      <c r="R127" s="187"/>
      <c r="S127" s="187"/>
    </row>
    <row r="128" spans="1:19" s="584" customFormat="1">
      <c r="A128" s="812" t="s">
        <v>19154</v>
      </c>
      <c r="B128" s="579">
        <v>2192</v>
      </c>
      <c r="C128" s="220" t="s">
        <v>18</v>
      </c>
      <c r="D128" t="s">
        <v>19195</v>
      </c>
      <c r="E128" s="923">
        <v>111740</v>
      </c>
      <c r="F128" s="237"/>
      <c r="G128" s="771"/>
      <c r="I128" s="771"/>
      <c r="J128" s="771"/>
      <c r="K128" s="771"/>
      <c r="L128" s="771"/>
      <c r="M128" s="771"/>
      <c r="N128" s="771"/>
      <c r="O128" s="771"/>
      <c r="P128" s="771"/>
      <c r="Q128" s="187"/>
      <c r="R128" s="187"/>
      <c r="S128" s="187"/>
    </row>
    <row r="129" spans="1:19" s="584" customFormat="1">
      <c r="A129" s="812" t="s">
        <v>19154</v>
      </c>
      <c r="B129" s="579">
        <v>2192</v>
      </c>
      <c r="C129" s="220" t="s">
        <v>18</v>
      </c>
      <c r="D129" t="s">
        <v>19196</v>
      </c>
      <c r="E129" s="923">
        <v>170000</v>
      </c>
      <c r="F129" s="237"/>
      <c r="G129" s="771"/>
      <c r="I129" s="771"/>
      <c r="J129" s="771"/>
      <c r="K129" s="771"/>
      <c r="L129" s="771"/>
      <c r="M129" s="771"/>
      <c r="N129" s="771"/>
      <c r="O129" s="771"/>
      <c r="P129" s="771"/>
      <c r="Q129" s="187"/>
      <c r="R129" s="187"/>
      <c r="S129" s="187"/>
    </row>
    <row r="130" spans="1:19" s="584" customFormat="1">
      <c r="A130" s="812" t="s">
        <v>19154</v>
      </c>
      <c r="B130" s="579">
        <v>2192</v>
      </c>
      <c r="C130" s="220" t="s">
        <v>18</v>
      </c>
      <c r="D130" t="s">
        <v>19197</v>
      </c>
      <c r="E130" s="923">
        <v>73040</v>
      </c>
      <c r="F130" s="237"/>
      <c r="G130" s="771"/>
      <c r="I130" s="771"/>
      <c r="J130" s="771"/>
      <c r="K130" s="771"/>
      <c r="L130" s="771"/>
      <c r="M130" s="771"/>
      <c r="N130" s="771"/>
      <c r="O130" s="771"/>
      <c r="P130" s="771"/>
      <c r="Q130" s="187"/>
      <c r="R130" s="187"/>
      <c r="S130" s="187"/>
    </row>
    <row r="131" spans="1:19" s="584" customFormat="1">
      <c r="A131" s="812" t="s">
        <v>19154</v>
      </c>
      <c r="B131" s="579">
        <v>2192</v>
      </c>
      <c r="C131" s="220" t="s">
        <v>18</v>
      </c>
      <c r="D131" t="s">
        <v>19198</v>
      </c>
      <c r="E131" s="923">
        <v>96960</v>
      </c>
      <c r="F131" s="237"/>
      <c r="G131" s="771"/>
      <c r="I131" s="771"/>
      <c r="J131" s="771"/>
      <c r="K131" s="771"/>
      <c r="L131" s="771"/>
      <c r="M131" s="771"/>
      <c r="N131" s="771"/>
      <c r="O131" s="771"/>
      <c r="P131" s="771"/>
      <c r="Q131" s="187"/>
      <c r="R131" s="187"/>
      <c r="S131" s="187"/>
    </row>
    <row r="132" spans="1:19" s="584" customFormat="1">
      <c r="A132" s="812" t="s">
        <v>19154</v>
      </c>
      <c r="B132" s="578">
        <v>1112</v>
      </c>
      <c r="C132" s="799" t="s">
        <v>4460</v>
      </c>
      <c r="D132" s="314" t="s">
        <v>5810</v>
      </c>
      <c r="E132" s="236"/>
      <c r="F132" s="596">
        <f>SUM(E124:E131)</f>
        <v>585647</v>
      </c>
      <c r="G132" s="771"/>
      <c r="I132" s="771"/>
      <c r="J132" s="771"/>
      <c r="K132" s="771"/>
      <c r="L132" s="771"/>
      <c r="M132" s="771"/>
      <c r="N132" s="771"/>
      <c r="O132" s="771"/>
      <c r="P132" s="771"/>
      <c r="Q132" s="187"/>
      <c r="R132" s="187"/>
      <c r="S132" s="187"/>
    </row>
    <row r="133" spans="1:19" s="584" customFormat="1">
      <c r="A133" s="812" t="s">
        <v>19154</v>
      </c>
      <c r="B133" s="579">
        <v>2192</v>
      </c>
      <c r="C133" s="220" t="s">
        <v>18</v>
      </c>
      <c r="D133" t="s">
        <v>19199</v>
      </c>
      <c r="E133" s="923">
        <v>1000</v>
      </c>
      <c r="F133" s="237"/>
      <c r="G133" s="771"/>
      <c r="I133" s="771"/>
      <c r="J133" s="771"/>
      <c r="K133" s="771"/>
      <c r="L133" s="771"/>
      <c r="M133" s="771"/>
      <c r="N133" s="771"/>
      <c r="O133" s="771"/>
      <c r="P133" s="771"/>
      <c r="Q133" s="187"/>
      <c r="R133" s="187"/>
      <c r="S133" s="187"/>
    </row>
    <row r="134" spans="1:19" s="584" customFormat="1">
      <c r="A134" s="812" t="s">
        <v>19152</v>
      </c>
      <c r="B134" s="579">
        <v>1111</v>
      </c>
      <c r="C134" s="61" t="s">
        <v>602</v>
      </c>
      <c r="D134" s="314" t="s">
        <v>15254</v>
      </c>
      <c r="E134" s="237"/>
      <c r="F134" s="589">
        <f>SUM(E133)</f>
        <v>1000</v>
      </c>
      <c r="G134" s="581">
        <f>SUM(E124:E134)-SUM(F124:F134)</f>
        <v>0</v>
      </c>
      <c r="I134" s="771"/>
      <c r="J134" s="771"/>
      <c r="K134" s="771"/>
      <c r="L134" s="771"/>
      <c r="M134" s="771"/>
      <c r="N134" s="771"/>
      <c r="O134" s="771"/>
      <c r="P134" s="771"/>
      <c r="Q134" s="187"/>
      <c r="R134" s="187"/>
      <c r="S134" s="187"/>
    </row>
    <row r="135" spans="1:19" s="584" customFormat="1">
      <c r="A135" s="583"/>
      <c r="B135" s="263"/>
      <c r="C135" s="151"/>
      <c r="D135" s="61"/>
      <c r="E135" s="234"/>
      <c r="F135" s="771"/>
      <c r="G135" s="771"/>
      <c r="I135" s="771"/>
      <c r="J135" s="771"/>
      <c r="K135" s="771"/>
      <c r="L135" s="771"/>
      <c r="M135" s="771"/>
      <c r="N135" s="771"/>
      <c r="O135" s="771"/>
      <c r="P135" s="771"/>
      <c r="Q135" s="187"/>
      <c r="R135" s="187"/>
      <c r="S135" s="187"/>
    </row>
    <row r="136" spans="1:19" s="584" customFormat="1">
      <c r="A136" s="812" t="s">
        <v>19168</v>
      </c>
      <c r="B136" s="578">
        <v>2123</v>
      </c>
      <c r="C136" s="220" t="s">
        <v>1214</v>
      </c>
      <c r="D136" s="807" t="s">
        <v>10178</v>
      </c>
      <c r="E136" s="923">
        <f>51583.333*12</f>
        <v>618999.99600000004</v>
      </c>
      <c r="F136" s="803"/>
      <c r="G136" s="771"/>
      <c r="I136" s="771"/>
      <c r="J136" s="771"/>
      <c r="K136" s="771"/>
      <c r="L136" s="771"/>
      <c r="M136" s="771"/>
      <c r="N136" s="771"/>
      <c r="O136" s="771"/>
      <c r="P136" s="771"/>
      <c r="Q136" s="187"/>
      <c r="R136" s="187"/>
      <c r="S136" s="187"/>
    </row>
    <row r="137" spans="1:19" s="584" customFormat="1">
      <c r="A137" s="812" t="s">
        <v>19168</v>
      </c>
      <c r="B137" s="579">
        <v>2192</v>
      </c>
      <c r="C137" s="220" t="s">
        <v>599</v>
      </c>
      <c r="D137" s="807" t="s">
        <v>10178</v>
      </c>
      <c r="E137" s="236"/>
      <c r="F137" s="588">
        <f>E136</f>
        <v>618999.99600000004</v>
      </c>
      <c r="G137" s="771"/>
      <c r="I137" s="771"/>
      <c r="J137" s="771"/>
      <c r="K137" s="771"/>
      <c r="L137" s="771"/>
      <c r="M137" s="771"/>
      <c r="N137" s="771"/>
      <c r="O137" s="771"/>
      <c r="P137" s="771"/>
      <c r="Q137" s="187"/>
      <c r="R137" s="187"/>
      <c r="S137" s="187"/>
    </row>
    <row r="138" spans="1:19" s="584" customFormat="1">
      <c r="A138" s="812" t="s">
        <v>19168</v>
      </c>
      <c r="B138" s="578">
        <v>2123</v>
      </c>
      <c r="C138" s="220" t="s">
        <v>1214</v>
      </c>
      <c r="D138" s="807" t="s">
        <v>10179</v>
      </c>
      <c r="E138" s="923">
        <f>2400*12*2</f>
        <v>57600</v>
      </c>
      <c r="F138" s="803"/>
      <c r="G138" s="771"/>
      <c r="I138" s="771"/>
      <c r="J138" s="771"/>
      <c r="K138" s="771"/>
      <c r="L138" s="771"/>
      <c r="M138" s="771"/>
      <c r="N138" s="771"/>
      <c r="O138" s="771"/>
      <c r="P138" s="771"/>
      <c r="Q138" s="187"/>
      <c r="R138" s="187"/>
      <c r="S138" s="187"/>
    </row>
    <row r="139" spans="1:19" s="584" customFormat="1">
      <c r="A139" s="812" t="s">
        <v>19168</v>
      </c>
      <c r="B139" s="579">
        <v>2192</v>
      </c>
      <c r="C139" s="220" t="s">
        <v>599</v>
      </c>
      <c r="D139" s="807" t="s">
        <v>10179</v>
      </c>
      <c r="E139" s="236"/>
      <c r="F139" s="588">
        <f>E138</f>
        <v>57600</v>
      </c>
      <c r="G139" s="771"/>
      <c r="I139" s="771"/>
      <c r="J139" s="771"/>
      <c r="K139" s="771"/>
      <c r="L139" s="771"/>
      <c r="M139" s="771"/>
      <c r="N139" s="771"/>
      <c r="O139" s="771"/>
      <c r="P139" s="771"/>
      <c r="Q139" s="187"/>
      <c r="R139" s="187"/>
      <c r="S139" s="187"/>
    </row>
    <row r="140" spans="1:19" s="584" customFormat="1">
      <c r="A140" s="812" t="s">
        <v>19168</v>
      </c>
      <c r="B140" s="579">
        <v>2192</v>
      </c>
      <c r="C140" s="799" t="s">
        <v>18</v>
      </c>
      <c r="D140" s="807" t="s">
        <v>19186</v>
      </c>
      <c r="E140" s="927">
        <v>132200</v>
      </c>
      <c r="F140" s="233"/>
      <c r="G140" s="771"/>
      <c r="I140" s="771"/>
      <c r="J140" s="771"/>
      <c r="K140" s="771"/>
      <c r="L140" s="771"/>
      <c r="M140" s="771"/>
      <c r="N140" s="771"/>
      <c r="O140" s="771"/>
      <c r="P140" s="771"/>
      <c r="Q140" s="187"/>
      <c r="R140" s="187"/>
      <c r="S140" s="187"/>
    </row>
    <row r="141" spans="1:19" s="584" customFormat="1">
      <c r="A141" s="812" t="s">
        <v>19168</v>
      </c>
      <c r="B141" s="578">
        <v>2123</v>
      </c>
      <c r="C141" s="799" t="s">
        <v>595</v>
      </c>
      <c r="D141" s="807" t="s">
        <v>19186</v>
      </c>
      <c r="E141" s="309"/>
      <c r="F141" s="594">
        <f>E140</f>
        <v>132200</v>
      </c>
      <c r="G141" s="771"/>
      <c r="I141" s="771"/>
      <c r="J141" s="771"/>
      <c r="K141" s="771"/>
      <c r="L141" s="771"/>
      <c r="M141" s="771"/>
      <c r="N141" s="771"/>
      <c r="O141" s="771"/>
      <c r="P141" s="771"/>
      <c r="Q141" s="187"/>
      <c r="R141" s="187"/>
      <c r="S141" s="187"/>
    </row>
    <row r="142" spans="1:19" s="584" customFormat="1">
      <c r="A142" s="812" t="s">
        <v>19154</v>
      </c>
      <c r="B142" s="578">
        <v>2123</v>
      </c>
      <c r="C142" s="799" t="s">
        <v>1214</v>
      </c>
      <c r="D142" s="807" t="s">
        <v>19169</v>
      </c>
      <c r="E142" s="923">
        <v>132200</v>
      </c>
      <c r="F142" s="803"/>
      <c r="G142" s="771"/>
      <c r="I142" s="771"/>
      <c r="J142" s="771"/>
      <c r="K142" s="771"/>
      <c r="L142" s="771"/>
      <c r="M142" s="771"/>
      <c r="N142" s="771"/>
      <c r="O142" s="771"/>
      <c r="P142" s="771"/>
      <c r="Q142" s="187"/>
      <c r="R142" s="187"/>
      <c r="S142" s="187"/>
    </row>
    <row r="143" spans="1:19" s="584" customFormat="1">
      <c r="A143" s="812" t="s">
        <v>19154</v>
      </c>
      <c r="B143" s="579">
        <v>2192</v>
      </c>
      <c r="C143" s="799" t="s">
        <v>599</v>
      </c>
      <c r="D143" s="807" t="s">
        <v>19169</v>
      </c>
      <c r="E143" s="236"/>
      <c r="F143" s="588">
        <f>E142</f>
        <v>132200</v>
      </c>
      <c r="G143" s="771"/>
      <c r="I143" s="771"/>
      <c r="J143" s="771"/>
      <c r="K143" s="771"/>
      <c r="L143" s="771"/>
      <c r="M143" s="771"/>
      <c r="N143" s="771"/>
      <c r="O143" s="771"/>
      <c r="P143" s="771"/>
      <c r="Q143" s="187"/>
      <c r="R143" s="187"/>
      <c r="S143" s="187"/>
    </row>
    <row r="144" spans="1:19" s="584" customFormat="1">
      <c r="A144" s="812" t="s">
        <v>19168</v>
      </c>
      <c r="B144" s="579">
        <v>2192</v>
      </c>
      <c r="C144" s="799" t="s">
        <v>18</v>
      </c>
      <c r="D144" s="807" t="s">
        <v>19170</v>
      </c>
      <c r="E144" s="146">
        <f>-'9薪'!C60</f>
        <v>0</v>
      </c>
      <c r="F144" s="233"/>
      <c r="G144" s="771"/>
      <c r="I144" s="771"/>
      <c r="J144" s="771"/>
      <c r="K144" s="771"/>
      <c r="L144" s="771"/>
      <c r="M144" s="771"/>
      <c r="N144" s="771"/>
      <c r="O144" s="771"/>
      <c r="P144" s="771"/>
      <c r="Q144" s="187"/>
      <c r="R144" s="187"/>
      <c r="S144" s="187"/>
    </row>
    <row r="145" spans="1:19" s="584" customFormat="1">
      <c r="A145" s="812" t="s">
        <v>19168</v>
      </c>
      <c r="B145" s="578">
        <v>2123</v>
      </c>
      <c r="C145" s="799" t="s">
        <v>595</v>
      </c>
      <c r="D145" s="807" t="s">
        <v>19170</v>
      </c>
      <c r="E145" s="309"/>
      <c r="F145" s="594">
        <f>E144</f>
        <v>0</v>
      </c>
      <c r="G145" s="771"/>
      <c r="I145" s="771"/>
      <c r="J145" s="771"/>
      <c r="K145" s="771"/>
      <c r="L145" s="771"/>
      <c r="M145" s="771"/>
      <c r="N145" s="771"/>
      <c r="O145" s="771"/>
      <c r="P145" s="771"/>
      <c r="Q145" s="187"/>
      <c r="R145" s="187"/>
      <c r="S145" s="187"/>
    </row>
    <row r="146" spans="1:19" s="584" customFormat="1">
      <c r="A146" s="812" t="s">
        <v>19168</v>
      </c>
      <c r="B146" s="578">
        <v>2123</v>
      </c>
      <c r="C146" s="299" t="s">
        <v>1214</v>
      </c>
      <c r="D146" s="807" t="s">
        <v>19171</v>
      </c>
      <c r="E146" s="236">
        <v>46576</v>
      </c>
      <c r="F146" s="803"/>
      <c r="G146" s="771"/>
      <c r="I146" s="771"/>
      <c r="J146" s="771"/>
      <c r="K146" s="771"/>
      <c r="L146" s="771"/>
      <c r="M146" s="771"/>
      <c r="N146" s="771"/>
      <c r="O146" s="771"/>
      <c r="P146" s="771"/>
      <c r="Q146" s="187"/>
      <c r="R146" s="187"/>
      <c r="S146" s="187"/>
    </row>
    <row r="147" spans="1:19" s="584" customFormat="1">
      <c r="A147" s="812" t="s">
        <v>19168</v>
      </c>
      <c r="B147" s="579">
        <v>2192</v>
      </c>
      <c r="C147" s="299" t="s">
        <v>599</v>
      </c>
      <c r="D147" s="807" t="s">
        <v>19171</v>
      </c>
      <c r="E147" s="236"/>
      <c r="F147" s="588">
        <f>E146</f>
        <v>46576</v>
      </c>
      <c r="G147" s="581">
        <f>SUM(E136:E147)-SUM(F136:F147)</f>
        <v>0</v>
      </c>
      <c r="I147" s="771"/>
      <c r="J147" s="771"/>
      <c r="K147" s="771"/>
      <c r="L147" s="771"/>
      <c r="M147" s="771"/>
      <c r="N147" s="771"/>
      <c r="O147" s="771"/>
      <c r="P147" s="771"/>
      <c r="Q147" s="187"/>
      <c r="R147" s="187"/>
      <c r="S147" s="187"/>
    </row>
    <row r="148" spans="1:19" s="584" customFormat="1">
      <c r="A148" s="812"/>
      <c r="B148" s="263"/>
      <c r="C148" s="151"/>
      <c r="D148" s="61"/>
      <c r="E148" s="234"/>
      <c r="F148" s="771"/>
      <c r="G148" s="771"/>
      <c r="I148" s="771"/>
      <c r="J148" s="771"/>
      <c r="K148" s="771"/>
      <c r="L148" s="771"/>
      <c r="M148" s="771"/>
      <c r="N148" s="771"/>
      <c r="O148" s="771"/>
      <c r="P148" s="771"/>
      <c r="Q148" s="187"/>
      <c r="R148" s="187"/>
      <c r="S148" s="187"/>
    </row>
    <row r="149" spans="1:19" s="584" customFormat="1">
      <c r="A149" s="812" t="s">
        <v>19172</v>
      </c>
      <c r="B149" s="811">
        <v>4201</v>
      </c>
      <c r="C149" s="259" t="s">
        <v>1309</v>
      </c>
      <c r="D149" s="807" t="s">
        <v>19187</v>
      </c>
      <c r="E149" s="237">
        <v>465000</v>
      </c>
      <c r="F149" s="233"/>
      <c r="G149" s="771"/>
      <c r="I149" s="771"/>
      <c r="J149" s="771"/>
      <c r="K149" s="771"/>
      <c r="L149" s="771"/>
      <c r="M149" s="771"/>
      <c r="N149" s="771"/>
      <c r="O149" s="771"/>
      <c r="P149" s="771"/>
      <c r="Q149" s="187"/>
      <c r="R149" s="187"/>
      <c r="S149" s="187"/>
    </row>
    <row r="150" spans="1:19">
      <c r="A150" s="812" t="s">
        <v>19172</v>
      </c>
      <c r="B150" s="579">
        <v>2192</v>
      </c>
      <c r="C150" s="799" t="s">
        <v>599</v>
      </c>
      <c r="D150" s="807" t="s">
        <v>19187</v>
      </c>
      <c r="E150" s="309"/>
      <c r="F150" s="594">
        <f>E149</f>
        <v>465000</v>
      </c>
    </row>
    <row r="151" spans="1:19">
      <c r="A151" s="812" t="s">
        <v>19172</v>
      </c>
      <c r="B151" s="579">
        <v>2192</v>
      </c>
      <c r="C151" s="799" t="s">
        <v>18</v>
      </c>
      <c r="D151" s="807" t="s">
        <v>19173</v>
      </c>
      <c r="E151" s="146">
        <v>450000</v>
      </c>
      <c r="F151" s="233"/>
      <c r="J151" s="233"/>
    </row>
    <row r="152" spans="1:19">
      <c r="A152" s="812" t="s">
        <v>19172</v>
      </c>
      <c r="B152" s="811">
        <v>4201</v>
      </c>
      <c r="C152" s="259" t="s">
        <v>337</v>
      </c>
      <c r="D152" s="807" t="s">
        <v>19173</v>
      </c>
      <c r="E152" s="309"/>
      <c r="F152" s="594">
        <f>E151</f>
        <v>450000</v>
      </c>
    </row>
    <row r="153" spans="1:19">
      <c r="A153" s="812" t="s">
        <v>19172</v>
      </c>
      <c r="B153" s="579">
        <v>2192</v>
      </c>
      <c r="C153" s="799" t="s">
        <v>18</v>
      </c>
      <c r="D153" s="807" t="s">
        <v>19174</v>
      </c>
      <c r="E153" s="146">
        <v>335790</v>
      </c>
      <c r="F153" s="233"/>
    </row>
    <row r="154" spans="1:19">
      <c r="A154" s="812" t="s">
        <v>19172</v>
      </c>
      <c r="B154" s="579">
        <v>2131</v>
      </c>
      <c r="C154" s="299" t="s">
        <v>5744</v>
      </c>
      <c r="D154" s="807" t="s">
        <v>19174</v>
      </c>
      <c r="E154" s="309"/>
      <c r="F154" s="594">
        <f>E153</f>
        <v>335790</v>
      </c>
    </row>
    <row r="155" spans="1:19">
      <c r="A155" s="812" t="s">
        <v>19172</v>
      </c>
      <c r="B155" s="579">
        <v>2131</v>
      </c>
      <c r="C155" s="299" t="s">
        <v>4887</v>
      </c>
      <c r="D155" s="807" t="s">
        <v>15214</v>
      </c>
      <c r="E155" s="237"/>
      <c r="F155" s="233"/>
    </row>
    <row r="156" spans="1:19">
      <c r="A156" s="812" t="s">
        <v>19172</v>
      </c>
      <c r="B156" s="579">
        <v>2192</v>
      </c>
      <c r="C156" s="799" t="s">
        <v>599</v>
      </c>
      <c r="D156" s="807" t="s">
        <v>15214</v>
      </c>
      <c r="E156" s="309"/>
      <c r="F156" s="594">
        <f>E155</f>
        <v>0</v>
      </c>
    </row>
    <row r="157" spans="1:19">
      <c r="A157" s="812" t="s">
        <v>19172</v>
      </c>
      <c r="B157" s="579">
        <v>2192</v>
      </c>
      <c r="C157" s="799" t="s">
        <v>18</v>
      </c>
      <c r="D157" s="807" t="s">
        <v>19175</v>
      </c>
      <c r="E157" s="146"/>
      <c r="F157" s="233"/>
    </row>
    <row r="158" spans="1:19">
      <c r="A158" s="812" t="s">
        <v>19172</v>
      </c>
      <c r="B158" s="811">
        <v>1111</v>
      </c>
      <c r="C158" t="s">
        <v>15259</v>
      </c>
      <c r="D158" s="807" t="s">
        <v>19175</v>
      </c>
      <c r="E158" s="309"/>
      <c r="F158" s="594">
        <f>E157</f>
        <v>0</v>
      </c>
    </row>
    <row r="159" spans="1:19">
      <c r="A159" s="812" t="s">
        <v>19172</v>
      </c>
      <c r="B159" s="579">
        <v>2192</v>
      </c>
      <c r="C159" s="799" t="s">
        <v>18</v>
      </c>
      <c r="D159" s="807" t="s">
        <v>19176</v>
      </c>
      <c r="E159" s="146"/>
      <c r="F159" s="233"/>
    </row>
    <row r="160" spans="1:19">
      <c r="A160" s="812" t="s">
        <v>19172</v>
      </c>
      <c r="B160" s="578">
        <v>1121</v>
      </c>
      <c r="C160" s="560" t="s">
        <v>243</v>
      </c>
      <c r="D160" s="807" t="s">
        <v>19176</v>
      </c>
      <c r="E160" s="309"/>
      <c r="F160" s="146">
        <v>936628</v>
      </c>
    </row>
    <row r="161" spans="1:19">
      <c r="A161" s="812" t="s">
        <v>19172</v>
      </c>
      <c r="B161" s="578">
        <v>1121</v>
      </c>
      <c r="C161" s="560" t="s">
        <v>2917</v>
      </c>
      <c r="D161" s="807" t="s">
        <v>15203</v>
      </c>
      <c r="E161" s="146"/>
      <c r="F161" s="146"/>
    </row>
    <row r="162" spans="1:19" s="584" customFormat="1">
      <c r="A162" s="812" t="s">
        <v>19172</v>
      </c>
      <c r="B162" s="579">
        <v>2192</v>
      </c>
      <c r="C162" s="799" t="s">
        <v>599</v>
      </c>
      <c r="D162" s="807" t="s">
        <v>15203</v>
      </c>
      <c r="E162" s="309"/>
      <c r="F162" s="594">
        <f>E161</f>
        <v>0</v>
      </c>
      <c r="G162" s="581">
        <f>SUM(E149:E162)-SUM(F149:F162)</f>
        <v>-936628</v>
      </c>
      <c r="I162" s="771"/>
      <c r="J162" s="771"/>
      <c r="K162" s="771"/>
      <c r="L162" s="771"/>
      <c r="M162" s="771"/>
      <c r="N162" s="771"/>
      <c r="O162" s="771"/>
      <c r="P162" s="771"/>
      <c r="Q162" s="187"/>
      <c r="R162" s="187"/>
      <c r="S162" s="187"/>
    </row>
    <row r="163" spans="1:19" s="584" customFormat="1">
      <c r="A163" s="583"/>
      <c r="B163" s="230"/>
      <c r="C163" s="771"/>
      <c r="D163" s="61"/>
      <c r="E163" s="234"/>
      <c r="F163" s="771"/>
      <c r="G163" s="771"/>
      <c r="I163" s="771"/>
      <c r="J163" s="771"/>
      <c r="K163" s="771"/>
      <c r="L163" s="771"/>
      <c r="M163" s="771"/>
      <c r="N163" s="771"/>
      <c r="O163" s="771"/>
      <c r="P163" s="771"/>
      <c r="Q163" s="187"/>
      <c r="R163" s="187"/>
      <c r="S163" s="187"/>
    </row>
    <row r="164" spans="1:19" s="584" customFormat="1">
      <c r="A164" s="583"/>
      <c r="B164" s="230"/>
      <c r="C164" s="771"/>
      <c r="D164" s="61"/>
      <c r="E164" s="234"/>
      <c r="F164" s="771"/>
      <c r="G164" s="771"/>
      <c r="I164" s="771"/>
      <c r="J164" s="771"/>
      <c r="K164" s="771"/>
      <c r="L164" s="771"/>
      <c r="M164" s="771"/>
      <c r="N164" s="771"/>
      <c r="O164" s="771"/>
      <c r="P164" s="771"/>
      <c r="Q164" s="187"/>
      <c r="R164" s="187"/>
      <c r="S164" s="187"/>
    </row>
    <row r="165" spans="1:19" s="584" customFormat="1">
      <c r="A165" s="583"/>
      <c r="B165" s="230"/>
      <c r="C165" s="771"/>
      <c r="D165" s="61"/>
      <c r="E165" s="234"/>
      <c r="F165" s="771"/>
      <c r="G165" s="771"/>
      <c r="I165" s="771"/>
      <c r="J165" s="771"/>
      <c r="K165" s="771"/>
      <c r="L165" s="771"/>
      <c r="M165" s="771"/>
      <c r="N165" s="771"/>
      <c r="O165" s="771"/>
      <c r="P165" s="771"/>
      <c r="Q165" s="187"/>
      <c r="R165" s="187"/>
      <c r="S165" s="187"/>
    </row>
    <row r="166" spans="1:19" s="584" customFormat="1">
      <c r="A166" s="583"/>
      <c r="B166" s="230"/>
      <c r="C166" s="771"/>
      <c r="D166" s="61"/>
      <c r="E166" s="234"/>
      <c r="F166" s="771"/>
      <c r="G166" s="771"/>
      <c r="I166" s="771"/>
      <c r="J166" s="771"/>
      <c r="K166" s="771"/>
      <c r="L166" s="771"/>
      <c r="M166" s="771"/>
      <c r="N166" s="771"/>
      <c r="O166" s="771"/>
      <c r="P166" s="771"/>
      <c r="Q166" s="187"/>
      <c r="R166" s="187"/>
      <c r="S166" s="187"/>
    </row>
    <row r="167" spans="1:19" s="584" customFormat="1">
      <c r="A167" s="583"/>
      <c r="B167" s="230"/>
      <c r="C167" s="771"/>
      <c r="D167" s="61"/>
      <c r="E167" s="234"/>
      <c r="F167" s="771"/>
      <c r="G167" s="771"/>
      <c r="I167" s="771"/>
      <c r="J167" s="771"/>
      <c r="K167" s="771"/>
      <c r="L167" s="771"/>
      <c r="M167" s="771"/>
      <c r="N167" s="771"/>
      <c r="O167" s="771"/>
      <c r="P167" s="771"/>
      <c r="Q167" s="187"/>
      <c r="R167" s="187"/>
      <c r="S167" s="187"/>
    </row>
    <row r="168" spans="1:19" s="584" customFormat="1">
      <c r="A168" s="583"/>
      <c r="B168" s="230"/>
      <c r="C168" s="771"/>
      <c r="D168" s="61"/>
      <c r="E168" s="234"/>
      <c r="F168" s="771"/>
      <c r="G168" s="771"/>
      <c r="I168" s="771"/>
      <c r="J168" s="771"/>
      <c r="K168" s="771"/>
      <c r="L168" s="771"/>
      <c r="M168" s="771"/>
      <c r="N168" s="771"/>
      <c r="O168" s="771"/>
      <c r="P168" s="771"/>
      <c r="Q168" s="187"/>
      <c r="R168" s="187"/>
      <c r="S168" s="187"/>
    </row>
    <row r="169" spans="1:19" s="584" customFormat="1">
      <c r="A169" s="583"/>
      <c r="B169" s="230"/>
      <c r="C169" s="771"/>
      <c r="D169" s="61"/>
      <c r="E169" s="234"/>
      <c r="F169" s="771"/>
      <c r="G169" s="771"/>
      <c r="I169" s="771"/>
      <c r="J169" s="771"/>
      <c r="K169" s="771"/>
      <c r="L169" s="771"/>
      <c r="M169" s="771"/>
      <c r="N169" s="771"/>
      <c r="O169" s="771"/>
      <c r="P169" s="771"/>
      <c r="Q169" s="187"/>
      <c r="R169" s="187"/>
      <c r="S169" s="187"/>
    </row>
    <row r="170" spans="1:19" s="584" customFormat="1">
      <c r="A170" s="583"/>
      <c r="B170" s="230"/>
      <c r="C170" s="771"/>
      <c r="D170" s="61"/>
      <c r="E170" s="234"/>
      <c r="F170" s="771"/>
      <c r="G170" s="771"/>
      <c r="I170" s="771"/>
      <c r="J170" s="771"/>
      <c r="K170" s="771"/>
      <c r="L170" s="771"/>
      <c r="M170" s="771"/>
      <c r="N170" s="771"/>
      <c r="O170" s="771"/>
      <c r="P170" s="771"/>
      <c r="Q170" s="187"/>
      <c r="R170" s="187"/>
      <c r="S170" s="187"/>
    </row>
    <row r="171" spans="1:19" s="584" customFormat="1">
      <c r="A171" s="583"/>
      <c r="B171" s="230"/>
      <c r="C171" s="771"/>
      <c r="D171" s="61"/>
      <c r="E171" s="234"/>
      <c r="F171" s="771"/>
      <c r="G171" s="771"/>
      <c r="I171" s="771"/>
      <c r="J171" s="771"/>
      <c r="K171" s="771"/>
      <c r="L171" s="771"/>
      <c r="M171" s="771"/>
      <c r="N171" s="771"/>
      <c r="O171" s="771"/>
      <c r="P171" s="771"/>
      <c r="Q171" s="187"/>
      <c r="R171" s="187"/>
      <c r="S171" s="187"/>
    </row>
    <row r="172" spans="1:19">
      <c r="F172" s="771">
        <v>1418910</v>
      </c>
    </row>
    <row r="173" spans="1:19">
      <c r="F173" s="233"/>
    </row>
  </sheetData>
  <autoFilter ref="A1:S172"/>
  <mergeCells count="8">
    <mergeCell ref="M36:O36"/>
    <mergeCell ref="M42:O42"/>
    <mergeCell ref="I2:O2"/>
    <mergeCell ref="I11:K11"/>
    <mergeCell ref="M11:O11"/>
    <mergeCell ref="M20:O20"/>
    <mergeCell ref="M26:O26"/>
    <mergeCell ref="M32:O32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A1:BL710"/>
  <sheetViews>
    <sheetView topLeftCell="A37" zoomScale="90" zoomScaleNormal="90" workbookViewId="0">
      <selection activeCell="C37" sqref="C37"/>
    </sheetView>
  </sheetViews>
  <sheetFormatPr defaultColWidth="9" defaultRowHeight="16.5"/>
  <cols>
    <col min="1" max="1" width="18" customWidth="1"/>
    <col min="2" max="2" width="23.75" customWidth="1"/>
    <col min="3" max="3" width="12.625" style="770" bestFit="1" customWidth="1"/>
    <col min="4" max="4" width="7.5" style="69" bestFit="1" customWidth="1"/>
    <col min="5" max="5" width="18" customWidth="1"/>
    <col min="6" max="6" width="23.75" customWidth="1"/>
    <col min="7" max="7" width="12.625" style="7" bestFit="1" customWidth="1"/>
    <col min="8" max="8" width="7.5" style="69" bestFit="1" customWidth="1"/>
    <col min="9" max="9" width="18" customWidth="1"/>
    <col min="10" max="10" width="23.75" customWidth="1"/>
    <col min="11" max="11" width="12.625" style="7" bestFit="1" customWidth="1"/>
    <col min="12" max="12" width="6.125" style="69" customWidth="1"/>
    <col min="13" max="13" width="18" customWidth="1"/>
    <col min="14" max="14" width="23.75" customWidth="1"/>
    <col min="15" max="15" width="12.625" style="7" bestFit="1" customWidth="1"/>
    <col min="16" max="16" width="6.125" style="69" customWidth="1"/>
    <col min="17" max="17" width="18" customWidth="1"/>
    <col min="18" max="18" width="23.75" customWidth="1"/>
    <col min="19" max="19" width="12.625" style="7" bestFit="1" customWidth="1"/>
    <col min="20" max="20" width="4" style="69" customWidth="1"/>
    <col min="21" max="21" width="18" customWidth="1"/>
    <col min="22" max="22" width="23.75" customWidth="1"/>
    <col min="23" max="23" width="12.625" style="7" bestFit="1" customWidth="1"/>
    <col min="24" max="24" width="4" style="69" customWidth="1"/>
    <col min="25" max="25" width="18" customWidth="1"/>
    <col min="26" max="26" width="23.75" customWidth="1"/>
    <col min="27" max="27" width="12.625" bestFit="1" customWidth="1"/>
    <col min="28" max="28" width="4" style="69" customWidth="1"/>
    <col min="29" max="29" width="18" customWidth="1"/>
    <col min="30" max="30" width="21.875" customWidth="1"/>
    <col min="31" max="31" width="12.625" bestFit="1" customWidth="1"/>
    <col min="32" max="32" width="4" style="69" customWidth="1"/>
    <col min="33" max="33" width="18" customWidth="1"/>
    <col min="34" max="34" width="21.875" customWidth="1"/>
    <col min="35" max="35" width="12.625" bestFit="1" customWidth="1"/>
    <col min="36" max="36" width="4" style="69" customWidth="1"/>
    <col min="37" max="37" width="18" customWidth="1"/>
    <col min="38" max="38" width="21.875" customWidth="1"/>
    <col min="39" max="39" width="12.625" bestFit="1" customWidth="1"/>
    <col min="40" max="40" width="4" style="69" customWidth="1"/>
    <col min="41" max="41" width="12.5" customWidth="1"/>
    <col min="42" max="42" width="21.875" customWidth="1"/>
    <col min="43" max="43" width="12.625" bestFit="1" customWidth="1"/>
    <col min="44" max="44" width="3.375" style="69" customWidth="1"/>
    <col min="45" max="45" width="12.5" customWidth="1"/>
    <col min="46" max="46" width="21.875" customWidth="1"/>
    <col min="47" max="47" width="12.625" bestFit="1" customWidth="1"/>
    <col min="48" max="48" width="3.375" style="69" customWidth="1"/>
    <col min="49" max="49" width="17.75" bestFit="1" customWidth="1"/>
    <col min="50" max="50" width="21.875" customWidth="1"/>
    <col min="51" max="51" width="12.625" bestFit="1" customWidth="1"/>
    <col min="52" max="52" width="3.5" style="69" customWidth="1"/>
    <col min="53" max="53" width="17.75" bestFit="1" customWidth="1"/>
    <col min="54" max="54" width="19.75" bestFit="1" customWidth="1"/>
    <col min="55" max="55" width="12.625" bestFit="1" customWidth="1"/>
    <col min="56" max="56" width="2.625" style="69" customWidth="1"/>
    <col min="57" max="57" width="10" bestFit="1" customWidth="1"/>
    <col min="58" max="58" width="22.5" customWidth="1"/>
    <col min="59" max="59" width="11.5" bestFit="1" customWidth="1"/>
    <col min="60" max="60" width="3.875" style="69" customWidth="1"/>
    <col min="61" max="61" width="9" style="69"/>
    <col min="62" max="62" width="20.75" style="69" customWidth="1"/>
    <col min="63" max="63" width="14.25" style="69" bestFit="1" customWidth="1"/>
    <col min="64" max="64" width="11.5" style="69" bestFit="1" customWidth="1"/>
    <col min="65" max="16384" width="9" style="69"/>
  </cols>
  <sheetData>
    <row r="1" spans="1:63">
      <c r="A1" t="s">
        <v>19201</v>
      </c>
      <c r="E1" t="s">
        <v>15190</v>
      </c>
      <c r="I1" t="s">
        <v>10081</v>
      </c>
      <c r="M1" t="s">
        <v>5642</v>
      </c>
      <c r="Q1" t="s">
        <v>4835</v>
      </c>
      <c r="U1" t="s">
        <v>3933</v>
      </c>
      <c r="Y1" t="s">
        <v>2152</v>
      </c>
      <c r="AC1" t="s">
        <v>1445</v>
      </c>
      <c r="AG1" t="s">
        <v>2779</v>
      </c>
      <c r="AK1" t="s">
        <v>2679</v>
      </c>
      <c r="AO1" t="s">
        <v>3637</v>
      </c>
      <c r="AS1" t="s">
        <v>2852</v>
      </c>
      <c r="AW1" t="s">
        <v>345</v>
      </c>
      <c r="BA1" t="s">
        <v>3819</v>
      </c>
      <c r="BE1" t="s">
        <v>834</v>
      </c>
      <c r="BI1" t="s">
        <v>835</v>
      </c>
    </row>
    <row r="2" spans="1:63">
      <c r="A2" s="154" t="s">
        <v>5749</v>
      </c>
      <c r="B2" s="114"/>
      <c r="C2" s="642">
        <f>'9正'!K3</f>
        <v>2809</v>
      </c>
      <c r="E2" s="154" t="s">
        <v>5749</v>
      </c>
      <c r="F2" s="114"/>
      <c r="G2" s="642">
        <f>'8正'!K3</f>
        <v>5075</v>
      </c>
      <c r="I2" s="154" t="s">
        <v>5749</v>
      </c>
      <c r="J2" s="114"/>
      <c r="K2" s="642">
        <f>'7正'!K3</f>
        <v>58344</v>
      </c>
      <c r="M2" s="154" t="s">
        <v>5749</v>
      </c>
      <c r="N2" s="114"/>
      <c r="O2" s="642">
        <f>'6正'!K3</f>
        <v>53058</v>
      </c>
      <c r="Q2" s="154" t="s">
        <v>4960</v>
      </c>
      <c r="R2" s="114"/>
      <c r="S2" s="597">
        <f>SUM(S3:S7)</f>
        <v>97144</v>
      </c>
      <c r="U2" s="154" t="s">
        <v>1313</v>
      </c>
      <c r="V2" s="114"/>
      <c r="W2" s="557">
        <f>SUM(W3:W7)</f>
        <v>352501</v>
      </c>
      <c r="Y2" s="154" t="s">
        <v>1313</v>
      </c>
      <c r="Z2" s="114"/>
      <c r="AA2" s="331">
        <f>SUM(AA3:AA7)</f>
        <v>429767</v>
      </c>
      <c r="AC2" s="154" t="s">
        <v>1313</v>
      </c>
      <c r="AD2" s="114"/>
      <c r="AE2" s="293">
        <f>SUM(AE3:AE7)</f>
        <v>347169</v>
      </c>
      <c r="AG2" s="154" t="s">
        <v>1313</v>
      </c>
      <c r="AH2" s="114"/>
      <c r="AI2" s="168">
        <f>SUM(AI3:AI7)</f>
        <v>144453</v>
      </c>
      <c r="AK2" s="154" t="s">
        <v>1313</v>
      </c>
      <c r="AL2" s="114"/>
      <c r="AM2" s="168">
        <f>SUM(AM3:AM8)</f>
        <v>438574</v>
      </c>
      <c r="AO2" s="154" t="s">
        <v>1313</v>
      </c>
      <c r="AP2" s="114"/>
      <c r="AQ2" s="168">
        <v>230474</v>
      </c>
      <c r="AS2" s="154" t="s">
        <v>1313</v>
      </c>
      <c r="AT2" s="114"/>
      <c r="AU2" s="168">
        <f>SUM(AU3:AU7)</f>
        <v>399731</v>
      </c>
      <c r="AW2" s="154" t="s">
        <v>1313</v>
      </c>
      <c r="AX2" s="114"/>
      <c r="AY2" s="155">
        <f>SUM(AY3:AY7)</f>
        <v>351824</v>
      </c>
      <c r="BA2" s="114" t="s">
        <v>3420</v>
      </c>
      <c r="BB2" s="114"/>
      <c r="BC2" s="142">
        <f>SUM(BC3:BC7)</f>
        <v>329325</v>
      </c>
      <c r="BE2" s="114" t="s">
        <v>3420</v>
      </c>
      <c r="BF2" s="114"/>
      <c r="BG2" s="114">
        <f>SUM(BG3:BG7)</f>
        <v>316107</v>
      </c>
      <c r="BI2" s="68" t="s">
        <v>1313</v>
      </c>
      <c r="BJ2" s="68"/>
      <c r="BK2" s="68">
        <f>SUM(BK3:BK8)</f>
        <v>300049</v>
      </c>
    </row>
    <row r="3" spans="1:63">
      <c r="A3" s="178">
        <v>2019</v>
      </c>
      <c r="B3" s="799" t="s">
        <v>892</v>
      </c>
      <c r="C3" s="770">
        <f>5085-10</f>
        <v>5075</v>
      </c>
      <c r="E3" s="178">
        <v>2019</v>
      </c>
      <c r="F3" s="115" t="s">
        <v>892</v>
      </c>
      <c r="G3" s="7">
        <f>5085-10</f>
        <v>5075</v>
      </c>
      <c r="I3" s="178">
        <v>2018</v>
      </c>
      <c r="J3" s="115" t="s">
        <v>892</v>
      </c>
      <c r="K3" s="7">
        <v>7531</v>
      </c>
      <c r="M3" s="143"/>
      <c r="N3" s="115" t="s">
        <v>892</v>
      </c>
      <c r="O3" s="7">
        <v>2245</v>
      </c>
      <c r="Q3" s="143">
        <v>1112.107</v>
      </c>
      <c r="R3" s="115" t="s">
        <v>2955</v>
      </c>
      <c r="S3" s="7">
        <v>101</v>
      </c>
      <c r="U3" s="143">
        <v>1112.107</v>
      </c>
      <c r="V3" s="115" t="s">
        <v>2955</v>
      </c>
      <c r="W3" s="7">
        <v>101</v>
      </c>
      <c r="Y3" s="143">
        <v>1112.107</v>
      </c>
      <c r="Z3" s="115" t="s">
        <v>2955</v>
      </c>
      <c r="AA3">
        <v>101</v>
      </c>
      <c r="AC3" s="143">
        <v>1112.107</v>
      </c>
      <c r="AD3" s="115" t="s">
        <v>2955</v>
      </c>
      <c r="AE3">
        <v>101</v>
      </c>
      <c r="AG3" s="143">
        <v>1112.107</v>
      </c>
      <c r="AH3" s="115" t="s">
        <v>2955</v>
      </c>
      <c r="AI3">
        <v>101</v>
      </c>
      <c r="AK3" s="143">
        <v>1112.107</v>
      </c>
      <c r="AL3" s="115" t="s">
        <v>2955</v>
      </c>
      <c r="AM3">
        <v>101</v>
      </c>
      <c r="AO3" s="143">
        <v>1112.107</v>
      </c>
      <c r="AP3" s="115" t="s">
        <v>2955</v>
      </c>
      <c r="AQ3">
        <v>101</v>
      </c>
      <c r="AS3" s="143">
        <v>1112.107</v>
      </c>
      <c r="AT3" s="115" t="s">
        <v>2955</v>
      </c>
      <c r="AU3">
        <v>101</v>
      </c>
      <c r="AW3" s="143">
        <v>1112.107</v>
      </c>
      <c r="AX3" s="115" t="s">
        <v>2955</v>
      </c>
      <c r="AY3">
        <v>101</v>
      </c>
      <c r="BA3" s="143">
        <v>1112.107</v>
      </c>
      <c r="BB3" s="115" t="s">
        <v>3422</v>
      </c>
      <c r="BC3">
        <v>101</v>
      </c>
      <c r="BE3">
        <v>1112.1089999999999</v>
      </c>
      <c r="BF3" s="115" t="s">
        <v>3421</v>
      </c>
      <c r="BG3">
        <v>311599</v>
      </c>
      <c r="BI3" s="69">
        <v>1112.1089999999999</v>
      </c>
      <c r="BJ3" s="70" t="s">
        <v>2954</v>
      </c>
      <c r="BK3" s="69">
        <v>224366</v>
      </c>
    </row>
    <row r="4" spans="1:63">
      <c r="A4" s="143"/>
      <c r="B4" s="559"/>
      <c r="C4" s="685">
        <f>SUM(C3:C3)-C2</f>
        <v>2266</v>
      </c>
      <c r="E4" s="143"/>
      <c r="F4" s="559"/>
      <c r="G4" s="685">
        <f>SUM(G3:G3)-G2</f>
        <v>0</v>
      </c>
      <c r="I4" s="178">
        <v>2018</v>
      </c>
      <c r="J4" s="115" t="s">
        <v>2129</v>
      </c>
      <c r="K4" s="7">
        <v>50813</v>
      </c>
      <c r="M4" s="178">
        <v>2017</v>
      </c>
      <c r="N4" s="115" t="s">
        <v>2129</v>
      </c>
      <c r="O4" s="7">
        <v>50813</v>
      </c>
      <c r="Q4" s="143">
        <v>1112.1089999999999</v>
      </c>
      <c r="R4" s="115" t="s">
        <v>2954</v>
      </c>
      <c r="S4" s="598">
        <v>39524</v>
      </c>
      <c r="U4" s="143">
        <v>1112.1089999999999</v>
      </c>
      <c r="V4" s="115" t="s">
        <v>2954</v>
      </c>
      <c r="W4" s="555">
        <v>55147</v>
      </c>
      <c r="Y4" s="143">
        <v>1112.1089999999999</v>
      </c>
      <c r="Z4" s="115" t="s">
        <v>2954</v>
      </c>
      <c r="AA4" s="7">
        <v>63112</v>
      </c>
      <c r="AC4" s="143">
        <v>1112.1089999999999</v>
      </c>
      <c r="AD4" s="115" t="s">
        <v>2954</v>
      </c>
      <c r="AE4" s="7">
        <v>20535</v>
      </c>
      <c r="AG4" s="143">
        <v>1112.1089999999999</v>
      </c>
      <c r="AH4" s="115" t="s">
        <v>2954</v>
      </c>
      <c r="AI4">
        <v>62635</v>
      </c>
      <c r="AK4" s="143">
        <v>1112.1089999999999</v>
      </c>
      <c r="AL4" s="115" t="s">
        <v>2954</v>
      </c>
      <c r="AM4">
        <v>28775</v>
      </c>
      <c r="AO4" s="143">
        <v>1112.1089999999999</v>
      </c>
      <c r="AP4" s="115" t="s">
        <v>2954</v>
      </c>
      <c r="AQ4">
        <v>15474</v>
      </c>
      <c r="AS4" s="143">
        <v>1112.1089999999999</v>
      </c>
      <c r="AT4" s="115" t="s">
        <v>2954</v>
      </c>
      <c r="AU4">
        <v>62998</v>
      </c>
      <c r="AW4" s="143">
        <v>1112.1089999999999</v>
      </c>
      <c r="AX4" s="115" t="s">
        <v>2954</v>
      </c>
      <c r="AY4">
        <v>6308</v>
      </c>
      <c r="BA4" s="143">
        <v>1112.1089999999999</v>
      </c>
      <c r="BB4" s="115" t="s">
        <v>3421</v>
      </c>
      <c r="BC4">
        <v>21319</v>
      </c>
      <c r="BE4">
        <v>1112.107</v>
      </c>
      <c r="BF4" s="115" t="s">
        <v>3422</v>
      </c>
      <c r="BG4">
        <v>101</v>
      </c>
      <c r="BI4" s="69">
        <v>1112.107</v>
      </c>
      <c r="BJ4" s="70" t="s">
        <v>2955</v>
      </c>
      <c r="BK4" s="69">
        <v>101</v>
      </c>
    </row>
    <row r="5" spans="1:63">
      <c r="A5" s="154" t="s">
        <v>4960</v>
      </c>
      <c r="B5" s="114"/>
      <c r="C5" s="642">
        <f>'9正'!K4</f>
        <v>241981</v>
      </c>
      <c r="E5" s="154" t="s">
        <v>4960</v>
      </c>
      <c r="F5" s="114"/>
      <c r="G5" s="642">
        <f>'8正'!K4</f>
        <v>162353</v>
      </c>
      <c r="I5" s="143"/>
      <c r="J5" s="559"/>
      <c r="K5" s="685">
        <f>SUM(K3:K4)-K2</f>
        <v>0</v>
      </c>
      <c r="M5" s="143"/>
      <c r="N5" s="559"/>
      <c r="O5" s="146">
        <f>SUM(O3:O4)-O2</f>
        <v>0</v>
      </c>
      <c r="Q5" s="143">
        <v>1112.1110000000001</v>
      </c>
      <c r="R5" s="115" t="s">
        <v>3424</v>
      </c>
      <c r="S5" s="7">
        <v>1948</v>
      </c>
      <c r="U5" s="143">
        <v>1112.1110000000001</v>
      </c>
      <c r="V5" s="115" t="s">
        <v>3424</v>
      </c>
      <c r="W5" s="7">
        <v>1948</v>
      </c>
      <c r="Y5" s="143">
        <v>1112.1110000000001</v>
      </c>
      <c r="Z5" s="115" t="s">
        <v>3424</v>
      </c>
      <c r="AA5" s="7">
        <v>1948</v>
      </c>
      <c r="AC5" s="143">
        <v>1112.1110000000001</v>
      </c>
      <c r="AD5" s="115" t="s">
        <v>3424</v>
      </c>
      <c r="AE5" s="7">
        <v>1948</v>
      </c>
      <c r="AG5" s="143">
        <v>1112.1110000000001</v>
      </c>
      <c r="AH5" s="115" t="s">
        <v>3424</v>
      </c>
      <c r="AI5">
        <v>1948</v>
      </c>
      <c r="AK5" s="143">
        <v>1112.1110000000001</v>
      </c>
      <c r="AL5" s="115" t="s">
        <v>3424</v>
      </c>
      <c r="AM5">
        <v>1948</v>
      </c>
      <c r="AO5" s="143">
        <v>1112.1110000000001</v>
      </c>
      <c r="AP5" s="115" t="s">
        <v>3424</v>
      </c>
      <c r="AQ5">
        <v>1948</v>
      </c>
      <c r="AS5" s="143">
        <v>1112.1110000000001</v>
      </c>
      <c r="AT5" s="115" t="s">
        <v>346</v>
      </c>
      <c r="AU5">
        <v>1948</v>
      </c>
      <c r="AW5" s="143">
        <v>1112.1110000000001</v>
      </c>
      <c r="AX5" s="115" t="s">
        <v>346</v>
      </c>
      <c r="AY5">
        <v>1948</v>
      </c>
      <c r="BA5" s="143">
        <v>1112.1110000000001</v>
      </c>
      <c r="BB5" s="115" t="s">
        <v>3424</v>
      </c>
      <c r="BC5">
        <v>1948</v>
      </c>
      <c r="BE5">
        <v>1112.203</v>
      </c>
      <c r="BF5" s="115" t="s">
        <v>3423</v>
      </c>
      <c r="BG5">
        <v>1890</v>
      </c>
      <c r="BI5" s="69">
        <v>1112.203</v>
      </c>
      <c r="BJ5" s="70" t="s">
        <v>2956</v>
      </c>
      <c r="BK5" s="69">
        <v>73065</v>
      </c>
    </row>
    <row r="6" spans="1:63">
      <c r="A6" s="143">
        <v>1112.1130000000001</v>
      </c>
      <c r="B6" s="799" t="s">
        <v>250</v>
      </c>
      <c r="C6" s="770">
        <v>145906</v>
      </c>
      <c r="D6" s="92"/>
      <c r="E6" s="143">
        <v>1112.1130000000001</v>
      </c>
      <c r="F6" s="115" t="s">
        <v>250</v>
      </c>
      <c r="G6" s="7">
        <v>145906</v>
      </c>
      <c r="H6" s="92"/>
      <c r="I6" s="154" t="s">
        <v>4960</v>
      </c>
      <c r="J6" s="114"/>
      <c r="K6" s="642">
        <f>'7正'!K4</f>
        <v>179669</v>
      </c>
      <c r="M6" s="154" t="s">
        <v>4960</v>
      </c>
      <c r="N6" s="114"/>
      <c r="O6" s="642">
        <f>'6正'!K4</f>
        <v>213913</v>
      </c>
      <c r="Q6" s="143">
        <v>1112.1130000000001</v>
      </c>
      <c r="R6" s="115" t="s">
        <v>250</v>
      </c>
      <c r="S6" s="598">
        <v>55020</v>
      </c>
      <c r="U6" s="143">
        <v>1112.1130000000001</v>
      </c>
      <c r="V6" s="115" t="s">
        <v>250</v>
      </c>
      <c r="W6" s="555">
        <v>294754</v>
      </c>
      <c r="Y6" s="143">
        <v>1112.1130000000001</v>
      </c>
      <c r="Z6" s="115" t="s">
        <v>250</v>
      </c>
      <c r="AA6" s="7">
        <v>364055</v>
      </c>
      <c r="AC6" s="143">
        <v>1112.1130000000001</v>
      </c>
      <c r="AD6" s="115" t="s">
        <v>250</v>
      </c>
      <c r="AE6" s="7">
        <v>324034</v>
      </c>
      <c r="AG6" s="143">
        <v>1112.1130000000001</v>
      </c>
      <c r="AH6" s="115" t="s">
        <v>250</v>
      </c>
      <c r="AI6">
        <v>79218</v>
      </c>
      <c r="AK6" s="143">
        <v>1112.1130000000001</v>
      </c>
      <c r="AL6" s="115" t="s">
        <v>250</v>
      </c>
      <c r="AM6">
        <v>207199</v>
      </c>
      <c r="AO6" s="143">
        <v>1112.1130000000001</v>
      </c>
      <c r="AP6" s="115" t="s">
        <v>347</v>
      </c>
      <c r="AQ6">
        <v>112400</v>
      </c>
      <c r="AS6" s="143">
        <v>1112.1130000000001</v>
      </c>
      <c r="AT6" s="115" t="s">
        <v>347</v>
      </c>
      <c r="AU6">
        <v>334133</v>
      </c>
      <c r="AW6" s="143">
        <v>1112.1130000000001</v>
      </c>
      <c r="AX6" s="115" t="s">
        <v>347</v>
      </c>
      <c r="AY6">
        <v>342916</v>
      </c>
      <c r="BA6" s="143">
        <v>1112.1130000000001</v>
      </c>
      <c r="BB6" s="115" t="s">
        <v>1514</v>
      </c>
      <c r="BC6">
        <v>305406</v>
      </c>
      <c r="BE6">
        <v>1112.1110000000001</v>
      </c>
      <c r="BF6" s="115" t="s">
        <v>3424</v>
      </c>
      <c r="BG6">
        <v>1948</v>
      </c>
      <c r="BI6" s="69">
        <v>1112.1110000000001</v>
      </c>
      <c r="BJ6" s="70" t="s">
        <v>2957</v>
      </c>
      <c r="BK6" s="69">
        <v>1948</v>
      </c>
    </row>
    <row r="7" spans="1:63">
      <c r="A7" s="143">
        <v>1112.1089999999999</v>
      </c>
      <c r="B7" s="799" t="s">
        <v>2954</v>
      </c>
      <c r="C7" s="770">
        <v>13847</v>
      </c>
      <c r="E7" s="143">
        <v>1112.1089999999999</v>
      </c>
      <c r="F7" s="115" t="s">
        <v>2954</v>
      </c>
      <c r="G7" s="7">
        <v>13847</v>
      </c>
      <c r="I7" s="143">
        <v>1112.1130000000001</v>
      </c>
      <c r="J7" s="115" t="s">
        <v>250</v>
      </c>
      <c r="K7" s="7">
        <v>174375</v>
      </c>
      <c r="L7" s="92"/>
      <c r="M7" s="143">
        <v>1112.1130000000001</v>
      </c>
      <c r="N7" s="115" t="s">
        <v>250</v>
      </c>
      <c r="O7" s="7">
        <v>210140</v>
      </c>
      <c r="P7" s="92"/>
      <c r="Q7" s="143">
        <v>1112.502</v>
      </c>
      <c r="R7" s="115" t="s">
        <v>2958</v>
      </c>
      <c r="S7" s="7">
        <v>551</v>
      </c>
      <c r="U7" s="143">
        <v>1112.502</v>
      </c>
      <c r="V7" s="115" t="s">
        <v>2958</v>
      </c>
      <c r="W7" s="7">
        <v>551</v>
      </c>
      <c r="Y7" s="143">
        <v>1112.502</v>
      </c>
      <c r="Z7" s="115" t="s">
        <v>2958</v>
      </c>
      <c r="AA7">
        <v>551</v>
      </c>
      <c r="AC7" s="143">
        <v>1112.502</v>
      </c>
      <c r="AD7" s="115" t="s">
        <v>2958</v>
      </c>
      <c r="AE7">
        <v>551</v>
      </c>
      <c r="AG7" s="143">
        <v>1112.502</v>
      </c>
      <c r="AH7" s="115" t="s">
        <v>2958</v>
      </c>
      <c r="AI7">
        <v>551</v>
      </c>
      <c r="AK7" s="143">
        <v>1112.502</v>
      </c>
      <c r="AL7" s="115" t="s">
        <v>2958</v>
      </c>
      <c r="AM7">
        <v>551</v>
      </c>
      <c r="AO7" s="143">
        <v>1112.502</v>
      </c>
      <c r="AP7" s="115" t="s">
        <v>2958</v>
      </c>
      <c r="AQ7">
        <v>551</v>
      </c>
      <c r="AS7" s="143">
        <v>1112.502</v>
      </c>
      <c r="AT7" s="115" t="s">
        <v>2958</v>
      </c>
      <c r="AU7">
        <v>551</v>
      </c>
      <c r="AW7" s="143">
        <v>1112.502</v>
      </c>
      <c r="AX7" s="115" t="s">
        <v>2958</v>
      </c>
      <c r="AY7">
        <v>551</v>
      </c>
      <c r="BA7" s="143">
        <v>1112.502</v>
      </c>
      <c r="BB7" s="115" t="s">
        <v>3425</v>
      </c>
      <c r="BC7">
        <v>551</v>
      </c>
      <c r="BE7">
        <v>1112.502</v>
      </c>
      <c r="BF7" s="115" t="s">
        <v>3425</v>
      </c>
      <c r="BG7">
        <v>569</v>
      </c>
      <c r="BI7" s="69">
        <v>1112.502</v>
      </c>
      <c r="BJ7" s="70" t="s">
        <v>2958</v>
      </c>
      <c r="BK7" s="69">
        <v>569</v>
      </c>
    </row>
    <row r="8" spans="1:63">
      <c r="A8" s="143">
        <v>1112.1110000000001</v>
      </c>
      <c r="B8" s="799" t="s">
        <v>3424</v>
      </c>
      <c r="C8" s="770">
        <v>1948</v>
      </c>
      <c r="E8" s="143">
        <v>1112.1110000000001</v>
      </c>
      <c r="F8" s="115" t="s">
        <v>3424</v>
      </c>
      <c r="G8" s="7">
        <v>1948</v>
      </c>
      <c r="I8" s="143">
        <v>1112.1089999999999</v>
      </c>
      <c r="J8" s="115" t="s">
        <v>2954</v>
      </c>
      <c r="K8" s="7">
        <v>2694</v>
      </c>
      <c r="M8" s="143">
        <v>1112.1089999999999</v>
      </c>
      <c r="N8" s="115" t="s">
        <v>2954</v>
      </c>
      <c r="O8" s="7">
        <v>1173</v>
      </c>
      <c r="Q8" s="143"/>
      <c r="R8" s="559"/>
      <c r="U8" s="143"/>
      <c r="V8" s="559"/>
      <c r="Y8" s="143"/>
      <c r="Z8" s="115"/>
      <c r="AC8" s="143"/>
      <c r="AD8" s="115"/>
      <c r="AG8" s="143"/>
      <c r="AH8" s="115"/>
      <c r="AK8" s="143">
        <v>1112.203</v>
      </c>
      <c r="AL8" s="115" t="s">
        <v>321</v>
      </c>
      <c r="AM8">
        <v>200000</v>
      </c>
      <c r="AO8" s="143">
        <v>1112.203</v>
      </c>
      <c r="AP8" s="115" t="s">
        <v>321</v>
      </c>
      <c r="AQ8">
        <v>100000</v>
      </c>
      <c r="AS8" s="143"/>
      <c r="AT8" s="115"/>
      <c r="AW8" s="143"/>
      <c r="AX8" s="115"/>
      <c r="BF8" s="115"/>
    </row>
    <row r="9" spans="1:63">
      <c r="A9" s="143">
        <v>1112.107</v>
      </c>
      <c r="B9" s="799" t="s">
        <v>2955</v>
      </c>
      <c r="C9" s="770">
        <v>101</v>
      </c>
      <c r="E9" s="143">
        <v>1112.107</v>
      </c>
      <c r="F9" s="115" t="s">
        <v>2955</v>
      </c>
      <c r="G9" s="7">
        <v>101</v>
      </c>
      <c r="I9" s="143">
        <v>1112.1110000000001</v>
      </c>
      <c r="J9" s="115" t="s">
        <v>3424</v>
      </c>
      <c r="K9" s="7">
        <v>1948</v>
      </c>
      <c r="M9" s="143">
        <v>1112.1110000000001</v>
      </c>
      <c r="N9" s="115" t="s">
        <v>3424</v>
      </c>
      <c r="O9" s="7">
        <v>1948</v>
      </c>
      <c r="Q9" s="154" t="s">
        <v>4961</v>
      </c>
      <c r="R9" s="114"/>
      <c r="S9" s="599">
        <f>SUM(S10:S14)</f>
        <v>2540547</v>
      </c>
      <c r="U9" s="154" t="s">
        <v>348</v>
      </c>
      <c r="V9" s="114"/>
      <c r="W9" s="411">
        <f>SUM(W10:W14)</f>
        <v>2241629</v>
      </c>
      <c r="Y9" s="154" t="s">
        <v>1314</v>
      </c>
      <c r="Z9" s="114"/>
      <c r="AA9" s="332">
        <f>SUM(AA10:AA13)</f>
        <v>2243835</v>
      </c>
      <c r="AC9" s="154" t="s">
        <v>1314</v>
      </c>
      <c r="AD9" s="114"/>
      <c r="AE9" s="291">
        <f>616508+991935+AE11+AE10</f>
        <v>2058443</v>
      </c>
      <c r="AG9" s="154" t="s">
        <v>1314</v>
      </c>
      <c r="AH9" s="114"/>
      <c r="AI9" s="169">
        <f>2269789+AI11</f>
        <v>2469789</v>
      </c>
      <c r="AK9" s="143"/>
      <c r="AL9" s="115"/>
      <c r="AO9" s="143"/>
      <c r="AP9" s="115"/>
      <c r="AS9" s="154" t="s">
        <v>348</v>
      </c>
      <c r="AT9" s="114"/>
      <c r="AU9" s="169">
        <v>1691895</v>
      </c>
      <c r="AW9" s="154" t="s">
        <v>348</v>
      </c>
      <c r="AX9" s="114"/>
      <c r="AY9" s="11">
        <f>SUM(AY10:AY236)</f>
        <v>3080295</v>
      </c>
      <c r="BA9" s="114" t="s">
        <v>3427</v>
      </c>
      <c r="BB9" s="114"/>
      <c r="BC9" s="11">
        <f>SUM(BC10:BC276)</f>
        <v>3727380</v>
      </c>
      <c r="BE9" s="114" t="s">
        <v>3427</v>
      </c>
      <c r="BF9" s="114"/>
      <c r="BG9" s="11">
        <f>SUM(BG10:BG380)</f>
        <v>5251506</v>
      </c>
      <c r="BI9" s="68" t="s">
        <v>1314</v>
      </c>
      <c r="BJ9" s="68"/>
      <c r="BK9" s="71">
        <f>SUM(BK10:BK412)</f>
        <v>5282268</v>
      </c>
    </row>
    <row r="10" spans="1:63">
      <c r="A10" s="143">
        <v>1112.502</v>
      </c>
      <c r="B10" s="799" t="s">
        <v>2958</v>
      </c>
      <c r="C10" s="770">
        <v>551</v>
      </c>
      <c r="E10" s="143">
        <v>1112.502</v>
      </c>
      <c r="F10" s="115" t="s">
        <v>2958</v>
      </c>
      <c r="G10" s="7">
        <v>551</v>
      </c>
      <c r="I10" s="143">
        <v>1112.107</v>
      </c>
      <c r="J10" s="115" t="s">
        <v>2955</v>
      </c>
      <c r="K10" s="7">
        <v>101</v>
      </c>
      <c r="M10" s="143">
        <v>1112.107</v>
      </c>
      <c r="N10" s="115" t="s">
        <v>2955</v>
      </c>
      <c r="O10" s="7">
        <v>101</v>
      </c>
      <c r="Q10" s="306"/>
      <c r="R10" s="7" t="s">
        <v>4840</v>
      </c>
      <c r="S10" s="146">
        <v>287775</v>
      </c>
      <c r="T10" s="92"/>
      <c r="U10" s="306"/>
      <c r="V10" s="7" t="s">
        <v>4469</v>
      </c>
      <c r="W10" s="146">
        <v>476595</v>
      </c>
      <c r="X10" s="92"/>
      <c r="Y10" s="306"/>
      <c r="Z10" s="7" t="s">
        <v>3729</v>
      </c>
      <c r="AA10" s="146">
        <f>200970</f>
        <v>200970</v>
      </c>
      <c r="AC10" s="178">
        <v>2011</v>
      </c>
      <c r="AD10" s="115" t="s">
        <v>2129</v>
      </c>
      <c r="AE10">
        <v>200000</v>
      </c>
      <c r="AG10" s="143"/>
      <c r="AH10" t="s">
        <v>2121</v>
      </c>
      <c r="AK10" s="154" t="s">
        <v>1314</v>
      </c>
      <c r="AL10" s="114"/>
      <c r="AM10" s="169">
        <v>1638675</v>
      </c>
      <c r="AO10" s="154" t="s">
        <v>1314</v>
      </c>
      <c r="AP10" s="114"/>
      <c r="AQ10" s="169">
        <v>2219910</v>
      </c>
      <c r="AS10" s="143"/>
      <c r="AT10" t="s">
        <v>1857</v>
      </c>
      <c r="AW10" s="143">
        <v>97031901</v>
      </c>
      <c r="AX10" t="s">
        <v>349</v>
      </c>
      <c r="AY10" s="124">
        <v>14175</v>
      </c>
      <c r="BA10" s="144">
        <v>95081001</v>
      </c>
      <c r="BB10" s="144" t="s">
        <v>3007</v>
      </c>
      <c r="BC10" s="62">
        <v>14175</v>
      </c>
      <c r="BE10">
        <v>95081001</v>
      </c>
      <c r="BF10" t="s">
        <v>3006</v>
      </c>
      <c r="BG10" s="120">
        <v>14175</v>
      </c>
      <c r="BI10" s="72">
        <v>93071903</v>
      </c>
      <c r="BJ10" s="72" t="s">
        <v>1310</v>
      </c>
      <c r="BK10" s="62">
        <v>8400</v>
      </c>
    </row>
    <row r="11" spans="1:63">
      <c r="A11" s="143"/>
      <c r="B11" s="559"/>
      <c r="C11" s="685">
        <f>SUM(C6:C10)-C5</f>
        <v>-79628</v>
      </c>
      <c r="E11" s="143"/>
      <c r="F11" s="559"/>
      <c r="G11" s="685">
        <f>SUM(G6:G10)-G5</f>
        <v>0</v>
      </c>
      <c r="I11" s="143">
        <v>1112.502</v>
      </c>
      <c r="J11" s="115" t="s">
        <v>2958</v>
      </c>
      <c r="K11" s="7">
        <v>551</v>
      </c>
      <c r="M11" s="143">
        <v>1112.502</v>
      </c>
      <c r="N11" s="115" t="s">
        <v>2958</v>
      </c>
      <c r="O11" s="7">
        <v>551</v>
      </c>
      <c r="Q11" s="149"/>
      <c r="R11" s="7" t="s">
        <v>4839</v>
      </c>
      <c r="S11" s="146">
        <v>28350</v>
      </c>
      <c r="U11" s="149"/>
      <c r="V11" s="7" t="s">
        <v>4297</v>
      </c>
      <c r="W11" s="146">
        <v>0</v>
      </c>
      <c r="Y11" s="149"/>
      <c r="Z11" s="7" t="s">
        <v>3730</v>
      </c>
      <c r="AA11" s="146">
        <v>41580</v>
      </c>
      <c r="AC11" s="178">
        <v>2013</v>
      </c>
      <c r="AD11" s="115" t="s">
        <v>2129</v>
      </c>
      <c r="AE11">
        <v>250000</v>
      </c>
      <c r="AG11" s="178">
        <v>2011</v>
      </c>
      <c r="AH11" s="115" t="s">
        <v>2129</v>
      </c>
      <c r="AI11">
        <v>200000</v>
      </c>
      <c r="AK11" s="143"/>
      <c r="AL11" t="s">
        <v>2116</v>
      </c>
      <c r="AO11" s="143"/>
      <c r="AP11" t="s">
        <v>19200</v>
      </c>
      <c r="AQ11" s="159"/>
      <c r="AS11" s="154" t="s">
        <v>2606</v>
      </c>
      <c r="AT11" s="114"/>
      <c r="AU11" s="169">
        <f>SUM(AU12:AU21)</f>
        <v>205100</v>
      </c>
      <c r="AW11" s="143">
        <v>97031901</v>
      </c>
      <c r="AX11" t="s">
        <v>350</v>
      </c>
      <c r="AY11" s="124">
        <v>14175</v>
      </c>
      <c r="BA11" s="144">
        <v>95081001</v>
      </c>
      <c r="BB11" s="144" t="s">
        <v>3011</v>
      </c>
      <c r="BC11" s="62">
        <v>14175</v>
      </c>
      <c r="BE11">
        <v>95081001</v>
      </c>
      <c r="BF11" t="s">
        <v>3007</v>
      </c>
      <c r="BG11" s="120">
        <v>14175</v>
      </c>
      <c r="BI11" s="72">
        <v>93071903</v>
      </c>
      <c r="BJ11" s="72" t="s">
        <v>1311</v>
      </c>
      <c r="BK11" s="62">
        <v>8400</v>
      </c>
    </row>
    <row r="12" spans="1:63">
      <c r="A12" s="154" t="s">
        <v>4961</v>
      </c>
      <c r="B12" s="114"/>
      <c r="C12" s="632">
        <f>'9正'!K5</f>
        <v>1614030</v>
      </c>
      <c r="E12" s="154" t="s">
        <v>4961</v>
      </c>
      <c r="F12" s="114"/>
      <c r="G12" s="632">
        <f>'8正'!K5</f>
        <v>2144743</v>
      </c>
      <c r="I12" s="143"/>
      <c r="J12" s="559"/>
      <c r="K12" s="685">
        <f>SUM(K7:K11)-K6</f>
        <v>0</v>
      </c>
      <c r="M12" s="143"/>
      <c r="N12" s="559"/>
      <c r="O12" s="146">
        <f>SUM(O7:O11)-O6</f>
        <v>0</v>
      </c>
      <c r="Q12" s="149"/>
      <c r="R12" s="7" t="s">
        <v>4842</v>
      </c>
      <c r="S12" s="146">
        <v>1054305</v>
      </c>
      <c r="U12" s="149"/>
      <c r="V12" s="7" t="s">
        <v>4473</v>
      </c>
      <c r="W12" s="146">
        <v>1256820</v>
      </c>
      <c r="Y12" s="149"/>
      <c r="Z12" s="7" t="s">
        <v>3731</v>
      </c>
      <c r="AA12" s="146">
        <f>1618920</f>
        <v>1618920</v>
      </c>
      <c r="AB12" s="92"/>
      <c r="AD12" s="115"/>
      <c r="AF12" s="92"/>
      <c r="AG12" s="143"/>
      <c r="AH12" s="115"/>
      <c r="AJ12" s="92"/>
      <c r="AK12" s="178">
        <v>2011</v>
      </c>
      <c r="AL12" s="115" t="s">
        <v>2129</v>
      </c>
      <c r="AM12">
        <v>200000</v>
      </c>
      <c r="AN12" s="92"/>
      <c r="AO12" s="154" t="s">
        <v>2606</v>
      </c>
      <c r="AP12" s="114"/>
      <c r="AQ12" s="169">
        <v>195930</v>
      </c>
      <c r="AS12" s="167">
        <v>98021501</v>
      </c>
      <c r="AT12" s="144" t="s">
        <v>266</v>
      </c>
      <c r="AU12" s="62">
        <v>1500</v>
      </c>
      <c r="AW12" s="143">
        <v>97031901</v>
      </c>
      <c r="AX12" t="s">
        <v>351</v>
      </c>
      <c r="AY12" s="124">
        <v>14175</v>
      </c>
      <c r="BA12" s="144">
        <v>95122601</v>
      </c>
      <c r="BB12" s="144" t="s">
        <v>3021</v>
      </c>
      <c r="BC12" s="62">
        <v>14175</v>
      </c>
      <c r="BE12">
        <v>95081001</v>
      </c>
      <c r="BF12" t="s">
        <v>3008</v>
      </c>
      <c r="BG12" s="120">
        <v>14175</v>
      </c>
      <c r="BI12" s="72">
        <v>93071903</v>
      </c>
      <c r="BJ12" s="72" t="s">
        <v>216</v>
      </c>
      <c r="BK12" s="62">
        <v>8400</v>
      </c>
    </row>
    <row r="13" spans="1:63">
      <c r="A13" s="178">
        <v>2019</v>
      </c>
      <c r="B13" s="770" t="s">
        <v>19204</v>
      </c>
      <c r="C13" s="146">
        <v>285705</v>
      </c>
      <c r="E13" s="178">
        <v>2018</v>
      </c>
      <c r="F13" s="7" t="s">
        <v>15191</v>
      </c>
      <c r="G13" s="146">
        <v>333585</v>
      </c>
      <c r="I13" s="154" t="s">
        <v>4961</v>
      </c>
      <c r="J13" s="114"/>
      <c r="K13" s="632">
        <f>'7正'!K5</f>
        <v>2129301</v>
      </c>
      <c r="M13" s="154" t="s">
        <v>4961</v>
      </c>
      <c r="N13" s="114"/>
      <c r="O13" s="632">
        <f>'6正'!K5</f>
        <v>2028644</v>
      </c>
      <c r="Q13" s="149"/>
      <c r="R13" s="7" t="s">
        <v>4843</v>
      </c>
      <c r="S13" s="146">
        <v>58275</v>
      </c>
      <c r="U13" s="149"/>
      <c r="V13" s="7" t="s">
        <v>4417</v>
      </c>
      <c r="W13" s="146"/>
      <c r="Y13" s="149"/>
      <c r="Z13" s="7" t="s">
        <v>3732</v>
      </c>
      <c r="AA13" s="146">
        <v>382365</v>
      </c>
      <c r="AC13" s="154" t="s">
        <v>920</v>
      </c>
      <c r="AD13" s="114"/>
      <c r="AE13" s="291">
        <f>SUM(AE14:AE24)</f>
        <v>375540</v>
      </c>
      <c r="AG13" s="154" t="s">
        <v>2606</v>
      </c>
      <c r="AH13" s="114"/>
      <c r="AI13" s="169">
        <f>SUM(AI14:AI23)</f>
        <v>219979</v>
      </c>
      <c r="AK13" s="154" t="s">
        <v>2606</v>
      </c>
      <c r="AL13" s="114"/>
      <c r="AM13" s="169">
        <f>SUM(AM14:AM21)</f>
        <v>88790</v>
      </c>
      <c r="AO13" s="158">
        <v>96122802</v>
      </c>
      <c r="AP13" t="s">
        <v>412</v>
      </c>
      <c r="AQ13" s="62">
        <v>15000</v>
      </c>
      <c r="AS13" s="158">
        <v>97123108</v>
      </c>
      <c r="AT13" t="s">
        <v>412</v>
      </c>
      <c r="AU13" s="62">
        <v>15000</v>
      </c>
      <c r="AW13" s="143">
        <v>97031901</v>
      </c>
      <c r="AX13" t="s">
        <v>352</v>
      </c>
      <c r="AY13" s="124">
        <v>14175</v>
      </c>
      <c r="BA13" s="144">
        <v>95122601</v>
      </c>
      <c r="BB13" s="144" t="s">
        <v>3022</v>
      </c>
      <c r="BC13" s="62">
        <v>14175</v>
      </c>
      <c r="BE13">
        <v>95081001</v>
      </c>
      <c r="BF13" t="s">
        <v>3009</v>
      </c>
      <c r="BG13" s="120">
        <v>14175</v>
      </c>
      <c r="BI13" s="72">
        <v>93071903</v>
      </c>
      <c r="BJ13" s="72" t="s">
        <v>217</v>
      </c>
      <c r="BK13" s="62">
        <v>8400</v>
      </c>
    </row>
    <row r="14" spans="1:63">
      <c r="A14" s="178">
        <v>2019</v>
      </c>
      <c r="B14" s="770" t="s">
        <v>19202</v>
      </c>
      <c r="C14" s="146">
        <v>0</v>
      </c>
      <c r="D14" s="146"/>
      <c r="E14" s="178">
        <v>2018</v>
      </c>
      <c r="F14" s="7" t="s">
        <v>15192</v>
      </c>
      <c r="G14" s="146">
        <v>0</v>
      </c>
      <c r="H14" s="146"/>
      <c r="I14" s="178">
        <v>2017</v>
      </c>
      <c r="J14" s="7" t="s">
        <v>10088</v>
      </c>
      <c r="K14" s="146">
        <v>298605</v>
      </c>
      <c r="M14" s="306"/>
      <c r="N14" s="7" t="s">
        <v>5651</v>
      </c>
      <c r="O14" s="146">
        <v>344925</v>
      </c>
      <c r="Q14" s="178">
        <v>2016</v>
      </c>
      <c r="R14" s="115" t="s">
        <v>2129</v>
      </c>
      <c r="S14" s="146">
        <v>1111842</v>
      </c>
      <c r="U14" s="178">
        <v>2015</v>
      </c>
      <c r="V14" s="115" t="s">
        <v>2129</v>
      </c>
      <c r="W14">
        <v>508214</v>
      </c>
      <c r="Z14" s="115"/>
      <c r="AA14" s="2"/>
      <c r="AC14" s="158">
        <v>96122802</v>
      </c>
      <c r="AD14" t="s">
        <v>412</v>
      </c>
      <c r="AE14" s="62">
        <v>15000</v>
      </c>
      <c r="AG14" s="158">
        <v>96122802</v>
      </c>
      <c r="AH14" t="s">
        <v>412</v>
      </c>
      <c r="AI14" s="62">
        <v>15000</v>
      </c>
      <c r="AK14" s="158">
        <v>96122802</v>
      </c>
      <c r="AL14" t="s">
        <v>412</v>
      </c>
      <c r="AM14" s="62">
        <v>15000</v>
      </c>
      <c r="AO14" s="158">
        <v>97123108</v>
      </c>
      <c r="AP14" t="s">
        <v>412</v>
      </c>
      <c r="AQ14" s="62">
        <v>15000</v>
      </c>
      <c r="AS14" s="158">
        <v>96122802</v>
      </c>
      <c r="AT14" t="s">
        <v>412</v>
      </c>
      <c r="AU14" s="62">
        <v>15000</v>
      </c>
      <c r="AW14" s="143">
        <v>97031901</v>
      </c>
      <c r="AX14" t="s">
        <v>353</v>
      </c>
      <c r="AY14" s="124">
        <v>14175</v>
      </c>
      <c r="BA14" s="144">
        <v>95122601</v>
      </c>
      <c r="BB14" s="144" t="s">
        <v>3023</v>
      </c>
      <c r="BC14" s="62">
        <v>14175</v>
      </c>
      <c r="BE14">
        <v>95081001</v>
      </c>
      <c r="BF14" t="s">
        <v>3010</v>
      </c>
      <c r="BG14" s="120">
        <v>14175</v>
      </c>
      <c r="BI14" s="72">
        <v>93072001</v>
      </c>
      <c r="BJ14" s="72" t="s">
        <v>218</v>
      </c>
      <c r="BK14" s="62">
        <v>8400</v>
      </c>
    </row>
    <row r="15" spans="1:63">
      <c r="A15" s="178">
        <v>2020</v>
      </c>
      <c r="B15" s="770" t="s">
        <v>19205</v>
      </c>
      <c r="C15" s="146">
        <v>1328325</v>
      </c>
      <c r="E15" s="178">
        <v>2019</v>
      </c>
      <c r="F15" s="7" t="s">
        <v>15194</v>
      </c>
      <c r="G15" s="146">
        <v>874530</v>
      </c>
      <c r="I15" s="178">
        <v>2017</v>
      </c>
      <c r="J15" s="7" t="s">
        <v>10087</v>
      </c>
      <c r="K15" s="146">
        <v>0</v>
      </c>
      <c r="L15" s="146"/>
      <c r="M15" s="149"/>
      <c r="N15" s="7" t="s">
        <v>5652</v>
      </c>
      <c r="O15" s="146">
        <v>0</v>
      </c>
      <c r="P15" s="146"/>
      <c r="R15" s="115"/>
      <c r="T15" s="146"/>
      <c r="V15" s="115"/>
      <c r="W15" s="146"/>
      <c r="Y15" s="154" t="s">
        <v>2606</v>
      </c>
      <c r="Z15" s="114"/>
      <c r="AA15" s="332">
        <f>SUM(AA16:AA23)</f>
        <v>329970</v>
      </c>
      <c r="AC15" s="158">
        <v>97123108</v>
      </c>
      <c r="AD15" t="s">
        <v>412</v>
      </c>
      <c r="AE15" s="62">
        <v>15000</v>
      </c>
      <c r="AG15" s="158">
        <v>97123108</v>
      </c>
      <c r="AH15" t="s">
        <v>412</v>
      </c>
      <c r="AI15" s="62">
        <v>15000</v>
      </c>
      <c r="AK15" s="158">
        <v>97123108</v>
      </c>
      <c r="AL15" t="s">
        <v>412</v>
      </c>
      <c r="AM15" s="62">
        <v>15000</v>
      </c>
      <c r="AO15" s="167">
        <v>98021501</v>
      </c>
      <c r="AP15" s="144" t="s">
        <v>316</v>
      </c>
      <c r="AQ15" s="62">
        <v>1500</v>
      </c>
      <c r="AS15" s="166">
        <v>98032001</v>
      </c>
      <c r="AT15" t="s">
        <v>2685</v>
      </c>
      <c r="AU15" s="159">
        <v>12915</v>
      </c>
      <c r="AW15" s="143">
        <v>97120301</v>
      </c>
      <c r="AX15" t="s">
        <v>354</v>
      </c>
      <c r="AY15" s="124">
        <v>13230</v>
      </c>
      <c r="BA15" s="144">
        <v>95122601</v>
      </c>
      <c r="BB15" s="144" t="s">
        <v>3024</v>
      </c>
      <c r="BC15" s="62">
        <v>14175</v>
      </c>
      <c r="BE15">
        <v>95081001</v>
      </c>
      <c r="BF15" t="s">
        <v>3011</v>
      </c>
      <c r="BG15" s="120">
        <v>14175</v>
      </c>
      <c r="BI15" s="72">
        <v>93021802</v>
      </c>
      <c r="BJ15" s="72" t="s">
        <v>219</v>
      </c>
      <c r="BK15" s="62">
        <v>4500</v>
      </c>
    </row>
    <row r="16" spans="1:63">
      <c r="A16" s="178">
        <v>2020</v>
      </c>
      <c r="B16" s="770" t="s">
        <v>19203</v>
      </c>
      <c r="C16" s="146">
        <v>0</v>
      </c>
      <c r="E16" s="178">
        <v>2019</v>
      </c>
      <c r="F16" s="7" t="s">
        <v>15193</v>
      </c>
      <c r="G16" s="146">
        <v>0</v>
      </c>
      <c r="I16" s="178">
        <v>2018</v>
      </c>
      <c r="J16" s="7" t="s">
        <v>10089</v>
      </c>
      <c r="K16" s="146">
        <v>1170675</v>
      </c>
      <c r="M16" s="149"/>
      <c r="N16" s="7" t="s">
        <v>5653</v>
      </c>
      <c r="O16" s="146">
        <f>1328775-11970</f>
        <v>1316805</v>
      </c>
      <c r="Q16" s="154" t="s">
        <v>4962</v>
      </c>
      <c r="R16" s="114"/>
      <c r="S16" s="599">
        <f>SUM(S17:S21)</f>
        <v>177930</v>
      </c>
      <c r="U16" s="154" t="s">
        <v>920</v>
      </c>
      <c r="V16" s="114"/>
      <c r="W16" s="411">
        <f>SUM(W17:W23)</f>
        <v>294795</v>
      </c>
      <c r="Y16" s="264"/>
      <c r="Z16" s="285" t="s">
        <v>2619</v>
      </c>
      <c r="AA16" s="159">
        <f>3780*12</f>
        <v>45360</v>
      </c>
      <c r="AC16" s="167">
        <v>98021501</v>
      </c>
      <c r="AD16" s="186" t="s">
        <v>316</v>
      </c>
      <c r="AE16" s="62">
        <v>1500</v>
      </c>
      <c r="AG16" s="167">
        <v>98021501</v>
      </c>
      <c r="AH16" s="186" t="s">
        <v>316</v>
      </c>
      <c r="AI16" s="62">
        <v>1500</v>
      </c>
      <c r="AK16" s="167">
        <v>98021501</v>
      </c>
      <c r="AL16" s="186" t="s">
        <v>316</v>
      </c>
      <c r="AM16" s="62">
        <v>1500</v>
      </c>
      <c r="AO16" s="166">
        <v>20100827</v>
      </c>
      <c r="AP16" t="s">
        <v>1533</v>
      </c>
      <c r="AQ16" s="159">
        <v>45360</v>
      </c>
      <c r="AS16" s="166">
        <v>98051901</v>
      </c>
      <c r="AT16" t="s">
        <v>269</v>
      </c>
      <c r="AU16" s="159">
        <v>2000</v>
      </c>
      <c r="AW16" s="143">
        <v>97120301</v>
      </c>
      <c r="AX16" t="s">
        <v>355</v>
      </c>
      <c r="AY16" s="124">
        <v>13230</v>
      </c>
      <c r="BA16" s="144">
        <v>95122201</v>
      </c>
      <c r="BB16" s="144" t="s">
        <v>3029</v>
      </c>
      <c r="BC16" s="62">
        <v>14175</v>
      </c>
      <c r="BE16">
        <v>95031702</v>
      </c>
      <c r="BF16" t="s">
        <v>3012</v>
      </c>
      <c r="BG16" s="120">
        <v>13500</v>
      </c>
      <c r="BI16" s="72">
        <v>93021802</v>
      </c>
      <c r="BJ16" s="72" t="s">
        <v>220</v>
      </c>
      <c r="BK16" s="62">
        <v>4500</v>
      </c>
    </row>
    <row r="17" spans="1:63">
      <c r="A17" s="178">
        <v>2020</v>
      </c>
      <c r="B17" s="799" t="s">
        <v>2129</v>
      </c>
      <c r="C17" s="146"/>
      <c r="D17" s="92"/>
      <c r="E17" s="178">
        <v>2019</v>
      </c>
      <c r="F17" s="115" t="s">
        <v>2129</v>
      </c>
      <c r="G17" s="146">
        <v>936628</v>
      </c>
      <c r="H17" s="92"/>
      <c r="I17" s="178">
        <v>2018</v>
      </c>
      <c r="J17" s="7" t="s">
        <v>10090</v>
      </c>
      <c r="K17" s="146">
        <v>0</v>
      </c>
      <c r="M17" s="149"/>
      <c r="N17" s="7" t="s">
        <v>5654</v>
      </c>
      <c r="O17" s="146">
        <v>11970</v>
      </c>
      <c r="Q17" s="264"/>
      <c r="R17" s="573" t="s">
        <v>4837</v>
      </c>
      <c r="S17" s="330">
        <v>22680</v>
      </c>
      <c r="U17" s="264"/>
      <c r="V17" s="286" t="s">
        <v>2620</v>
      </c>
      <c r="W17" s="330">
        <f>3780*(21-4*3)</f>
        <v>34020</v>
      </c>
      <c r="Y17" s="264"/>
      <c r="Z17" s="286" t="s">
        <v>2620</v>
      </c>
      <c r="AA17" s="159">
        <f>3780*3*7</f>
        <v>79380</v>
      </c>
      <c r="AC17" s="227">
        <v>20110531</v>
      </c>
      <c r="AD17" s="177" t="s">
        <v>2672</v>
      </c>
      <c r="AE17" s="62">
        <v>5000</v>
      </c>
      <c r="AG17" s="227">
        <v>20110531</v>
      </c>
      <c r="AH17" s="177" t="s">
        <v>2672</v>
      </c>
      <c r="AI17" s="62">
        <v>5000</v>
      </c>
      <c r="AK17" s="227">
        <v>20110531</v>
      </c>
      <c r="AL17" s="177" t="s">
        <v>2672</v>
      </c>
      <c r="AM17" s="62">
        <v>5000</v>
      </c>
      <c r="AO17" s="166">
        <v>20101202</v>
      </c>
      <c r="AP17" s="183" t="s">
        <v>255</v>
      </c>
      <c r="AQ17" s="159">
        <v>90720</v>
      </c>
      <c r="AS17" s="166">
        <v>98111801</v>
      </c>
      <c r="AT17" t="s">
        <v>268</v>
      </c>
      <c r="AU17" s="159">
        <v>14175</v>
      </c>
      <c r="AW17" s="143">
        <v>97120301</v>
      </c>
      <c r="AX17" t="s">
        <v>356</v>
      </c>
      <c r="AY17" s="124">
        <v>13230</v>
      </c>
      <c r="BA17" s="144">
        <v>95122201</v>
      </c>
      <c r="BB17" s="144" t="s">
        <v>3030</v>
      </c>
      <c r="BC17" s="62">
        <v>14175</v>
      </c>
      <c r="BE17">
        <v>95031702</v>
      </c>
      <c r="BF17" t="s">
        <v>3013</v>
      </c>
      <c r="BG17" s="120">
        <v>13500</v>
      </c>
      <c r="BI17" s="72">
        <v>93092101</v>
      </c>
      <c r="BJ17" s="72" t="s">
        <v>221</v>
      </c>
      <c r="BK17" s="62">
        <v>8978</v>
      </c>
    </row>
    <row r="18" spans="1:63">
      <c r="B18" s="799"/>
      <c r="C18" s="685">
        <f>SUM(C13:C17)-C12</f>
        <v>0</v>
      </c>
      <c r="F18" s="115"/>
      <c r="G18" s="685">
        <f>SUM(G13:G17)-G12</f>
        <v>0</v>
      </c>
      <c r="I18" s="178">
        <v>2018</v>
      </c>
      <c r="J18" s="115" t="s">
        <v>2129</v>
      </c>
      <c r="K18" s="146">
        <v>660021</v>
      </c>
      <c r="L18" s="92"/>
      <c r="M18" s="178">
        <v>2017</v>
      </c>
      <c r="N18" s="115" t="s">
        <v>2129</v>
      </c>
      <c r="O18" s="146">
        <v>354944</v>
      </c>
      <c r="P18" s="92"/>
      <c r="Q18" s="264"/>
      <c r="R18" s="410" t="s">
        <v>2691</v>
      </c>
      <c r="S18" s="159">
        <v>113400</v>
      </c>
      <c r="U18" s="264"/>
      <c r="V18" s="285" t="s">
        <v>3825</v>
      </c>
      <c r="W18" s="159">
        <v>14175</v>
      </c>
      <c r="Y18" s="264"/>
      <c r="Z18" s="285" t="s">
        <v>1232</v>
      </c>
      <c r="AA18" s="159">
        <v>16380</v>
      </c>
      <c r="AC18" s="143">
        <v>20110802</v>
      </c>
      <c r="AD18" s="183" t="s">
        <v>1922</v>
      </c>
      <c r="AE18" s="62">
        <v>11970</v>
      </c>
      <c r="AG18" s="143">
        <v>20110802</v>
      </c>
      <c r="AH18" s="183" t="s">
        <v>451</v>
      </c>
      <c r="AI18" s="159">
        <v>11970</v>
      </c>
      <c r="AK18" s="143">
        <v>20110802</v>
      </c>
      <c r="AL18" s="183" t="s">
        <v>2772</v>
      </c>
      <c r="AM18" s="159">
        <v>11970</v>
      </c>
      <c r="AO18" s="166">
        <v>20101209</v>
      </c>
      <c r="AP18" s="183" t="s">
        <v>1232</v>
      </c>
      <c r="AQ18" s="159">
        <v>16380</v>
      </c>
      <c r="AS18" s="166">
        <v>98111801</v>
      </c>
      <c r="AT18" t="s">
        <v>270</v>
      </c>
      <c r="AU18" s="159">
        <v>5700</v>
      </c>
      <c r="AW18" s="143">
        <v>97120301</v>
      </c>
      <c r="AX18" t="s">
        <v>357</v>
      </c>
      <c r="AY18" s="124">
        <v>13230</v>
      </c>
      <c r="BA18" s="144">
        <v>95122201</v>
      </c>
      <c r="BB18" s="144" t="s">
        <v>3031</v>
      </c>
      <c r="BC18" s="62">
        <v>14175</v>
      </c>
      <c r="BE18">
        <v>95031702</v>
      </c>
      <c r="BF18" t="s">
        <v>3014</v>
      </c>
      <c r="BG18" s="120">
        <v>13500</v>
      </c>
      <c r="BI18" s="72">
        <v>93092101</v>
      </c>
      <c r="BJ18" s="72" t="s">
        <v>222</v>
      </c>
      <c r="BK18" s="62">
        <v>8978</v>
      </c>
    </row>
    <row r="19" spans="1:63">
      <c r="A19" s="154" t="s">
        <v>4962</v>
      </c>
      <c r="B19" s="114"/>
      <c r="C19" s="636">
        <f>'9正'!K6</f>
        <v>345105</v>
      </c>
      <c r="E19" s="154" t="s">
        <v>4962</v>
      </c>
      <c r="F19" s="114"/>
      <c r="G19" s="636">
        <f>'8正'!K6</f>
        <v>505575</v>
      </c>
      <c r="J19" s="115"/>
      <c r="K19" s="685">
        <f>SUM(K14:K18)-K13</f>
        <v>0</v>
      </c>
      <c r="N19" s="115"/>
      <c r="O19" s="146">
        <f>SUM(O14:O18)-O13</f>
        <v>0</v>
      </c>
      <c r="Q19" s="264"/>
      <c r="R19" s="410" t="s">
        <v>3825</v>
      </c>
      <c r="S19" s="159">
        <v>14175</v>
      </c>
      <c r="U19" s="264"/>
      <c r="V19" s="410" t="s">
        <v>4318</v>
      </c>
      <c r="W19" s="159">
        <v>13500</v>
      </c>
      <c r="Y19" s="264"/>
      <c r="Z19" s="285" t="s">
        <v>3825</v>
      </c>
      <c r="AA19" s="159">
        <v>14175</v>
      </c>
      <c r="AC19" s="143">
        <v>20111108</v>
      </c>
      <c r="AD19" s="183" t="s">
        <v>1230</v>
      </c>
      <c r="AE19" s="62">
        <v>11970</v>
      </c>
      <c r="AG19" s="143">
        <v>20111108</v>
      </c>
      <c r="AH19" s="183" t="s">
        <v>1230</v>
      </c>
      <c r="AI19" s="159">
        <v>11970</v>
      </c>
      <c r="AK19" s="143">
        <v>20111108</v>
      </c>
      <c r="AL19" s="183" t="s">
        <v>1230</v>
      </c>
      <c r="AM19" s="159">
        <v>11970</v>
      </c>
      <c r="AO19" s="166">
        <v>20101209</v>
      </c>
      <c r="AP19" s="183" t="s">
        <v>1230</v>
      </c>
      <c r="AQ19" s="159">
        <v>11970</v>
      </c>
      <c r="AS19" s="166">
        <v>98111801</v>
      </c>
      <c r="AT19" t="s">
        <v>272</v>
      </c>
      <c r="AU19" s="159">
        <v>9030</v>
      </c>
      <c r="AW19" s="143">
        <v>97120301</v>
      </c>
      <c r="AX19" t="s">
        <v>358</v>
      </c>
      <c r="AY19" s="124">
        <v>13230</v>
      </c>
      <c r="BA19" s="144">
        <v>95051201</v>
      </c>
      <c r="BB19" s="144" t="s">
        <v>3036</v>
      </c>
      <c r="BC19" s="62">
        <v>14175</v>
      </c>
      <c r="BE19">
        <v>95031702</v>
      </c>
      <c r="BF19" t="s">
        <v>3015</v>
      </c>
      <c r="BG19" s="120">
        <v>13500</v>
      </c>
      <c r="BI19" s="72">
        <v>93060202</v>
      </c>
      <c r="BJ19" s="72" t="s">
        <v>223</v>
      </c>
      <c r="BK19" s="62">
        <v>8978</v>
      </c>
    </row>
    <row r="20" spans="1:63">
      <c r="A20" s="678">
        <v>2016</v>
      </c>
      <c r="B20" s="410" t="s">
        <v>19208</v>
      </c>
      <c r="C20" s="159">
        <f>14175*6</f>
        <v>85050</v>
      </c>
      <c r="E20" s="678">
        <v>2016</v>
      </c>
      <c r="F20" s="410" t="s">
        <v>10101</v>
      </c>
      <c r="G20" s="159">
        <f>14175*6</f>
        <v>85050</v>
      </c>
      <c r="I20" s="154" t="s">
        <v>4962</v>
      </c>
      <c r="J20" s="114"/>
      <c r="K20" s="636">
        <f>'7正'!K6</f>
        <v>426990</v>
      </c>
      <c r="M20" s="154" t="s">
        <v>4962</v>
      </c>
      <c r="N20" s="114"/>
      <c r="O20" s="636">
        <f>'6正'!K6</f>
        <v>499380</v>
      </c>
      <c r="Q20" s="264"/>
      <c r="R20" s="410" t="s">
        <v>1532</v>
      </c>
      <c r="S20" s="159">
        <v>13500</v>
      </c>
      <c r="U20" s="264"/>
      <c r="V20" s="410" t="s">
        <v>4419</v>
      </c>
      <c r="W20" s="159">
        <v>138600</v>
      </c>
      <c r="Y20" s="303"/>
      <c r="Z20" s="285" t="s">
        <v>2060</v>
      </c>
      <c r="AA20" s="159">
        <v>14175</v>
      </c>
      <c r="AC20" s="178">
        <v>2011</v>
      </c>
      <c r="AD20" s="115" t="s">
        <v>2130</v>
      </c>
      <c r="AE20">
        <v>100000</v>
      </c>
      <c r="AG20" s="178">
        <v>2011</v>
      </c>
      <c r="AH20" s="115" t="s">
        <v>2130</v>
      </c>
      <c r="AI20">
        <v>100000</v>
      </c>
      <c r="AK20" s="143">
        <v>20111214</v>
      </c>
      <c r="AL20" s="183" t="s">
        <v>456</v>
      </c>
      <c r="AM20" s="159">
        <v>14175</v>
      </c>
      <c r="AO20" s="158"/>
      <c r="AP20" s="144"/>
      <c r="AQ20" s="62"/>
      <c r="AS20" s="166">
        <v>98120101</v>
      </c>
      <c r="AT20" t="s">
        <v>267</v>
      </c>
      <c r="AU20" s="159">
        <v>16380</v>
      </c>
      <c r="AW20" s="143">
        <v>97120301</v>
      </c>
      <c r="AX20" t="s">
        <v>359</v>
      </c>
      <c r="AY20" s="124">
        <v>13230</v>
      </c>
      <c r="BA20" s="144">
        <v>95051201</v>
      </c>
      <c r="BB20" s="144" t="s">
        <v>3037</v>
      </c>
      <c r="BC20" s="62">
        <v>14175</v>
      </c>
      <c r="BE20">
        <v>95031702</v>
      </c>
      <c r="BF20" t="s">
        <v>3016</v>
      </c>
      <c r="BG20" s="120">
        <v>13500</v>
      </c>
      <c r="BI20" s="69">
        <v>94040407</v>
      </c>
      <c r="BJ20" s="69" t="s">
        <v>1315</v>
      </c>
      <c r="BK20" s="54">
        <v>14175</v>
      </c>
    </row>
    <row r="21" spans="1:63">
      <c r="A21" s="178">
        <v>2019</v>
      </c>
      <c r="B21" s="199" t="s">
        <v>5377</v>
      </c>
      <c r="C21" s="633">
        <v>4320</v>
      </c>
      <c r="D21" s="239"/>
      <c r="E21" s="178">
        <v>2019</v>
      </c>
      <c r="F21" s="115" t="s">
        <v>2422</v>
      </c>
      <c r="G21" s="633">
        <v>13230</v>
      </c>
      <c r="H21" s="239"/>
      <c r="I21" s="678">
        <v>2016</v>
      </c>
      <c r="J21" s="410" t="s">
        <v>10101</v>
      </c>
      <c r="K21" s="159">
        <f>14175*6</f>
        <v>85050</v>
      </c>
      <c r="M21" s="264"/>
      <c r="N21" s="410" t="s">
        <v>10101</v>
      </c>
      <c r="O21" s="159">
        <v>85050</v>
      </c>
      <c r="Q21" s="264"/>
      <c r="R21" s="410" t="s">
        <v>2421</v>
      </c>
      <c r="S21" s="159">
        <v>14175</v>
      </c>
      <c r="U21" s="264"/>
      <c r="V21" s="410" t="s">
        <v>4420</v>
      </c>
      <c r="W21" s="159">
        <v>42000</v>
      </c>
      <c r="Y21" s="264"/>
      <c r="Z21" s="285" t="s">
        <v>1775</v>
      </c>
      <c r="AA21" s="159">
        <v>108000</v>
      </c>
      <c r="AC21" s="264"/>
      <c r="AD21" s="285" t="s">
        <v>2</v>
      </c>
      <c r="AE21" s="159">
        <v>138600</v>
      </c>
      <c r="AG21" s="255" t="s">
        <v>1888</v>
      </c>
      <c r="AH21" s="253" t="s">
        <v>944</v>
      </c>
      <c r="AI21" s="159">
        <v>45360</v>
      </c>
      <c r="AK21" s="143">
        <v>20111214</v>
      </c>
      <c r="AL21" s="177" t="s">
        <v>447</v>
      </c>
      <c r="AM21" s="159">
        <v>14175</v>
      </c>
      <c r="AO21" s="154" t="s">
        <v>1293</v>
      </c>
      <c r="AP21" s="114"/>
      <c r="AQ21" s="170">
        <v>30000</v>
      </c>
      <c r="AS21" s="166">
        <v>98120101</v>
      </c>
      <c r="AT21" t="s">
        <v>271</v>
      </c>
      <c r="AU21" s="159">
        <v>113400</v>
      </c>
      <c r="AW21" s="143">
        <v>97120301</v>
      </c>
      <c r="AX21" t="s">
        <v>360</v>
      </c>
      <c r="AY21" s="124">
        <v>13230</v>
      </c>
      <c r="BA21" s="144">
        <v>95081501</v>
      </c>
      <c r="BB21" s="144" t="s">
        <v>1357</v>
      </c>
      <c r="BC21" s="62">
        <v>14175</v>
      </c>
      <c r="BE21">
        <v>95122701</v>
      </c>
      <c r="BF21" t="s">
        <v>3017</v>
      </c>
      <c r="BG21" s="120">
        <v>14175</v>
      </c>
      <c r="BI21" s="69">
        <v>94040407</v>
      </c>
      <c r="BJ21" s="69" t="s">
        <v>1316</v>
      </c>
      <c r="BK21" s="54">
        <v>14175</v>
      </c>
    </row>
    <row r="22" spans="1:63">
      <c r="A22" s="178">
        <v>2020</v>
      </c>
      <c r="B22" s="799" t="s">
        <v>2422</v>
      </c>
      <c r="C22" s="633">
        <v>13230</v>
      </c>
      <c r="D22" s="239"/>
      <c r="E22" s="178">
        <v>2019</v>
      </c>
      <c r="F22" s="115" t="s">
        <v>15195</v>
      </c>
      <c r="G22" s="633">
        <v>113400</v>
      </c>
      <c r="H22" s="239"/>
      <c r="I22" s="178">
        <v>2017</v>
      </c>
      <c r="J22" s="115" t="s">
        <v>2422</v>
      </c>
      <c r="K22" s="633">
        <v>13230</v>
      </c>
      <c r="M22" s="143"/>
      <c r="N22" s="115" t="s">
        <v>2422</v>
      </c>
      <c r="O22" s="633">
        <v>66150</v>
      </c>
      <c r="Q22" s="143"/>
      <c r="R22" s="115"/>
      <c r="T22" s="92"/>
      <c r="U22" s="264"/>
      <c r="V22" s="410" t="s">
        <v>4421</v>
      </c>
      <c r="W22" s="159">
        <v>31500</v>
      </c>
      <c r="Y22" s="264"/>
      <c r="Z22" s="285" t="s">
        <v>2621</v>
      </c>
      <c r="AA22" s="159">
        <v>26250</v>
      </c>
      <c r="AB22" s="158"/>
      <c r="AC22" s="264"/>
      <c r="AD22" s="285" t="s">
        <v>1532</v>
      </c>
      <c r="AE22" s="159">
        <v>13500</v>
      </c>
      <c r="AF22" s="158"/>
      <c r="AG22" s="264" t="s">
        <v>2509</v>
      </c>
      <c r="AH22" s="183" t="s">
        <v>906</v>
      </c>
      <c r="AI22" s="159">
        <v>4</v>
      </c>
      <c r="AJ22" s="158"/>
      <c r="AK22" s="178">
        <v>2011</v>
      </c>
      <c r="AL22" s="115" t="s">
        <v>2130</v>
      </c>
      <c r="AM22">
        <v>100000</v>
      </c>
      <c r="AN22" s="143"/>
      <c r="AO22" s="115" t="s">
        <v>2130</v>
      </c>
      <c r="AP22">
        <v>100000</v>
      </c>
      <c r="AQ22" s="69"/>
      <c r="AR22" s="149" t="s">
        <v>942</v>
      </c>
      <c r="AS22" s="7" t="s">
        <v>1539</v>
      </c>
      <c r="AT22" s="148">
        <v>30000</v>
      </c>
      <c r="AU22" s="69"/>
      <c r="AV22" s="158"/>
      <c r="AW22" s="143">
        <v>97101703</v>
      </c>
      <c r="AX22" t="s">
        <v>361</v>
      </c>
      <c r="AY22" s="124">
        <v>15120</v>
      </c>
      <c r="BA22" s="144">
        <v>95081501</v>
      </c>
      <c r="BB22" s="144" t="s">
        <v>1358</v>
      </c>
      <c r="BC22" s="62">
        <v>14175</v>
      </c>
      <c r="BE22">
        <v>95122601</v>
      </c>
      <c r="BF22" t="s">
        <v>3018</v>
      </c>
      <c r="BG22" s="120">
        <v>14175</v>
      </c>
      <c r="BI22" s="69">
        <v>94040407</v>
      </c>
      <c r="BJ22" s="69" t="s">
        <v>1317</v>
      </c>
      <c r="BK22" s="54">
        <v>14175</v>
      </c>
    </row>
    <row r="23" spans="1:63">
      <c r="A23" s="178">
        <v>2020</v>
      </c>
      <c r="B23" s="799" t="s">
        <v>1532</v>
      </c>
      <c r="C23" s="633">
        <v>13500</v>
      </c>
      <c r="D23" s="239"/>
      <c r="E23" s="178">
        <v>2019</v>
      </c>
      <c r="F23" s="199" t="s">
        <v>15196</v>
      </c>
      <c r="G23" s="633">
        <v>14175</v>
      </c>
      <c r="H23" s="239"/>
      <c r="I23" s="178">
        <v>2018</v>
      </c>
      <c r="J23" s="115" t="s">
        <v>15215</v>
      </c>
      <c r="K23" s="633">
        <v>6300</v>
      </c>
      <c r="L23" s="239"/>
      <c r="M23" s="143"/>
      <c r="N23" s="115" t="s">
        <v>1232</v>
      </c>
      <c r="O23" s="633">
        <v>16380</v>
      </c>
      <c r="P23" s="239"/>
      <c r="Q23" s="154" t="s">
        <v>4963</v>
      </c>
      <c r="R23" s="114"/>
      <c r="S23" s="602">
        <v>30000</v>
      </c>
      <c r="U23" s="264"/>
      <c r="V23" s="410" t="s">
        <v>4422</v>
      </c>
      <c r="W23" s="159">
        <v>21000</v>
      </c>
      <c r="Y23" s="264"/>
      <c r="Z23" s="285" t="s">
        <v>2622</v>
      </c>
      <c r="AA23" s="159">
        <v>26250</v>
      </c>
      <c r="AC23" s="264"/>
      <c r="AD23" s="285" t="s">
        <v>747</v>
      </c>
      <c r="AE23" s="159">
        <v>42000</v>
      </c>
      <c r="AG23" s="264" t="s">
        <v>2510</v>
      </c>
      <c r="AH23" s="183" t="s">
        <v>907</v>
      </c>
      <c r="AI23" s="159">
        <v>14175</v>
      </c>
      <c r="AK23" s="154" t="s">
        <v>1293</v>
      </c>
      <c r="AL23" s="114"/>
      <c r="AM23" s="170">
        <v>30000</v>
      </c>
      <c r="AO23" s="143"/>
      <c r="AS23" s="154" t="s">
        <v>1293</v>
      </c>
      <c r="AT23" s="114"/>
      <c r="AU23" s="170">
        <v>30000</v>
      </c>
      <c r="AW23" s="143">
        <v>97101703</v>
      </c>
      <c r="AX23" t="s">
        <v>362</v>
      </c>
      <c r="AY23" s="124">
        <v>15120</v>
      </c>
      <c r="BA23" s="144">
        <v>95022401</v>
      </c>
      <c r="BB23" s="144" t="s">
        <v>1363</v>
      </c>
      <c r="BC23" s="62">
        <v>14175</v>
      </c>
      <c r="BE23">
        <v>95122601</v>
      </c>
      <c r="BF23" t="s">
        <v>3019</v>
      </c>
      <c r="BG23" s="120">
        <v>14175</v>
      </c>
      <c r="BI23" s="69">
        <v>94040407</v>
      </c>
      <c r="BJ23" s="69" t="s">
        <v>1318</v>
      </c>
      <c r="BK23" s="54">
        <v>14175</v>
      </c>
    </row>
    <row r="24" spans="1:63">
      <c r="A24" s="178">
        <v>2020</v>
      </c>
      <c r="B24" s="199" t="s">
        <v>456</v>
      </c>
      <c r="C24" s="633">
        <v>13230</v>
      </c>
      <c r="D24" s="239"/>
      <c r="E24" s="178">
        <v>2019</v>
      </c>
      <c r="F24" s="115" t="s">
        <v>15197</v>
      </c>
      <c r="G24" s="633">
        <v>16380</v>
      </c>
      <c r="H24" s="239"/>
      <c r="I24" s="178">
        <v>2018</v>
      </c>
      <c r="J24" s="115" t="s">
        <v>1232</v>
      </c>
      <c r="K24" s="633">
        <v>16380</v>
      </c>
      <c r="L24" s="239"/>
      <c r="M24" s="143"/>
      <c r="N24" s="115" t="s">
        <v>5662</v>
      </c>
      <c r="O24" s="633">
        <v>331800</v>
      </c>
      <c r="P24" s="239"/>
      <c r="Q24" s="149"/>
      <c r="R24" s="7" t="s">
        <v>1539</v>
      </c>
      <c r="S24" s="148">
        <v>30000</v>
      </c>
      <c r="U24" s="143"/>
      <c r="V24" s="115"/>
      <c r="X24" s="92"/>
      <c r="Y24" s="143"/>
      <c r="Z24" s="115"/>
      <c r="AC24" s="264"/>
      <c r="AD24" s="285" t="s">
        <v>747</v>
      </c>
      <c r="AE24" s="159">
        <v>21000</v>
      </c>
      <c r="AG24" s="143"/>
      <c r="AH24" s="115"/>
      <c r="AK24" s="149"/>
      <c r="AL24" s="7" t="s">
        <v>1539</v>
      </c>
      <c r="AM24" s="148">
        <v>30000</v>
      </c>
      <c r="AO24" s="156" t="s">
        <v>2585</v>
      </c>
      <c r="AP24" s="126"/>
      <c r="AQ24" s="168">
        <v>131229</v>
      </c>
      <c r="AS24" s="149" t="s">
        <v>942</v>
      </c>
      <c r="AT24" s="7" t="s">
        <v>1539</v>
      </c>
      <c r="AU24" s="148">
        <v>30000</v>
      </c>
      <c r="AW24" s="143">
        <v>97101703</v>
      </c>
      <c r="AX24" t="s">
        <v>363</v>
      </c>
      <c r="AY24" s="124">
        <v>15120</v>
      </c>
      <c r="BA24" s="144">
        <v>95092801</v>
      </c>
      <c r="BB24" s="144" t="s">
        <v>1368</v>
      </c>
      <c r="BC24" s="62">
        <v>14175</v>
      </c>
      <c r="BE24">
        <v>95122601</v>
      </c>
      <c r="BF24" t="s">
        <v>3020</v>
      </c>
      <c r="BG24" s="120">
        <v>14175</v>
      </c>
      <c r="BI24" s="69">
        <v>94040407</v>
      </c>
      <c r="BJ24" s="69" t="s">
        <v>1319</v>
      </c>
      <c r="BK24" s="54">
        <v>14175</v>
      </c>
    </row>
    <row r="25" spans="1:63">
      <c r="A25" s="178">
        <v>2020</v>
      </c>
      <c r="B25" s="199" t="s">
        <v>4339</v>
      </c>
      <c r="C25" s="633">
        <v>14175</v>
      </c>
      <c r="D25" s="239"/>
      <c r="E25" s="178">
        <v>2019</v>
      </c>
      <c r="F25" s="199" t="s">
        <v>15198</v>
      </c>
      <c r="G25" s="633">
        <f>20475*4</f>
        <v>81900</v>
      </c>
      <c r="H25" s="239"/>
      <c r="I25" s="178">
        <v>2018</v>
      </c>
      <c r="J25" s="199" t="s">
        <v>4318</v>
      </c>
      <c r="K25" s="633">
        <v>13500</v>
      </c>
      <c r="L25" s="239"/>
      <c r="M25" s="301"/>
      <c r="N25" s="115"/>
      <c r="O25" s="146">
        <f>SUM(O21:O24)-O20</f>
        <v>0</v>
      </c>
      <c r="Q25" s="143"/>
      <c r="R25" s="2"/>
      <c r="S25" s="146"/>
      <c r="U25" s="154" t="s">
        <v>941</v>
      </c>
      <c r="V25" s="114"/>
      <c r="W25" s="558">
        <v>30000</v>
      </c>
      <c r="Y25" s="154" t="s">
        <v>941</v>
      </c>
      <c r="Z25" s="114"/>
      <c r="AA25" s="333">
        <v>30000</v>
      </c>
      <c r="AB25" s="92"/>
      <c r="AC25" s="143"/>
      <c r="AD25" s="115"/>
      <c r="AF25" s="92"/>
      <c r="AG25" s="154" t="s">
        <v>1293</v>
      </c>
      <c r="AH25" s="114"/>
      <c r="AI25" s="170">
        <v>30000</v>
      </c>
      <c r="AJ25" s="92"/>
      <c r="AK25" s="143"/>
      <c r="AN25" s="92"/>
      <c r="AO25" s="192" t="s">
        <v>2131</v>
      </c>
      <c r="AP25" t="s">
        <v>2132</v>
      </c>
      <c r="AQ25" s="131">
        <v>63725</v>
      </c>
      <c r="AS25" s="143"/>
      <c r="AW25" s="143">
        <v>97101703</v>
      </c>
      <c r="AX25" t="s">
        <v>364</v>
      </c>
      <c r="AY25" s="124">
        <v>15120</v>
      </c>
      <c r="BA25" s="144">
        <v>95092801</v>
      </c>
      <c r="BB25" s="144" t="s">
        <v>1369</v>
      </c>
      <c r="BC25" s="62">
        <v>14175</v>
      </c>
      <c r="BE25">
        <v>95122601</v>
      </c>
      <c r="BF25" t="s">
        <v>3021</v>
      </c>
      <c r="BG25" s="120">
        <v>14175</v>
      </c>
      <c r="BI25" s="72">
        <v>93073001</v>
      </c>
      <c r="BJ25" s="72" t="s">
        <v>224</v>
      </c>
      <c r="BK25" s="62">
        <v>14175</v>
      </c>
    </row>
    <row r="26" spans="1:63">
      <c r="A26" s="178">
        <v>2020</v>
      </c>
      <c r="B26" s="199" t="s">
        <v>4513</v>
      </c>
      <c r="C26" s="633">
        <v>95760</v>
      </c>
      <c r="D26" s="239"/>
      <c r="E26" s="178">
        <v>2019</v>
      </c>
      <c r="F26" s="199" t="s">
        <v>15199</v>
      </c>
      <c r="G26" s="633">
        <v>90720</v>
      </c>
      <c r="H26" s="239"/>
      <c r="I26" s="178">
        <v>2018</v>
      </c>
      <c r="J26" s="199" t="s">
        <v>456</v>
      </c>
      <c r="K26" s="633">
        <v>13230</v>
      </c>
      <c r="L26" s="239"/>
      <c r="M26" s="154" t="s">
        <v>4963</v>
      </c>
      <c r="N26" s="114"/>
      <c r="O26" s="637">
        <f>'6正'!K9</f>
        <v>30000</v>
      </c>
      <c r="Q26" s="312" t="s">
        <v>4964</v>
      </c>
      <c r="R26" s="126"/>
      <c r="S26" s="597">
        <f>SUM(S27:S34)</f>
        <v>210417</v>
      </c>
      <c r="U26" s="149"/>
      <c r="V26" s="7" t="s">
        <v>1539</v>
      </c>
      <c r="W26" s="148">
        <v>30000</v>
      </c>
      <c r="Y26" s="149"/>
      <c r="Z26" s="7" t="s">
        <v>1539</v>
      </c>
      <c r="AA26" s="148">
        <v>30000</v>
      </c>
      <c r="AC26" s="154" t="s">
        <v>941</v>
      </c>
      <c r="AD26" s="114"/>
      <c r="AE26" s="292">
        <v>30000</v>
      </c>
      <c r="AG26" s="149"/>
      <c r="AH26" s="7" t="s">
        <v>1539</v>
      </c>
      <c r="AI26" s="148">
        <v>30000</v>
      </c>
      <c r="AK26" s="156" t="s">
        <v>2585</v>
      </c>
      <c r="AL26" s="126"/>
      <c r="AM26" s="168">
        <f>SUM(AM27:AM32)</f>
        <v>69000</v>
      </c>
      <c r="AO26" s="192" t="s">
        <v>2131</v>
      </c>
      <c r="AP26" t="s">
        <v>2133</v>
      </c>
      <c r="AQ26" s="131">
        <v>44500</v>
      </c>
      <c r="AS26" s="156" t="s">
        <v>922</v>
      </c>
      <c r="AT26" s="157"/>
      <c r="AU26" s="155">
        <v>0</v>
      </c>
      <c r="AW26" s="143">
        <v>97101703</v>
      </c>
      <c r="AX26" t="s">
        <v>365</v>
      </c>
      <c r="AY26" s="124">
        <v>15120</v>
      </c>
      <c r="BA26" s="144">
        <v>95092801</v>
      </c>
      <c r="BB26" s="144" t="s">
        <v>1370</v>
      </c>
      <c r="BC26" s="62">
        <v>14175</v>
      </c>
      <c r="BE26">
        <v>95122601</v>
      </c>
      <c r="BF26" t="s">
        <v>3022</v>
      </c>
      <c r="BG26" s="120">
        <v>14175</v>
      </c>
      <c r="BI26" s="72">
        <v>93073001</v>
      </c>
      <c r="BJ26" s="72" t="s">
        <v>225</v>
      </c>
      <c r="BK26" s="62">
        <v>14175</v>
      </c>
    </row>
    <row r="27" spans="1:63">
      <c r="A27" s="178">
        <v>2020</v>
      </c>
      <c r="B27" s="199" t="s">
        <v>4539</v>
      </c>
      <c r="C27" s="633">
        <v>105840</v>
      </c>
      <c r="D27" s="239"/>
      <c r="E27" s="178">
        <v>2019</v>
      </c>
      <c r="F27" s="199" t="s">
        <v>15200</v>
      </c>
      <c r="G27" s="633">
        <v>90720</v>
      </c>
      <c r="H27" s="239"/>
      <c r="I27" s="178">
        <v>2018</v>
      </c>
      <c r="J27" s="199" t="s">
        <v>15216</v>
      </c>
      <c r="K27" s="633">
        <v>113400</v>
      </c>
      <c r="L27" s="239"/>
      <c r="M27" s="149"/>
      <c r="N27" s="7" t="s">
        <v>1539</v>
      </c>
      <c r="O27" s="148">
        <v>30000</v>
      </c>
      <c r="Q27" s="318" t="s">
        <v>4844</v>
      </c>
      <c r="R27" s="315" t="s">
        <v>21</v>
      </c>
      <c r="S27" s="319">
        <v>63200</v>
      </c>
      <c r="U27" s="143"/>
      <c r="V27" s="2"/>
      <c r="W27" s="146"/>
      <c r="Y27" s="143"/>
      <c r="AC27" s="149"/>
      <c r="AD27" s="7" t="s">
        <v>1539</v>
      </c>
      <c r="AE27" s="148">
        <v>30000</v>
      </c>
      <c r="AG27" s="143"/>
      <c r="AK27" s="243" t="s">
        <v>2793</v>
      </c>
      <c r="AL27" s="241" t="s">
        <v>21</v>
      </c>
      <c r="AM27" s="242"/>
      <c r="AO27" s="192" t="s">
        <v>2131</v>
      </c>
      <c r="AP27" t="s">
        <v>2134</v>
      </c>
      <c r="AQ27" s="131">
        <v>23004</v>
      </c>
      <c r="AS27" s="158"/>
      <c r="AT27" s="144"/>
      <c r="AU27" s="62"/>
      <c r="AW27" s="143">
        <v>97101703</v>
      </c>
      <c r="AX27" t="s">
        <v>366</v>
      </c>
      <c r="AY27" s="124">
        <v>15120</v>
      </c>
      <c r="BA27" s="144">
        <v>95102301</v>
      </c>
      <c r="BB27" s="144" t="s">
        <v>3619</v>
      </c>
      <c r="BC27" s="62">
        <v>14175</v>
      </c>
      <c r="BE27">
        <v>95122601</v>
      </c>
      <c r="BF27" t="s">
        <v>3023</v>
      </c>
      <c r="BG27" s="120">
        <v>14175</v>
      </c>
      <c r="BI27" s="69">
        <v>94042901</v>
      </c>
      <c r="BJ27" s="69" t="s">
        <v>1320</v>
      </c>
      <c r="BK27" s="54">
        <v>13500</v>
      </c>
    </row>
    <row r="28" spans="1:63">
      <c r="A28" s="301"/>
      <c r="B28" s="799"/>
      <c r="C28" s="685">
        <f>SUM(C20:C27)-C19</f>
        <v>0</v>
      </c>
      <c r="E28" s="301"/>
      <c r="F28" s="115"/>
      <c r="G28" s="685">
        <f>SUM(G20:G27)-G19</f>
        <v>0</v>
      </c>
      <c r="I28" s="178">
        <v>2018</v>
      </c>
      <c r="J28" s="115" t="s">
        <v>15217</v>
      </c>
      <c r="K28" s="633">
        <v>165900</v>
      </c>
      <c r="L28" s="239"/>
      <c r="M28" s="143"/>
      <c r="N28" s="2"/>
      <c r="O28" s="146">
        <f>O27-O26</f>
        <v>0</v>
      </c>
      <c r="Q28" s="318" t="s">
        <v>4844</v>
      </c>
      <c r="R28" s="315" t="s">
        <v>24</v>
      </c>
      <c r="S28" s="319">
        <v>36000</v>
      </c>
      <c r="U28" s="312" t="s">
        <v>413</v>
      </c>
      <c r="V28" s="126"/>
      <c r="W28" s="557">
        <f>SUM(W29:W36)</f>
        <v>292091</v>
      </c>
      <c r="Y28" s="312" t="s">
        <v>413</v>
      </c>
      <c r="Z28" s="126"/>
      <c r="AA28" s="331">
        <f>SUM(AA29:AA34)</f>
        <v>183349</v>
      </c>
      <c r="AC28" s="143"/>
      <c r="AG28" s="156" t="s">
        <v>2585</v>
      </c>
      <c r="AH28" s="126"/>
      <c r="AI28" s="168">
        <f>SUM(AI29:AI34)</f>
        <v>143764</v>
      </c>
      <c r="AK28" s="243" t="s">
        <v>2793</v>
      </c>
      <c r="AL28" s="241" t="s">
        <v>24</v>
      </c>
      <c r="AM28" s="242">
        <v>45000</v>
      </c>
      <c r="AO28" s="143"/>
      <c r="AQ28" s="159"/>
      <c r="AS28" s="156" t="s">
        <v>2585</v>
      </c>
      <c r="AT28" s="126"/>
      <c r="AU28" s="168">
        <f>SUM(AU29:AU42)</f>
        <v>156909</v>
      </c>
      <c r="AW28" s="143">
        <v>97080406</v>
      </c>
      <c r="AX28" t="s">
        <v>367</v>
      </c>
      <c r="AY28" s="124">
        <v>14175</v>
      </c>
      <c r="BA28" s="144">
        <v>95102301</v>
      </c>
      <c r="BB28" s="144" t="s">
        <v>3620</v>
      </c>
      <c r="BC28" s="62">
        <v>14175</v>
      </c>
      <c r="BE28">
        <v>95122601</v>
      </c>
      <c r="BF28" t="s">
        <v>3024</v>
      </c>
      <c r="BG28" s="120">
        <v>14175</v>
      </c>
      <c r="BI28" s="69">
        <v>94042901</v>
      </c>
      <c r="BJ28" s="69" t="s">
        <v>1321</v>
      </c>
      <c r="BK28" s="54">
        <v>13500</v>
      </c>
    </row>
    <row r="29" spans="1:63">
      <c r="A29" s="154" t="s">
        <v>4963</v>
      </c>
      <c r="B29" s="114"/>
      <c r="C29" s="637">
        <f>'9正'!K9</f>
        <v>30000</v>
      </c>
      <c r="E29" s="154" t="s">
        <v>4963</v>
      </c>
      <c r="F29" s="114"/>
      <c r="G29" s="637">
        <f>'8正'!K9</f>
        <v>30000</v>
      </c>
      <c r="I29" s="301"/>
      <c r="J29" s="115"/>
      <c r="K29" s="685">
        <f>SUM(K21:K28)-K20</f>
        <v>0</v>
      </c>
      <c r="M29" s="312" t="s">
        <v>4964</v>
      </c>
      <c r="N29" s="126"/>
      <c r="O29" s="642">
        <f>'6正'!O3</f>
        <v>79762</v>
      </c>
      <c r="Q29" s="318" t="s">
        <v>4844</v>
      </c>
      <c r="R29" s="315" t="s">
        <v>4497</v>
      </c>
      <c r="S29" s="319">
        <v>23700</v>
      </c>
      <c r="U29" s="318" t="s">
        <v>3932</v>
      </c>
      <c r="V29" s="315" t="s">
        <v>21</v>
      </c>
      <c r="W29" s="319">
        <v>63200</v>
      </c>
      <c r="Y29" s="263" t="s">
        <v>466</v>
      </c>
      <c r="Z29" s="244" t="s">
        <v>2623</v>
      </c>
      <c r="AA29" s="239">
        <v>15359</v>
      </c>
      <c r="AC29" s="156" t="s">
        <v>923</v>
      </c>
      <c r="AD29" s="126"/>
      <c r="AE29" s="293">
        <f>SUM(AE30:AE32)</f>
        <v>139400</v>
      </c>
      <c r="AG29" s="260" t="s">
        <v>2500</v>
      </c>
      <c r="AH29" s="261" t="s">
        <v>21</v>
      </c>
      <c r="AI29" s="262">
        <v>63200</v>
      </c>
      <c r="AK29" s="243" t="s">
        <v>2793</v>
      </c>
      <c r="AL29" s="241" t="s">
        <v>2792</v>
      </c>
      <c r="AM29" s="242">
        <v>3538</v>
      </c>
      <c r="AO29" s="156" t="s">
        <v>2135</v>
      </c>
      <c r="AP29" s="126"/>
      <c r="AQ29" s="168">
        <v>15907</v>
      </c>
      <c r="AS29" s="143">
        <v>98113001</v>
      </c>
      <c r="AT29" t="s">
        <v>433</v>
      </c>
      <c r="AU29" s="190">
        <v>1604</v>
      </c>
      <c r="AW29" s="143">
        <v>97080406</v>
      </c>
      <c r="AX29" t="s">
        <v>368</v>
      </c>
      <c r="AY29" s="124">
        <v>14175</v>
      </c>
      <c r="BA29" s="144">
        <v>95102301</v>
      </c>
      <c r="BB29" s="144" t="s">
        <v>3621</v>
      </c>
      <c r="BC29" s="62">
        <v>14175</v>
      </c>
      <c r="BE29">
        <v>95122201</v>
      </c>
      <c r="BF29" t="s">
        <v>3025</v>
      </c>
      <c r="BG29" s="120">
        <v>14175</v>
      </c>
      <c r="BI29" s="69">
        <v>94042901</v>
      </c>
      <c r="BJ29" s="69" t="s">
        <v>1322</v>
      </c>
      <c r="BK29" s="54">
        <v>13500</v>
      </c>
    </row>
    <row r="30" spans="1:63">
      <c r="A30" s="149"/>
      <c r="B30" s="770" t="s">
        <v>1539</v>
      </c>
      <c r="C30" s="148">
        <v>30000</v>
      </c>
      <c r="E30" s="149"/>
      <c r="F30" s="7" t="s">
        <v>1539</v>
      </c>
      <c r="G30" s="148">
        <v>30000</v>
      </c>
      <c r="I30" s="154" t="s">
        <v>4963</v>
      </c>
      <c r="J30" s="114"/>
      <c r="K30" s="637">
        <f>'7正'!K9</f>
        <v>30000</v>
      </c>
      <c r="M30" s="318" t="s">
        <v>5705</v>
      </c>
      <c r="N30" s="315" t="s">
        <v>21</v>
      </c>
      <c r="O30" s="319">
        <v>62600</v>
      </c>
      <c r="Q30" s="318" t="s">
        <v>4844</v>
      </c>
      <c r="R30" s="315" t="s">
        <v>263</v>
      </c>
      <c r="S30" s="320">
        <v>57000</v>
      </c>
      <c r="T30" s="239"/>
      <c r="U30" s="318" t="s">
        <v>3932</v>
      </c>
      <c r="V30" s="315" t="s">
        <v>24</v>
      </c>
      <c r="W30" s="319">
        <v>54000</v>
      </c>
      <c r="Y30" s="263" t="s">
        <v>466</v>
      </c>
      <c r="Z30" s="244" t="s">
        <v>2624</v>
      </c>
      <c r="AA30" s="239">
        <v>1090</v>
      </c>
      <c r="AC30" s="260" t="s">
        <v>3734</v>
      </c>
      <c r="AD30" s="261" t="s">
        <v>21</v>
      </c>
      <c r="AE30" s="262">
        <v>63200</v>
      </c>
      <c r="AG30" s="260" t="s">
        <v>2501</v>
      </c>
      <c r="AH30" s="261" t="s">
        <v>24</v>
      </c>
      <c r="AI30" s="262">
        <v>12000</v>
      </c>
      <c r="AK30" s="243" t="s">
        <v>2794</v>
      </c>
      <c r="AL30" s="241" t="s">
        <v>2792</v>
      </c>
      <c r="AM30" s="242">
        <v>20000</v>
      </c>
      <c r="AO30" s="192" t="s">
        <v>2137</v>
      </c>
      <c r="AP30" t="s">
        <v>2136</v>
      </c>
      <c r="AQ30" s="131">
        <v>15907</v>
      </c>
      <c r="AS30" s="143">
        <v>98123110</v>
      </c>
      <c r="AT30" t="s">
        <v>432</v>
      </c>
      <c r="AU30" s="190">
        <v>2406</v>
      </c>
      <c r="AW30" s="143">
        <v>97080406</v>
      </c>
      <c r="AX30" t="s">
        <v>369</v>
      </c>
      <c r="AY30" s="124">
        <v>14175</v>
      </c>
      <c r="BA30" s="144">
        <v>95072101</v>
      </c>
      <c r="BB30" s="144" t="s">
        <v>3626</v>
      </c>
      <c r="BC30" s="62">
        <v>14175</v>
      </c>
      <c r="BE30">
        <v>95122201</v>
      </c>
      <c r="BF30" t="s">
        <v>3026</v>
      </c>
      <c r="BG30" s="120">
        <v>14175</v>
      </c>
      <c r="BI30" s="69">
        <v>94042901</v>
      </c>
      <c r="BJ30" s="69" t="s">
        <v>1323</v>
      </c>
      <c r="BK30" s="54">
        <v>13500</v>
      </c>
    </row>
    <row r="31" spans="1:63">
      <c r="A31" s="143"/>
      <c r="B31" s="2"/>
      <c r="C31" s="685">
        <f>C30-C29</f>
        <v>0</v>
      </c>
      <c r="E31" s="143"/>
      <c r="F31" s="2"/>
      <c r="G31" s="685">
        <f>G30-G29</f>
        <v>0</v>
      </c>
      <c r="I31" s="149"/>
      <c r="J31" s="7" t="s">
        <v>1539</v>
      </c>
      <c r="K31" s="148">
        <v>30000</v>
      </c>
      <c r="M31" s="318" t="s">
        <v>5705</v>
      </c>
      <c r="N31" s="315" t="s">
        <v>5706</v>
      </c>
      <c r="O31" s="319">
        <v>30000</v>
      </c>
      <c r="Q31" s="318" t="s">
        <v>4844</v>
      </c>
      <c r="R31" s="603" t="s">
        <v>5724</v>
      </c>
      <c r="S31" s="320">
        <v>0</v>
      </c>
      <c r="T31" s="239"/>
      <c r="U31" s="318" t="s">
        <v>3932</v>
      </c>
      <c r="V31" s="315" t="s">
        <v>3931</v>
      </c>
      <c r="W31" s="319">
        <v>23700</v>
      </c>
      <c r="Y31" s="260" t="s">
        <v>2610</v>
      </c>
      <c r="Z31" s="295" t="s">
        <v>21</v>
      </c>
      <c r="AA31" s="296">
        <v>63200</v>
      </c>
      <c r="AC31" s="260" t="s">
        <v>3734</v>
      </c>
      <c r="AD31" s="261" t="s">
        <v>2504</v>
      </c>
      <c r="AE31" s="262">
        <v>21200</v>
      </c>
      <c r="AG31" s="260" t="s">
        <v>2502</v>
      </c>
      <c r="AH31" s="261" t="s">
        <v>2504</v>
      </c>
      <c r="AI31" s="262">
        <v>21200</v>
      </c>
      <c r="AK31" s="243" t="s">
        <v>2793</v>
      </c>
      <c r="AL31" s="241" t="s">
        <v>263</v>
      </c>
      <c r="AM31" s="242"/>
      <c r="AO31" s="192"/>
      <c r="AQ31" s="131"/>
      <c r="AS31" s="143">
        <v>98113001</v>
      </c>
      <c r="AT31" t="s">
        <v>431</v>
      </c>
      <c r="AU31" s="190">
        <v>1802</v>
      </c>
      <c r="AW31" s="143">
        <v>97080406</v>
      </c>
      <c r="AX31" t="s">
        <v>370</v>
      </c>
      <c r="AY31" s="124">
        <v>14175</v>
      </c>
      <c r="BA31">
        <v>96122501</v>
      </c>
      <c r="BB31" t="s">
        <v>1520</v>
      </c>
      <c r="BC31" s="145">
        <v>14175</v>
      </c>
      <c r="BE31">
        <v>95122201</v>
      </c>
      <c r="BF31" t="s">
        <v>3027</v>
      </c>
      <c r="BG31" s="120">
        <v>14175</v>
      </c>
      <c r="BI31" s="69">
        <v>94042901</v>
      </c>
      <c r="BJ31" s="69" t="s">
        <v>1324</v>
      </c>
      <c r="BK31" s="54">
        <v>13500</v>
      </c>
    </row>
    <row r="32" spans="1:63">
      <c r="A32" s="312" t="s">
        <v>4964</v>
      </c>
      <c r="B32" s="126"/>
      <c r="C32" s="642">
        <f>'9正'!O3</f>
        <v>31906.003999999724</v>
      </c>
      <c r="E32" s="312" t="s">
        <v>4964</v>
      </c>
      <c r="F32" s="126"/>
      <c r="G32" s="642">
        <f>'8正'!O3</f>
        <v>79910</v>
      </c>
      <c r="I32" s="143"/>
      <c r="J32" s="2"/>
      <c r="K32" s="685">
        <f>K31-K30</f>
        <v>0</v>
      </c>
      <c r="M32" s="318" t="s">
        <v>5705</v>
      </c>
      <c r="N32" s="315" t="s">
        <v>24</v>
      </c>
      <c r="O32" s="319">
        <v>18000</v>
      </c>
      <c r="P32" s="92"/>
      <c r="Q32" s="318" t="s">
        <v>4844</v>
      </c>
      <c r="R32" s="603" t="s">
        <v>4968</v>
      </c>
      <c r="S32" s="320">
        <v>9821</v>
      </c>
      <c r="U32" s="318" t="s">
        <v>3932</v>
      </c>
      <c r="V32" s="315" t="s">
        <v>263</v>
      </c>
      <c r="W32" s="320">
        <v>59200</v>
      </c>
      <c r="Y32" s="260" t="s">
        <v>2610</v>
      </c>
      <c r="Z32" s="295" t="s">
        <v>24</v>
      </c>
      <c r="AA32" s="296">
        <v>23000</v>
      </c>
      <c r="AC32" s="260" t="s">
        <v>3734</v>
      </c>
      <c r="AD32" s="261" t="s">
        <v>263</v>
      </c>
      <c r="AE32" s="242">
        <v>55000</v>
      </c>
      <c r="AG32" s="260" t="s">
        <v>2503</v>
      </c>
      <c r="AH32" s="261" t="s">
        <v>263</v>
      </c>
      <c r="AI32" s="242">
        <v>40000</v>
      </c>
      <c r="AK32" s="243" t="s">
        <v>1399</v>
      </c>
      <c r="AL32" s="241" t="s">
        <v>1398</v>
      </c>
      <c r="AM32" s="242">
        <v>462</v>
      </c>
      <c r="AO32" s="143"/>
      <c r="AQ32" s="124"/>
      <c r="AS32" s="143">
        <v>98123110</v>
      </c>
      <c r="AT32" t="s">
        <v>430</v>
      </c>
      <c r="AU32" s="190">
        <v>1631</v>
      </c>
      <c r="AW32" s="143">
        <v>97080406</v>
      </c>
      <c r="AX32" t="s">
        <v>371</v>
      </c>
      <c r="AY32" s="124">
        <v>14175</v>
      </c>
      <c r="BA32">
        <v>96122501</v>
      </c>
      <c r="BB32" t="s">
        <v>1521</v>
      </c>
      <c r="BC32" s="145">
        <v>14175</v>
      </c>
      <c r="BE32">
        <v>95122201</v>
      </c>
      <c r="BF32" t="s">
        <v>3028</v>
      </c>
      <c r="BG32" s="120">
        <v>14175</v>
      </c>
      <c r="BI32" s="69">
        <v>94081601</v>
      </c>
      <c r="BJ32" s="69" t="s">
        <v>1325</v>
      </c>
      <c r="BK32" s="54">
        <v>14175</v>
      </c>
    </row>
    <row r="33" spans="1:63">
      <c r="A33" s="318" t="s">
        <v>15218</v>
      </c>
      <c r="B33" s="315" t="s">
        <v>21</v>
      </c>
      <c r="C33" s="319">
        <v>62600</v>
      </c>
      <c r="E33" s="318" t="s">
        <v>15218</v>
      </c>
      <c r="F33" s="315" t="s">
        <v>21</v>
      </c>
      <c r="G33" s="319">
        <v>62600</v>
      </c>
      <c r="I33" s="312" t="s">
        <v>4964</v>
      </c>
      <c r="J33" s="126"/>
      <c r="K33" s="642">
        <f>'7正'!O3</f>
        <v>84890</v>
      </c>
      <c r="M33" s="318" t="s">
        <v>5705</v>
      </c>
      <c r="N33" s="315" t="s">
        <v>4497</v>
      </c>
      <c r="O33" s="319">
        <v>25000</v>
      </c>
      <c r="Q33" s="318" t="s">
        <v>4844</v>
      </c>
      <c r="R33" s="603" t="s">
        <v>4969</v>
      </c>
      <c r="S33" s="320">
        <v>20696</v>
      </c>
      <c r="U33" s="263" t="s">
        <v>4449</v>
      </c>
      <c r="V33" s="244" t="s">
        <v>4475</v>
      </c>
      <c r="W33" s="320">
        <v>3400</v>
      </c>
      <c r="X33" s="239"/>
      <c r="Y33" s="260" t="s">
        <v>2610</v>
      </c>
      <c r="Z33" s="295" t="s">
        <v>2504</v>
      </c>
      <c r="AA33" s="296">
        <v>23700</v>
      </c>
      <c r="AC33" s="263"/>
      <c r="AD33" s="241"/>
      <c r="AE33" s="272"/>
      <c r="AG33" s="263" t="s">
        <v>2626</v>
      </c>
      <c r="AH33" s="241" t="s">
        <v>2505</v>
      </c>
      <c r="AI33" s="242">
        <v>2176</v>
      </c>
      <c r="AK33" s="143"/>
      <c r="AM33" s="159"/>
      <c r="AS33" s="143">
        <v>98123110</v>
      </c>
      <c r="AT33" t="s">
        <v>435</v>
      </c>
      <c r="AU33" s="189">
        <v>2081</v>
      </c>
      <c r="AW33" s="143">
        <v>97123103</v>
      </c>
      <c r="AX33" t="s">
        <v>372</v>
      </c>
      <c r="AY33" s="124">
        <v>14175</v>
      </c>
      <c r="BA33">
        <v>96122501</v>
      </c>
      <c r="BB33" t="s">
        <v>1522</v>
      </c>
      <c r="BC33" s="145">
        <v>14175</v>
      </c>
      <c r="BE33">
        <v>95122201</v>
      </c>
      <c r="BF33" t="s">
        <v>3029</v>
      </c>
      <c r="BG33" s="120">
        <v>14175</v>
      </c>
      <c r="BI33" s="69">
        <v>94081601</v>
      </c>
      <c r="BJ33" s="69" t="s">
        <v>1326</v>
      </c>
      <c r="BK33" s="54">
        <v>14175</v>
      </c>
    </row>
    <row r="34" spans="1:63">
      <c r="A34" s="318" t="s">
        <v>15218</v>
      </c>
      <c r="B34" s="315" t="s">
        <v>24</v>
      </c>
      <c r="C34" s="319">
        <v>0</v>
      </c>
      <c r="D34" s="92"/>
      <c r="E34" s="318" t="s">
        <v>15218</v>
      </c>
      <c r="F34" s="315" t="s">
        <v>24</v>
      </c>
      <c r="G34" s="319">
        <v>31000</v>
      </c>
      <c r="H34" s="92"/>
      <c r="I34" s="318" t="s">
        <v>10091</v>
      </c>
      <c r="J34" s="315" t="s">
        <v>21</v>
      </c>
      <c r="K34" s="319">
        <v>62600</v>
      </c>
      <c r="M34" s="318" t="s">
        <v>5705</v>
      </c>
      <c r="N34" s="315" t="s">
        <v>263</v>
      </c>
      <c r="O34" s="320">
        <v>54000</v>
      </c>
      <c r="Q34" s="263"/>
      <c r="R34" s="241"/>
      <c r="S34" s="272"/>
      <c r="U34" s="263" t="s">
        <v>4449</v>
      </c>
      <c r="V34" s="244" t="s">
        <v>4476</v>
      </c>
      <c r="W34" s="320">
        <v>5976</v>
      </c>
      <c r="X34" s="239"/>
      <c r="Y34" s="260" t="s">
        <v>2610</v>
      </c>
      <c r="Z34" s="295" t="s">
        <v>263</v>
      </c>
      <c r="AA34" s="296">
        <v>57000</v>
      </c>
      <c r="AB34" s="239"/>
      <c r="AC34" s="156" t="s">
        <v>2444</v>
      </c>
      <c r="AD34" s="126"/>
      <c r="AE34" s="293">
        <f>SUM(AE35:AE37)</f>
        <v>245700</v>
      </c>
      <c r="AG34" s="263" t="s">
        <v>2626</v>
      </c>
      <c r="AH34" s="241" t="s">
        <v>2506</v>
      </c>
      <c r="AI34" s="242">
        <v>5188</v>
      </c>
      <c r="AK34" s="156" t="s">
        <v>2135</v>
      </c>
      <c r="AL34" s="126"/>
      <c r="AM34" s="168">
        <f>SUM(AM35)</f>
        <v>11930</v>
      </c>
      <c r="AS34" s="143">
        <v>98123110</v>
      </c>
      <c r="AT34" t="s">
        <v>434</v>
      </c>
      <c r="AU34" s="189">
        <v>2025</v>
      </c>
      <c r="AW34" s="143">
        <v>97123103</v>
      </c>
      <c r="AX34" t="s">
        <v>373</v>
      </c>
      <c r="AY34" s="124">
        <v>14175</v>
      </c>
      <c r="BA34">
        <v>96122501</v>
      </c>
      <c r="BB34" t="s">
        <v>1523</v>
      </c>
      <c r="BC34" s="145">
        <v>14175</v>
      </c>
      <c r="BE34">
        <v>95122201</v>
      </c>
      <c r="BF34" t="s">
        <v>3030</v>
      </c>
      <c r="BG34" s="120">
        <v>14175</v>
      </c>
      <c r="BI34" s="69">
        <v>94081601</v>
      </c>
      <c r="BJ34" s="69" t="s">
        <v>1327</v>
      </c>
      <c r="BK34" s="54">
        <v>14175</v>
      </c>
    </row>
    <row r="35" spans="1:63">
      <c r="A35" s="318" t="s">
        <v>15218</v>
      </c>
      <c r="B35" s="315" t="s">
        <v>4497</v>
      </c>
      <c r="C35" s="319">
        <v>27750</v>
      </c>
      <c r="E35" s="318" t="s">
        <v>15218</v>
      </c>
      <c r="F35" s="315" t="s">
        <v>4497</v>
      </c>
      <c r="G35" s="319">
        <v>27750</v>
      </c>
      <c r="I35" s="318" t="s">
        <v>10091</v>
      </c>
      <c r="J35" s="315" t="s">
        <v>5706</v>
      </c>
      <c r="K35" s="319">
        <v>40000</v>
      </c>
      <c r="M35" s="260">
        <v>2017</v>
      </c>
      <c r="N35" s="261" t="s">
        <v>10161</v>
      </c>
      <c r="O35" s="262">
        <v>-132200</v>
      </c>
      <c r="Q35" s="312" t="s">
        <v>4965</v>
      </c>
      <c r="R35" s="126"/>
      <c r="S35" s="597">
        <f>SUM(S36:S40)</f>
        <v>0</v>
      </c>
      <c r="U35" s="263" t="s">
        <v>4449</v>
      </c>
      <c r="V35" s="244" t="s">
        <v>4477</v>
      </c>
      <c r="W35" s="320">
        <v>32615</v>
      </c>
      <c r="X35" s="239"/>
      <c r="Y35" s="263"/>
      <c r="Z35" s="241"/>
      <c r="AA35" s="272"/>
      <c r="AB35" s="239"/>
      <c r="AC35" s="260">
        <v>2012</v>
      </c>
      <c r="AD35" s="261" t="s">
        <v>467</v>
      </c>
      <c r="AE35" s="262">
        <f>3*20475</f>
        <v>61425</v>
      </c>
      <c r="AG35" s="263"/>
      <c r="AH35" s="241"/>
      <c r="AI35" s="272"/>
      <c r="AK35" s="192" t="s">
        <v>2927</v>
      </c>
      <c r="AL35" t="s">
        <v>2928</v>
      </c>
      <c r="AM35" s="131">
        <v>11930</v>
      </c>
      <c r="AS35" s="143">
        <v>98123110</v>
      </c>
      <c r="AT35" t="s">
        <v>429</v>
      </c>
      <c r="AU35" s="189">
        <v>1832</v>
      </c>
      <c r="AW35" s="143">
        <v>97123103</v>
      </c>
      <c r="AX35" t="s">
        <v>374</v>
      </c>
      <c r="AY35" s="124">
        <v>14175</v>
      </c>
      <c r="BA35">
        <v>96122501</v>
      </c>
      <c r="BB35" t="s">
        <v>1524</v>
      </c>
      <c r="BC35" s="145">
        <v>14175</v>
      </c>
      <c r="BE35">
        <v>95122201</v>
      </c>
      <c r="BF35" t="s">
        <v>3031</v>
      </c>
      <c r="BG35" s="120">
        <v>14175</v>
      </c>
      <c r="BI35" s="69">
        <v>94081601</v>
      </c>
      <c r="BJ35" s="69" t="s">
        <v>1328</v>
      </c>
      <c r="BK35" s="54">
        <v>14175</v>
      </c>
    </row>
    <row r="36" spans="1:63">
      <c r="A36" s="318" t="s">
        <v>15218</v>
      </c>
      <c r="B36" s="315" t="s">
        <v>263</v>
      </c>
      <c r="C36" s="320">
        <v>51000</v>
      </c>
      <c r="E36" s="318" t="s">
        <v>15218</v>
      </c>
      <c r="F36" s="315" t="s">
        <v>263</v>
      </c>
      <c r="G36" s="320">
        <v>58000</v>
      </c>
      <c r="I36" s="318" t="s">
        <v>10091</v>
      </c>
      <c r="J36" s="315" t="s">
        <v>24</v>
      </c>
      <c r="K36" s="319">
        <v>18000</v>
      </c>
      <c r="L36" s="92"/>
      <c r="M36" s="318" t="s">
        <v>4844</v>
      </c>
      <c r="N36" s="603" t="s">
        <v>5724</v>
      </c>
      <c r="O36" s="320">
        <v>0</v>
      </c>
      <c r="Q36" s="260">
        <v>2015</v>
      </c>
      <c r="R36" s="261" t="s">
        <v>2617</v>
      </c>
      <c r="S36" s="262">
        <f>2*20475</f>
        <v>40950</v>
      </c>
      <c r="U36" s="318"/>
      <c r="V36" s="315" t="s">
        <v>4458</v>
      </c>
      <c r="W36" s="320">
        <v>50000</v>
      </c>
      <c r="Y36" s="156" t="s">
        <v>2444</v>
      </c>
      <c r="Z36" s="126"/>
      <c r="AA36" s="331">
        <f>SUM(AA37:AA41)</f>
        <v>192460</v>
      </c>
      <c r="AC36" s="260">
        <v>2012</v>
      </c>
      <c r="AD36" s="261" t="s">
        <v>468</v>
      </c>
      <c r="AE36" s="262">
        <f>3*20475</f>
        <v>61425</v>
      </c>
      <c r="AG36" s="156" t="s">
        <v>2444</v>
      </c>
      <c r="AH36" s="126"/>
      <c r="AI36" s="168">
        <f>SUM(AI37:AI38)</f>
        <v>286650</v>
      </c>
      <c r="AK36" s="192"/>
      <c r="AM36" s="131"/>
      <c r="AS36" s="143">
        <v>98030304</v>
      </c>
      <c r="AT36" t="s">
        <v>2370</v>
      </c>
      <c r="AU36" s="190">
        <v>1827</v>
      </c>
      <c r="AW36" s="143">
        <v>97123103</v>
      </c>
      <c r="AX36" t="s">
        <v>375</v>
      </c>
      <c r="AY36" s="124">
        <v>14175</v>
      </c>
      <c r="BA36">
        <v>96122501</v>
      </c>
      <c r="BB36" t="s">
        <v>1525</v>
      </c>
      <c r="BC36" s="145">
        <v>14175</v>
      </c>
      <c r="BE36">
        <v>95051201</v>
      </c>
      <c r="BF36" t="s">
        <v>3032</v>
      </c>
      <c r="BG36" s="120">
        <v>14175</v>
      </c>
      <c r="BI36" s="69">
        <v>94081601</v>
      </c>
      <c r="BJ36" s="69" t="s">
        <v>1329</v>
      </c>
      <c r="BK36" s="54">
        <v>14175</v>
      </c>
    </row>
    <row r="37" spans="1:63">
      <c r="A37" s="318" t="s">
        <v>15218</v>
      </c>
      <c r="B37" s="261" t="s">
        <v>10161</v>
      </c>
      <c r="C37" s="809">
        <v>-132200</v>
      </c>
      <c r="E37" s="318" t="s">
        <v>15218</v>
      </c>
      <c r="F37" s="261" t="s">
        <v>10161</v>
      </c>
      <c r="G37" s="262">
        <v>-132200</v>
      </c>
      <c r="I37" s="318" t="s">
        <v>10091</v>
      </c>
      <c r="J37" s="315" t="s">
        <v>4497</v>
      </c>
      <c r="K37" s="319">
        <v>25000</v>
      </c>
      <c r="M37" s="318" t="s">
        <v>5705</v>
      </c>
      <c r="N37" s="603" t="s">
        <v>4968</v>
      </c>
      <c r="O37" s="320">
        <v>0</v>
      </c>
      <c r="Q37" s="260">
        <v>2016</v>
      </c>
      <c r="R37" s="261" t="s">
        <v>1920</v>
      </c>
      <c r="S37" s="262">
        <f>7*20475</f>
        <v>143325</v>
      </c>
      <c r="U37" s="263"/>
      <c r="V37" s="241"/>
      <c r="W37" s="272"/>
      <c r="Y37" s="260">
        <v>2013</v>
      </c>
      <c r="Z37" s="261" t="s">
        <v>2617</v>
      </c>
      <c r="AA37" s="262">
        <f>2*20475</f>
        <v>40950</v>
      </c>
      <c r="AC37" s="260">
        <v>2013</v>
      </c>
      <c r="AD37" s="261" t="s">
        <v>1987</v>
      </c>
      <c r="AE37" s="262">
        <f>6*20475</f>
        <v>122850</v>
      </c>
      <c r="AG37" s="260">
        <v>2012</v>
      </c>
      <c r="AH37" s="261" t="s">
        <v>1920</v>
      </c>
      <c r="AI37" s="262">
        <f>7*20475</f>
        <v>143325</v>
      </c>
      <c r="AK37" s="143"/>
      <c r="AL37">
        <f>1947100-28500+139400</f>
        <v>2058000</v>
      </c>
      <c r="AM37" s="124"/>
      <c r="AS37" s="143">
        <v>98072203</v>
      </c>
      <c r="AT37" t="s">
        <v>2830</v>
      </c>
      <c r="AU37" s="190">
        <v>5428</v>
      </c>
      <c r="AW37" s="143">
        <v>97123103</v>
      </c>
      <c r="AX37" t="s">
        <v>376</v>
      </c>
      <c r="AY37" s="124">
        <v>14175</v>
      </c>
      <c r="BA37">
        <v>96122501</v>
      </c>
      <c r="BB37" t="s">
        <v>1526</v>
      </c>
      <c r="BC37" s="145">
        <v>14175</v>
      </c>
      <c r="BE37">
        <v>95051201</v>
      </c>
      <c r="BF37" t="s">
        <v>3033</v>
      </c>
      <c r="BG37" s="120">
        <v>14175</v>
      </c>
      <c r="BI37" s="69">
        <v>94081601</v>
      </c>
      <c r="BJ37" s="69" t="s">
        <v>1330</v>
      </c>
      <c r="BK37" s="54">
        <v>14175</v>
      </c>
    </row>
    <row r="38" spans="1:63">
      <c r="A38" s="318" t="s">
        <v>15218</v>
      </c>
      <c r="B38" s="603" t="s">
        <v>4969</v>
      </c>
      <c r="C38" s="320">
        <v>32760</v>
      </c>
      <c r="E38" s="318" t="s">
        <v>15218</v>
      </c>
      <c r="F38" s="603" t="s">
        <v>4969</v>
      </c>
      <c r="G38" s="320">
        <v>32760</v>
      </c>
      <c r="I38" s="318" t="s">
        <v>10091</v>
      </c>
      <c r="J38" s="315" t="s">
        <v>263</v>
      </c>
      <c r="K38" s="320">
        <v>58000</v>
      </c>
      <c r="M38" s="318" t="s">
        <v>5705</v>
      </c>
      <c r="N38" s="603" t="s">
        <v>4969</v>
      </c>
      <c r="O38" s="320">
        <v>22362</v>
      </c>
      <c r="Q38" s="260">
        <v>2016</v>
      </c>
      <c r="R38" s="261" t="s">
        <v>1921</v>
      </c>
      <c r="S38" s="262">
        <f>7*20475</f>
        <v>143325</v>
      </c>
      <c r="U38" s="156" t="s">
        <v>2444</v>
      </c>
      <c r="V38" s="126"/>
      <c r="W38" s="557">
        <f>SUM(W39:W44)</f>
        <v>0</v>
      </c>
      <c r="Y38" s="260">
        <v>2014</v>
      </c>
      <c r="Z38" s="261" t="s">
        <v>1920</v>
      </c>
      <c r="AA38" s="262">
        <f>7*20475</f>
        <v>143325</v>
      </c>
      <c r="AC38" s="260"/>
      <c r="AD38" s="261"/>
      <c r="AE38" s="262"/>
      <c r="AG38" s="260">
        <v>2012</v>
      </c>
      <c r="AH38" s="261" t="s">
        <v>1921</v>
      </c>
      <c r="AI38" s="262">
        <f>7*20475</f>
        <v>143325</v>
      </c>
      <c r="AL38">
        <f>2058000-AL37</f>
        <v>0</v>
      </c>
      <c r="AS38" s="173" t="s">
        <v>2831</v>
      </c>
      <c r="AT38" t="s">
        <v>2369</v>
      </c>
      <c r="AU38" s="190">
        <v>38972</v>
      </c>
      <c r="AW38" s="143">
        <v>97123103</v>
      </c>
      <c r="AX38" t="s">
        <v>377</v>
      </c>
      <c r="AY38" s="124">
        <v>14175</v>
      </c>
      <c r="BA38">
        <v>96021507</v>
      </c>
      <c r="BB38" t="s">
        <v>1527</v>
      </c>
      <c r="BC38" s="145">
        <v>14175</v>
      </c>
      <c r="BE38">
        <v>95051201</v>
      </c>
      <c r="BF38" t="s">
        <v>3034</v>
      </c>
      <c r="BG38" s="120">
        <v>14175</v>
      </c>
      <c r="BI38" s="69">
        <v>94121306</v>
      </c>
      <c r="BJ38" s="69" t="s">
        <v>1331</v>
      </c>
      <c r="BK38" s="54">
        <v>14175</v>
      </c>
    </row>
    <row r="39" spans="1:63">
      <c r="A39" s="263"/>
      <c r="B39" s="241"/>
      <c r="C39" s="685">
        <f>SUM(C33:C38)-C32</f>
        <v>10003.996000000276</v>
      </c>
      <c r="E39" s="263"/>
      <c r="F39" s="241"/>
      <c r="G39" s="685">
        <f>SUM(G33:G38)-G32</f>
        <v>0</v>
      </c>
      <c r="I39" s="318" t="s">
        <v>10091</v>
      </c>
      <c r="J39" s="261" t="s">
        <v>10161</v>
      </c>
      <c r="K39" s="262">
        <v>-132200</v>
      </c>
      <c r="M39" s="263"/>
      <c r="N39" s="241"/>
      <c r="O39" s="272">
        <f>SUM(O30:O38)-O29</f>
        <v>0</v>
      </c>
      <c r="Q39" s="260">
        <v>2016</v>
      </c>
      <c r="R39" s="261" t="s">
        <v>4845</v>
      </c>
      <c r="S39" s="262">
        <f>7*16380</f>
        <v>114660</v>
      </c>
      <c r="T39" s="92">
        <f>20534-S42</f>
        <v>-48</v>
      </c>
      <c r="U39" s="260">
        <v>2014</v>
      </c>
      <c r="V39" s="261" t="s">
        <v>467</v>
      </c>
      <c r="W39" s="262">
        <f>3*20475</f>
        <v>61425</v>
      </c>
      <c r="Y39" s="260">
        <v>2014</v>
      </c>
      <c r="Z39" s="261" t="s">
        <v>1921</v>
      </c>
      <c r="AA39" s="262">
        <f>7*20475</f>
        <v>143325</v>
      </c>
      <c r="AC39" s="156" t="s">
        <v>2135</v>
      </c>
      <c r="AD39" s="126"/>
      <c r="AE39" s="293">
        <f>SUM(AE40)</f>
        <v>15938</v>
      </c>
      <c r="AG39" s="260"/>
      <c r="AH39" s="261"/>
      <c r="AI39" s="262"/>
      <c r="AL39">
        <f>AL38-136400</f>
        <v>-136400</v>
      </c>
      <c r="AS39" s="173" t="s">
        <v>2375</v>
      </c>
      <c r="AT39" s="174" t="s">
        <v>2374</v>
      </c>
      <c r="AU39" s="190">
        <v>-1499</v>
      </c>
      <c r="AW39" s="143">
        <v>97123103</v>
      </c>
      <c r="AX39" t="s">
        <v>378</v>
      </c>
      <c r="AY39" s="124">
        <v>14175</v>
      </c>
      <c r="BA39">
        <v>96021507</v>
      </c>
      <c r="BB39" t="s">
        <v>1528</v>
      </c>
      <c r="BC39" s="145">
        <v>14175</v>
      </c>
      <c r="BE39">
        <v>95051201</v>
      </c>
      <c r="BF39" t="s">
        <v>3035</v>
      </c>
      <c r="BG39" s="120">
        <v>14175</v>
      </c>
      <c r="BI39" s="69">
        <v>94121306</v>
      </c>
      <c r="BJ39" s="69" t="s">
        <v>1332</v>
      </c>
      <c r="BK39" s="54">
        <v>14175</v>
      </c>
    </row>
    <row r="40" spans="1:63">
      <c r="A40" s="312" t="s">
        <v>4965</v>
      </c>
      <c r="B40" s="126"/>
      <c r="C40" s="642">
        <f>'9正'!O4</f>
        <v>565110</v>
      </c>
      <c r="E40" s="312" t="s">
        <v>4965</v>
      </c>
      <c r="F40" s="126"/>
      <c r="G40" s="642">
        <f>'8正'!O4</f>
        <v>0</v>
      </c>
      <c r="I40" s="318" t="s">
        <v>10091</v>
      </c>
      <c r="J40" s="603" t="s">
        <v>5724</v>
      </c>
      <c r="K40" s="320">
        <v>0</v>
      </c>
      <c r="M40" s="312" t="s">
        <v>4965</v>
      </c>
      <c r="N40" s="126"/>
      <c r="O40" s="642">
        <f>'6正'!O4</f>
        <v>0</v>
      </c>
      <c r="Q40" s="260">
        <v>2016</v>
      </c>
      <c r="R40" s="261" t="s">
        <v>4973</v>
      </c>
      <c r="S40" s="262">
        <v>-442260</v>
      </c>
      <c r="U40" s="260">
        <v>2014</v>
      </c>
      <c r="V40" s="261" t="s">
        <v>468</v>
      </c>
      <c r="W40" s="262">
        <f>3*20475</f>
        <v>61425</v>
      </c>
      <c r="Y40" s="260">
        <v>2014</v>
      </c>
      <c r="Z40" s="261" t="s">
        <v>2618</v>
      </c>
      <c r="AA40" s="262">
        <f>7*16380</f>
        <v>114660</v>
      </c>
      <c r="AC40" s="192"/>
      <c r="AD40" t="s">
        <v>3757</v>
      </c>
      <c r="AE40" s="131">
        <v>15938</v>
      </c>
      <c r="AG40" s="156" t="s">
        <v>2135</v>
      </c>
      <c r="AH40" s="126"/>
      <c r="AI40" s="168">
        <f>SUM(AI41)</f>
        <v>32868</v>
      </c>
      <c r="AS40" s="143"/>
      <c r="AT40" t="s">
        <v>436</v>
      </c>
      <c r="AU40" s="190">
        <v>-30000</v>
      </c>
      <c r="AW40" s="143">
        <v>97123104</v>
      </c>
      <c r="AX40" t="s">
        <v>379</v>
      </c>
      <c r="AY40" s="124">
        <v>14175</v>
      </c>
      <c r="BA40">
        <v>96021507</v>
      </c>
      <c r="BB40" t="s">
        <v>1529</v>
      </c>
      <c r="BC40" s="145">
        <v>14175</v>
      </c>
      <c r="BE40">
        <v>95051201</v>
      </c>
      <c r="BF40" t="s">
        <v>3036</v>
      </c>
      <c r="BG40" s="120">
        <v>14175</v>
      </c>
      <c r="BI40" s="69">
        <v>94121201</v>
      </c>
      <c r="BJ40" s="69" t="s">
        <v>1333</v>
      </c>
      <c r="BK40" s="54">
        <v>14175</v>
      </c>
    </row>
    <row r="41" spans="1:63">
      <c r="A41" s="260"/>
      <c r="B41" s="261" t="s">
        <v>15208</v>
      </c>
      <c r="C41" s="809">
        <f>20475*5</f>
        <v>102375</v>
      </c>
      <c r="D41"/>
      <c r="E41" s="260"/>
      <c r="F41" s="261" t="s">
        <v>15208</v>
      </c>
      <c r="G41" s="262">
        <f>20475*5</f>
        <v>102375</v>
      </c>
      <c r="H41"/>
      <c r="I41" s="318" t="s">
        <v>10091</v>
      </c>
      <c r="J41" s="603" t="s">
        <v>4968</v>
      </c>
      <c r="K41" s="320">
        <v>0</v>
      </c>
      <c r="M41" s="260">
        <v>2017</v>
      </c>
      <c r="N41" s="261" t="s">
        <v>1987</v>
      </c>
      <c r="O41" s="262">
        <f>6*20475</f>
        <v>122850</v>
      </c>
      <c r="Q41" s="260"/>
      <c r="R41" s="261"/>
      <c r="S41" s="262"/>
      <c r="U41" s="260">
        <v>2014</v>
      </c>
      <c r="V41" s="261" t="s">
        <v>4445</v>
      </c>
      <c r="W41" s="262">
        <f>3*16380</f>
        <v>49140</v>
      </c>
      <c r="Y41" s="260">
        <v>2014</v>
      </c>
      <c r="Z41" s="261" t="s">
        <v>4973</v>
      </c>
      <c r="AA41" s="262">
        <v>-249800</v>
      </c>
      <c r="AC41" s="192"/>
      <c r="AE41" s="131"/>
      <c r="AG41" s="192" t="s">
        <v>2625</v>
      </c>
      <c r="AH41" t="s">
        <v>2508</v>
      </c>
      <c r="AI41" s="131">
        <v>32868</v>
      </c>
      <c r="AS41" s="143">
        <v>98123110</v>
      </c>
      <c r="AT41" t="s">
        <v>428</v>
      </c>
      <c r="AU41" s="190">
        <v>123400</v>
      </c>
      <c r="AW41" s="143">
        <v>97031101</v>
      </c>
      <c r="AX41" t="s">
        <v>380</v>
      </c>
      <c r="AY41" s="124">
        <v>14175</v>
      </c>
      <c r="BA41">
        <v>96021507</v>
      </c>
      <c r="BB41" t="s">
        <v>1530</v>
      </c>
      <c r="BC41" s="145">
        <v>14175</v>
      </c>
      <c r="BE41">
        <v>95051201</v>
      </c>
      <c r="BF41" t="s">
        <v>3037</v>
      </c>
      <c r="BG41" s="120">
        <v>14175</v>
      </c>
      <c r="BI41" s="69">
        <v>94121201</v>
      </c>
      <c r="BJ41" s="69" t="s">
        <v>1334</v>
      </c>
      <c r="BK41" s="54">
        <v>14175</v>
      </c>
    </row>
    <row r="42" spans="1:63">
      <c r="A42" s="260"/>
      <c r="B42" s="261" t="s">
        <v>15209</v>
      </c>
      <c r="C42" s="809">
        <f>20475*3</f>
        <v>61425</v>
      </c>
      <c r="E42" s="260"/>
      <c r="F42" s="261" t="s">
        <v>15209</v>
      </c>
      <c r="G42" s="262">
        <f>20475*3</f>
        <v>61425</v>
      </c>
      <c r="I42" s="318" t="s">
        <v>10091</v>
      </c>
      <c r="J42" s="603" t="s">
        <v>15240</v>
      </c>
      <c r="K42" s="320">
        <v>13490</v>
      </c>
      <c r="M42" s="260">
        <v>2016</v>
      </c>
      <c r="N42" s="261" t="s">
        <v>5647</v>
      </c>
      <c r="O42" s="262">
        <f>3*20475</f>
        <v>61425</v>
      </c>
      <c r="Q42" s="156" t="s">
        <v>2135</v>
      </c>
      <c r="R42" s="126"/>
      <c r="S42" s="597">
        <f>SUM(S43)</f>
        <v>20582</v>
      </c>
      <c r="U42" s="260">
        <v>2015</v>
      </c>
      <c r="V42" s="261" t="s">
        <v>4444</v>
      </c>
      <c r="W42" s="262">
        <f>6*20475</f>
        <v>122850</v>
      </c>
      <c r="Y42" s="260"/>
      <c r="Z42" s="261"/>
      <c r="AA42" s="262"/>
      <c r="AC42" s="301"/>
      <c r="AE42" s="124"/>
      <c r="AG42" s="192"/>
      <c r="AI42" s="131"/>
      <c r="AS42" s="143">
        <v>98123110</v>
      </c>
      <c r="AT42" t="s">
        <v>2829</v>
      </c>
      <c r="AU42" s="191">
        <v>5400</v>
      </c>
      <c r="AW42" s="143">
        <v>97031101</v>
      </c>
      <c r="AX42" t="s">
        <v>381</v>
      </c>
      <c r="AY42" s="124">
        <v>14175</v>
      </c>
      <c r="BA42">
        <v>96021507</v>
      </c>
      <c r="BB42" t="s">
        <v>1531</v>
      </c>
      <c r="BC42" s="145">
        <v>14175</v>
      </c>
      <c r="BE42">
        <v>95081501</v>
      </c>
      <c r="BF42" t="s">
        <v>3038</v>
      </c>
      <c r="BG42" s="120">
        <v>14175</v>
      </c>
      <c r="BI42" s="69">
        <v>94121201</v>
      </c>
      <c r="BJ42" s="69" t="s">
        <v>1335</v>
      </c>
      <c r="BK42" s="54">
        <v>14175</v>
      </c>
    </row>
    <row r="43" spans="1:63">
      <c r="A43" s="260"/>
      <c r="B43" s="261" t="s">
        <v>15210</v>
      </c>
      <c r="C43" s="809">
        <f t="shared" ref="C43:C44" si="0">20475*3</f>
        <v>61425</v>
      </c>
      <c r="E43" s="260"/>
      <c r="F43" s="261" t="s">
        <v>15210</v>
      </c>
      <c r="G43" s="809">
        <f t="shared" ref="G43:G44" si="1">20475*3</f>
        <v>61425</v>
      </c>
      <c r="I43" s="263"/>
      <c r="J43" s="241"/>
      <c r="K43" s="685">
        <f>SUM(K34:K42)-K33</f>
        <v>0</v>
      </c>
      <c r="M43" s="260">
        <v>2016</v>
      </c>
      <c r="N43" s="261" t="s">
        <v>5648</v>
      </c>
      <c r="O43" s="262">
        <f>3*20475</f>
        <v>61425</v>
      </c>
      <c r="P43"/>
      <c r="Q43" s="192"/>
      <c r="R43" t="s">
        <v>4971</v>
      </c>
      <c r="S43" s="131">
        <v>20582</v>
      </c>
      <c r="U43" s="260">
        <v>2015</v>
      </c>
      <c r="V43" s="261" t="s">
        <v>4446</v>
      </c>
      <c r="W43" s="262">
        <f>4*20475</f>
        <v>81900</v>
      </c>
      <c r="Y43" s="156" t="s">
        <v>2135</v>
      </c>
      <c r="Z43" s="126"/>
      <c r="AA43" s="302">
        <f>SUM(AA44)</f>
        <v>51801</v>
      </c>
      <c r="AC43" s="2"/>
      <c r="AG43" s="143"/>
      <c r="AI43" s="124"/>
      <c r="AS43" s="143"/>
      <c r="AU43" s="159"/>
      <c r="AW43" s="143">
        <v>97031101</v>
      </c>
      <c r="AX43" t="s">
        <v>382</v>
      </c>
      <c r="AY43" s="124">
        <v>14175</v>
      </c>
      <c r="BA43">
        <v>96021507</v>
      </c>
      <c r="BB43" t="s">
        <v>2921</v>
      </c>
      <c r="BC43" s="145">
        <v>14175</v>
      </c>
      <c r="BE43">
        <v>95081501</v>
      </c>
      <c r="BF43" t="s">
        <v>3039</v>
      </c>
      <c r="BG43" s="120">
        <v>14175</v>
      </c>
      <c r="BI43" s="69">
        <v>94121201</v>
      </c>
      <c r="BJ43" s="69" t="s">
        <v>1336</v>
      </c>
      <c r="BK43" s="54">
        <v>14175</v>
      </c>
    </row>
    <row r="44" spans="1:63">
      <c r="A44" s="260"/>
      <c r="B44" s="261" t="s">
        <v>15211</v>
      </c>
      <c r="C44" s="809">
        <f t="shared" si="0"/>
        <v>61425</v>
      </c>
      <c r="D44"/>
      <c r="E44" s="260"/>
      <c r="F44" s="261" t="s">
        <v>15211</v>
      </c>
      <c r="G44" s="809">
        <f t="shared" si="1"/>
        <v>61425</v>
      </c>
      <c r="H44"/>
      <c r="I44" s="312" t="s">
        <v>4965</v>
      </c>
      <c r="J44" s="126"/>
      <c r="K44" s="642">
        <f>'7正'!O4</f>
        <v>0</v>
      </c>
      <c r="M44" s="260">
        <v>2016</v>
      </c>
      <c r="N44" s="261" t="s">
        <v>5649</v>
      </c>
      <c r="O44" s="262">
        <f>3*16380</f>
        <v>49140</v>
      </c>
      <c r="P44" s="2"/>
      <c r="Q44" s="192"/>
      <c r="S44" s="131"/>
      <c r="U44" s="260">
        <v>2015</v>
      </c>
      <c r="V44" s="261" t="s">
        <v>4973</v>
      </c>
      <c r="W44" s="262">
        <f>-376740</f>
        <v>-376740</v>
      </c>
      <c r="Y44" s="192"/>
      <c r="Z44" t="s">
        <v>2616</v>
      </c>
      <c r="AA44" s="131">
        <v>51801</v>
      </c>
      <c r="AE44" s="2"/>
      <c r="AS44" s="156" t="s">
        <v>2371</v>
      </c>
      <c r="AT44" s="126"/>
      <c r="AU44" s="168">
        <f>SUM(AU45:AU46)</f>
        <v>540</v>
      </c>
      <c r="AW44" s="143">
        <v>97031101</v>
      </c>
      <c r="AX44" t="s">
        <v>383</v>
      </c>
      <c r="AY44" s="124">
        <v>14175</v>
      </c>
      <c r="BA44">
        <v>96021507</v>
      </c>
      <c r="BB44" t="s">
        <v>2922</v>
      </c>
      <c r="BC44" s="145">
        <v>14175</v>
      </c>
      <c r="BE44">
        <v>95081501</v>
      </c>
      <c r="BF44" t="s">
        <v>1355</v>
      </c>
      <c r="BG44" s="120">
        <v>14175</v>
      </c>
      <c r="BI44" s="69">
        <v>94121201</v>
      </c>
      <c r="BJ44" s="69" t="s">
        <v>1337</v>
      </c>
      <c r="BK44" s="54">
        <v>14175</v>
      </c>
    </row>
    <row r="45" spans="1:63">
      <c r="A45" s="260"/>
      <c r="B45" s="261" t="s">
        <v>15212</v>
      </c>
      <c r="C45" s="809">
        <f>16380*3</f>
        <v>49140</v>
      </c>
      <c r="D45" s="2"/>
      <c r="E45" s="260"/>
      <c r="F45" s="261" t="s">
        <v>15212</v>
      </c>
      <c r="G45" s="262">
        <f>16380*3</f>
        <v>49140</v>
      </c>
      <c r="H45" s="2"/>
      <c r="I45" s="260">
        <v>2017</v>
      </c>
      <c r="J45" s="261" t="s">
        <v>10096</v>
      </c>
      <c r="K45" s="262">
        <f>20475*2</f>
        <v>40950</v>
      </c>
      <c r="M45" s="260">
        <v>2017</v>
      </c>
      <c r="N45" s="261" t="s">
        <v>5655</v>
      </c>
      <c r="O45" s="262">
        <f>4*20475</f>
        <v>81900</v>
      </c>
      <c r="P45" s="2"/>
      <c r="Q45" s="143"/>
      <c r="S45" s="131"/>
      <c r="U45" s="260"/>
      <c r="V45" s="261"/>
      <c r="W45" s="262"/>
      <c r="Y45" s="192"/>
      <c r="AA45" s="131"/>
      <c r="AC45" s="2"/>
      <c r="AI45" s="2"/>
      <c r="AS45" s="143">
        <v>98121402</v>
      </c>
      <c r="AT45" t="s">
        <v>2372</v>
      </c>
      <c r="AU45" s="124">
        <v>426</v>
      </c>
      <c r="AW45" s="143">
        <v>97052702</v>
      </c>
      <c r="AX45" t="s">
        <v>384</v>
      </c>
      <c r="AY45" s="124">
        <v>11340</v>
      </c>
      <c r="BA45" s="144">
        <v>95041108</v>
      </c>
      <c r="BB45" s="144" t="s">
        <v>3631</v>
      </c>
      <c r="BC45" s="62">
        <v>14175</v>
      </c>
      <c r="BE45">
        <v>95081501</v>
      </c>
      <c r="BF45" t="s">
        <v>1356</v>
      </c>
      <c r="BG45" s="120">
        <v>14175</v>
      </c>
      <c r="BI45" s="72">
        <v>93121002</v>
      </c>
      <c r="BJ45" s="72" t="s">
        <v>226</v>
      </c>
      <c r="BK45" s="62">
        <v>8550</v>
      </c>
    </row>
    <row r="46" spans="1:63">
      <c r="A46" s="260"/>
      <c r="B46" s="261" t="s">
        <v>5751</v>
      </c>
      <c r="C46" s="809">
        <v>-335790</v>
      </c>
      <c r="E46" s="260"/>
      <c r="F46" s="261" t="s">
        <v>5751</v>
      </c>
      <c r="G46" s="262">
        <v>-335790</v>
      </c>
      <c r="I46" s="260">
        <v>2018</v>
      </c>
      <c r="J46" s="261" t="s">
        <v>10097</v>
      </c>
      <c r="K46" s="262">
        <f>20475*7</f>
        <v>143325</v>
      </c>
      <c r="M46" s="260">
        <v>2017</v>
      </c>
      <c r="N46" s="261" t="s">
        <v>5659</v>
      </c>
      <c r="O46" s="262">
        <f>5*20475</f>
        <v>102375</v>
      </c>
      <c r="P46"/>
      <c r="U46" s="156" t="s">
        <v>2135</v>
      </c>
      <c r="V46" s="126"/>
      <c r="W46" s="557">
        <f>SUM(W47)</f>
        <v>38571</v>
      </c>
      <c r="Y46" s="143"/>
      <c r="AA46" s="124"/>
      <c r="AC46" s="2"/>
      <c r="AS46" s="143">
        <v>98121402</v>
      </c>
      <c r="AT46" t="s">
        <v>2373</v>
      </c>
      <c r="AU46" s="124">
        <v>114</v>
      </c>
      <c r="AW46" s="143">
        <v>97052702</v>
      </c>
      <c r="AX46" t="s">
        <v>385</v>
      </c>
      <c r="AY46" s="124">
        <v>11340</v>
      </c>
      <c r="BA46" s="144">
        <v>95041108</v>
      </c>
      <c r="BB46" s="144" t="s">
        <v>3632</v>
      </c>
      <c r="BC46" s="62">
        <v>14175</v>
      </c>
      <c r="BE46">
        <v>95081501</v>
      </c>
      <c r="BF46" t="s">
        <v>1357</v>
      </c>
      <c r="BG46" s="120">
        <v>14175</v>
      </c>
      <c r="BI46" s="72">
        <v>93121002</v>
      </c>
      <c r="BJ46" s="72" t="s">
        <v>227</v>
      </c>
      <c r="BK46" s="62">
        <v>8550</v>
      </c>
    </row>
    <row r="47" spans="1:63">
      <c r="A47" s="260"/>
      <c r="B47" s="261"/>
      <c r="C47" s="685">
        <f>SUM(C41:C46)-C40</f>
        <v>-565110</v>
      </c>
      <c r="E47" s="260"/>
      <c r="F47" s="261"/>
      <c r="G47" s="685">
        <f>SUM(G41:G46)-G40</f>
        <v>0</v>
      </c>
      <c r="I47" s="260">
        <v>2018</v>
      </c>
      <c r="J47" s="261" t="s">
        <v>10098</v>
      </c>
      <c r="K47" s="262">
        <f>20475*7</f>
        <v>143325</v>
      </c>
      <c r="L47"/>
      <c r="M47" s="260">
        <v>2017</v>
      </c>
      <c r="N47" s="261" t="s">
        <v>5751</v>
      </c>
      <c r="O47" s="262">
        <v>-479115</v>
      </c>
      <c r="U47" s="192"/>
      <c r="V47" t="s">
        <v>4463</v>
      </c>
      <c r="W47" s="131">
        <v>38571</v>
      </c>
      <c r="AS47" s="143"/>
      <c r="AU47" s="124"/>
      <c r="AW47" s="143">
        <v>97052702</v>
      </c>
      <c r="AX47" t="s">
        <v>386</v>
      </c>
      <c r="AY47" s="124">
        <v>11340</v>
      </c>
      <c r="BA47">
        <v>96110501</v>
      </c>
      <c r="BB47" t="s">
        <v>2923</v>
      </c>
      <c r="BC47" s="145">
        <v>15750</v>
      </c>
      <c r="BE47">
        <v>95081501</v>
      </c>
      <c r="BF47" t="s">
        <v>1358</v>
      </c>
      <c r="BG47" s="120">
        <v>14175</v>
      </c>
      <c r="BI47" s="72">
        <v>93121002</v>
      </c>
      <c r="BJ47" s="72" t="s">
        <v>228</v>
      </c>
      <c r="BK47" s="62">
        <v>8550</v>
      </c>
    </row>
    <row r="48" spans="1:63">
      <c r="A48" s="156" t="s">
        <v>2135</v>
      </c>
      <c r="B48" s="126"/>
      <c r="C48" s="642">
        <f>'9正'!O6</f>
        <v>2142</v>
      </c>
      <c r="E48" s="156" t="s">
        <v>2135</v>
      </c>
      <c r="F48" s="126"/>
      <c r="G48" s="642">
        <f>'8正'!O6</f>
        <v>43064</v>
      </c>
      <c r="I48" s="260">
        <v>2018</v>
      </c>
      <c r="J48" s="261" t="s">
        <v>10099</v>
      </c>
      <c r="K48" s="262">
        <f>16380*7</f>
        <v>114660</v>
      </c>
      <c r="L48" s="2"/>
      <c r="M48" s="260"/>
      <c r="N48" s="261"/>
      <c r="O48" s="646">
        <f>SUM(O41:O47)-O40</f>
        <v>0</v>
      </c>
      <c r="U48" s="192"/>
      <c r="W48" s="131"/>
      <c r="AS48" t="s">
        <v>427</v>
      </c>
      <c r="AT48">
        <v>25281</v>
      </c>
      <c r="AW48" s="143">
        <v>97052702</v>
      </c>
      <c r="AX48" t="s">
        <v>387</v>
      </c>
      <c r="AY48" s="124">
        <v>11340</v>
      </c>
      <c r="BA48">
        <v>96110501</v>
      </c>
      <c r="BB48" t="s">
        <v>2924</v>
      </c>
      <c r="BC48" s="145">
        <v>15750</v>
      </c>
      <c r="BE48" s="72">
        <v>94040407</v>
      </c>
      <c r="BF48" s="72" t="s">
        <v>1319</v>
      </c>
      <c r="BG48" s="62">
        <v>14175</v>
      </c>
      <c r="BI48" s="69">
        <v>94111802</v>
      </c>
      <c r="BJ48" s="69" t="s">
        <v>1338</v>
      </c>
      <c r="BK48" s="54">
        <v>14175</v>
      </c>
    </row>
    <row r="49" spans="1:63">
      <c r="A49" s="192"/>
      <c r="B49" t="s">
        <v>15219</v>
      </c>
      <c r="C49" s="131">
        <v>43064</v>
      </c>
      <c r="E49" s="192"/>
      <c r="F49" t="s">
        <v>15219</v>
      </c>
      <c r="G49" s="131">
        <v>43064</v>
      </c>
      <c r="I49" s="260">
        <v>2017</v>
      </c>
      <c r="J49" s="261" t="s">
        <v>10100</v>
      </c>
      <c r="K49" s="262">
        <f>20475*1</f>
        <v>20475</v>
      </c>
      <c r="L49"/>
      <c r="M49" s="156" t="s">
        <v>2135</v>
      </c>
      <c r="N49" s="126"/>
      <c r="O49" s="642">
        <f>'6正'!O6</f>
        <v>37362</v>
      </c>
      <c r="U49" s="143"/>
      <c r="W49" s="131"/>
      <c r="AS49" t="s">
        <v>426</v>
      </c>
      <c r="AT49">
        <v>42864</v>
      </c>
      <c r="AW49" s="143">
        <v>97052702</v>
      </c>
      <c r="AX49" t="s">
        <v>388</v>
      </c>
      <c r="AY49" s="124">
        <v>11340</v>
      </c>
      <c r="BA49">
        <v>96110501</v>
      </c>
      <c r="BB49" t="s">
        <v>2925</v>
      </c>
      <c r="BC49" s="145">
        <v>15750</v>
      </c>
      <c r="BE49">
        <v>95022401</v>
      </c>
      <c r="BF49" t="s">
        <v>1359</v>
      </c>
      <c r="BG49" s="120">
        <v>14175</v>
      </c>
      <c r="BI49" s="69">
        <v>94111802</v>
      </c>
      <c r="BJ49" s="69" t="s">
        <v>1339</v>
      </c>
      <c r="BK49" s="54">
        <v>14175</v>
      </c>
    </row>
    <row r="50" spans="1:63">
      <c r="A50" s="192"/>
      <c r="C50" s="685">
        <f>C49-C48</f>
        <v>40922</v>
      </c>
      <c r="E50" s="192"/>
      <c r="G50" s="685">
        <f>G49-G48</f>
        <v>0</v>
      </c>
      <c r="I50" s="260">
        <v>2017</v>
      </c>
      <c r="J50" s="261" t="s">
        <v>5751</v>
      </c>
      <c r="K50" s="262">
        <v>-462735</v>
      </c>
      <c r="M50" s="192"/>
      <c r="N50" t="s">
        <v>5733</v>
      </c>
      <c r="O50" s="131">
        <v>37362</v>
      </c>
      <c r="T50"/>
      <c r="AS50" t="s">
        <v>437</v>
      </c>
      <c r="AT50">
        <v>28395</v>
      </c>
      <c r="AW50" s="143">
        <v>97073003</v>
      </c>
      <c r="AX50" t="s">
        <v>389</v>
      </c>
      <c r="AY50" s="124">
        <v>15120</v>
      </c>
      <c r="BA50">
        <v>96110501</v>
      </c>
      <c r="BB50" t="s">
        <v>2926</v>
      </c>
      <c r="BC50" s="145">
        <v>15750</v>
      </c>
      <c r="BE50">
        <v>95022401</v>
      </c>
      <c r="BF50" t="s">
        <v>1360</v>
      </c>
      <c r="BG50" s="120">
        <v>14175</v>
      </c>
      <c r="BI50" s="69">
        <v>94111802</v>
      </c>
      <c r="BJ50" s="69" t="s">
        <v>1340</v>
      </c>
      <c r="BK50" s="54">
        <v>14175</v>
      </c>
    </row>
    <row r="51" spans="1:63">
      <c r="A51" s="143"/>
      <c r="C51" s="131"/>
      <c r="E51" s="143"/>
      <c r="G51" s="131"/>
      <c r="I51" s="260"/>
      <c r="J51" s="261"/>
      <c r="K51" s="685">
        <f>SUM(K45:K50)-K44</f>
        <v>0</v>
      </c>
      <c r="M51" s="192"/>
      <c r="O51" s="131">
        <f>O50-O49</f>
        <v>0</v>
      </c>
      <c r="T51" s="2"/>
      <c r="AS51" t="s">
        <v>438</v>
      </c>
      <c r="AT51">
        <v>1409118</v>
      </c>
      <c r="AW51" s="143">
        <v>97073003</v>
      </c>
      <c r="AX51" t="s">
        <v>390</v>
      </c>
      <c r="AY51" s="124">
        <v>15120</v>
      </c>
      <c r="BA51">
        <v>96110501</v>
      </c>
      <c r="BB51" t="s">
        <v>2795</v>
      </c>
      <c r="BC51" s="145">
        <v>15750</v>
      </c>
      <c r="BE51">
        <v>95022401</v>
      </c>
      <c r="BF51" t="s">
        <v>1361</v>
      </c>
      <c r="BG51" s="120">
        <v>14175</v>
      </c>
      <c r="BI51" s="69">
        <v>94111802</v>
      </c>
      <c r="BJ51" s="69" t="s">
        <v>1341</v>
      </c>
      <c r="BK51" s="54">
        <v>14175</v>
      </c>
    </row>
    <row r="52" spans="1:63">
      <c r="I52" s="156" t="s">
        <v>2135</v>
      </c>
      <c r="J52" s="126"/>
      <c r="K52" s="642">
        <f>'7正'!O6</f>
        <v>34335</v>
      </c>
      <c r="M52" s="143"/>
      <c r="O52" s="131"/>
      <c r="T52" s="2"/>
      <c r="AW52" s="143">
        <v>97073003</v>
      </c>
      <c r="AX52" t="s">
        <v>391</v>
      </c>
      <c r="AY52" s="124">
        <v>15120</v>
      </c>
      <c r="BA52">
        <v>96110501</v>
      </c>
      <c r="BB52" t="s">
        <v>2796</v>
      </c>
      <c r="BC52" s="145">
        <v>15750</v>
      </c>
      <c r="BE52">
        <v>95022401</v>
      </c>
      <c r="BF52" t="s">
        <v>1362</v>
      </c>
      <c r="BG52" s="120">
        <v>14175</v>
      </c>
      <c r="BI52" s="69">
        <v>94111802</v>
      </c>
      <c r="BJ52" s="69" t="s">
        <v>1342</v>
      </c>
      <c r="BK52" s="54">
        <v>14175</v>
      </c>
    </row>
    <row r="53" spans="1:63">
      <c r="I53" s="192"/>
      <c r="J53" t="s">
        <v>10149</v>
      </c>
      <c r="K53" s="131">
        <v>34335</v>
      </c>
      <c r="T53"/>
      <c r="AW53" s="143">
        <v>97073003</v>
      </c>
      <c r="AX53" t="s">
        <v>392</v>
      </c>
      <c r="AY53" s="124">
        <v>15120</v>
      </c>
      <c r="BA53">
        <v>96110501</v>
      </c>
      <c r="BB53" t="s">
        <v>2797</v>
      </c>
      <c r="BC53" s="145">
        <v>15750</v>
      </c>
      <c r="BE53">
        <v>95022401</v>
      </c>
      <c r="BF53" t="s">
        <v>1363</v>
      </c>
      <c r="BG53" s="120">
        <v>14175</v>
      </c>
      <c r="BI53" s="69">
        <v>94111802</v>
      </c>
      <c r="BJ53" s="69" t="s">
        <v>1343</v>
      </c>
      <c r="BK53" s="54">
        <v>14175</v>
      </c>
    </row>
    <row r="54" spans="1:63">
      <c r="I54" s="192"/>
      <c r="K54" s="685">
        <f>K53-K52</f>
        <v>0</v>
      </c>
      <c r="AW54" s="143">
        <v>97073003</v>
      </c>
      <c r="AX54" t="s">
        <v>393</v>
      </c>
      <c r="AY54" s="124">
        <v>15120</v>
      </c>
      <c r="BA54">
        <v>96092701</v>
      </c>
      <c r="BB54" t="s">
        <v>2798</v>
      </c>
      <c r="BC54" s="145">
        <v>14175</v>
      </c>
      <c r="BE54">
        <v>95092801</v>
      </c>
      <c r="BF54" t="s">
        <v>1364</v>
      </c>
      <c r="BG54" s="120">
        <v>14175</v>
      </c>
      <c r="BI54" s="69">
        <v>94111802</v>
      </c>
      <c r="BJ54" s="69" t="s">
        <v>1344</v>
      </c>
      <c r="BK54" s="54">
        <v>14175</v>
      </c>
    </row>
    <row r="55" spans="1:63">
      <c r="I55" s="143"/>
      <c r="K55" s="131"/>
      <c r="X55"/>
      <c r="AB55"/>
      <c r="AC55" s="69"/>
      <c r="AW55" s="143">
        <v>97073003</v>
      </c>
      <c r="AX55" t="s">
        <v>394</v>
      </c>
      <c r="AY55" s="124">
        <v>15120</v>
      </c>
      <c r="BA55">
        <v>96092701</v>
      </c>
      <c r="BB55" t="s">
        <v>2799</v>
      </c>
      <c r="BC55" s="145">
        <v>14175</v>
      </c>
      <c r="BE55">
        <v>95092801</v>
      </c>
      <c r="BF55" t="s">
        <v>1365</v>
      </c>
      <c r="BG55" s="120">
        <v>14175</v>
      </c>
      <c r="BI55" s="69">
        <v>94040405</v>
      </c>
      <c r="BJ55" s="69" t="s">
        <v>1345</v>
      </c>
      <c r="BK55" s="54">
        <v>12000</v>
      </c>
    </row>
    <row r="56" spans="1:63">
      <c r="X56" s="2"/>
      <c r="AB56" s="2"/>
      <c r="AC56" s="69"/>
      <c r="AD56" s="308"/>
      <c r="AW56" s="143">
        <v>97111801</v>
      </c>
      <c r="AX56" t="s">
        <v>395</v>
      </c>
      <c r="AY56" s="124">
        <v>14175</v>
      </c>
      <c r="BA56">
        <v>96092701</v>
      </c>
      <c r="BB56" t="s">
        <v>2800</v>
      </c>
      <c r="BC56" s="145">
        <v>14175</v>
      </c>
      <c r="BE56">
        <v>95092801</v>
      </c>
      <c r="BF56" t="s">
        <v>1366</v>
      </c>
      <c r="BG56" s="120">
        <v>14175</v>
      </c>
      <c r="BI56" s="69">
        <v>94040405</v>
      </c>
      <c r="BJ56" s="69" t="s">
        <v>1346</v>
      </c>
      <c r="BK56" s="54">
        <v>12000</v>
      </c>
    </row>
    <row r="57" spans="1:63">
      <c r="X57" s="2"/>
      <c r="AB57" s="2"/>
      <c r="AC57" s="69"/>
      <c r="AW57" s="143">
        <v>97111801</v>
      </c>
      <c r="AX57" t="s">
        <v>396</v>
      </c>
      <c r="AY57" s="124">
        <v>14175</v>
      </c>
      <c r="BA57">
        <v>96092701</v>
      </c>
      <c r="BB57" t="s">
        <v>2801</v>
      </c>
      <c r="BC57" s="145">
        <v>14175</v>
      </c>
      <c r="BE57">
        <v>95092801</v>
      </c>
      <c r="BF57" t="s">
        <v>1367</v>
      </c>
      <c r="BG57" s="120">
        <v>14175</v>
      </c>
      <c r="BI57" s="69">
        <v>94040405</v>
      </c>
      <c r="BJ57" s="69" t="s">
        <v>1347</v>
      </c>
      <c r="BK57" s="54">
        <v>12000</v>
      </c>
    </row>
    <row r="58" spans="1:63">
      <c r="X58"/>
      <c r="AB58"/>
      <c r="AC58" s="69"/>
      <c r="AW58" s="143">
        <v>97111801</v>
      </c>
      <c r="AX58" t="s">
        <v>397</v>
      </c>
      <c r="AY58" s="124">
        <v>14175</v>
      </c>
      <c r="BA58">
        <v>96092701</v>
      </c>
      <c r="BB58" t="s">
        <v>2802</v>
      </c>
      <c r="BC58" s="145">
        <v>14175</v>
      </c>
      <c r="BE58">
        <v>95092801</v>
      </c>
      <c r="BF58" t="s">
        <v>1368</v>
      </c>
      <c r="BG58" s="120">
        <v>14175</v>
      </c>
      <c r="BI58" s="69">
        <v>94040405</v>
      </c>
      <c r="BJ58" s="69" t="s">
        <v>1348</v>
      </c>
      <c r="BK58" s="54">
        <v>12000</v>
      </c>
    </row>
    <row r="59" spans="1:63">
      <c r="AW59" s="143">
        <v>97111801</v>
      </c>
      <c r="AX59" t="s">
        <v>398</v>
      </c>
      <c r="AY59" s="124">
        <v>14175</v>
      </c>
      <c r="BA59">
        <v>96092701</v>
      </c>
      <c r="BB59" t="s">
        <v>2803</v>
      </c>
      <c r="BC59" s="145">
        <v>14175</v>
      </c>
      <c r="BE59">
        <v>95092801</v>
      </c>
      <c r="BF59" t="s">
        <v>1369</v>
      </c>
      <c r="BG59" s="120">
        <v>14175</v>
      </c>
      <c r="BI59" s="69">
        <v>94040405</v>
      </c>
      <c r="BJ59" s="69" t="s">
        <v>1349</v>
      </c>
      <c r="BK59" s="54">
        <v>12000</v>
      </c>
    </row>
    <row r="60" spans="1:63">
      <c r="AW60" s="143">
        <v>97111801</v>
      </c>
      <c r="AX60" t="s">
        <v>399</v>
      </c>
      <c r="AY60" s="124">
        <v>14175</v>
      </c>
      <c r="BA60">
        <v>96092701</v>
      </c>
      <c r="BB60" t="s">
        <v>2804</v>
      </c>
      <c r="BC60" s="145">
        <v>14175</v>
      </c>
      <c r="BE60">
        <v>95092801</v>
      </c>
      <c r="BF60" t="s">
        <v>1370</v>
      </c>
      <c r="BG60" s="120">
        <v>14175</v>
      </c>
      <c r="BI60" s="69">
        <v>94040405</v>
      </c>
      <c r="BJ60" s="69" t="s">
        <v>1350</v>
      </c>
      <c r="BK60" s="54">
        <v>12000</v>
      </c>
    </row>
    <row r="61" spans="1:63">
      <c r="AW61" s="143">
        <v>97111801</v>
      </c>
      <c r="AX61" t="s">
        <v>400</v>
      </c>
      <c r="AY61" s="124">
        <v>14175</v>
      </c>
      <c r="BA61">
        <v>96030601</v>
      </c>
      <c r="BB61" t="s">
        <v>2805</v>
      </c>
      <c r="BC61" s="145">
        <v>16500</v>
      </c>
      <c r="BE61">
        <v>95012702</v>
      </c>
      <c r="BF61" t="s">
        <v>1371</v>
      </c>
      <c r="BG61" s="120">
        <v>14175</v>
      </c>
      <c r="BI61" s="69">
        <v>94122704</v>
      </c>
      <c r="BJ61" s="69" t="s">
        <v>1351</v>
      </c>
      <c r="BK61" s="54">
        <v>14175</v>
      </c>
    </row>
    <row r="62" spans="1:63">
      <c r="AW62" s="143">
        <v>97111801</v>
      </c>
      <c r="AX62" t="s">
        <v>401</v>
      </c>
      <c r="AY62" s="124">
        <v>14175</v>
      </c>
      <c r="BA62">
        <v>96030601</v>
      </c>
      <c r="BB62" t="s">
        <v>2806</v>
      </c>
      <c r="BC62" s="145">
        <v>16500</v>
      </c>
      <c r="BE62">
        <v>95012702</v>
      </c>
      <c r="BF62" t="s">
        <v>1372</v>
      </c>
      <c r="BG62" s="120">
        <v>14175</v>
      </c>
      <c r="BI62" s="72">
        <v>93062801</v>
      </c>
      <c r="BJ62" s="72" t="s">
        <v>229</v>
      </c>
      <c r="BK62" s="62">
        <v>8978</v>
      </c>
    </row>
    <row r="63" spans="1:63">
      <c r="AW63" s="143">
        <v>97051501</v>
      </c>
      <c r="AX63" t="s">
        <v>402</v>
      </c>
      <c r="AY63" s="124">
        <v>14175</v>
      </c>
      <c r="BA63">
        <v>96030601</v>
      </c>
      <c r="BB63" t="s">
        <v>2807</v>
      </c>
      <c r="BC63" s="145">
        <v>16500</v>
      </c>
      <c r="BE63">
        <v>95012702</v>
      </c>
      <c r="BF63" t="s">
        <v>10</v>
      </c>
      <c r="BG63" s="120">
        <v>14175</v>
      </c>
      <c r="BI63" s="72">
        <v>93060801</v>
      </c>
      <c r="BJ63" s="72" t="s">
        <v>230</v>
      </c>
      <c r="BK63" s="62">
        <v>13692</v>
      </c>
    </row>
    <row r="64" spans="1:63">
      <c r="AW64" s="158">
        <v>96122501</v>
      </c>
      <c r="AX64" s="144" t="s">
        <v>1524</v>
      </c>
      <c r="AY64" s="153">
        <v>14175</v>
      </c>
      <c r="BA64">
        <v>96030601</v>
      </c>
      <c r="BB64" t="s">
        <v>2808</v>
      </c>
      <c r="BC64" s="145">
        <v>16500</v>
      </c>
      <c r="BE64">
        <v>95012702</v>
      </c>
      <c r="BF64" t="s">
        <v>3610</v>
      </c>
      <c r="BG64" s="120">
        <v>14175</v>
      </c>
      <c r="BI64" s="69">
        <v>94063001</v>
      </c>
      <c r="BJ64" s="69" t="s">
        <v>1352</v>
      </c>
      <c r="BK64" s="54">
        <v>14175</v>
      </c>
    </row>
    <row r="65" spans="49:63">
      <c r="AW65" s="158">
        <v>96122501</v>
      </c>
      <c r="AX65" s="144" t="s">
        <v>1525</v>
      </c>
      <c r="AY65" s="153">
        <v>14175</v>
      </c>
      <c r="BA65" s="144">
        <v>95120701</v>
      </c>
      <c r="BB65" s="144" t="s">
        <v>1182</v>
      </c>
      <c r="BC65" s="62">
        <v>12600</v>
      </c>
      <c r="BE65">
        <v>95031510</v>
      </c>
      <c r="BF65" t="s">
        <v>3428</v>
      </c>
      <c r="BG65" s="121">
        <v>14175</v>
      </c>
      <c r="BI65" s="69">
        <v>94063001</v>
      </c>
      <c r="BJ65" s="69" t="s">
        <v>1353</v>
      </c>
      <c r="BK65" s="54">
        <v>14175</v>
      </c>
    </row>
    <row r="66" spans="49:63">
      <c r="AW66" s="158">
        <v>96122501</v>
      </c>
      <c r="AX66" s="144" t="s">
        <v>1526</v>
      </c>
      <c r="AY66" s="153">
        <v>14175</v>
      </c>
      <c r="BA66" s="144">
        <v>95120701</v>
      </c>
      <c r="BB66" s="144" t="s">
        <v>1183</v>
      </c>
      <c r="BC66" s="62">
        <v>12600</v>
      </c>
      <c r="BE66">
        <v>95031510</v>
      </c>
      <c r="BF66" t="s">
        <v>3429</v>
      </c>
      <c r="BG66" s="121">
        <v>14175</v>
      </c>
      <c r="BI66" s="69">
        <v>94072901</v>
      </c>
      <c r="BJ66" s="69" t="s">
        <v>1354</v>
      </c>
      <c r="BK66" s="54">
        <v>28350</v>
      </c>
    </row>
    <row r="67" spans="49:63">
      <c r="AW67" s="158">
        <v>96021507</v>
      </c>
      <c r="AX67" s="144" t="s">
        <v>403</v>
      </c>
      <c r="AY67" s="153">
        <v>14175</v>
      </c>
      <c r="BA67" s="144">
        <v>95120701</v>
      </c>
      <c r="BB67" s="144" t="s">
        <v>1184</v>
      </c>
      <c r="BC67" s="62">
        <v>12600</v>
      </c>
      <c r="BE67">
        <v>95031510</v>
      </c>
      <c r="BF67" t="s">
        <v>3430</v>
      </c>
      <c r="BG67" s="121">
        <v>14175</v>
      </c>
      <c r="BI67" s="69">
        <v>94072901</v>
      </c>
      <c r="BJ67" s="69" t="s">
        <v>2627</v>
      </c>
      <c r="BK67" s="54">
        <v>28350</v>
      </c>
    </row>
    <row r="68" spans="49:63">
      <c r="AW68" s="158">
        <v>96021507</v>
      </c>
      <c r="AX68" s="144" t="s">
        <v>1531</v>
      </c>
      <c r="AY68" s="153">
        <v>14175</v>
      </c>
      <c r="BA68" s="144">
        <v>95120702</v>
      </c>
      <c r="BB68" s="144" t="s">
        <v>1185</v>
      </c>
      <c r="BC68" s="62">
        <v>12600</v>
      </c>
      <c r="BE68">
        <v>95031510</v>
      </c>
      <c r="BF68" t="s">
        <v>3431</v>
      </c>
      <c r="BG68" s="121">
        <v>14175</v>
      </c>
      <c r="BI68" s="69">
        <v>94052501</v>
      </c>
      <c r="BJ68" s="69" t="s">
        <v>2628</v>
      </c>
      <c r="BK68" s="54">
        <v>14175</v>
      </c>
    </row>
    <row r="69" spans="49:63">
      <c r="AW69" s="158">
        <v>96021507</v>
      </c>
      <c r="AX69" s="144" t="s">
        <v>2921</v>
      </c>
      <c r="AY69" s="153">
        <v>14175</v>
      </c>
      <c r="BA69" s="144">
        <v>95120702</v>
      </c>
      <c r="BB69" s="144" t="s">
        <v>1186</v>
      </c>
      <c r="BC69" s="62">
        <v>12600</v>
      </c>
      <c r="BE69">
        <v>95021701</v>
      </c>
      <c r="BF69" t="s">
        <v>3611</v>
      </c>
      <c r="BG69" s="120">
        <v>13500</v>
      </c>
      <c r="BI69" s="69">
        <v>94052501</v>
      </c>
      <c r="BJ69" s="69" t="s">
        <v>2629</v>
      </c>
      <c r="BK69" s="54">
        <v>14175</v>
      </c>
    </row>
    <row r="70" spans="49:63">
      <c r="AW70" s="158">
        <v>96021507</v>
      </c>
      <c r="AX70" s="144" t="s">
        <v>2922</v>
      </c>
      <c r="AY70" s="153">
        <v>14175</v>
      </c>
      <c r="BA70">
        <v>96111401</v>
      </c>
      <c r="BB70" t="s">
        <v>2809</v>
      </c>
      <c r="BC70" s="145">
        <v>14175</v>
      </c>
      <c r="BE70">
        <v>95021701</v>
      </c>
      <c r="BF70" t="s">
        <v>3612</v>
      </c>
      <c r="BG70" s="120">
        <v>13500</v>
      </c>
      <c r="BI70" s="69">
        <v>94052501</v>
      </c>
      <c r="BJ70" s="69" t="s">
        <v>2630</v>
      </c>
      <c r="BK70" s="54">
        <v>14175</v>
      </c>
    </row>
    <row r="71" spans="49:63">
      <c r="AW71" s="143">
        <v>97092204</v>
      </c>
      <c r="AX71" t="s">
        <v>404</v>
      </c>
      <c r="AY71" s="124">
        <v>14175</v>
      </c>
      <c r="BA71">
        <v>96111401</v>
      </c>
      <c r="BB71" t="s">
        <v>2810</v>
      </c>
      <c r="BC71" s="145">
        <v>14175</v>
      </c>
      <c r="BE71">
        <v>95021701</v>
      </c>
      <c r="BF71" t="s">
        <v>3613</v>
      </c>
      <c r="BG71" s="120">
        <v>13500</v>
      </c>
      <c r="BI71" s="69">
        <v>94052501</v>
      </c>
      <c r="BJ71" s="69" t="s">
        <v>2631</v>
      </c>
      <c r="BK71" s="54">
        <v>14175</v>
      </c>
    </row>
    <row r="72" spans="49:63">
      <c r="AW72" s="143">
        <v>97092204</v>
      </c>
      <c r="AX72" t="s">
        <v>405</v>
      </c>
      <c r="AY72" s="124">
        <v>14175</v>
      </c>
      <c r="BA72">
        <v>96111401</v>
      </c>
      <c r="BB72" t="s">
        <v>2811</v>
      </c>
      <c r="BC72" s="145">
        <v>14175</v>
      </c>
      <c r="BE72">
        <v>95021701</v>
      </c>
      <c r="BF72" t="s">
        <v>3614</v>
      </c>
      <c r="BG72" s="120">
        <v>13500</v>
      </c>
      <c r="BI72" s="69">
        <v>94052501</v>
      </c>
      <c r="BJ72" s="69" t="s">
        <v>2632</v>
      </c>
      <c r="BK72" s="54">
        <v>14175</v>
      </c>
    </row>
    <row r="73" spans="49:63">
      <c r="AW73" s="143">
        <v>97092204</v>
      </c>
      <c r="AX73" t="s">
        <v>406</v>
      </c>
      <c r="AY73" s="124">
        <v>14175</v>
      </c>
      <c r="BA73">
        <v>96111401</v>
      </c>
      <c r="BB73" t="s">
        <v>2812</v>
      </c>
      <c r="BC73" s="145">
        <v>14175</v>
      </c>
      <c r="BE73" s="72">
        <v>94042901</v>
      </c>
      <c r="BF73" s="72" t="s">
        <v>1324</v>
      </c>
      <c r="BG73" s="62">
        <v>13500</v>
      </c>
      <c r="BI73" s="72">
        <v>93052801</v>
      </c>
      <c r="BJ73" s="72" t="s">
        <v>231</v>
      </c>
      <c r="BK73" s="62">
        <v>17955</v>
      </c>
    </row>
    <row r="74" spans="49:63">
      <c r="AW74" s="143">
        <v>97092204</v>
      </c>
      <c r="AX74" t="s">
        <v>407</v>
      </c>
      <c r="AY74" s="124">
        <v>14175</v>
      </c>
      <c r="BA74">
        <v>96111401</v>
      </c>
      <c r="BB74" t="s">
        <v>2813</v>
      </c>
      <c r="BC74" s="145">
        <v>14175</v>
      </c>
      <c r="BE74" s="72">
        <v>94081601</v>
      </c>
      <c r="BF74" s="72" t="s">
        <v>1329</v>
      </c>
      <c r="BG74" s="62">
        <v>14175</v>
      </c>
      <c r="BI74" s="72">
        <v>93052801</v>
      </c>
      <c r="BJ74" s="72" t="s">
        <v>232</v>
      </c>
      <c r="BK74" s="62">
        <v>17955</v>
      </c>
    </row>
    <row r="75" spans="49:63">
      <c r="AW75" s="143">
        <v>97092204</v>
      </c>
      <c r="AX75" t="s">
        <v>408</v>
      </c>
      <c r="AY75" s="124">
        <v>14175</v>
      </c>
      <c r="BA75">
        <v>96111401</v>
      </c>
      <c r="BB75" t="s">
        <v>2814</v>
      </c>
      <c r="BC75" s="145">
        <v>14175</v>
      </c>
      <c r="BE75" s="72">
        <v>94081601</v>
      </c>
      <c r="BF75" s="72" t="s">
        <v>1330</v>
      </c>
      <c r="BG75" s="62">
        <v>14175</v>
      </c>
      <c r="BI75" s="69">
        <v>94111805</v>
      </c>
      <c r="BJ75" s="69" t="s">
        <v>2633</v>
      </c>
      <c r="BK75" s="54">
        <v>14175</v>
      </c>
    </row>
    <row r="76" spans="49:63">
      <c r="AW76" s="143">
        <v>97092204</v>
      </c>
      <c r="AX76" t="s">
        <v>409</v>
      </c>
      <c r="AY76" s="124">
        <v>14175</v>
      </c>
      <c r="BA76">
        <v>96111401</v>
      </c>
      <c r="BB76" t="s">
        <v>2815</v>
      </c>
      <c r="BC76" s="145">
        <v>14175</v>
      </c>
      <c r="BE76" s="72">
        <v>94121201</v>
      </c>
      <c r="BF76" s="72" t="s">
        <v>1335</v>
      </c>
      <c r="BG76" s="62">
        <v>14175</v>
      </c>
      <c r="BI76" s="69">
        <v>94111805</v>
      </c>
      <c r="BJ76" s="69" t="s">
        <v>1988</v>
      </c>
      <c r="BK76" s="54">
        <v>14175</v>
      </c>
    </row>
    <row r="77" spans="49:63">
      <c r="AW77" s="143">
        <v>97092205</v>
      </c>
      <c r="AX77" t="s">
        <v>410</v>
      </c>
      <c r="AY77" s="124">
        <v>14175</v>
      </c>
      <c r="BA77">
        <v>96111402</v>
      </c>
      <c r="BB77" t="s">
        <v>2816</v>
      </c>
      <c r="BC77" s="145">
        <v>14175</v>
      </c>
      <c r="BE77" s="72">
        <v>94121201</v>
      </c>
      <c r="BF77" s="72" t="s">
        <v>1336</v>
      </c>
      <c r="BG77" s="62">
        <v>14175</v>
      </c>
      <c r="BI77" s="69">
        <v>94111805</v>
      </c>
      <c r="BJ77" s="69" t="s">
        <v>1989</v>
      </c>
      <c r="BK77" s="54">
        <v>14175</v>
      </c>
    </row>
    <row r="78" spans="49:63">
      <c r="AW78" s="158">
        <v>96110501</v>
      </c>
      <c r="AX78" s="144" t="s">
        <v>2795</v>
      </c>
      <c r="AY78" s="153">
        <v>15750</v>
      </c>
      <c r="BA78">
        <v>96092901</v>
      </c>
      <c r="BB78" t="s">
        <v>2817</v>
      </c>
      <c r="BC78" s="145">
        <v>14175</v>
      </c>
      <c r="BE78" s="72">
        <v>94121201</v>
      </c>
      <c r="BF78" s="72" t="s">
        <v>1337</v>
      </c>
      <c r="BG78" s="62">
        <v>14175</v>
      </c>
      <c r="BI78" s="69">
        <v>94111805</v>
      </c>
      <c r="BJ78" s="69" t="s">
        <v>1990</v>
      </c>
      <c r="BK78" s="54">
        <v>14175</v>
      </c>
    </row>
    <row r="79" spans="49:63">
      <c r="AW79" s="158">
        <v>96110501</v>
      </c>
      <c r="AX79" s="144" t="s">
        <v>2796</v>
      </c>
      <c r="AY79" s="153">
        <v>15750</v>
      </c>
      <c r="BA79">
        <v>96092901</v>
      </c>
      <c r="BB79" t="s">
        <v>2818</v>
      </c>
      <c r="BC79" s="145">
        <v>14175</v>
      </c>
      <c r="BE79">
        <v>95102301</v>
      </c>
      <c r="BF79" t="s">
        <v>3615</v>
      </c>
      <c r="BG79" s="120">
        <v>14175</v>
      </c>
      <c r="BI79" s="69">
        <v>94111805</v>
      </c>
      <c r="BJ79" s="69" t="s">
        <v>1991</v>
      </c>
      <c r="BK79" s="54">
        <v>14175</v>
      </c>
    </row>
    <row r="80" spans="49:63">
      <c r="AW80" s="158">
        <v>96110501</v>
      </c>
      <c r="AX80" s="144" t="s">
        <v>2797</v>
      </c>
      <c r="AY80" s="153">
        <v>15750</v>
      </c>
      <c r="BA80">
        <v>96092901</v>
      </c>
      <c r="BB80" t="s">
        <v>2819</v>
      </c>
      <c r="BC80" s="145">
        <v>14175</v>
      </c>
      <c r="BE80">
        <v>95102301</v>
      </c>
      <c r="BF80" t="s">
        <v>3616</v>
      </c>
      <c r="BG80" s="120">
        <v>14175</v>
      </c>
      <c r="BI80" s="69">
        <v>94111805</v>
      </c>
      <c r="BJ80" s="69" t="s">
        <v>1992</v>
      </c>
      <c r="BK80" s="54">
        <v>14175</v>
      </c>
    </row>
    <row r="81" spans="49:63">
      <c r="AW81" s="158">
        <v>96092701</v>
      </c>
      <c r="AX81" s="144" t="s">
        <v>2802</v>
      </c>
      <c r="AY81" s="153">
        <v>14175</v>
      </c>
      <c r="BA81">
        <v>96092901</v>
      </c>
      <c r="BB81" t="s">
        <v>2820</v>
      </c>
      <c r="BC81" s="145">
        <v>14175</v>
      </c>
      <c r="BE81">
        <v>95102301</v>
      </c>
      <c r="BF81" t="s">
        <v>3617</v>
      </c>
      <c r="BG81" s="120">
        <v>14175</v>
      </c>
      <c r="BI81" s="69">
        <v>94111805</v>
      </c>
      <c r="BJ81" s="69" t="s">
        <v>1993</v>
      </c>
      <c r="BK81" s="54">
        <v>14175</v>
      </c>
    </row>
    <row r="82" spans="49:63">
      <c r="AW82" s="158">
        <v>96092701</v>
      </c>
      <c r="AX82" s="144" t="s">
        <v>2803</v>
      </c>
      <c r="AY82" s="153">
        <v>14175</v>
      </c>
      <c r="BA82">
        <v>96092901</v>
      </c>
      <c r="BB82" t="s">
        <v>2821</v>
      </c>
      <c r="BC82" s="145">
        <v>14175</v>
      </c>
      <c r="BE82">
        <v>95102301</v>
      </c>
      <c r="BF82" t="s">
        <v>3618</v>
      </c>
      <c r="BG82" s="120">
        <v>14175</v>
      </c>
      <c r="BI82" s="69">
        <v>94061401</v>
      </c>
      <c r="BJ82" s="69" t="s">
        <v>1994</v>
      </c>
      <c r="BK82" s="54">
        <v>14175</v>
      </c>
    </row>
    <row r="83" spans="49:63">
      <c r="AW83" s="158">
        <v>96092701</v>
      </c>
      <c r="AX83" s="144" t="s">
        <v>2804</v>
      </c>
      <c r="AY83" s="153">
        <v>14175</v>
      </c>
      <c r="BA83">
        <v>96092901</v>
      </c>
      <c r="BB83" t="s">
        <v>2822</v>
      </c>
      <c r="BC83" s="145">
        <v>14175</v>
      </c>
      <c r="BE83">
        <v>95102301</v>
      </c>
      <c r="BF83" t="s">
        <v>3619</v>
      </c>
      <c r="BG83" s="120">
        <v>14175</v>
      </c>
      <c r="BI83" s="69">
        <v>94061401</v>
      </c>
      <c r="BJ83" s="69" t="s">
        <v>1995</v>
      </c>
      <c r="BK83" s="54">
        <v>14175</v>
      </c>
    </row>
    <row r="84" spans="49:63">
      <c r="AW84" s="158">
        <v>95120702</v>
      </c>
      <c r="AX84" s="144" t="s">
        <v>1186</v>
      </c>
      <c r="AY84" s="62">
        <v>12600</v>
      </c>
      <c r="BA84">
        <v>96092901</v>
      </c>
      <c r="BB84" t="s">
        <v>2823</v>
      </c>
      <c r="BC84" s="145">
        <v>14175</v>
      </c>
      <c r="BE84">
        <v>95102301</v>
      </c>
      <c r="BF84" t="s">
        <v>3620</v>
      </c>
      <c r="BG84" s="120">
        <v>14175</v>
      </c>
      <c r="BI84" s="69">
        <v>94061401</v>
      </c>
      <c r="BJ84" s="69" t="s">
        <v>1996</v>
      </c>
      <c r="BK84" s="54">
        <v>14175</v>
      </c>
    </row>
    <row r="85" spans="49:63">
      <c r="AW85" s="158">
        <v>96111401</v>
      </c>
      <c r="AX85" s="144" t="s">
        <v>2813</v>
      </c>
      <c r="AY85" s="153">
        <v>14175</v>
      </c>
      <c r="BA85" s="144">
        <v>95071101</v>
      </c>
      <c r="BB85" s="144" t="s">
        <v>1191</v>
      </c>
      <c r="BC85" s="62">
        <v>14175</v>
      </c>
      <c r="BE85">
        <v>95102301</v>
      </c>
      <c r="BF85" t="s">
        <v>3621</v>
      </c>
      <c r="BG85" s="120">
        <v>14175</v>
      </c>
      <c r="BI85" s="69">
        <v>94061401</v>
      </c>
      <c r="BJ85" s="69" t="s">
        <v>1997</v>
      </c>
      <c r="BK85" s="54">
        <v>14175</v>
      </c>
    </row>
    <row r="86" spans="49:63">
      <c r="AW86" s="158">
        <v>96111401</v>
      </c>
      <c r="AX86" s="144" t="s">
        <v>2814</v>
      </c>
      <c r="AY86" s="153">
        <v>14175</v>
      </c>
      <c r="BA86" s="144">
        <v>95071101</v>
      </c>
      <c r="BB86" s="144" t="s">
        <v>1192</v>
      </c>
      <c r="BC86" s="62">
        <v>14175</v>
      </c>
      <c r="BE86" s="72">
        <v>94111802</v>
      </c>
      <c r="BF86" s="72" t="s">
        <v>1342</v>
      </c>
      <c r="BG86" s="62">
        <v>14175</v>
      </c>
      <c r="BI86" s="69">
        <v>94061401</v>
      </c>
      <c r="BJ86" s="69" t="s">
        <v>1998</v>
      </c>
      <c r="BK86" s="54">
        <v>14175</v>
      </c>
    </row>
    <row r="87" spans="49:63">
      <c r="AW87" s="158">
        <v>96111401</v>
      </c>
      <c r="AX87" s="144" t="s">
        <v>2815</v>
      </c>
      <c r="AY87" s="153">
        <v>14175</v>
      </c>
      <c r="BA87" s="144">
        <v>95042402</v>
      </c>
      <c r="BB87" s="144" t="s">
        <v>1197</v>
      </c>
      <c r="BC87" s="62">
        <v>14175</v>
      </c>
      <c r="BE87" s="72">
        <v>94111802</v>
      </c>
      <c r="BF87" s="72" t="s">
        <v>1343</v>
      </c>
      <c r="BG87" s="62">
        <v>14175</v>
      </c>
      <c r="BI87" s="69">
        <v>94061401</v>
      </c>
      <c r="BJ87" s="69" t="s">
        <v>1999</v>
      </c>
      <c r="BK87" s="54">
        <v>14175</v>
      </c>
    </row>
    <row r="88" spans="49:63">
      <c r="AW88" s="158">
        <v>96111402</v>
      </c>
      <c r="AX88" s="144" t="s">
        <v>2816</v>
      </c>
      <c r="AY88" s="153">
        <v>14175</v>
      </c>
      <c r="BA88">
        <v>96032902</v>
      </c>
      <c r="BB88" t="s">
        <v>2824</v>
      </c>
      <c r="BC88" s="145">
        <v>14175</v>
      </c>
      <c r="BE88" s="72">
        <v>94111802</v>
      </c>
      <c r="BF88" s="72" t="s">
        <v>1344</v>
      </c>
      <c r="BG88" s="62">
        <v>14175</v>
      </c>
      <c r="BI88" s="69">
        <v>94040401</v>
      </c>
      <c r="BJ88" s="69" t="s">
        <v>2000</v>
      </c>
      <c r="BK88" s="54">
        <v>14175</v>
      </c>
    </row>
    <row r="89" spans="49:63">
      <c r="AW89" s="158">
        <v>96092901</v>
      </c>
      <c r="AX89" s="144" t="s">
        <v>2821</v>
      </c>
      <c r="AY89" s="153">
        <v>14175</v>
      </c>
      <c r="BA89">
        <v>96032902</v>
      </c>
      <c r="BB89" t="s">
        <v>2825</v>
      </c>
      <c r="BC89" s="145">
        <v>14175</v>
      </c>
      <c r="BE89">
        <v>95072101</v>
      </c>
      <c r="BF89" t="s">
        <v>3622</v>
      </c>
      <c r="BG89" s="120">
        <v>14175</v>
      </c>
      <c r="BI89" s="69">
        <v>94040401</v>
      </c>
      <c r="BJ89" s="69" t="s">
        <v>2001</v>
      </c>
      <c r="BK89" s="54">
        <v>14175</v>
      </c>
    </row>
    <row r="90" spans="49:63">
      <c r="AW90" s="158">
        <v>96092901</v>
      </c>
      <c r="AX90" s="144" t="s">
        <v>2822</v>
      </c>
      <c r="AY90" s="153">
        <v>14175</v>
      </c>
      <c r="BA90">
        <v>96032902</v>
      </c>
      <c r="BB90" t="s">
        <v>2826</v>
      </c>
      <c r="BC90" s="145">
        <v>14175</v>
      </c>
      <c r="BE90">
        <v>95072101</v>
      </c>
      <c r="BF90" t="s">
        <v>3623</v>
      </c>
      <c r="BG90" s="120">
        <v>14175</v>
      </c>
      <c r="BI90" s="69">
        <v>94040401</v>
      </c>
      <c r="BJ90" s="69" t="s">
        <v>2002</v>
      </c>
      <c r="BK90" s="54">
        <v>14175</v>
      </c>
    </row>
    <row r="91" spans="49:63">
      <c r="AW91" s="158">
        <v>96092901</v>
      </c>
      <c r="AX91" s="144" t="s">
        <v>2823</v>
      </c>
      <c r="AY91" s="153">
        <v>14175</v>
      </c>
      <c r="BA91">
        <v>96032902</v>
      </c>
      <c r="BB91" t="s">
        <v>2827</v>
      </c>
      <c r="BC91" s="145">
        <v>14175</v>
      </c>
      <c r="BE91">
        <v>95072101</v>
      </c>
      <c r="BF91" t="s">
        <v>3624</v>
      </c>
      <c r="BG91" s="120">
        <v>14175</v>
      </c>
      <c r="BI91" s="69">
        <v>94040401</v>
      </c>
      <c r="BJ91" s="69" t="s">
        <v>2003</v>
      </c>
      <c r="BK91" s="54">
        <v>14175</v>
      </c>
    </row>
    <row r="92" spans="49:63">
      <c r="AW92" s="143">
        <v>97042301</v>
      </c>
      <c r="AX92" t="s">
        <v>582</v>
      </c>
      <c r="AY92" s="124">
        <v>14175</v>
      </c>
      <c r="BA92">
        <v>96032902</v>
      </c>
      <c r="BB92" t="s">
        <v>2828</v>
      </c>
      <c r="BC92" s="145">
        <v>14175</v>
      </c>
      <c r="BE92">
        <v>95072101</v>
      </c>
      <c r="BF92" t="s">
        <v>3625</v>
      </c>
      <c r="BG92" s="120">
        <v>14175</v>
      </c>
      <c r="BI92" s="69">
        <v>94040401</v>
      </c>
      <c r="BJ92" s="69" t="s">
        <v>2004</v>
      </c>
      <c r="BK92" s="54">
        <v>14175</v>
      </c>
    </row>
    <row r="93" spans="49:63">
      <c r="AW93" s="143">
        <v>97042301</v>
      </c>
      <c r="AX93" t="s">
        <v>583</v>
      </c>
      <c r="AY93" s="124">
        <v>14175</v>
      </c>
      <c r="BA93">
        <v>96100501</v>
      </c>
      <c r="BB93" t="s">
        <v>2379</v>
      </c>
      <c r="BC93" s="145">
        <v>14175</v>
      </c>
      <c r="BE93">
        <v>95072101</v>
      </c>
      <c r="BF93" t="s">
        <v>3626</v>
      </c>
      <c r="BG93" s="120">
        <v>14175</v>
      </c>
      <c r="BI93" s="69">
        <v>94092001</v>
      </c>
      <c r="BJ93" s="69" t="s">
        <v>2005</v>
      </c>
      <c r="BK93" s="54">
        <v>14175</v>
      </c>
    </row>
    <row r="94" spans="49:63">
      <c r="AW94" s="143">
        <v>97042301</v>
      </c>
      <c r="AX94" t="s">
        <v>584</v>
      </c>
      <c r="AY94" s="124">
        <v>14175</v>
      </c>
      <c r="BA94">
        <v>96100501</v>
      </c>
      <c r="BB94" t="s">
        <v>2380</v>
      </c>
      <c r="BC94" s="145">
        <v>14175</v>
      </c>
      <c r="BE94" s="72">
        <v>94040405</v>
      </c>
      <c r="BF94" s="72" t="s">
        <v>1348</v>
      </c>
      <c r="BG94" s="62">
        <v>12000</v>
      </c>
      <c r="BI94" s="69">
        <v>94092001</v>
      </c>
      <c r="BJ94" s="69" t="s">
        <v>2006</v>
      </c>
      <c r="BK94" s="54">
        <v>14175</v>
      </c>
    </row>
    <row r="95" spans="49:63">
      <c r="AW95" s="143">
        <v>97042301</v>
      </c>
      <c r="AX95" t="s">
        <v>585</v>
      </c>
      <c r="AY95" s="124">
        <v>14175</v>
      </c>
      <c r="BA95">
        <v>96100501</v>
      </c>
      <c r="BB95" t="s">
        <v>2381</v>
      </c>
      <c r="BC95" s="145">
        <v>14175</v>
      </c>
      <c r="BE95" s="72">
        <v>94040405</v>
      </c>
      <c r="BF95" s="72" t="s">
        <v>1349</v>
      </c>
      <c r="BG95" s="62">
        <v>12000</v>
      </c>
      <c r="BI95" s="69">
        <v>94091301</v>
      </c>
      <c r="BJ95" s="69" t="s">
        <v>11</v>
      </c>
      <c r="BK95" s="54">
        <v>14175</v>
      </c>
    </row>
    <row r="96" spans="49:63">
      <c r="AW96" s="143">
        <v>97042302</v>
      </c>
      <c r="AX96" t="s">
        <v>586</v>
      </c>
      <c r="AY96" s="124">
        <v>14175</v>
      </c>
      <c r="BA96">
        <v>96100501</v>
      </c>
      <c r="BB96" t="s">
        <v>2382</v>
      </c>
      <c r="BC96" s="145">
        <v>14175</v>
      </c>
      <c r="BE96" s="72">
        <v>94040405</v>
      </c>
      <c r="BF96" s="72" t="s">
        <v>1350</v>
      </c>
      <c r="BG96" s="62">
        <v>12000</v>
      </c>
      <c r="BI96" s="69">
        <v>94091301</v>
      </c>
      <c r="BJ96" s="69" t="s">
        <v>12</v>
      </c>
      <c r="BK96" s="54">
        <v>14175</v>
      </c>
    </row>
    <row r="97" spans="49:63">
      <c r="AW97" s="158">
        <v>96032902</v>
      </c>
      <c r="AX97" s="144" t="s">
        <v>2828</v>
      </c>
      <c r="AY97" s="153">
        <v>14175</v>
      </c>
      <c r="BA97">
        <v>96100501</v>
      </c>
      <c r="BB97" t="s">
        <v>2383</v>
      </c>
      <c r="BC97" s="145">
        <v>14175</v>
      </c>
      <c r="BE97">
        <v>95041108</v>
      </c>
      <c r="BF97" t="s">
        <v>3627</v>
      </c>
      <c r="BG97" s="120">
        <v>14175</v>
      </c>
      <c r="BI97" s="69">
        <v>94091301</v>
      </c>
      <c r="BJ97" s="69" t="s">
        <v>13</v>
      </c>
      <c r="BK97" s="54">
        <v>14175</v>
      </c>
    </row>
    <row r="98" spans="49:63">
      <c r="AW98" s="158">
        <v>96100501</v>
      </c>
      <c r="AX98" s="144" t="s">
        <v>2383</v>
      </c>
      <c r="AY98" s="153">
        <v>14175</v>
      </c>
      <c r="BA98">
        <v>96100501</v>
      </c>
      <c r="BB98" t="s">
        <v>1534</v>
      </c>
      <c r="BC98" s="145">
        <v>14175</v>
      </c>
      <c r="BE98">
        <v>95041108</v>
      </c>
      <c r="BF98" t="s">
        <v>3628</v>
      </c>
      <c r="BG98" s="120">
        <v>14175</v>
      </c>
      <c r="BI98" s="69">
        <v>94091301</v>
      </c>
      <c r="BJ98" s="69" t="s">
        <v>14</v>
      </c>
      <c r="BK98" s="54">
        <v>14175</v>
      </c>
    </row>
    <row r="99" spans="49:63">
      <c r="AW99" s="158">
        <v>96100501</v>
      </c>
      <c r="AX99" s="144" t="s">
        <v>1534</v>
      </c>
      <c r="AY99" s="153">
        <v>14175</v>
      </c>
      <c r="BA99">
        <v>96100501</v>
      </c>
      <c r="BB99" t="s">
        <v>1535</v>
      </c>
      <c r="BC99" s="145">
        <v>14175</v>
      </c>
      <c r="BE99">
        <v>95041108</v>
      </c>
      <c r="BF99" t="s">
        <v>3629</v>
      </c>
      <c r="BG99" s="120">
        <v>14175</v>
      </c>
      <c r="BI99" s="69">
        <v>94091301</v>
      </c>
      <c r="BJ99" s="69" t="s">
        <v>15</v>
      </c>
      <c r="BK99" s="54">
        <v>14175</v>
      </c>
    </row>
    <row r="100" spans="49:63">
      <c r="AW100" s="158">
        <v>96100501</v>
      </c>
      <c r="AX100" s="144" t="s">
        <v>1535</v>
      </c>
      <c r="AY100" s="153">
        <v>14175</v>
      </c>
      <c r="BA100">
        <v>96121301</v>
      </c>
      <c r="BB100" t="s">
        <v>1536</v>
      </c>
      <c r="BC100" s="145">
        <v>14175</v>
      </c>
      <c r="BE100">
        <v>95041108</v>
      </c>
      <c r="BF100" t="s">
        <v>3630</v>
      </c>
      <c r="BG100" s="120">
        <v>14175</v>
      </c>
      <c r="BI100" s="72">
        <v>93092102</v>
      </c>
      <c r="BJ100" s="72" t="s">
        <v>233</v>
      </c>
      <c r="BK100" s="62">
        <v>14175</v>
      </c>
    </row>
    <row r="101" spans="49:63">
      <c r="AW101" s="158">
        <v>96121301</v>
      </c>
      <c r="AX101" s="144" t="s">
        <v>1541</v>
      </c>
      <c r="AY101" s="153">
        <v>14175</v>
      </c>
      <c r="BA101">
        <v>96121301</v>
      </c>
      <c r="BB101" t="s">
        <v>1537</v>
      </c>
      <c r="BC101" s="145">
        <v>14175</v>
      </c>
      <c r="BE101">
        <v>95041108</v>
      </c>
      <c r="BF101" t="s">
        <v>3631</v>
      </c>
      <c r="BG101" s="120">
        <v>14175</v>
      </c>
      <c r="BI101" s="72">
        <v>93092102</v>
      </c>
      <c r="BJ101" s="72" t="s">
        <v>234</v>
      </c>
      <c r="BK101" s="62">
        <v>14175</v>
      </c>
    </row>
    <row r="102" spans="49:63">
      <c r="AW102" s="158">
        <v>96121301</v>
      </c>
      <c r="AX102" s="144" t="s">
        <v>1542</v>
      </c>
      <c r="AY102" s="153">
        <v>14175</v>
      </c>
      <c r="BA102">
        <v>96121301</v>
      </c>
      <c r="BB102" t="s">
        <v>1538</v>
      </c>
      <c r="BC102" s="145">
        <v>14175</v>
      </c>
      <c r="BE102">
        <v>95041108</v>
      </c>
      <c r="BF102" t="s">
        <v>3632</v>
      </c>
      <c r="BG102" s="120">
        <v>14175</v>
      </c>
      <c r="BI102" s="72">
        <v>93042803</v>
      </c>
      <c r="BJ102" s="72" t="s">
        <v>235</v>
      </c>
      <c r="BK102" s="62">
        <v>14175</v>
      </c>
    </row>
    <row r="103" spans="49:63">
      <c r="AW103" s="158">
        <v>96121301</v>
      </c>
      <c r="AX103" s="144" t="s">
        <v>1543</v>
      </c>
      <c r="AY103" s="153">
        <v>14175</v>
      </c>
      <c r="BA103">
        <v>96121301</v>
      </c>
      <c r="BB103" t="s">
        <v>1540</v>
      </c>
      <c r="BC103" s="145">
        <v>14175</v>
      </c>
      <c r="BE103">
        <v>95071401</v>
      </c>
      <c r="BF103" t="s">
        <v>3633</v>
      </c>
      <c r="BG103" s="120">
        <v>14175</v>
      </c>
      <c r="BI103" s="72">
        <v>93112403</v>
      </c>
      <c r="BJ103" s="72" t="s">
        <v>236</v>
      </c>
      <c r="BK103" s="62">
        <v>14175</v>
      </c>
    </row>
    <row r="104" spans="49:63">
      <c r="AW104" s="158">
        <v>96123102</v>
      </c>
      <c r="AX104" s="144" t="s">
        <v>1548</v>
      </c>
      <c r="AY104" s="153">
        <v>14175</v>
      </c>
      <c r="BA104">
        <v>96121301</v>
      </c>
      <c r="BB104" t="s">
        <v>1541</v>
      </c>
      <c r="BC104" s="145">
        <v>14175</v>
      </c>
      <c r="BE104">
        <v>95071401</v>
      </c>
      <c r="BF104" t="s">
        <v>3634</v>
      </c>
      <c r="BG104" s="120">
        <v>14175</v>
      </c>
      <c r="BI104" s="72">
        <v>93112403</v>
      </c>
      <c r="BJ104" s="72" t="s">
        <v>237</v>
      </c>
      <c r="BK104" s="62">
        <v>14175</v>
      </c>
    </row>
    <row r="105" spans="49:63">
      <c r="AW105" s="158">
        <v>96123102</v>
      </c>
      <c r="AX105" s="144" t="s">
        <v>1549</v>
      </c>
      <c r="AY105" s="153">
        <v>14175</v>
      </c>
      <c r="BA105">
        <v>96121301</v>
      </c>
      <c r="BB105" t="s">
        <v>1542</v>
      </c>
      <c r="BC105" s="145">
        <v>14175</v>
      </c>
      <c r="BE105">
        <v>95022402</v>
      </c>
      <c r="BF105" t="s">
        <v>3635</v>
      </c>
      <c r="BG105" s="120">
        <v>14175</v>
      </c>
      <c r="BI105" s="72">
        <v>93112403</v>
      </c>
      <c r="BJ105" s="72" t="s">
        <v>238</v>
      </c>
      <c r="BK105" s="62">
        <v>14175</v>
      </c>
    </row>
    <row r="106" spans="49:63">
      <c r="AW106" s="158">
        <v>96123102</v>
      </c>
      <c r="AX106" s="144" t="s">
        <v>1550</v>
      </c>
      <c r="AY106" s="153">
        <v>14175</v>
      </c>
      <c r="BA106">
        <v>96121301</v>
      </c>
      <c r="BB106" t="s">
        <v>1543</v>
      </c>
      <c r="BC106" s="145">
        <v>14175</v>
      </c>
      <c r="BE106">
        <v>95022402</v>
      </c>
      <c r="BF106" t="s">
        <v>3636</v>
      </c>
      <c r="BG106" s="120">
        <v>14175</v>
      </c>
      <c r="BI106" s="72">
        <v>93090101</v>
      </c>
      <c r="BJ106" s="72" t="s">
        <v>239</v>
      </c>
      <c r="BK106" s="62">
        <v>8900</v>
      </c>
    </row>
    <row r="107" spans="49:63">
      <c r="AW107" s="158">
        <v>96123102</v>
      </c>
      <c r="AX107" s="144" t="s">
        <v>1551</v>
      </c>
      <c r="AY107" s="153">
        <v>14175</v>
      </c>
      <c r="BA107">
        <v>96123107</v>
      </c>
      <c r="BB107" t="s">
        <v>1544</v>
      </c>
      <c r="BC107" s="145">
        <v>14175</v>
      </c>
      <c r="BE107">
        <v>95022402</v>
      </c>
      <c r="BF107" t="s">
        <v>3639</v>
      </c>
      <c r="BG107" s="120">
        <v>14175</v>
      </c>
      <c r="BI107" s="72">
        <v>93090101</v>
      </c>
      <c r="BJ107" s="72" t="s">
        <v>240</v>
      </c>
      <c r="BK107" s="62">
        <v>9520</v>
      </c>
    </row>
    <row r="108" spans="49:63">
      <c r="AW108" s="143">
        <v>97052305</v>
      </c>
      <c r="AX108" t="s">
        <v>587</v>
      </c>
      <c r="AY108" s="124">
        <v>14175</v>
      </c>
      <c r="BA108">
        <v>96123102</v>
      </c>
      <c r="BB108" t="s">
        <v>1545</v>
      </c>
      <c r="BC108" s="145">
        <v>14175</v>
      </c>
      <c r="BE108">
        <v>95022402</v>
      </c>
      <c r="BF108" t="s">
        <v>3640</v>
      </c>
      <c r="BG108" s="120">
        <v>14175</v>
      </c>
      <c r="BI108" s="72">
        <v>93083101</v>
      </c>
      <c r="BJ108" s="72" t="s">
        <v>945</v>
      </c>
      <c r="BK108" s="62">
        <v>12300</v>
      </c>
    </row>
    <row r="109" spans="49:63">
      <c r="AW109" s="143">
        <v>97052305</v>
      </c>
      <c r="AX109" t="s">
        <v>588</v>
      </c>
      <c r="AY109" s="124">
        <v>14175</v>
      </c>
      <c r="BA109">
        <v>96123102</v>
      </c>
      <c r="BB109" t="s">
        <v>1546</v>
      </c>
      <c r="BC109" s="145">
        <v>14175</v>
      </c>
      <c r="BE109">
        <v>95120701</v>
      </c>
      <c r="BF109" t="s">
        <v>3641</v>
      </c>
      <c r="BG109" s="120">
        <v>12600</v>
      </c>
      <c r="BI109" s="72">
        <v>93083101</v>
      </c>
      <c r="BJ109" s="72" t="s">
        <v>946</v>
      </c>
      <c r="BK109" s="62">
        <v>12300</v>
      </c>
    </row>
    <row r="110" spans="49:63">
      <c r="AW110" s="143">
        <v>97052305</v>
      </c>
      <c r="AX110" t="s">
        <v>589</v>
      </c>
      <c r="AY110" s="124">
        <v>14175</v>
      </c>
      <c r="BA110">
        <v>96123102</v>
      </c>
      <c r="BB110" t="s">
        <v>1547</v>
      </c>
      <c r="BC110" s="145">
        <v>14175</v>
      </c>
      <c r="BE110">
        <v>95120701</v>
      </c>
      <c r="BF110" t="s">
        <v>3642</v>
      </c>
      <c r="BG110" s="120">
        <v>12600</v>
      </c>
      <c r="BI110" s="69">
        <v>94122206</v>
      </c>
      <c r="BJ110" s="69" t="s">
        <v>16</v>
      </c>
      <c r="BK110" s="54">
        <v>14175</v>
      </c>
    </row>
    <row r="111" spans="49:63">
      <c r="AW111" s="143">
        <v>97052305</v>
      </c>
      <c r="AX111" t="s">
        <v>590</v>
      </c>
      <c r="AY111" s="124">
        <v>14175</v>
      </c>
      <c r="BA111">
        <v>96123102</v>
      </c>
      <c r="BB111" t="s">
        <v>1548</v>
      </c>
      <c r="BC111" s="145">
        <v>14175</v>
      </c>
      <c r="BE111">
        <v>95120701</v>
      </c>
      <c r="BF111" t="s">
        <v>3643</v>
      </c>
      <c r="BG111" s="120">
        <v>12600</v>
      </c>
      <c r="BI111" s="72">
        <v>93080601</v>
      </c>
      <c r="BJ111" s="72" t="s">
        <v>947</v>
      </c>
      <c r="BK111" s="62">
        <v>8978</v>
      </c>
    </row>
    <row r="112" spans="49:63">
      <c r="AW112" s="143">
        <v>97052306</v>
      </c>
      <c r="AX112" t="s">
        <v>591</v>
      </c>
      <c r="AY112" s="124">
        <v>14175</v>
      </c>
      <c r="BA112">
        <v>96123102</v>
      </c>
      <c r="BB112" t="s">
        <v>1549</v>
      </c>
      <c r="BC112" s="145">
        <v>14175</v>
      </c>
      <c r="BE112">
        <v>95120701</v>
      </c>
      <c r="BF112" t="s">
        <v>1181</v>
      </c>
      <c r="BG112" s="120">
        <v>12600</v>
      </c>
      <c r="BI112" s="72">
        <v>93080601</v>
      </c>
      <c r="BJ112" s="72" t="s">
        <v>948</v>
      </c>
      <c r="BK112" s="62">
        <v>8978</v>
      </c>
    </row>
    <row r="113" spans="49:63">
      <c r="AW113" s="143">
        <v>97042401</v>
      </c>
      <c r="AX113" t="s">
        <v>1400</v>
      </c>
      <c r="AY113" s="124">
        <v>14175</v>
      </c>
      <c r="BA113">
        <v>96123102</v>
      </c>
      <c r="BB113" t="s">
        <v>1550</v>
      </c>
      <c r="BC113" s="145">
        <v>14175</v>
      </c>
      <c r="BE113">
        <v>95120701</v>
      </c>
      <c r="BF113" t="s">
        <v>1182</v>
      </c>
      <c r="BG113" s="120">
        <v>12600</v>
      </c>
      <c r="BI113" s="72">
        <v>93080601</v>
      </c>
      <c r="BJ113" s="72" t="s">
        <v>949</v>
      </c>
      <c r="BK113" s="62">
        <v>8978</v>
      </c>
    </row>
    <row r="114" spans="49:63">
      <c r="AW114" s="143">
        <v>97042401</v>
      </c>
      <c r="AX114" t="s">
        <v>1401</v>
      </c>
      <c r="AY114" s="124">
        <v>14175</v>
      </c>
      <c r="BA114">
        <v>96123102</v>
      </c>
      <c r="BB114" t="s">
        <v>1551</v>
      </c>
      <c r="BC114" s="145">
        <v>14175</v>
      </c>
      <c r="BE114">
        <v>95120701</v>
      </c>
      <c r="BF114" t="s">
        <v>1183</v>
      </c>
      <c r="BG114" s="120">
        <v>12600</v>
      </c>
      <c r="BI114" s="69">
        <v>94122602</v>
      </c>
      <c r="BJ114" s="69" t="s">
        <v>17</v>
      </c>
      <c r="BK114" s="54">
        <v>14175</v>
      </c>
    </row>
    <row r="115" spans="49:63">
      <c r="AW115" s="143">
        <v>97042401</v>
      </c>
      <c r="AX115" t="s">
        <v>1402</v>
      </c>
      <c r="AY115" s="124">
        <v>14175</v>
      </c>
      <c r="BA115" s="144">
        <v>95060103</v>
      </c>
      <c r="BB115" s="144" t="s">
        <v>3438</v>
      </c>
      <c r="BC115" s="63">
        <v>14175</v>
      </c>
      <c r="BE115">
        <v>95120701</v>
      </c>
      <c r="BF115" t="s">
        <v>1184</v>
      </c>
      <c r="BG115" s="120">
        <v>12600</v>
      </c>
      <c r="BI115" s="69">
        <v>94122602</v>
      </c>
      <c r="BJ115" s="69" t="s">
        <v>3444</v>
      </c>
      <c r="BK115" s="54">
        <v>14175</v>
      </c>
    </row>
    <row r="116" spans="49:63">
      <c r="AW116" s="143">
        <v>97042401</v>
      </c>
      <c r="AX116" t="s">
        <v>1403</v>
      </c>
      <c r="AY116" s="124">
        <v>14175</v>
      </c>
      <c r="BA116" s="144">
        <v>95060101</v>
      </c>
      <c r="BB116" s="144" t="s">
        <v>1202</v>
      </c>
      <c r="BC116" s="62">
        <v>14175</v>
      </c>
      <c r="BE116">
        <v>95120702</v>
      </c>
      <c r="BF116" t="s">
        <v>1185</v>
      </c>
      <c r="BG116" s="120">
        <v>12600</v>
      </c>
      <c r="BI116" s="69">
        <v>94122203</v>
      </c>
      <c r="BJ116" s="69" t="s">
        <v>3445</v>
      </c>
      <c r="BK116" s="54">
        <v>14175</v>
      </c>
    </row>
    <row r="117" spans="49:63">
      <c r="AW117" s="143">
        <v>97042402</v>
      </c>
      <c r="AX117" t="s">
        <v>1404</v>
      </c>
      <c r="AY117" s="124">
        <v>14175</v>
      </c>
      <c r="BA117">
        <v>96021401</v>
      </c>
      <c r="BB117" t="s">
        <v>1552</v>
      </c>
      <c r="BC117" s="145">
        <v>14175</v>
      </c>
      <c r="BE117">
        <v>95120702</v>
      </c>
      <c r="BF117" t="s">
        <v>1186</v>
      </c>
      <c r="BG117" s="120">
        <v>12600</v>
      </c>
      <c r="BI117" s="69">
        <v>94122203</v>
      </c>
      <c r="BJ117" s="69" t="s">
        <v>3446</v>
      </c>
      <c r="BK117" s="54">
        <v>14175</v>
      </c>
    </row>
    <row r="118" spans="49:63">
      <c r="AW118" s="158">
        <v>96081701</v>
      </c>
      <c r="AX118" s="144" t="s">
        <v>1557</v>
      </c>
      <c r="AY118" s="153">
        <v>23400</v>
      </c>
      <c r="BA118" s="144">
        <v>95032401</v>
      </c>
      <c r="BB118" s="144" t="s">
        <v>1207</v>
      </c>
      <c r="BC118" s="62">
        <v>14175</v>
      </c>
      <c r="BE118" s="72">
        <v>94111805</v>
      </c>
      <c r="BF118" s="72" t="s">
        <v>1991</v>
      </c>
      <c r="BG118" s="62">
        <v>14175</v>
      </c>
      <c r="BI118" s="69">
        <v>94122203</v>
      </c>
      <c r="BJ118" s="69" t="s">
        <v>3447</v>
      </c>
      <c r="BK118" s="54">
        <v>14175</v>
      </c>
    </row>
    <row r="119" spans="49:63">
      <c r="AW119" s="158">
        <v>96081701</v>
      </c>
      <c r="AX119" s="144" t="s">
        <v>1558</v>
      </c>
      <c r="AY119" s="153">
        <v>23400</v>
      </c>
      <c r="BA119">
        <v>96081701</v>
      </c>
      <c r="BB119" t="s">
        <v>1553</v>
      </c>
      <c r="BC119" s="145">
        <v>23400</v>
      </c>
      <c r="BE119" s="72">
        <v>94111805</v>
      </c>
      <c r="BF119" s="72" t="s">
        <v>1992</v>
      </c>
      <c r="BG119" s="62">
        <v>14175</v>
      </c>
      <c r="BI119" s="69">
        <v>94122203</v>
      </c>
      <c r="BJ119" s="69" t="s">
        <v>3448</v>
      </c>
      <c r="BK119" s="54">
        <v>14175</v>
      </c>
    </row>
    <row r="120" spans="49:63">
      <c r="AW120" s="143">
        <v>97062605</v>
      </c>
      <c r="AX120" t="s">
        <v>1405</v>
      </c>
      <c r="AY120" s="124">
        <v>15120</v>
      </c>
      <c r="BA120">
        <v>96081701</v>
      </c>
      <c r="BB120" t="s">
        <v>1554</v>
      </c>
      <c r="BC120" s="145">
        <v>23400</v>
      </c>
      <c r="BE120" s="72">
        <v>94111805</v>
      </c>
      <c r="BF120" s="72" t="s">
        <v>1993</v>
      </c>
      <c r="BG120" s="62">
        <v>14175</v>
      </c>
      <c r="BI120" s="69">
        <v>94122203</v>
      </c>
      <c r="BJ120" s="69" t="s">
        <v>3449</v>
      </c>
      <c r="BK120" s="54">
        <v>14175</v>
      </c>
    </row>
    <row r="121" spans="49:63">
      <c r="AW121" s="143">
        <v>97062605</v>
      </c>
      <c r="AX121" t="s">
        <v>1406</v>
      </c>
      <c r="AY121" s="124">
        <v>15120</v>
      </c>
      <c r="BA121">
        <v>96081701</v>
      </c>
      <c r="BB121" t="s">
        <v>1555</v>
      </c>
      <c r="BC121" s="145">
        <v>23400</v>
      </c>
      <c r="BE121" s="72">
        <v>94061401</v>
      </c>
      <c r="BF121" s="72" t="s">
        <v>1998</v>
      </c>
      <c r="BG121" s="62">
        <v>14175</v>
      </c>
      <c r="BI121" s="72">
        <v>93050401</v>
      </c>
      <c r="BJ121" s="72" t="s">
        <v>950</v>
      </c>
      <c r="BK121" s="62">
        <v>12000</v>
      </c>
    </row>
    <row r="122" spans="49:63">
      <c r="AW122" s="143">
        <v>97062605</v>
      </c>
      <c r="AX122" t="s">
        <v>1407</v>
      </c>
      <c r="AY122" s="124">
        <v>15120</v>
      </c>
      <c r="BA122">
        <v>96081701</v>
      </c>
      <c r="BB122" t="s">
        <v>1556</v>
      </c>
      <c r="BC122" s="145">
        <v>23400</v>
      </c>
      <c r="BE122" s="72">
        <v>94061401</v>
      </c>
      <c r="BF122" s="72" t="s">
        <v>1999</v>
      </c>
      <c r="BG122" s="62">
        <v>14175</v>
      </c>
      <c r="BI122" s="69">
        <v>94012501</v>
      </c>
      <c r="BJ122" s="69" t="s">
        <v>3450</v>
      </c>
      <c r="BK122" s="54">
        <v>13500</v>
      </c>
    </row>
    <row r="123" spans="49:63">
      <c r="AW123" s="143">
        <v>97062605</v>
      </c>
      <c r="AX123" t="s">
        <v>1408</v>
      </c>
      <c r="AY123" s="124">
        <v>15120</v>
      </c>
      <c r="BA123">
        <v>96081701</v>
      </c>
      <c r="BB123" t="s">
        <v>1557</v>
      </c>
      <c r="BC123" s="145">
        <v>23400</v>
      </c>
      <c r="BE123" s="72">
        <v>94040401</v>
      </c>
      <c r="BF123" s="72" t="s">
        <v>2004</v>
      </c>
      <c r="BG123" s="62">
        <v>14175</v>
      </c>
      <c r="BI123" s="69">
        <v>94012501</v>
      </c>
      <c r="BJ123" s="69" t="s">
        <v>3451</v>
      </c>
      <c r="BK123" s="54">
        <v>13500</v>
      </c>
    </row>
    <row r="124" spans="49:63">
      <c r="AW124" s="143">
        <v>97062605</v>
      </c>
      <c r="AX124" t="s">
        <v>1409</v>
      </c>
      <c r="AY124" s="124">
        <v>15120</v>
      </c>
      <c r="BA124">
        <v>96081701</v>
      </c>
      <c r="BB124" t="s">
        <v>1558</v>
      </c>
      <c r="BC124" s="145">
        <v>23400</v>
      </c>
      <c r="BE124" s="72">
        <v>94091301</v>
      </c>
      <c r="BF124" s="72" t="s">
        <v>13</v>
      </c>
      <c r="BG124" s="62">
        <v>14175</v>
      </c>
      <c r="BI124" s="69">
        <v>94012501</v>
      </c>
      <c r="BJ124" s="69" t="s">
        <v>3452</v>
      </c>
      <c r="BK124" s="54">
        <v>13500</v>
      </c>
    </row>
    <row r="125" spans="49:63">
      <c r="AW125" s="143">
        <v>97062606</v>
      </c>
      <c r="AX125" t="s">
        <v>1410</v>
      </c>
      <c r="AY125" s="124">
        <v>15120</v>
      </c>
      <c r="BA125" s="144">
        <v>95090401</v>
      </c>
      <c r="BB125" s="144" t="s">
        <v>1212</v>
      </c>
      <c r="BC125" s="62">
        <v>14175</v>
      </c>
      <c r="BE125" s="72">
        <v>94091301</v>
      </c>
      <c r="BF125" s="72" t="s">
        <v>14</v>
      </c>
      <c r="BG125" s="62">
        <v>14175</v>
      </c>
      <c r="BI125" s="69">
        <v>94012501</v>
      </c>
      <c r="BJ125" s="69" t="s">
        <v>3453</v>
      </c>
      <c r="BK125" s="54">
        <v>13500</v>
      </c>
    </row>
    <row r="126" spans="49:63">
      <c r="AW126" s="143">
        <v>97050601</v>
      </c>
      <c r="AX126" t="s">
        <v>1411</v>
      </c>
      <c r="AY126" s="124">
        <v>14175</v>
      </c>
      <c r="BA126" s="144">
        <v>95090401</v>
      </c>
      <c r="BB126" s="144" t="s">
        <v>1213</v>
      </c>
      <c r="BC126" s="62">
        <v>14175</v>
      </c>
      <c r="BE126" s="72">
        <v>94091301</v>
      </c>
      <c r="BF126" s="72" t="s">
        <v>15</v>
      </c>
      <c r="BG126" s="62">
        <v>14175</v>
      </c>
      <c r="BI126" s="69">
        <v>94111813</v>
      </c>
      <c r="BJ126" s="69" t="s">
        <v>3454</v>
      </c>
      <c r="BK126" s="54">
        <v>48000</v>
      </c>
    </row>
    <row r="127" spans="49:63">
      <c r="AW127" s="143">
        <v>97050601</v>
      </c>
      <c r="AX127" t="s">
        <v>1412</v>
      </c>
      <c r="AY127" s="124">
        <v>14175</v>
      </c>
      <c r="BA127" s="144">
        <v>95051601</v>
      </c>
      <c r="BB127" s="144" t="s">
        <v>971</v>
      </c>
      <c r="BC127" s="62">
        <v>14175</v>
      </c>
      <c r="BE127">
        <v>95071101</v>
      </c>
      <c r="BF127" t="s">
        <v>1187</v>
      </c>
      <c r="BG127" s="120">
        <v>14175</v>
      </c>
      <c r="BI127" s="69">
        <v>94120501</v>
      </c>
      <c r="BJ127" s="69" t="s">
        <v>3455</v>
      </c>
      <c r="BK127" s="54">
        <v>28350</v>
      </c>
    </row>
    <row r="128" spans="49:63">
      <c r="AW128" s="143">
        <v>97050601</v>
      </c>
      <c r="AX128" t="s">
        <v>1413</v>
      </c>
      <c r="AY128" s="124">
        <v>14175</v>
      </c>
      <c r="BA128" s="144">
        <v>95052501</v>
      </c>
      <c r="BB128" s="144" t="s">
        <v>976</v>
      </c>
      <c r="BC128" s="62">
        <v>14175</v>
      </c>
      <c r="BE128">
        <v>95071101</v>
      </c>
      <c r="BF128" t="s">
        <v>1188</v>
      </c>
      <c r="BG128" s="120">
        <v>14175</v>
      </c>
      <c r="BI128" s="69">
        <v>94120501</v>
      </c>
      <c r="BJ128" s="69" t="s">
        <v>3456</v>
      </c>
      <c r="BK128" s="54">
        <v>28350</v>
      </c>
    </row>
    <row r="129" spans="49:63">
      <c r="AW129" s="143">
        <v>97050601</v>
      </c>
      <c r="AX129" t="s">
        <v>1414</v>
      </c>
      <c r="AY129" s="124">
        <v>14175</v>
      </c>
      <c r="BA129" s="144">
        <v>95050401</v>
      </c>
      <c r="BB129" s="144" t="s">
        <v>981</v>
      </c>
      <c r="BC129" s="62">
        <v>14175</v>
      </c>
      <c r="BE129">
        <v>95071101</v>
      </c>
      <c r="BF129" t="s">
        <v>1189</v>
      </c>
      <c r="BG129" s="120">
        <v>14175</v>
      </c>
      <c r="BI129" s="69">
        <v>94120501</v>
      </c>
      <c r="BJ129" s="69" t="s">
        <v>3457</v>
      </c>
      <c r="BK129" s="54">
        <v>28350</v>
      </c>
    </row>
    <row r="130" spans="49:63">
      <c r="AW130" s="143">
        <v>97050601</v>
      </c>
      <c r="AX130" t="s">
        <v>1415</v>
      </c>
      <c r="AY130" s="124">
        <v>14175</v>
      </c>
      <c r="BA130" s="144">
        <v>95071201</v>
      </c>
      <c r="BB130" s="144" t="s">
        <v>990</v>
      </c>
      <c r="BC130" s="62">
        <v>14175</v>
      </c>
      <c r="BE130">
        <v>95071101</v>
      </c>
      <c r="BF130" t="s">
        <v>1190</v>
      </c>
      <c r="BG130" s="120">
        <v>14175</v>
      </c>
      <c r="BI130" s="72">
        <v>93071902</v>
      </c>
      <c r="BJ130" s="72" t="s">
        <v>951</v>
      </c>
      <c r="BK130" s="62">
        <v>14175</v>
      </c>
    </row>
    <row r="131" spans="49:63">
      <c r="AW131" s="143">
        <v>97061701</v>
      </c>
      <c r="AX131" t="s">
        <v>1416</v>
      </c>
      <c r="AY131" s="124">
        <v>15120</v>
      </c>
      <c r="BA131" s="144">
        <v>95071201</v>
      </c>
      <c r="BB131" s="144" t="s">
        <v>991</v>
      </c>
      <c r="BC131" s="62">
        <v>14175</v>
      </c>
      <c r="BE131">
        <v>95071101</v>
      </c>
      <c r="BF131" t="s">
        <v>1191</v>
      </c>
      <c r="BG131" s="120">
        <v>14175</v>
      </c>
      <c r="BI131" s="72">
        <v>93071902</v>
      </c>
      <c r="BJ131" s="72" t="s">
        <v>952</v>
      </c>
      <c r="BK131" s="62">
        <v>14175</v>
      </c>
    </row>
    <row r="132" spans="49:63">
      <c r="AW132" s="143">
        <v>97061701</v>
      </c>
      <c r="AX132" t="s">
        <v>1417</v>
      </c>
      <c r="AY132" s="124">
        <v>15120</v>
      </c>
      <c r="BA132">
        <v>96060601</v>
      </c>
      <c r="BB132" t="s">
        <v>1559</v>
      </c>
      <c r="BC132" s="145">
        <v>14175</v>
      </c>
      <c r="BE132">
        <v>95071101</v>
      </c>
      <c r="BF132" t="s">
        <v>1192</v>
      </c>
      <c r="BG132" s="120">
        <v>14175</v>
      </c>
      <c r="BI132" s="72">
        <v>93042003</v>
      </c>
      <c r="BJ132" s="72" t="s">
        <v>953</v>
      </c>
      <c r="BK132" s="62">
        <v>4500</v>
      </c>
    </row>
    <row r="133" spans="49:63">
      <c r="AW133" s="143">
        <v>97061701</v>
      </c>
      <c r="AX133" t="s">
        <v>1418</v>
      </c>
      <c r="AY133" s="124">
        <v>15120</v>
      </c>
      <c r="BA133">
        <v>96060601</v>
      </c>
      <c r="BB133" t="s">
        <v>1560</v>
      </c>
      <c r="BC133" s="145">
        <v>14175</v>
      </c>
      <c r="BE133">
        <v>95042402</v>
      </c>
      <c r="BF133" t="s">
        <v>1193</v>
      </c>
      <c r="BG133" s="120">
        <v>14175</v>
      </c>
      <c r="BI133" s="72">
        <v>93042003</v>
      </c>
      <c r="BJ133" s="72" t="s">
        <v>954</v>
      </c>
      <c r="BK133" s="62">
        <v>4500</v>
      </c>
    </row>
    <row r="134" spans="49:63">
      <c r="AW134" s="143">
        <v>97061701</v>
      </c>
      <c r="AX134" t="s">
        <v>1419</v>
      </c>
      <c r="AY134" s="124">
        <v>15120</v>
      </c>
      <c r="BA134">
        <v>96060601</v>
      </c>
      <c r="BB134" t="s">
        <v>1561</v>
      </c>
      <c r="BC134" s="145">
        <v>14175</v>
      </c>
      <c r="BE134">
        <v>95042402</v>
      </c>
      <c r="BF134" t="s">
        <v>1194</v>
      </c>
      <c r="BG134" s="120">
        <v>14175</v>
      </c>
      <c r="BI134" s="72">
        <v>93042004</v>
      </c>
      <c r="BJ134" s="72" t="s">
        <v>955</v>
      </c>
      <c r="BK134" s="62">
        <v>4500</v>
      </c>
    </row>
    <row r="135" spans="49:63">
      <c r="AW135" s="143">
        <v>97061701</v>
      </c>
      <c r="AX135" t="s">
        <v>1420</v>
      </c>
      <c r="AY135" s="124">
        <v>15120</v>
      </c>
      <c r="BA135">
        <v>96060601</v>
      </c>
      <c r="BB135" t="s">
        <v>1562</v>
      </c>
      <c r="BC135" s="145">
        <v>14175</v>
      </c>
      <c r="BE135">
        <v>95042402</v>
      </c>
      <c r="BF135" t="s">
        <v>1195</v>
      </c>
      <c r="BG135" s="120">
        <v>14175</v>
      </c>
      <c r="BI135" s="69">
        <v>94111801</v>
      </c>
      <c r="BJ135" s="69" t="s">
        <v>3458</v>
      </c>
      <c r="BK135" s="54">
        <v>14175</v>
      </c>
    </row>
    <row r="136" spans="49:63">
      <c r="AW136" s="143">
        <v>97081305</v>
      </c>
      <c r="AX136" t="s">
        <v>1421</v>
      </c>
      <c r="AY136" s="124">
        <v>14175</v>
      </c>
      <c r="BA136">
        <v>96060601</v>
      </c>
      <c r="BB136" t="s">
        <v>1563</v>
      </c>
      <c r="BC136" s="145">
        <v>14175</v>
      </c>
      <c r="BE136">
        <v>95042402</v>
      </c>
      <c r="BF136" t="s">
        <v>1196</v>
      </c>
      <c r="BG136" s="120">
        <v>14175</v>
      </c>
      <c r="BI136" s="69">
        <v>94111801</v>
      </c>
      <c r="BJ136" s="69" t="s">
        <v>3459</v>
      </c>
      <c r="BK136" s="54">
        <v>14175</v>
      </c>
    </row>
    <row r="137" spans="49:63">
      <c r="AW137" s="143">
        <v>97081305</v>
      </c>
      <c r="AX137" t="s">
        <v>1422</v>
      </c>
      <c r="AY137" s="124">
        <v>14175</v>
      </c>
      <c r="BA137" s="144">
        <v>95102701</v>
      </c>
      <c r="BB137" s="144" t="s">
        <v>992</v>
      </c>
      <c r="BC137" s="62">
        <v>37800</v>
      </c>
      <c r="BE137">
        <v>95042402</v>
      </c>
      <c r="BF137" t="s">
        <v>1197</v>
      </c>
      <c r="BG137" s="120">
        <v>14175</v>
      </c>
      <c r="BI137" s="69">
        <v>94111801</v>
      </c>
      <c r="BJ137" s="69" t="s">
        <v>3460</v>
      </c>
      <c r="BK137" s="54">
        <v>14175</v>
      </c>
    </row>
    <row r="138" spans="49:63">
      <c r="AW138" s="143">
        <v>97081305</v>
      </c>
      <c r="AX138" t="s">
        <v>1423</v>
      </c>
      <c r="AY138" s="124">
        <v>14175</v>
      </c>
      <c r="BA138" s="144">
        <v>95102701</v>
      </c>
      <c r="BB138" s="144" t="s">
        <v>993</v>
      </c>
      <c r="BC138" s="62">
        <v>37800</v>
      </c>
      <c r="BE138" s="72">
        <v>94122203</v>
      </c>
      <c r="BF138" s="72" t="s">
        <v>3447</v>
      </c>
      <c r="BG138" s="62">
        <v>14175</v>
      </c>
      <c r="BI138" s="69">
        <v>94111801</v>
      </c>
      <c r="BJ138" s="69" t="s">
        <v>3461</v>
      </c>
      <c r="BK138" s="54">
        <v>14175</v>
      </c>
    </row>
    <row r="139" spans="49:63">
      <c r="AW139" s="143">
        <v>97081305</v>
      </c>
      <c r="AX139" t="s">
        <v>1424</v>
      </c>
      <c r="AY139" s="124">
        <v>14175</v>
      </c>
      <c r="BA139" s="144">
        <v>95102701</v>
      </c>
      <c r="BB139" s="144" t="s">
        <v>994</v>
      </c>
      <c r="BC139" s="62">
        <v>37800</v>
      </c>
      <c r="BE139" s="72">
        <v>94122203</v>
      </c>
      <c r="BF139" s="72" t="s">
        <v>3448</v>
      </c>
      <c r="BG139" s="62">
        <v>14175</v>
      </c>
      <c r="BI139" s="69">
        <v>94111801</v>
      </c>
      <c r="BJ139" s="69" t="s">
        <v>3462</v>
      </c>
      <c r="BK139" s="54">
        <v>14175</v>
      </c>
    </row>
    <row r="140" spans="49:63">
      <c r="AW140" s="143">
        <v>97081305</v>
      </c>
      <c r="AX140" t="s">
        <v>1425</v>
      </c>
      <c r="AY140" s="124">
        <v>14175</v>
      </c>
      <c r="BA140">
        <v>96080301</v>
      </c>
      <c r="BB140" t="s">
        <v>1564</v>
      </c>
      <c r="BC140" s="145">
        <v>14175</v>
      </c>
      <c r="BE140" s="72">
        <v>94122203</v>
      </c>
      <c r="BF140" s="72" t="s">
        <v>3449</v>
      </c>
      <c r="BG140" s="62">
        <v>14175</v>
      </c>
      <c r="BI140" s="69">
        <v>94111801</v>
      </c>
      <c r="BJ140" s="69" t="s">
        <v>3463</v>
      </c>
      <c r="BK140" s="54">
        <v>14175</v>
      </c>
    </row>
    <row r="141" spans="49:63">
      <c r="AW141" s="143">
        <v>97081306</v>
      </c>
      <c r="AX141" t="s">
        <v>1426</v>
      </c>
      <c r="AY141" s="124">
        <v>14175</v>
      </c>
      <c r="BA141">
        <v>96080301</v>
      </c>
      <c r="BB141" t="s">
        <v>1565</v>
      </c>
      <c r="BC141" s="145">
        <v>14175</v>
      </c>
      <c r="BE141">
        <v>95060101</v>
      </c>
      <c r="BF141" t="s">
        <v>1198</v>
      </c>
      <c r="BG141" s="120">
        <v>14175</v>
      </c>
      <c r="BI141" s="69">
        <v>94111801</v>
      </c>
      <c r="BJ141" s="69" t="s">
        <v>3464</v>
      </c>
      <c r="BK141" s="54">
        <v>14175</v>
      </c>
    </row>
    <row r="142" spans="49:63">
      <c r="AW142" s="158">
        <v>96060601</v>
      </c>
      <c r="AX142" s="144" t="s">
        <v>1563</v>
      </c>
      <c r="AY142" s="153">
        <v>14175</v>
      </c>
      <c r="BA142">
        <v>96080301</v>
      </c>
      <c r="BB142" t="s">
        <v>1566</v>
      </c>
      <c r="BC142" s="145">
        <v>14175</v>
      </c>
      <c r="BE142">
        <v>95060101</v>
      </c>
      <c r="BF142" t="s">
        <v>1199</v>
      </c>
      <c r="BG142" s="120">
        <v>14175</v>
      </c>
      <c r="BI142" s="72">
        <v>93090902</v>
      </c>
      <c r="BJ142" s="72" t="s">
        <v>956</v>
      </c>
      <c r="BK142" s="62">
        <v>8979</v>
      </c>
    </row>
    <row r="143" spans="49:63">
      <c r="AW143" s="143">
        <v>97052703</v>
      </c>
      <c r="AX143" t="s">
        <v>1427</v>
      </c>
      <c r="AY143" s="124">
        <v>13230</v>
      </c>
      <c r="BA143">
        <v>96080301</v>
      </c>
      <c r="BB143" t="s">
        <v>1567</v>
      </c>
      <c r="BC143" s="145">
        <v>14175</v>
      </c>
      <c r="BE143">
        <v>95060101</v>
      </c>
      <c r="BF143" t="s">
        <v>1200</v>
      </c>
      <c r="BG143" s="120">
        <v>14175</v>
      </c>
      <c r="BI143" s="72">
        <v>93090902</v>
      </c>
      <c r="BJ143" s="72" t="s">
        <v>957</v>
      </c>
      <c r="BK143" s="62">
        <v>8967</v>
      </c>
    </row>
    <row r="144" spans="49:63">
      <c r="AW144" s="143">
        <v>97052703</v>
      </c>
      <c r="AX144" t="s">
        <v>1428</v>
      </c>
      <c r="AY144" s="124">
        <v>13230</v>
      </c>
      <c r="BA144">
        <v>96080301</v>
      </c>
      <c r="BB144" t="s">
        <v>1568</v>
      </c>
      <c r="BC144" s="145">
        <v>14175</v>
      </c>
      <c r="BE144">
        <v>95060101</v>
      </c>
      <c r="BF144" t="s">
        <v>1201</v>
      </c>
      <c r="BG144" s="120">
        <v>14175</v>
      </c>
      <c r="BI144" s="69">
        <v>94121606</v>
      </c>
      <c r="BJ144" s="69" t="s">
        <v>3465</v>
      </c>
      <c r="BK144" s="54">
        <v>4725</v>
      </c>
    </row>
    <row r="145" spans="49:63">
      <c r="AW145" s="143">
        <v>97052703</v>
      </c>
      <c r="AX145" t="s">
        <v>1429</v>
      </c>
      <c r="AY145" s="124">
        <v>13230</v>
      </c>
      <c r="BA145">
        <v>96080301</v>
      </c>
      <c r="BB145" t="s">
        <v>1569</v>
      </c>
      <c r="BC145" s="145">
        <v>14175</v>
      </c>
      <c r="BE145">
        <v>95060101</v>
      </c>
      <c r="BF145" t="s">
        <v>1202</v>
      </c>
      <c r="BG145" s="120">
        <v>14175</v>
      </c>
      <c r="BI145" s="69">
        <v>94121606</v>
      </c>
      <c r="BJ145" s="69" t="s">
        <v>3466</v>
      </c>
      <c r="BK145" s="54">
        <v>4725</v>
      </c>
    </row>
    <row r="146" spans="49:63">
      <c r="AW146" s="143">
        <v>97052703</v>
      </c>
      <c r="AX146" t="s">
        <v>3758</v>
      </c>
      <c r="AY146" s="124">
        <v>13230</v>
      </c>
      <c r="BA146" s="144">
        <v>95051001</v>
      </c>
      <c r="BB146" s="144" t="s">
        <v>1003</v>
      </c>
      <c r="BC146" s="62">
        <v>13500</v>
      </c>
      <c r="BE146" s="72">
        <v>94120501</v>
      </c>
      <c r="BF146" s="72" t="s">
        <v>3457</v>
      </c>
      <c r="BG146" s="62">
        <v>28350</v>
      </c>
      <c r="BI146" s="69">
        <v>94121606</v>
      </c>
      <c r="BJ146" s="69" t="s">
        <v>3467</v>
      </c>
      <c r="BK146" s="54">
        <v>4725</v>
      </c>
    </row>
    <row r="147" spans="49:63">
      <c r="AW147" s="143">
        <v>97052703</v>
      </c>
      <c r="AX147" t="s">
        <v>3759</v>
      </c>
      <c r="AY147" s="124">
        <v>13230</v>
      </c>
      <c r="BA147" s="144">
        <v>95051001</v>
      </c>
      <c r="BB147" s="144" t="s">
        <v>1004</v>
      </c>
      <c r="BC147" s="62">
        <v>13500</v>
      </c>
      <c r="BE147">
        <v>95032401</v>
      </c>
      <c r="BF147" t="s">
        <v>1203</v>
      </c>
      <c r="BG147" s="120">
        <v>14175</v>
      </c>
      <c r="BI147" s="69">
        <v>94121606</v>
      </c>
      <c r="BJ147" s="69" t="s">
        <v>3468</v>
      </c>
      <c r="BK147" s="54">
        <v>4725</v>
      </c>
    </row>
    <row r="148" spans="49:63">
      <c r="AW148" s="143">
        <v>97101602</v>
      </c>
      <c r="AX148" t="s">
        <v>3760</v>
      </c>
      <c r="AY148" s="124">
        <v>20475</v>
      </c>
      <c r="BA148">
        <v>96062701</v>
      </c>
      <c r="BB148" t="s">
        <v>1570</v>
      </c>
      <c r="BC148" s="145">
        <v>13500</v>
      </c>
      <c r="BE148">
        <v>95032401</v>
      </c>
      <c r="BF148" t="s">
        <v>1204</v>
      </c>
      <c r="BG148" s="120">
        <v>14175</v>
      </c>
      <c r="BI148" s="69">
        <v>94121606</v>
      </c>
      <c r="BJ148" s="69" t="s">
        <v>3469</v>
      </c>
      <c r="BK148" s="54">
        <v>4725</v>
      </c>
    </row>
    <row r="149" spans="49:63">
      <c r="AW149" s="143">
        <v>97101602</v>
      </c>
      <c r="AX149" t="s">
        <v>3761</v>
      </c>
      <c r="AY149" s="124">
        <v>20475</v>
      </c>
      <c r="BA149">
        <v>96062701</v>
      </c>
      <c r="BB149" t="s">
        <v>1571</v>
      </c>
      <c r="BC149" s="145">
        <v>13500</v>
      </c>
      <c r="BE149">
        <v>95032401</v>
      </c>
      <c r="BF149" t="s">
        <v>1205</v>
      </c>
      <c r="BG149" s="120">
        <v>14175</v>
      </c>
      <c r="BI149" s="69">
        <v>94121606</v>
      </c>
      <c r="BJ149" s="69" t="s">
        <v>3470</v>
      </c>
      <c r="BK149" s="54">
        <v>4725</v>
      </c>
    </row>
    <row r="150" spans="49:63">
      <c r="AW150" s="143">
        <v>97101602</v>
      </c>
      <c r="AX150" t="s">
        <v>3762</v>
      </c>
      <c r="AY150" s="124">
        <v>20475</v>
      </c>
      <c r="BA150">
        <v>96062701</v>
      </c>
      <c r="BB150" t="s">
        <v>1572</v>
      </c>
      <c r="BC150" s="145">
        <v>13500</v>
      </c>
      <c r="BE150">
        <v>95032401</v>
      </c>
      <c r="BF150" t="s">
        <v>1206</v>
      </c>
      <c r="BG150" s="120">
        <v>14175</v>
      </c>
      <c r="BI150" s="69">
        <v>94121606</v>
      </c>
      <c r="BJ150" s="69" t="s">
        <v>3471</v>
      </c>
      <c r="BK150" s="54">
        <v>4725</v>
      </c>
    </row>
    <row r="151" spans="49:63">
      <c r="AW151" s="158">
        <v>96080301</v>
      </c>
      <c r="AX151" s="144" t="s">
        <v>1568</v>
      </c>
      <c r="AY151" s="153">
        <v>14175</v>
      </c>
      <c r="BA151">
        <v>96062701</v>
      </c>
      <c r="BB151" t="s">
        <v>1573</v>
      </c>
      <c r="BC151" s="145">
        <v>13500</v>
      </c>
      <c r="BE151">
        <v>95032401</v>
      </c>
      <c r="BF151" t="s">
        <v>1207</v>
      </c>
      <c r="BG151" s="120">
        <v>14175</v>
      </c>
      <c r="BI151" s="69">
        <v>94121501</v>
      </c>
      <c r="BJ151" s="69" t="s">
        <v>3472</v>
      </c>
      <c r="BK151" s="54">
        <v>4725</v>
      </c>
    </row>
    <row r="152" spans="49:63">
      <c r="AW152" s="158">
        <v>96080301</v>
      </c>
      <c r="AX152" s="144" t="s">
        <v>1569</v>
      </c>
      <c r="AY152" s="153">
        <v>14175</v>
      </c>
      <c r="BA152">
        <v>96062701</v>
      </c>
      <c r="BB152" t="s">
        <v>1574</v>
      </c>
      <c r="BC152" s="145">
        <v>13500</v>
      </c>
      <c r="BE152" s="72">
        <v>94111801</v>
      </c>
      <c r="BF152" s="72" t="s">
        <v>3462</v>
      </c>
      <c r="BG152" s="62">
        <v>14175</v>
      </c>
      <c r="BI152" s="69">
        <v>94121501</v>
      </c>
      <c r="BJ152" s="69" t="s">
        <v>3473</v>
      </c>
      <c r="BK152" s="54">
        <v>4725</v>
      </c>
    </row>
    <row r="153" spans="49:63">
      <c r="AW153" s="158">
        <v>96062701</v>
      </c>
      <c r="AX153" s="144" t="s">
        <v>1573</v>
      </c>
      <c r="AY153" s="153">
        <v>13500</v>
      </c>
      <c r="BA153">
        <v>96062701</v>
      </c>
      <c r="BB153" t="s">
        <v>1575</v>
      </c>
      <c r="BC153" s="145">
        <v>13500</v>
      </c>
      <c r="BE153" s="72">
        <v>94111801</v>
      </c>
      <c r="BF153" s="72" t="s">
        <v>3463</v>
      </c>
      <c r="BG153" s="62">
        <v>14175</v>
      </c>
      <c r="BI153" s="69">
        <v>94121501</v>
      </c>
      <c r="BJ153" s="69" t="s">
        <v>3474</v>
      </c>
      <c r="BK153" s="54">
        <v>4725</v>
      </c>
    </row>
    <row r="154" spans="49:63">
      <c r="AW154" s="158">
        <v>96062701</v>
      </c>
      <c r="AX154" s="144" t="s">
        <v>1575</v>
      </c>
      <c r="AY154" s="153">
        <v>13500</v>
      </c>
      <c r="BA154" s="144">
        <v>95102401</v>
      </c>
      <c r="BB154" s="144" t="s">
        <v>3513</v>
      </c>
      <c r="BC154" s="62">
        <v>14175</v>
      </c>
      <c r="BE154" s="72">
        <v>94111801</v>
      </c>
      <c r="BF154" s="72" t="s">
        <v>3464</v>
      </c>
      <c r="BG154" s="62">
        <v>14175</v>
      </c>
      <c r="BI154" s="69">
        <v>94121501</v>
      </c>
      <c r="BJ154" s="69" t="s">
        <v>3475</v>
      </c>
      <c r="BK154" s="54">
        <v>4725</v>
      </c>
    </row>
    <row r="155" spans="49:63">
      <c r="AW155" s="143">
        <v>97012801</v>
      </c>
      <c r="AX155" t="s">
        <v>3763</v>
      </c>
      <c r="AY155" s="124">
        <v>14175</v>
      </c>
      <c r="BA155" s="144">
        <v>95102401</v>
      </c>
      <c r="BB155" s="144" t="s">
        <v>3514</v>
      </c>
      <c r="BC155" s="62">
        <v>14175</v>
      </c>
      <c r="BE155">
        <v>95090401</v>
      </c>
      <c r="BF155" t="s">
        <v>1208</v>
      </c>
      <c r="BG155" s="120">
        <v>14175</v>
      </c>
      <c r="BI155" s="69">
        <v>94121501</v>
      </c>
      <c r="BJ155" s="69" t="s">
        <v>3476</v>
      </c>
      <c r="BK155" s="54">
        <v>4725</v>
      </c>
    </row>
    <row r="156" spans="49:63">
      <c r="AW156" s="143">
        <v>97012801</v>
      </c>
      <c r="AX156" t="s">
        <v>3764</v>
      </c>
      <c r="AY156" s="124">
        <v>14175</v>
      </c>
      <c r="BA156" s="144">
        <v>95102401</v>
      </c>
      <c r="BB156" s="144" t="s">
        <v>3515</v>
      </c>
      <c r="BC156" s="62">
        <v>14175</v>
      </c>
      <c r="BE156">
        <v>95090401</v>
      </c>
      <c r="BF156" t="s">
        <v>1209</v>
      </c>
      <c r="BG156" s="120">
        <v>14175</v>
      </c>
      <c r="BI156" s="69">
        <v>94121501</v>
      </c>
      <c r="BJ156" s="69" t="s">
        <v>3477</v>
      </c>
      <c r="BK156" s="54">
        <v>4725</v>
      </c>
    </row>
    <row r="157" spans="49:63">
      <c r="AW157" s="143">
        <v>97012801</v>
      </c>
      <c r="AX157" t="s">
        <v>3765</v>
      </c>
      <c r="AY157" s="124">
        <v>14175</v>
      </c>
      <c r="BA157" s="144">
        <v>95083101</v>
      </c>
      <c r="BB157" s="144" t="s">
        <v>3520</v>
      </c>
      <c r="BC157" s="62">
        <v>14175</v>
      </c>
      <c r="BE157">
        <v>95090401</v>
      </c>
      <c r="BF157" t="s">
        <v>1210</v>
      </c>
      <c r="BG157" s="120">
        <v>14175</v>
      </c>
      <c r="BI157" s="69">
        <v>94121501</v>
      </c>
      <c r="BJ157" s="69" t="s">
        <v>3478</v>
      </c>
      <c r="BK157" s="54">
        <v>4725</v>
      </c>
    </row>
    <row r="158" spans="49:63">
      <c r="AW158" s="143">
        <v>97012801</v>
      </c>
      <c r="AX158" t="s">
        <v>3766</v>
      </c>
      <c r="AY158" s="124">
        <v>14175</v>
      </c>
      <c r="BA158" s="144">
        <v>95083101</v>
      </c>
      <c r="BB158" s="144" t="s">
        <v>3521</v>
      </c>
      <c r="BC158" s="62">
        <v>14175</v>
      </c>
      <c r="BE158">
        <v>95090401</v>
      </c>
      <c r="BF158" t="s">
        <v>1211</v>
      </c>
      <c r="BG158" s="120">
        <v>14175</v>
      </c>
      <c r="BI158" s="69">
        <v>94121502</v>
      </c>
      <c r="BJ158" s="69" t="s">
        <v>3479</v>
      </c>
      <c r="BK158" s="54">
        <v>4725</v>
      </c>
    </row>
    <row r="159" spans="49:63">
      <c r="AW159" s="143">
        <v>97081203</v>
      </c>
      <c r="AX159" t="s">
        <v>3767</v>
      </c>
      <c r="AY159" s="124">
        <v>11340</v>
      </c>
      <c r="BA159" s="144">
        <v>95083102</v>
      </c>
      <c r="BB159" s="144" t="s">
        <v>3522</v>
      </c>
      <c r="BC159" s="62">
        <v>14175</v>
      </c>
      <c r="BE159">
        <v>95090401</v>
      </c>
      <c r="BF159" t="s">
        <v>1212</v>
      </c>
      <c r="BG159" s="120">
        <v>14175</v>
      </c>
      <c r="BI159" s="69">
        <v>94121502</v>
      </c>
      <c r="BJ159" s="69" t="s">
        <v>3480</v>
      </c>
      <c r="BK159" s="54">
        <v>4725</v>
      </c>
    </row>
    <row r="160" spans="49:63">
      <c r="AW160" s="143">
        <v>97123106</v>
      </c>
      <c r="AX160" t="s">
        <v>3768</v>
      </c>
      <c r="AY160" s="124">
        <v>11340</v>
      </c>
      <c r="BA160">
        <v>96101801</v>
      </c>
      <c r="BB160" t="s">
        <v>1576</v>
      </c>
      <c r="BC160" s="145">
        <v>14175</v>
      </c>
      <c r="BE160">
        <v>95090401</v>
      </c>
      <c r="BF160" t="s">
        <v>1213</v>
      </c>
      <c r="BG160" s="120">
        <v>14175</v>
      </c>
      <c r="BI160" s="69">
        <v>94121502</v>
      </c>
      <c r="BJ160" s="69" t="s">
        <v>3481</v>
      </c>
      <c r="BK160" s="54">
        <v>4725</v>
      </c>
    </row>
    <row r="161" spans="49:63">
      <c r="AW161" s="143">
        <v>97123106</v>
      </c>
      <c r="AX161" t="s">
        <v>3769</v>
      </c>
      <c r="AY161" s="124">
        <v>11340</v>
      </c>
      <c r="BA161">
        <v>96101801</v>
      </c>
      <c r="BB161" t="s">
        <v>1577</v>
      </c>
      <c r="BC161" s="145">
        <v>14175</v>
      </c>
      <c r="BE161">
        <v>95051601</v>
      </c>
      <c r="BF161" t="s">
        <v>967</v>
      </c>
      <c r="BG161" s="120">
        <v>14175</v>
      </c>
      <c r="BI161" s="69">
        <v>94121502</v>
      </c>
      <c r="BJ161" s="69" t="s">
        <v>3482</v>
      </c>
      <c r="BK161" s="54">
        <v>4725</v>
      </c>
    </row>
    <row r="162" spans="49:63">
      <c r="AW162" s="143">
        <v>97123106</v>
      </c>
      <c r="AX162" t="s">
        <v>3770</v>
      </c>
      <c r="AY162" s="124">
        <v>11340</v>
      </c>
      <c r="BA162">
        <v>96101801</v>
      </c>
      <c r="BB162" t="s">
        <v>1578</v>
      </c>
      <c r="BC162" s="145">
        <v>14175</v>
      </c>
      <c r="BE162">
        <v>95051601</v>
      </c>
      <c r="BF162" t="s">
        <v>968</v>
      </c>
      <c r="BG162" s="120">
        <v>14175</v>
      </c>
      <c r="BI162" s="69">
        <v>94121502</v>
      </c>
      <c r="BJ162" s="69" t="s">
        <v>3897</v>
      </c>
      <c r="BK162" s="54">
        <v>4725</v>
      </c>
    </row>
    <row r="163" spans="49:63">
      <c r="AW163" s="143">
        <v>97123106</v>
      </c>
      <c r="AX163" t="s">
        <v>3771</v>
      </c>
      <c r="AY163" s="124">
        <v>11340</v>
      </c>
      <c r="BA163">
        <v>96101801</v>
      </c>
      <c r="BB163" t="s">
        <v>1579</v>
      </c>
      <c r="BC163" s="145">
        <v>14175</v>
      </c>
      <c r="BE163">
        <v>95051601</v>
      </c>
      <c r="BF163" t="s">
        <v>969</v>
      </c>
      <c r="BG163" s="120">
        <v>14175</v>
      </c>
      <c r="BI163" s="69">
        <v>94121502</v>
      </c>
      <c r="BJ163" s="69" t="s">
        <v>3898</v>
      </c>
      <c r="BK163" s="54">
        <v>4725</v>
      </c>
    </row>
    <row r="164" spans="49:63">
      <c r="AW164" s="143">
        <v>97123106</v>
      </c>
      <c r="AX164" t="s">
        <v>3772</v>
      </c>
      <c r="AY164" s="124">
        <v>11340</v>
      </c>
      <c r="BA164">
        <v>96101801</v>
      </c>
      <c r="BB164" t="s">
        <v>1580</v>
      </c>
      <c r="BC164" s="145">
        <v>14175</v>
      </c>
      <c r="BE164">
        <v>95051601</v>
      </c>
      <c r="BF164" t="s">
        <v>970</v>
      </c>
      <c r="BG164" s="120">
        <v>14175</v>
      </c>
      <c r="BI164" s="69">
        <v>94121502</v>
      </c>
      <c r="BJ164" s="69" t="s">
        <v>3899</v>
      </c>
      <c r="BK164" s="54">
        <v>4725</v>
      </c>
    </row>
    <row r="165" spans="49:63">
      <c r="AW165" s="143">
        <v>97123106</v>
      </c>
      <c r="AX165" t="s">
        <v>3773</v>
      </c>
      <c r="AY165" s="124">
        <v>11340</v>
      </c>
      <c r="BA165">
        <v>96101801</v>
      </c>
      <c r="BB165" t="s">
        <v>1581</v>
      </c>
      <c r="BC165" s="145">
        <v>14175</v>
      </c>
      <c r="BE165">
        <v>95051601</v>
      </c>
      <c r="BF165" t="s">
        <v>971</v>
      </c>
      <c r="BG165" s="120">
        <v>14175</v>
      </c>
      <c r="BI165" s="69">
        <v>94121503</v>
      </c>
      <c r="BJ165" s="69" t="s">
        <v>3900</v>
      </c>
      <c r="BK165" s="54">
        <v>4725</v>
      </c>
    </row>
    <row r="166" spans="49:63">
      <c r="AW166" s="143">
        <v>97123106</v>
      </c>
      <c r="AX166" t="s">
        <v>3774</v>
      </c>
      <c r="AY166" s="124">
        <v>11340</v>
      </c>
      <c r="BA166">
        <v>96101801</v>
      </c>
      <c r="BB166" t="s">
        <v>1582</v>
      </c>
      <c r="BC166" s="145">
        <v>14175</v>
      </c>
      <c r="BE166" s="72">
        <v>94121501</v>
      </c>
      <c r="BF166" s="72" t="s">
        <v>3477</v>
      </c>
      <c r="BG166" s="62">
        <v>4725</v>
      </c>
      <c r="BI166" s="69">
        <v>94121503</v>
      </c>
      <c r="BJ166" s="69" t="s">
        <v>3901</v>
      </c>
      <c r="BK166" s="54">
        <v>4725</v>
      </c>
    </row>
    <row r="167" spans="49:63">
      <c r="AW167" s="143">
        <v>97123107</v>
      </c>
      <c r="AX167" t="s">
        <v>3775</v>
      </c>
      <c r="AY167" s="124">
        <v>11340</v>
      </c>
      <c r="BA167">
        <v>96102201</v>
      </c>
      <c r="BB167" t="s">
        <v>1583</v>
      </c>
      <c r="BC167" s="145">
        <v>14175</v>
      </c>
      <c r="BE167" s="72">
        <v>94121501</v>
      </c>
      <c r="BF167" s="72" t="s">
        <v>3478</v>
      </c>
      <c r="BG167" s="62">
        <v>4725</v>
      </c>
      <c r="BI167" s="69">
        <v>94121503</v>
      </c>
      <c r="BJ167" s="69" t="s">
        <v>3902</v>
      </c>
      <c r="BK167" s="54">
        <v>4725</v>
      </c>
    </row>
    <row r="168" spans="49:63">
      <c r="AW168" s="143">
        <v>97123107</v>
      </c>
      <c r="AX168" t="s">
        <v>3776</v>
      </c>
      <c r="AY168" s="124">
        <v>11340</v>
      </c>
      <c r="BA168">
        <v>96102201</v>
      </c>
      <c r="BB168" t="s">
        <v>1584</v>
      </c>
      <c r="BC168" s="145">
        <v>14175</v>
      </c>
      <c r="BE168" s="72">
        <v>94121502</v>
      </c>
      <c r="BF168" s="72" t="s">
        <v>3479</v>
      </c>
      <c r="BG168" s="62">
        <v>4725</v>
      </c>
      <c r="BI168" s="72">
        <v>93120101</v>
      </c>
      <c r="BJ168" s="72" t="s">
        <v>958</v>
      </c>
      <c r="BK168" s="62">
        <v>14175</v>
      </c>
    </row>
    <row r="169" spans="49:63">
      <c r="AW169" s="158">
        <v>96101801</v>
      </c>
      <c r="AX169" s="144" t="s">
        <v>1580</v>
      </c>
      <c r="AY169" s="153">
        <v>14175</v>
      </c>
      <c r="BA169">
        <v>96102201</v>
      </c>
      <c r="BB169" t="s">
        <v>1585</v>
      </c>
      <c r="BC169" s="145">
        <v>14175</v>
      </c>
      <c r="BE169" s="72">
        <v>94121502</v>
      </c>
      <c r="BF169" s="72" t="s">
        <v>3480</v>
      </c>
      <c r="BG169" s="62">
        <v>4725</v>
      </c>
      <c r="BI169" s="72">
        <v>93120101</v>
      </c>
      <c r="BJ169" s="72" t="s">
        <v>959</v>
      </c>
      <c r="BK169" s="62">
        <v>14175</v>
      </c>
    </row>
    <row r="170" spans="49:63">
      <c r="AW170" s="158">
        <v>96101801</v>
      </c>
      <c r="AX170" s="144" t="s">
        <v>1581</v>
      </c>
      <c r="AY170" s="153">
        <v>14175</v>
      </c>
      <c r="BA170">
        <v>96102201</v>
      </c>
      <c r="BB170" t="s">
        <v>1586</v>
      </c>
      <c r="BC170" s="145">
        <v>14175</v>
      </c>
      <c r="BE170" s="72">
        <v>94121502</v>
      </c>
      <c r="BF170" s="72" t="s">
        <v>3481</v>
      </c>
      <c r="BG170" s="62">
        <v>4725</v>
      </c>
      <c r="BI170" s="72">
        <v>93120101</v>
      </c>
      <c r="BJ170" s="72" t="s">
        <v>960</v>
      </c>
      <c r="BK170" s="62">
        <v>14175</v>
      </c>
    </row>
    <row r="171" spans="49:63">
      <c r="AW171" s="158">
        <v>96101801</v>
      </c>
      <c r="AX171" s="144" t="s">
        <v>1582</v>
      </c>
      <c r="AY171" s="153">
        <v>14175</v>
      </c>
      <c r="BA171">
        <v>96102201</v>
      </c>
      <c r="BB171" t="s">
        <v>1587</v>
      </c>
      <c r="BC171" s="145">
        <v>14175</v>
      </c>
      <c r="BE171" s="72">
        <v>94121502</v>
      </c>
      <c r="BF171" s="72" t="s">
        <v>3482</v>
      </c>
      <c r="BG171" s="62">
        <v>4725</v>
      </c>
      <c r="BI171" s="72">
        <v>93123002</v>
      </c>
      <c r="BJ171" s="72" t="s">
        <v>961</v>
      </c>
      <c r="BK171" s="62">
        <v>7740</v>
      </c>
    </row>
    <row r="172" spans="49:63">
      <c r="AW172" s="158">
        <v>96102201</v>
      </c>
      <c r="AX172" s="144" t="s">
        <v>1587</v>
      </c>
      <c r="AY172" s="153">
        <v>14175</v>
      </c>
      <c r="BA172">
        <v>96102201</v>
      </c>
      <c r="BB172" t="s">
        <v>1588</v>
      </c>
      <c r="BC172" s="145">
        <v>14175</v>
      </c>
      <c r="BE172" s="72">
        <v>94121502</v>
      </c>
      <c r="BF172" s="72" t="s">
        <v>3897</v>
      </c>
      <c r="BG172" s="62">
        <v>4725</v>
      </c>
      <c r="BI172" s="72">
        <v>93123002</v>
      </c>
      <c r="BJ172" s="72" t="s">
        <v>962</v>
      </c>
      <c r="BK172" s="62">
        <v>7740</v>
      </c>
    </row>
    <row r="173" spans="49:63">
      <c r="AW173" s="158">
        <v>96102201</v>
      </c>
      <c r="AX173" s="144" t="s">
        <v>1588</v>
      </c>
      <c r="AY173" s="153">
        <v>14175</v>
      </c>
      <c r="BA173">
        <v>96102201</v>
      </c>
      <c r="BB173" t="s">
        <v>2643</v>
      </c>
      <c r="BC173" s="145">
        <v>14175</v>
      </c>
      <c r="BE173" s="72">
        <v>94121502</v>
      </c>
      <c r="BF173" s="72" t="s">
        <v>3898</v>
      </c>
      <c r="BG173" s="62">
        <v>4725</v>
      </c>
      <c r="BI173" s="72">
        <v>93123002</v>
      </c>
      <c r="BJ173" s="72" t="s">
        <v>963</v>
      </c>
      <c r="BK173" s="62">
        <v>7740</v>
      </c>
    </row>
    <row r="174" spans="49:63">
      <c r="AW174" s="158">
        <v>96102201</v>
      </c>
      <c r="AX174" s="144" t="s">
        <v>2643</v>
      </c>
      <c r="AY174" s="153">
        <v>14175</v>
      </c>
      <c r="BA174" s="144">
        <v>95052301</v>
      </c>
      <c r="BB174" s="144" t="s">
        <v>3527</v>
      </c>
      <c r="BC174" s="62">
        <v>13500</v>
      </c>
      <c r="BE174" s="72">
        <v>94121502</v>
      </c>
      <c r="BF174" s="72" t="s">
        <v>3899</v>
      </c>
      <c r="BG174" s="62">
        <v>4725</v>
      </c>
      <c r="BI174" s="72">
        <v>93123002</v>
      </c>
      <c r="BJ174" s="72" t="s">
        <v>964</v>
      </c>
      <c r="BK174" s="62">
        <v>7740</v>
      </c>
    </row>
    <row r="175" spans="49:63">
      <c r="AW175" s="143">
        <v>97091705</v>
      </c>
      <c r="AX175" t="s">
        <v>1658</v>
      </c>
      <c r="AY175" s="124">
        <v>13500</v>
      </c>
      <c r="BA175">
        <v>96100102</v>
      </c>
      <c r="BB175" t="s">
        <v>2644</v>
      </c>
      <c r="BC175" s="145">
        <v>14175</v>
      </c>
      <c r="BE175" s="72">
        <v>94121503</v>
      </c>
      <c r="BF175" s="72" t="s">
        <v>3900</v>
      </c>
      <c r="BG175" s="62">
        <v>4725</v>
      </c>
      <c r="BI175" s="72">
        <v>93123002</v>
      </c>
      <c r="BJ175" s="72" t="s">
        <v>965</v>
      </c>
      <c r="BK175" s="62">
        <v>810</v>
      </c>
    </row>
    <row r="176" spans="49:63">
      <c r="AW176" s="143">
        <v>97091705</v>
      </c>
      <c r="AX176" t="s">
        <v>1659</v>
      </c>
      <c r="AY176" s="124">
        <v>13500</v>
      </c>
      <c r="BA176">
        <v>96100102</v>
      </c>
      <c r="BB176" t="s">
        <v>2645</v>
      </c>
      <c r="BC176" s="145">
        <v>14175</v>
      </c>
      <c r="BE176" s="72">
        <v>94121503</v>
      </c>
      <c r="BF176" s="72" t="s">
        <v>3901</v>
      </c>
      <c r="BG176" s="62">
        <v>4725</v>
      </c>
      <c r="BI176" s="72">
        <v>93123002</v>
      </c>
      <c r="BJ176" s="72" t="s">
        <v>966</v>
      </c>
      <c r="BK176" s="62">
        <v>810</v>
      </c>
    </row>
    <row r="177" spans="49:63">
      <c r="AW177" s="143">
        <v>97091705</v>
      </c>
      <c r="AX177" t="s">
        <v>1660</v>
      </c>
      <c r="AY177" s="124">
        <v>13500</v>
      </c>
      <c r="BA177">
        <v>96100102</v>
      </c>
      <c r="BB177" t="s">
        <v>2646</v>
      </c>
      <c r="BC177" s="145">
        <v>14175</v>
      </c>
      <c r="BE177" s="72">
        <v>94121503</v>
      </c>
      <c r="BF177" s="72" t="s">
        <v>3902</v>
      </c>
      <c r="BG177" s="62">
        <v>4725</v>
      </c>
      <c r="BI177" s="72">
        <v>93123002</v>
      </c>
      <c r="BJ177" s="72" t="s">
        <v>1632</v>
      </c>
      <c r="BK177" s="62">
        <v>810</v>
      </c>
    </row>
    <row r="178" spans="49:63">
      <c r="AW178" s="143">
        <v>97091705</v>
      </c>
      <c r="AX178" t="s">
        <v>1661</v>
      </c>
      <c r="AY178" s="124">
        <v>13500</v>
      </c>
      <c r="BA178">
        <v>96100102</v>
      </c>
      <c r="BB178" t="s">
        <v>2647</v>
      </c>
      <c r="BC178" s="145">
        <v>14175</v>
      </c>
      <c r="BE178">
        <v>95052501</v>
      </c>
      <c r="BF178" t="s">
        <v>972</v>
      </c>
      <c r="BG178" s="120">
        <v>14175</v>
      </c>
      <c r="BI178" s="72">
        <v>93123002</v>
      </c>
      <c r="BJ178" s="72" t="s">
        <v>1633</v>
      </c>
      <c r="BK178" s="62">
        <v>810</v>
      </c>
    </row>
    <row r="179" spans="49:63">
      <c r="AW179" s="143">
        <v>97091705</v>
      </c>
      <c r="AX179" t="s">
        <v>1662</v>
      </c>
      <c r="AY179" s="124">
        <v>13500</v>
      </c>
      <c r="BA179">
        <v>96100102</v>
      </c>
      <c r="BB179" t="s">
        <v>2648</v>
      </c>
      <c r="BC179" s="145">
        <v>14175</v>
      </c>
      <c r="BE179">
        <v>95052501</v>
      </c>
      <c r="BF179" t="s">
        <v>973</v>
      </c>
      <c r="BG179" s="120">
        <v>14175</v>
      </c>
      <c r="BI179" s="69">
        <v>94081901</v>
      </c>
      <c r="BJ179" s="69" t="s">
        <v>3903</v>
      </c>
      <c r="BK179" s="54">
        <v>14175</v>
      </c>
    </row>
    <row r="180" spans="49:63">
      <c r="AW180" s="143">
        <v>97091705</v>
      </c>
      <c r="AX180" t="s">
        <v>1663</v>
      </c>
      <c r="AY180" s="124">
        <v>13500</v>
      </c>
      <c r="BA180">
        <v>96100102</v>
      </c>
      <c r="BB180" t="s">
        <v>3828</v>
      </c>
      <c r="BC180" s="145">
        <v>14175</v>
      </c>
      <c r="BE180">
        <v>95052501</v>
      </c>
      <c r="BF180" t="s">
        <v>974</v>
      </c>
      <c r="BG180" s="120">
        <v>14175</v>
      </c>
      <c r="BI180" s="69">
        <v>94081901</v>
      </c>
      <c r="BJ180" s="69" t="s">
        <v>3904</v>
      </c>
      <c r="BK180" s="54">
        <v>14175</v>
      </c>
    </row>
    <row r="181" spans="49:63">
      <c r="AW181" s="158">
        <v>96062607</v>
      </c>
      <c r="AX181" s="144" t="s">
        <v>3841</v>
      </c>
      <c r="AY181" s="153">
        <v>4500</v>
      </c>
      <c r="BA181">
        <v>96062605</v>
      </c>
      <c r="BB181" t="s">
        <v>3829</v>
      </c>
      <c r="BC181" s="145">
        <v>4500</v>
      </c>
      <c r="BE181">
        <v>95052501</v>
      </c>
      <c r="BF181" t="s">
        <v>975</v>
      </c>
      <c r="BG181" s="120">
        <v>14175</v>
      </c>
      <c r="BI181" s="69">
        <v>94081901</v>
      </c>
      <c r="BJ181" s="69" t="s">
        <v>3905</v>
      </c>
      <c r="BK181" s="54">
        <v>14175</v>
      </c>
    </row>
    <row r="182" spans="49:63">
      <c r="AW182" s="158">
        <v>96062607</v>
      </c>
      <c r="AX182" s="144" t="s">
        <v>3842</v>
      </c>
      <c r="AY182" s="153">
        <v>4500</v>
      </c>
      <c r="BA182">
        <v>96062605</v>
      </c>
      <c r="BB182" t="s">
        <v>3830</v>
      </c>
      <c r="BC182" s="145">
        <v>4500</v>
      </c>
      <c r="BE182">
        <v>95052501</v>
      </c>
      <c r="BF182" t="s">
        <v>976</v>
      </c>
      <c r="BG182" s="120">
        <v>14175</v>
      </c>
      <c r="BI182" s="69">
        <v>94081901</v>
      </c>
      <c r="BJ182" s="69" t="s">
        <v>3906</v>
      </c>
      <c r="BK182" s="54">
        <v>14175</v>
      </c>
    </row>
    <row r="183" spans="49:63">
      <c r="AW183" s="158">
        <v>96062607</v>
      </c>
      <c r="AX183" s="144" t="s">
        <v>3843</v>
      </c>
      <c r="AY183" s="153">
        <v>4500</v>
      </c>
      <c r="BA183">
        <v>96062605</v>
      </c>
      <c r="BB183" t="s">
        <v>3831</v>
      </c>
      <c r="BC183" s="145">
        <v>4500</v>
      </c>
      <c r="BE183">
        <v>95050401</v>
      </c>
      <c r="BF183" t="s">
        <v>977</v>
      </c>
      <c r="BG183" s="120">
        <v>14175</v>
      </c>
      <c r="BI183" s="69">
        <v>94081901</v>
      </c>
      <c r="BJ183" s="69" t="s">
        <v>3907</v>
      </c>
      <c r="BK183" s="54">
        <v>14175</v>
      </c>
    </row>
    <row r="184" spans="49:63">
      <c r="AW184" s="158">
        <v>96062607</v>
      </c>
      <c r="AX184" s="144" t="s">
        <v>3844</v>
      </c>
      <c r="AY184" s="153">
        <v>4500</v>
      </c>
      <c r="BA184">
        <v>96062605</v>
      </c>
      <c r="BB184" t="s">
        <v>3832</v>
      </c>
      <c r="BC184" s="145">
        <v>4500</v>
      </c>
      <c r="BE184">
        <v>95050401</v>
      </c>
      <c r="BF184" t="s">
        <v>978</v>
      </c>
      <c r="BG184" s="120">
        <v>14175</v>
      </c>
      <c r="BI184" s="69">
        <v>94081901</v>
      </c>
      <c r="BJ184" s="69" t="s">
        <v>3908</v>
      </c>
      <c r="BK184" s="54">
        <v>14175</v>
      </c>
    </row>
    <row r="185" spans="49:63">
      <c r="AW185" s="158">
        <v>96062607</v>
      </c>
      <c r="AX185" s="144" t="s">
        <v>3845</v>
      </c>
      <c r="AY185" s="153">
        <v>4500</v>
      </c>
      <c r="BA185">
        <v>96062606</v>
      </c>
      <c r="BB185" t="s">
        <v>3833</v>
      </c>
      <c r="BC185" s="145">
        <v>4500</v>
      </c>
      <c r="BE185">
        <v>95050401</v>
      </c>
      <c r="BF185" t="s">
        <v>979</v>
      </c>
      <c r="BG185" s="120">
        <v>14175</v>
      </c>
      <c r="BI185" s="69">
        <v>94081902</v>
      </c>
      <c r="BJ185" s="69" t="s">
        <v>3909</v>
      </c>
      <c r="BK185" s="54">
        <v>14175</v>
      </c>
    </row>
    <row r="186" spans="49:63">
      <c r="AW186" s="158">
        <v>96062607</v>
      </c>
      <c r="AX186" s="144" t="s">
        <v>3846</v>
      </c>
      <c r="AY186" s="153">
        <v>4500</v>
      </c>
      <c r="BA186">
        <v>96062606</v>
      </c>
      <c r="BB186" t="s">
        <v>3834</v>
      </c>
      <c r="BC186" s="145">
        <v>4500</v>
      </c>
      <c r="BE186">
        <v>95050401</v>
      </c>
      <c r="BF186" t="s">
        <v>980</v>
      </c>
      <c r="BG186" s="120">
        <v>14175</v>
      </c>
      <c r="BI186" s="69">
        <v>94081901</v>
      </c>
      <c r="BJ186" s="69" t="s">
        <v>3910</v>
      </c>
      <c r="BK186" s="54">
        <v>14175</v>
      </c>
    </row>
    <row r="187" spans="49:63">
      <c r="AW187" s="158">
        <v>96100102</v>
      </c>
      <c r="AX187" s="144" t="s">
        <v>2648</v>
      </c>
      <c r="AY187" s="153">
        <v>14175</v>
      </c>
      <c r="BA187">
        <v>96062606</v>
      </c>
      <c r="BB187" t="s">
        <v>3835</v>
      </c>
      <c r="BC187" s="145">
        <v>4500</v>
      </c>
      <c r="BE187">
        <v>95050401</v>
      </c>
      <c r="BF187" t="s">
        <v>981</v>
      </c>
      <c r="BG187" s="120">
        <v>14175</v>
      </c>
      <c r="BI187" s="69">
        <v>94121903</v>
      </c>
      <c r="BJ187" s="69" t="s">
        <v>3911</v>
      </c>
      <c r="BK187" s="54">
        <v>14175</v>
      </c>
    </row>
    <row r="188" spans="49:63">
      <c r="AW188" s="158">
        <v>96100102</v>
      </c>
      <c r="AX188" s="144" t="s">
        <v>3828</v>
      </c>
      <c r="AY188" s="153">
        <v>14175</v>
      </c>
      <c r="BA188">
        <v>96062606</v>
      </c>
      <c r="BB188" t="s">
        <v>3836</v>
      </c>
      <c r="BC188" s="145">
        <v>4500</v>
      </c>
      <c r="BE188" s="72">
        <v>94081901</v>
      </c>
      <c r="BF188" s="72" t="s">
        <v>3906</v>
      </c>
      <c r="BG188" s="62">
        <v>14175</v>
      </c>
      <c r="BI188" s="72">
        <v>93042201</v>
      </c>
      <c r="BJ188" s="72" t="s">
        <v>1634</v>
      </c>
      <c r="BK188" s="62">
        <v>8978</v>
      </c>
    </row>
    <row r="189" spans="49:63">
      <c r="AW189" s="158">
        <v>96082101</v>
      </c>
      <c r="AX189" s="144" t="s">
        <v>3855</v>
      </c>
      <c r="AY189" s="153">
        <v>14175</v>
      </c>
      <c r="BA189">
        <v>96062606</v>
      </c>
      <c r="BB189" t="s">
        <v>3837</v>
      </c>
      <c r="BC189" s="145">
        <v>4500</v>
      </c>
      <c r="BE189" s="72">
        <v>94081901</v>
      </c>
      <c r="BF189" s="72" t="s">
        <v>3907</v>
      </c>
      <c r="BG189" s="62">
        <v>14175</v>
      </c>
      <c r="BI189" s="69">
        <v>94051202</v>
      </c>
      <c r="BJ189" s="69" t="s">
        <v>3912</v>
      </c>
      <c r="BK189" s="54">
        <v>12600</v>
      </c>
    </row>
    <row r="190" spans="49:63">
      <c r="AW190" s="158">
        <v>96082101</v>
      </c>
      <c r="AX190" s="144" t="s">
        <v>3856</v>
      </c>
      <c r="AY190" s="153">
        <v>14175</v>
      </c>
      <c r="BA190">
        <v>96062606</v>
      </c>
      <c r="BB190" t="s">
        <v>3838</v>
      </c>
      <c r="BC190" s="145">
        <v>4500</v>
      </c>
      <c r="BE190" s="72">
        <v>94081901</v>
      </c>
      <c r="BF190" s="72" t="s">
        <v>3908</v>
      </c>
      <c r="BG190" s="62">
        <v>14175</v>
      </c>
      <c r="BI190" s="69">
        <v>94051202</v>
      </c>
      <c r="BJ190" s="69" t="s">
        <v>3913</v>
      </c>
      <c r="BK190" s="54">
        <v>12600</v>
      </c>
    </row>
    <row r="191" spans="49:63">
      <c r="AW191" s="158">
        <v>96082101</v>
      </c>
      <c r="AX191" s="144" t="s">
        <v>3857</v>
      </c>
      <c r="AY191" s="153">
        <v>14175</v>
      </c>
      <c r="BA191">
        <v>96062606</v>
      </c>
      <c r="BB191" t="s">
        <v>3839</v>
      </c>
      <c r="BC191" s="145">
        <v>4500</v>
      </c>
      <c r="BE191" s="72">
        <v>94081902</v>
      </c>
      <c r="BF191" s="72" t="s">
        <v>3909</v>
      </c>
      <c r="BG191" s="62">
        <v>14175</v>
      </c>
      <c r="BI191" s="69">
        <v>94051202</v>
      </c>
      <c r="BJ191" s="69" t="s">
        <v>3914</v>
      </c>
      <c r="BK191" s="54">
        <v>12600</v>
      </c>
    </row>
    <row r="192" spans="49:63">
      <c r="AW192" s="143">
        <v>97041801</v>
      </c>
      <c r="AX192" t="s">
        <v>1664</v>
      </c>
      <c r="AY192" s="124">
        <v>14175</v>
      </c>
      <c r="BA192">
        <v>96062608</v>
      </c>
      <c r="BB192" t="s">
        <v>3840</v>
      </c>
      <c r="BC192" s="145">
        <v>4500</v>
      </c>
      <c r="BE192">
        <v>95041807</v>
      </c>
      <c r="BF192" t="s">
        <v>982</v>
      </c>
      <c r="BG192" s="120">
        <v>13389</v>
      </c>
      <c r="BI192" s="69">
        <v>94051202</v>
      </c>
      <c r="BJ192" s="69" t="s">
        <v>3915</v>
      </c>
      <c r="BK192" s="54">
        <v>12600</v>
      </c>
    </row>
    <row r="193" spans="49:63">
      <c r="AW193" s="143">
        <v>97041801</v>
      </c>
      <c r="AX193" t="s">
        <v>1665</v>
      </c>
      <c r="AY193" s="124">
        <v>14175</v>
      </c>
      <c r="BA193">
        <v>96062607</v>
      </c>
      <c r="BB193" t="s">
        <v>3841</v>
      </c>
      <c r="BC193" s="145">
        <v>4500</v>
      </c>
      <c r="BE193">
        <v>95041807</v>
      </c>
      <c r="BF193" t="s">
        <v>983</v>
      </c>
      <c r="BG193" s="120">
        <v>13389</v>
      </c>
      <c r="BI193" s="69">
        <v>94051202</v>
      </c>
      <c r="BJ193" s="69" t="s">
        <v>3916</v>
      </c>
      <c r="BK193" s="54">
        <v>12600</v>
      </c>
    </row>
    <row r="194" spans="49:63">
      <c r="AW194" s="143">
        <v>97041801</v>
      </c>
      <c r="AX194" t="s">
        <v>1666</v>
      </c>
      <c r="AY194" s="124">
        <v>14175</v>
      </c>
      <c r="BA194">
        <v>96062607</v>
      </c>
      <c r="BB194" t="s">
        <v>3842</v>
      </c>
      <c r="BC194" s="145">
        <v>4500</v>
      </c>
      <c r="BE194">
        <v>95041807</v>
      </c>
      <c r="BF194" t="s">
        <v>984</v>
      </c>
      <c r="BG194" s="120">
        <v>13389</v>
      </c>
      <c r="BI194" s="69">
        <v>94051202</v>
      </c>
      <c r="BJ194" s="69" t="s">
        <v>3917</v>
      </c>
      <c r="BK194" s="54">
        <v>12600</v>
      </c>
    </row>
    <row r="195" spans="49:63">
      <c r="AW195" s="143">
        <v>97041801</v>
      </c>
      <c r="AX195" t="s">
        <v>1667</v>
      </c>
      <c r="AY195" s="124">
        <v>14175</v>
      </c>
      <c r="BA195">
        <v>96062607</v>
      </c>
      <c r="BB195" t="s">
        <v>3843</v>
      </c>
      <c r="BC195" s="145">
        <v>4500</v>
      </c>
      <c r="BE195">
        <v>95041807</v>
      </c>
      <c r="BF195" t="s">
        <v>985</v>
      </c>
      <c r="BG195" s="120">
        <v>13386</v>
      </c>
      <c r="BI195" s="69">
        <v>94040402</v>
      </c>
      <c r="BJ195" s="69" t="s">
        <v>3918</v>
      </c>
      <c r="BK195" s="54">
        <v>14175</v>
      </c>
    </row>
    <row r="196" spans="49:63">
      <c r="AW196" s="158">
        <v>96121101</v>
      </c>
      <c r="AX196" s="144" t="s">
        <v>3862</v>
      </c>
      <c r="AY196" s="153">
        <v>14175</v>
      </c>
      <c r="BA196">
        <v>96062607</v>
      </c>
      <c r="BB196" t="s">
        <v>3844</v>
      </c>
      <c r="BC196" s="145">
        <v>4500</v>
      </c>
      <c r="BE196">
        <v>95071201</v>
      </c>
      <c r="BF196" t="s">
        <v>986</v>
      </c>
      <c r="BG196" s="120">
        <v>14175</v>
      </c>
      <c r="BI196" s="69">
        <v>94040402</v>
      </c>
      <c r="BJ196" s="69" t="s">
        <v>3919</v>
      </c>
      <c r="BK196" s="54">
        <v>14175</v>
      </c>
    </row>
    <row r="197" spans="49:63">
      <c r="AW197" s="158">
        <v>96121101</v>
      </c>
      <c r="AX197" s="144" t="s">
        <v>3863</v>
      </c>
      <c r="AY197" s="153">
        <v>14175</v>
      </c>
      <c r="BA197">
        <v>96062607</v>
      </c>
      <c r="BB197" t="s">
        <v>3845</v>
      </c>
      <c r="BC197" s="145">
        <v>4500</v>
      </c>
      <c r="BE197">
        <v>95071201</v>
      </c>
      <c r="BF197" t="s">
        <v>987</v>
      </c>
      <c r="BG197" s="120">
        <v>14175</v>
      </c>
      <c r="BI197" s="69">
        <v>94040402</v>
      </c>
      <c r="BJ197" s="69" t="s">
        <v>3920</v>
      </c>
      <c r="BK197" s="54">
        <v>14175</v>
      </c>
    </row>
    <row r="198" spans="49:63">
      <c r="AW198" s="143">
        <v>97030604</v>
      </c>
      <c r="AX198" t="s">
        <v>1668</v>
      </c>
      <c r="AY198" s="124">
        <v>14175</v>
      </c>
      <c r="BA198">
        <v>96062607</v>
      </c>
      <c r="BB198" t="s">
        <v>3846</v>
      </c>
      <c r="BC198" s="145">
        <v>4500</v>
      </c>
      <c r="BE198">
        <v>95071201</v>
      </c>
      <c r="BF198" t="s">
        <v>988</v>
      </c>
      <c r="BG198" s="120">
        <v>14175</v>
      </c>
      <c r="BI198" s="69">
        <v>94040402</v>
      </c>
      <c r="BJ198" s="69" t="s">
        <v>3921</v>
      </c>
      <c r="BK198" s="54">
        <v>14175</v>
      </c>
    </row>
    <row r="199" spans="49:63">
      <c r="AW199" s="143">
        <v>97030604</v>
      </c>
      <c r="AX199" t="s">
        <v>1669</v>
      </c>
      <c r="AY199" s="124">
        <v>14175</v>
      </c>
      <c r="BA199">
        <v>96031201</v>
      </c>
      <c r="BB199" t="s">
        <v>3847</v>
      </c>
      <c r="BC199" s="145">
        <v>14175</v>
      </c>
      <c r="BE199">
        <v>95071201</v>
      </c>
      <c r="BF199" t="s">
        <v>989</v>
      </c>
      <c r="BG199" s="120">
        <v>14175</v>
      </c>
      <c r="BI199" s="69">
        <v>94040402</v>
      </c>
      <c r="BJ199" s="69" t="s">
        <v>3922</v>
      </c>
      <c r="BK199" s="54">
        <v>14175</v>
      </c>
    </row>
    <row r="200" spans="49:63">
      <c r="AW200" s="143">
        <v>97030604</v>
      </c>
      <c r="AX200" t="s">
        <v>1670</v>
      </c>
      <c r="AY200" s="124">
        <v>14175</v>
      </c>
      <c r="BA200">
        <v>96031201</v>
      </c>
      <c r="BB200" t="s">
        <v>3848</v>
      </c>
      <c r="BC200" s="145">
        <v>14175</v>
      </c>
      <c r="BE200">
        <v>95071201</v>
      </c>
      <c r="BF200" t="s">
        <v>990</v>
      </c>
      <c r="BG200" s="120">
        <v>14175</v>
      </c>
      <c r="BI200" s="69">
        <v>94040404</v>
      </c>
      <c r="BJ200" s="69" t="s">
        <v>3923</v>
      </c>
      <c r="BK200" s="54">
        <v>14175</v>
      </c>
    </row>
    <row r="201" spans="49:63">
      <c r="AW201" s="143">
        <v>97030604</v>
      </c>
      <c r="AX201" t="s">
        <v>1671</v>
      </c>
      <c r="AY201" s="124">
        <v>14175</v>
      </c>
      <c r="BA201">
        <v>96031201</v>
      </c>
      <c r="BB201" t="s">
        <v>3849</v>
      </c>
      <c r="BC201" s="145">
        <v>14175</v>
      </c>
      <c r="BE201">
        <v>95071201</v>
      </c>
      <c r="BF201" t="s">
        <v>991</v>
      </c>
      <c r="BG201" s="120">
        <v>14175</v>
      </c>
      <c r="BI201" s="69">
        <v>94040404</v>
      </c>
      <c r="BJ201" s="69" t="s">
        <v>3924</v>
      </c>
      <c r="BK201" s="54">
        <v>14175</v>
      </c>
    </row>
    <row r="202" spans="49:63">
      <c r="AW202" s="143">
        <v>97030605</v>
      </c>
      <c r="AX202" t="s">
        <v>1672</v>
      </c>
      <c r="AY202" s="124">
        <v>14175</v>
      </c>
      <c r="BA202">
        <v>96031201</v>
      </c>
      <c r="BB202" t="s">
        <v>3850</v>
      </c>
      <c r="BC202" s="145">
        <v>14175</v>
      </c>
      <c r="BE202" s="72">
        <v>94051202</v>
      </c>
      <c r="BF202" s="72" t="s">
        <v>3432</v>
      </c>
      <c r="BG202" s="63">
        <v>12600</v>
      </c>
      <c r="BI202" s="69">
        <v>94040404</v>
      </c>
      <c r="BJ202" s="69" t="s">
        <v>3925</v>
      </c>
      <c r="BK202" s="54">
        <v>14175</v>
      </c>
    </row>
    <row r="203" spans="49:63">
      <c r="AW203" s="143">
        <v>97062606</v>
      </c>
      <c r="AX203" t="s">
        <v>1673</v>
      </c>
      <c r="AY203" s="124">
        <v>13500</v>
      </c>
      <c r="BA203" s="144">
        <v>95050402</v>
      </c>
      <c r="BB203" s="144" t="s">
        <v>3536</v>
      </c>
      <c r="BC203" s="62">
        <v>13500</v>
      </c>
      <c r="BE203" s="72">
        <v>94051202</v>
      </c>
      <c r="BF203" s="72" t="s">
        <v>3433</v>
      </c>
      <c r="BG203" s="63">
        <v>12600</v>
      </c>
      <c r="BI203" s="69">
        <v>94040404</v>
      </c>
      <c r="BJ203" s="69" t="s">
        <v>3926</v>
      </c>
      <c r="BK203" s="54">
        <v>14175</v>
      </c>
    </row>
    <row r="204" spans="49:63">
      <c r="AW204" s="143">
        <v>97062606</v>
      </c>
      <c r="AX204" t="s">
        <v>1674</v>
      </c>
      <c r="AY204" s="124">
        <v>13500</v>
      </c>
      <c r="BA204" s="144">
        <v>95050402</v>
      </c>
      <c r="BB204" s="144" t="s">
        <v>3537</v>
      </c>
      <c r="BC204" s="62">
        <v>13500</v>
      </c>
      <c r="BE204">
        <v>95060102</v>
      </c>
      <c r="BF204" t="s">
        <v>3434</v>
      </c>
      <c r="BG204" s="121">
        <v>14175</v>
      </c>
      <c r="BI204" s="69">
        <v>94111804</v>
      </c>
      <c r="BJ204" s="69" t="s">
        <v>3927</v>
      </c>
      <c r="BK204" s="54">
        <v>14175</v>
      </c>
    </row>
    <row r="205" spans="49:63">
      <c r="AW205" s="143">
        <v>97062606</v>
      </c>
      <c r="AX205" t="s">
        <v>1675</v>
      </c>
      <c r="AY205" s="124">
        <v>13500</v>
      </c>
      <c r="BA205" s="144">
        <v>95050402</v>
      </c>
      <c r="BB205" s="144" t="s">
        <v>3538</v>
      </c>
      <c r="BC205" s="62">
        <v>13500</v>
      </c>
      <c r="BE205">
        <v>95060102</v>
      </c>
      <c r="BF205" t="s">
        <v>3435</v>
      </c>
      <c r="BG205" s="121">
        <v>14175</v>
      </c>
      <c r="BI205" s="69">
        <v>94111804</v>
      </c>
      <c r="BJ205" s="69" t="s">
        <v>3928</v>
      </c>
      <c r="BK205" s="54">
        <v>14175</v>
      </c>
    </row>
    <row r="206" spans="49:63">
      <c r="AW206" s="143">
        <v>97062606</v>
      </c>
      <c r="AX206" t="s">
        <v>1676</v>
      </c>
      <c r="AY206" s="124">
        <v>13500</v>
      </c>
      <c r="BA206" s="144">
        <v>95010305</v>
      </c>
      <c r="BB206" s="144" t="s">
        <v>3543</v>
      </c>
      <c r="BC206" s="62">
        <v>11340</v>
      </c>
      <c r="BE206">
        <v>95060102</v>
      </c>
      <c r="BF206" t="s">
        <v>3436</v>
      </c>
      <c r="BG206" s="121">
        <v>14175</v>
      </c>
      <c r="BI206" s="69">
        <v>94111804</v>
      </c>
      <c r="BJ206" s="69" t="s">
        <v>3929</v>
      </c>
      <c r="BK206" s="54">
        <v>14175</v>
      </c>
    </row>
    <row r="207" spans="49:63">
      <c r="AW207" s="143">
        <v>97062607</v>
      </c>
      <c r="AX207" t="s">
        <v>1677</v>
      </c>
      <c r="AY207" s="124">
        <v>13500</v>
      </c>
      <c r="BA207" s="144">
        <v>95010306</v>
      </c>
      <c r="BB207" s="144" t="s">
        <v>3544</v>
      </c>
      <c r="BC207" s="62">
        <v>11340</v>
      </c>
      <c r="BE207">
        <v>95060102</v>
      </c>
      <c r="BF207" t="s">
        <v>3437</v>
      </c>
      <c r="BG207" s="121">
        <v>14175</v>
      </c>
      <c r="BI207" s="69">
        <v>94111804</v>
      </c>
      <c r="BJ207" s="69" t="s">
        <v>3930</v>
      </c>
      <c r="BK207" s="54">
        <v>14175</v>
      </c>
    </row>
    <row r="208" spans="49:63">
      <c r="AW208" s="158">
        <v>96101501</v>
      </c>
      <c r="AX208" s="144" t="s">
        <v>27</v>
      </c>
      <c r="AY208" s="153">
        <v>14175</v>
      </c>
      <c r="BA208">
        <v>96082101</v>
      </c>
      <c r="BB208" t="s">
        <v>3851</v>
      </c>
      <c r="BC208" s="145">
        <v>14175</v>
      </c>
      <c r="BE208">
        <v>95060103</v>
      </c>
      <c r="BF208" t="s">
        <v>3438</v>
      </c>
      <c r="BG208" s="121">
        <v>14175</v>
      </c>
      <c r="BI208" s="69">
        <v>94111804</v>
      </c>
      <c r="BJ208" s="69" t="s">
        <v>2427</v>
      </c>
      <c r="BK208" s="54">
        <v>14175</v>
      </c>
    </row>
    <row r="209" spans="49:63">
      <c r="AW209" s="158">
        <v>96101501</v>
      </c>
      <c r="AX209" s="144" t="s">
        <v>28</v>
      </c>
      <c r="AY209" s="153">
        <v>14175</v>
      </c>
      <c r="BA209">
        <v>96082101</v>
      </c>
      <c r="BB209" t="s">
        <v>3852</v>
      </c>
      <c r="BC209" s="145">
        <v>14175</v>
      </c>
      <c r="BE209" s="72">
        <v>94111804</v>
      </c>
      <c r="BF209" s="72" t="s">
        <v>2427</v>
      </c>
      <c r="BG209" s="62">
        <v>14175</v>
      </c>
      <c r="BI209" s="69">
        <v>94111804</v>
      </c>
      <c r="BJ209" s="69" t="s">
        <v>2428</v>
      </c>
      <c r="BK209" s="54">
        <v>14175</v>
      </c>
    </row>
    <row r="210" spans="49:63">
      <c r="AW210" s="158">
        <v>96101501</v>
      </c>
      <c r="AX210" s="144" t="s">
        <v>29</v>
      </c>
      <c r="AY210" s="153">
        <v>14175</v>
      </c>
      <c r="BA210">
        <v>96082101</v>
      </c>
      <c r="BB210" t="s">
        <v>3853</v>
      </c>
      <c r="BC210" s="145">
        <v>14175</v>
      </c>
      <c r="BE210" s="72">
        <v>94111804</v>
      </c>
      <c r="BF210" s="72" t="s">
        <v>2428</v>
      </c>
      <c r="BG210" s="62">
        <v>14175</v>
      </c>
      <c r="BI210" s="69">
        <v>94111804</v>
      </c>
      <c r="BJ210" s="69" t="s">
        <v>2429</v>
      </c>
      <c r="BK210" s="54">
        <v>14175</v>
      </c>
    </row>
    <row r="211" spans="49:63">
      <c r="AW211" s="158">
        <v>96112901</v>
      </c>
      <c r="AX211" s="144" t="s">
        <v>34</v>
      </c>
      <c r="AY211" s="153">
        <v>13500</v>
      </c>
      <c r="BA211">
        <v>96082101</v>
      </c>
      <c r="BB211" t="s">
        <v>3854</v>
      </c>
      <c r="BC211" s="145">
        <v>14175</v>
      </c>
      <c r="BE211" s="72">
        <v>94111804</v>
      </c>
      <c r="BF211" s="72" t="s">
        <v>2429</v>
      </c>
      <c r="BG211" s="62">
        <v>14175</v>
      </c>
      <c r="BI211" s="72">
        <v>93070901</v>
      </c>
      <c r="BJ211" s="72" t="s">
        <v>1635</v>
      </c>
      <c r="BK211" s="62">
        <v>14175</v>
      </c>
    </row>
    <row r="212" spans="49:63">
      <c r="AW212" s="158">
        <v>96112901</v>
      </c>
      <c r="AX212" s="144" t="s">
        <v>35</v>
      </c>
      <c r="AY212" s="153">
        <v>13500</v>
      </c>
      <c r="BA212">
        <v>96082101</v>
      </c>
      <c r="BB212" t="s">
        <v>3855</v>
      </c>
      <c r="BC212" s="145">
        <v>14175</v>
      </c>
      <c r="BE212">
        <v>95102701</v>
      </c>
      <c r="BF212" t="s">
        <v>992</v>
      </c>
      <c r="BG212" s="120">
        <v>37800</v>
      </c>
      <c r="BI212" s="72">
        <v>93101501</v>
      </c>
      <c r="BJ212" s="72" t="s">
        <v>1636</v>
      </c>
      <c r="BK212" s="62">
        <v>23625</v>
      </c>
    </row>
    <row r="213" spans="49:63">
      <c r="AW213" s="158">
        <v>96112901</v>
      </c>
      <c r="AX213" s="144" t="s">
        <v>36</v>
      </c>
      <c r="AY213" s="153">
        <v>13500</v>
      </c>
      <c r="BA213">
        <v>96082101</v>
      </c>
      <c r="BB213" t="s">
        <v>3856</v>
      </c>
      <c r="BC213" s="145">
        <v>14175</v>
      </c>
      <c r="BE213">
        <v>95102701</v>
      </c>
      <c r="BF213" t="s">
        <v>993</v>
      </c>
      <c r="BG213" s="120">
        <v>37800</v>
      </c>
      <c r="BI213" s="72">
        <v>93101501</v>
      </c>
      <c r="BJ213" s="72" t="s">
        <v>1637</v>
      </c>
      <c r="BK213" s="62">
        <v>23625</v>
      </c>
    </row>
    <row r="214" spans="49:63">
      <c r="AW214" s="158">
        <v>96111403</v>
      </c>
      <c r="AX214" s="144" t="s">
        <v>41</v>
      </c>
      <c r="AY214" s="153">
        <v>14175</v>
      </c>
      <c r="BA214">
        <v>96082101</v>
      </c>
      <c r="BB214" t="s">
        <v>3857</v>
      </c>
      <c r="BC214" s="145">
        <v>14175</v>
      </c>
      <c r="BE214">
        <v>95102701</v>
      </c>
      <c r="BF214" t="s">
        <v>994</v>
      </c>
      <c r="BG214" s="120">
        <v>37800</v>
      </c>
      <c r="BI214" s="72">
        <v>93101501</v>
      </c>
      <c r="BJ214" s="72" t="s">
        <v>1638</v>
      </c>
      <c r="BK214" s="62">
        <v>23625</v>
      </c>
    </row>
    <row r="215" spans="49:63">
      <c r="AW215" s="158">
        <v>96111403</v>
      </c>
      <c r="AX215" s="144" t="s">
        <v>42</v>
      </c>
      <c r="AY215" s="153">
        <v>14175</v>
      </c>
      <c r="BA215" s="144">
        <v>95081801</v>
      </c>
      <c r="BB215" s="144" t="s">
        <v>3549</v>
      </c>
      <c r="BC215" s="62">
        <v>14175</v>
      </c>
      <c r="BE215">
        <v>95102701</v>
      </c>
      <c r="BF215" t="s">
        <v>995</v>
      </c>
      <c r="BG215" s="120">
        <v>37800</v>
      </c>
      <c r="BI215" s="69">
        <v>94071901</v>
      </c>
      <c r="BJ215" s="69" t="s">
        <v>2430</v>
      </c>
      <c r="BK215" s="54">
        <v>13500</v>
      </c>
    </row>
    <row r="216" spans="49:63">
      <c r="AW216" s="158">
        <v>96111403</v>
      </c>
      <c r="AX216" s="144" t="s">
        <v>43</v>
      </c>
      <c r="AY216" s="153">
        <v>14175</v>
      </c>
      <c r="BA216" s="144">
        <v>95081802</v>
      </c>
      <c r="BB216" s="144" t="s">
        <v>3550</v>
      </c>
      <c r="BC216" s="62">
        <v>14175</v>
      </c>
      <c r="BE216">
        <v>95102701</v>
      </c>
      <c r="BF216" t="s">
        <v>996</v>
      </c>
      <c r="BG216" s="120">
        <v>37800</v>
      </c>
      <c r="BI216" s="69">
        <v>94071901</v>
      </c>
      <c r="BJ216" s="69" t="s">
        <v>2431</v>
      </c>
      <c r="BK216" s="54">
        <v>13500</v>
      </c>
    </row>
    <row r="217" spans="49:63">
      <c r="AW217" s="158">
        <v>96072501</v>
      </c>
      <c r="AX217" s="144" t="s">
        <v>1678</v>
      </c>
      <c r="AY217" s="153">
        <v>14175</v>
      </c>
      <c r="BA217" s="144">
        <v>95042005</v>
      </c>
      <c r="BB217" s="144" t="s">
        <v>3553</v>
      </c>
      <c r="BC217" s="62">
        <v>14175</v>
      </c>
      <c r="BE217">
        <v>95102701</v>
      </c>
      <c r="BF217" t="s">
        <v>997</v>
      </c>
      <c r="BG217" s="120">
        <v>37800</v>
      </c>
      <c r="BI217" s="69">
        <v>94071901</v>
      </c>
      <c r="BJ217" s="69" t="s">
        <v>2432</v>
      </c>
      <c r="BK217" s="54">
        <v>13500</v>
      </c>
    </row>
    <row r="218" spans="49:63">
      <c r="AW218" s="158">
        <v>96072501</v>
      </c>
      <c r="AX218" s="144" t="s">
        <v>1679</v>
      </c>
      <c r="AY218" s="153">
        <v>14175</v>
      </c>
      <c r="BA218" s="144">
        <v>95070701</v>
      </c>
      <c r="BB218" s="144" t="s">
        <v>3560</v>
      </c>
      <c r="BC218" s="62">
        <v>14175</v>
      </c>
      <c r="BE218">
        <v>95102701</v>
      </c>
      <c r="BF218" t="s">
        <v>998</v>
      </c>
      <c r="BG218" s="120">
        <v>37800</v>
      </c>
      <c r="BI218" s="69">
        <v>94071901</v>
      </c>
      <c r="BJ218" s="69" t="s">
        <v>2433</v>
      </c>
      <c r="BK218" s="54">
        <v>13500</v>
      </c>
    </row>
    <row r="219" spans="49:63">
      <c r="AW219" s="158">
        <v>96032901</v>
      </c>
      <c r="AX219" s="144" t="s">
        <v>53</v>
      </c>
      <c r="AY219" s="153">
        <v>14175</v>
      </c>
      <c r="BA219" s="144">
        <v>95070701</v>
      </c>
      <c r="BB219" s="144" t="s">
        <v>3561</v>
      </c>
      <c r="BC219" s="62">
        <v>14175</v>
      </c>
      <c r="BE219">
        <v>95051001</v>
      </c>
      <c r="BF219" t="s">
        <v>999</v>
      </c>
      <c r="BG219" s="120">
        <v>13500</v>
      </c>
      <c r="BI219" s="69">
        <v>94071901</v>
      </c>
      <c r="BJ219" s="69" t="s">
        <v>2532</v>
      </c>
      <c r="BK219" s="54">
        <v>13500</v>
      </c>
    </row>
    <row r="220" spans="49:63">
      <c r="AW220" s="158">
        <v>96032901</v>
      </c>
      <c r="AX220" s="144" t="s">
        <v>54</v>
      </c>
      <c r="AY220" s="153">
        <v>14175</v>
      </c>
      <c r="BA220">
        <v>96121101</v>
      </c>
      <c r="BB220" t="s">
        <v>3858</v>
      </c>
      <c r="BC220" s="145">
        <v>14175</v>
      </c>
      <c r="BE220">
        <v>95051001</v>
      </c>
      <c r="BF220" t="s">
        <v>1000</v>
      </c>
      <c r="BG220" s="120">
        <v>13500</v>
      </c>
      <c r="BI220" s="69">
        <v>94071901</v>
      </c>
      <c r="BJ220" s="69" t="s">
        <v>2533</v>
      </c>
      <c r="BK220" s="54">
        <v>13500</v>
      </c>
    </row>
    <row r="221" spans="49:63">
      <c r="AW221" s="143">
        <v>97010901</v>
      </c>
      <c r="AX221" t="s">
        <v>2511</v>
      </c>
      <c r="AY221" s="124">
        <v>14175</v>
      </c>
      <c r="BA221">
        <v>96121101</v>
      </c>
      <c r="BB221" t="s">
        <v>3859</v>
      </c>
      <c r="BC221" s="145">
        <v>14175</v>
      </c>
      <c r="BE221">
        <v>95051001</v>
      </c>
      <c r="BF221" t="s">
        <v>1001</v>
      </c>
      <c r="BG221" s="120">
        <v>13500</v>
      </c>
      <c r="BI221" s="72">
        <v>93101201</v>
      </c>
      <c r="BJ221" s="72" t="s">
        <v>1639</v>
      </c>
      <c r="BK221" s="62">
        <v>12000</v>
      </c>
    </row>
    <row r="222" spans="49:63">
      <c r="AW222" s="143">
        <v>97010901</v>
      </c>
      <c r="AX222" t="s">
        <v>2512</v>
      </c>
      <c r="AY222" s="124">
        <v>14175</v>
      </c>
      <c r="BA222">
        <v>96121101</v>
      </c>
      <c r="BB222" t="s">
        <v>3860</v>
      </c>
      <c r="BC222" s="145">
        <v>14175</v>
      </c>
      <c r="BE222">
        <v>95051001</v>
      </c>
      <c r="BF222" t="s">
        <v>1002</v>
      </c>
      <c r="BG222" s="120">
        <v>13500</v>
      </c>
      <c r="BI222" s="72">
        <v>93101201</v>
      </c>
      <c r="BJ222" s="72" t="s">
        <v>1640</v>
      </c>
      <c r="BK222" s="63">
        <v>12000</v>
      </c>
    </row>
    <row r="223" spans="49:63">
      <c r="AW223" s="143">
        <v>97010901</v>
      </c>
      <c r="AX223" t="s">
        <v>2513</v>
      </c>
      <c r="AY223" s="124">
        <v>14175</v>
      </c>
      <c r="BA223">
        <v>96121101</v>
      </c>
      <c r="BB223" t="s">
        <v>3861</v>
      </c>
      <c r="BC223" s="145">
        <v>14175</v>
      </c>
      <c r="BE223">
        <v>95051001</v>
      </c>
      <c r="BF223" t="s">
        <v>1003</v>
      </c>
      <c r="BG223" s="120">
        <v>13500</v>
      </c>
      <c r="BI223" s="72">
        <v>93101201</v>
      </c>
      <c r="BJ223" s="72" t="s">
        <v>1641</v>
      </c>
      <c r="BK223" s="63">
        <v>12000</v>
      </c>
    </row>
    <row r="224" spans="49:63">
      <c r="AW224" s="143">
        <v>97081202</v>
      </c>
      <c r="AX224" t="s">
        <v>2514</v>
      </c>
      <c r="AY224" s="124">
        <v>10800</v>
      </c>
      <c r="BA224">
        <v>96121101</v>
      </c>
      <c r="BB224" t="s">
        <v>3862</v>
      </c>
      <c r="BC224" s="145">
        <v>14175</v>
      </c>
      <c r="BE224">
        <v>95051001</v>
      </c>
      <c r="BF224" t="s">
        <v>1004</v>
      </c>
      <c r="BG224" s="120">
        <v>13500</v>
      </c>
      <c r="BI224" s="69">
        <v>94041901</v>
      </c>
      <c r="BJ224" s="69" t="s">
        <v>2534</v>
      </c>
      <c r="BK224" s="54">
        <v>14175</v>
      </c>
    </row>
    <row r="225" spans="49:63">
      <c r="AW225" s="143">
        <v>97081202</v>
      </c>
      <c r="AX225" t="s">
        <v>2515</v>
      </c>
      <c r="AY225" s="124">
        <v>10800</v>
      </c>
      <c r="BA225">
        <v>96121101</v>
      </c>
      <c r="BB225" t="s">
        <v>3863</v>
      </c>
      <c r="BC225" s="145">
        <v>14175</v>
      </c>
      <c r="BE225" s="72">
        <v>94062001</v>
      </c>
      <c r="BF225" s="72" t="s">
        <v>3606</v>
      </c>
      <c r="BG225" s="62">
        <v>14175</v>
      </c>
      <c r="BI225" s="69">
        <v>94041901</v>
      </c>
      <c r="BJ225" s="69" t="s">
        <v>2535</v>
      </c>
      <c r="BK225" s="54">
        <v>14175</v>
      </c>
    </row>
    <row r="226" spans="49:63">
      <c r="AW226" s="143">
        <v>97081202</v>
      </c>
      <c r="AX226" t="s">
        <v>2516</v>
      </c>
      <c r="AY226" s="124">
        <v>10800</v>
      </c>
      <c r="BA226" s="72">
        <v>95103108</v>
      </c>
      <c r="BB226" s="72" t="s">
        <v>1611</v>
      </c>
      <c r="BC226" s="62">
        <v>14175</v>
      </c>
      <c r="BE226" s="72">
        <v>94062001</v>
      </c>
      <c r="BF226" s="72" t="s">
        <v>3607</v>
      </c>
      <c r="BG226" s="62">
        <v>14175</v>
      </c>
      <c r="BI226" s="69">
        <v>94041901</v>
      </c>
      <c r="BJ226" s="69" t="s">
        <v>2536</v>
      </c>
      <c r="BK226" s="54">
        <v>14175</v>
      </c>
    </row>
    <row r="227" spans="49:63">
      <c r="AW227" s="143">
        <v>97081202</v>
      </c>
      <c r="AX227" t="s">
        <v>2517</v>
      </c>
      <c r="AY227" s="124">
        <v>10800</v>
      </c>
      <c r="BA227" s="72">
        <v>95103108</v>
      </c>
      <c r="BB227" s="72" t="s">
        <v>1612</v>
      </c>
      <c r="BC227" s="62">
        <v>14175</v>
      </c>
      <c r="BE227" s="72">
        <v>94071901</v>
      </c>
      <c r="BF227" s="72" t="s">
        <v>2532</v>
      </c>
      <c r="BG227" s="62">
        <v>13500</v>
      </c>
      <c r="BI227" s="69">
        <v>94041901</v>
      </c>
      <c r="BJ227" s="69" t="s">
        <v>2537</v>
      </c>
      <c r="BK227" s="54">
        <v>14175</v>
      </c>
    </row>
    <row r="228" spans="49:63">
      <c r="AW228" s="143">
        <v>97081203</v>
      </c>
      <c r="AX228" t="s">
        <v>2518</v>
      </c>
      <c r="AY228" s="124">
        <v>10800</v>
      </c>
      <c r="BA228" s="72">
        <v>95103108</v>
      </c>
      <c r="BB228" s="72" t="s">
        <v>1613</v>
      </c>
      <c r="BC228" s="62">
        <v>14175</v>
      </c>
      <c r="BE228" s="72">
        <v>94071901</v>
      </c>
      <c r="BF228" s="72" t="s">
        <v>2533</v>
      </c>
      <c r="BG228" s="62">
        <v>13500</v>
      </c>
      <c r="BI228" s="69">
        <v>94041901</v>
      </c>
      <c r="BJ228" s="69" t="s">
        <v>2538</v>
      </c>
      <c r="BK228" s="54">
        <v>14175</v>
      </c>
    </row>
    <row r="229" spans="49:63">
      <c r="AW229" s="143">
        <v>97081203</v>
      </c>
      <c r="AX229" t="s">
        <v>919</v>
      </c>
      <c r="AY229" s="124">
        <v>10800</v>
      </c>
      <c r="BA229" s="144">
        <v>95062802</v>
      </c>
      <c r="BB229" s="144" t="s">
        <v>3566</v>
      </c>
      <c r="BC229" s="62">
        <v>13500</v>
      </c>
      <c r="BE229">
        <v>95102401</v>
      </c>
      <c r="BF229" t="s">
        <v>1005</v>
      </c>
      <c r="BG229" s="120">
        <v>14175</v>
      </c>
      <c r="BI229" s="69">
        <v>94040406</v>
      </c>
      <c r="BJ229" s="69" t="s">
        <v>2539</v>
      </c>
      <c r="BK229" s="54">
        <v>11340</v>
      </c>
    </row>
    <row r="230" spans="49:63">
      <c r="AW230" s="158">
        <v>96120601</v>
      </c>
      <c r="AX230" s="144" t="s">
        <v>59</v>
      </c>
      <c r="AY230" s="153">
        <v>14175</v>
      </c>
      <c r="BA230">
        <v>96101501</v>
      </c>
      <c r="BB230" t="s">
        <v>3864</v>
      </c>
      <c r="BC230" s="145">
        <v>14175</v>
      </c>
      <c r="BE230">
        <v>95102401</v>
      </c>
      <c r="BF230" t="s">
        <v>3510</v>
      </c>
      <c r="BG230" s="120">
        <v>14175</v>
      </c>
      <c r="BI230" s="69">
        <v>94040406</v>
      </c>
      <c r="BJ230" s="69" t="s">
        <v>2540</v>
      </c>
      <c r="BK230" s="54">
        <v>11340</v>
      </c>
    </row>
    <row r="231" spans="49:63">
      <c r="AW231" s="158">
        <v>96120601</v>
      </c>
      <c r="AX231" s="144" t="s">
        <v>60</v>
      </c>
      <c r="AY231" s="153">
        <v>14175</v>
      </c>
      <c r="BA231">
        <v>96101501</v>
      </c>
      <c r="BB231" t="s">
        <v>3865</v>
      </c>
      <c r="BC231" s="145">
        <v>14175</v>
      </c>
      <c r="BE231">
        <v>95102401</v>
      </c>
      <c r="BF231" t="s">
        <v>3511</v>
      </c>
      <c r="BG231" s="120">
        <v>14175</v>
      </c>
      <c r="BI231" s="69">
        <v>94040406</v>
      </c>
      <c r="BJ231" s="69" t="s">
        <v>2541</v>
      </c>
      <c r="BK231" s="54">
        <v>11340</v>
      </c>
    </row>
    <row r="232" spans="49:63">
      <c r="AW232" s="158">
        <v>96120601</v>
      </c>
      <c r="AX232" s="144" t="s">
        <v>61</v>
      </c>
      <c r="AY232" s="153">
        <v>14175</v>
      </c>
      <c r="BA232">
        <v>96101501</v>
      </c>
      <c r="BB232" t="s">
        <v>3866</v>
      </c>
      <c r="BC232" s="145">
        <v>14175</v>
      </c>
      <c r="BE232">
        <v>95102401</v>
      </c>
      <c r="BF232" t="s">
        <v>3512</v>
      </c>
      <c r="BG232" s="120">
        <v>14175</v>
      </c>
      <c r="BI232" s="69">
        <v>94040406</v>
      </c>
      <c r="BJ232" s="69" t="s">
        <v>2542</v>
      </c>
      <c r="BK232" s="54">
        <v>11340</v>
      </c>
    </row>
    <row r="233" spans="49:63">
      <c r="AW233" s="158"/>
      <c r="AX233" s="144"/>
      <c r="AY233" s="153"/>
      <c r="BA233">
        <v>96101501</v>
      </c>
      <c r="BB233" t="s">
        <v>26</v>
      </c>
      <c r="BC233" s="145">
        <v>14175</v>
      </c>
      <c r="BE233">
        <v>95102401</v>
      </c>
      <c r="BF233" t="s">
        <v>3513</v>
      </c>
      <c r="BG233" s="120">
        <v>14175</v>
      </c>
      <c r="BI233" s="69">
        <v>94042502</v>
      </c>
      <c r="BJ233" s="69" t="s">
        <v>2543</v>
      </c>
      <c r="BK233" s="54">
        <v>14175</v>
      </c>
    </row>
    <row r="234" spans="49:63">
      <c r="AW234" s="143"/>
      <c r="AY234" s="159"/>
      <c r="BA234">
        <v>96101501</v>
      </c>
      <c r="BB234" t="s">
        <v>27</v>
      </c>
      <c r="BC234" s="145">
        <v>14175</v>
      </c>
      <c r="BE234">
        <v>95102401</v>
      </c>
      <c r="BF234" t="s">
        <v>3514</v>
      </c>
      <c r="BG234" s="120">
        <v>14175</v>
      </c>
      <c r="BI234" s="69">
        <v>94042502</v>
      </c>
      <c r="BJ234" s="69" t="s">
        <v>2544</v>
      </c>
      <c r="BK234" s="54">
        <v>14175</v>
      </c>
    </row>
    <row r="235" spans="49:63">
      <c r="AW235" s="158"/>
      <c r="AX235" s="144"/>
      <c r="AY235" s="55"/>
      <c r="BA235">
        <v>96101501</v>
      </c>
      <c r="BB235" t="s">
        <v>28</v>
      </c>
      <c r="BC235" s="145">
        <v>14175</v>
      </c>
      <c r="BE235">
        <v>95102401</v>
      </c>
      <c r="BF235" t="s">
        <v>3515</v>
      </c>
      <c r="BG235" s="120">
        <v>14175</v>
      </c>
      <c r="BI235" s="69">
        <v>94042502</v>
      </c>
      <c r="BJ235" s="69" t="s">
        <v>2545</v>
      </c>
      <c r="BK235" s="54">
        <v>14175</v>
      </c>
    </row>
    <row r="236" spans="49:63">
      <c r="AW236" s="143"/>
      <c r="BA236">
        <v>96101501</v>
      </c>
      <c r="BB236" t="s">
        <v>29</v>
      </c>
      <c r="BC236" s="145">
        <v>14175</v>
      </c>
      <c r="BE236" s="72">
        <v>94041901</v>
      </c>
      <c r="BF236" s="72" t="s">
        <v>2538</v>
      </c>
      <c r="BG236" s="62">
        <v>14175</v>
      </c>
      <c r="BI236" s="69">
        <v>94042502</v>
      </c>
      <c r="BJ236" s="69" t="s">
        <v>2546</v>
      </c>
      <c r="BK236" s="54">
        <v>14175</v>
      </c>
    </row>
    <row r="237" spans="49:63">
      <c r="AW237" s="154" t="s">
        <v>920</v>
      </c>
      <c r="AX237" s="114"/>
      <c r="AY237" s="11">
        <f>SUM(AY238:AY241)</f>
        <v>108750</v>
      </c>
      <c r="BA237">
        <v>96112901</v>
      </c>
      <c r="BB237" t="s">
        <v>30</v>
      </c>
      <c r="BC237" s="145">
        <v>13500</v>
      </c>
      <c r="BE237" s="72">
        <v>94042502</v>
      </c>
      <c r="BF237" s="72" t="s">
        <v>2547</v>
      </c>
      <c r="BG237" s="62">
        <v>14175</v>
      </c>
      <c r="BI237" s="69">
        <v>94042502</v>
      </c>
      <c r="BJ237" s="69" t="s">
        <v>2547</v>
      </c>
      <c r="BK237" s="54">
        <v>14175</v>
      </c>
    </row>
    <row r="238" spans="49:63">
      <c r="AW238" s="158">
        <v>97123108</v>
      </c>
      <c r="AX238" s="144" t="s">
        <v>412</v>
      </c>
      <c r="AY238" s="62">
        <v>15000</v>
      </c>
      <c r="BA238">
        <v>96112901</v>
      </c>
      <c r="BB238" t="s">
        <v>31</v>
      </c>
      <c r="BC238" s="145">
        <v>13500</v>
      </c>
      <c r="BE238">
        <v>95083101</v>
      </c>
      <c r="BF238" t="s">
        <v>3516</v>
      </c>
      <c r="BG238" s="120">
        <v>14175</v>
      </c>
      <c r="BI238" s="72">
        <v>93060901</v>
      </c>
      <c r="BJ238" s="72" t="s">
        <v>1642</v>
      </c>
      <c r="BK238" s="62">
        <v>22050</v>
      </c>
    </row>
    <row r="239" spans="49:63">
      <c r="AW239" s="158">
        <v>96122802</v>
      </c>
      <c r="AX239" s="144" t="s">
        <v>412</v>
      </c>
      <c r="AY239" s="62">
        <v>15000</v>
      </c>
      <c r="BA239">
        <v>96112901</v>
      </c>
      <c r="BB239" t="s">
        <v>32</v>
      </c>
      <c r="BC239" s="145">
        <v>13500</v>
      </c>
      <c r="BE239">
        <v>95083101</v>
      </c>
      <c r="BF239" t="s">
        <v>3517</v>
      </c>
      <c r="BG239" s="120">
        <v>14175</v>
      </c>
      <c r="BI239" s="69">
        <v>94111808</v>
      </c>
      <c r="BJ239" s="69" t="s">
        <v>2548</v>
      </c>
      <c r="BK239" s="54">
        <v>13500</v>
      </c>
    </row>
    <row r="240" spans="49:63">
      <c r="AW240" s="143">
        <v>97111902</v>
      </c>
      <c r="AX240" t="s">
        <v>921</v>
      </c>
      <c r="AY240" s="124">
        <v>14175</v>
      </c>
      <c r="BA240">
        <v>96112901</v>
      </c>
      <c r="BB240" t="s">
        <v>33</v>
      </c>
      <c r="BC240" s="145">
        <v>13500</v>
      </c>
      <c r="BE240">
        <v>95083101</v>
      </c>
      <c r="BF240" t="s">
        <v>3518</v>
      </c>
      <c r="BG240" s="120">
        <v>14175</v>
      </c>
      <c r="BI240" s="69">
        <v>94111808</v>
      </c>
      <c r="BJ240" s="69" t="s">
        <v>2549</v>
      </c>
      <c r="BK240" s="54">
        <v>13500</v>
      </c>
    </row>
    <row r="241" spans="49:63">
      <c r="AW241" s="149">
        <v>97041804</v>
      </c>
      <c r="AX241" s="7" t="s">
        <v>2445</v>
      </c>
      <c r="AY241" s="131">
        <f>103320-38745</f>
        <v>64575</v>
      </c>
      <c r="BA241">
        <v>96112901</v>
      </c>
      <c r="BB241" t="s">
        <v>34</v>
      </c>
      <c r="BC241" s="145">
        <v>13500</v>
      </c>
      <c r="BE241">
        <v>95083101</v>
      </c>
      <c r="BF241" t="s">
        <v>3519</v>
      </c>
      <c r="BG241" s="120">
        <v>14175</v>
      </c>
      <c r="BI241" s="69">
        <v>94111808</v>
      </c>
      <c r="BJ241" s="69" t="s">
        <v>2550</v>
      </c>
      <c r="BK241" s="54">
        <v>13500</v>
      </c>
    </row>
    <row r="242" spans="49:63">
      <c r="AW242" s="143"/>
      <c r="BA242">
        <v>96112901</v>
      </c>
      <c r="BB242" t="s">
        <v>35</v>
      </c>
      <c r="BC242" s="145">
        <v>13500</v>
      </c>
      <c r="BE242">
        <v>95083101</v>
      </c>
      <c r="BF242" t="s">
        <v>3520</v>
      </c>
      <c r="BG242" s="120">
        <v>14175</v>
      </c>
      <c r="BI242" s="69">
        <v>94111808</v>
      </c>
      <c r="BJ242" s="69" t="s">
        <v>2551</v>
      </c>
      <c r="BK242" s="54">
        <v>13500</v>
      </c>
    </row>
    <row r="243" spans="49:63">
      <c r="AW243" s="154" t="s">
        <v>941</v>
      </c>
      <c r="AX243" s="114"/>
      <c r="AY243" s="147">
        <v>50000</v>
      </c>
      <c r="BA243">
        <v>96112901</v>
      </c>
      <c r="BB243" t="s">
        <v>36</v>
      </c>
      <c r="BC243" s="145">
        <v>13500</v>
      </c>
      <c r="BE243">
        <v>95083101</v>
      </c>
      <c r="BF243" t="s">
        <v>3521</v>
      </c>
      <c r="BG243" s="120">
        <v>14175</v>
      </c>
      <c r="BI243" s="69">
        <v>94111808</v>
      </c>
      <c r="BJ243" s="69" t="s">
        <v>2552</v>
      </c>
      <c r="BK243" s="54">
        <v>13500</v>
      </c>
    </row>
    <row r="244" spans="49:63">
      <c r="AW244" s="149" t="s">
        <v>942</v>
      </c>
      <c r="AX244" s="7" t="s">
        <v>943</v>
      </c>
      <c r="AY244" s="148">
        <v>50000</v>
      </c>
      <c r="BA244">
        <v>96111403</v>
      </c>
      <c r="BB244" t="s">
        <v>37</v>
      </c>
      <c r="BC244" s="145">
        <v>14175</v>
      </c>
      <c r="BE244">
        <v>95083102</v>
      </c>
      <c r="BF244" t="s">
        <v>3522</v>
      </c>
      <c r="BG244" s="120">
        <v>14175</v>
      </c>
      <c r="BI244" s="69">
        <v>94111808</v>
      </c>
      <c r="BJ244" s="69" t="s">
        <v>2553</v>
      </c>
      <c r="BK244" s="54">
        <v>13500</v>
      </c>
    </row>
    <row r="245" spans="49:63">
      <c r="AW245" s="143"/>
      <c r="BA245">
        <v>96111403</v>
      </c>
      <c r="BB245" t="s">
        <v>38</v>
      </c>
      <c r="BC245" s="145">
        <v>14175</v>
      </c>
      <c r="BE245" s="72">
        <v>94111808</v>
      </c>
      <c r="BF245" s="72" t="s">
        <v>2552</v>
      </c>
      <c r="BG245" s="62">
        <v>13500</v>
      </c>
      <c r="BI245" s="69">
        <v>94111808</v>
      </c>
      <c r="BJ245" s="69" t="s">
        <v>2554</v>
      </c>
      <c r="BK245" s="54">
        <v>13500</v>
      </c>
    </row>
    <row r="246" spans="49:63">
      <c r="AW246" s="143"/>
      <c r="BA246">
        <v>96111403</v>
      </c>
      <c r="BB246" t="s">
        <v>39</v>
      </c>
      <c r="BC246" s="145">
        <v>14175</v>
      </c>
      <c r="BE246" s="72">
        <v>94111808</v>
      </c>
      <c r="BF246" s="72" t="s">
        <v>2553</v>
      </c>
      <c r="BG246" s="62">
        <v>13500</v>
      </c>
      <c r="BI246" s="69">
        <v>94081002</v>
      </c>
      <c r="BJ246" s="69" t="s">
        <v>2555</v>
      </c>
      <c r="BK246" s="54">
        <v>14175</v>
      </c>
    </row>
    <row r="247" spans="49:63">
      <c r="AW247" s="156" t="s">
        <v>922</v>
      </c>
      <c r="AX247" s="157"/>
      <c r="AY247" s="155">
        <v>0</v>
      </c>
      <c r="BA247">
        <v>96111403</v>
      </c>
      <c r="BB247" t="s">
        <v>40</v>
      </c>
      <c r="BC247" s="145">
        <v>14175</v>
      </c>
      <c r="BE247" s="72">
        <v>94111808</v>
      </c>
      <c r="BF247" s="72" t="s">
        <v>2554</v>
      </c>
      <c r="BG247" s="62">
        <v>13500</v>
      </c>
      <c r="BI247" s="69">
        <v>94081002</v>
      </c>
      <c r="BJ247" s="69" t="s">
        <v>3597</v>
      </c>
      <c r="BK247" s="54">
        <v>14175</v>
      </c>
    </row>
    <row r="248" spans="49:63">
      <c r="AW248" s="158"/>
      <c r="AX248" s="144"/>
      <c r="AY248" s="62"/>
      <c r="BA248">
        <v>96111403</v>
      </c>
      <c r="BB248" t="s">
        <v>41</v>
      </c>
      <c r="BC248" s="145">
        <v>14175</v>
      </c>
      <c r="BE248" s="72">
        <v>94081002</v>
      </c>
      <c r="BF248" s="72" t="s">
        <v>3600</v>
      </c>
      <c r="BG248" s="62">
        <v>14175</v>
      </c>
      <c r="BI248" s="69">
        <v>94081002</v>
      </c>
      <c r="BJ248" s="69" t="s">
        <v>3598</v>
      </c>
      <c r="BK248" s="54">
        <v>14175</v>
      </c>
    </row>
    <row r="249" spans="49:63">
      <c r="AW249" s="156" t="s">
        <v>923</v>
      </c>
      <c r="AX249" s="126"/>
      <c r="AY249" s="155">
        <f>SUM(AY250:AY254)</f>
        <v>253030</v>
      </c>
      <c r="BA249">
        <v>96111403</v>
      </c>
      <c r="BB249" t="s">
        <v>42</v>
      </c>
      <c r="BC249" s="145">
        <v>14175</v>
      </c>
      <c r="BE249" s="72">
        <v>94081002</v>
      </c>
      <c r="BF249" s="72" t="s">
        <v>3601</v>
      </c>
      <c r="BG249" s="62">
        <v>14175</v>
      </c>
      <c r="BI249" s="69">
        <v>94081002</v>
      </c>
      <c r="BJ249" s="69" t="s">
        <v>3599</v>
      </c>
      <c r="BK249" s="54">
        <v>14175</v>
      </c>
    </row>
    <row r="250" spans="49:63">
      <c r="AW250" s="143">
        <v>97113001</v>
      </c>
      <c r="AX250" t="s">
        <v>924</v>
      </c>
      <c r="AY250" s="171">
        <v>5071</v>
      </c>
      <c r="BA250">
        <v>96111403</v>
      </c>
      <c r="BB250" t="s">
        <v>43</v>
      </c>
      <c r="BC250" s="145">
        <v>14175</v>
      </c>
      <c r="BE250">
        <v>95052301</v>
      </c>
      <c r="BF250" t="s">
        <v>3523</v>
      </c>
      <c r="BG250" s="120">
        <v>13500</v>
      </c>
      <c r="BI250" s="69">
        <v>94081002</v>
      </c>
      <c r="BJ250" s="69" t="s">
        <v>3600</v>
      </c>
      <c r="BK250" s="54">
        <v>14175</v>
      </c>
    </row>
    <row r="251" spans="49:63">
      <c r="AW251" s="143">
        <v>97123110</v>
      </c>
      <c r="AX251" t="s">
        <v>925</v>
      </c>
      <c r="AY251" s="171">
        <v>5071</v>
      </c>
      <c r="BA251">
        <v>96072501</v>
      </c>
      <c r="BB251" t="s">
        <v>44</v>
      </c>
      <c r="BC251" s="145">
        <v>14175</v>
      </c>
      <c r="BE251">
        <v>95052301</v>
      </c>
      <c r="BF251" t="s">
        <v>3524</v>
      </c>
      <c r="BG251" s="120">
        <v>13500</v>
      </c>
      <c r="BI251" s="69">
        <v>94081002</v>
      </c>
      <c r="BJ251" s="69" t="s">
        <v>3601</v>
      </c>
      <c r="BK251" s="54">
        <v>14175</v>
      </c>
    </row>
    <row r="252" spans="49:63">
      <c r="AW252" s="143">
        <v>97113001</v>
      </c>
      <c r="AX252" t="s">
        <v>926</v>
      </c>
      <c r="AY252" s="171">
        <v>5718</v>
      </c>
      <c r="BA252">
        <v>96072501</v>
      </c>
      <c r="BB252" t="s">
        <v>45</v>
      </c>
      <c r="BC252" s="145">
        <v>14175</v>
      </c>
      <c r="BE252">
        <v>95052301</v>
      </c>
      <c r="BF252" t="s">
        <v>3525</v>
      </c>
      <c r="BG252" s="120">
        <v>13500</v>
      </c>
      <c r="BI252" s="69">
        <v>94062001</v>
      </c>
      <c r="BJ252" s="69" t="s">
        <v>3602</v>
      </c>
      <c r="BK252" s="54">
        <v>14175</v>
      </c>
    </row>
    <row r="253" spans="49:63">
      <c r="AW253" s="143">
        <v>97123110</v>
      </c>
      <c r="AX253" t="s">
        <v>927</v>
      </c>
      <c r="AY253" s="171">
        <v>4351</v>
      </c>
      <c r="BA253">
        <v>96072501</v>
      </c>
      <c r="BB253" t="s">
        <v>46</v>
      </c>
      <c r="BC253" s="145">
        <v>14175</v>
      </c>
      <c r="BE253">
        <v>95052301</v>
      </c>
      <c r="BF253" t="s">
        <v>3526</v>
      </c>
      <c r="BG253" s="120">
        <v>13500</v>
      </c>
      <c r="BI253" s="69">
        <v>94062001</v>
      </c>
      <c r="BJ253" s="69" t="s">
        <v>3603</v>
      </c>
      <c r="BK253" s="54">
        <v>14175</v>
      </c>
    </row>
    <row r="254" spans="49:63">
      <c r="AW254" s="143">
        <v>97123110</v>
      </c>
      <c r="AX254" t="s">
        <v>928</v>
      </c>
      <c r="AY254" s="171">
        <v>232819</v>
      </c>
      <c r="BA254">
        <v>96072501</v>
      </c>
      <c r="BB254" t="s">
        <v>47</v>
      </c>
      <c r="BC254" s="145">
        <v>14175</v>
      </c>
      <c r="BE254">
        <v>95052301</v>
      </c>
      <c r="BF254" t="s">
        <v>3527</v>
      </c>
      <c r="BG254" s="120">
        <v>13500</v>
      </c>
      <c r="BI254" s="69">
        <v>94062001</v>
      </c>
      <c r="BJ254" s="69" t="s">
        <v>3604</v>
      </c>
      <c r="BK254" s="54">
        <v>14175</v>
      </c>
    </row>
    <row r="255" spans="49:63">
      <c r="AW255" s="143"/>
      <c r="AY255" s="159"/>
      <c r="BA255">
        <v>96072501</v>
      </c>
      <c r="BB255" t="s">
        <v>48</v>
      </c>
      <c r="BC255" s="145">
        <v>14175</v>
      </c>
      <c r="BE255" s="72">
        <v>94042501</v>
      </c>
      <c r="BF255" s="72" t="s">
        <v>1925</v>
      </c>
      <c r="BG255" s="62">
        <v>13500</v>
      </c>
      <c r="BI255" s="69">
        <v>94062001</v>
      </c>
      <c r="BJ255" s="69" t="s">
        <v>3605</v>
      </c>
      <c r="BK255" s="54">
        <v>14175</v>
      </c>
    </row>
    <row r="256" spans="49:63">
      <c r="AW256" s="160" t="s">
        <v>929</v>
      </c>
      <c r="AX256" s="126"/>
      <c r="AY256" s="155">
        <f>SUM(AY257:AY258)</f>
        <v>2558</v>
      </c>
      <c r="BA256">
        <v>96072501</v>
      </c>
      <c r="BB256" t="s">
        <v>49</v>
      </c>
      <c r="BC256" s="145">
        <v>14175</v>
      </c>
      <c r="BE256" s="72">
        <v>94042501</v>
      </c>
      <c r="BF256" s="72" t="s">
        <v>1926</v>
      </c>
      <c r="BG256" s="62">
        <v>13500</v>
      </c>
      <c r="BI256" s="69">
        <v>94062001</v>
      </c>
      <c r="BJ256" s="69" t="s">
        <v>3606</v>
      </c>
      <c r="BK256" s="54">
        <v>14175</v>
      </c>
    </row>
    <row r="257" spans="49:63">
      <c r="AW257" s="143">
        <v>97113001</v>
      </c>
      <c r="AX257" t="s">
        <v>930</v>
      </c>
      <c r="AY257" s="9">
        <v>1570</v>
      </c>
      <c r="BA257">
        <v>96032901</v>
      </c>
      <c r="BB257" t="s">
        <v>50</v>
      </c>
      <c r="BC257" s="145">
        <v>14175</v>
      </c>
      <c r="BE257" s="72">
        <v>94052301</v>
      </c>
      <c r="BF257" s="72" t="s">
        <v>1931</v>
      </c>
      <c r="BG257" s="62">
        <v>14175</v>
      </c>
      <c r="BI257" s="69">
        <v>94062001</v>
      </c>
      <c r="BJ257" s="69" t="s">
        <v>3607</v>
      </c>
      <c r="BK257" s="54">
        <v>14175</v>
      </c>
    </row>
    <row r="258" spans="49:63">
      <c r="AW258" s="143">
        <v>97123110</v>
      </c>
      <c r="AX258" t="s">
        <v>931</v>
      </c>
      <c r="AY258" s="9">
        <v>988</v>
      </c>
      <c r="BA258">
        <v>96032901</v>
      </c>
      <c r="BB258" t="s">
        <v>51</v>
      </c>
      <c r="BC258" s="145">
        <v>14175</v>
      </c>
      <c r="BE258">
        <v>95080901</v>
      </c>
      <c r="BF258" t="s">
        <v>3528</v>
      </c>
      <c r="BG258" s="120">
        <v>14175</v>
      </c>
      <c r="BI258" s="69">
        <v>94042501</v>
      </c>
      <c r="BJ258" s="69" t="s">
        <v>3608</v>
      </c>
      <c r="BK258" s="54">
        <v>13500</v>
      </c>
    </row>
    <row r="259" spans="49:63">
      <c r="AW259" s="143"/>
      <c r="BA259">
        <v>96032901</v>
      </c>
      <c r="BB259" t="s">
        <v>52</v>
      </c>
      <c r="BC259" s="145">
        <v>14175</v>
      </c>
      <c r="BE259">
        <v>95080901</v>
      </c>
      <c r="BF259" t="s">
        <v>3529</v>
      </c>
      <c r="BG259" s="120">
        <v>14175</v>
      </c>
      <c r="BI259" s="69">
        <v>94042501</v>
      </c>
      <c r="BJ259" s="69" t="s">
        <v>3609</v>
      </c>
      <c r="BK259" s="54">
        <v>13500</v>
      </c>
    </row>
    <row r="260" spans="49:63">
      <c r="AW260" s="156" t="s">
        <v>932</v>
      </c>
      <c r="AX260" s="157"/>
      <c r="AY260" s="155">
        <f>SUM(AY261:AY262)</f>
        <v>2404</v>
      </c>
      <c r="BA260">
        <v>96032901</v>
      </c>
      <c r="BB260" t="s">
        <v>53</v>
      </c>
      <c r="BC260" s="145">
        <v>14175</v>
      </c>
      <c r="BE260">
        <v>95080901</v>
      </c>
      <c r="BF260" t="s">
        <v>3530</v>
      </c>
      <c r="BG260" s="120">
        <v>14175</v>
      </c>
      <c r="BI260" s="69">
        <v>94042501</v>
      </c>
      <c r="BJ260" s="69" t="s">
        <v>1923</v>
      </c>
      <c r="BK260" s="54">
        <v>13500</v>
      </c>
    </row>
    <row r="261" spans="49:63">
      <c r="AW261" s="143">
        <v>97113001</v>
      </c>
      <c r="AX261" t="s">
        <v>933</v>
      </c>
      <c r="AY261" s="9">
        <v>1038</v>
      </c>
      <c r="BA261">
        <v>96032901</v>
      </c>
      <c r="BB261" t="s">
        <v>54</v>
      </c>
      <c r="BC261" s="145">
        <v>14175</v>
      </c>
      <c r="BE261">
        <v>95080901</v>
      </c>
      <c r="BF261" t="s">
        <v>3531</v>
      </c>
      <c r="BG261" s="120">
        <v>14175</v>
      </c>
      <c r="BI261" s="69">
        <v>94042501</v>
      </c>
      <c r="BJ261" s="69" t="s">
        <v>1924</v>
      </c>
      <c r="BK261" s="54">
        <v>13500</v>
      </c>
    </row>
    <row r="262" spans="49:63">
      <c r="AW262" s="143">
        <v>97123110</v>
      </c>
      <c r="AX262" t="s">
        <v>934</v>
      </c>
      <c r="AY262" s="9">
        <v>1366</v>
      </c>
      <c r="BA262" s="144">
        <v>95092001</v>
      </c>
      <c r="BB262" s="144" t="s">
        <v>3582</v>
      </c>
      <c r="BC262" s="62">
        <v>14175</v>
      </c>
      <c r="BE262">
        <v>95080901</v>
      </c>
      <c r="BF262" t="s">
        <v>3532</v>
      </c>
      <c r="BG262" s="120">
        <v>14175</v>
      </c>
      <c r="BI262" s="69">
        <v>94042501</v>
      </c>
      <c r="BJ262" s="69" t="s">
        <v>1925</v>
      </c>
      <c r="BK262" s="54">
        <v>13500</v>
      </c>
    </row>
    <row r="263" spans="49:63">
      <c r="AW263" s="143"/>
      <c r="BA263" s="144">
        <v>95092001</v>
      </c>
      <c r="BB263" s="144" t="s">
        <v>3583</v>
      </c>
      <c r="BC263" s="62">
        <v>14175</v>
      </c>
      <c r="BE263">
        <v>95050402</v>
      </c>
      <c r="BF263" t="s">
        <v>3533</v>
      </c>
      <c r="BG263" s="120">
        <v>13500</v>
      </c>
      <c r="BI263" s="69">
        <v>94042501</v>
      </c>
      <c r="BJ263" s="69" t="s">
        <v>1926</v>
      </c>
      <c r="BK263" s="54">
        <v>13500</v>
      </c>
    </row>
    <row r="264" spans="49:63">
      <c r="AW264" s="156" t="s">
        <v>935</v>
      </c>
      <c r="AX264" s="157"/>
      <c r="AY264" s="155">
        <f>SUM(AY265:AY266)</f>
        <v>423</v>
      </c>
      <c r="BA264" s="144">
        <v>95062003</v>
      </c>
      <c r="BB264" s="144" t="s">
        <v>3443</v>
      </c>
      <c r="BC264" s="62">
        <v>13500</v>
      </c>
      <c r="BE264">
        <v>95050402</v>
      </c>
      <c r="BF264" t="s">
        <v>3534</v>
      </c>
      <c r="BG264" s="120">
        <v>13500</v>
      </c>
      <c r="BI264" s="69">
        <v>94052301</v>
      </c>
      <c r="BJ264" s="69" t="s">
        <v>1927</v>
      </c>
      <c r="BK264" s="54">
        <v>14175</v>
      </c>
    </row>
    <row r="265" spans="49:63">
      <c r="AW265" s="143">
        <v>97113001</v>
      </c>
      <c r="AX265" t="s">
        <v>936</v>
      </c>
      <c r="AY265">
        <v>255</v>
      </c>
      <c r="BA265" s="144">
        <v>95062004</v>
      </c>
      <c r="BB265" s="144" t="s">
        <v>3484</v>
      </c>
      <c r="BC265" s="62">
        <v>13500</v>
      </c>
      <c r="BE265">
        <v>95050402</v>
      </c>
      <c r="BF265" t="s">
        <v>3535</v>
      </c>
      <c r="BG265" s="120">
        <v>13500</v>
      </c>
      <c r="BI265" s="69">
        <v>94052301</v>
      </c>
      <c r="BJ265" s="69" t="s">
        <v>1928</v>
      </c>
      <c r="BK265" s="54">
        <v>14175</v>
      </c>
    </row>
    <row r="266" spans="49:63">
      <c r="AW266" s="143">
        <v>97123110</v>
      </c>
      <c r="AX266" t="s">
        <v>937</v>
      </c>
      <c r="AY266">
        <v>168</v>
      </c>
      <c r="BA266" s="144">
        <v>95090102</v>
      </c>
      <c r="BB266" s="144" t="s">
        <v>3588</v>
      </c>
      <c r="BC266" s="62">
        <v>13500</v>
      </c>
      <c r="BE266">
        <v>95050402</v>
      </c>
      <c r="BF266" t="s">
        <v>3536</v>
      </c>
      <c r="BG266" s="120">
        <v>13500</v>
      </c>
      <c r="BI266" s="69">
        <v>94052301</v>
      </c>
      <c r="BJ266" s="69" t="s">
        <v>1929</v>
      </c>
      <c r="BK266" s="54">
        <v>14175</v>
      </c>
    </row>
    <row r="267" spans="49:63">
      <c r="AW267" s="143"/>
      <c r="BA267" s="144">
        <v>95090102</v>
      </c>
      <c r="BB267" s="144" t="s">
        <v>3589</v>
      </c>
      <c r="BC267" s="62">
        <v>13500</v>
      </c>
      <c r="BE267">
        <v>95050402</v>
      </c>
      <c r="BF267" t="s">
        <v>3537</v>
      </c>
      <c r="BG267" s="120">
        <v>13500</v>
      </c>
      <c r="BI267" s="69">
        <v>94052301</v>
      </c>
      <c r="BJ267" s="69" t="s">
        <v>1930</v>
      </c>
      <c r="BK267" s="54">
        <v>14175</v>
      </c>
    </row>
    <row r="268" spans="49:63">
      <c r="AW268" s="156" t="s">
        <v>938</v>
      </c>
      <c r="AX268" s="157"/>
      <c r="AY268" s="155">
        <f>SUM(AY269:AY270)</f>
        <v>3740</v>
      </c>
      <c r="BA268">
        <v>96120601</v>
      </c>
      <c r="BB268" t="s">
        <v>55</v>
      </c>
      <c r="BC268" s="145">
        <v>14175</v>
      </c>
      <c r="BE268">
        <v>95050402</v>
      </c>
      <c r="BF268" t="s">
        <v>3538</v>
      </c>
      <c r="BG268" s="120">
        <v>13500</v>
      </c>
      <c r="BI268" s="69">
        <v>94052301</v>
      </c>
      <c r="BJ268" s="69" t="s">
        <v>1931</v>
      </c>
      <c r="BK268" s="54">
        <v>14175</v>
      </c>
    </row>
    <row r="269" spans="49:63">
      <c r="AW269" s="143">
        <v>97113001</v>
      </c>
      <c r="AX269" t="s">
        <v>939</v>
      </c>
      <c r="AY269">
        <v>2034</v>
      </c>
      <c r="BA269">
        <v>96120601</v>
      </c>
      <c r="BB269" t="s">
        <v>56</v>
      </c>
      <c r="BC269" s="145">
        <v>14175</v>
      </c>
      <c r="BE269">
        <v>95010305</v>
      </c>
      <c r="BF269" t="s">
        <v>3539</v>
      </c>
      <c r="BG269" s="120">
        <v>11340</v>
      </c>
      <c r="BI269" s="72">
        <v>93062302</v>
      </c>
      <c r="BJ269" s="72" t="s">
        <v>1643</v>
      </c>
      <c r="BK269" s="62">
        <v>13702</v>
      </c>
    </row>
    <row r="270" spans="49:63">
      <c r="AW270" s="143">
        <v>97123110</v>
      </c>
      <c r="AX270" t="s">
        <v>940</v>
      </c>
      <c r="AY270">
        <v>1706</v>
      </c>
      <c r="BA270">
        <v>96120601</v>
      </c>
      <c r="BB270" t="s">
        <v>57</v>
      </c>
      <c r="BC270" s="145">
        <v>14175</v>
      </c>
      <c r="BE270">
        <v>95010305</v>
      </c>
      <c r="BF270" t="s">
        <v>3540</v>
      </c>
      <c r="BG270" s="120">
        <v>11340</v>
      </c>
      <c r="BI270" s="72">
        <v>93062302</v>
      </c>
      <c r="BJ270" s="72" t="s">
        <v>1644</v>
      </c>
      <c r="BK270" s="62">
        <v>13702</v>
      </c>
    </row>
    <row r="271" spans="49:63">
      <c r="BA271">
        <v>96120601</v>
      </c>
      <c r="BB271" t="s">
        <v>58</v>
      </c>
      <c r="BC271" s="145">
        <v>14175</v>
      </c>
      <c r="BE271">
        <v>95010305</v>
      </c>
      <c r="BF271" t="s">
        <v>3541</v>
      </c>
      <c r="BG271" s="120">
        <v>11340</v>
      </c>
      <c r="BI271" s="72">
        <v>93041501</v>
      </c>
      <c r="BJ271" s="72" t="s">
        <v>1645</v>
      </c>
      <c r="BK271" s="62">
        <v>14175</v>
      </c>
    </row>
    <row r="272" spans="49:63">
      <c r="BA272">
        <v>96120601</v>
      </c>
      <c r="BB272" t="s">
        <v>59</v>
      </c>
      <c r="BC272" s="145">
        <v>14175</v>
      </c>
      <c r="BE272">
        <v>95010305</v>
      </c>
      <c r="BF272" t="s">
        <v>3542</v>
      </c>
      <c r="BG272" s="120">
        <v>11340</v>
      </c>
      <c r="BI272" s="72">
        <v>93082001</v>
      </c>
      <c r="BJ272" s="72" t="s">
        <v>1646</v>
      </c>
      <c r="BK272" s="62">
        <v>8977</v>
      </c>
    </row>
    <row r="273" spans="53:63">
      <c r="BA273">
        <v>96120601</v>
      </c>
      <c r="BB273" t="s">
        <v>60</v>
      </c>
      <c r="BC273" s="145">
        <v>14175</v>
      </c>
      <c r="BE273">
        <v>95010305</v>
      </c>
      <c r="BF273" t="s">
        <v>3543</v>
      </c>
      <c r="BG273" s="120">
        <v>11340</v>
      </c>
      <c r="BI273" s="72">
        <v>93082001</v>
      </c>
      <c r="BJ273" s="72" t="s">
        <v>1647</v>
      </c>
      <c r="BK273" s="62">
        <v>8977</v>
      </c>
    </row>
    <row r="274" spans="53:63">
      <c r="BA274">
        <v>96120601</v>
      </c>
      <c r="BB274" t="s">
        <v>61</v>
      </c>
      <c r="BC274" s="145">
        <v>14175</v>
      </c>
      <c r="BE274">
        <v>95010306</v>
      </c>
      <c r="BF274" t="s">
        <v>3544</v>
      </c>
      <c r="BG274" s="120">
        <v>11340</v>
      </c>
      <c r="BI274" s="72">
        <v>93021902</v>
      </c>
      <c r="BJ274" s="72" t="s">
        <v>1648</v>
      </c>
      <c r="BK274" s="62">
        <v>5985</v>
      </c>
    </row>
    <row r="275" spans="53:63">
      <c r="BA275" s="144">
        <v>95032810</v>
      </c>
      <c r="BB275" s="144" t="s">
        <v>1602</v>
      </c>
      <c r="BC275" s="62">
        <v>14175</v>
      </c>
      <c r="BE275" s="72">
        <v>94111807</v>
      </c>
      <c r="BF275" s="72" t="s">
        <v>1935</v>
      </c>
      <c r="BG275" s="62">
        <v>14175</v>
      </c>
      <c r="BI275" s="72">
        <v>93091001</v>
      </c>
      <c r="BJ275" s="72" t="s">
        <v>1649</v>
      </c>
      <c r="BK275" s="62">
        <v>8978</v>
      </c>
    </row>
    <row r="276" spans="53:63">
      <c r="BA276" s="144">
        <v>95040303</v>
      </c>
      <c r="BB276" s="144" t="s">
        <v>1607</v>
      </c>
      <c r="BC276" s="62">
        <v>14175</v>
      </c>
      <c r="BE276" s="72">
        <v>94111807</v>
      </c>
      <c r="BF276" s="72" t="s">
        <v>1937</v>
      </c>
      <c r="BG276" s="62">
        <v>14175</v>
      </c>
      <c r="BI276" s="72">
        <v>93091001</v>
      </c>
      <c r="BJ276" s="72" t="s">
        <v>1650</v>
      </c>
      <c r="BK276" s="62">
        <v>8978</v>
      </c>
    </row>
    <row r="277" spans="53:63">
      <c r="BE277" s="72">
        <v>94111807</v>
      </c>
      <c r="BF277" s="72" t="s">
        <v>1938</v>
      </c>
      <c r="BG277" s="62">
        <v>14175</v>
      </c>
      <c r="BI277" s="72">
        <v>93091001</v>
      </c>
      <c r="BJ277" s="72" t="s">
        <v>1651</v>
      </c>
      <c r="BK277" s="62">
        <v>8978</v>
      </c>
    </row>
    <row r="278" spans="53:63">
      <c r="BA278" s="114" t="s">
        <v>62</v>
      </c>
      <c r="BB278" s="114"/>
      <c r="BC278" s="11">
        <f>SUM(BC279:BC285)</f>
        <v>199275</v>
      </c>
      <c r="BE278" s="72">
        <v>94111807</v>
      </c>
      <c r="BF278" s="72" t="s">
        <v>1939</v>
      </c>
      <c r="BG278" s="62">
        <v>14175</v>
      </c>
      <c r="BI278" s="69">
        <v>94111807</v>
      </c>
      <c r="BJ278" s="69" t="s">
        <v>1932</v>
      </c>
      <c r="BK278" s="54">
        <v>14175</v>
      </c>
    </row>
    <row r="279" spans="53:63">
      <c r="BA279">
        <v>96111505</v>
      </c>
      <c r="BB279" t="s">
        <v>63</v>
      </c>
      <c r="BC279" s="124">
        <v>14175</v>
      </c>
      <c r="BE279" s="72">
        <v>94052401</v>
      </c>
      <c r="BF279" s="72" t="s">
        <v>1948</v>
      </c>
      <c r="BG279" s="62">
        <v>14175</v>
      </c>
      <c r="BI279" s="69">
        <v>94111807</v>
      </c>
      <c r="BJ279" s="69" t="s">
        <v>1933</v>
      </c>
      <c r="BK279" s="54">
        <v>14175</v>
      </c>
    </row>
    <row r="280" spans="53:63">
      <c r="BA280">
        <v>96121901</v>
      </c>
      <c r="BB280" t="s">
        <v>64</v>
      </c>
      <c r="BC280" s="124">
        <v>14175</v>
      </c>
      <c r="BE280" s="72">
        <v>94052401</v>
      </c>
      <c r="BF280" s="72" t="s">
        <v>1949</v>
      </c>
      <c r="BG280" s="62">
        <v>14175</v>
      </c>
      <c r="BI280" s="69">
        <v>94111807</v>
      </c>
      <c r="BJ280" s="69" t="s">
        <v>1934</v>
      </c>
      <c r="BK280" s="54">
        <v>14175</v>
      </c>
    </row>
    <row r="281" spans="53:63">
      <c r="BA281">
        <v>96111505</v>
      </c>
      <c r="BB281" t="s">
        <v>65</v>
      </c>
      <c r="BC281" s="124">
        <v>14175</v>
      </c>
      <c r="BE281" s="72">
        <v>94112801</v>
      </c>
      <c r="BF281" s="72" t="s">
        <v>2836</v>
      </c>
      <c r="BG281" s="62">
        <v>14175</v>
      </c>
      <c r="BI281" s="69">
        <v>94111807</v>
      </c>
      <c r="BJ281" s="69" t="s">
        <v>1935</v>
      </c>
      <c r="BK281" s="54">
        <v>14175</v>
      </c>
    </row>
    <row r="282" spans="53:63">
      <c r="BA282">
        <v>96080201</v>
      </c>
      <c r="BB282" t="s">
        <v>66</v>
      </c>
      <c r="BC282" s="124">
        <v>14175</v>
      </c>
      <c r="BE282" s="72">
        <v>94112801</v>
      </c>
      <c r="BF282" s="72" t="s">
        <v>2837</v>
      </c>
      <c r="BG282" s="62">
        <v>14175</v>
      </c>
      <c r="BI282" s="73">
        <v>94112104</v>
      </c>
      <c r="BJ282" s="73" t="s">
        <v>1936</v>
      </c>
      <c r="BK282" s="54">
        <v>14175</v>
      </c>
    </row>
    <row r="283" spans="53:63">
      <c r="BA283">
        <v>96121501</v>
      </c>
      <c r="BB283" t="s">
        <v>67</v>
      </c>
      <c r="BC283" s="124">
        <v>14175</v>
      </c>
      <c r="BE283" s="72">
        <v>94112801</v>
      </c>
      <c r="BF283" s="72" t="s">
        <v>2838</v>
      </c>
      <c r="BG283" s="62">
        <v>14175</v>
      </c>
      <c r="BI283" s="69">
        <v>94111807</v>
      </c>
      <c r="BJ283" s="69" t="s">
        <v>1937</v>
      </c>
      <c r="BK283" s="54">
        <v>14175</v>
      </c>
    </row>
    <row r="284" spans="53:63">
      <c r="BA284">
        <v>96122801</v>
      </c>
      <c r="BB284" t="s">
        <v>411</v>
      </c>
      <c r="BC284" s="124">
        <v>113400</v>
      </c>
      <c r="BE284">
        <v>95081801</v>
      </c>
      <c r="BF284" t="s">
        <v>3545</v>
      </c>
      <c r="BG284" s="120">
        <v>14175</v>
      </c>
      <c r="BI284" s="69">
        <v>94111807</v>
      </c>
      <c r="BJ284" s="69" t="s">
        <v>1938</v>
      </c>
      <c r="BK284" s="54">
        <v>14175</v>
      </c>
    </row>
    <row r="285" spans="53:63">
      <c r="BA285">
        <v>96122802</v>
      </c>
      <c r="BB285" t="s">
        <v>412</v>
      </c>
      <c r="BC285" s="124">
        <v>15000</v>
      </c>
      <c r="BE285">
        <v>95081801</v>
      </c>
      <c r="BF285" t="s">
        <v>3546</v>
      </c>
      <c r="BG285" s="120">
        <v>14175</v>
      </c>
      <c r="BI285" s="69">
        <v>94111807</v>
      </c>
      <c r="BJ285" s="69" t="s">
        <v>1939</v>
      </c>
      <c r="BK285" s="54">
        <v>14175</v>
      </c>
    </row>
    <row r="286" spans="53:63">
      <c r="BE286">
        <v>95081801</v>
      </c>
      <c r="BF286" t="s">
        <v>3547</v>
      </c>
      <c r="BG286" s="120">
        <v>14175</v>
      </c>
      <c r="BI286" s="72">
        <v>93113001</v>
      </c>
      <c r="BJ286" s="72" t="s">
        <v>1652</v>
      </c>
      <c r="BK286" s="62">
        <v>14175</v>
      </c>
    </row>
    <row r="287" spans="53:63">
      <c r="BA287" s="114" t="s">
        <v>1444</v>
      </c>
      <c r="BB287" s="114"/>
      <c r="BC287" s="147">
        <f>SUM(BC288:BC289)</f>
        <v>50000</v>
      </c>
      <c r="BE287">
        <v>95081801</v>
      </c>
      <c r="BF287" t="s">
        <v>3548</v>
      </c>
      <c r="BG287" s="120">
        <v>14175</v>
      </c>
      <c r="BI287" s="72">
        <v>93113001</v>
      </c>
      <c r="BJ287" s="72" t="s">
        <v>1653</v>
      </c>
      <c r="BK287" s="62">
        <v>14175</v>
      </c>
    </row>
    <row r="288" spans="53:63">
      <c r="BA288" s="7">
        <v>96020901</v>
      </c>
      <c r="BB288" s="7" t="s">
        <v>3804</v>
      </c>
      <c r="BC288" s="148">
        <v>50000</v>
      </c>
      <c r="BE288">
        <v>95081801</v>
      </c>
      <c r="BF288" t="s">
        <v>3549</v>
      </c>
      <c r="BG288" s="120">
        <v>14175</v>
      </c>
      <c r="BI288" s="72">
        <v>93113001</v>
      </c>
      <c r="BJ288" s="72" t="s">
        <v>1654</v>
      </c>
      <c r="BK288" s="62">
        <v>14175</v>
      </c>
    </row>
    <row r="289" spans="53:63">
      <c r="BE289">
        <v>95081802</v>
      </c>
      <c r="BF289" t="s">
        <v>3550</v>
      </c>
      <c r="BG289" s="120">
        <v>14175</v>
      </c>
      <c r="BI289" s="72">
        <v>93113002</v>
      </c>
      <c r="BJ289" s="72" t="s">
        <v>1655</v>
      </c>
      <c r="BK289" s="62">
        <v>14175</v>
      </c>
    </row>
    <row r="290" spans="53:63">
      <c r="BA290" s="117" t="s">
        <v>3492</v>
      </c>
      <c r="BB290" s="117"/>
      <c r="BC290" s="118">
        <v>0</v>
      </c>
      <c r="BE290">
        <v>95042005</v>
      </c>
      <c r="BF290" t="s">
        <v>3551</v>
      </c>
      <c r="BG290" s="120">
        <v>14175</v>
      </c>
      <c r="BI290" s="69">
        <v>94120706</v>
      </c>
      <c r="BJ290" s="69" t="s">
        <v>1940</v>
      </c>
      <c r="BK290" s="54">
        <v>24885</v>
      </c>
    </row>
    <row r="291" spans="53:63">
      <c r="BA291" s="144"/>
      <c r="BB291" s="144"/>
      <c r="BC291" s="62"/>
      <c r="BE291">
        <v>95042005</v>
      </c>
      <c r="BF291" t="s">
        <v>3552</v>
      </c>
      <c r="BG291" s="120">
        <v>14175</v>
      </c>
      <c r="BI291" s="69">
        <v>94120706</v>
      </c>
      <c r="BJ291" s="69" t="s">
        <v>1941</v>
      </c>
      <c r="BK291" s="54">
        <v>24885</v>
      </c>
    </row>
    <row r="292" spans="53:63">
      <c r="BA292" s="68" t="s">
        <v>1294</v>
      </c>
      <c r="BB292" s="68"/>
      <c r="BC292" s="68">
        <v>0</v>
      </c>
      <c r="BE292">
        <v>95042005</v>
      </c>
      <c r="BF292" t="s">
        <v>3553</v>
      </c>
      <c r="BG292" s="120">
        <v>14175</v>
      </c>
      <c r="BI292" s="69">
        <v>94113001</v>
      </c>
      <c r="BJ292" s="69" t="s">
        <v>1942</v>
      </c>
      <c r="BK292" s="54">
        <v>24885</v>
      </c>
    </row>
    <row r="293" spans="53:63">
      <c r="BA293" s="69"/>
      <c r="BB293" s="69"/>
      <c r="BC293" s="69"/>
      <c r="BE293">
        <v>95042005</v>
      </c>
      <c r="BF293" t="s">
        <v>3554</v>
      </c>
      <c r="BG293" s="120">
        <v>14175</v>
      </c>
      <c r="BI293" s="69">
        <v>94113001</v>
      </c>
      <c r="BJ293" s="69" t="s">
        <v>1943</v>
      </c>
      <c r="BK293" s="54">
        <v>24885</v>
      </c>
    </row>
    <row r="294" spans="53:63">
      <c r="BA294" s="116" t="s">
        <v>413</v>
      </c>
      <c r="BB294" s="126"/>
      <c r="BC294" s="118">
        <f>SUM(BC295:BC310)</f>
        <v>442142</v>
      </c>
      <c r="BE294">
        <v>95042005</v>
      </c>
      <c r="BF294" t="s">
        <v>3555</v>
      </c>
      <c r="BG294" s="120">
        <v>14175</v>
      </c>
      <c r="BI294" s="72">
        <v>93030501</v>
      </c>
      <c r="BJ294" s="72" t="s">
        <v>1656</v>
      </c>
      <c r="BK294" s="62">
        <v>8978</v>
      </c>
    </row>
    <row r="295" spans="53:63">
      <c r="BA295">
        <v>96113005</v>
      </c>
      <c r="BB295" t="s">
        <v>257</v>
      </c>
      <c r="BC295" s="124">
        <v>12515</v>
      </c>
      <c r="BE295">
        <v>95070701</v>
      </c>
      <c r="BF295" t="s">
        <v>3556</v>
      </c>
      <c r="BG295" s="120">
        <v>14175</v>
      </c>
      <c r="BI295" s="69">
        <v>94052401</v>
      </c>
      <c r="BJ295" s="69" t="s">
        <v>1944</v>
      </c>
      <c r="BK295" s="54">
        <v>14175</v>
      </c>
    </row>
    <row r="296" spans="53:63">
      <c r="BA296">
        <v>96123108</v>
      </c>
      <c r="BB296" t="s">
        <v>258</v>
      </c>
      <c r="BC296" s="124">
        <v>12515</v>
      </c>
      <c r="BE296">
        <v>95070701</v>
      </c>
      <c r="BF296" t="s">
        <v>3557</v>
      </c>
      <c r="BG296" s="120">
        <v>14175</v>
      </c>
      <c r="BI296" s="69">
        <v>94052401</v>
      </c>
      <c r="BJ296" s="69" t="s">
        <v>1945</v>
      </c>
      <c r="BK296" s="54">
        <v>14175</v>
      </c>
    </row>
    <row r="297" spans="53:63">
      <c r="BA297">
        <v>96113005</v>
      </c>
      <c r="BB297" t="s">
        <v>259</v>
      </c>
      <c r="BC297" s="124">
        <v>12459</v>
      </c>
      <c r="BE297">
        <v>95070701</v>
      </c>
      <c r="BF297" t="s">
        <v>3558</v>
      </c>
      <c r="BG297" s="120">
        <v>14175</v>
      </c>
      <c r="BI297" s="69">
        <v>94052401</v>
      </c>
      <c r="BJ297" s="69" t="s">
        <v>1946</v>
      </c>
      <c r="BK297" s="54">
        <v>14175</v>
      </c>
    </row>
    <row r="298" spans="53:63">
      <c r="BA298">
        <v>96123108</v>
      </c>
      <c r="BB298" t="s">
        <v>260</v>
      </c>
      <c r="BC298" s="124">
        <v>12459</v>
      </c>
      <c r="BE298">
        <v>95070701</v>
      </c>
      <c r="BF298" t="s">
        <v>3559</v>
      </c>
      <c r="BG298" s="120">
        <v>14175</v>
      </c>
      <c r="BI298" s="69">
        <v>94052401</v>
      </c>
      <c r="BJ298" s="69" t="s">
        <v>1947</v>
      </c>
      <c r="BK298" s="54">
        <v>14175</v>
      </c>
    </row>
    <row r="299" spans="53:63">
      <c r="BA299">
        <v>96123108</v>
      </c>
      <c r="BB299" t="s">
        <v>261</v>
      </c>
      <c r="BC299" s="124">
        <v>385949</v>
      </c>
      <c r="BE299">
        <v>95070701</v>
      </c>
      <c r="BF299" t="s">
        <v>3560</v>
      </c>
      <c r="BG299" s="120">
        <v>14175</v>
      </c>
      <c r="BI299" s="69">
        <v>94052401</v>
      </c>
      <c r="BJ299" s="69" t="s">
        <v>1948</v>
      </c>
      <c r="BK299" s="54">
        <v>14175</v>
      </c>
    </row>
    <row r="300" spans="53:63">
      <c r="BA300">
        <v>96121303</v>
      </c>
      <c r="BB300" t="s">
        <v>262</v>
      </c>
      <c r="BC300" s="124">
        <v>80</v>
      </c>
      <c r="BE300">
        <v>95070701</v>
      </c>
      <c r="BF300" t="s">
        <v>3561</v>
      </c>
      <c r="BG300" s="120">
        <v>14175</v>
      </c>
      <c r="BI300" s="69">
        <v>94052401</v>
      </c>
      <c r="BJ300" s="69" t="s">
        <v>1949</v>
      </c>
      <c r="BK300" s="54">
        <v>14175</v>
      </c>
    </row>
    <row r="301" spans="53:63">
      <c r="BA301">
        <v>96122402</v>
      </c>
      <c r="BB301" t="s">
        <v>1430</v>
      </c>
      <c r="BC301" s="124">
        <v>840</v>
      </c>
      <c r="BE301" s="72">
        <v>94111803</v>
      </c>
      <c r="BF301" s="72" t="s">
        <v>2843</v>
      </c>
      <c r="BG301" s="62">
        <v>14175</v>
      </c>
      <c r="BI301" s="69">
        <v>94112801</v>
      </c>
      <c r="BJ301" s="69" t="s">
        <v>2832</v>
      </c>
      <c r="BK301" s="54">
        <v>14175</v>
      </c>
    </row>
    <row r="302" spans="53:63">
      <c r="BA302">
        <v>96112604</v>
      </c>
      <c r="BB302" t="s">
        <v>1431</v>
      </c>
      <c r="BC302" s="124">
        <v>152</v>
      </c>
      <c r="BE302" s="72">
        <v>94111803</v>
      </c>
      <c r="BF302" s="72" t="s">
        <v>2844</v>
      </c>
      <c r="BG302" s="62">
        <v>14175</v>
      </c>
      <c r="BI302" s="69">
        <v>94112801</v>
      </c>
      <c r="BJ302" s="69" t="s">
        <v>2833</v>
      </c>
      <c r="BK302" s="54">
        <v>14175</v>
      </c>
    </row>
    <row r="303" spans="53:63">
      <c r="BA303">
        <v>96121304</v>
      </c>
      <c r="BB303" t="s">
        <v>1432</v>
      </c>
      <c r="BC303" s="124">
        <v>468</v>
      </c>
      <c r="BE303" s="72">
        <v>94091501</v>
      </c>
      <c r="BF303" s="72" t="s">
        <v>2849</v>
      </c>
      <c r="BG303" s="62">
        <v>14175</v>
      </c>
      <c r="BI303" s="69">
        <v>94112801</v>
      </c>
      <c r="BJ303" s="69" t="s">
        <v>2834</v>
      </c>
      <c r="BK303" s="54">
        <v>14175</v>
      </c>
    </row>
    <row r="304" spans="53:63">
      <c r="BA304">
        <v>96121903</v>
      </c>
      <c r="BB304" t="s">
        <v>1433</v>
      </c>
      <c r="BC304" s="124">
        <v>263</v>
      </c>
      <c r="BE304" s="72">
        <v>94091501</v>
      </c>
      <c r="BF304" s="72" t="s">
        <v>2850</v>
      </c>
      <c r="BG304" s="62">
        <v>14175</v>
      </c>
      <c r="BI304" s="69">
        <v>94112801</v>
      </c>
      <c r="BJ304" s="69" t="s">
        <v>2835</v>
      </c>
      <c r="BK304" s="54">
        <v>14175</v>
      </c>
    </row>
    <row r="305" spans="53:63">
      <c r="BA305">
        <v>96112301</v>
      </c>
      <c r="BB305" t="s">
        <v>1434</v>
      </c>
      <c r="BC305" s="124">
        <v>600</v>
      </c>
      <c r="BE305" s="72">
        <v>94121504</v>
      </c>
      <c r="BF305" s="72" t="s">
        <v>2858</v>
      </c>
      <c r="BG305" s="62">
        <v>14175</v>
      </c>
      <c r="BI305" s="69">
        <v>94112801</v>
      </c>
      <c r="BJ305" s="69" t="s">
        <v>2836</v>
      </c>
      <c r="BK305" s="54">
        <v>14175</v>
      </c>
    </row>
    <row r="306" spans="53:63">
      <c r="BA306">
        <v>96121201</v>
      </c>
      <c r="BB306" t="s">
        <v>1435</v>
      </c>
      <c r="BC306" s="124">
        <v>200</v>
      </c>
      <c r="BE306" s="72">
        <v>94121504</v>
      </c>
      <c r="BF306" s="72" t="s">
        <v>2859</v>
      </c>
      <c r="BG306" s="62">
        <v>14175</v>
      </c>
      <c r="BI306" s="69">
        <v>94112801</v>
      </c>
      <c r="BJ306" s="69" t="s">
        <v>2837</v>
      </c>
      <c r="BK306" s="54">
        <v>14175</v>
      </c>
    </row>
    <row r="307" spans="53:63">
      <c r="BA307">
        <v>96122301</v>
      </c>
      <c r="BB307" t="s">
        <v>1436</v>
      </c>
      <c r="BC307" s="124">
        <v>1847</v>
      </c>
      <c r="BE307" s="72">
        <v>94121504</v>
      </c>
      <c r="BF307" s="72" t="s">
        <v>2860</v>
      </c>
      <c r="BG307" s="62">
        <v>14175</v>
      </c>
      <c r="BI307" s="69">
        <v>94112801</v>
      </c>
      <c r="BJ307" s="69" t="s">
        <v>2838</v>
      </c>
      <c r="BK307" s="54">
        <v>14175</v>
      </c>
    </row>
    <row r="308" spans="53:63">
      <c r="BA308">
        <v>96122505</v>
      </c>
      <c r="BB308" t="s">
        <v>1437</v>
      </c>
      <c r="BC308" s="124">
        <v>200</v>
      </c>
      <c r="BE308" s="72">
        <v>94121504</v>
      </c>
      <c r="BF308" s="72" t="s">
        <v>2861</v>
      </c>
      <c r="BG308" s="62">
        <v>14175</v>
      </c>
      <c r="BI308" s="72">
        <v>93060902</v>
      </c>
      <c r="BJ308" s="72" t="s">
        <v>1657</v>
      </c>
      <c r="BK308" s="62">
        <v>8550</v>
      </c>
    </row>
    <row r="309" spans="53:63">
      <c r="BA309">
        <v>96122803</v>
      </c>
      <c r="BB309" t="s">
        <v>1438</v>
      </c>
      <c r="BC309" s="124">
        <v>595</v>
      </c>
      <c r="BE309">
        <v>95062802</v>
      </c>
      <c r="BF309" t="s">
        <v>3562</v>
      </c>
      <c r="BG309" s="120">
        <v>13500</v>
      </c>
      <c r="BI309" s="72">
        <v>93060902</v>
      </c>
      <c r="BJ309" s="72" t="s">
        <v>2929</v>
      </c>
      <c r="BK309" s="62">
        <v>8550</v>
      </c>
    </row>
    <row r="310" spans="53:63">
      <c r="BA310">
        <v>96123005</v>
      </c>
      <c r="BB310" t="s">
        <v>1509</v>
      </c>
      <c r="BC310" s="124">
        <v>1000</v>
      </c>
      <c r="BE310">
        <v>95062802</v>
      </c>
      <c r="BF310" t="s">
        <v>3563</v>
      </c>
      <c r="BG310" s="120">
        <v>13500</v>
      </c>
      <c r="BI310" s="69">
        <v>94111803</v>
      </c>
      <c r="BJ310" s="69" t="s">
        <v>2839</v>
      </c>
      <c r="BK310" s="54">
        <v>14175</v>
      </c>
    </row>
    <row r="311" spans="53:63">
      <c r="BA311" s="116" t="s">
        <v>3426</v>
      </c>
      <c r="BB311" s="117"/>
      <c r="BC311" s="118">
        <f>SUM(BC312:BC316)</f>
        <v>70875</v>
      </c>
      <c r="BE311">
        <v>95062802</v>
      </c>
      <c r="BF311" t="s">
        <v>3564</v>
      </c>
      <c r="BG311" s="120">
        <v>13500</v>
      </c>
      <c r="BI311" s="69">
        <v>94111803</v>
      </c>
      <c r="BJ311" s="69" t="s">
        <v>2840</v>
      </c>
      <c r="BK311" s="54">
        <v>14175</v>
      </c>
    </row>
    <row r="312" spans="53:63">
      <c r="BA312" s="143">
        <v>96020102</v>
      </c>
      <c r="BB312" t="s">
        <v>1515</v>
      </c>
      <c r="BC312" s="9">
        <v>14175</v>
      </c>
      <c r="BE312">
        <v>95062802</v>
      </c>
      <c r="BF312" t="s">
        <v>3565</v>
      </c>
      <c r="BG312" s="120">
        <v>13500</v>
      </c>
      <c r="BI312" s="69">
        <v>94111803</v>
      </c>
      <c r="BJ312" s="69" t="s">
        <v>2841</v>
      </c>
      <c r="BK312" s="54">
        <v>14175</v>
      </c>
    </row>
    <row r="313" spans="53:63">
      <c r="BA313" s="143">
        <v>96032903</v>
      </c>
      <c r="BB313" t="s">
        <v>1516</v>
      </c>
      <c r="BC313" s="9">
        <v>14175</v>
      </c>
      <c r="BE313">
        <v>95062802</v>
      </c>
      <c r="BF313" t="s">
        <v>3566</v>
      </c>
      <c r="BG313" s="120">
        <v>13500</v>
      </c>
      <c r="BI313" s="69">
        <v>94111803</v>
      </c>
      <c r="BJ313" s="69" t="s">
        <v>2842</v>
      </c>
      <c r="BK313" s="54">
        <v>14175</v>
      </c>
    </row>
    <row r="314" spans="53:63">
      <c r="BA314" s="143">
        <v>96052501</v>
      </c>
      <c r="BB314" t="s">
        <v>1517</v>
      </c>
      <c r="BC314" s="9">
        <v>14175</v>
      </c>
      <c r="BE314" s="72">
        <v>94062301</v>
      </c>
      <c r="BF314" s="72" t="s">
        <v>2866</v>
      </c>
      <c r="BG314" s="62">
        <v>13230</v>
      </c>
      <c r="BI314" s="69">
        <v>94111803</v>
      </c>
      <c r="BJ314" s="69" t="s">
        <v>2843</v>
      </c>
      <c r="BK314" s="54">
        <v>14175</v>
      </c>
    </row>
    <row r="315" spans="53:63">
      <c r="BA315" s="143">
        <v>96090301</v>
      </c>
      <c r="BB315" t="s">
        <v>1518</v>
      </c>
      <c r="BC315" s="9">
        <v>14175</v>
      </c>
      <c r="BE315" s="72">
        <v>94062301</v>
      </c>
      <c r="BF315" s="72" t="s">
        <v>2867</v>
      </c>
      <c r="BG315" s="62">
        <v>13230</v>
      </c>
      <c r="BI315" s="69">
        <v>94111803</v>
      </c>
      <c r="BJ315" s="69" t="s">
        <v>2844</v>
      </c>
      <c r="BK315" s="54">
        <v>14175</v>
      </c>
    </row>
    <row r="316" spans="53:63">
      <c r="BA316" s="143">
        <v>96111506</v>
      </c>
      <c r="BB316" t="s">
        <v>1519</v>
      </c>
      <c r="BC316" s="9">
        <v>14175</v>
      </c>
      <c r="BE316">
        <v>95022006</v>
      </c>
      <c r="BF316" t="s">
        <v>3567</v>
      </c>
      <c r="BG316" s="120">
        <v>14175</v>
      </c>
      <c r="BI316" s="72">
        <v>93062401</v>
      </c>
      <c r="BJ316" s="72" t="s">
        <v>2930</v>
      </c>
      <c r="BK316" s="62">
        <v>8550</v>
      </c>
    </row>
    <row r="317" spans="53:63">
      <c r="BE317">
        <v>95022006</v>
      </c>
      <c r="BF317" t="s">
        <v>3568</v>
      </c>
      <c r="BG317" s="120">
        <v>14175</v>
      </c>
      <c r="BI317" s="72">
        <v>93062401</v>
      </c>
      <c r="BJ317" s="72" t="s">
        <v>2931</v>
      </c>
      <c r="BK317" s="62">
        <v>8550</v>
      </c>
    </row>
    <row r="318" spans="53:63">
      <c r="BA318" s="133" t="s">
        <v>832</v>
      </c>
      <c r="BB318" s="78"/>
      <c r="BC318" s="79">
        <f>BC319+BC323+BC327+BC330+BC333</f>
        <v>24336</v>
      </c>
      <c r="BE318">
        <v>95022006</v>
      </c>
      <c r="BF318" t="s">
        <v>3569</v>
      </c>
      <c r="BG318" s="120">
        <v>14175</v>
      </c>
      <c r="BI318" s="69">
        <v>94092001</v>
      </c>
      <c r="BJ318" s="69" t="s">
        <v>2845</v>
      </c>
      <c r="BK318" s="54">
        <v>14175</v>
      </c>
    </row>
    <row r="319" spans="53:63">
      <c r="BA319" s="125" t="s">
        <v>3495</v>
      </c>
      <c r="BB319" s="126"/>
      <c r="BC319" s="118">
        <f>SUM(BC320:BC321)</f>
        <v>5924</v>
      </c>
      <c r="BE319">
        <v>95022006</v>
      </c>
      <c r="BF319" t="s">
        <v>3570</v>
      </c>
      <c r="BG319" s="120">
        <v>14175</v>
      </c>
      <c r="BI319" s="69">
        <v>94092001</v>
      </c>
      <c r="BJ319" s="69" t="s">
        <v>2846</v>
      </c>
      <c r="BK319" s="54">
        <v>14175</v>
      </c>
    </row>
    <row r="320" spans="53:63">
      <c r="BA320" s="143">
        <v>96113005</v>
      </c>
      <c r="BB320" t="s">
        <v>1439</v>
      </c>
      <c r="BC320">
        <v>2962</v>
      </c>
      <c r="BE320">
        <v>95112801</v>
      </c>
      <c r="BF320" t="s">
        <v>3571</v>
      </c>
      <c r="BG320" s="120">
        <v>18900</v>
      </c>
      <c r="BI320" s="69">
        <v>94091501</v>
      </c>
      <c r="BJ320" s="69" t="s">
        <v>2847</v>
      </c>
      <c r="BK320" s="54">
        <v>14175</v>
      </c>
    </row>
    <row r="321" spans="53:63">
      <c r="BA321" s="143">
        <v>96123108</v>
      </c>
      <c r="BB321" t="s">
        <v>1440</v>
      </c>
      <c r="BC321">
        <v>2962</v>
      </c>
      <c r="BE321">
        <v>95112801</v>
      </c>
      <c r="BF321" t="s">
        <v>3572</v>
      </c>
      <c r="BG321" s="120">
        <v>18900</v>
      </c>
      <c r="BI321" s="69">
        <v>94091501</v>
      </c>
      <c r="BJ321" s="69" t="s">
        <v>2848</v>
      </c>
      <c r="BK321" s="54">
        <v>14175</v>
      </c>
    </row>
    <row r="322" spans="53:63">
      <c r="BE322">
        <v>95022403</v>
      </c>
      <c r="BF322" t="s">
        <v>3573</v>
      </c>
      <c r="BG322" s="120">
        <v>14175</v>
      </c>
      <c r="BI322" s="69">
        <v>94091501</v>
      </c>
      <c r="BJ322" s="69" t="s">
        <v>2849</v>
      </c>
      <c r="BK322" s="54">
        <v>14175</v>
      </c>
    </row>
    <row r="323" spans="53:63">
      <c r="BA323" s="117" t="s">
        <v>3496</v>
      </c>
      <c r="BB323" s="117"/>
      <c r="BC323" s="118">
        <f>SUM(BC324:BC325)</f>
        <v>18412</v>
      </c>
      <c r="BE323">
        <v>95022403</v>
      </c>
      <c r="BF323" t="s">
        <v>3574</v>
      </c>
      <c r="BG323" s="120">
        <v>14175</v>
      </c>
      <c r="BI323" s="69">
        <v>94091501</v>
      </c>
      <c r="BJ323" s="69" t="s">
        <v>2850</v>
      </c>
      <c r="BK323" s="54">
        <v>14175</v>
      </c>
    </row>
    <row r="324" spans="53:63">
      <c r="BA324" s="143">
        <v>96113005</v>
      </c>
      <c r="BB324" t="s">
        <v>1441</v>
      </c>
      <c r="BC324">
        <v>9206</v>
      </c>
      <c r="BE324">
        <v>95022403</v>
      </c>
      <c r="BF324" t="s">
        <v>3575</v>
      </c>
      <c r="BG324" s="120">
        <v>14175</v>
      </c>
      <c r="BI324" s="69">
        <v>94121903</v>
      </c>
      <c r="BJ324" s="69" t="s">
        <v>2851</v>
      </c>
      <c r="BK324" s="54">
        <v>14175</v>
      </c>
    </row>
    <row r="325" spans="53:63">
      <c r="BA325" s="143">
        <v>96123108</v>
      </c>
      <c r="BB325" t="s">
        <v>1442</v>
      </c>
      <c r="BC325">
        <v>9206</v>
      </c>
      <c r="BE325">
        <v>95022403</v>
      </c>
      <c r="BF325" t="s">
        <v>3576</v>
      </c>
      <c r="BG325" s="120">
        <v>14175</v>
      </c>
      <c r="BI325" s="69">
        <v>94121903</v>
      </c>
      <c r="BJ325" s="69" t="s">
        <v>2855</v>
      </c>
      <c r="BK325" s="54">
        <v>14175</v>
      </c>
    </row>
    <row r="326" spans="53:63">
      <c r="BA326" s="143"/>
      <c r="BE326">
        <v>95022403</v>
      </c>
      <c r="BF326" t="s">
        <v>3577</v>
      </c>
      <c r="BG326" s="120">
        <v>14175</v>
      </c>
      <c r="BI326" s="69">
        <v>94121504</v>
      </c>
      <c r="BJ326" s="69" t="s">
        <v>2856</v>
      </c>
      <c r="BK326" s="54">
        <v>14175</v>
      </c>
    </row>
    <row r="327" spans="53:63">
      <c r="BA327" s="117" t="s">
        <v>1443</v>
      </c>
      <c r="BB327" s="117"/>
      <c r="BC327" s="118">
        <f>SUM(BC328:BC328)</f>
        <v>0</v>
      </c>
      <c r="BE327" s="72">
        <v>94083101</v>
      </c>
      <c r="BF327" s="72" t="s">
        <v>2877</v>
      </c>
      <c r="BG327" s="62">
        <v>14175</v>
      </c>
      <c r="BI327" s="69">
        <v>94121504</v>
      </c>
      <c r="BJ327" s="69" t="s">
        <v>2857</v>
      </c>
      <c r="BK327" s="54">
        <v>14175</v>
      </c>
    </row>
    <row r="328" spans="53:63">
      <c r="BA328" s="143"/>
      <c r="BE328" s="72">
        <v>94083101</v>
      </c>
      <c r="BF328" s="72" t="s">
        <v>2878</v>
      </c>
      <c r="BG328" s="62">
        <v>14175</v>
      </c>
      <c r="BI328" s="69">
        <v>94121504</v>
      </c>
      <c r="BJ328" s="69" t="s">
        <v>2858</v>
      </c>
      <c r="BK328" s="54">
        <v>14175</v>
      </c>
    </row>
    <row r="329" spans="53:63">
      <c r="BE329">
        <v>95092001</v>
      </c>
      <c r="BF329" t="s">
        <v>3578</v>
      </c>
      <c r="BG329" s="120">
        <v>14175</v>
      </c>
      <c r="BI329" s="69">
        <v>94121504</v>
      </c>
      <c r="BJ329" s="69" t="s">
        <v>2859</v>
      </c>
      <c r="BK329" s="54">
        <v>14175</v>
      </c>
    </row>
    <row r="330" spans="53:63">
      <c r="BA330" s="114" t="s">
        <v>3885</v>
      </c>
      <c r="BB330" s="114"/>
      <c r="BC330" s="127">
        <f>SUM(BC331:BC331)</f>
        <v>0</v>
      </c>
      <c r="BE330">
        <v>95092001</v>
      </c>
      <c r="BF330" t="s">
        <v>3579</v>
      </c>
      <c r="BG330" s="120">
        <v>14175</v>
      </c>
      <c r="BI330" s="69">
        <v>94121504</v>
      </c>
      <c r="BJ330" s="69" t="s">
        <v>2860</v>
      </c>
      <c r="BK330" s="54">
        <v>14175</v>
      </c>
    </row>
    <row r="331" spans="53:63">
      <c r="BA331" s="143"/>
      <c r="BE331">
        <v>95092001</v>
      </c>
      <c r="BF331" t="s">
        <v>3580</v>
      </c>
      <c r="BG331" s="120">
        <v>14175</v>
      </c>
      <c r="BI331" s="69">
        <v>94121504</v>
      </c>
      <c r="BJ331" s="69" t="s">
        <v>2861</v>
      </c>
      <c r="BK331" s="54">
        <v>14175</v>
      </c>
    </row>
    <row r="332" spans="53:63">
      <c r="BE332">
        <v>95092001</v>
      </c>
      <c r="BF332" t="s">
        <v>3581</v>
      </c>
      <c r="BG332" s="120">
        <v>14175</v>
      </c>
      <c r="BI332" s="69">
        <v>94062301</v>
      </c>
      <c r="BJ332" s="69" t="s">
        <v>2862</v>
      </c>
      <c r="BK332" s="54">
        <v>13230</v>
      </c>
    </row>
    <row r="333" spans="53:63">
      <c r="BA333" s="114" t="s">
        <v>3886</v>
      </c>
      <c r="BB333" s="114"/>
      <c r="BC333" s="11">
        <f>SUM(BC334:BC335)</f>
        <v>0</v>
      </c>
      <c r="BE333">
        <v>95092001</v>
      </c>
      <c r="BF333" t="s">
        <v>3582</v>
      </c>
      <c r="BG333" s="120">
        <v>14175</v>
      </c>
      <c r="BI333" s="69">
        <v>94062301</v>
      </c>
      <c r="BJ333" s="69" t="s">
        <v>2863</v>
      </c>
      <c r="BK333" s="54">
        <v>13230</v>
      </c>
    </row>
    <row r="334" spans="53:63">
      <c r="BA334" s="143"/>
      <c r="BE334">
        <v>95092001</v>
      </c>
      <c r="BF334" t="s">
        <v>3583</v>
      </c>
      <c r="BG334" s="120">
        <v>14175</v>
      </c>
      <c r="BI334" s="69">
        <v>94062301</v>
      </c>
      <c r="BJ334" s="69" t="s">
        <v>2864</v>
      </c>
      <c r="BK334" s="54">
        <v>13230</v>
      </c>
    </row>
    <row r="335" spans="53:63">
      <c r="BA335" s="143"/>
      <c r="BE335" s="72">
        <v>94111806</v>
      </c>
      <c r="BF335" s="72" t="s">
        <v>2888</v>
      </c>
      <c r="BG335" s="62">
        <v>14175</v>
      </c>
      <c r="BI335" s="69">
        <v>94062301</v>
      </c>
      <c r="BJ335" s="69" t="s">
        <v>2865</v>
      </c>
      <c r="BK335" s="54">
        <v>13230</v>
      </c>
    </row>
    <row r="336" spans="53:63">
      <c r="BA336" s="114" t="s">
        <v>3887</v>
      </c>
      <c r="BB336" s="114"/>
      <c r="BC336" s="11">
        <f>SUM(BC337:BC337)</f>
        <v>0</v>
      </c>
      <c r="BE336" s="72">
        <v>94111806</v>
      </c>
      <c r="BF336" s="72" t="s">
        <v>2889</v>
      </c>
      <c r="BG336" s="62">
        <v>14175</v>
      </c>
      <c r="BI336" s="69">
        <v>94062301</v>
      </c>
      <c r="BJ336" s="69" t="s">
        <v>2866</v>
      </c>
      <c r="BK336" s="54">
        <v>13230</v>
      </c>
    </row>
    <row r="337" spans="53:63">
      <c r="BA337" s="7"/>
      <c r="BB337" s="7"/>
      <c r="BC337" s="146"/>
      <c r="BE337" s="72">
        <v>94111806</v>
      </c>
      <c r="BF337" s="72" t="s">
        <v>2883</v>
      </c>
      <c r="BG337" s="62">
        <v>14175</v>
      </c>
      <c r="BI337" s="69">
        <v>94062301</v>
      </c>
      <c r="BJ337" s="69" t="s">
        <v>2867</v>
      </c>
      <c r="BK337" s="54">
        <v>13230</v>
      </c>
    </row>
    <row r="338" spans="53:63">
      <c r="BE338" s="72">
        <v>94070701</v>
      </c>
      <c r="BF338" s="72" t="s">
        <v>2894</v>
      </c>
      <c r="BG338" s="62">
        <v>14175</v>
      </c>
      <c r="BI338" s="69">
        <v>94122704</v>
      </c>
      <c r="BJ338" s="69" t="s">
        <v>2868</v>
      </c>
      <c r="BK338" s="54">
        <v>7088</v>
      </c>
    </row>
    <row r="339" spans="53:63">
      <c r="BA339" s="114" t="s">
        <v>3805</v>
      </c>
      <c r="BB339" s="114"/>
      <c r="BC339" s="147">
        <f>SUM(BC340:BC352)</f>
        <v>204407</v>
      </c>
      <c r="BE339" s="72">
        <v>94070702</v>
      </c>
      <c r="BF339" s="72" t="s">
        <v>2895</v>
      </c>
      <c r="BG339" s="62">
        <v>14175</v>
      </c>
      <c r="BI339" s="69">
        <v>94122704</v>
      </c>
      <c r="BJ339" s="69" t="s">
        <v>2869</v>
      </c>
      <c r="BK339" s="54">
        <v>7088</v>
      </c>
    </row>
    <row r="340" spans="53:63">
      <c r="BA340" s="149">
        <v>96010301</v>
      </c>
      <c r="BB340" s="7" t="s">
        <v>3806</v>
      </c>
      <c r="BC340" s="148">
        <v>5825</v>
      </c>
      <c r="BE340">
        <v>95062003</v>
      </c>
      <c r="BF340" t="s">
        <v>3439</v>
      </c>
      <c r="BG340" s="120">
        <v>13500</v>
      </c>
      <c r="BI340" s="69">
        <v>94111809</v>
      </c>
      <c r="BJ340" s="69" t="s">
        <v>2870</v>
      </c>
      <c r="BK340" s="54">
        <v>14175</v>
      </c>
    </row>
    <row r="341" spans="53:63">
      <c r="BA341" s="143">
        <v>96011803</v>
      </c>
      <c r="BB341" t="s">
        <v>3807</v>
      </c>
      <c r="BC341" s="9">
        <v>20000</v>
      </c>
      <c r="BE341">
        <v>95062003</v>
      </c>
      <c r="BF341" t="s">
        <v>3440</v>
      </c>
      <c r="BG341" s="120">
        <v>13500</v>
      </c>
      <c r="BI341" s="69">
        <v>94111809</v>
      </c>
      <c r="BJ341" s="69" t="s">
        <v>2871</v>
      </c>
      <c r="BK341" s="54">
        <v>14175</v>
      </c>
    </row>
    <row r="342" spans="53:63">
      <c r="BA342" s="143">
        <v>96012201</v>
      </c>
      <c r="BB342" t="s">
        <v>3808</v>
      </c>
      <c r="BC342" s="9">
        <v>20000</v>
      </c>
      <c r="BE342">
        <v>95062003</v>
      </c>
      <c r="BF342" t="s">
        <v>3441</v>
      </c>
      <c r="BG342" s="120">
        <v>13500</v>
      </c>
      <c r="BI342" s="69">
        <v>94111809</v>
      </c>
      <c r="BJ342" s="69" t="s">
        <v>2872</v>
      </c>
      <c r="BK342" s="54">
        <v>14175</v>
      </c>
    </row>
    <row r="343" spans="53:63">
      <c r="BA343" s="143">
        <v>96030504</v>
      </c>
      <c r="BB343" t="s">
        <v>3809</v>
      </c>
      <c r="BC343" s="9">
        <v>7557</v>
      </c>
      <c r="BE343">
        <v>95062003</v>
      </c>
      <c r="BF343" t="s">
        <v>3442</v>
      </c>
      <c r="BG343" s="120">
        <v>13500</v>
      </c>
      <c r="BI343" s="72">
        <v>93120801</v>
      </c>
      <c r="BJ343" s="72" t="s">
        <v>2932</v>
      </c>
      <c r="BK343" s="63">
        <v>14175</v>
      </c>
    </row>
    <row r="344" spans="53:63">
      <c r="BA344" s="143">
        <v>96031207</v>
      </c>
      <c r="BB344" t="s">
        <v>3810</v>
      </c>
      <c r="BC344" s="9">
        <v>20000</v>
      </c>
      <c r="BE344">
        <v>95062003</v>
      </c>
      <c r="BF344" t="s">
        <v>3443</v>
      </c>
      <c r="BG344" s="120">
        <v>13500</v>
      </c>
      <c r="BI344" s="72">
        <v>93120801</v>
      </c>
      <c r="BJ344" s="72" t="s">
        <v>2933</v>
      </c>
      <c r="BK344" s="63">
        <v>14175</v>
      </c>
    </row>
    <row r="345" spans="53:63">
      <c r="BA345" s="143">
        <v>96041003</v>
      </c>
      <c r="BB345" t="s">
        <v>3811</v>
      </c>
      <c r="BC345" s="9">
        <v>11025</v>
      </c>
      <c r="BE345">
        <v>95062004</v>
      </c>
      <c r="BF345" t="s">
        <v>3484</v>
      </c>
      <c r="BG345" s="120">
        <v>13500</v>
      </c>
      <c r="BI345" s="72">
        <v>93120801</v>
      </c>
      <c r="BJ345" s="72" t="s">
        <v>2934</v>
      </c>
      <c r="BK345" s="63">
        <v>14175</v>
      </c>
    </row>
    <row r="346" spans="53:63">
      <c r="BA346" s="143">
        <v>96041101</v>
      </c>
      <c r="BB346" t="s">
        <v>3812</v>
      </c>
      <c r="BC346" s="9">
        <v>14175</v>
      </c>
      <c r="BE346" s="72">
        <v>94121602</v>
      </c>
      <c r="BF346" s="72" t="s">
        <v>2904</v>
      </c>
      <c r="BG346" s="62">
        <v>13800</v>
      </c>
      <c r="BI346" s="72">
        <v>93120802</v>
      </c>
      <c r="BJ346" s="72" t="s">
        <v>2935</v>
      </c>
      <c r="BK346" s="63">
        <v>14175</v>
      </c>
    </row>
    <row r="347" spans="53:63">
      <c r="BA347" s="143">
        <v>96041302</v>
      </c>
      <c r="BB347" t="s">
        <v>3813</v>
      </c>
      <c r="BC347" s="9">
        <v>20000</v>
      </c>
      <c r="BE347" s="72">
        <v>94121602</v>
      </c>
      <c r="BF347" s="72" t="s">
        <v>2905</v>
      </c>
      <c r="BG347" s="62">
        <v>13800</v>
      </c>
      <c r="BI347" s="69">
        <v>94083101</v>
      </c>
      <c r="BJ347" s="69" t="s">
        <v>2873</v>
      </c>
      <c r="BK347" s="54">
        <v>14175</v>
      </c>
    </row>
    <row r="348" spans="53:63">
      <c r="BA348" s="143">
        <v>96051504</v>
      </c>
      <c r="BB348" t="s">
        <v>3814</v>
      </c>
      <c r="BC348" s="9">
        <v>20000</v>
      </c>
      <c r="BE348" s="72">
        <v>94121602</v>
      </c>
      <c r="BF348" s="72" t="s">
        <v>2906</v>
      </c>
      <c r="BG348" s="62">
        <v>13800</v>
      </c>
      <c r="BI348" s="69">
        <v>94083101</v>
      </c>
      <c r="BJ348" s="69" t="s">
        <v>2874</v>
      </c>
      <c r="BK348" s="54">
        <v>14175</v>
      </c>
    </row>
    <row r="349" spans="53:63">
      <c r="BA349" s="143">
        <v>96052801</v>
      </c>
      <c r="BB349" t="s">
        <v>3815</v>
      </c>
      <c r="BC349" s="9">
        <v>5825</v>
      </c>
      <c r="BE349" s="72">
        <v>94122801</v>
      </c>
      <c r="BF349" s="72" t="s">
        <v>2911</v>
      </c>
      <c r="BG349" s="62">
        <v>14175</v>
      </c>
      <c r="BI349" s="69">
        <v>94083101</v>
      </c>
      <c r="BJ349" s="69" t="s">
        <v>2875</v>
      </c>
      <c r="BK349" s="54">
        <v>14175</v>
      </c>
    </row>
    <row r="350" spans="53:63">
      <c r="BA350" s="143">
        <v>96071705</v>
      </c>
      <c r="BB350" t="s">
        <v>3816</v>
      </c>
      <c r="BC350" s="9">
        <v>20000</v>
      </c>
      <c r="BE350" s="72">
        <v>94122801</v>
      </c>
      <c r="BF350" s="72" t="s">
        <v>2912</v>
      </c>
      <c r="BG350" s="62">
        <v>14175</v>
      </c>
      <c r="BI350" s="69">
        <v>94083101</v>
      </c>
      <c r="BJ350" s="69" t="s">
        <v>2876</v>
      </c>
      <c r="BK350" s="54">
        <v>14175</v>
      </c>
    </row>
    <row r="351" spans="53:63">
      <c r="BA351" s="143">
        <v>96080203</v>
      </c>
      <c r="BB351" t="s">
        <v>3817</v>
      </c>
      <c r="BC351" s="9">
        <v>20000</v>
      </c>
      <c r="BE351" s="72">
        <v>94122801</v>
      </c>
      <c r="BF351" s="72" t="s">
        <v>2913</v>
      </c>
      <c r="BG351" s="62">
        <v>14175</v>
      </c>
      <c r="BI351" s="69">
        <v>94083101</v>
      </c>
      <c r="BJ351" s="69" t="s">
        <v>2877</v>
      </c>
      <c r="BK351" s="54">
        <v>14175</v>
      </c>
    </row>
    <row r="352" spans="53:63">
      <c r="BA352" s="143">
        <v>96121703</v>
      </c>
      <c r="BB352" t="s">
        <v>3818</v>
      </c>
      <c r="BC352" s="9">
        <v>20000</v>
      </c>
      <c r="BE352">
        <v>95090102</v>
      </c>
      <c r="BF352" t="s">
        <v>3584</v>
      </c>
      <c r="BG352" s="120">
        <v>13500</v>
      </c>
      <c r="BI352" s="69">
        <v>94083101</v>
      </c>
      <c r="BJ352" s="69" t="s">
        <v>2878</v>
      </c>
      <c r="BK352" s="54">
        <v>14175</v>
      </c>
    </row>
    <row r="353" spans="57:63">
      <c r="BE353">
        <v>95090102</v>
      </c>
      <c r="BF353" t="s">
        <v>3585</v>
      </c>
      <c r="BG353" s="120">
        <v>13500</v>
      </c>
      <c r="BI353" s="69">
        <v>94012401</v>
      </c>
      <c r="BJ353" s="69" t="s">
        <v>2879</v>
      </c>
      <c r="BK353" s="54">
        <v>14175</v>
      </c>
    </row>
    <row r="354" spans="57:63">
      <c r="BE354">
        <v>95090102</v>
      </c>
      <c r="BF354" t="s">
        <v>3586</v>
      </c>
      <c r="BG354" s="120">
        <v>13500</v>
      </c>
      <c r="BI354" s="69">
        <v>94012401</v>
      </c>
      <c r="BJ354" s="69" t="s">
        <v>2880</v>
      </c>
      <c r="BK354" s="54">
        <v>14175</v>
      </c>
    </row>
    <row r="355" spans="57:63">
      <c r="BE355">
        <v>95090102</v>
      </c>
      <c r="BF355" t="s">
        <v>3587</v>
      </c>
      <c r="BG355" s="120">
        <v>13500</v>
      </c>
      <c r="BI355" s="69">
        <v>94012401</v>
      </c>
      <c r="BJ355" s="69" t="s">
        <v>2881</v>
      </c>
      <c r="BK355" s="54">
        <v>14175</v>
      </c>
    </row>
    <row r="356" spans="57:63">
      <c r="BE356">
        <v>95090102</v>
      </c>
      <c r="BF356" t="s">
        <v>3588</v>
      </c>
      <c r="BG356" s="120">
        <v>13500</v>
      </c>
      <c r="BI356" s="69">
        <v>94012401</v>
      </c>
      <c r="BJ356" s="69" t="s">
        <v>2882</v>
      </c>
      <c r="BK356" s="54">
        <v>14175</v>
      </c>
    </row>
    <row r="357" spans="57:63">
      <c r="BE357">
        <v>95090102</v>
      </c>
      <c r="BF357" t="s">
        <v>3589</v>
      </c>
      <c r="BG357" s="120">
        <v>13500</v>
      </c>
      <c r="BI357" s="72">
        <v>93072701</v>
      </c>
      <c r="BJ357" s="72" t="s">
        <v>2936</v>
      </c>
      <c r="BK357" s="62">
        <v>8978</v>
      </c>
    </row>
    <row r="358" spans="57:63">
      <c r="BE358" s="72">
        <v>94081801</v>
      </c>
      <c r="BF358" s="72" t="s">
        <v>2574</v>
      </c>
      <c r="BG358" s="62">
        <v>13389</v>
      </c>
      <c r="BI358" s="72">
        <v>93072701</v>
      </c>
      <c r="BJ358" s="72" t="s">
        <v>2937</v>
      </c>
      <c r="BK358" s="62">
        <v>8978</v>
      </c>
    </row>
    <row r="359" spans="57:63">
      <c r="BE359" s="72">
        <v>94081801</v>
      </c>
      <c r="BF359" s="72" t="s">
        <v>2575</v>
      </c>
      <c r="BG359" s="62">
        <v>13389</v>
      </c>
      <c r="BI359" s="69">
        <v>94111806</v>
      </c>
      <c r="BJ359" s="69" t="s">
        <v>2883</v>
      </c>
      <c r="BK359" s="54">
        <v>14175</v>
      </c>
    </row>
    <row r="360" spans="57:63">
      <c r="BE360">
        <v>95032810</v>
      </c>
      <c r="BF360" t="s">
        <v>3590</v>
      </c>
      <c r="BG360" s="120">
        <v>14175</v>
      </c>
      <c r="BI360" s="69">
        <v>94111806</v>
      </c>
      <c r="BJ360" s="69" t="s">
        <v>2884</v>
      </c>
      <c r="BK360" s="54">
        <v>14175</v>
      </c>
    </row>
    <row r="361" spans="57:63">
      <c r="BE361">
        <v>95032810</v>
      </c>
      <c r="BF361" t="s">
        <v>3591</v>
      </c>
      <c r="BG361" s="120">
        <v>14175</v>
      </c>
      <c r="BI361" s="69">
        <v>94111806</v>
      </c>
      <c r="BJ361" s="69" t="s">
        <v>2885</v>
      </c>
      <c r="BK361" s="54">
        <v>14175</v>
      </c>
    </row>
    <row r="362" spans="57:63">
      <c r="BE362">
        <v>95032810</v>
      </c>
      <c r="BF362" t="s">
        <v>3592</v>
      </c>
      <c r="BG362" s="120">
        <v>14175</v>
      </c>
      <c r="BI362" s="69">
        <v>94111806</v>
      </c>
      <c r="BJ362" s="69" t="s">
        <v>2886</v>
      </c>
      <c r="BK362" s="54">
        <v>14175</v>
      </c>
    </row>
    <row r="363" spans="57:63">
      <c r="BE363">
        <v>95032810</v>
      </c>
      <c r="BF363" t="s">
        <v>1601</v>
      </c>
      <c r="BG363" s="120">
        <v>14175</v>
      </c>
      <c r="BI363" s="69">
        <v>94111806</v>
      </c>
      <c r="BJ363" s="69" t="s">
        <v>2887</v>
      </c>
      <c r="BK363" s="54">
        <v>14175</v>
      </c>
    </row>
    <row r="364" spans="57:63">
      <c r="BE364">
        <v>95032810</v>
      </c>
      <c r="BF364" t="s">
        <v>1602</v>
      </c>
      <c r="BG364" s="120">
        <v>14175</v>
      </c>
      <c r="BI364" s="69">
        <v>94111806</v>
      </c>
      <c r="BJ364" s="69" t="s">
        <v>2888</v>
      </c>
      <c r="BK364" s="54">
        <v>14175</v>
      </c>
    </row>
    <row r="365" spans="57:63">
      <c r="BE365" s="72">
        <v>94091601</v>
      </c>
      <c r="BF365" s="72" t="s">
        <v>2580</v>
      </c>
      <c r="BG365" s="63">
        <v>14175</v>
      </c>
      <c r="BI365" s="69">
        <v>94111806</v>
      </c>
      <c r="BJ365" s="69" t="s">
        <v>2889</v>
      </c>
      <c r="BK365" s="54">
        <v>14175</v>
      </c>
    </row>
    <row r="366" spans="57:63">
      <c r="BE366" s="72">
        <v>94091601</v>
      </c>
      <c r="BF366" s="72" t="s">
        <v>2581</v>
      </c>
      <c r="BG366" s="63">
        <v>14175</v>
      </c>
      <c r="BI366" s="69">
        <v>94070701</v>
      </c>
      <c r="BJ366" s="69" t="s">
        <v>2890</v>
      </c>
      <c r="BK366" s="54">
        <v>14175</v>
      </c>
    </row>
    <row r="367" spans="57:63">
      <c r="BE367" s="72">
        <v>94091601</v>
      </c>
      <c r="BF367" s="72" t="s">
        <v>2582</v>
      </c>
      <c r="BG367" s="63">
        <v>14175</v>
      </c>
      <c r="BI367" s="69">
        <v>94070701</v>
      </c>
      <c r="BJ367" s="69" t="s">
        <v>2891</v>
      </c>
      <c r="BK367" s="54">
        <v>14175</v>
      </c>
    </row>
    <row r="368" spans="57:63">
      <c r="BE368">
        <v>95040303</v>
      </c>
      <c r="BF368" t="s">
        <v>1603</v>
      </c>
      <c r="BG368" s="120">
        <v>14175</v>
      </c>
      <c r="BI368" s="69">
        <v>94070701</v>
      </c>
      <c r="BJ368" s="69" t="s">
        <v>2892</v>
      </c>
      <c r="BK368" s="54">
        <v>14175</v>
      </c>
    </row>
    <row r="369" spans="57:63">
      <c r="BE369">
        <v>95040303</v>
      </c>
      <c r="BF369" t="s">
        <v>1604</v>
      </c>
      <c r="BG369" s="120">
        <v>14175</v>
      </c>
      <c r="BI369" s="69">
        <v>94070701</v>
      </c>
      <c r="BJ369" s="69" t="s">
        <v>2893</v>
      </c>
      <c r="BK369" s="54">
        <v>14175</v>
      </c>
    </row>
    <row r="370" spans="57:63">
      <c r="BE370">
        <v>95040303</v>
      </c>
      <c r="BF370" t="s">
        <v>1605</v>
      </c>
      <c r="BG370" s="120">
        <v>14175</v>
      </c>
      <c r="BI370" s="69">
        <v>94070701</v>
      </c>
      <c r="BJ370" s="69" t="s">
        <v>2894</v>
      </c>
      <c r="BK370" s="54">
        <v>14175</v>
      </c>
    </row>
    <row r="371" spans="57:63">
      <c r="BE371">
        <v>95040303</v>
      </c>
      <c r="BF371" t="s">
        <v>1606</v>
      </c>
      <c r="BG371" s="120">
        <v>14175</v>
      </c>
      <c r="BI371" s="69">
        <v>94070702</v>
      </c>
      <c r="BJ371" s="69" t="s">
        <v>2895</v>
      </c>
      <c r="BK371" s="54">
        <v>14175</v>
      </c>
    </row>
    <row r="372" spans="57:63">
      <c r="BE372">
        <v>95040303</v>
      </c>
      <c r="BF372" t="s">
        <v>1607</v>
      </c>
      <c r="BG372" s="120">
        <v>14175</v>
      </c>
      <c r="BI372" s="72">
        <v>93081301</v>
      </c>
      <c r="BJ372" s="72" t="s">
        <v>2938</v>
      </c>
      <c r="BK372" s="62">
        <v>13500</v>
      </c>
    </row>
    <row r="373" spans="57:63">
      <c r="BE373" s="72">
        <v>94052501</v>
      </c>
      <c r="BF373" s="72" t="s">
        <v>3485</v>
      </c>
      <c r="BG373" s="62">
        <v>14175</v>
      </c>
      <c r="BI373" s="72">
        <v>93081301</v>
      </c>
      <c r="BJ373" s="72" t="s">
        <v>2939</v>
      </c>
      <c r="BK373" s="62">
        <v>13500</v>
      </c>
    </row>
    <row r="374" spans="57:63">
      <c r="BE374" s="122">
        <v>95103108</v>
      </c>
      <c r="BF374" s="122" t="s">
        <v>3486</v>
      </c>
      <c r="BG374" s="123">
        <v>14175</v>
      </c>
      <c r="BI374" s="72">
        <v>93081301</v>
      </c>
      <c r="BJ374" s="72" t="s">
        <v>2940</v>
      </c>
      <c r="BK374" s="62">
        <v>13500</v>
      </c>
    </row>
    <row r="375" spans="57:63">
      <c r="BE375" s="122">
        <v>95103108</v>
      </c>
      <c r="BF375" s="122" t="s">
        <v>1608</v>
      </c>
      <c r="BG375" s="123">
        <v>14175</v>
      </c>
      <c r="BI375" s="69">
        <v>94040403</v>
      </c>
      <c r="BJ375" s="69" t="s">
        <v>2896</v>
      </c>
      <c r="BK375" s="54">
        <v>14175</v>
      </c>
    </row>
    <row r="376" spans="57:63">
      <c r="BE376" s="122">
        <v>95103108</v>
      </c>
      <c r="BF376" s="122" t="s">
        <v>1609</v>
      </c>
      <c r="BG376" s="123">
        <v>14175</v>
      </c>
      <c r="BI376" s="69">
        <v>94040403</v>
      </c>
      <c r="BJ376" s="69" t="s">
        <v>2897</v>
      </c>
      <c r="BK376" s="54">
        <v>14175</v>
      </c>
    </row>
    <row r="377" spans="57:63">
      <c r="BE377" s="122">
        <v>95103108</v>
      </c>
      <c r="BF377" s="122" t="s">
        <v>1610</v>
      </c>
      <c r="BG377" s="123">
        <v>14175</v>
      </c>
      <c r="BI377" s="69">
        <v>94040403</v>
      </c>
      <c r="BJ377" s="69" t="s">
        <v>2898</v>
      </c>
      <c r="BK377" s="54">
        <v>14175</v>
      </c>
    </row>
    <row r="378" spans="57:63">
      <c r="BE378" s="122">
        <v>95103108</v>
      </c>
      <c r="BF378" s="122" t="s">
        <v>1611</v>
      </c>
      <c r="BG378" s="123">
        <v>14175</v>
      </c>
      <c r="BI378" s="69">
        <v>94040403</v>
      </c>
      <c r="BJ378" s="69" t="s">
        <v>2899</v>
      </c>
      <c r="BK378" s="54">
        <v>14175</v>
      </c>
    </row>
    <row r="379" spans="57:63">
      <c r="BE379" s="122">
        <v>95103108</v>
      </c>
      <c r="BF379" s="122" t="s">
        <v>1612</v>
      </c>
      <c r="BG379" s="123">
        <v>14175</v>
      </c>
      <c r="BI379" s="69">
        <v>94121602</v>
      </c>
      <c r="BJ379" s="69" t="s">
        <v>2900</v>
      </c>
      <c r="BK379" s="54">
        <v>13800</v>
      </c>
    </row>
    <row r="380" spans="57:63">
      <c r="BE380" s="122">
        <v>95103108</v>
      </c>
      <c r="BF380" s="122" t="s">
        <v>1613</v>
      </c>
      <c r="BG380" s="123">
        <v>14175</v>
      </c>
      <c r="BI380" s="69">
        <v>94121903</v>
      </c>
      <c r="BJ380" s="69" t="s">
        <v>2901</v>
      </c>
      <c r="BK380" s="54">
        <v>13800</v>
      </c>
    </row>
    <row r="381" spans="57:63">
      <c r="BE381" s="122"/>
      <c r="BF381" s="122"/>
      <c r="BG381" s="123"/>
      <c r="BI381" s="69">
        <v>94121903</v>
      </c>
      <c r="BJ381" s="69" t="s">
        <v>2902</v>
      </c>
      <c r="BK381" s="54">
        <v>13800</v>
      </c>
    </row>
    <row r="382" spans="57:63">
      <c r="BE382" s="117" t="s">
        <v>3487</v>
      </c>
      <c r="BF382" s="117"/>
      <c r="BG382" s="118">
        <f>SUM(BG383:BG391)</f>
        <v>125924</v>
      </c>
      <c r="BI382" s="69">
        <v>94121602</v>
      </c>
      <c r="BJ382" s="69" t="s">
        <v>2903</v>
      </c>
      <c r="BK382" s="54">
        <v>13800</v>
      </c>
    </row>
    <row r="383" spans="57:63">
      <c r="BE383">
        <v>95110501</v>
      </c>
      <c r="BF383" t="s">
        <v>3491</v>
      </c>
      <c r="BG383" s="124">
        <v>14175</v>
      </c>
      <c r="BI383" s="69">
        <v>94121602</v>
      </c>
      <c r="BJ383" s="69" t="s">
        <v>2904</v>
      </c>
      <c r="BK383" s="54">
        <v>13800</v>
      </c>
    </row>
    <row r="384" spans="57:63">
      <c r="BE384">
        <v>95112001</v>
      </c>
      <c r="BF384" t="s">
        <v>3489</v>
      </c>
      <c r="BG384" s="124">
        <v>14175</v>
      </c>
      <c r="BI384" s="69">
        <v>94121602</v>
      </c>
      <c r="BJ384" s="69" t="s">
        <v>2905</v>
      </c>
      <c r="BK384" s="54">
        <v>13800</v>
      </c>
    </row>
    <row r="385" spans="57:63">
      <c r="BE385">
        <v>95112001</v>
      </c>
      <c r="BF385" t="s">
        <v>3490</v>
      </c>
      <c r="BG385" s="124">
        <v>14175</v>
      </c>
      <c r="BI385" s="69">
        <v>94121602</v>
      </c>
      <c r="BJ385" s="69" t="s">
        <v>2906</v>
      </c>
      <c r="BK385" s="54">
        <v>13800</v>
      </c>
    </row>
    <row r="386" spans="57:63">
      <c r="BE386">
        <v>95112201</v>
      </c>
      <c r="BF386" t="s">
        <v>3488</v>
      </c>
      <c r="BG386" s="124">
        <v>14175</v>
      </c>
      <c r="BI386" s="69">
        <v>94122802</v>
      </c>
      <c r="BJ386" s="69" t="s">
        <v>2907</v>
      </c>
      <c r="BK386" s="54">
        <v>14175</v>
      </c>
    </row>
    <row r="387" spans="57:63">
      <c r="BE387" s="7">
        <v>95122602</v>
      </c>
      <c r="BF387" s="7" t="s">
        <v>3402</v>
      </c>
      <c r="BG387" s="131">
        <v>113400</v>
      </c>
      <c r="BI387" s="69">
        <v>94122802</v>
      </c>
      <c r="BJ387" s="69" t="s">
        <v>2908</v>
      </c>
      <c r="BK387" s="54">
        <v>14175</v>
      </c>
    </row>
    <row r="388" spans="57:63">
      <c r="BE388" s="128">
        <v>95010301</v>
      </c>
      <c r="BF388" s="128" t="s">
        <v>3400</v>
      </c>
      <c r="BG388" s="132">
        <v>14175</v>
      </c>
      <c r="BI388" s="69">
        <v>94122801</v>
      </c>
      <c r="BJ388" s="69" t="s">
        <v>2909</v>
      </c>
      <c r="BK388" s="54">
        <v>14175</v>
      </c>
    </row>
    <row r="389" spans="57:63">
      <c r="BE389" s="128">
        <v>95021003</v>
      </c>
      <c r="BF389" s="128" t="s">
        <v>3401</v>
      </c>
      <c r="BG389" s="132">
        <v>14175</v>
      </c>
      <c r="BI389" s="69">
        <v>94122801</v>
      </c>
      <c r="BJ389" s="69" t="s">
        <v>2910</v>
      </c>
      <c r="BK389" s="54">
        <v>14175</v>
      </c>
    </row>
    <row r="390" spans="57:63">
      <c r="BE390" s="128">
        <v>94052002</v>
      </c>
      <c r="BF390" s="128" t="s">
        <v>889</v>
      </c>
      <c r="BG390" s="129">
        <v>113400</v>
      </c>
      <c r="BI390" s="69">
        <v>94122801</v>
      </c>
      <c r="BJ390" s="69" t="s">
        <v>2911</v>
      </c>
      <c r="BK390" s="54">
        <v>14175</v>
      </c>
    </row>
    <row r="391" spans="57:63">
      <c r="BE391" s="128"/>
      <c r="BF391" s="128" t="s">
        <v>836</v>
      </c>
      <c r="BG391" s="129">
        <v>-185926</v>
      </c>
      <c r="BI391" s="69">
        <v>94122801</v>
      </c>
      <c r="BJ391" s="69" t="s">
        <v>2912</v>
      </c>
      <c r="BK391" s="54">
        <v>14175</v>
      </c>
    </row>
    <row r="392" spans="57:63">
      <c r="BI392" s="69">
        <v>94122801</v>
      </c>
      <c r="BJ392" s="69" t="s">
        <v>2913</v>
      </c>
      <c r="BK392" s="54">
        <v>14175</v>
      </c>
    </row>
    <row r="393" spans="57:63">
      <c r="BE393" s="68" t="s">
        <v>1293</v>
      </c>
      <c r="BF393" s="68"/>
      <c r="BG393" s="68">
        <f>BG394</f>
        <v>110000</v>
      </c>
      <c r="BI393" s="69">
        <v>94081801</v>
      </c>
      <c r="BJ393" s="69" t="s">
        <v>2914</v>
      </c>
      <c r="BK393" s="54">
        <v>13389</v>
      </c>
    </row>
    <row r="394" spans="57:63">
      <c r="BE394" s="84"/>
      <c r="BF394" s="84" t="s">
        <v>1686</v>
      </c>
      <c r="BG394" s="84">
        <v>110000</v>
      </c>
      <c r="BI394" s="69">
        <v>94081801</v>
      </c>
      <c r="BJ394" s="69" t="s">
        <v>2915</v>
      </c>
      <c r="BK394" s="54">
        <v>13389</v>
      </c>
    </row>
    <row r="395" spans="57:63">
      <c r="BE395" s="84"/>
      <c r="BF395" s="84"/>
      <c r="BG395" s="84"/>
      <c r="BI395" s="69">
        <v>94081801</v>
      </c>
      <c r="BJ395" s="69" t="s">
        <v>2916</v>
      </c>
      <c r="BK395" s="54">
        <v>13389</v>
      </c>
    </row>
    <row r="396" spans="57:63">
      <c r="BE396" s="117" t="s">
        <v>3492</v>
      </c>
      <c r="BF396" s="117"/>
      <c r="BG396" s="118">
        <f>SUM(BG397:BG398)</f>
        <v>21890</v>
      </c>
      <c r="BI396" s="69">
        <v>94081801</v>
      </c>
      <c r="BJ396" s="69" t="s">
        <v>2573</v>
      </c>
      <c r="BK396" s="54">
        <v>13389</v>
      </c>
    </row>
    <row r="397" spans="57:63">
      <c r="BE397">
        <v>95051004</v>
      </c>
      <c r="BF397" t="s">
        <v>3403</v>
      </c>
      <c r="BG397" s="124">
        <v>20000</v>
      </c>
      <c r="BI397" s="69">
        <v>94081801</v>
      </c>
      <c r="BJ397" s="69" t="s">
        <v>2574</v>
      </c>
      <c r="BK397" s="54">
        <v>13389</v>
      </c>
    </row>
    <row r="398" spans="57:63">
      <c r="BE398">
        <v>95120102</v>
      </c>
      <c r="BF398" t="s">
        <v>3404</v>
      </c>
      <c r="BG398" s="124">
        <v>1890</v>
      </c>
      <c r="BI398" s="69">
        <v>94081801</v>
      </c>
      <c r="BJ398" s="69" t="s">
        <v>2575</v>
      </c>
      <c r="BK398" s="54">
        <v>13389</v>
      </c>
    </row>
    <row r="399" spans="57:63">
      <c r="BG399" s="124"/>
      <c r="BI399" s="72">
        <v>93031601</v>
      </c>
      <c r="BJ399" s="72" t="s">
        <v>2941</v>
      </c>
      <c r="BK399" s="62">
        <v>14175</v>
      </c>
    </row>
    <row r="400" spans="57:63">
      <c r="BE400" s="68" t="s">
        <v>1294</v>
      </c>
      <c r="BF400" s="68"/>
      <c r="BG400" s="68">
        <v>0</v>
      </c>
      <c r="BI400" s="72">
        <v>93072310</v>
      </c>
      <c r="BJ400" s="72" t="s">
        <v>2942</v>
      </c>
      <c r="BK400" s="62">
        <v>14175</v>
      </c>
    </row>
    <row r="401" spans="57:63">
      <c r="BE401" s="69"/>
      <c r="BF401" s="69"/>
      <c r="BG401" s="69"/>
      <c r="BI401" s="72">
        <v>93072310</v>
      </c>
      <c r="BJ401" s="72" t="s">
        <v>2943</v>
      </c>
      <c r="BK401" s="62">
        <v>14175</v>
      </c>
    </row>
    <row r="402" spans="57:63">
      <c r="BE402" s="117" t="s">
        <v>3493</v>
      </c>
      <c r="BF402" s="117"/>
      <c r="BG402" s="118">
        <f>SUM(BG403:BG411)</f>
        <v>419345</v>
      </c>
      <c r="BI402" s="73">
        <v>94111814</v>
      </c>
      <c r="BJ402" s="73" t="s">
        <v>2576</v>
      </c>
      <c r="BK402" s="54">
        <v>14175</v>
      </c>
    </row>
    <row r="403" spans="57:63">
      <c r="BE403">
        <v>95113006</v>
      </c>
      <c r="BF403" t="s">
        <v>3405</v>
      </c>
      <c r="BG403" s="120">
        <v>8996</v>
      </c>
      <c r="BI403" s="73">
        <v>94111814</v>
      </c>
      <c r="BJ403" s="73" t="s">
        <v>2577</v>
      </c>
      <c r="BK403" s="54">
        <v>14175</v>
      </c>
    </row>
    <row r="404" spans="57:63">
      <c r="BE404">
        <v>95123101</v>
      </c>
      <c r="BF404" t="s">
        <v>3406</v>
      </c>
      <c r="BG404" s="120">
        <v>9768</v>
      </c>
      <c r="BI404" s="69">
        <v>94091601</v>
      </c>
      <c r="BJ404" s="69" t="s">
        <v>2578</v>
      </c>
      <c r="BK404" s="54">
        <v>14175</v>
      </c>
    </row>
    <row r="405" spans="57:63">
      <c r="BE405">
        <v>95113006</v>
      </c>
      <c r="BF405" t="s">
        <v>3407</v>
      </c>
      <c r="BG405" s="120">
        <v>10879</v>
      </c>
      <c r="BI405" s="69">
        <v>94091601</v>
      </c>
      <c r="BJ405" s="69" t="s">
        <v>2579</v>
      </c>
      <c r="BK405" s="54">
        <v>14175</v>
      </c>
    </row>
    <row r="406" spans="57:63">
      <c r="BE406">
        <v>95123101</v>
      </c>
      <c r="BF406" t="s">
        <v>3408</v>
      </c>
      <c r="BG406" s="120">
        <v>10879</v>
      </c>
      <c r="BI406" s="69">
        <v>94091601</v>
      </c>
      <c r="BJ406" s="69" t="s">
        <v>2580</v>
      </c>
      <c r="BK406" s="54">
        <v>14175</v>
      </c>
    </row>
    <row r="407" spans="57:63">
      <c r="BE407">
        <v>95123101</v>
      </c>
      <c r="BF407" t="s">
        <v>3411</v>
      </c>
      <c r="BG407" s="120">
        <v>365909</v>
      </c>
      <c r="BI407" s="69">
        <v>94091601</v>
      </c>
      <c r="BJ407" s="69" t="s">
        <v>2581</v>
      </c>
      <c r="BK407" s="54">
        <v>14175</v>
      </c>
    </row>
    <row r="408" spans="57:63">
      <c r="BE408">
        <v>95020102</v>
      </c>
      <c r="BF408" t="s">
        <v>3409</v>
      </c>
      <c r="BG408" s="121">
        <v>1890</v>
      </c>
      <c r="BI408" s="69">
        <v>94091601</v>
      </c>
      <c r="BJ408" s="69" t="s">
        <v>2582</v>
      </c>
      <c r="BK408" s="54">
        <v>14175</v>
      </c>
    </row>
    <row r="409" spans="57:63">
      <c r="BE409">
        <v>95120103</v>
      </c>
      <c r="BF409" t="s">
        <v>3494</v>
      </c>
      <c r="BG409" s="120">
        <v>1890</v>
      </c>
      <c r="BI409" s="72">
        <v>93062301</v>
      </c>
      <c r="BJ409" s="72" t="s">
        <v>2944</v>
      </c>
      <c r="BK409" s="62">
        <v>8550</v>
      </c>
    </row>
    <row r="410" spans="57:63">
      <c r="BE410">
        <v>95123002</v>
      </c>
      <c r="BF410" t="s">
        <v>3410</v>
      </c>
      <c r="BG410" s="120">
        <v>4510</v>
      </c>
      <c r="BI410" s="74">
        <v>94081106</v>
      </c>
      <c r="BJ410" s="74" t="s">
        <v>2603</v>
      </c>
      <c r="BK410" s="64">
        <v>18900</v>
      </c>
    </row>
    <row r="411" spans="57:63">
      <c r="BE411">
        <v>95123003</v>
      </c>
      <c r="BF411" t="s">
        <v>3410</v>
      </c>
      <c r="BG411" s="120">
        <v>4624</v>
      </c>
      <c r="BI411" s="74">
        <v>94081106</v>
      </c>
      <c r="BJ411" s="74" t="s">
        <v>2604</v>
      </c>
      <c r="BK411" s="64">
        <v>18900</v>
      </c>
    </row>
    <row r="412" spans="57:63">
      <c r="BG412" s="120"/>
      <c r="BI412" s="74">
        <v>94081106</v>
      </c>
      <c r="BJ412" s="74" t="s">
        <v>2605</v>
      </c>
      <c r="BK412" s="64">
        <v>18900</v>
      </c>
    </row>
    <row r="413" spans="57:63">
      <c r="BE413" s="116" t="s">
        <v>3426</v>
      </c>
      <c r="BF413" s="117"/>
      <c r="BG413" s="118">
        <f>SUM(BG414:BG427)</f>
        <v>0</v>
      </c>
      <c r="BI413" s="72"/>
      <c r="BJ413" s="72"/>
      <c r="BK413" s="62"/>
    </row>
    <row r="414" spans="57:63">
      <c r="BE414">
        <v>95010501</v>
      </c>
      <c r="BF414" t="s">
        <v>2993</v>
      </c>
      <c r="BG414" s="9">
        <v>-14175</v>
      </c>
      <c r="BI414" s="68" t="s">
        <v>2606</v>
      </c>
      <c r="BJ414" s="75"/>
      <c r="BK414" s="65">
        <f>SUM(BK415:BK454)</f>
        <v>1359453</v>
      </c>
    </row>
    <row r="415" spans="57:63">
      <c r="BE415">
        <v>95030104</v>
      </c>
      <c r="BF415" t="s">
        <v>2994</v>
      </c>
      <c r="BG415" s="9">
        <v>-14175</v>
      </c>
      <c r="BI415" s="69">
        <v>94112502</v>
      </c>
      <c r="BJ415" s="69" t="s">
        <v>2607</v>
      </c>
      <c r="BK415" s="76">
        <v>17325</v>
      </c>
    </row>
    <row r="416" spans="57:63">
      <c r="BE416">
        <v>95030301</v>
      </c>
      <c r="BF416" t="s">
        <v>2995</v>
      </c>
      <c r="BG416" s="9">
        <v>-14175</v>
      </c>
      <c r="BH416" s="76"/>
      <c r="BI416" s="69">
        <v>94072503</v>
      </c>
      <c r="BJ416" s="69" t="s">
        <v>2608</v>
      </c>
      <c r="BK416" s="76">
        <v>14175</v>
      </c>
    </row>
    <row r="417" spans="57:64">
      <c r="BE417">
        <v>95060101</v>
      </c>
      <c r="BF417" t="s">
        <v>2996</v>
      </c>
      <c r="BG417" s="119">
        <v>14175</v>
      </c>
      <c r="BH417" s="76"/>
      <c r="BI417" s="69">
        <v>94090506</v>
      </c>
      <c r="BJ417" s="69" t="s">
        <v>2609</v>
      </c>
      <c r="BK417" s="76">
        <v>14175</v>
      </c>
    </row>
    <row r="418" spans="57:64">
      <c r="BE418">
        <v>95060101</v>
      </c>
      <c r="BF418" t="s">
        <v>2997</v>
      </c>
      <c r="BG418" s="119">
        <v>14175</v>
      </c>
      <c r="BH418" s="76"/>
      <c r="BI418" s="72">
        <v>92110410</v>
      </c>
      <c r="BJ418" s="72" t="s">
        <v>2945</v>
      </c>
      <c r="BK418" s="55">
        <v>14175</v>
      </c>
    </row>
    <row r="419" spans="57:64">
      <c r="BE419">
        <v>95060101</v>
      </c>
      <c r="BF419" t="s">
        <v>2998</v>
      </c>
      <c r="BG419" s="119">
        <v>14175</v>
      </c>
      <c r="BH419" s="76"/>
      <c r="BI419" s="72">
        <v>93012704</v>
      </c>
      <c r="BJ419" s="72" t="s">
        <v>2946</v>
      </c>
      <c r="BK419" s="62">
        <v>14175</v>
      </c>
    </row>
    <row r="420" spans="57:64">
      <c r="BE420">
        <v>95060101</v>
      </c>
      <c r="BF420" t="s">
        <v>2999</v>
      </c>
      <c r="BG420" s="119">
        <v>14175</v>
      </c>
      <c r="BH420" s="76"/>
      <c r="BI420" s="72">
        <v>92032604</v>
      </c>
      <c r="BJ420" s="72" t="s">
        <v>2947</v>
      </c>
      <c r="BK420" s="55">
        <v>47880</v>
      </c>
    </row>
    <row r="421" spans="57:64">
      <c r="BE421">
        <v>95060101</v>
      </c>
      <c r="BF421" t="s">
        <v>3000</v>
      </c>
      <c r="BG421" s="119">
        <v>14175</v>
      </c>
      <c r="BH421" s="76"/>
      <c r="BI421" s="69">
        <v>94040102</v>
      </c>
      <c r="BJ421" s="69" t="s">
        <v>881</v>
      </c>
      <c r="BK421" s="76">
        <f>119700-113700</f>
        <v>6000</v>
      </c>
    </row>
    <row r="422" spans="57:64">
      <c r="BE422">
        <v>95070301</v>
      </c>
      <c r="BF422" t="s">
        <v>3001</v>
      </c>
      <c r="BG422" s="9">
        <v>-14175</v>
      </c>
      <c r="BH422" s="76"/>
      <c r="BI422" s="69">
        <v>94082901</v>
      </c>
      <c r="BJ422" s="69" t="s">
        <v>883</v>
      </c>
      <c r="BK422" s="76">
        <v>14175</v>
      </c>
    </row>
    <row r="423" spans="57:64">
      <c r="BE423">
        <v>95070401</v>
      </c>
      <c r="BF423" t="s">
        <v>3002</v>
      </c>
      <c r="BG423" s="9">
        <v>-14175</v>
      </c>
      <c r="BH423" s="76"/>
      <c r="BI423" s="69">
        <v>94112506</v>
      </c>
      <c r="BJ423" s="69" t="s">
        <v>884</v>
      </c>
      <c r="BK423" s="76">
        <v>14175</v>
      </c>
    </row>
    <row r="424" spans="57:64">
      <c r="BE424">
        <v>95090110</v>
      </c>
      <c r="BF424" t="s">
        <v>3003</v>
      </c>
      <c r="BG424" s="9">
        <v>-42525</v>
      </c>
      <c r="BH424" s="76"/>
      <c r="BI424" s="69">
        <v>94122301</v>
      </c>
      <c r="BJ424" s="69" t="s">
        <v>885</v>
      </c>
      <c r="BK424" s="76">
        <v>14175</v>
      </c>
      <c r="BL424" s="69" t="s">
        <v>882</v>
      </c>
    </row>
    <row r="425" spans="57:64">
      <c r="BE425">
        <v>95102402</v>
      </c>
      <c r="BF425" t="s">
        <v>3004</v>
      </c>
      <c r="BG425" s="9">
        <v>-14175</v>
      </c>
      <c r="BH425" s="76"/>
      <c r="BI425" s="69">
        <v>94122301</v>
      </c>
      <c r="BJ425" s="69" t="s">
        <v>886</v>
      </c>
      <c r="BK425" s="76">
        <v>14175</v>
      </c>
    </row>
    <row r="426" spans="57:64">
      <c r="BE426">
        <v>95120601</v>
      </c>
      <c r="BF426" t="s">
        <v>3005</v>
      </c>
      <c r="BG426" s="9">
        <v>-14175</v>
      </c>
      <c r="BH426" s="76"/>
      <c r="BI426" s="69">
        <v>94112504</v>
      </c>
      <c r="BJ426" s="69" t="s">
        <v>887</v>
      </c>
      <c r="BK426" s="76">
        <v>8978</v>
      </c>
    </row>
    <row r="427" spans="57:64">
      <c r="BF427" t="s">
        <v>837</v>
      </c>
      <c r="BG427" s="9">
        <v>70875</v>
      </c>
      <c r="BH427" s="76"/>
      <c r="BI427" s="69">
        <v>94010601</v>
      </c>
      <c r="BJ427" s="69" t="s">
        <v>888</v>
      </c>
      <c r="BK427" s="76">
        <v>13091</v>
      </c>
    </row>
    <row r="428" spans="57:64">
      <c r="BG428" s="9"/>
      <c r="BH428" s="76"/>
      <c r="BI428" s="69">
        <v>94052002</v>
      </c>
      <c r="BJ428" s="69" t="s">
        <v>889</v>
      </c>
      <c r="BK428" s="76">
        <v>113400</v>
      </c>
    </row>
    <row r="429" spans="57:64">
      <c r="BE429" s="133" t="s">
        <v>832</v>
      </c>
      <c r="BF429" s="78"/>
      <c r="BG429" s="79">
        <f>BG430+BG433+BG436+BG439+BG442</f>
        <v>26095</v>
      </c>
      <c r="BI429" s="69">
        <v>94122202</v>
      </c>
      <c r="BJ429" s="69" t="s">
        <v>890</v>
      </c>
      <c r="BK429" s="76">
        <v>13500</v>
      </c>
    </row>
    <row r="430" spans="57:64">
      <c r="BE430" s="125" t="s">
        <v>3495</v>
      </c>
      <c r="BF430" s="126"/>
      <c r="BG430" s="118">
        <f>SUM(BG431:BG432)</f>
        <v>4701</v>
      </c>
      <c r="BI430" s="72">
        <v>93112305</v>
      </c>
      <c r="BJ430" s="72" t="s">
        <v>2948</v>
      </c>
      <c r="BK430" s="62">
        <f>182700-7800</f>
        <v>174900</v>
      </c>
    </row>
    <row r="431" spans="57:64">
      <c r="BE431">
        <v>95113006</v>
      </c>
      <c r="BF431" t="s">
        <v>3412</v>
      </c>
      <c r="BG431" s="9">
        <v>2243</v>
      </c>
      <c r="BI431" s="69">
        <v>94090907</v>
      </c>
      <c r="BJ431" s="69" t="s">
        <v>1911</v>
      </c>
      <c r="BK431" s="76">
        <v>4725</v>
      </c>
    </row>
    <row r="432" spans="57:64">
      <c r="BE432">
        <v>95123101</v>
      </c>
      <c r="BF432" t="s">
        <v>3413</v>
      </c>
      <c r="BG432" s="9">
        <v>2458</v>
      </c>
      <c r="BI432" s="69">
        <v>94112503</v>
      </c>
      <c r="BJ432" s="69" t="s">
        <v>1912</v>
      </c>
      <c r="BK432" s="76">
        <v>8978</v>
      </c>
    </row>
    <row r="433" spans="57:64">
      <c r="BE433" s="117" t="s">
        <v>3496</v>
      </c>
      <c r="BF433" s="117"/>
      <c r="BG433" s="118">
        <f>SUM(BG434:BG435)</f>
        <v>13986</v>
      </c>
      <c r="BI433" s="69">
        <v>94112502</v>
      </c>
      <c r="BJ433" s="69" t="s">
        <v>1913</v>
      </c>
      <c r="BK433" s="76">
        <v>13500</v>
      </c>
      <c r="BL433" s="69" t="s">
        <v>891</v>
      </c>
    </row>
    <row r="434" spans="57:64">
      <c r="BE434">
        <v>95113006</v>
      </c>
      <c r="BF434" t="s">
        <v>3414</v>
      </c>
      <c r="BG434" s="120">
        <v>6993</v>
      </c>
      <c r="BI434" s="69">
        <v>94112507</v>
      </c>
      <c r="BJ434" s="69" t="s">
        <v>1914</v>
      </c>
      <c r="BK434" s="76">
        <v>12758</v>
      </c>
    </row>
    <row r="435" spans="57:64">
      <c r="BE435">
        <v>95123101</v>
      </c>
      <c r="BF435" t="s">
        <v>3415</v>
      </c>
      <c r="BG435" s="120">
        <v>6993</v>
      </c>
      <c r="BI435" s="69">
        <v>94112501</v>
      </c>
      <c r="BJ435" s="69" t="s">
        <v>1915</v>
      </c>
      <c r="BK435" s="76">
        <v>14175</v>
      </c>
    </row>
    <row r="436" spans="57:64">
      <c r="BE436" s="114" t="s">
        <v>3885</v>
      </c>
      <c r="BF436" s="114"/>
      <c r="BG436" s="127">
        <f>SUM(BG437:BG438)</f>
        <v>412</v>
      </c>
      <c r="BI436" s="72">
        <v>93081302</v>
      </c>
      <c r="BJ436" s="72" t="s">
        <v>2949</v>
      </c>
      <c r="BK436" s="62">
        <v>6300</v>
      </c>
    </row>
    <row r="437" spans="57:64">
      <c r="BE437">
        <v>95113007</v>
      </c>
      <c r="BF437" t="s">
        <v>3416</v>
      </c>
      <c r="BG437">
        <v>206</v>
      </c>
      <c r="BI437" s="72">
        <v>92122501</v>
      </c>
      <c r="BJ437" s="72" t="s">
        <v>1916</v>
      </c>
      <c r="BK437" s="55">
        <v>35910</v>
      </c>
    </row>
    <row r="438" spans="57:64">
      <c r="BE438">
        <v>95123102</v>
      </c>
      <c r="BF438" t="s">
        <v>3417</v>
      </c>
      <c r="BG438">
        <v>206</v>
      </c>
      <c r="BI438" s="69">
        <v>94091502</v>
      </c>
      <c r="BJ438" s="69" t="s">
        <v>1917</v>
      </c>
      <c r="BK438" s="76">
        <v>11025</v>
      </c>
    </row>
    <row r="439" spans="57:64">
      <c r="BE439" s="114" t="s">
        <v>3886</v>
      </c>
      <c r="BF439" s="114"/>
      <c r="BG439" s="11">
        <f>SUM(BG440:BG441)</f>
        <v>1296</v>
      </c>
      <c r="BI439" s="69">
        <v>94122202</v>
      </c>
      <c r="BJ439" s="69" t="s">
        <v>1918</v>
      </c>
      <c r="BK439" s="76">
        <v>11025</v>
      </c>
    </row>
    <row r="440" spans="57:64">
      <c r="BE440">
        <v>95113007</v>
      </c>
      <c r="BF440" t="s">
        <v>3418</v>
      </c>
      <c r="BG440">
        <v>648</v>
      </c>
      <c r="BI440" s="69">
        <v>94122103</v>
      </c>
      <c r="BJ440" s="69" t="s">
        <v>1919</v>
      </c>
      <c r="BK440" s="76">
        <v>113400</v>
      </c>
    </row>
    <row r="441" spans="57:64">
      <c r="BE441">
        <v>95123102</v>
      </c>
      <c r="BF441" t="s">
        <v>3419</v>
      </c>
      <c r="BG441">
        <v>648</v>
      </c>
      <c r="BI441" s="72">
        <v>93061701</v>
      </c>
      <c r="BJ441" s="72" t="s">
        <v>2950</v>
      </c>
      <c r="BK441" s="62">
        <v>35910</v>
      </c>
    </row>
    <row r="442" spans="57:64">
      <c r="BE442" s="114" t="s">
        <v>3887</v>
      </c>
      <c r="BF442" s="114"/>
      <c r="BG442" s="11">
        <f>SUM(BG443)</f>
        <v>5700</v>
      </c>
      <c r="BI442" s="69">
        <v>94112505</v>
      </c>
      <c r="BJ442" s="69" t="s">
        <v>1284</v>
      </c>
      <c r="BK442" s="76">
        <v>14175</v>
      </c>
    </row>
    <row r="443" spans="57:64">
      <c r="BE443">
        <v>95010507</v>
      </c>
      <c r="BF443" t="s">
        <v>3888</v>
      </c>
      <c r="BG443">
        <v>5700</v>
      </c>
      <c r="BI443" s="72">
        <v>93012703</v>
      </c>
      <c r="BJ443" s="72" t="s">
        <v>2951</v>
      </c>
      <c r="BK443" s="62">
        <v>14175</v>
      </c>
    </row>
    <row r="444" spans="57:64">
      <c r="BI444" s="72">
        <v>93051003</v>
      </c>
      <c r="BJ444" s="72" t="s">
        <v>2952</v>
      </c>
      <c r="BK444" s="62">
        <v>14175</v>
      </c>
    </row>
    <row r="445" spans="57:64">
      <c r="BE445" s="91" t="s">
        <v>833</v>
      </c>
      <c r="BF445" s="68"/>
      <c r="BG445" s="71">
        <f>SUM(BG446:BG481)</f>
        <v>509586</v>
      </c>
      <c r="BI445" s="69">
        <v>94121301</v>
      </c>
      <c r="BJ445" s="69" t="s">
        <v>1285</v>
      </c>
      <c r="BK445" s="76">
        <v>14175</v>
      </c>
    </row>
    <row r="446" spans="57:64">
      <c r="BE446">
        <v>95010504</v>
      </c>
      <c r="BF446" t="s">
        <v>840</v>
      </c>
      <c r="BG446" s="9">
        <v>20000</v>
      </c>
      <c r="BI446" s="69">
        <v>94072503</v>
      </c>
      <c r="BJ446" s="69" t="s">
        <v>1286</v>
      </c>
      <c r="BK446" s="76">
        <v>11025</v>
      </c>
    </row>
    <row r="447" spans="57:64">
      <c r="BE447">
        <v>95011305</v>
      </c>
      <c r="BF447" t="s">
        <v>841</v>
      </c>
      <c r="BG447" s="9">
        <v>5825</v>
      </c>
      <c r="BI447" s="69">
        <v>94090102</v>
      </c>
      <c r="BJ447" s="69" t="s">
        <v>1287</v>
      </c>
      <c r="BK447" s="76">
        <v>11025</v>
      </c>
    </row>
    <row r="448" spans="57:64">
      <c r="BE448">
        <v>95012703</v>
      </c>
      <c r="BF448" t="s">
        <v>842</v>
      </c>
      <c r="BG448" s="140">
        <v>-20000</v>
      </c>
      <c r="BI448" s="69">
        <v>94051701</v>
      </c>
      <c r="BJ448" s="69" t="s">
        <v>1288</v>
      </c>
      <c r="BK448" s="76">
        <v>12301</v>
      </c>
    </row>
    <row r="449" spans="57:63">
      <c r="BE449">
        <v>95013001</v>
      </c>
      <c r="BF449" t="s">
        <v>843</v>
      </c>
      <c r="BG449" s="9">
        <v>12301</v>
      </c>
      <c r="BI449" s="69">
        <v>94112504</v>
      </c>
      <c r="BJ449" s="69" t="s">
        <v>1289</v>
      </c>
      <c r="BK449" s="76">
        <v>14175</v>
      </c>
    </row>
    <row r="450" spans="57:63">
      <c r="BE450">
        <v>95022004</v>
      </c>
      <c r="BF450" t="s">
        <v>844</v>
      </c>
      <c r="BG450" s="9">
        <v>20000</v>
      </c>
      <c r="BI450" s="69">
        <v>94112507</v>
      </c>
      <c r="BJ450" s="69" t="s">
        <v>1290</v>
      </c>
      <c r="BK450" s="76">
        <v>14175</v>
      </c>
    </row>
    <row r="451" spans="57:63">
      <c r="BE451">
        <v>95022004</v>
      </c>
      <c r="BF451" t="s">
        <v>845</v>
      </c>
      <c r="BG451" s="9">
        <v>20000</v>
      </c>
      <c r="BI451" s="69">
        <v>94112506</v>
      </c>
      <c r="BJ451" s="69" t="s">
        <v>1291</v>
      </c>
      <c r="BK451" s="76">
        <v>12285</v>
      </c>
    </row>
    <row r="452" spans="57:63">
      <c r="BE452">
        <v>95030701</v>
      </c>
      <c r="BF452" t="s">
        <v>846</v>
      </c>
      <c r="BG452" s="9">
        <v>20000</v>
      </c>
      <c r="BI452" s="69">
        <v>94112504</v>
      </c>
      <c r="BJ452" s="69" t="s">
        <v>1292</v>
      </c>
      <c r="BK452" s="76">
        <v>12443</v>
      </c>
    </row>
    <row r="453" spans="57:63">
      <c r="BE453">
        <v>95031509</v>
      </c>
      <c r="BF453" t="s">
        <v>847</v>
      </c>
      <c r="BG453" s="9">
        <v>20000</v>
      </c>
      <c r="BI453" s="72">
        <v>93061601</v>
      </c>
      <c r="BJ453" s="72" t="s">
        <v>2953</v>
      </c>
      <c r="BK453" s="62">
        <f>119700-6300</f>
        <v>113400</v>
      </c>
    </row>
    <row r="454" spans="57:63">
      <c r="BE454">
        <v>95040701</v>
      </c>
      <c r="BF454" t="s">
        <v>848</v>
      </c>
      <c r="BG454" s="9">
        <v>13500</v>
      </c>
      <c r="BI454" s="72">
        <v>92123014</v>
      </c>
      <c r="BJ454" s="72" t="s">
        <v>2965</v>
      </c>
      <c r="BK454" s="55">
        <v>325744</v>
      </c>
    </row>
    <row r="455" spans="57:63">
      <c r="BE455">
        <v>95040701</v>
      </c>
      <c r="BF455" t="s">
        <v>849</v>
      </c>
      <c r="BG455" s="9">
        <v>6500</v>
      </c>
    </row>
    <row r="456" spans="57:63">
      <c r="BE456">
        <v>95040701</v>
      </c>
      <c r="BF456" t="s">
        <v>850</v>
      </c>
      <c r="BG456" s="9">
        <v>20000</v>
      </c>
      <c r="BI456" s="68" t="s">
        <v>2583</v>
      </c>
      <c r="BJ456" s="68"/>
      <c r="BK456" s="71">
        <f>SUM(BK457)</f>
        <v>4200</v>
      </c>
    </row>
    <row r="457" spans="57:63">
      <c r="BE457">
        <v>95042801</v>
      </c>
      <c r="BF457" t="s">
        <v>851</v>
      </c>
      <c r="BG457" s="9">
        <v>20000</v>
      </c>
      <c r="BI457" s="69">
        <v>94121902</v>
      </c>
      <c r="BJ457" s="69" t="s">
        <v>2584</v>
      </c>
      <c r="BK457" s="54">
        <v>4200</v>
      </c>
    </row>
    <row r="458" spans="57:63">
      <c r="BE458">
        <v>95042801</v>
      </c>
      <c r="BF458" t="s">
        <v>852</v>
      </c>
      <c r="BG458" s="9">
        <v>15000</v>
      </c>
    </row>
    <row r="459" spans="57:63">
      <c r="BE459">
        <v>95042803</v>
      </c>
      <c r="BF459" t="s">
        <v>853</v>
      </c>
      <c r="BG459" s="9">
        <v>12285</v>
      </c>
      <c r="BI459" s="68" t="s">
        <v>2585</v>
      </c>
      <c r="BJ459" s="68"/>
      <c r="BK459" s="71">
        <f>SUM(BK460:BK468)</f>
        <v>566019</v>
      </c>
    </row>
    <row r="460" spans="57:63">
      <c r="BE460">
        <v>95051004</v>
      </c>
      <c r="BF460" t="s">
        <v>854</v>
      </c>
      <c r="BG460" s="9">
        <v>20000</v>
      </c>
      <c r="BI460" s="69">
        <v>94123102</v>
      </c>
      <c r="BJ460" s="69" t="s">
        <v>2586</v>
      </c>
      <c r="BK460" s="54">
        <v>114000</v>
      </c>
    </row>
    <row r="461" spans="57:63">
      <c r="BE461">
        <v>95060106</v>
      </c>
      <c r="BF461" t="s">
        <v>855</v>
      </c>
      <c r="BG461" s="9">
        <v>20000</v>
      </c>
      <c r="BI461" s="69">
        <v>94113007</v>
      </c>
      <c r="BJ461" s="69" t="s">
        <v>2587</v>
      </c>
      <c r="BK461" s="54">
        <v>13103</v>
      </c>
    </row>
    <row r="462" spans="57:63">
      <c r="BE462">
        <v>95060102</v>
      </c>
      <c r="BF462" t="s">
        <v>831</v>
      </c>
      <c r="BG462" s="9">
        <v>10000</v>
      </c>
      <c r="BI462" s="69">
        <v>94123101</v>
      </c>
      <c r="BJ462" s="69" t="s">
        <v>2588</v>
      </c>
      <c r="BK462" s="54">
        <v>9959</v>
      </c>
    </row>
    <row r="463" spans="57:63">
      <c r="BE463">
        <v>95060204</v>
      </c>
      <c r="BF463" t="s">
        <v>856</v>
      </c>
      <c r="BG463" s="9">
        <v>20000</v>
      </c>
      <c r="BI463" s="69">
        <v>94113007</v>
      </c>
      <c r="BJ463" s="69" t="s">
        <v>2589</v>
      </c>
      <c r="BK463" s="54">
        <v>8020</v>
      </c>
    </row>
    <row r="464" spans="57:63">
      <c r="BE464">
        <v>95061901</v>
      </c>
      <c r="BF464" t="s">
        <v>857</v>
      </c>
      <c r="BG464" s="9">
        <v>10000</v>
      </c>
      <c r="BI464" s="69">
        <v>94123101</v>
      </c>
      <c r="BJ464" s="69" t="s">
        <v>2590</v>
      </c>
      <c r="BK464" s="54">
        <v>3737</v>
      </c>
    </row>
    <row r="465" spans="57:63">
      <c r="BE465">
        <v>95072502</v>
      </c>
      <c r="BF465" t="s">
        <v>858</v>
      </c>
      <c r="BG465" s="9">
        <v>20000</v>
      </c>
      <c r="BI465" s="69">
        <v>94110110</v>
      </c>
      <c r="BJ465" s="69" t="s">
        <v>2591</v>
      </c>
      <c r="BK465" s="54">
        <v>1890</v>
      </c>
    </row>
    <row r="466" spans="57:63">
      <c r="BE466">
        <v>95072502</v>
      </c>
      <c r="BF466" t="s">
        <v>859</v>
      </c>
      <c r="BG466" s="9">
        <v>20000</v>
      </c>
      <c r="BI466" s="69">
        <v>94120105</v>
      </c>
      <c r="BJ466" s="69" t="s">
        <v>2592</v>
      </c>
      <c r="BK466" s="54">
        <v>1890</v>
      </c>
    </row>
    <row r="467" spans="57:63">
      <c r="BE467">
        <v>95073103</v>
      </c>
      <c r="BF467" t="s">
        <v>860</v>
      </c>
      <c r="BG467" s="9">
        <v>20000</v>
      </c>
      <c r="BI467" s="69">
        <v>94123101</v>
      </c>
      <c r="BJ467" s="69" t="s">
        <v>2593</v>
      </c>
      <c r="BK467" s="54">
        <v>413420</v>
      </c>
    </row>
    <row r="468" spans="57:63">
      <c r="BE468">
        <v>95080104</v>
      </c>
      <c r="BF468" t="s">
        <v>861</v>
      </c>
      <c r="BG468" s="9">
        <v>14175</v>
      </c>
      <c r="BI468" s="72"/>
      <c r="BJ468" s="72"/>
      <c r="BK468" s="62"/>
    </row>
    <row r="469" spans="57:63">
      <c r="BE469">
        <v>95080105</v>
      </c>
      <c r="BF469" t="s">
        <v>862</v>
      </c>
      <c r="BG469" s="9">
        <v>10000</v>
      </c>
      <c r="BI469" s="77" t="s">
        <v>1680</v>
      </c>
      <c r="BJ469" s="78"/>
      <c r="BK469" s="79">
        <f>BK470+BK474+BK478+BK480+BK482+BK487+BK491</f>
        <v>19551</v>
      </c>
    </row>
    <row r="470" spans="57:63">
      <c r="BE470">
        <v>95081101</v>
      </c>
      <c r="BF470" t="s">
        <v>863</v>
      </c>
      <c r="BG470" s="9">
        <v>15750</v>
      </c>
      <c r="BI470" s="80" t="s">
        <v>2959</v>
      </c>
      <c r="BJ470" s="82"/>
      <c r="BK470" s="71">
        <f>SUM(BK471:BK472)</f>
        <v>4778</v>
      </c>
    </row>
    <row r="471" spans="57:63">
      <c r="BE471">
        <v>95081801</v>
      </c>
      <c r="BF471" t="s">
        <v>864</v>
      </c>
      <c r="BG471" s="9">
        <v>10000</v>
      </c>
      <c r="BI471" s="69">
        <v>94113007</v>
      </c>
      <c r="BJ471" s="69" t="s">
        <v>2594</v>
      </c>
      <c r="BK471" s="54">
        <v>2329</v>
      </c>
    </row>
    <row r="472" spans="57:63">
      <c r="BE472">
        <v>95083106</v>
      </c>
      <c r="BF472" t="s">
        <v>865</v>
      </c>
      <c r="BG472" s="9">
        <v>10000</v>
      </c>
      <c r="BI472" s="69">
        <v>94123101</v>
      </c>
      <c r="BJ472" s="69" t="s">
        <v>2595</v>
      </c>
      <c r="BK472" s="54">
        <v>2449</v>
      </c>
    </row>
    <row r="473" spans="57:63">
      <c r="BE473">
        <v>95090111</v>
      </c>
      <c r="BF473" t="s">
        <v>866</v>
      </c>
      <c r="BG473" s="9">
        <v>20000</v>
      </c>
    </row>
    <row r="474" spans="57:63">
      <c r="BE474">
        <v>95092702</v>
      </c>
      <c r="BF474" t="s">
        <v>867</v>
      </c>
      <c r="BG474" s="9">
        <v>20000</v>
      </c>
      <c r="BI474" s="80" t="s">
        <v>2960</v>
      </c>
      <c r="BJ474" s="82"/>
      <c r="BK474" s="71">
        <f>SUM(BK475:BK476)</f>
        <v>10194</v>
      </c>
    </row>
    <row r="475" spans="57:63">
      <c r="BE475">
        <v>95092701</v>
      </c>
      <c r="BF475" t="s">
        <v>868</v>
      </c>
      <c r="BG475" s="9">
        <v>12758</v>
      </c>
      <c r="BI475" s="69">
        <v>94113007</v>
      </c>
      <c r="BJ475" s="69" t="s">
        <v>2596</v>
      </c>
      <c r="BK475" s="54">
        <v>5171</v>
      </c>
    </row>
    <row r="476" spans="57:63">
      <c r="BE476">
        <v>95092701</v>
      </c>
      <c r="BF476" t="s">
        <v>869</v>
      </c>
      <c r="BG476" s="9">
        <v>7242</v>
      </c>
      <c r="BI476" s="69">
        <v>94123101</v>
      </c>
      <c r="BJ476" s="69" t="s">
        <v>2597</v>
      </c>
      <c r="BK476" s="54">
        <v>5023</v>
      </c>
    </row>
    <row r="477" spans="57:63">
      <c r="BE477">
        <v>95092701</v>
      </c>
      <c r="BF477" t="s">
        <v>870</v>
      </c>
      <c r="BG477" s="9">
        <v>14175</v>
      </c>
    </row>
    <row r="478" spans="57:63">
      <c r="BE478">
        <v>95092701</v>
      </c>
      <c r="BF478" t="s">
        <v>871</v>
      </c>
      <c r="BG478" s="9">
        <v>5825</v>
      </c>
      <c r="BI478" s="80" t="s">
        <v>334</v>
      </c>
      <c r="BJ478" s="82"/>
      <c r="BK478" s="68">
        <v>0</v>
      </c>
    </row>
    <row r="479" spans="57:63">
      <c r="BE479">
        <v>95100306</v>
      </c>
      <c r="BF479" t="s">
        <v>872</v>
      </c>
      <c r="BG479" s="9">
        <v>4250</v>
      </c>
    </row>
    <row r="480" spans="57:63">
      <c r="BE480">
        <v>95110606</v>
      </c>
      <c r="BF480" t="s">
        <v>873</v>
      </c>
      <c r="BG480" s="9">
        <v>20000</v>
      </c>
      <c r="BI480" s="80" t="s">
        <v>2601</v>
      </c>
      <c r="BJ480" s="82"/>
      <c r="BK480" s="68">
        <v>0</v>
      </c>
    </row>
    <row r="481" spans="4:63">
      <c r="BE481">
        <v>95121503</v>
      </c>
      <c r="BF481" t="s">
        <v>874</v>
      </c>
      <c r="BG481" s="9">
        <v>20000</v>
      </c>
    </row>
    <row r="482" spans="4:63">
      <c r="BI482" s="80" t="s">
        <v>2602</v>
      </c>
      <c r="BJ482" s="82"/>
      <c r="BK482" s="71">
        <f>SUM(BK483:BK485)</f>
        <v>2871</v>
      </c>
    </row>
    <row r="483" spans="4:63">
      <c r="BI483" s="69">
        <v>94103001</v>
      </c>
      <c r="BJ483" s="69" t="s">
        <v>2598</v>
      </c>
      <c r="BK483" s="54">
        <f>1873-598</f>
        <v>1275</v>
      </c>
    </row>
    <row r="484" spans="4:63">
      <c r="BI484" s="69">
        <v>94113007</v>
      </c>
      <c r="BJ484" s="69" t="s">
        <v>2599</v>
      </c>
      <c r="BK484" s="54">
        <v>450</v>
      </c>
    </row>
    <row r="485" spans="4:63">
      <c r="BI485" s="69">
        <v>94123101</v>
      </c>
      <c r="BJ485" s="69" t="s">
        <v>2600</v>
      </c>
      <c r="BK485" s="54">
        <v>1146</v>
      </c>
    </row>
    <row r="486" spans="4:63">
      <c r="BK486" s="54"/>
    </row>
    <row r="487" spans="4:63">
      <c r="BI487" s="80" t="s">
        <v>335</v>
      </c>
      <c r="BJ487" s="82"/>
      <c r="BK487" s="71">
        <f>SUM(BK488:BK489)</f>
        <v>412</v>
      </c>
    </row>
    <row r="488" spans="4:63">
      <c r="BI488" s="69">
        <v>94113009</v>
      </c>
      <c r="BJ488" s="69" t="s">
        <v>1681</v>
      </c>
      <c r="BK488" s="69">
        <v>206</v>
      </c>
    </row>
    <row r="489" spans="4:63">
      <c r="D489" s="84"/>
      <c r="H489" s="84"/>
      <c r="BI489" s="69">
        <v>94123103</v>
      </c>
      <c r="BJ489" s="69" t="s">
        <v>1682</v>
      </c>
      <c r="BK489" s="69">
        <v>206</v>
      </c>
    </row>
    <row r="490" spans="4:63">
      <c r="D490" s="84"/>
      <c r="H490" s="84"/>
      <c r="P490" s="84"/>
      <c r="BK490" s="54"/>
    </row>
    <row r="491" spans="4:63">
      <c r="P491" s="84"/>
      <c r="BI491" s="80" t="s">
        <v>336</v>
      </c>
      <c r="BJ491" s="82"/>
      <c r="BK491" s="71">
        <f>SUM(BK492:BK493)</f>
        <v>1296</v>
      </c>
    </row>
    <row r="492" spans="4:63">
      <c r="BI492" s="69">
        <v>94113009</v>
      </c>
      <c r="BJ492" s="69" t="s">
        <v>1683</v>
      </c>
      <c r="BK492" s="54">
        <v>648</v>
      </c>
    </row>
    <row r="493" spans="4:63">
      <c r="D493" s="84"/>
      <c r="H493" s="84"/>
      <c r="L493" s="84"/>
      <c r="BI493" s="69">
        <v>94123103</v>
      </c>
      <c r="BJ493" s="69" t="s">
        <v>1684</v>
      </c>
      <c r="BK493" s="54">
        <v>648</v>
      </c>
    </row>
    <row r="494" spans="4:63">
      <c r="D494" s="84"/>
      <c r="H494" s="84"/>
      <c r="L494" s="84"/>
      <c r="P494" s="84"/>
    </row>
    <row r="495" spans="4:63">
      <c r="D495" s="84"/>
      <c r="H495" s="84"/>
      <c r="P495" s="84"/>
      <c r="BI495" s="80" t="s">
        <v>2961</v>
      </c>
      <c r="BJ495" s="82"/>
      <c r="BK495" s="83">
        <f>SUM(BK496:BK496)</f>
        <v>-49072</v>
      </c>
    </row>
    <row r="496" spans="4:63">
      <c r="P496" s="84"/>
      <c r="BI496" s="69">
        <v>94123008</v>
      </c>
      <c r="BJ496" s="69" t="s">
        <v>1685</v>
      </c>
      <c r="BK496" s="76">
        <v>-49072</v>
      </c>
    </row>
    <row r="497" spans="1:64">
      <c r="L497" s="84"/>
      <c r="T497" s="84"/>
    </row>
    <row r="498" spans="1:64">
      <c r="L498" s="84"/>
      <c r="T498" s="84"/>
      <c r="BI498" s="68" t="s">
        <v>1293</v>
      </c>
      <c r="BJ498" s="68"/>
      <c r="BK498" s="68">
        <f>BK499</f>
        <v>110000</v>
      </c>
    </row>
    <row r="499" spans="1:64">
      <c r="L499" s="84"/>
      <c r="BI499" s="84"/>
      <c r="BJ499" s="84" t="s">
        <v>1686</v>
      </c>
      <c r="BK499" s="84">
        <v>110000</v>
      </c>
    </row>
    <row r="500" spans="1:64">
      <c r="BI500" s="84"/>
      <c r="BJ500" s="84"/>
      <c r="BK500" s="84"/>
    </row>
    <row r="501" spans="1:64">
      <c r="T501" s="84"/>
      <c r="BI501" s="91" t="s">
        <v>833</v>
      </c>
      <c r="BJ501" s="68"/>
      <c r="BK501" s="71">
        <f>SUM(BK502:BK541)</f>
        <v>517070</v>
      </c>
    </row>
    <row r="502" spans="1:64" s="84" customFormat="1">
      <c r="A502"/>
      <c r="B502"/>
      <c r="C502" s="770"/>
      <c r="D502" s="69"/>
      <c r="E502"/>
      <c r="F502"/>
      <c r="G502" s="7"/>
      <c r="H502" s="69"/>
      <c r="I502"/>
      <c r="J502"/>
      <c r="K502" s="7"/>
      <c r="L502" s="69"/>
      <c r="M502"/>
      <c r="N502"/>
      <c r="O502" s="7"/>
      <c r="P502" s="69"/>
      <c r="Q502"/>
      <c r="R502"/>
      <c r="S502" s="7"/>
      <c r="U502"/>
      <c r="V502"/>
      <c r="W502" s="7"/>
      <c r="Y502"/>
      <c r="Z502"/>
      <c r="AA502"/>
      <c r="AC502"/>
      <c r="AD502"/>
      <c r="AE502"/>
      <c r="AG502"/>
      <c r="AH502"/>
      <c r="AI502"/>
      <c r="AK502"/>
      <c r="AL502"/>
      <c r="AM502"/>
      <c r="AO502"/>
      <c r="AP502"/>
      <c r="AQ502"/>
      <c r="AS502"/>
      <c r="AT502"/>
      <c r="AU502"/>
      <c r="AW502"/>
      <c r="AX502"/>
      <c r="AY502"/>
      <c r="BA502"/>
      <c r="BB502"/>
      <c r="BC502"/>
      <c r="BE502"/>
      <c r="BF502"/>
      <c r="BG502"/>
      <c r="BI502" s="69">
        <v>94010303</v>
      </c>
      <c r="BJ502" s="69" t="s">
        <v>1687</v>
      </c>
      <c r="BK502" s="66">
        <v>-20000</v>
      </c>
      <c r="BL502" s="76"/>
    </row>
    <row r="503" spans="1:64" s="84" customFormat="1">
      <c r="A503"/>
      <c r="B503"/>
      <c r="C503" s="770"/>
      <c r="D503" s="69"/>
      <c r="E503"/>
      <c r="F503"/>
      <c r="G503" s="7"/>
      <c r="H503" s="69"/>
      <c r="I503"/>
      <c r="J503"/>
      <c r="K503" s="7"/>
      <c r="L503" s="69"/>
      <c r="M503"/>
      <c r="N503"/>
      <c r="O503" s="7"/>
      <c r="P503" s="69"/>
      <c r="Q503"/>
      <c r="R503"/>
      <c r="S503" s="7"/>
      <c r="U503"/>
      <c r="V503"/>
      <c r="W503" s="7"/>
      <c r="Y503"/>
      <c r="Z503"/>
      <c r="AA503"/>
      <c r="AC503"/>
      <c r="AD503"/>
      <c r="AE503"/>
      <c r="AG503"/>
      <c r="AH503"/>
      <c r="AI503"/>
      <c r="AK503"/>
      <c r="AL503"/>
      <c r="AM503"/>
      <c r="AO503"/>
      <c r="AP503"/>
      <c r="AQ503"/>
      <c r="AS503"/>
      <c r="AT503"/>
      <c r="AU503"/>
      <c r="AW503"/>
      <c r="AX503"/>
      <c r="AY503"/>
      <c r="BA503"/>
      <c r="BB503"/>
      <c r="BC503"/>
      <c r="BE503"/>
      <c r="BF503"/>
      <c r="BG503"/>
      <c r="BI503" s="69">
        <v>94012502</v>
      </c>
      <c r="BJ503" s="69" t="s">
        <v>1688</v>
      </c>
      <c r="BK503" s="54">
        <v>20000</v>
      </c>
    </row>
    <row r="504" spans="1:64">
      <c r="BI504" s="69">
        <v>94012502</v>
      </c>
      <c r="BJ504" s="69" t="s">
        <v>1689</v>
      </c>
      <c r="BK504" s="54">
        <v>20000</v>
      </c>
    </row>
    <row r="505" spans="1:64">
      <c r="BI505" s="69">
        <v>94012502</v>
      </c>
      <c r="BJ505" s="69" t="s">
        <v>1690</v>
      </c>
      <c r="BK505" s="54">
        <v>20000</v>
      </c>
    </row>
    <row r="506" spans="1:64" s="84" customFormat="1">
      <c r="A506"/>
      <c r="B506"/>
      <c r="C506" s="770"/>
      <c r="D506" s="69"/>
      <c r="E506"/>
      <c r="F506"/>
      <c r="G506" s="7"/>
      <c r="H506" s="69"/>
      <c r="I506"/>
      <c r="J506"/>
      <c r="K506" s="7"/>
      <c r="L506" s="69"/>
      <c r="M506"/>
      <c r="N506"/>
      <c r="O506" s="7"/>
      <c r="P506" s="69"/>
      <c r="Q506"/>
      <c r="R506"/>
      <c r="S506" s="7"/>
      <c r="T506" s="69"/>
      <c r="U506"/>
      <c r="V506"/>
      <c r="W506" s="7"/>
      <c r="Y506"/>
      <c r="Z506"/>
      <c r="AA506"/>
      <c r="AC506"/>
      <c r="AD506"/>
      <c r="AE506"/>
      <c r="AG506"/>
      <c r="AH506"/>
      <c r="AI506"/>
      <c r="AK506"/>
      <c r="AL506"/>
      <c r="AM506"/>
      <c r="AO506"/>
      <c r="AP506"/>
      <c r="AQ506"/>
      <c r="AS506"/>
      <c r="AT506"/>
      <c r="AU506"/>
      <c r="AW506"/>
      <c r="AX506"/>
      <c r="AY506"/>
      <c r="BA506"/>
      <c r="BB506"/>
      <c r="BC506"/>
      <c r="BE506"/>
      <c r="BF506"/>
      <c r="BG506"/>
      <c r="BI506" s="69">
        <v>94012605</v>
      </c>
      <c r="BJ506" s="69" t="s">
        <v>1691</v>
      </c>
      <c r="BK506" s="66">
        <v>-20000</v>
      </c>
    </row>
    <row r="507" spans="1:64" s="84" customFormat="1">
      <c r="A507"/>
      <c r="B507"/>
      <c r="C507" s="770"/>
      <c r="D507" s="69"/>
      <c r="E507"/>
      <c r="F507"/>
      <c r="G507" s="7"/>
      <c r="H507" s="69"/>
      <c r="I507"/>
      <c r="J507"/>
      <c r="K507" s="7"/>
      <c r="L507" s="69"/>
      <c r="M507"/>
      <c r="N507"/>
      <c r="O507" s="7"/>
      <c r="P507" s="69"/>
      <c r="Q507"/>
      <c r="R507"/>
      <c r="S507" s="7"/>
      <c r="T507" s="69"/>
      <c r="U507"/>
      <c r="V507"/>
      <c r="W507" s="7"/>
      <c r="Y507"/>
      <c r="Z507"/>
      <c r="AA507"/>
      <c r="AC507"/>
      <c r="AD507"/>
      <c r="AE507"/>
      <c r="AG507"/>
      <c r="AH507"/>
      <c r="AI507"/>
      <c r="AK507"/>
      <c r="AL507"/>
      <c r="AM507"/>
      <c r="AO507"/>
      <c r="AP507"/>
      <c r="AQ507"/>
      <c r="AS507"/>
      <c r="AT507"/>
      <c r="AU507"/>
      <c r="AW507"/>
      <c r="AX507"/>
      <c r="AY507"/>
      <c r="BA507"/>
      <c r="BB507"/>
      <c r="BC507"/>
      <c r="BE507"/>
      <c r="BF507"/>
      <c r="BG507"/>
      <c r="BI507" s="69">
        <v>94030401</v>
      </c>
      <c r="BJ507" s="69" t="s">
        <v>1692</v>
      </c>
      <c r="BK507" s="54">
        <v>20000</v>
      </c>
    </row>
    <row r="508" spans="1:64" s="84" customFormat="1">
      <c r="A508"/>
      <c r="B508"/>
      <c r="C508" s="770"/>
      <c r="D508" s="69"/>
      <c r="E508"/>
      <c r="F508"/>
      <c r="G508" s="7"/>
      <c r="H508" s="69"/>
      <c r="I508"/>
      <c r="J508"/>
      <c r="K508" s="7"/>
      <c r="L508" s="69"/>
      <c r="M508"/>
      <c r="N508"/>
      <c r="O508" s="7"/>
      <c r="P508" s="69"/>
      <c r="Q508"/>
      <c r="R508"/>
      <c r="S508" s="7"/>
      <c r="T508" s="69"/>
      <c r="U508"/>
      <c r="V508"/>
      <c r="W508" s="7"/>
      <c r="Y508"/>
      <c r="Z508"/>
      <c r="AA508"/>
      <c r="AC508"/>
      <c r="AD508"/>
      <c r="AE508"/>
      <c r="AG508"/>
      <c r="AH508"/>
      <c r="AI508"/>
      <c r="AK508"/>
      <c r="AL508"/>
      <c r="AM508"/>
      <c r="AO508"/>
      <c r="AP508"/>
      <c r="AQ508"/>
      <c r="AS508"/>
      <c r="AT508"/>
      <c r="AU508"/>
      <c r="AW508"/>
      <c r="AX508"/>
      <c r="AY508"/>
      <c r="BA508"/>
      <c r="BB508"/>
      <c r="BC508"/>
      <c r="BE508"/>
      <c r="BF508"/>
      <c r="BG508"/>
      <c r="BI508" s="69">
        <v>94030701</v>
      </c>
      <c r="BJ508" s="69" t="s">
        <v>1693</v>
      </c>
      <c r="BK508" s="54">
        <v>5825</v>
      </c>
    </row>
    <row r="509" spans="1:64">
      <c r="BI509" s="69">
        <v>94033001</v>
      </c>
      <c r="BJ509" s="69" t="s">
        <v>1694</v>
      </c>
      <c r="BK509" s="54">
        <v>20000</v>
      </c>
    </row>
    <row r="510" spans="1:64">
      <c r="BI510" s="69">
        <v>94040410</v>
      </c>
      <c r="BJ510" s="69" t="s">
        <v>1695</v>
      </c>
      <c r="BK510" s="54">
        <v>20000</v>
      </c>
    </row>
    <row r="511" spans="1:64">
      <c r="BI511" s="69">
        <v>94040802</v>
      </c>
      <c r="BJ511" s="69" t="s">
        <v>1696</v>
      </c>
      <c r="BK511" s="54">
        <v>6297</v>
      </c>
    </row>
    <row r="512" spans="1:64">
      <c r="BI512" s="69">
        <v>94041404</v>
      </c>
      <c r="BJ512" s="69" t="s">
        <v>1697</v>
      </c>
      <c r="BK512" s="54">
        <v>20000</v>
      </c>
    </row>
    <row r="513" spans="61:63">
      <c r="BI513" s="69">
        <v>94042003</v>
      </c>
      <c r="BJ513" s="69" t="s">
        <v>1698</v>
      </c>
      <c r="BK513" s="54">
        <v>20000</v>
      </c>
    </row>
    <row r="514" spans="61:63">
      <c r="BI514" s="69">
        <v>94042004</v>
      </c>
      <c r="BJ514" s="69" t="s">
        <v>1699</v>
      </c>
      <c r="BK514" s="54">
        <v>-20000</v>
      </c>
    </row>
    <row r="515" spans="61:63">
      <c r="BI515" s="69">
        <v>94042001</v>
      </c>
      <c r="BJ515" s="69" t="s">
        <v>1700</v>
      </c>
      <c r="BK515" s="54">
        <v>20000</v>
      </c>
    </row>
    <row r="516" spans="61:63">
      <c r="BI516" s="69">
        <v>94042605</v>
      </c>
      <c r="BJ516" s="69" t="s">
        <v>1701</v>
      </c>
      <c r="BK516" s="54">
        <v>8899</v>
      </c>
    </row>
    <row r="517" spans="61:63">
      <c r="BI517" s="69">
        <v>94042905</v>
      </c>
      <c r="BJ517" s="69" t="s">
        <v>1702</v>
      </c>
      <c r="BK517" s="54">
        <v>20000</v>
      </c>
    </row>
    <row r="518" spans="61:63">
      <c r="BI518" s="69">
        <v>94051004</v>
      </c>
      <c r="BJ518" s="69" t="s">
        <v>1703</v>
      </c>
      <c r="BK518" s="54">
        <v>20000</v>
      </c>
    </row>
    <row r="519" spans="61:63">
      <c r="BI519" s="69">
        <v>94051905</v>
      </c>
      <c r="BJ519" s="69" t="s">
        <v>1704</v>
      </c>
      <c r="BK519" s="54">
        <v>7699</v>
      </c>
    </row>
    <row r="520" spans="61:63">
      <c r="BI520" s="69">
        <v>94051905</v>
      </c>
      <c r="BJ520" s="69" t="s">
        <v>1705</v>
      </c>
      <c r="BK520" s="54">
        <v>20000</v>
      </c>
    </row>
    <row r="521" spans="61:63">
      <c r="BI521" s="69">
        <v>94051905</v>
      </c>
      <c r="BJ521" s="69" t="s">
        <v>1706</v>
      </c>
      <c r="BK521" s="54">
        <v>20000</v>
      </c>
    </row>
    <row r="522" spans="61:63">
      <c r="BI522" s="69">
        <v>94053105</v>
      </c>
      <c r="BJ522" s="69" t="s">
        <v>1707</v>
      </c>
      <c r="BK522" s="54">
        <v>-20000</v>
      </c>
    </row>
    <row r="523" spans="61:63">
      <c r="BI523" s="69">
        <v>94070701</v>
      </c>
      <c r="BJ523" s="69" t="s">
        <v>1708</v>
      </c>
      <c r="BK523" s="54">
        <v>10000</v>
      </c>
    </row>
    <row r="524" spans="61:63">
      <c r="BI524" s="69">
        <v>94071305</v>
      </c>
      <c r="BJ524" s="69" t="s">
        <v>1709</v>
      </c>
      <c r="BK524" s="54">
        <v>20000</v>
      </c>
    </row>
    <row r="525" spans="61:63">
      <c r="BI525" s="69">
        <v>94072201</v>
      </c>
      <c r="BJ525" s="69" t="s">
        <v>1710</v>
      </c>
      <c r="BK525" s="54">
        <v>20000</v>
      </c>
    </row>
    <row r="526" spans="61:63">
      <c r="BI526" s="69">
        <v>94072202</v>
      </c>
      <c r="BJ526" s="69" t="s">
        <v>1711</v>
      </c>
      <c r="BK526" s="54">
        <v>10000</v>
      </c>
    </row>
    <row r="527" spans="61:63">
      <c r="BI527" s="69">
        <v>94081105</v>
      </c>
      <c r="BJ527" s="69" t="s">
        <v>1712</v>
      </c>
      <c r="BK527" s="54">
        <v>20000</v>
      </c>
    </row>
    <row r="528" spans="61:63">
      <c r="BI528" s="69">
        <v>94090905</v>
      </c>
      <c r="BJ528" s="69" t="s">
        <v>1713</v>
      </c>
      <c r="BK528" s="54">
        <v>20000</v>
      </c>
    </row>
    <row r="529" spans="61:63">
      <c r="BI529" s="69">
        <v>94091611</v>
      </c>
      <c r="BJ529" s="69" t="s">
        <v>1714</v>
      </c>
      <c r="BK529" s="54">
        <v>14175</v>
      </c>
    </row>
    <row r="530" spans="61:63">
      <c r="BI530" s="69">
        <v>94111702</v>
      </c>
      <c r="BJ530" s="69" t="s">
        <v>1715</v>
      </c>
      <c r="BK530" s="54">
        <v>20000</v>
      </c>
    </row>
    <row r="531" spans="61:63">
      <c r="BI531" s="69">
        <v>94112102</v>
      </c>
      <c r="BJ531" s="69" t="s">
        <v>1716</v>
      </c>
      <c r="BK531" s="54">
        <v>20000</v>
      </c>
    </row>
    <row r="532" spans="61:63">
      <c r="BI532" s="69">
        <v>94120106</v>
      </c>
      <c r="BJ532" s="69" t="s">
        <v>1717</v>
      </c>
      <c r="BK532" s="54">
        <v>6500</v>
      </c>
    </row>
    <row r="533" spans="61:63">
      <c r="BI533" s="69">
        <v>94120106</v>
      </c>
      <c r="BJ533" s="69" t="s">
        <v>1718</v>
      </c>
      <c r="BK533" s="54">
        <v>13500</v>
      </c>
    </row>
    <row r="534" spans="61:63">
      <c r="BI534" s="69">
        <v>94120705</v>
      </c>
      <c r="BJ534" s="69" t="s">
        <v>1719</v>
      </c>
      <c r="BK534" s="54">
        <v>20000</v>
      </c>
    </row>
    <row r="535" spans="61:63">
      <c r="BI535" s="69">
        <v>94120705</v>
      </c>
      <c r="BJ535" s="69" t="s">
        <v>1720</v>
      </c>
      <c r="BK535" s="54">
        <v>20000</v>
      </c>
    </row>
    <row r="536" spans="61:63">
      <c r="BI536" s="69">
        <v>94121202</v>
      </c>
      <c r="BJ536" s="69" t="s">
        <v>1721</v>
      </c>
      <c r="BK536" s="54">
        <v>20000</v>
      </c>
    </row>
    <row r="537" spans="61:63">
      <c r="BI537" s="69">
        <v>94122201</v>
      </c>
      <c r="BJ537" s="69" t="s">
        <v>1722</v>
      </c>
      <c r="BK537" s="54">
        <v>13501</v>
      </c>
    </row>
    <row r="538" spans="61:63">
      <c r="BI538" s="69">
        <v>94122201</v>
      </c>
      <c r="BJ538" s="69" t="s">
        <v>1723</v>
      </c>
      <c r="BK538" s="54">
        <v>6499</v>
      </c>
    </row>
    <row r="539" spans="61:63">
      <c r="BI539" s="69">
        <v>94122803</v>
      </c>
      <c r="BJ539" s="69" t="s">
        <v>1724</v>
      </c>
      <c r="BK539" s="54">
        <v>14175</v>
      </c>
    </row>
    <row r="540" spans="61:63">
      <c r="BI540" s="69">
        <v>94123004</v>
      </c>
      <c r="BJ540" s="69" t="s">
        <v>1725</v>
      </c>
      <c r="BK540" s="54">
        <v>20000</v>
      </c>
    </row>
    <row r="541" spans="61:63">
      <c r="BI541" s="69">
        <v>94123007</v>
      </c>
      <c r="BJ541" s="69" t="s">
        <v>1726</v>
      </c>
      <c r="BK541" s="54">
        <v>20000</v>
      </c>
    </row>
    <row r="543" spans="61:63">
      <c r="BI543" s="68" t="s">
        <v>1294</v>
      </c>
      <c r="BJ543" s="68"/>
      <c r="BK543" s="68">
        <f>SUM(BK544:BK545)</f>
        <v>-57770</v>
      </c>
    </row>
    <row r="544" spans="61:63">
      <c r="BJ544" s="84" t="s">
        <v>2966</v>
      </c>
      <c r="BK544" s="84">
        <v>-7770</v>
      </c>
    </row>
    <row r="545" spans="61:63">
      <c r="BJ545" s="69" t="s">
        <v>1727</v>
      </c>
      <c r="BK545" s="69">
        <v>-50000</v>
      </c>
    </row>
    <row r="547" spans="61:63">
      <c r="BI547" s="68" t="s">
        <v>1312</v>
      </c>
      <c r="BJ547" s="68"/>
      <c r="BK547" s="71">
        <f>SUM(BK548:BK567)</f>
        <v>-50555</v>
      </c>
    </row>
    <row r="548" spans="61:63">
      <c r="BI548" s="69">
        <v>94010301</v>
      </c>
      <c r="BJ548" s="69" t="s">
        <v>1295</v>
      </c>
      <c r="BK548" s="54">
        <v>14175</v>
      </c>
    </row>
    <row r="549" spans="61:63">
      <c r="BI549" s="69">
        <v>94030105</v>
      </c>
      <c r="BJ549" s="69" t="s">
        <v>1296</v>
      </c>
      <c r="BK549" s="54">
        <v>8978</v>
      </c>
    </row>
    <row r="550" spans="61:63">
      <c r="BI550" s="69">
        <v>94041902</v>
      </c>
      <c r="BJ550" s="69" t="s">
        <v>3782</v>
      </c>
      <c r="BK550" s="54">
        <v>8978</v>
      </c>
    </row>
    <row r="551" spans="61:63">
      <c r="BI551" s="69">
        <v>94050104</v>
      </c>
      <c r="BJ551" s="69" t="s">
        <v>3783</v>
      </c>
      <c r="BK551" s="54">
        <v>14175</v>
      </c>
    </row>
    <row r="552" spans="61:63">
      <c r="BI552" s="69">
        <v>94050105</v>
      </c>
      <c r="BJ552" s="69" t="s">
        <v>3784</v>
      </c>
      <c r="BK552" s="54">
        <v>17955</v>
      </c>
    </row>
    <row r="553" spans="61:63">
      <c r="BI553" s="69">
        <v>94060103</v>
      </c>
      <c r="BJ553" s="69" t="s">
        <v>3785</v>
      </c>
      <c r="BK553" s="54">
        <v>8978</v>
      </c>
    </row>
    <row r="554" spans="61:63">
      <c r="BI554" s="69">
        <v>94080101</v>
      </c>
      <c r="BJ554" s="69" t="s">
        <v>3786</v>
      </c>
      <c r="BK554" s="54">
        <v>14175</v>
      </c>
    </row>
    <row r="555" spans="61:63">
      <c r="BI555" s="69">
        <v>94091504</v>
      </c>
      <c r="BJ555" s="69" t="s">
        <v>3787</v>
      </c>
      <c r="BK555" s="54">
        <v>8978</v>
      </c>
    </row>
    <row r="556" spans="61:63">
      <c r="BI556" s="69">
        <v>94120104</v>
      </c>
      <c r="BJ556" s="69" t="s">
        <v>3788</v>
      </c>
      <c r="BK556" s="54">
        <v>8978</v>
      </c>
    </row>
    <row r="557" spans="61:63">
      <c r="BI557" s="69">
        <v>94040404</v>
      </c>
      <c r="BJ557" s="69" t="s">
        <v>3789</v>
      </c>
      <c r="BK557" s="54">
        <v>-14175</v>
      </c>
    </row>
    <row r="558" spans="61:63">
      <c r="BI558" s="69">
        <v>94040404</v>
      </c>
      <c r="BJ558" s="69" t="s">
        <v>3790</v>
      </c>
      <c r="BK558" s="54">
        <v>-14175</v>
      </c>
    </row>
    <row r="559" spans="61:63">
      <c r="BI559" s="69">
        <v>94040404</v>
      </c>
      <c r="BJ559" s="69" t="s">
        <v>3791</v>
      </c>
      <c r="BK559" s="54">
        <v>-14175</v>
      </c>
    </row>
    <row r="560" spans="61:63">
      <c r="BI560" s="69">
        <v>94040404</v>
      </c>
      <c r="BJ560" s="69" t="s">
        <v>3792</v>
      </c>
      <c r="BK560" s="54">
        <v>-14175</v>
      </c>
    </row>
    <row r="561" spans="4:63">
      <c r="BI561" s="69">
        <v>94040404</v>
      </c>
      <c r="BJ561" s="69" t="s">
        <v>3793</v>
      </c>
      <c r="BK561" s="54">
        <v>-14175</v>
      </c>
    </row>
    <row r="562" spans="4:63">
      <c r="BI562" s="69">
        <v>94040404</v>
      </c>
      <c r="BJ562" s="69" t="s">
        <v>3794</v>
      </c>
      <c r="BK562" s="54">
        <v>-14175</v>
      </c>
    </row>
    <row r="563" spans="4:63">
      <c r="BI563" s="69">
        <v>94041901</v>
      </c>
      <c r="BJ563" s="69" t="s">
        <v>3795</v>
      </c>
      <c r="BK563" s="54">
        <v>-14175</v>
      </c>
    </row>
    <row r="564" spans="4:63">
      <c r="BI564" s="69">
        <v>94041901</v>
      </c>
      <c r="BJ564" s="69" t="s">
        <v>2440</v>
      </c>
      <c r="BK564" s="54">
        <v>-14175</v>
      </c>
    </row>
    <row r="565" spans="4:63">
      <c r="BI565" s="69">
        <v>94041901</v>
      </c>
      <c r="BJ565" s="69" t="s">
        <v>2441</v>
      </c>
      <c r="BK565" s="54">
        <v>-14175</v>
      </c>
    </row>
    <row r="566" spans="4:63">
      <c r="D566" s="84"/>
      <c r="H566" s="84"/>
      <c r="BI566" s="69">
        <v>94041901</v>
      </c>
      <c r="BJ566" s="69" t="s">
        <v>2442</v>
      </c>
      <c r="BK566" s="54">
        <v>-14175</v>
      </c>
    </row>
    <row r="567" spans="4:63">
      <c r="P567" s="84"/>
      <c r="BI567" s="69">
        <v>94041901</v>
      </c>
      <c r="BJ567" s="69" t="s">
        <v>2443</v>
      </c>
      <c r="BK567" s="54">
        <v>-14175</v>
      </c>
    </row>
    <row r="569" spans="4:63">
      <c r="BI569" s="68" t="s">
        <v>2444</v>
      </c>
      <c r="BJ569" s="68"/>
      <c r="BK569" s="68">
        <v>-4144438.75</v>
      </c>
    </row>
    <row r="570" spans="4:63">
      <c r="L570" s="84"/>
      <c r="BJ570" s="69" t="s">
        <v>2966</v>
      </c>
      <c r="BK570" s="85">
        <v>-4144438.75</v>
      </c>
    </row>
    <row r="572" spans="4:63">
      <c r="BI572" s="68" t="s">
        <v>1728</v>
      </c>
      <c r="BJ572" s="68"/>
      <c r="BK572" s="71">
        <f>SUM(BK573:BK670)</f>
        <v>276437</v>
      </c>
    </row>
    <row r="573" spans="4:63">
      <c r="BI573" s="84"/>
      <c r="BJ573" s="84" t="s">
        <v>2966</v>
      </c>
      <c r="BK573" s="86">
        <v>310851</v>
      </c>
    </row>
    <row r="574" spans="4:63">
      <c r="T574" s="84"/>
      <c r="BI574" s="69">
        <v>94010604</v>
      </c>
      <c r="BJ574" s="69" t="s">
        <v>2446</v>
      </c>
      <c r="BK574" s="66">
        <v>-1800</v>
      </c>
    </row>
    <row r="575" spans="4:63">
      <c r="BI575" s="69">
        <v>94011204</v>
      </c>
      <c r="BJ575" s="69" t="s">
        <v>2447</v>
      </c>
      <c r="BK575" s="66">
        <v>1364</v>
      </c>
    </row>
    <row r="576" spans="4:63">
      <c r="BI576" s="69" t="s">
        <v>2448</v>
      </c>
      <c r="BJ576" s="69" t="s">
        <v>2449</v>
      </c>
      <c r="BK576" s="66">
        <v>-43400</v>
      </c>
    </row>
    <row r="577" spans="1:64">
      <c r="BI577" s="69">
        <v>94022504</v>
      </c>
      <c r="BJ577" s="69" t="s">
        <v>2450</v>
      </c>
      <c r="BK577" s="66">
        <v>1364</v>
      </c>
    </row>
    <row r="578" spans="1:64">
      <c r="BI578" s="69">
        <v>94022802</v>
      </c>
      <c r="BJ578" s="69" t="s">
        <v>2451</v>
      </c>
      <c r="BK578" s="66">
        <v>546</v>
      </c>
      <c r="BL578" s="92">
        <f>BK572+BK672+BK675+BK678</f>
        <v>-23027</v>
      </c>
    </row>
    <row r="579" spans="1:64" s="84" customFormat="1">
      <c r="A579"/>
      <c r="B579"/>
      <c r="C579" s="770"/>
      <c r="D579" s="69"/>
      <c r="E579"/>
      <c r="F579"/>
      <c r="G579" s="7"/>
      <c r="H579" s="69"/>
      <c r="I579"/>
      <c r="J579"/>
      <c r="K579" s="7"/>
      <c r="L579" s="69"/>
      <c r="M579"/>
      <c r="N579"/>
      <c r="O579" s="7"/>
      <c r="P579" s="69"/>
      <c r="Q579"/>
      <c r="R579"/>
      <c r="S579" s="7"/>
      <c r="T579" s="69"/>
      <c r="U579"/>
      <c r="V579"/>
      <c r="W579" s="7"/>
      <c r="Y579"/>
      <c r="Z579"/>
      <c r="AA579"/>
      <c r="AC579"/>
      <c r="AD579"/>
      <c r="AE579"/>
      <c r="AG579"/>
      <c r="AH579"/>
      <c r="AI579"/>
      <c r="AK579"/>
      <c r="AL579"/>
      <c r="AM579"/>
      <c r="AO579"/>
      <c r="AP579"/>
      <c r="AQ579"/>
      <c r="AS579"/>
      <c r="AT579"/>
      <c r="AU579"/>
      <c r="AW579"/>
      <c r="AX579"/>
      <c r="AY579"/>
      <c r="BA579"/>
      <c r="BB579"/>
      <c r="BC579"/>
      <c r="BE579"/>
      <c r="BF579"/>
      <c r="BG579"/>
      <c r="BI579" s="69">
        <v>94022802</v>
      </c>
      <c r="BJ579" s="69" t="s">
        <v>2452</v>
      </c>
      <c r="BK579" s="66">
        <v>1146</v>
      </c>
    </row>
    <row r="580" spans="1:64">
      <c r="BI580" s="69">
        <v>94030202</v>
      </c>
      <c r="BJ580" s="69" t="s">
        <v>2453</v>
      </c>
      <c r="BK580" s="66">
        <v>188</v>
      </c>
    </row>
    <row r="581" spans="1:64">
      <c r="BI581" s="69">
        <v>94030402</v>
      </c>
      <c r="BJ581" s="69" t="s">
        <v>2454</v>
      </c>
      <c r="BK581" s="66">
        <v>20006</v>
      </c>
    </row>
    <row r="582" spans="1:64">
      <c r="BI582" s="69">
        <v>94030704</v>
      </c>
      <c r="BJ582" s="69" t="s">
        <v>2455</v>
      </c>
      <c r="BK582" s="66">
        <v>-6265</v>
      </c>
    </row>
    <row r="583" spans="1:64">
      <c r="BI583" s="69">
        <v>94031001</v>
      </c>
      <c r="BJ583" s="69" t="s">
        <v>2456</v>
      </c>
      <c r="BK583" s="66">
        <v>-6265</v>
      </c>
    </row>
    <row r="584" spans="1:64">
      <c r="BI584" s="69">
        <v>94031102</v>
      </c>
      <c r="BJ584" s="69" t="s">
        <v>2457</v>
      </c>
      <c r="BK584" s="66">
        <v>13401</v>
      </c>
    </row>
    <row r="585" spans="1:64">
      <c r="BI585" s="69">
        <v>94032401</v>
      </c>
      <c r="BJ585" s="69" t="s">
        <v>2458</v>
      </c>
      <c r="BK585" s="67">
        <v>200000</v>
      </c>
    </row>
    <row r="586" spans="1:64">
      <c r="BI586" s="69">
        <v>94032402</v>
      </c>
      <c r="BJ586" s="69" t="s">
        <v>2459</v>
      </c>
      <c r="BK586" s="66">
        <v>51200</v>
      </c>
    </row>
    <row r="587" spans="1:64">
      <c r="BI587" s="69">
        <v>94033002</v>
      </c>
      <c r="BJ587" s="69" t="s">
        <v>2460</v>
      </c>
      <c r="BK587" s="66">
        <v>11595</v>
      </c>
    </row>
    <row r="588" spans="1:64">
      <c r="BI588" s="69">
        <v>94033004</v>
      </c>
      <c r="BJ588" s="69" t="s">
        <v>1729</v>
      </c>
      <c r="BK588" s="66">
        <v>1364</v>
      </c>
    </row>
    <row r="589" spans="1:64">
      <c r="BI589" s="69">
        <v>94033006</v>
      </c>
      <c r="BJ589" s="69" t="s">
        <v>2461</v>
      </c>
      <c r="BK589" s="66">
        <v>838</v>
      </c>
    </row>
    <row r="590" spans="1:64">
      <c r="BI590" s="69">
        <v>94033006</v>
      </c>
      <c r="BJ590" s="69" t="s">
        <v>2462</v>
      </c>
      <c r="BK590" s="66">
        <v>1969</v>
      </c>
    </row>
    <row r="591" spans="1:64">
      <c r="BI591" s="69">
        <v>94040415</v>
      </c>
      <c r="BJ591" s="69" t="s">
        <v>2463</v>
      </c>
      <c r="BK591" s="66">
        <v>-22150</v>
      </c>
    </row>
    <row r="592" spans="1:64">
      <c r="BI592" s="69">
        <v>94043004</v>
      </c>
      <c r="BJ592" s="69" t="s">
        <v>2464</v>
      </c>
      <c r="BK592" s="66">
        <v>546</v>
      </c>
    </row>
    <row r="593" spans="61:63">
      <c r="BI593" s="69">
        <v>94043004</v>
      </c>
      <c r="BJ593" s="69" t="s">
        <v>2465</v>
      </c>
      <c r="BK593" s="66">
        <v>1146</v>
      </c>
    </row>
    <row r="594" spans="61:63">
      <c r="BI594" s="69">
        <v>94051303</v>
      </c>
      <c r="BJ594" s="69" t="s">
        <v>1730</v>
      </c>
      <c r="BK594" s="66">
        <v>1364</v>
      </c>
    </row>
    <row r="595" spans="61:63">
      <c r="BI595" s="69">
        <v>94051301</v>
      </c>
      <c r="BJ595" s="69" t="s">
        <v>2466</v>
      </c>
      <c r="BK595" s="66">
        <v>62826</v>
      </c>
    </row>
    <row r="596" spans="61:63">
      <c r="BI596" s="69">
        <v>94051901</v>
      </c>
      <c r="BJ596" s="69" t="s">
        <v>2467</v>
      </c>
      <c r="BK596" s="66">
        <v>28571</v>
      </c>
    </row>
    <row r="597" spans="61:63">
      <c r="BI597" s="69">
        <v>94052302</v>
      </c>
      <c r="BJ597" s="69" t="s">
        <v>2468</v>
      </c>
      <c r="BK597" s="66">
        <v>100030</v>
      </c>
    </row>
    <row r="598" spans="61:63">
      <c r="BI598" s="69">
        <v>94052302</v>
      </c>
      <c r="BJ598" s="69" t="s">
        <v>2469</v>
      </c>
      <c r="BK598" s="66">
        <v>51200</v>
      </c>
    </row>
    <row r="599" spans="61:63">
      <c r="BI599" s="69">
        <v>94052502</v>
      </c>
      <c r="BJ599" s="69" t="s">
        <v>2470</v>
      </c>
      <c r="BK599" s="66">
        <v>11710</v>
      </c>
    </row>
    <row r="600" spans="61:63">
      <c r="BI600" s="69">
        <v>94053002</v>
      </c>
      <c r="BJ600" s="69" t="s">
        <v>2471</v>
      </c>
      <c r="BK600" s="66">
        <v>877</v>
      </c>
    </row>
    <row r="601" spans="61:63">
      <c r="BI601" s="69">
        <v>94053002</v>
      </c>
      <c r="BJ601" s="69" t="s">
        <v>2472</v>
      </c>
      <c r="BK601" s="66">
        <v>1764</v>
      </c>
    </row>
    <row r="602" spans="61:63">
      <c r="BI602" s="69">
        <v>94053002</v>
      </c>
      <c r="BJ602" s="69" t="s">
        <v>2473</v>
      </c>
      <c r="BK602" s="66">
        <v>-598</v>
      </c>
    </row>
    <row r="603" spans="61:63">
      <c r="BI603" s="69">
        <v>94060201</v>
      </c>
      <c r="BJ603" s="69" t="s">
        <v>2474</v>
      </c>
      <c r="BK603" s="66">
        <v>-6505</v>
      </c>
    </row>
    <row r="604" spans="61:63">
      <c r="BI604" s="69">
        <v>94060201</v>
      </c>
      <c r="BJ604" s="69" t="s">
        <v>2455</v>
      </c>
      <c r="BK604" s="66">
        <v>-6505</v>
      </c>
    </row>
    <row r="605" spans="61:63">
      <c r="BI605" s="69">
        <v>94060401</v>
      </c>
      <c r="BJ605" s="69" t="s">
        <v>2463</v>
      </c>
      <c r="BK605" s="66">
        <v>-32130</v>
      </c>
    </row>
    <row r="606" spans="61:63">
      <c r="BI606" s="69">
        <v>94060901</v>
      </c>
      <c r="BJ606" s="69" t="s">
        <v>2475</v>
      </c>
      <c r="BK606" s="66">
        <v>-7640</v>
      </c>
    </row>
    <row r="607" spans="61:63">
      <c r="BI607" s="69">
        <v>94061501</v>
      </c>
      <c r="BJ607" s="69" t="s">
        <v>2476</v>
      </c>
      <c r="BK607" s="66">
        <v>-292</v>
      </c>
    </row>
    <row r="608" spans="61:63">
      <c r="BI608" s="69">
        <v>94061501</v>
      </c>
      <c r="BJ608" s="69" t="s">
        <v>2477</v>
      </c>
      <c r="BK608" s="66">
        <v>-598</v>
      </c>
    </row>
    <row r="609" spans="61:63">
      <c r="BI609" s="69">
        <v>94061502</v>
      </c>
      <c r="BJ609" s="69" t="s">
        <v>1731</v>
      </c>
      <c r="BK609" s="66">
        <v>1148</v>
      </c>
    </row>
    <row r="610" spans="61:63">
      <c r="BI610" s="69">
        <v>94061502</v>
      </c>
      <c r="BJ610" s="69" t="s">
        <v>2478</v>
      </c>
      <c r="BK610" s="66">
        <v>100000</v>
      </c>
    </row>
    <row r="611" spans="61:63">
      <c r="BI611" s="69">
        <v>94062101</v>
      </c>
      <c r="BJ611" s="69" t="s">
        <v>2479</v>
      </c>
      <c r="BK611" s="66">
        <v>31</v>
      </c>
    </row>
    <row r="612" spans="61:63">
      <c r="BI612" s="69">
        <v>94063004</v>
      </c>
      <c r="BJ612" s="69" t="s">
        <v>2480</v>
      </c>
      <c r="BK612" s="66">
        <v>51400</v>
      </c>
    </row>
    <row r="613" spans="61:63">
      <c r="BI613" s="69">
        <v>94063010</v>
      </c>
      <c r="BJ613" s="69" t="s">
        <v>2481</v>
      </c>
      <c r="BK613" s="66">
        <v>328</v>
      </c>
    </row>
    <row r="614" spans="61:63">
      <c r="BI614" s="69">
        <v>94063011</v>
      </c>
      <c r="BJ614" s="69" t="s">
        <v>2482</v>
      </c>
      <c r="BK614" s="66">
        <v>-432</v>
      </c>
    </row>
    <row r="615" spans="61:63">
      <c r="BI615" s="69">
        <v>94070703</v>
      </c>
      <c r="BJ615" s="69" t="s">
        <v>2483</v>
      </c>
      <c r="BK615" s="66">
        <v>50000</v>
      </c>
    </row>
    <row r="616" spans="61:63">
      <c r="BI616" s="69">
        <v>94071501</v>
      </c>
      <c r="BJ616" s="69" t="s">
        <v>1732</v>
      </c>
      <c r="BK616" s="66">
        <v>1148</v>
      </c>
    </row>
    <row r="617" spans="61:63">
      <c r="BI617" s="69">
        <v>94072906</v>
      </c>
      <c r="BJ617" s="69" t="s">
        <v>2455</v>
      </c>
      <c r="BK617" s="66">
        <v>-6960</v>
      </c>
    </row>
    <row r="618" spans="61:63">
      <c r="BI618" s="69">
        <v>94073001</v>
      </c>
      <c r="BJ618" s="69" t="s">
        <v>2484</v>
      </c>
      <c r="BK618" s="66">
        <v>1030</v>
      </c>
    </row>
    <row r="619" spans="61:63">
      <c r="BI619" s="69">
        <v>94073001</v>
      </c>
      <c r="BJ619" s="69" t="s">
        <v>2485</v>
      </c>
      <c r="BK619" s="66">
        <v>-432</v>
      </c>
    </row>
    <row r="620" spans="61:63">
      <c r="BI620" s="69">
        <v>94073001</v>
      </c>
      <c r="BJ620" s="69" t="s">
        <v>2486</v>
      </c>
      <c r="BK620" s="66">
        <v>-1418</v>
      </c>
    </row>
    <row r="621" spans="61:63">
      <c r="BI621" s="69">
        <v>94080801</v>
      </c>
      <c r="BJ621" s="69" t="s">
        <v>2487</v>
      </c>
      <c r="BK621" s="66">
        <v>100000</v>
      </c>
    </row>
    <row r="622" spans="61:63">
      <c r="BI622" s="69">
        <v>94081503</v>
      </c>
      <c r="BJ622" s="69" t="s">
        <v>1733</v>
      </c>
      <c r="BK622" s="66">
        <v>3930</v>
      </c>
    </row>
    <row r="623" spans="61:63">
      <c r="BI623" s="69">
        <v>94082909</v>
      </c>
      <c r="BJ623" s="69" t="s">
        <v>2488</v>
      </c>
      <c r="BK623" s="66">
        <v>-600</v>
      </c>
    </row>
    <row r="624" spans="61:63">
      <c r="BI624" s="69">
        <v>94083003</v>
      </c>
      <c r="BJ624" s="69" t="s">
        <v>2489</v>
      </c>
      <c r="BK624" s="66">
        <v>-6040</v>
      </c>
    </row>
    <row r="625" spans="61:63">
      <c r="BI625" s="69">
        <v>94090901</v>
      </c>
      <c r="BJ625" s="69" t="s">
        <v>2490</v>
      </c>
      <c r="BK625" s="66">
        <v>75000</v>
      </c>
    </row>
    <row r="626" spans="61:63">
      <c r="BI626" s="69">
        <v>94091401</v>
      </c>
      <c r="BJ626" s="69" t="s">
        <v>301</v>
      </c>
      <c r="BK626" s="66">
        <v>5348</v>
      </c>
    </row>
    <row r="627" spans="61:63">
      <c r="BI627" s="69">
        <v>94091408</v>
      </c>
      <c r="BJ627" s="69" t="s">
        <v>2491</v>
      </c>
      <c r="BK627" s="66">
        <v>-20400</v>
      </c>
    </row>
    <row r="628" spans="61:63">
      <c r="BI628" s="69">
        <v>94091506</v>
      </c>
      <c r="BJ628" s="69" t="s">
        <v>2455</v>
      </c>
      <c r="BK628" s="66">
        <v>-6700</v>
      </c>
    </row>
    <row r="629" spans="61:63">
      <c r="BI629" s="69">
        <v>94092104</v>
      </c>
      <c r="BJ629" s="69" t="s">
        <v>302</v>
      </c>
      <c r="BK629" s="66">
        <v>3984</v>
      </c>
    </row>
    <row r="630" spans="61:63">
      <c r="BI630" s="69">
        <v>94092107</v>
      </c>
      <c r="BJ630" s="69" t="s">
        <v>2492</v>
      </c>
      <c r="BK630" s="66">
        <v>10099</v>
      </c>
    </row>
    <row r="631" spans="61:63">
      <c r="BI631" s="69">
        <v>94092107</v>
      </c>
      <c r="BJ631" s="69" t="s">
        <v>2493</v>
      </c>
      <c r="BK631" s="66">
        <v>88</v>
      </c>
    </row>
    <row r="632" spans="61:63">
      <c r="BI632" s="69">
        <v>94093004</v>
      </c>
      <c r="BJ632" s="69" t="s">
        <v>2489</v>
      </c>
      <c r="BK632" s="66">
        <v>-1200</v>
      </c>
    </row>
    <row r="633" spans="61:63">
      <c r="BI633" s="69">
        <v>94093001</v>
      </c>
      <c r="BJ633" s="69" t="s">
        <v>2486</v>
      </c>
      <c r="BK633" s="66">
        <v>-1418</v>
      </c>
    </row>
    <row r="634" spans="61:63">
      <c r="BI634" s="69">
        <v>94100606</v>
      </c>
      <c r="BJ634" s="69" t="s">
        <v>2475</v>
      </c>
      <c r="BK634" s="66">
        <v>-22320</v>
      </c>
    </row>
    <row r="635" spans="61:63">
      <c r="BI635" s="69">
        <v>94101302</v>
      </c>
      <c r="BJ635" s="69" t="s">
        <v>2494</v>
      </c>
      <c r="BK635" s="66">
        <v>2000</v>
      </c>
    </row>
    <row r="636" spans="61:63">
      <c r="BI636" s="69">
        <v>94102102</v>
      </c>
      <c r="BJ636" s="69" t="s">
        <v>2495</v>
      </c>
      <c r="BK636" s="66">
        <v>20400</v>
      </c>
    </row>
    <row r="637" spans="61:63">
      <c r="BI637" s="69">
        <v>94102104</v>
      </c>
      <c r="BJ637" s="69" t="s">
        <v>2496</v>
      </c>
      <c r="BK637" s="66">
        <v>-22510</v>
      </c>
    </row>
    <row r="638" spans="61:63">
      <c r="BI638" s="69">
        <v>94102505</v>
      </c>
      <c r="BJ638" s="69" t="s">
        <v>2497</v>
      </c>
      <c r="BK638" s="66">
        <v>10376</v>
      </c>
    </row>
    <row r="639" spans="61:63">
      <c r="BI639" s="69">
        <v>94102505</v>
      </c>
      <c r="BJ639" s="69" t="s">
        <v>2498</v>
      </c>
      <c r="BK639" s="66">
        <v>88</v>
      </c>
    </row>
    <row r="640" spans="61:63">
      <c r="BI640" s="69">
        <v>94102803</v>
      </c>
      <c r="BJ640" s="69" t="s">
        <v>303</v>
      </c>
      <c r="BK640" s="66">
        <v>3768</v>
      </c>
    </row>
    <row r="641" spans="61:63">
      <c r="BI641" s="69">
        <v>94102805</v>
      </c>
      <c r="BJ641" s="69" t="s">
        <v>2456</v>
      </c>
      <c r="BK641" s="66">
        <v>-6720</v>
      </c>
    </row>
    <row r="642" spans="61:63">
      <c r="BI642" s="69">
        <v>94103002</v>
      </c>
      <c r="BJ642" s="69" t="s">
        <v>1734</v>
      </c>
      <c r="BK642" s="66">
        <v>-1418</v>
      </c>
    </row>
    <row r="643" spans="61:63">
      <c r="BI643" s="69">
        <v>94103001</v>
      </c>
      <c r="BJ643" s="69" t="s">
        <v>1735</v>
      </c>
      <c r="BK643" s="66">
        <v>327</v>
      </c>
    </row>
    <row r="644" spans="61:63">
      <c r="BI644" s="69">
        <v>94103001</v>
      </c>
      <c r="BJ644" s="69" t="s">
        <v>1736</v>
      </c>
      <c r="BK644" s="66">
        <v>1873</v>
      </c>
    </row>
    <row r="645" spans="61:63">
      <c r="BI645" s="69">
        <v>94110402</v>
      </c>
      <c r="BJ645" s="69" t="s">
        <v>1737</v>
      </c>
      <c r="BK645" s="66">
        <v>-17940</v>
      </c>
    </row>
    <row r="646" spans="61:63">
      <c r="BI646" s="69">
        <v>94110402</v>
      </c>
      <c r="BJ646" s="69" t="s">
        <v>1738</v>
      </c>
      <c r="BK646" s="66">
        <v>-700</v>
      </c>
    </row>
    <row r="647" spans="61:63">
      <c r="BI647" s="69">
        <v>94110702</v>
      </c>
      <c r="BJ647" s="69" t="s">
        <v>1739</v>
      </c>
      <c r="BK647" s="66">
        <v>-159890</v>
      </c>
    </row>
    <row r="648" spans="61:63">
      <c r="BI648" s="69">
        <v>94110702</v>
      </c>
      <c r="BJ648" s="69" t="s">
        <v>1740</v>
      </c>
      <c r="BK648" s="66">
        <v>22510</v>
      </c>
    </row>
    <row r="649" spans="61:63">
      <c r="BI649" s="69">
        <v>94110802</v>
      </c>
      <c r="BJ649" s="69" t="s">
        <v>2455</v>
      </c>
      <c r="BK649" s="66">
        <v>-7020</v>
      </c>
    </row>
    <row r="650" spans="61:63">
      <c r="BI650" s="69">
        <v>94111502</v>
      </c>
      <c r="BJ650" s="69" t="s">
        <v>1741</v>
      </c>
      <c r="BK650" s="66">
        <v>34964</v>
      </c>
    </row>
    <row r="651" spans="61:63">
      <c r="BI651" s="69">
        <v>94112512</v>
      </c>
      <c r="BJ651" s="69" t="s">
        <v>2456</v>
      </c>
      <c r="BK651" s="66">
        <v>-7020</v>
      </c>
    </row>
    <row r="652" spans="61:63">
      <c r="BI652" s="69">
        <v>94112901</v>
      </c>
      <c r="BJ652" s="69" t="s">
        <v>2455</v>
      </c>
      <c r="BK652" s="66">
        <v>-7020</v>
      </c>
    </row>
    <row r="653" spans="61:63">
      <c r="BI653" s="69">
        <v>94113002</v>
      </c>
      <c r="BJ653" s="69" t="s">
        <v>1742</v>
      </c>
      <c r="BK653" s="66">
        <v>-13465</v>
      </c>
    </row>
    <row r="654" spans="61:63">
      <c r="BI654" s="69">
        <v>94113003</v>
      </c>
      <c r="BJ654" s="69" t="s">
        <v>1742</v>
      </c>
      <c r="BK654" s="66">
        <v>-37591</v>
      </c>
    </row>
    <row r="655" spans="61:63">
      <c r="BI655" s="69">
        <v>94113006</v>
      </c>
      <c r="BJ655" s="69" t="s">
        <v>2968</v>
      </c>
      <c r="BK655" s="66">
        <v>3000</v>
      </c>
    </row>
    <row r="656" spans="61:63">
      <c r="BI656" s="69">
        <v>94113008</v>
      </c>
      <c r="BJ656" s="69" t="s">
        <v>1743</v>
      </c>
      <c r="BK656" s="66">
        <v>-21800</v>
      </c>
    </row>
    <row r="657" spans="61:63">
      <c r="BI657" s="69">
        <v>94113007</v>
      </c>
      <c r="BJ657" s="69" t="s">
        <v>2599</v>
      </c>
      <c r="BK657" s="66">
        <v>450</v>
      </c>
    </row>
    <row r="658" spans="61:63">
      <c r="BI658" s="69">
        <v>94113007</v>
      </c>
      <c r="BJ658" s="69" t="s">
        <v>1744</v>
      </c>
      <c r="BK658" s="66">
        <v>-1418</v>
      </c>
    </row>
    <row r="659" spans="61:63">
      <c r="BI659" s="69">
        <v>94120503</v>
      </c>
      <c r="BJ659" s="69" t="s">
        <v>2967</v>
      </c>
      <c r="BK659" s="66">
        <v>-127000</v>
      </c>
    </row>
    <row r="660" spans="61:63">
      <c r="BI660" s="69">
        <v>94121203</v>
      </c>
      <c r="BJ660" s="69" t="s">
        <v>2475</v>
      </c>
      <c r="BK660" s="66">
        <v>-7070</v>
      </c>
    </row>
    <row r="661" spans="61:63">
      <c r="BI661" s="69" t="s">
        <v>1745</v>
      </c>
      <c r="BJ661" s="69" t="s">
        <v>304</v>
      </c>
      <c r="BK661" s="66">
        <v>3768</v>
      </c>
    </row>
    <row r="662" spans="61:63">
      <c r="BI662" s="69">
        <v>94122102</v>
      </c>
      <c r="BJ662" s="69" t="s">
        <v>1297</v>
      </c>
      <c r="BK662" s="66">
        <v>28</v>
      </c>
    </row>
    <row r="663" spans="61:63">
      <c r="BI663" s="69">
        <v>94122702</v>
      </c>
      <c r="BJ663" s="69" t="s">
        <v>1746</v>
      </c>
      <c r="BK663" s="66">
        <v>22246</v>
      </c>
    </row>
    <row r="664" spans="61:63">
      <c r="BI664" s="69">
        <v>94123101</v>
      </c>
      <c r="BJ664" s="69" t="s">
        <v>2600</v>
      </c>
      <c r="BK664" s="66">
        <v>1146</v>
      </c>
    </row>
    <row r="665" spans="61:63">
      <c r="BI665" s="69">
        <v>94123101</v>
      </c>
      <c r="BJ665" s="69" t="s">
        <v>2598</v>
      </c>
      <c r="BK665" s="66">
        <v>-1725</v>
      </c>
    </row>
    <row r="666" spans="61:63">
      <c r="BI666" s="69">
        <v>94123101</v>
      </c>
      <c r="BJ666" s="69" t="s">
        <v>1747</v>
      </c>
      <c r="BK666" s="66">
        <v>-1418</v>
      </c>
    </row>
    <row r="667" spans="61:63">
      <c r="BI667" s="69">
        <v>94123102</v>
      </c>
      <c r="BJ667" s="69" t="s">
        <v>2593</v>
      </c>
      <c r="BK667" s="66">
        <v>-21800</v>
      </c>
    </row>
    <row r="668" spans="61:63">
      <c r="BI668" s="69">
        <v>94123105</v>
      </c>
      <c r="BJ668" s="69" t="s">
        <v>1748</v>
      </c>
      <c r="BK668" s="66">
        <v>-90896</v>
      </c>
    </row>
    <row r="669" spans="61:63">
      <c r="BI669" s="69">
        <v>94123106</v>
      </c>
      <c r="BJ669" s="69" t="s">
        <v>1749</v>
      </c>
      <c r="BK669" s="66">
        <v>-372000</v>
      </c>
    </row>
    <row r="670" spans="61:63">
      <c r="BI670" s="69">
        <v>94083102</v>
      </c>
      <c r="BJ670" s="69" t="s">
        <v>1750</v>
      </c>
      <c r="BK670" s="66">
        <v>-1418</v>
      </c>
    </row>
    <row r="671" spans="61:63">
      <c r="BK671" s="87"/>
    </row>
    <row r="672" spans="61:63">
      <c r="BI672" s="68" t="s">
        <v>305</v>
      </c>
      <c r="BJ672" s="68"/>
      <c r="BK672" s="88">
        <f>SUM(BK673)</f>
        <v>-54566</v>
      </c>
    </row>
    <row r="673" spans="61:63">
      <c r="BJ673" s="84" t="s">
        <v>2966</v>
      </c>
      <c r="BK673" s="87">
        <v>-54566</v>
      </c>
    </row>
    <row r="674" spans="61:63">
      <c r="BK674" s="87"/>
    </row>
    <row r="675" spans="61:63">
      <c r="BI675" s="68" t="s">
        <v>306</v>
      </c>
      <c r="BJ675" s="68"/>
      <c r="BK675" s="88">
        <f>SUM(BK676)</f>
        <v>-217645</v>
      </c>
    </row>
    <row r="676" spans="61:63">
      <c r="BK676" s="87">
        <v>-217645</v>
      </c>
    </row>
    <row r="677" spans="61:63">
      <c r="BK677" s="87"/>
    </row>
    <row r="678" spans="61:63">
      <c r="BI678" s="68" t="s">
        <v>307</v>
      </c>
      <c r="BJ678" s="68"/>
      <c r="BK678" s="88">
        <f>SUM(BK679:BK704)</f>
        <v>-27253</v>
      </c>
    </row>
    <row r="679" spans="61:63">
      <c r="BI679" s="84"/>
      <c r="BJ679" s="84" t="s">
        <v>2966</v>
      </c>
      <c r="BK679" s="89">
        <v>-38640</v>
      </c>
    </row>
    <row r="680" spans="61:63">
      <c r="BI680" s="69">
        <v>94013104</v>
      </c>
      <c r="BJ680" s="69" t="s">
        <v>308</v>
      </c>
      <c r="BK680" s="69">
        <v>206</v>
      </c>
    </row>
    <row r="681" spans="61:63">
      <c r="BI681" s="69">
        <v>94013104</v>
      </c>
      <c r="BJ681" s="69" t="s">
        <v>309</v>
      </c>
      <c r="BK681" s="69">
        <v>648</v>
      </c>
    </row>
    <row r="682" spans="61:63">
      <c r="BI682" s="69">
        <v>94022804</v>
      </c>
      <c r="BJ682" s="69" t="s">
        <v>310</v>
      </c>
      <c r="BK682" s="69">
        <v>206</v>
      </c>
    </row>
    <row r="683" spans="61:63">
      <c r="BI683" s="69">
        <v>94022804</v>
      </c>
      <c r="BJ683" s="69" t="s">
        <v>311</v>
      </c>
      <c r="BK683" s="69">
        <v>648</v>
      </c>
    </row>
    <row r="684" spans="61:63">
      <c r="BI684" s="69">
        <v>94033008</v>
      </c>
      <c r="BJ684" s="69" t="s">
        <v>312</v>
      </c>
      <c r="BK684" s="69">
        <v>206</v>
      </c>
    </row>
    <row r="685" spans="61:63">
      <c r="BI685" s="69">
        <v>94033008</v>
      </c>
      <c r="BJ685" s="69" t="s">
        <v>313</v>
      </c>
      <c r="BK685" s="69">
        <v>648</v>
      </c>
    </row>
    <row r="686" spans="61:63">
      <c r="BI686" s="69">
        <v>94043006</v>
      </c>
      <c r="BJ686" s="69" t="s">
        <v>314</v>
      </c>
      <c r="BK686" s="69">
        <v>206</v>
      </c>
    </row>
    <row r="687" spans="61:63">
      <c r="BI687" s="69">
        <v>94043006</v>
      </c>
      <c r="BJ687" s="69" t="s">
        <v>315</v>
      </c>
      <c r="BK687" s="69">
        <v>648</v>
      </c>
    </row>
    <row r="688" spans="61:63">
      <c r="BI688" s="69">
        <v>94053005</v>
      </c>
      <c r="BJ688" s="69" t="s">
        <v>322</v>
      </c>
      <c r="BK688" s="69">
        <v>206</v>
      </c>
    </row>
    <row r="689" spans="61:63">
      <c r="BI689" s="69">
        <v>94053005</v>
      </c>
      <c r="BJ689" s="69" t="s">
        <v>323</v>
      </c>
      <c r="BK689" s="69">
        <v>648</v>
      </c>
    </row>
    <row r="690" spans="61:63">
      <c r="BI690" s="69">
        <v>94063012</v>
      </c>
      <c r="BJ690" s="69" t="s">
        <v>324</v>
      </c>
      <c r="BK690" s="69">
        <v>206</v>
      </c>
    </row>
    <row r="691" spans="61:63">
      <c r="BI691" s="69">
        <v>94063012</v>
      </c>
      <c r="BJ691" s="69" t="s">
        <v>325</v>
      </c>
      <c r="BK691" s="69">
        <v>648</v>
      </c>
    </row>
    <row r="692" spans="61:63">
      <c r="BI692" s="69">
        <v>94073003</v>
      </c>
      <c r="BJ692" s="69" t="s">
        <v>326</v>
      </c>
      <c r="BK692" s="69">
        <v>206</v>
      </c>
    </row>
    <row r="693" spans="61:63" hidden="1">
      <c r="BI693" s="69">
        <v>94073003</v>
      </c>
      <c r="BJ693" s="69" t="s">
        <v>327</v>
      </c>
      <c r="BK693" s="69">
        <v>648</v>
      </c>
    </row>
    <row r="694" spans="61:63" hidden="1">
      <c r="BI694" s="69">
        <v>94083104</v>
      </c>
      <c r="BJ694" s="69" t="s">
        <v>328</v>
      </c>
      <c r="BK694" s="69">
        <v>206</v>
      </c>
    </row>
    <row r="695" spans="61:63" hidden="1">
      <c r="BI695" s="69">
        <v>94083104</v>
      </c>
      <c r="BJ695" s="69" t="s">
        <v>329</v>
      </c>
      <c r="BK695" s="69">
        <v>648</v>
      </c>
    </row>
    <row r="696" spans="61:63" hidden="1">
      <c r="BI696" s="69">
        <v>94093003</v>
      </c>
      <c r="BJ696" s="69" t="s">
        <v>330</v>
      </c>
      <c r="BK696" s="69">
        <v>206</v>
      </c>
    </row>
    <row r="697" spans="61:63" hidden="1">
      <c r="BI697" s="69">
        <v>94093003</v>
      </c>
      <c r="BJ697" s="69" t="s">
        <v>331</v>
      </c>
      <c r="BK697" s="69">
        <v>648</v>
      </c>
    </row>
    <row r="698" spans="61:63" hidden="1">
      <c r="BI698" s="69">
        <v>94103004</v>
      </c>
      <c r="BJ698" s="69" t="s">
        <v>332</v>
      </c>
      <c r="BK698" s="69">
        <v>206</v>
      </c>
    </row>
    <row r="699" spans="61:63" hidden="1">
      <c r="BI699" s="69">
        <v>94103004</v>
      </c>
      <c r="BJ699" s="69" t="s">
        <v>1736</v>
      </c>
      <c r="BK699" s="69">
        <v>648</v>
      </c>
    </row>
    <row r="700" spans="61:63" hidden="1">
      <c r="BI700" s="69">
        <v>94113009</v>
      </c>
      <c r="BJ700" s="69" t="s">
        <v>1681</v>
      </c>
      <c r="BK700" s="69">
        <v>206</v>
      </c>
    </row>
    <row r="701" spans="61:63" hidden="1">
      <c r="BI701" s="69">
        <v>94113009</v>
      </c>
      <c r="BJ701" s="69" t="s">
        <v>1683</v>
      </c>
      <c r="BK701" s="69">
        <v>648</v>
      </c>
    </row>
    <row r="702" spans="61:63" hidden="1">
      <c r="BI702" s="69">
        <v>94121508</v>
      </c>
      <c r="BJ702" s="69" t="s">
        <v>333</v>
      </c>
      <c r="BK702" s="90">
        <v>1139</v>
      </c>
    </row>
    <row r="703" spans="61:63" hidden="1">
      <c r="BI703" s="69">
        <v>94123103</v>
      </c>
      <c r="BJ703" s="69" t="s">
        <v>1682</v>
      </c>
      <c r="BK703" s="69">
        <v>206</v>
      </c>
    </row>
    <row r="704" spans="61:63" hidden="1">
      <c r="BI704" s="69">
        <v>94123103</v>
      </c>
      <c r="BJ704" s="69" t="s">
        <v>1684</v>
      </c>
      <c r="BK704" s="69">
        <v>648</v>
      </c>
    </row>
    <row r="705" hidden="1"/>
    <row r="706" hidden="1"/>
    <row r="707" hidden="1"/>
    <row r="708" hidden="1"/>
    <row r="709" hidden="1"/>
    <row r="710" hidden="1"/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68"/>
  <sheetViews>
    <sheetView topLeftCell="A79" workbookViewId="0">
      <selection sqref="A1:A168"/>
    </sheetView>
  </sheetViews>
  <sheetFormatPr defaultRowHeight="16.5"/>
  <sheetData>
    <row r="1" spans="1:1">
      <c r="A1">
        <v>20475</v>
      </c>
    </row>
    <row r="2" spans="1:1">
      <c r="A2">
        <v>20475</v>
      </c>
    </row>
    <row r="3" spans="1:1">
      <c r="A3">
        <v>20475</v>
      </c>
    </row>
    <row r="4" spans="1:1">
      <c r="A4">
        <v>20475</v>
      </c>
    </row>
    <row r="5" spans="1:1">
      <c r="A5">
        <v>20475</v>
      </c>
    </row>
    <row r="6" spans="1:1">
      <c r="A6">
        <v>20475</v>
      </c>
    </row>
    <row r="7" spans="1:1">
      <c r="A7">
        <v>20475</v>
      </c>
    </row>
    <row r="8" spans="1:1">
      <c r="A8">
        <v>20475</v>
      </c>
    </row>
    <row r="9" spans="1:1">
      <c r="A9">
        <v>20475</v>
      </c>
    </row>
    <row r="10" spans="1:1">
      <c r="A10">
        <v>20475</v>
      </c>
    </row>
    <row r="11" spans="1:1">
      <c r="A11">
        <v>20475</v>
      </c>
    </row>
    <row r="12" spans="1:1">
      <c r="A12">
        <v>20475</v>
      </c>
    </row>
    <row r="13" spans="1:1">
      <c r="A13">
        <v>20475</v>
      </c>
    </row>
    <row r="14" spans="1:1">
      <c r="A14">
        <v>20475</v>
      </c>
    </row>
    <row r="15" spans="1:1">
      <c r="A15">
        <v>20475</v>
      </c>
    </row>
    <row r="16" spans="1:1">
      <c r="A16">
        <v>20475</v>
      </c>
    </row>
    <row r="17" spans="1:1">
      <c r="A17">
        <v>20475</v>
      </c>
    </row>
    <row r="18" spans="1:1">
      <c r="A18">
        <v>20475</v>
      </c>
    </row>
    <row r="19" spans="1:1">
      <c r="A19">
        <v>20475</v>
      </c>
    </row>
    <row r="20" spans="1:1">
      <c r="A20">
        <v>20475</v>
      </c>
    </row>
    <row r="21" spans="1:1">
      <c r="A21">
        <v>20475</v>
      </c>
    </row>
    <row r="22" spans="1:1">
      <c r="A22">
        <v>17325</v>
      </c>
    </row>
    <row r="23" spans="1:1">
      <c r="A23">
        <v>17325</v>
      </c>
    </row>
    <row r="24" spans="1:1">
      <c r="A24">
        <v>17325</v>
      </c>
    </row>
    <row r="25" spans="1:1">
      <c r="A25">
        <v>17325</v>
      </c>
    </row>
    <row r="26" spans="1:1">
      <c r="A26">
        <v>17325</v>
      </c>
    </row>
    <row r="27" spans="1:1">
      <c r="A27">
        <v>17325</v>
      </c>
    </row>
    <row r="28" spans="1:1">
      <c r="A28">
        <v>17325</v>
      </c>
    </row>
    <row r="29" spans="1:1">
      <c r="A29">
        <v>17325</v>
      </c>
    </row>
    <row r="30" spans="1:1">
      <c r="A30">
        <v>17325</v>
      </c>
    </row>
    <row r="31" spans="1:1">
      <c r="A31">
        <v>17325</v>
      </c>
    </row>
    <row r="32" spans="1:1">
      <c r="A32">
        <v>17325</v>
      </c>
    </row>
    <row r="33" spans="1:1">
      <c r="A33">
        <v>16380</v>
      </c>
    </row>
    <row r="34" spans="1:1">
      <c r="A34">
        <v>16380</v>
      </c>
    </row>
    <row r="35" spans="1:1">
      <c r="A35">
        <v>16380</v>
      </c>
    </row>
    <row r="36" spans="1:1">
      <c r="A36">
        <v>16380</v>
      </c>
    </row>
    <row r="37" spans="1:1">
      <c r="A37">
        <v>16380</v>
      </c>
    </row>
    <row r="38" spans="1:1">
      <c r="A38">
        <v>16380</v>
      </c>
    </row>
    <row r="39" spans="1:1">
      <c r="A39">
        <v>16380</v>
      </c>
    </row>
    <row r="40" spans="1:1">
      <c r="A40">
        <v>14175</v>
      </c>
    </row>
    <row r="41" spans="1:1">
      <c r="A41">
        <v>14175</v>
      </c>
    </row>
    <row r="42" spans="1:1">
      <c r="A42">
        <v>14175</v>
      </c>
    </row>
    <row r="43" spans="1:1">
      <c r="A43">
        <v>14175</v>
      </c>
    </row>
    <row r="44" spans="1:1">
      <c r="A44">
        <v>14175</v>
      </c>
    </row>
    <row r="45" spans="1:1">
      <c r="A45">
        <v>14175</v>
      </c>
    </row>
    <row r="46" spans="1:1">
      <c r="A46">
        <v>14175</v>
      </c>
    </row>
    <row r="47" spans="1:1">
      <c r="A47">
        <v>14175</v>
      </c>
    </row>
    <row r="48" spans="1:1">
      <c r="A48">
        <v>14175</v>
      </c>
    </row>
    <row r="49" spans="1:1">
      <c r="A49">
        <v>14175</v>
      </c>
    </row>
    <row r="50" spans="1:1">
      <c r="A50">
        <v>14175</v>
      </c>
    </row>
    <row r="51" spans="1:1">
      <c r="A51">
        <v>14175</v>
      </c>
    </row>
    <row r="52" spans="1:1">
      <c r="A52">
        <v>14175</v>
      </c>
    </row>
    <row r="53" spans="1:1">
      <c r="A53">
        <v>14175</v>
      </c>
    </row>
    <row r="54" spans="1:1">
      <c r="A54">
        <v>14175</v>
      </c>
    </row>
    <row r="55" spans="1:1">
      <c r="A55">
        <v>14175</v>
      </c>
    </row>
    <row r="56" spans="1:1">
      <c r="A56">
        <v>14175</v>
      </c>
    </row>
    <row r="57" spans="1:1">
      <c r="A57">
        <v>12600</v>
      </c>
    </row>
    <row r="58" spans="1:1">
      <c r="A58">
        <v>12600</v>
      </c>
    </row>
    <row r="59" spans="1:1">
      <c r="A59">
        <v>12600</v>
      </c>
    </row>
    <row r="60" spans="1:1">
      <c r="A60">
        <v>12600</v>
      </c>
    </row>
    <row r="61" spans="1:1">
      <c r="A61">
        <v>12600</v>
      </c>
    </row>
    <row r="62" spans="1:1">
      <c r="A62">
        <v>12600</v>
      </c>
    </row>
    <row r="63" spans="1:1">
      <c r="A63">
        <v>12600</v>
      </c>
    </row>
    <row r="64" spans="1:1">
      <c r="A64">
        <v>12600</v>
      </c>
    </row>
    <row r="65" spans="1:1">
      <c r="A65">
        <v>12600</v>
      </c>
    </row>
    <row r="66" spans="1:1">
      <c r="A66">
        <v>12600</v>
      </c>
    </row>
    <row r="67" spans="1:1">
      <c r="A67">
        <v>12600</v>
      </c>
    </row>
    <row r="68" spans="1:1">
      <c r="A68">
        <v>12600</v>
      </c>
    </row>
    <row r="69" spans="1:1">
      <c r="A69">
        <v>12000</v>
      </c>
    </row>
    <row r="70" spans="1:1">
      <c r="A70">
        <v>12000</v>
      </c>
    </row>
    <row r="71" spans="1:1">
      <c r="A71">
        <v>12000</v>
      </c>
    </row>
    <row r="72" spans="1:1">
      <c r="A72">
        <v>12000</v>
      </c>
    </row>
    <row r="73" spans="1:1">
      <c r="A73">
        <v>12000</v>
      </c>
    </row>
    <row r="74" spans="1:1">
      <c r="A74">
        <v>11970</v>
      </c>
    </row>
    <row r="75" spans="1:1">
      <c r="A75">
        <v>11970</v>
      </c>
    </row>
    <row r="76" spans="1:1">
      <c r="A76">
        <v>11970</v>
      </c>
    </row>
    <row r="77" spans="1:1">
      <c r="A77">
        <v>11970</v>
      </c>
    </row>
    <row r="78" spans="1:1">
      <c r="A78">
        <v>11970</v>
      </c>
    </row>
    <row r="79" spans="1:1">
      <c r="A79">
        <v>11970</v>
      </c>
    </row>
    <row r="80" spans="1:1">
      <c r="A80">
        <v>11400</v>
      </c>
    </row>
    <row r="81" spans="1:1">
      <c r="A81">
        <v>11400</v>
      </c>
    </row>
    <row r="82" spans="1:1">
      <c r="A82">
        <v>11400</v>
      </c>
    </row>
    <row r="83" spans="1:1">
      <c r="A83">
        <v>11400</v>
      </c>
    </row>
    <row r="84" spans="1:1">
      <c r="A84">
        <v>3360</v>
      </c>
    </row>
    <row r="85" spans="1:1">
      <c r="A85">
        <v>3360</v>
      </c>
    </row>
    <row r="86" spans="1:1">
      <c r="A86">
        <v>3360</v>
      </c>
    </row>
    <row r="87" spans="1:1">
      <c r="A87">
        <v>3360</v>
      </c>
    </row>
    <row r="88" spans="1:1">
      <c r="A88">
        <v>3360</v>
      </c>
    </row>
    <row r="89" spans="1:1">
      <c r="A89">
        <v>3360</v>
      </c>
    </row>
    <row r="90" spans="1:1">
      <c r="A90">
        <v>3360</v>
      </c>
    </row>
    <row r="91" spans="1:1">
      <c r="A91">
        <v>0</v>
      </c>
    </row>
    <row r="92" spans="1:1">
      <c r="A92">
        <v>0</v>
      </c>
    </row>
    <row r="93" spans="1:1">
      <c r="A93">
        <v>0</v>
      </c>
    </row>
    <row r="94" spans="1:1">
      <c r="A94">
        <v>0</v>
      </c>
    </row>
    <row r="95" spans="1:1">
      <c r="A95">
        <v>0</v>
      </c>
    </row>
    <row r="96" spans="1:1">
      <c r="A96">
        <v>0</v>
      </c>
    </row>
    <row r="97" spans="1:1">
      <c r="A97">
        <v>0</v>
      </c>
    </row>
    <row r="98" spans="1:1">
      <c r="A98">
        <v>0</v>
      </c>
    </row>
    <row r="99" spans="1:1">
      <c r="A99">
        <v>0</v>
      </c>
    </row>
    <row r="100" spans="1:1">
      <c r="A100">
        <v>0</v>
      </c>
    </row>
    <row r="101" spans="1:1">
      <c r="A101">
        <v>0</v>
      </c>
    </row>
    <row r="102" spans="1:1">
      <c r="A102">
        <v>0</v>
      </c>
    </row>
    <row r="103" spans="1:1">
      <c r="A103">
        <v>0</v>
      </c>
    </row>
    <row r="104" spans="1:1">
      <c r="A104">
        <v>0</v>
      </c>
    </row>
    <row r="105" spans="1:1">
      <c r="A105">
        <v>0</v>
      </c>
    </row>
    <row r="106" spans="1:1">
      <c r="A106">
        <v>0</v>
      </c>
    </row>
    <row r="107" spans="1:1">
      <c r="A107">
        <v>0</v>
      </c>
    </row>
    <row r="108" spans="1:1">
      <c r="A108">
        <v>0</v>
      </c>
    </row>
    <row r="109" spans="1:1">
      <c r="A109">
        <v>0</v>
      </c>
    </row>
    <row r="110" spans="1:1">
      <c r="A110">
        <v>0</v>
      </c>
    </row>
    <row r="111" spans="1:1">
      <c r="A111">
        <v>0</v>
      </c>
    </row>
    <row r="112" spans="1:1">
      <c r="A112">
        <v>0</v>
      </c>
    </row>
    <row r="113" spans="1:1">
      <c r="A113">
        <v>0</v>
      </c>
    </row>
    <row r="114" spans="1:1">
      <c r="A114">
        <v>0</v>
      </c>
    </row>
    <row r="115" spans="1:1">
      <c r="A115">
        <v>0</v>
      </c>
    </row>
    <row r="116" spans="1:1">
      <c r="A116">
        <v>0</v>
      </c>
    </row>
    <row r="117" spans="1:1">
      <c r="A117">
        <v>0</v>
      </c>
    </row>
    <row r="118" spans="1:1">
      <c r="A118">
        <v>0</v>
      </c>
    </row>
    <row r="119" spans="1:1">
      <c r="A119">
        <v>0</v>
      </c>
    </row>
    <row r="120" spans="1:1">
      <c r="A120">
        <v>0</v>
      </c>
    </row>
    <row r="121" spans="1:1">
      <c r="A121">
        <v>0</v>
      </c>
    </row>
    <row r="122" spans="1:1">
      <c r="A122">
        <v>0</v>
      </c>
    </row>
    <row r="123" spans="1:1">
      <c r="A123">
        <v>0</v>
      </c>
    </row>
    <row r="124" spans="1:1">
      <c r="A124">
        <v>0</v>
      </c>
    </row>
    <row r="125" spans="1:1">
      <c r="A125">
        <v>0</v>
      </c>
    </row>
    <row r="126" spans="1:1">
      <c r="A126">
        <v>0</v>
      </c>
    </row>
    <row r="127" spans="1:1">
      <c r="A127">
        <v>0</v>
      </c>
    </row>
    <row r="128" spans="1:1">
      <c r="A128">
        <v>0</v>
      </c>
    </row>
    <row r="129" spans="1:1">
      <c r="A129">
        <v>0</v>
      </c>
    </row>
    <row r="130" spans="1:1">
      <c r="A130">
        <v>0</v>
      </c>
    </row>
    <row r="131" spans="1:1">
      <c r="A131">
        <v>0</v>
      </c>
    </row>
    <row r="132" spans="1:1">
      <c r="A132">
        <v>0</v>
      </c>
    </row>
    <row r="133" spans="1:1">
      <c r="A133">
        <v>0</v>
      </c>
    </row>
    <row r="134" spans="1:1">
      <c r="A134">
        <v>0</v>
      </c>
    </row>
    <row r="135" spans="1:1">
      <c r="A135">
        <v>0</v>
      </c>
    </row>
    <row r="136" spans="1:1">
      <c r="A136">
        <v>0</v>
      </c>
    </row>
    <row r="137" spans="1:1">
      <c r="A137">
        <v>0</v>
      </c>
    </row>
    <row r="138" spans="1:1">
      <c r="A138">
        <v>0</v>
      </c>
    </row>
    <row r="139" spans="1:1">
      <c r="A139">
        <v>0</v>
      </c>
    </row>
    <row r="140" spans="1:1">
      <c r="A140">
        <v>0</v>
      </c>
    </row>
    <row r="141" spans="1:1">
      <c r="A141">
        <v>0</v>
      </c>
    </row>
    <row r="142" spans="1:1">
      <c r="A142">
        <v>0</v>
      </c>
    </row>
    <row r="143" spans="1:1">
      <c r="A143">
        <v>0</v>
      </c>
    </row>
    <row r="144" spans="1:1">
      <c r="A144">
        <v>0</v>
      </c>
    </row>
    <row r="145" spans="1:1">
      <c r="A145">
        <v>0</v>
      </c>
    </row>
    <row r="146" spans="1:1">
      <c r="A146">
        <v>0</v>
      </c>
    </row>
    <row r="147" spans="1:1">
      <c r="A147">
        <v>0</v>
      </c>
    </row>
    <row r="148" spans="1:1">
      <c r="A148">
        <v>0</v>
      </c>
    </row>
    <row r="149" spans="1:1">
      <c r="A149">
        <v>0</v>
      </c>
    </row>
    <row r="150" spans="1:1">
      <c r="A150">
        <v>0</v>
      </c>
    </row>
    <row r="151" spans="1:1">
      <c r="A151">
        <v>0</v>
      </c>
    </row>
    <row r="152" spans="1:1">
      <c r="A152">
        <v>0</v>
      </c>
    </row>
    <row r="153" spans="1:1">
      <c r="A153">
        <v>0</v>
      </c>
    </row>
    <row r="154" spans="1:1">
      <c r="A154">
        <v>0</v>
      </c>
    </row>
    <row r="155" spans="1:1">
      <c r="A155">
        <v>0</v>
      </c>
    </row>
    <row r="156" spans="1:1">
      <c r="A156">
        <v>0</v>
      </c>
    </row>
    <row r="157" spans="1:1">
      <c r="A157">
        <v>0</v>
      </c>
    </row>
    <row r="158" spans="1:1">
      <c r="A158">
        <v>0</v>
      </c>
    </row>
    <row r="159" spans="1:1">
      <c r="A159">
        <v>0</v>
      </c>
    </row>
    <row r="160" spans="1:1">
      <c r="A160">
        <v>0</v>
      </c>
    </row>
    <row r="161" spans="1:1">
      <c r="A161">
        <v>0</v>
      </c>
    </row>
    <row r="162" spans="1:1">
      <c r="A162">
        <v>0</v>
      </c>
    </row>
    <row r="163" spans="1:1">
      <c r="A163">
        <v>0</v>
      </c>
    </row>
    <row r="164" spans="1:1">
      <c r="A164">
        <v>0</v>
      </c>
    </row>
    <row r="165" spans="1:1">
      <c r="A165">
        <v>0</v>
      </c>
    </row>
    <row r="166" spans="1:1">
      <c r="A166">
        <v>0</v>
      </c>
    </row>
    <row r="167" spans="1:1">
      <c r="A167">
        <v>0</v>
      </c>
    </row>
    <row r="168" spans="1:1">
      <c r="A168">
        <v>0</v>
      </c>
    </row>
  </sheetData>
  <sortState ref="A1:A168">
    <sortCondition descending="1" ref="A1:A168"/>
  </sortState>
  <phoneticPr fontId="3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517"/>
  <sheetViews>
    <sheetView topLeftCell="D1162" zoomScale="80" zoomScaleNormal="80" workbookViewId="0">
      <pane ySplit="525" topLeftCell="A1154" activePane="bottomLeft"/>
      <selection activeCell="A1317" sqref="A1317:IV1317"/>
      <selection pane="bottomLeft" activeCell="I1161" sqref="I1161"/>
    </sheetView>
  </sheetViews>
  <sheetFormatPr defaultRowHeight="16.5"/>
  <cols>
    <col min="1" max="1" width="11.125" style="95" customWidth="1"/>
    <col min="2" max="2" width="10.625" style="179" customWidth="1"/>
    <col min="3" max="3" width="11" style="179" customWidth="1"/>
    <col min="4" max="4" width="7.875" style="179" customWidth="1"/>
    <col min="5" max="5" width="19.25" style="179" customWidth="1"/>
    <col min="6" max="6" width="10.75" style="179" customWidth="1"/>
    <col min="7" max="9" width="10.25" style="179" customWidth="1"/>
    <col min="10" max="11" width="10.125" style="179" bestFit="1" customWidth="1"/>
    <col min="12" max="13" width="10.125" style="179" customWidth="1"/>
    <col min="14" max="14" width="10.125" style="179" bestFit="1" customWidth="1"/>
    <col min="15" max="15" width="11.5" style="179" bestFit="1" customWidth="1"/>
    <col min="16" max="16" width="10.625" style="179" customWidth="1"/>
    <col min="17" max="17" width="11.25" style="3" customWidth="1"/>
    <col min="18" max="19" width="10.625" customWidth="1"/>
    <col min="20" max="20" width="9" style="3" customWidth="1"/>
    <col min="21" max="21" width="13.25" bestFit="1" customWidth="1"/>
  </cols>
  <sheetData>
    <row r="1" spans="1:20">
      <c r="A1" t="s">
        <v>2117</v>
      </c>
      <c r="B1"/>
      <c r="C1" s="64" t="e">
        <f>#REF!+#REF!</f>
        <v>#REF!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T1"/>
    </row>
    <row r="2" spans="1:20" s="114" customFormat="1">
      <c r="A2" s="114" t="s">
        <v>3638</v>
      </c>
      <c r="B2" s="211"/>
      <c r="C2" s="211"/>
      <c r="D2" s="211"/>
      <c r="E2" s="211" t="s">
        <v>2917</v>
      </c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T2" s="211"/>
    </row>
    <row r="3" spans="1:20" s="7" customFormat="1">
      <c r="A3" s="7" t="s">
        <v>2122</v>
      </c>
      <c r="C3" s="172">
        <f>Q141</f>
        <v>1286910</v>
      </c>
      <c r="D3" s="165"/>
      <c r="E3" s="163" t="s">
        <v>2530</v>
      </c>
      <c r="F3" s="335">
        <v>1638675</v>
      </c>
      <c r="J3" s="165"/>
      <c r="K3" s="165"/>
      <c r="L3" s="165"/>
      <c r="M3" s="165"/>
      <c r="N3" s="165"/>
      <c r="O3" s="165"/>
      <c r="Q3" s="165"/>
      <c r="T3" s="165"/>
    </row>
    <row r="4" spans="1:20" s="7" customFormat="1">
      <c r="A4" s="7" t="s">
        <v>2123</v>
      </c>
      <c r="C4" s="172">
        <f>T141</f>
        <v>345</v>
      </c>
      <c r="D4" s="165"/>
      <c r="E4" s="7" t="s">
        <v>2125</v>
      </c>
      <c r="F4" s="172">
        <f>G281</f>
        <v>2736915</v>
      </c>
      <c r="J4" s="165"/>
      <c r="K4" s="165"/>
      <c r="L4" s="165"/>
      <c r="M4" s="165"/>
      <c r="N4" s="165"/>
      <c r="O4" s="165"/>
      <c r="Q4" s="165"/>
      <c r="T4" s="165"/>
    </row>
    <row r="5" spans="1:20" s="7" customFormat="1">
      <c r="A5" s="7" t="s">
        <v>2124</v>
      </c>
      <c r="C5" s="172">
        <f>R141</f>
        <v>1241205</v>
      </c>
      <c r="D5" s="165"/>
      <c r="E5" s="7" t="s">
        <v>2127</v>
      </c>
      <c r="F5" s="188">
        <v>2046262</v>
      </c>
      <c r="J5" s="165"/>
      <c r="K5" s="165"/>
      <c r="L5" s="165"/>
      <c r="M5" s="165"/>
      <c r="N5" s="165"/>
      <c r="O5" s="165"/>
      <c r="Q5" s="165"/>
      <c r="T5" s="165"/>
    </row>
    <row r="6" spans="1:20" s="7" customFormat="1">
      <c r="A6" s="7" t="s">
        <v>248</v>
      </c>
      <c r="C6" s="146">
        <f>C5-C7</f>
        <v>1212915</v>
      </c>
      <c r="D6" s="165"/>
      <c r="E6" s="7" t="s">
        <v>2128</v>
      </c>
      <c r="F6" s="188">
        <v>45360</v>
      </c>
      <c r="G6" s="164"/>
      <c r="H6" s="164"/>
      <c r="I6" s="164"/>
      <c r="J6" s="165"/>
      <c r="K6" s="165"/>
      <c r="L6" s="165"/>
      <c r="M6" s="165"/>
      <c r="N6" s="165"/>
      <c r="O6" s="165"/>
      <c r="Q6" s="165"/>
      <c r="T6" s="165"/>
    </row>
    <row r="7" spans="1:20" s="7" customFormat="1">
      <c r="A7" s="219" t="s">
        <v>245</v>
      </c>
      <c r="C7" s="172">
        <f>14145+14145</f>
        <v>28290</v>
      </c>
      <c r="D7" s="165"/>
      <c r="E7" s="219" t="s">
        <v>2126</v>
      </c>
      <c r="F7" s="188">
        <f>F3+F4-F5-F6</f>
        <v>2283968</v>
      </c>
      <c r="G7" s="164"/>
      <c r="H7" s="164"/>
      <c r="I7" s="164"/>
      <c r="J7" s="165"/>
      <c r="K7" s="165"/>
      <c r="L7" s="165"/>
      <c r="M7" s="165"/>
      <c r="N7" s="165"/>
      <c r="O7" s="165"/>
      <c r="Q7" s="165"/>
      <c r="T7" s="165"/>
    </row>
    <row r="8" spans="1:20" s="114" customFormat="1" ht="9.75" customHeight="1">
      <c r="A8" s="223"/>
      <c r="B8" s="211"/>
      <c r="C8" s="224"/>
      <c r="D8" s="211"/>
      <c r="F8" s="224"/>
      <c r="G8" s="225"/>
      <c r="H8" s="225"/>
      <c r="I8" s="225"/>
      <c r="J8" s="211"/>
      <c r="K8" s="211"/>
      <c r="L8" s="211"/>
      <c r="M8" s="211"/>
      <c r="N8" s="211"/>
      <c r="O8" s="211"/>
      <c r="Q8" s="211"/>
      <c r="T8" s="211"/>
    </row>
    <row r="9" spans="1:20" s="176" customFormat="1" ht="20.25" customHeight="1">
      <c r="A9" s="203" t="s">
        <v>256</v>
      </c>
      <c r="B9" s="200"/>
      <c r="C9" s="201"/>
      <c r="D9" s="202"/>
      <c r="E9" s="201"/>
      <c r="F9" s="185" t="s">
        <v>2378</v>
      </c>
      <c r="G9" s="185">
        <f>SUM(G11:G140)</f>
        <v>1803285</v>
      </c>
      <c r="H9" s="185"/>
      <c r="I9" s="185"/>
      <c r="J9" s="185">
        <f>SUM(J11:J140)</f>
        <v>1803285</v>
      </c>
      <c r="K9" s="185">
        <f>SUM(K11:K140)</f>
        <v>1803285</v>
      </c>
      <c r="L9" s="185"/>
      <c r="M9" s="185"/>
      <c r="N9" s="185">
        <f>SUM(N11:N140)</f>
        <v>0</v>
      </c>
      <c r="O9" s="185"/>
      <c r="P9" s="185"/>
      <c r="Q9" s="185"/>
      <c r="T9" s="185"/>
    </row>
    <row r="10" spans="1:20" s="180" customFormat="1">
      <c r="A10" s="181" t="s">
        <v>1281</v>
      </c>
      <c r="B10" s="181" t="s">
        <v>2529</v>
      </c>
      <c r="C10" s="181" t="s">
        <v>1385</v>
      </c>
      <c r="D10" s="181" t="s">
        <v>1275</v>
      </c>
      <c r="E10" s="181" t="s">
        <v>265</v>
      </c>
      <c r="F10" s="181" t="s">
        <v>1280</v>
      </c>
      <c r="G10" s="181" t="s">
        <v>2434</v>
      </c>
      <c r="H10" s="181"/>
      <c r="I10" s="181"/>
      <c r="J10" s="181" t="s">
        <v>1892</v>
      </c>
      <c r="K10" s="181" t="s">
        <v>1892</v>
      </c>
      <c r="L10" s="181"/>
      <c r="M10" s="181"/>
      <c r="N10" s="181" t="s">
        <v>2438</v>
      </c>
      <c r="O10" s="181" t="s">
        <v>1282</v>
      </c>
      <c r="P10" s="181" t="s">
        <v>1386</v>
      </c>
      <c r="Q10" s="181"/>
      <c r="T10" s="181"/>
    </row>
    <row r="11" spans="1:20">
      <c r="A11" s="95">
        <v>20100101</v>
      </c>
      <c r="B11" s="179">
        <v>5</v>
      </c>
      <c r="C11" s="221" t="s">
        <v>1305</v>
      </c>
      <c r="D11" s="179">
        <v>5</v>
      </c>
      <c r="E11" s="221" t="s">
        <v>2717</v>
      </c>
      <c r="F11" s="179" t="s">
        <v>2716</v>
      </c>
      <c r="G11" s="179">
        <v>14175</v>
      </c>
      <c r="J11" s="179">
        <v>14175</v>
      </c>
      <c r="K11" s="179">
        <v>14175</v>
      </c>
      <c r="N11" s="179">
        <f t="shared" ref="N11:N74" si="0">G11-J11</f>
        <v>0</v>
      </c>
      <c r="O11" s="179" t="s">
        <v>419</v>
      </c>
      <c r="P11" s="179" t="s">
        <v>572</v>
      </c>
    </row>
    <row r="12" spans="1:20">
      <c r="A12" s="95">
        <v>20100101</v>
      </c>
      <c r="B12" s="179">
        <v>6</v>
      </c>
      <c r="C12" s="221" t="s">
        <v>1305</v>
      </c>
      <c r="D12" s="179">
        <v>6</v>
      </c>
      <c r="E12" s="221" t="s">
        <v>2388</v>
      </c>
      <c r="F12" s="179" t="s">
        <v>2387</v>
      </c>
      <c r="G12" s="179">
        <v>14175</v>
      </c>
      <c r="J12" s="179">
        <v>14175</v>
      </c>
      <c r="K12" s="179">
        <v>14175</v>
      </c>
      <c r="N12" s="179">
        <f t="shared" si="0"/>
        <v>0</v>
      </c>
      <c r="O12" s="179" t="s">
        <v>2751</v>
      </c>
      <c r="P12" s="179" t="s">
        <v>2752</v>
      </c>
    </row>
    <row r="13" spans="1:20">
      <c r="A13" s="95">
        <v>20100101</v>
      </c>
      <c r="B13" s="179">
        <v>7</v>
      </c>
      <c r="C13" s="221" t="s">
        <v>1305</v>
      </c>
      <c r="D13" s="179">
        <v>7</v>
      </c>
      <c r="E13" s="221" t="s">
        <v>1901</v>
      </c>
      <c r="F13" s="179" t="s">
        <v>1900</v>
      </c>
      <c r="G13" s="179">
        <v>14175</v>
      </c>
      <c r="J13" s="179">
        <v>14175</v>
      </c>
      <c r="K13" s="179">
        <v>14175</v>
      </c>
      <c r="N13" s="179">
        <f t="shared" si="0"/>
        <v>0</v>
      </c>
      <c r="O13" s="179" t="s">
        <v>2746</v>
      </c>
      <c r="P13" s="179" t="s">
        <v>2747</v>
      </c>
    </row>
    <row r="14" spans="1:20">
      <c r="A14" s="95">
        <v>20100101</v>
      </c>
      <c r="B14" s="179">
        <v>8</v>
      </c>
      <c r="C14" s="221" t="s">
        <v>1305</v>
      </c>
      <c r="D14" s="179">
        <v>8</v>
      </c>
      <c r="E14" s="221" t="s">
        <v>2655</v>
      </c>
      <c r="F14" s="179" t="s">
        <v>2654</v>
      </c>
      <c r="G14" s="179">
        <v>14175</v>
      </c>
      <c r="J14" s="179">
        <v>14175</v>
      </c>
      <c r="K14" s="179">
        <v>14175</v>
      </c>
      <c r="N14" s="179">
        <f t="shared" si="0"/>
        <v>0</v>
      </c>
      <c r="O14" s="179" t="s">
        <v>415</v>
      </c>
      <c r="P14" s="179" t="s">
        <v>2563</v>
      </c>
    </row>
    <row r="15" spans="1:20">
      <c r="A15" s="95">
        <v>20100106</v>
      </c>
      <c r="B15" s="179">
        <v>13</v>
      </c>
      <c r="C15" s="221" t="s">
        <v>2424</v>
      </c>
      <c r="D15" s="179">
        <v>5</v>
      </c>
      <c r="E15" s="221" t="s">
        <v>2698</v>
      </c>
      <c r="F15" s="179" t="s">
        <v>2696</v>
      </c>
      <c r="G15" s="179">
        <v>14175</v>
      </c>
      <c r="J15" s="179">
        <v>14175</v>
      </c>
      <c r="K15" s="179">
        <v>14175</v>
      </c>
      <c r="N15" s="179">
        <f t="shared" si="0"/>
        <v>0</v>
      </c>
      <c r="O15" s="179" t="s">
        <v>567</v>
      </c>
      <c r="P15" s="179" t="s">
        <v>568</v>
      </c>
    </row>
    <row r="16" spans="1:20">
      <c r="A16" s="95">
        <v>20100106</v>
      </c>
      <c r="B16" s="179">
        <v>14</v>
      </c>
      <c r="C16" s="221" t="s">
        <v>2424</v>
      </c>
      <c r="D16" s="179">
        <v>6</v>
      </c>
      <c r="E16" s="221" t="s">
        <v>3869</v>
      </c>
      <c r="F16" s="179" t="s">
        <v>3867</v>
      </c>
      <c r="G16" s="179">
        <v>14175</v>
      </c>
      <c r="J16" s="179">
        <v>14175</v>
      </c>
      <c r="K16" s="179">
        <v>14175</v>
      </c>
      <c r="N16" s="179">
        <f t="shared" si="0"/>
        <v>0</v>
      </c>
      <c r="O16" s="179" t="s">
        <v>573</v>
      </c>
      <c r="P16" s="179" t="s">
        <v>2761</v>
      </c>
    </row>
    <row r="17" spans="1:21">
      <c r="A17" s="95">
        <v>20100106</v>
      </c>
      <c r="B17" s="179">
        <v>15</v>
      </c>
      <c r="C17" s="221" t="s">
        <v>2424</v>
      </c>
      <c r="D17" s="179">
        <v>7</v>
      </c>
      <c r="E17" s="221" t="s">
        <v>2410</v>
      </c>
      <c r="F17" s="179" t="s">
        <v>2409</v>
      </c>
      <c r="G17" s="179">
        <v>14175</v>
      </c>
      <c r="J17" s="179">
        <v>14175</v>
      </c>
      <c r="K17" s="179">
        <v>14175</v>
      </c>
      <c r="N17" s="179">
        <f t="shared" si="0"/>
        <v>0</v>
      </c>
      <c r="O17" s="179" t="s">
        <v>2753</v>
      </c>
      <c r="P17" s="179" t="s">
        <v>2754</v>
      </c>
    </row>
    <row r="18" spans="1:21">
      <c r="A18" s="95">
        <v>20100106</v>
      </c>
      <c r="B18" s="179">
        <v>16</v>
      </c>
      <c r="C18" s="221" t="s">
        <v>2424</v>
      </c>
      <c r="D18" s="179">
        <v>8</v>
      </c>
      <c r="E18" s="221" t="s">
        <v>1623</v>
      </c>
      <c r="F18" s="179" t="s">
        <v>1622</v>
      </c>
      <c r="G18" s="179">
        <v>14175</v>
      </c>
      <c r="J18" s="179">
        <v>14175</v>
      </c>
      <c r="K18" s="179">
        <v>14175</v>
      </c>
      <c r="N18" s="179">
        <f t="shared" si="0"/>
        <v>0</v>
      </c>
      <c r="O18" s="179" t="s">
        <v>574</v>
      </c>
      <c r="P18" s="179" t="s">
        <v>575</v>
      </c>
    </row>
    <row r="19" spans="1:21">
      <c r="A19" s="95">
        <v>20100119</v>
      </c>
      <c r="B19" s="179">
        <v>21</v>
      </c>
      <c r="C19" s="221" t="s">
        <v>2690</v>
      </c>
      <c r="D19" s="179">
        <v>5</v>
      </c>
      <c r="E19" s="221" t="s">
        <v>2706</v>
      </c>
      <c r="F19" s="179" t="s">
        <v>2705</v>
      </c>
      <c r="G19" s="179">
        <v>14175</v>
      </c>
      <c r="J19" s="179">
        <v>14175</v>
      </c>
      <c r="K19" s="179">
        <v>14175</v>
      </c>
      <c r="N19" s="179">
        <f t="shared" si="0"/>
        <v>0</v>
      </c>
      <c r="O19" s="179" t="s">
        <v>417</v>
      </c>
      <c r="P19" s="179" t="s">
        <v>2743</v>
      </c>
    </row>
    <row r="20" spans="1:21">
      <c r="A20" s="95">
        <v>20100119</v>
      </c>
      <c r="B20" s="179">
        <v>22</v>
      </c>
      <c r="C20" s="221" t="s">
        <v>2690</v>
      </c>
      <c r="D20" s="179">
        <v>6</v>
      </c>
      <c r="E20" s="221" t="s">
        <v>3877</v>
      </c>
      <c r="F20" s="179" t="s">
        <v>3876</v>
      </c>
      <c r="G20" s="179">
        <v>14175</v>
      </c>
      <c r="J20" s="179">
        <v>14175</v>
      </c>
      <c r="K20" s="179">
        <v>14175</v>
      </c>
      <c r="N20" s="179">
        <f t="shared" si="0"/>
        <v>0</v>
      </c>
      <c r="O20" s="179" t="s">
        <v>2762</v>
      </c>
      <c r="P20" s="179" t="s">
        <v>2763</v>
      </c>
    </row>
    <row r="21" spans="1:21">
      <c r="A21" s="95">
        <v>20100119</v>
      </c>
      <c r="B21" s="179">
        <v>23</v>
      </c>
      <c r="C21" s="221" t="s">
        <v>2690</v>
      </c>
      <c r="D21" s="179">
        <v>7</v>
      </c>
      <c r="E21" s="221" t="s">
        <v>2418</v>
      </c>
      <c r="F21" s="179" t="s">
        <v>2417</v>
      </c>
      <c r="G21" s="179">
        <v>14175</v>
      </c>
      <c r="J21" s="179">
        <v>14175</v>
      </c>
      <c r="K21" s="179">
        <v>14175</v>
      </c>
      <c r="N21" s="179">
        <f t="shared" si="0"/>
        <v>0</v>
      </c>
      <c r="O21" s="179" t="s">
        <v>2753</v>
      </c>
      <c r="P21" s="179" t="s">
        <v>2754</v>
      </c>
    </row>
    <row r="22" spans="1:21">
      <c r="A22" s="95">
        <v>20100119</v>
      </c>
      <c r="B22" s="179">
        <v>24</v>
      </c>
      <c r="C22" s="221" t="s">
        <v>2690</v>
      </c>
      <c r="D22" s="179">
        <v>8</v>
      </c>
      <c r="E22" s="221" t="s">
        <v>1631</v>
      </c>
      <c r="F22" s="179" t="s">
        <v>1630</v>
      </c>
      <c r="G22" s="179">
        <v>14175</v>
      </c>
      <c r="J22" s="179">
        <v>14175</v>
      </c>
      <c r="K22" s="179">
        <v>14175</v>
      </c>
      <c r="N22" s="179">
        <f t="shared" si="0"/>
        <v>0</v>
      </c>
      <c r="O22" s="179" t="s">
        <v>415</v>
      </c>
      <c r="P22" s="179" t="s">
        <v>2563</v>
      </c>
    </row>
    <row r="23" spans="1:21">
      <c r="A23" s="95">
        <v>20100125</v>
      </c>
      <c r="B23" s="179">
        <v>28</v>
      </c>
      <c r="C23" s="221" t="s">
        <v>1304</v>
      </c>
      <c r="D23" s="179">
        <v>4</v>
      </c>
      <c r="E23" s="221" t="s">
        <v>2704</v>
      </c>
      <c r="F23" s="179" t="s">
        <v>2703</v>
      </c>
      <c r="G23" s="179">
        <v>9450</v>
      </c>
      <c r="J23" s="179">
        <v>9450</v>
      </c>
      <c r="K23" s="179">
        <v>9450</v>
      </c>
      <c r="N23" s="179">
        <f t="shared" si="0"/>
        <v>0</v>
      </c>
      <c r="O23" s="179" t="s">
        <v>417</v>
      </c>
      <c r="P23" s="179" t="s">
        <v>2743</v>
      </c>
      <c r="Q23" s="1"/>
    </row>
    <row r="24" spans="1:21">
      <c r="A24" s="95">
        <v>20100125</v>
      </c>
      <c r="B24" s="179">
        <v>29</v>
      </c>
      <c r="C24" s="221" t="s">
        <v>1304</v>
      </c>
      <c r="D24" s="179">
        <v>5</v>
      </c>
      <c r="E24" s="221" t="s">
        <v>3875</v>
      </c>
      <c r="F24" s="179" t="s">
        <v>3874</v>
      </c>
      <c r="G24" s="179">
        <v>9450</v>
      </c>
      <c r="J24" s="179">
        <v>9450</v>
      </c>
      <c r="K24" s="179">
        <v>9450</v>
      </c>
      <c r="N24" s="179">
        <f t="shared" si="0"/>
        <v>0</v>
      </c>
      <c r="O24" s="179" t="s">
        <v>2762</v>
      </c>
      <c r="P24" s="179" t="s">
        <v>2763</v>
      </c>
      <c r="Q24" s="1"/>
    </row>
    <row r="25" spans="1:21">
      <c r="A25" s="95">
        <v>20100125</v>
      </c>
      <c r="B25" s="179">
        <v>30</v>
      </c>
      <c r="C25" s="221" t="s">
        <v>1304</v>
      </c>
      <c r="D25" s="179">
        <v>6</v>
      </c>
      <c r="E25" s="221" t="s">
        <v>2416</v>
      </c>
      <c r="F25" s="179" t="s">
        <v>2415</v>
      </c>
      <c r="G25" s="179">
        <v>9450</v>
      </c>
      <c r="J25" s="179">
        <v>9450</v>
      </c>
      <c r="K25" s="179">
        <v>9450</v>
      </c>
      <c r="N25" s="179">
        <f t="shared" si="0"/>
        <v>0</v>
      </c>
      <c r="O25" s="179" t="s">
        <v>2753</v>
      </c>
      <c r="P25" s="179" t="s">
        <v>2754</v>
      </c>
      <c r="Q25" s="1"/>
    </row>
    <row r="26" spans="1:21">
      <c r="A26" s="95">
        <v>20100125</v>
      </c>
      <c r="B26" s="179">
        <v>31</v>
      </c>
      <c r="C26" s="221" t="s">
        <v>1304</v>
      </c>
      <c r="D26" s="179">
        <v>7</v>
      </c>
      <c r="E26" s="221" t="s">
        <v>1629</v>
      </c>
      <c r="F26" s="179" t="s">
        <v>1628</v>
      </c>
      <c r="G26" s="179">
        <v>9450</v>
      </c>
      <c r="J26" s="179">
        <v>9450</v>
      </c>
      <c r="K26" s="179">
        <v>9450</v>
      </c>
      <c r="N26" s="179">
        <f t="shared" si="0"/>
        <v>0</v>
      </c>
      <c r="O26" s="179" t="s">
        <v>415</v>
      </c>
      <c r="P26" s="179" t="s">
        <v>2563</v>
      </c>
      <c r="Q26" s="1"/>
    </row>
    <row r="27" spans="1:21">
      <c r="A27" s="95">
        <v>20100125</v>
      </c>
      <c r="B27" s="179">
        <v>32</v>
      </c>
      <c r="C27" s="221" t="s">
        <v>1304</v>
      </c>
      <c r="D27" s="179">
        <v>8</v>
      </c>
      <c r="E27" s="221" t="s">
        <v>1771</v>
      </c>
      <c r="F27" s="179" t="s">
        <v>1770</v>
      </c>
      <c r="G27" s="179">
        <v>9450</v>
      </c>
      <c r="J27" s="179">
        <v>9450</v>
      </c>
      <c r="K27" s="179">
        <v>9450</v>
      </c>
      <c r="N27" s="179">
        <f t="shared" si="0"/>
        <v>0</v>
      </c>
      <c r="O27" s="179" t="s">
        <v>2662</v>
      </c>
      <c r="P27" s="179" t="s">
        <v>2767</v>
      </c>
      <c r="Q27" s="1">
        <v>9450</v>
      </c>
      <c r="R27">
        <v>9450</v>
      </c>
    </row>
    <row r="28" spans="1:21">
      <c r="A28" s="95">
        <v>20100312</v>
      </c>
      <c r="B28" s="179">
        <v>50</v>
      </c>
      <c r="C28" s="221" t="s">
        <v>1246</v>
      </c>
      <c r="D28" s="179">
        <v>5</v>
      </c>
      <c r="E28" s="221" t="s">
        <v>2733</v>
      </c>
      <c r="F28" s="179" t="s">
        <v>2732</v>
      </c>
      <c r="G28" s="179">
        <v>13500</v>
      </c>
      <c r="J28" s="179">
        <v>13500</v>
      </c>
      <c r="K28" s="179">
        <v>13500</v>
      </c>
      <c r="N28" s="179">
        <f t="shared" si="0"/>
        <v>0</v>
      </c>
      <c r="O28" s="179" t="s">
        <v>571</v>
      </c>
      <c r="P28" s="179" t="s">
        <v>421</v>
      </c>
    </row>
    <row r="29" spans="1:21">
      <c r="A29" s="95">
        <v>20100312</v>
      </c>
      <c r="B29" s="179">
        <v>51</v>
      </c>
      <c r="C29" s="221" t="s">
        <v>1246</v>
      </c>
      <c r="D29" s="179">
        <v>6</v>
      </c>
      <c r="E29" s="221" t="s">
        <v>2403</v>
      </c>
      <c r="F29" s="179" t="s">
        <v>2402</v>
      </c>
      <c r="G29" s="179">
        <v>13500</v>
      </c>
      <c r="J29" s="179">
        <v>13500</v>
      </c>
      <c r="K29" s="179">
        <v>13500</v>
      </c>
      <c r="N29" s="179">
        <f t="shared" si="0"/>
        <v>0</v>
      </c>
      <c r="O29" s="179" t="s">
        <v>2758</v>
      </c>
      <c r="P29" s="179" t="s">
        <v>2759</v>
      </c>
    </row>
    <row r="30" spans="1:21">
      <c r="A30" s="95">
        <v>20100312</v>
      </c>
      <c r="B30" s="179">
        <v>52</v>
      </c>
      <c r="C30" s="221" t="s">
        <v>1246</v>
      </c>
      <c r="D30" s="179">
        <v>7</v>
      </c>
      <c r="E30" s="221" t="s">
        <v>1616</v>
      </c>
      <c r="F30" s="179" t="s">
        <v>1615</v>
      </c>
      <c r="G30" s="179">
        <v>13500</v>
      </c>
      <c r="J30" s="179">
        <v>13500</v>
      </c>
      <c r="K30" s="179">
        <v>13500</v>
      </c>
      <c r="N30" s="179">
        <f t="shared" si="0"/>
        <v>0</v>
      </c>
      <c r="O30" s="179" t="s">
        <v>2760</v>
      </c>
      <c r="P30" s="179" t="s">
        <v>2755</v>
      </c>
    </row>
    <row r="31" spans="1:21" s="114" customFormat="1">
      <c r="A31" s="114">
        <v>20100312</v>
      </c>
      <c r="B31" s="211">
        <v>53</v>
      </c>
      <c r="C31" s="222" t="s">
        <v>1246</v>
      </c>
      <c r="D31" s="211">
        <v>8</v>
      </c>
      <c r="E31" s="222" t="s">
        <v>2569</v>
      </c>
      <c r="F31" s="211" t="s">
        <v>2568</v>
      </c>
      <c r="G31" s="211">
        <v>13500</v>
      </c>
      <c r="H31" s="211"/>
      <c r="I31" s="211"/>
      <c r="J31" s="211">
        <v>13500</v>
      </c>
      <c r="K31" s="211">
        <v>13500</v>
      </c>
      <c r="L31" s="211"/>
      <c r="M31" s="211"/>
      <c r="N31" s="211">
        <f t="shared" si="0"/>
        <v>0</v>
      </c>
      <c r="O31" s="211" t="s">
        <v>486</v>
      </c>
      <c r="P31" s="211" t="s">
        <v>486</v>
      </c>
      <c r="Q31" s="114">
        <v>13500</v>
      </c>
      <c r="R31" s="114">
        <v>13500</v>
      </c>
      <c r="T31" s="211"/>
      <c r="U31" s="211" t="s">
        <v>254</v>
      </c>
    </row>
    <row r="32" spans="1:21">
      <c r="A32" s="95">
        <v>20100402</v>
      </c>
      <c r="B32" s="179">
        <v>59</v>
      </c>
      <c r="C32" s="221" t="s">
        <v>1775</v>
      </c>
      <c r="D32" s="179">
        <v>4</v>
      </c>
      <c r="E32" s="221" t="s">
        <v>2708</v>
      </c>
      <c r="F32" s="179" t="s">
        <v>2707</v>
      </c>
      <c r="G32" s="179">
        <v>10800</v>
      </c>
      <c r="J32" s="179">
        <v>10800</v>
      </c>
      <c r="K32" s="179">
        <v>10800</v>
      </c>
      <c r="N32" s="179">
        <f t="shared" si="0"/>
        <v>0</v>
      </c>
      <c r="O32" s="179" t="s">
        <v>417</v>
      </c>
      <c r="P32" s="179" t="s">
        <v>2743</v>
      </c>
    </row>
    <row r="33" spans="1:18">
      <c r="A33" s="95">
        <v>20100402</v>
      </c>
      <c r="B33" s="179">
        <v>60</v>
      </c>
      <c r="C33" s="221" t="s">
        <v>1775</v>
      </c>
      <c r="D33" s="179">
        <v>5</v>
      </c>
      <c r="E33" s="221" t="s">
        <v>3879</v>
      </c>
      <c r="F33" s="179" t="s">
        <v>3878</v>
      </c>
      <c r="G33" s="179">
        <v>10800</v>
      </c>
      <c r="J33" s="179">
        <v>10800</v>
      </c>
      <c r="K33" s="179">
        <v>10800</v>
      </c>
      <c r="N33" s="179">
        <f t="shared" si="0"/>
        <v>0</v>
      </c>
      <c r="O33" s="179" t="s">
        <v>2744</v>
      </c>
      <c r="P33" s="179" t="s">
        <v>2745</v>
      </c>
    </row>
    <row r="34" spans="1:18">
      <c r="A34" s="95">
        <v>20100402</v>
      </c>
      <c r="B34" s="179">
        <v>61</v>
      </c>
      <c r="C34" s="221" t="s">
        <v>1775</v>
      </c>
      <c r="D34" s="179">
        <v>6</v>
      </c>
      <c r="E34" s="221" t="s">
        <v>1894</v>
      </c>
      <c r="F34" s="179" t="s">
        <v>1893</v>
      </c>
      <c r="G34" s="179">
        <v>10800</v>
      </c>
      <c r="J34" s="179">
        <v>10800</v>
      </c>
      <c r="K34" s="179">
        <v>10800</v>
      </c>
      <c r="N34" s="179">
        <f t="shared" si="0"/>
        <v>0</v>
      </c>
      <c r="O34" s="179" t="s">
        <v>2746</v>
      </c>
      <c r="P34" s="179" t="s">
        <v>2747</v>
      </c>
    </row>
    <row r="35" spans="1:18">
      <c r="A35" s="95">
        <v>20100402</v>
      </c>
      <c r="B35" s="179">
        <v>62</v>
      </c>
      <c r="C35" s="221" t="s">
        <v>1775</v>
      </c>
      <c r="D35" s="179">
        <v>7</v>
      </c>
      <c r="E35" s="221" t="s">
        <v>2650</v>
      </c>
      <c r="F35" s="179" t="s">
        <v>2649</v>
      </c>
      <c r="G35" s="179">
        <v>10800</v>
      </c>
      <c r="J35" s="179">
        <v>10800</v>
      </c>
      <c r="K35" s="179">
        <v>10800</v>
      </c>
      <c r="N35" s="179">
        <f t="shared" si="0"/>
        <v>0</v>
      </c>
      <c r="O35" s="179" t="s">
        <v>415</v>
      </c>
      <c r="P35" s="179" t="s">
        <v>2563</v>
      </c>
    </row>
    <row r="36" spans="1:18">
      <c r="A36" s="95">
        <v>20100402</v>
      </c>
      <c r="B36" s="179">
        <v>63</v>
      </c>
      <c r="C36" s="221" t="s">
        <v>1775</v>
      </c>
      <c r="D36" s="179">
        <v>8</v>
      </c>
      <c r="E36" s="221" t="s">
        <v>1774</v>
      </c>
      <c r="F36" s="179" t="s">
        <v>1772</v>
      </c>
      <c r="G36" s="179">
        <v>10800</v>
      </c>
      <c r="J36" s="179">
        <v>10800</v>
      </c>
      <c r="K36" s="179">
        <v>10800</v>
      </c>
      <c r="N36" s="179">
        <f t="shared" si="0"/>
        <v>0</v>
      </c>
      <c r="O36" s="179" t="s">
        <v>2662</v>
      </c>
      <c r="P36" s="179" t="s">
        <v>2767</v>
      </c>
      <c r="Q36" s="3">
        <v>10800</v>
      </c>
      <c r="R36">
        <v>10800</v>
      </c>
    </row>
    <row r="37" spans="1:18">
      <c r="A37" s="95">
        <v>20100420</v>
      </c>
      <c r="B37" s="179">
        <v>68</v>
      </c>
      <c r="C37" s="221" t="s">
        <v>2688</v>
      </c>
      <c r="D37" s="179">
        <v>4</v>
      </c>
      <c r="E37" s="221" t="s">
        <v>2709</v>
      </c>
      <c r="F37" s="179" t="s">
        <v>2707</v>
      </c>
      <c r="G37" s="179">
        <v>14175</v>
      </c>
      <c r="J37" s="179">
        <v>14175</v>
      </c>
      <c r="K37" s="179">
        <v>14175</v>
      </c>
      <c r="N37" s="179">
        <f t="shared" si="0"/>
        <v>0</v>
      </c>
      <c r="O37" s="179" t="s">
        <v>417</v>
      </c>
      <c r="P37" s="179" t="s">
        <v>2743</v>
      </c>
    </row>
    <row r="38" spans="1:18">
      <c r="A38" s="95">
        <v>20100420</v>
      </c>
      <c r="B38" s="179">
        <v>69</v>
      </c>
      <c r="C38" s="221" t="s">
        <v>2688</v>
      </c>
      <c r="D38" s="179">
        <v>5</v>
      </c>
      <c r="E38" s="221" t="s">
        <v>3880</v>
      </c>
      <c r="F38" s="179" t="s">
        <v>3878</v>
      </c>
      <c r="G38" s="179">
        <v>14175</v>
      </c>
      <c r="J38" s="179">
        <v>14175</v>
      </c>
      <c r="K38" s="179">
        <v>14175</v>
      </c>
      <c r="N38" s="179">
        <f t="shared" si="0"/>
        <v>0</v>
      </c>
      <c r="O38" s="179" t="s">
        <v>2744</v>
      </c>
      <c r="P38" s="179" t="s">
        <v>2745</v>
      </c>
    </row>
    <row r="39" spans="1:18">
      <c r="A39" s="95">
        <v>20100420</v>
      </c>
      <c r="B39" s="179">
        <v>70</v>
      </c>
      <c r="C39" s="221" t="s">
        <v>2688</v>
      </c>
      <c r="D39" s="179">
        <v>6</v>
      </c>
      <c r="E39" s="221" t="s">
        <v>1895</v>
      </c>
      <c r="F39" s="179" t="s">
        <v>1893</v>
      </c>
      <c r="G39" s="179">
        <v>14175</v>
      </c>
      <c r="J39" s="179">
        <v>14175</v>
      </c>
      <c r="K39" s="179">
        <v>14175</v>
      </c>
      <c r="N39" s="179">
        <f t="shared" si="0"/>
        <v>0</v>
      </c>
      <c r="O39" s="179" t="s">
        <v>2746</v>
      </c>
      <c r="P39" s="179" t="s">
        <v>2747</v>
      </c>
    </row>
    <row r="40" spans="1:18">
      <c r="A40" s="95">
        <v>20100420</v>
      </c>
      <c r="B40" s="179">
        <v>71</v>
      </c>
      <c r="C40" s="221" t="s">
        <v>2688</v>
      </c>
      <c r="D40" s="179">
        <v>7</v>
      </c>
      <c r="E40" s="221" t="s">
        <v>2651</v>
      </c>
      <c r="F40" s="179" t="s">
        <v>2649</v>
      </c>
      <c r="G40" s="179">
        <v>14175</v>
      </c>
      <c r="J40" s="179">
        <v>14175</v>
      </c>
      <c r="K40" s="179">
        <v>14175</v>
      </c>
      <c r="N40" s="179">
        <f t="shared" si="0"/>
        <v>0</v>
      </c>
      <c r="O40" s="179" t="s">
        <v>415</v>
      </c>
      <c r="P40" s="179" t="s">
        <v>2563</v>
      </c>
    </row>
    <row r="41" spans="1:18">
      <c r="A41" s="95">
        <v>20100420</v>
      </c>
      <c r="B41" s="179">
        <v>72</v>
      </c>
      <c r="C41" s="221" t="s">
        <v>2688</v>
      </c>
      <c r="D41" s="179">
        <v>8</v>
      </c>
      <c r="E41" s="221" t="s">
        <v>1773</v>
      </c>
      <c r="F41" s="179" t="s">
        <v>1772</v>
      </c>
      <c r="G41" s="179">
        <v>14175</v>
      </c>
      <c r="J41" s="179">
        <v>14175</v>
      </c>
      <c r="K41" s="179">
        <v>14175</v>
      </c>
      <c r="N41" s="179">
        <f t="shared" si="0"/>
        <v>0</v>
      </c>
      <c r="O41" s="179" t="s">
        <v>2662</v>
      </c>
      <c r="P41" s="179" t="s">
        <v>2767</v>
      </c>
      <c r="Q41" s="3">
        <v>14175</v>
      </c>
      <c r="R41">
        <v>14175</v>
      </c>
    </row>
    <row r="42" spans="1:18">
      <c r="A42" s="95">
        <v>20100422</v>
      </c>
      <c r="B42" s="179">
        <v>76</v>
      </c>
      <c r="C42" s="221" t="s">
        <v>1301</v>
      </c>
      <c r="D42" s="179">
        <v>4</v>
      </c>
      <c r="E42" s="221" t="s">
        <v>2715</v>
      </c>
      <c r="F42" s="179" t="s">
        <v>2714</v>
      </c>
      <c r="G42" s="179">
        <v>14175</v>
      </c>
      <c r="J42" s="179">
        <v>14175</v>
      </c>
      <c r="K42" s="179">
        <v>14175</v>
      </c>
      <c r="N42" s="179">
        <f t="shared" si="0"/>
        <v>0</v>
      </c>
      <c r="O42" s="179" t="s">
        <v>419</v>
      </c>
      <c r="P42" s="179" t="s">
        <v>572</v>
      </c>
    </row>
    <row r="43" spans="1:18">
      <c r="A43" s="95">
        <v>20100422</v>
      </c>
      <c r="B43" s="179">
        <v>77</v>
      </c>
      <c r="C43" s="221" t="s">
        <v>1301</v>
      </c>
      <c r="D43" s="179">
        <v>5</v>
      </c>
      <c r="E43" s="221" t="s">
        <v>2386</v>
      </c>
      <c r="F43" s="179" t="s">
        <v>2385</v>
      </c>
      <c r="G43" s="179">
        <v>14175</v>
      </c>
      <c r="J43" s="179">
        <v>14175</v>
      </c>
      <c r="K43" s="179">
        <v>14175</v>
      </c>
      <c r="N43" s="179">
        <f t="shared" si="0"/>
        <v>0</v>
      </c>
      <c r="O43" s="179" t="s">
        <v>2751</v>
      </c>
      <c r="P43" s="179" t="s">
        <v>2752</v>
      </c>
    </row>
    <row r="44" spans="1:18">
      <c r="A44" s="95">
        <v>20100422</v>
      </c>
      <c r="B44" s="179">
        <v>78</v>
      </c>
      <c r="C44" s="221" t="s">
        <v>1301</v>
      </c>
      <c r="D44" s="179">
        <v>6</v>
      </c>
      <c r="E44" s="221" t="s">
        <v>1899</v>
      </c>
      <c r="F44" s="179" t="s">
        <v>1898</v>
      </c>
      <c r="G44" s="179">
        <v>14175</v>
      </c>
      <c r="J44" s="179">
        <v>14175</v>
      </c>
      <c r="K44" s="179">
        <v>14175</v>
      </c>
      <c r="N44" s="179">
        <f t="shared" si="0"/>
        <v>0</v>
      </c>
      <c r="O44" s="179" t="s">
        <v>2746</v>
      </c>
      <c r="P44" s="179" t="s">
        <v>2747</v>
      </c>
    </row>
    <row r="45" spans="1:18">
      <c r="A45" s="95">
        <v>20100422</v>
      </c>
      <c r="B45" s="179">
        <v>79</v>
      </c>
      <c r="C45" s="221" t="s">
        <v>1301</v>
      </c>
      <c r="D45" s="179">
        <v>7</v>
      </c>
      <c r="E45" s="221" t="s">
        <v>2653</v>
      </c>
      <c r="F45" s="179" t="s">
        <v>2652</v>
      </c>
      <c r="G45" s="179">
        <v>14175</v>
      </c>
      <c r="J45" s="179">
        <v>14175</v>
      </c>
      <c r="K45" s="179">
        <v>14175</v>
      </c>
      <c r="N45" s="179">
        <f t="shared" si="0"/>
        <v>0</v>
      </c>
      <c r="O45" s="179" t="s">
        <v>415</v>
      </c>
      <c r="P45" s="179" t="s">
        <v>2563</v>
      </c>
    </row>
    <row r="46" spans="1:18">
      <c r="A46" s="95">
        <v>20100422</v>
      </c>
      <c r="B46" s="179">
        <v>80</v>
      </c>
      <c r="C46" s="221" t="s">
        <v>1301</v>
      </c>
      <c r="D46" s="179">
        <v>8</v>
      </c>
      <c r="E46" s="221" t="s">
        <v>1777</v>
      </c>
      <c r="F46" s="179" t="s">
        <v>1776</v>
      </c>
      <c r="G46" s="179">
        <v>14175</v>
      </c>
      <c r="J46" s="179">
        <v>14175</v>
      </c>
      <c r="K46" s="179">
        <v>14175</v>
      </c>
      <c r="N46" s="179">
        <f t="shared" si="0"/>
        <v>0</v>
      </c>
      <c r="O46" s="179" t="s">
        <v>2768</v>
      </c>
      <c r="P46" s="179" t="s">
        <v>815</v>
      </c>
      <c r="Q46" s="3">
        <v>14175</v>
      </c>
      <c r="R46">
        <v>14175</v>
      </c>
    </row>
    <row r="47" spans="1:18">
      <c r="A47" s="95">
        <v>20100511</v>
      </c>
      <c r="B47" s="179">
        <v>86</v>
      </c>
      <c r="C47" s="221" t="s">
        <v>1781</v>
      </c>
      <c r="D47" s="179">
        <v>4</v>
      </c>
      <c r="E47" s="221" t="s">
        <v>2720</v>
      </c>
      <c r="F47" s="179" t="s">
        <v>2719</v>
      </c>
      <c r="G47" s="179">
        <v>14175</v>
      </c>
      <c r="J47" s="179">
        <v>14175</v>
      </c>
      <c r="K47" s="179">
        <v>14175</v>
      </c>
      <c r="N47" s="179">
        <f t="shared" si="0"/>
        <v>0</v>
      </c>
      <c r="O47" s="179" t="s">
        <v>2756</v>
      </c>
      <c r="P47" s="179" t="s">
        <v>2757</v>
      </c>
    </row>
    <row r="48" spans="1:18">
      <c r="A48" s="95">
        <v>20100511</v>
      </c>
      <c r="B48" s="179">
        <v>87</v>
      </c>
      <c r="C48" s="221" t="s">
        <v>1781</v>
      </c>
      <c r="D48" s="179">
        <v>5</v>
      </c>
      <c r="E48" s="221" t="s">
        <v>2391</v>
      </c>
      <c r="F48" s="179" t="s">
        <v>2390</v>
      </c>
      <c r="G48" s="179">
        <v>14175</v>
      </c>
      <c r="J48" s="179">
        <v>14175</v>
      </c>
      <c r="K48" s="179">
        <v>14175</v>
      </c>
      <c r="N48" s="179">
        <f t="shared" si="0"/>
        <v>0</v>
      </c>
      <c r="O48" s="179" t="s">
        <v>2751</v>
      </c>
      <c r="P48" s="179" t="s">
        <v>2752</v>
      </c>
    </row>
    <row r="49" spans="1:21">
      <c r="A49" s="95">
        <v>20100511</v>
      </c>
      <c r="B49" s="179">
        <v>88</v>
      </c>
      <c r="C49" s="221" t="s">
        <v>1781</v>
      </c>
      <c r="D49" s="179">
        <v>6</v>
      </c>
      <c r="E49" s="221" t="s">
        <v>1904</v>
      </c>
      <c r="F49" s="179" t="s">
        <v>1903</v>
      </c>
      <c r="G49" s="179">
        <v>14175</v>
      </c>
      <c r="J49" s="179">
        <v>14175</v>
      </c>
      <c r="K49" s="179">
        <v>14175</v>
      </c>
      <c r="N49" s="179">
        <f t="shared" si="0"/>
        <v>0</v>
      </c>
      <c r="O49" s="179" t="s">
        <v>2746</v>
      </c>
      <c r="P49" s="179" t="s">
        <v>2747</v>
      </c>
    </row>
    <row r="50" spans="1:21">
      <c r="A50" s="95">
        <v>20100511</v>
      </c>
      <c r="B50" s="179">
        <v>89</v>
      </c>
      <c r="C50" s="221" t="s">
        <v>1781</v>
      </c>
      <c r="D50" s="179">
        <v>7</v>
      </c>
      <c r="E50" s="221" t="s">
        <v>608</v>
      </c>
      <c r="F50" s="179" t="s">
        <v>607</v>
      </c>
      <c r="G50" s="179">
        <v>14175</v>
      </c>
      <c r="J50" s="179">
        <v>14175</v>
      </c>
      <c r="K50" s="179">
        <v>14175</v>
      </c>
      <c r="N50" s="179">
        <f t="shared" si="0"/>
        <v>0</v>
      </c>
      <c r="O50" s="179" t="s">
        <v>415</v>
      </c>
      <c r="P50" s="179" t="s">
        <v>2563</v>
      </c>
    </row>
    <row r="51" spans="1:21">
      <c r="A51" s="95">
        <v>20100511</v>
      </c>
      <c r="B51" s="179">
        <v>90</v>
      </c>
      <c r="C51" s="221" t="s">
        <v>1781</v>
      </c>
      <c r="D51" s="179">
        <v>8</v>
      </c>
      <c r="E51" s="221" t="s">
        <v>1780</v>
      </c>
      <c r="F51" s="179" t="s">
        <v>1779</v>
      </c>
      <c r="G51" s="179">
        <v>14175</v>
      </c>
      <c r="J51" s="179">
        <v>14175</v>
      </c>
      <c r="K51" s="179">
        <v>14175</v>
      </c>
      <c r="N51" s="179">
        <f t="shared" si="0"/>
        <v>0</v>
      </c>
      <c r="O51" s="179" t="s">
        <v>2768</v>
      </c>
      <c r="P51" s="179" t="s">
        <v>815</v>
      </c>
      <c r="Q51" s="3">
        <v>14175</v>
      </c>
      <c r="R51">
        <v>14175</v>
      </c>
    </row>
    <row r="52" spans="1:21">
      <c r="A52" s="95">
        <v>20100524</v>
      </c>
      <c r="B52" s="179">
        <v>98</v>
      </c>
      <c r="C52" s="221" t="s">
        <v>1249</v>
      </c>
      <c r="D52" s="179">
        <v>20</v>
      </c>
      <c r="E52" s="221" t="s">
        <v>2697</v>
      </c>
      <c r="F52" s="179" t="s">
        <v>2696</v>
      </c>
      <c r="G52" s="179">
        <v>4725</v>
      </c>
      <c r="J52" s="179">
        <v>4725</v>
      </c>
      <c r="K52" s="179">
        <v>4725</v>
      </c>
      <c r="N52" s="179">
        <f t="shared" si="0"/>
        <v>0</v>
      </c>
      <c r="O52" s="179" t="s">
        <v>567</v>
      </c>
      <c r="P52" s="179" t="s">
        <v>568</v>
      </c>
    </row>
    <row r="53" spans="1:21">
      <c r="A53" s="95">
        <v>20100524</v>
      </c>
      <c r="B53" s="179">
        <v>99</v>
      </c>
      <c r="C53" s="221" t="s">
        <v>1249</v>
      </c>
      <c r="D53" s="179">
        <v>21</v>
      </c>
      <c r="E53" s="221" t="s">
        <v>2711</v>
      </c>
      <c r="F53" s="179" t="s">
        <v>2710</v>
      </c>
      <c r="G53" s="179">
        <v>4725</v>
      </c>
      <c r="J53" s="179">
        <v>4725</v>
      </c>
      <c r="K53" s="179">
        <v>4725</v>
      </c>
      <c r="N53" s="179">
        <f t="shared" si="0"/>
        <v>0</v>
      </c>
      <c r="O53" s="179" t="s">
        <v>2743</v>
      </c>
      <c r="P53" s="179" t="s">
        <v>2748</v>
      </c>
    </row>
    <row r="54" spans="1:21">
      <c r="A54" s="95">
        <v>20100524</v>
      </c>
      <c r="B54" s="179">
        <v>100</v>
      </c>
      <c r="C54" s="221" t="s">
        <v>1249</v>
      </c>
      <c r="D54" s="179">
        <v>22</v>
      </c>
      <c r="E54" s="221" t="s">
        <v>2730</v>
      </c>
      <c r="F54" s="179" t="s">
        <v>2728</v>
      </c>
      <c r="G54" s="179">
        <v>4725</v>
      </c>
      <c r="J54" s="179">
        <v>4725</v>
      </c>
      <c r="K54" s="179">
        <v>4725</v>
      </c>
      <c r="N54" s="179">
        <f t="shared" si="0"/>
        <v>0</v>
      </c>
      <c r="O54" s="179" t="s">
        <v>2756</v>
      </c>
      <c r="P54" s="179" t="s">
        <v>2757</v>
      </c>
    </row>
    <row r="55" spans="1:21">
      <c r="A55" s="95">
        <v>20100524</v>
      </c>
      <c r="B55" s="179">
        <v>101</v>
      </c>
      <c r="C55" s="221" t="s">
        <v>1249</v>
      </c>
      <c r="D55" s="179">
        <v>23</v>
      </c>
      <c r="E55" s="221" t="s">
        <v>3868</v>
      </c>
      <c r="F55" s="179" t="s">
        <v>3867</v>
      </c>
      <c r="G55" s="179">
        <v>4725</v>
      </c>
      <c r="J55" s="179">
        <v>4725</v>
      </c>
      <c r="K55" s="179">
        <v>4725</v>
      </c>
      <c r="N55" s="179">
        <f t="shared" si="0"/>
        <v>0</v>
      </c>
      <c r="O55" s="179" t="s">
        <v>573</v>
      </c>
      <c r="P55" s="179" t="s">
        <v>2761</v>
      </c>
    </row>
    <row r="56" spans="1:21">
      <c r="A56" s="95">
        <v>20100524</v>
      </c>
      <c r="B56" s="179">
        <v>102</v>
      </c>
      <c r="C56" s="221" t="s">
        <v>1249</v>
      </c>
      <c r="D56" s="179">
        <v>24</v>
      </c>
      <c r="E56" s="221" t="s">
        <v>3882</v>
      </c>
      <c r="F56" s="179" t="s">
        <v>3881</v>
      </c>
      <c r="G56" s="179">
        <v>4725</v>
      </c>
      <c r="J56" s="179">
        <v>4725</v>
      </c>
      <c r="K56" s="179">
        <v>4725</v>
      </c>
      <c r="N56" s="179">
        <f t="shared" si="0"/>
        <v>0</v>
      </c>
      <c r="O56" s="179" t="s">
        <v>2744</v>
      </c>
      <c r="P56" s="179" t="s">
        <v>2745</v>
      </c>
    </row>
    <row r="57" spans="1:21">
      <c r="A57" s="95">
        <v>20100603</v>
      </c>
      <c r="B57" s="179">
        <v>106</v>
      </c>
      <c r="C57" s="221" t="s">
        <v>2687</v>
      </c>
      <c r="D57" s="179">
        <v>4</v>
      </c>
      <c r="E57" s="221" t="s">
        <v>2731</v>
      </c>
      <c r="F57" s="179" t="s">
        <v>2728</v>
      </c>
      <c r="G57" s="179">
        <v>14175</v>
      </c>
      <c r="J57" s="179">
        <v>14175</v>
      </c>
      <c r="K57" s="179">
        <v>14175</v>
      </c>
      <c r="N57" s="179">
        <f t="shared" si="0"/>
        <v>0</v>
      </c>
      <c r="O57" s="179" t="s">
        <v>2756</v>
      </c>
      <c r="P57" s="179" t="s">
        <v>2757</v>
      </c>
    </row>
    <row r="58" spans="1:21">
      <c r="A58" s="95">
        <v>20100603</v>
      </c>
      <c r="B58" s="179">
        <v>107</v>
      </c>
      <c r="C58" s="221" t="s">
        <v>2687</v>
      </c>
      <c r="D58" s="179">
        <v>5</v>
      </c>
      <c r="E58" s="221" t="s">
        <v>2401</v>
      </c>
      <c r="F58" s="179" t="s">
        <v>2399</v>
      </c>
      <c r="G58" s="179">
        <v>14175</v>
      </c>
      <c r="J58" s="179">
        <v>14175</v>
      </c>
      <c r="K58" s="179">
        <v>14175</v>
      </c>
      <c r="N58" s="179">
        <f t="shared" si="0"/>
        <v>0</v>
      </c>
      <c r="O58" s="179" t="s">
        <v>2758</v>
      </c>
      <c r="P58" s="179" t="s">
        <v>2759</v>
      </c>
    </row>
    <row r="59" spans="1:21">
      <c r="A59" s="95">
        <v>20100603</v>
      </c>
      <c r="B59" s="179">
        <v>108</v>
      </c>
      <c r="C59" s="221" t="s">
        <v>2687</v>
      </c>
      <c r="D59" s="179">
        <v>6</v>
      </c>
      <c r="E59" s="221" t="s">
        <v>1614</v>
      </c>
      <c r="F59" s="179" t="s">
        <v>580</v>
      </c>
      <c r="G59" s="179">
        <v>14175</v>
      </c>
      <c r="J59" s="179">
        <v>14175</v>
      </c>
      <c r="K59" s="179">
        <v>14175</v>
      </c>
      <c r="N59" s="179">
        <f t="shared" si="0"/>
        <v>0</v>
      </c>
      <c r="O59" s="179" t="s">
        <v>2760</v>
      </c>
      <c r="P59" s="179" t="s">
        <v>2755</v>
      </c>
    </row>
    <row r="60" spans="1:21" s="114" customFormat="1">
      <c r="A60" s="114">
        <v>20100603</v>
      </c>
      <c r="B60" s="211">
        <v>109</v>
      </c>
      <c r="C60" s="222" t="s">
        <v>2687</v>
      </c>
      <c r="D60" s="211">
        <v>7</v>
      </c>
      <c r="E60" s="222" t="s">
        <v>2567</v>
      </c>
      <c r="F60" s="211" t="s">
        <v>2565</v>
      </c>
      <c r="G60" s="211">
        <v>14175</v>
      </c>
      <c r="H60" s="211"/>
      <c r="I60" s="211"/>
      <c r="J60" s="211">
        <v>14175</v>
      </c>
      <c r="K60" s="211">
        <v>14175</v>
      </c>
      <c r="L60" s="211"/>
      <c r="M60" s="211"/>
      <c r="N60" s="211">
        <f t="shared" si="0"/>
        <v>0</v>
      </c>
      <c r="O60" s="211" t="s">
        <v>486</v>
      </c>
      <c r="P60" s="211" t="s">
        <v>486</v>
      </c>
      <c r="Q60" s="114">
        <v>14175</v>
      </c>
      <c r="R60" s="114">
        <v>14175</v>
      </c>
      <c r="T60" s="211"/>
      <c r="U60" s="211" t="s">
        <v>254</v>
      </c>
    </row>
    <row r="61" spans="1:21">
      <c r="A61" s="95">
        <v>20100603</v>
      </c>
      <c r="B61" s="179">
        <v>110</v>
      </c>
      <c r="C61" s="221" t="s">
        <v>2687</v>
      </c>
      <c r="D61" s="179">
        <v>8</v>
      </c>
      <c r="E61" s="221" t="s">
        <v>1793</v>
      </c>
      <c r="F61" s="179" t="s">
        <v>1790</v>
      </c>
      <c r="G61" s="179">
        <v>14175</v>
      </c>
      <c r="J61" s="179">
        <v>14175</v>
      </c>
      <c r="K61" s="179">
        <v>14175</v>
      </c>
      <c r="N61" s="179">
        <f t="shared" si="0"/>
        <v>0</v>
      </c>
      <c r="O61" s="179" t="s">
        <v>818</v>
      </c>
      <c r="P61" s="179" t="s">
        <v>487</v>
      </c>
      <c r="Q61" s="3">
        <v>14175</v>
      </c>
      <c r="R61">
        <v>14175</v>
      </c>
    </row>
    <row r="62" spans="1:21">
      <c r="A62" s="95">
        <v>20100624</v>
      </c>
      <c r="B62" s="179">
        <v>115</v>
      </c>
      <c r="C62" s="221" t="s">
        <v>1761</v>
      </c>
      <c r="D62" s="179">
        <v>4</v>
      </c>
      <c r="E62" s="221" t="s">
        <v>2738</v>
      </c>
      <c r="F62" s="179" t="s">
        <v>2737</v>
      </c>
      <c r="G62" s="179">
        <v>12600</v>
      </c>
      <c r="J62" s="179">
        <v>12600</v>
      </c>
      <c r="K62" s="179">
        <v>12600</v>
      </c>
      <c r="N62" s="179">
        <f t="shared" si="0"/>
        <v>0</v>
      </c>
      <c r="O62" s="179" t="s">
        <v>2749</v>
      </c>
      <c r="P62" s="179" t="s">
        <v>2750</v>
      </c>
    </row>
    <row r="63" spans="1:21">
      <c r="A63" s="95">
        <v>20100624</v>
      </c>
      <c r="B63" s="179">
        <v>116</v>
      </c>
      <c r="C63" s="221" t="s">
        <v>1761</v>
      </c>
      <c r="D63" s="179">
        <v>5</v>
      </c>
      <c r="E63" s="221" t="s">
        <v>2408</v>
      </c>
      <c r="F63" s="179" t="s">
        <v>2407</v>
      </c>
      <c r="G63" s="179">
        <v>12600</v>
      </c>
      <c r="J63" s="179">
        <v>12600</v>
      </c>
      <c r="K63" s="179">
        <v>12600</v>
      </c>
      <c r="N63" s="179">
        <f t="shared" si="0"/>
        <v>0</v>
      </c>
      <c r="O63" s="179" t="s">
        <v>2758</v>
      </c>
      <c r="P63" s="179" t="s">
        <v>2759</v>
      </c>
    </row>
    <row r="64" spans="1:21">
      <c r="A64" s="95">
        <v>20100624</v>
      </c>
      <c r="B64" s="179">
        <v>117</v>
      </c>
      <c r="C64" s="221" t="s">
        <v>1761</v>
      </c>
      <c r="D64" s="179">
        <v>6</v>
      </c>
      <c r="E64" s="221" t="s">
        <v>1621</v>
      </c>
      <c r="F64" s="179" t="s">
        <v>1620</v>
      </c>
      <c r="G64" s="179">
        <v>12600</v>
      </c>
      <c r="J64" s="179">
        <v>12600</v>
      </c>
      <c r="K64" s="179">
        <v>12600</v>
      </c>
      <c r="N64" s="179">
        <f t="shared" si="0"/>
        <v>0</v>
      </c>
      <c r="O64" s="179" t="s">
        <v>2760</v>
      </c>
      <c r="P64" s="179" t="s">
        <v>2755</v>
      </c>
    </row>
    <row r="65" spans="1:21" s="114" customFormat="1">
      <c r="A65" s="114">
        <v>20100624</v>
      </c>
      <c r="B65" s="211">
        <v>118</v>
      </c>
      <c r="C65" s="222" t="s">
        <v>1761</v>
      </c>
      <c r="D65" s="211">
        <v>7</v>
      </c>
      <c r="E65" s="222" t="s">
        <v>1760</v>
      </c>
      <c r="F65" s="211" t="s">
        <v>1759</v>
      </c>
      <c r="G65" s="211">
        <v>12600</v>
      </c>
      <c r="H65" s="211"/>
      <c r="I65" s="211"/>
      <c r="J65" s="211">
        <v>12600</v>
      </c>
      <c r="K65" s="211">
        <v>12600</v>
      </c>
      <c r="L65" s="211"/>
      <c r="M65" s="211"/>
      <c r="N65" s="211">
        <f t="shared" si="0"/>
        <v>0</v>
      </c>
      <c r="O65" s="211" t="s">
        <v>486</v>
      </c>
      <c r="P65" s="211" t="s">
        <v>486</v>
      </c>
      <c r="Q65" s="114">
        <v>12600</v>
      </c>
      <c r="R65" s="114">
        <v>12600</v>
      </c>
      <c r="T65" s="211"/>
      <c r="U65" s="211" t="s">
        <v>254</v>
      </c>
    </row>
    <row r="66" spans="1:21">
      <c r="A66" s="95">
        <v>20100624</v>
      </c>
      <c r="B66" s="179">
        <v>119</v>
      </c>
      <c r="C66" s="221" t="s">
        <v>1761</v>
      </c>
      <c r="D66" s="179">
        <v>8</v>
      </c>
      <c r="E66" s="221" t="s">
        <v>1799</v>
      </c>
      <c r="F66" s="179" t="s">
        <v>1798</v>
      </c>
      <c r="G66" s="179">
        <v>12600</v>
      </c>
      <c r="J66" s="179">
        <v>12600</v>
      </c>
      <c r="K66" s="179">
        <v>12600</v>
      </c>
      <c r="N66" s="179">
        <f t="shared" si="0"/>
        <v>0</v>
      </c>
      <c r="O66" s="179" t="s">
        <v>818</v>
      </c>
      <c r="P66" s="179" t="s">
        <v>487</v>
      </c>
      <c r="Q66" s="3">
        <v>12600</v>
      </c>
      <c r="R66">
        <v>12600</v>
      </c>
    </row>
    <row r="67" spans="1:21">
      <c r="A67" s="95">
        <v>20100628</v>
      </c>
      <c r="B67" s="179">
        <v>122</v>
      </c>
      <c r="C67" s="221" t="s">
        <v>1767</v>
      </c>
      <c r="D67" s="179">
        <v>3</v>
      </c>
      <c r="E67" s="221" t="s">
        <v>2701</v>
      </c>
      <c r="F67" s="179" t="s">
        <v>2700</v>
      </c>
      <c r="G67" s="179">
        <v>24570</v>
      </c>
      <c r="J67" s="179">
        <v>24570</v>
      </c>
      <c r="K67" s="179">
        <v>24570</v>
      </c>
      <c r="N67" s="179">
        <f t="shared" si="0"/>
        <v>0</v>
      </c>
      <c r="O67" s="179" t="s">
        <v>417</v>
      </c>
      <c r="P67" s="179" t="s">
        <v>2743</v>
      </c>
    </row>
    <row r="68" spans="1:21">
      <c r="A68" s="95">
        <v>20100628</v>
      </c>
      <c r="B68" s="179">
        <v>123</v>
      </c>
      <c r="C68" s="221" t="s">
        <v>1767</v>
      </c>
      <c r="D68" s="179">
        <v>4</v>
      </c>
      <c r="E68" s="221" t="s">
        <v>3872</v>
      </c>
      <c r="F68" s="179" t="s">
        <v>3871</v>
      </c>
      <c r="G68" s="179">
        <v>24570</v>
      </c>
      <c r="J68" s="179">
        <v>24570</v>
      </c>
      <c r="K68" s="179">
        <v>24570</v>
      </c>
      <c r="N68" s="179">
        <f t="shared" si="0"/>
        <v>0</v>
      </c>
      <c r="O68" s="179" t="s">
        <v>2762</v>
      </c>
      <c r="P68" s="179" t="s">
        <v>2763</v>
      </c>
    </row>
    <row r="69" spans="1:21">
      <c r="A69" s="95">
        <v>20100628</v>
      </c>
      <c r="B69" s="179">
        <v>124</v>
      </c>
      <c r="C69" s="221" t="s">
        <v>1767</v>
      </c>
      <c r="D69" s="179">
        <v>5</v>
      </c>
      <c r="E69" s="221" t="s">
        <v>2413</v>
      </c>
      <c r="F69" s="179" t="s">
        <v>2412</v>
      </c>
      <c r="G69" s="179">
        <v>24570</v>
      </c>
      <c r="J69" s="179">
        <v>24570</v>
      </c>
      <c r="K69" s="179">
        <v>24570</v>
      </c>
      <c r="N69" s="179">
        <f t="shared" si="0"/>
        <v>0</v>
      </c>
      <c r="O69" s="179" t="s">
        <v>2753</v>
      </c>
      <c r="P69" s="179" t="s">
        <v>2754</v>
      </c>
    </row>
    <row r="70" spans="1:21">
      <c r="A70" s="95">
        <v>20100628</v>
      </c>
      <c r="B70" s="179">
        <v>125</v>
      </c>
      <c r="C70" s="221" t="s">
        <v>1767</v>
      </c>
      <c r="D70" s="179">
        <v>6</v>
      </c>
      <c r="E70" s="221" t="s">
        <v>1626</v>
      </c>
      <c r="F70" s="179" t="s">
        <v>1625</v>
      </c>
      <c r="G70" s="179">
        <v>24570</v>
      </c>
      <c r="J70" s="179">
        <v>24570</v>
      </c>
      <c r="K70" s="179">
        <v>24570</v>
      </c>
      <c r="N70" s="179">
        <f t="shared" si="0"/>
        <v>0</v>
      </c>
      <c r="O70" s="179" t="s">
        <v>574</v>
      </c>
      <c r="P70" s="179" t="s">
        <v>575</v>
      </c>
    </row>
    <row r="71" spans="1:21">
      <c r="A71" s="95">
        <v>20100628</v>
      </c>
      <c r="B71" s="179">
        <v>126</v>
      </c>
      <c r="C71" s="221" t="s">
        <v>1767</v>
      </c>
      <c r="D71" s="179">
        <v>7</v>
      </c>
      <c r="E71" s="221" t="s">
        <v>1766</v>
      </c>
      <c r="F71" s="179" t="s">
        <v>1765</v>
      </c>
      <c r="G71" s="179">
        <v>24570</v>
      </c>
      <c r="J71" s="179">
        <v>24570</v>
      </c>
      <c r="K71" s="179">
        <v>24570</v>
      </c>
      <c r="N71" s="179">
        <f t="shared" si="0"/>
        <v>0</v>
      </c>
      <c r="O71" s="179" t="s">
        <v>2662</v>
      </c>
      <c r="P71" s="179" t="s">
        <v>2767</v>
      </c>
      <c r="Q71" s="3">
        <v>24570</v>
      </c>
      <c r="R71">
        <v>24570</v>
      </c>
    </row>
    <row r="72" spans="1:21">
      <c r="A72" s="95">
        <v>20100628</v>
      </c>
      <c r="B72" s="179">
        <v>127</v>
      </c>
      <c r="C72" s="221" t="s">
        <v>1767</v>
      </c>
      <c r="D72" s="179">
        <v>8</v>
      </c>
      <c r="E72" s="221" t="s">
        <v>1803</v>
      </c>
      <c r="F72" s="179" t="s">
        <v>1802</v>
      </c>
      <c r="G72" s="179">
        <v>24570</v>
      </c>
      <c r="J72" s="179">
        <v>24570</v>
      </c>
      <c r="K72" s="179">
        <v>24570</v>
      </c>
      <c r="N72" s="179">
        <f t="shared" si="0"/>
        <v>0</v>
      </c>
      <c r="O72" s="179" t="s">
        <v>818</v>
      </c>
      <c r="P72" s="179" t="s">
        <v>487</v>
      </c>
      <c r="Q72" s="3">
        <v>24570</v>
      </c>
      <c r="R72">
        <v>24570</v>
      </c>
    </row>
    <row r="73" spans="1:21">
      <c r="A73" s="95">
        <v>20100628</v>
      </c>
      <c r="B73" s="179">
        <v>130</v>
      </c>
      <c r="C73" s="221" t="s">
        <v>1769</v>
      </c>
      <c r="D73" s="179">
        <v>3</v>
      </c>
      <c r="E73" s="221" t="s">
        <v>2702</v>
      </c>
      <c r="F73" s="179" t="s">
        <v>2700</v>
      </c>
      <c r="G73" s="179">
        <v>14175</v>
      </c>
      <c r="J73" s="179">
        <v>14175</v>
      </c>
      <c r="K73" s="179">
        <v>14175</v>
      </c>
      <c r="N73" s="179">
        <f t="shared" si="0"/>
        <v>0</v>
      </c>
      <c r="O73" s="179" t="s">
        <v>417</v>
      </c>
      <c r="P73" s="179" t="s">
        <v>2743</v>
      </c>
    </row>
    <row r="74" spans="1:21">
      <c r="A74" s="95">
        <v>20100628</v>
      </c>
      <c r="B74" s="179">
        <v>131</v>
      </c>
      <c r="C74" s="221" t="s">
        <v>1769</v>
      </c>
      <c r="D74" s="179">
        <v>4</v>
      </c>
      <c r="E74" s="221" t="s">
        <v>3873</v>
      </c>
      <c r="F74" s="179" t="s">
        <v>3871</v>
      </c>
      <c r="G74" s="179">
        <v>14175</v>
      </c>
      <c r="J74" s="179">
        <v>14175</v>
      </c>
      <c r="K74" s="179">
        <v>14175</v>
      </c>
      <c r="N74" s="179">
        <f t="shared" si="0"/>
        <v>0</v>
      </c>
      <c r="O74" s="179" t="s">
        <v>2762</v>
      </c>
      <c r="P74" s="179" t="s">
        <v>2763</v>
      </c>
    </row>
    <row r="75" spans="1:21">
      <c r="A75" s="95">
        <v>20100628</v>
      </c>
      <c r="B75" s="179">
        <v>132</v>
      </c>
      <c r="C75" s="221" t="s">
        <v>1769</v>
      </c>
      <c r="D75" s="179">
        <v>5</v>
      </c>
      <c r="E75" s="221" t="s">
        <v>2414</v>
      </c>
      <c r="F75" s="179" t="s">
        <v>2412</v>
      </c>
      <c r="G75" s="179">
        <v>14175</v>
      </c>
      <c r="J75" s="179">
        <v>14175</v>
      </c>
      <c r="K75" s="179">
        <v>14175</v>
      </c>
      <c r="N75" s="179">
        <f t="shared" ref="N75:N138" si="1">G75-J75</f>
        <v>0</v>
      </c>
      <c r="O75" s="179" t="s">
        <v>2753</v>
      </c>
      <c r="P75" s="179" t="s">
        <v>2754</v>
      </c>
    </row>
    <row r="76" spans="1:21">
      <c r="A76" s="95">
        <v>20100628</v>
      </c>
      <c r="B76" s="179">
        <v>133</v>
      </c>
      <c r="C76" s="221" t="s">
        <v>1769</v>
      </c>
      <c r="D76" s="179">
        <v>6</v>
      </c>
      <c r="E76" s="221" t="s">
        <v>1627</v>
      </c>
      <c r="F76" s="179" t="s">
        <v>1625</v>
      </c>
      <c r="G76" s="179">
        <v>14175</v>
      </c>
      <c r="J76" s="179">
        <v>14175</v>
      </c>
      <c r="K76" s="179">
        <v>14175</v>
      </c>
      <c r="N76" s="179">
        <f t="shared" si="1"/>
        <v>0</v>
      </c>
      <c r="O76" s="179" t="s">
        <v>574</v>
      </c>
      <c r="P76" s="179" t="s">
        <v>575</v>
      </c>
    </row>
    <row r="77" spans="1:21">
      <c r="A77" s="95">
        <v>20100628</v>
      </c>
      <c r="B77" s="179">
        <v>134</v>
      </c>
      <c r="C77" s="221" t="s">
        <v>1769</v>
      </c>
      <c r="D77" s="179">
        <v>7</v>
      </c>
      <c r="E77" s="221" t="s">
        <v>1768</v>
      </c>
      <c r="F77" s="179" t="s">
        <v>1765</v>
      </c>
      <c r="G77" s="179">
        <v>14175</v>
      </c>
      <c r="J77" s="179">
        <v>14175</v>
      </c>
      <c r="K77" s="179">
        <v>14175</v>
      </c>
      <c r="N77" s="179">
        <f t="shared" si="1"/>
        <v>0</v>
      </c>
      <c r="O77" s="179" t="s">
        <v>2662</v>
      </c>
      <c r="P77" s="179" t="s">
        <v>2767</v>
      </c>
      <c r="Q77" s="3">
        <v>14175</v>
      </c>
      <c r="R77">
        <v>14175</v>
      </c>
    </row>
    <row r="78" spans="1:21">
      <c r="A78" s="95">
        <v>20100628</v>
      </c>
      <c r="B78" s="179">
        <v>135</v>
      </c>
      <c r="C78" s="221" t="s">
        <v>1769</v>
      </c>
      <c r="D78" s="179">
        <v>8</v>
      </c>
      <c r="E78" s="221" t="s">
        <v>1804</v>
      </c>
      <c r="F78" s="179" t="s">
        <v>1802</v>
      </c>
      <c r="G78" s="179">
        <v>14175</v>
      </c>
      <c r="J78" s="179">
        <v>14175</v>
      </c>
      <c r="K78" s="179">
        <v>14175</v>
      </c>
      <c r="N78" s="179">
        <f t="shared" si="1"/>
        <v>0</v>
      </c>
      <c r="O78" s="179" t="s">
        <v>818</v>
      </c>
      <c r="P78" s="179" t="s">
        <v>487</v>
      </c>
      <c r="Q78" s="3">
        <v>14175</v>
      </c>
      <c r="R78">
        <v>14175</v>
      </c>
    </row>
    <row r="79" spans="1:21">
      <c r="A79" s="95">
        <v>20100817</v>
      </c>
      <c r="B79" s="179">
        <v>140</v>
      </c>
      <c r="C79" s="221" t="s">
        <v>1792</v>
      </c>
      <c r="D79" s="179">
        <v>3</v>
      </c>
      <c r="E79" s="221" t="s">
        <v>2729</v>
      </c>
      <c r="F79" s="179" t="s">
        <v>2728</v>
      </c>
      <c r="G79" s="179">
        <v>14175</v>
      </c>
      <c r="J79" s="179">
        <v>14175</v>
      </c>
      <c r="K79" s="179">
        <v>14175</v>
      </c>
      <c r="N79" s="179">
        <f t="shared" si="1"/>
        <v>0</v>
      </c>
      <c r="O79" s="179" t="s">
        <v>2756</v>
      </c>
      <c r="P79" s="179" t="s">
        <v>2757</v>
      </c>
    </row>
    <row r="80" spans="1:21">
      <c r="A80" s="95">
        <v>20100817</v>
      </c>
      <c r="B80" s="179">
        <v>141</v>
      </c>
      <c r="C80" s="221" t="s">
        <v>1792</v>
      </c>
      <c r="D80" s="179">
        <v>4</v>
      </c>
      <c r="E80" s="221" t="s">
        <v>2400</v>
      </c>
      <c r="F80" s="179" t="s">
        <v>2399</v>
      </c>
      <c r="G80" s="179">
        <v>14175</v>
      </c>
      <c r="J80" s="179">
        <v>14175</v>
      </c>
      <c r="K80" s="179">
        <v>14175</v>
      </c>
      <c r="N80" s="179">
        <f t="shared" si="1"/>
        <v>0</v>
      </c>
      <c r="O80" s="179" t="s">
        <v>2758</v>
      </c>
      <c r="P80" s="179" t="s">
        <v>2759</v>
      </c>
    </row>
    <row r="81" spans="1:21">
      <c r="A81" s="95">
        <v>20100817</v>
      </c>
      <c r="B81" s="179">
        <v>142</v>
      </c>
      <c r="C81" s="221" t="s">
        <v>1792</v>
      </c>
      <c r="D81" s="179">
        <v>5</v>
      </c>
      <c r="E81" s="221" t="s">
        <v>581</v>
      </c>
      <c r="F81" s="179" t="s">
        <v>580</v>
      </c>
      <c r="G81" s="179">
        <v>14175</v>
      </c>
      <c r="J81" s="179">
        <v>14175</v>
      </c>
      <c r="K81" s="179">
        <v>14175</v>
      </c>
      <c r="N81" s="179">
        <f t="shared" si="1"/>
        <v>0</v>
      </c>
      <c r="O81" s="179" t="s">
        <v>2760</v>
      </c>
      <c r="P81" s="179" t="s">
        <v>2755</v>
      </c>
    </row>
    <row r="82" spans="1:21" s="114" customFormat="1">
      <c r="A82" s="114">
        <v>20100817</v>
      </c>
      <c r="B82" s="211">
        <v>143</v>
      </c>
      <c r="C82" s="222" t="s">
        <v>1792</v>
      </c>
      <c r="D82" s="211">
        <v>6</v>
      </c>
      <c r="E82" s="222" t="s">
        <v>2566</v>
      </c>
      <c r="F82" s="211" t="s">
        <v>2565</v>
      </c>
      <c r="G82" s="211">
        <v>14175</v>
      </c>
      <c r="H82" s="211"/>
      <c r="I82" s="211"/>
      <c r="J82" s="211">
        <v>14175</v>
      </c>
      <c r="K82" s="211">
        <v>14175</v>
      </c>
      <c r="L82" s="211"/>
      <c r="M82" s="211"/>
      <c r="N82" s="211">
        <f t="shared" si="1"/>
        <v>0</v>
      </c>
      <c r="O82" s="211" t="s">
        <v>486</v>
      </c>
      <c r="P82" s="211" t="s">
        <v>486</v>
      </c>
      <c r="Q82" s="114">
        <v>14175</v>
      </c>
      <c r="R82" s="114">
        <v>14175</v>
      </c>
      <c r="T82" s="211"/>
      <c r="U82" s="212" t="s">
        <v>254</v>
      </c>
    </row>
    <row r="83" spans="1:21">
      <c r="A83" s="95">
        <v>20100817</v>
      </c>
      <c r="B83" s="179">
        <v>144</v>
      </c>
      <c r="C83" s="221" t="s">
        <v>1792</v>
      </c>
      <c r="D83" s="179">
        <v>7</v>
      </c>
      <c r="E83" s="221" t="s">
        <v>1791</v>
      </c>
      <c r="F83" s="179" t="s">
        <v>1790</v>
      </c>
      <c r="G83" s="179">
        <v>14175</v>
      </c>
      <c r="J83" s="179">
        <v>14175</v>
      </c>
      <c r="K83" s="179">
        <v>14175</v>
      </c>
      <c r="N83" s="179">
        <f t="shared" si="1"/>
        <v>0</v>
      </c>
      <c r="O83" s="179" t="s">
        <v>818</v>
      </c>
      <c r="P83" s="179" t="s">
        <v>487</v>
      </c>
      <c r="Q83" s="3">
        <v>14175</v>
      </c>
      <c r="R83">
        <v>14175</v>
      </c>
    </row>
    <row r="84" spans="1:21">
      <c r="A84" s="95">
        <v>20100817</v>
      </c>
      <c r="B84" s="179">
        <v>145</v>
      </c>
      <c r="C84" s="221" t="s">
        <v>1792</v>
      </c>
      <c r="D84" s="179">
        <v>8</v>
      </c>
      <c r="E84" s="221" t="s">
        <v>1813</v>
      </c>
      <c r="F84" s="179" t="s">
        <v>1812</v>
      </c>
      <c r="G84" s="179">
        <v>14175</v>
      </c>
      <c r="J84" s="179">
        <v>14175</v>
      </c>
      <c r="K84" s="179">
        <v>14175</v>
      </c>
      <c r="N84" s="179">
        <f t="shared" si="1"/>
        <v>0</v>
      </c>
      <c r="O84" s="179" t="s">
        <v>488</v>
      </c>
      <c r="P84" s="179" t="s">
        <v>489</v>
      </c>
      <c r="Q84" s="3">
        <v>14175</v>
      </c>
      <c r="R84">
        <v>14175</v>
      </c>
    </row>
    <row r="85" spans="1:21">
      <c r="A85" s="95">
        <v>20100818</v>
      </c>
      <c r="B85" s="179">
        <v>148</v>
      </c>
      <c r="C85" s="221" t="s">
        <v>1789</v>
      </c>
      <c r="D85" s="179">
        <v>3</v>
      </c>
      <c r="E85" s="221" t="s">
        <v>2727</v>
      </c>
      <c r="F85" s="179" t="s">
        <v>2726</v>
      </c>
      <c r="G85" s="179">
        <v>14175</v>
      </c>
      <c r="J85" s="179">
        <v>14175</v>
      </c>
      <c r="K85" s="179">
        <v>14175</v>
      </c>
      <c r="N85" s="179">
        <f t="shared" si="1"/>
        <v>0</v>
      </c>
      <c r="O85" s="179" t="s">
        <v>2756</v>
      </c>
      <c r="P85" s="179" t="s">
        <v>2757</v>
      </c>
    </row>
    <row r="86" spans="1:21">
      <c r="A86" s="95">
        <v>20100818</v>
      </c>
      <c r="B86" s="179">
        <v>149</v>
      </c>
      <c r="C86" s="221" t="s">
        <v>1789</v>
      </c>
      <c r="D86" s="179">
        <v>4</v>
      </c>
      <c r="E86" s="221" t="s">
        <v>2398</v>
      </c>
      <c r="F86" s="179" t="s">
        <v>2397</v>
      </c>
      <c r="G86" s="179">
        <v>14175</v>
      </c>
      <c r="J86" s="179">
        <v>14175</v>
      </c>
      <c r="K86" s="179">
        <v>14175</v>
      </c>
      <c r="N86" s="179">
        <f t="shared" si="1"/>
        <v>0</v>
      </c>
      <c r="O86" s="179" t="s">
        <v>2758</v>
      </c>
      <c r="P86" s="179" t="s">
        <v>2759</v>
      </c>
    </row>
    <row r="87" spans="1:21">
      <c r="A87" s="95">
        <v>20100818</v>
      </c>
      <c r="B87" s="179">
        <v>150</v>
      </c>
      <c r="C87" s="221" t="s">
        <v>1789</v>
      </c>
      <c r="D87" s="179">
        <v>5</v>
      </c>
      <c r="E87" s="221" t="s">
        <v>579</v>
      </c>
      <c r="F87" s="179" t="s">
        <v>578</v>
      </c>
      <c r="G87" s="179">
        <v>14175</v>
      </c>
      <c r="J87" s="179">
        <v>14175</v>
      </c>
      <c r="K87" s="179">
        <v>14175</v>
      </c>
      <c r="N87" s="179">
        <f t="shared" si="1"/>
        <v>0</v>
      </c>
      <c r="O87" s="179" t="s">
        <v>2746</v>
      </c>
      <c r="P87" s="179" t="s">
        <v>2747</v>
      </c>
    </row>
    <row r="88" spans="1:21" s="114" customFormat="1">
      <c r="A88" s="114">
        <v>20100818</v>
      </c>
      <c r="B88" s="211">
        <v>151</v>
      </c>
      <c r="C88" s="222" t="s">
        <v>1789</v>
      </c>
      <c r="D88" s="211">
        <v>6</v>
      </c>
      <c r="E88" s="222" t="s">
        <v>2564</v>
      </c>
      <c r="F88" s="211" t="s">
        <v>2563</v>
      </c>
      <c r="G88" s="211">
        <v>14175</v>
      </c>
      <c r="H88" s="211"/>
      <c r="I88" s="211"/>
      <c r="J88" s="211">
        <v>14175</v>
      </c>
      <c r="K88" s="211">
        <v>14175</v>
      </c>
      <c r="L88" s="211"/>
      <c r="M88" s="211"/>
      <c r="N88" s="211">
        <f t="shared" si="1"/>
        <v>0</v>
      </c>
      <c r="O88" s="211" t="s">
        <v>2670</v>
      </c>
      <c r="P88" s="211" t="s">
        <v>486</v>
      </c>
      <c r="Q88" s="114">
        <v>14175</v>
      </c>
      <c r="R88" s="114">
        <v>14175</v>
      </c>
      <c r="T88" s="211"/>
      <c r="U88" s="212" t="s">
        <v>254</v>
      </c>
    </row>
    <row r="89" spans="1:21">
      <c r="A89" s="95">
        <v>20100818</v>
      </c>
      <c r="B89" s="179">
        <v>152</v>
      </c>
      <c r="C89" s="221" t="s">
        <v>1789</v>
      </c>
      <c r="D89" s="179">
        <v>7</v>
      </c>
      <c r="E89" s="221" t="s">
        <v>1788</v>
      </c>
      <c r="F89" s="179" t="s">
        <v>1787</v>
      </c>
      <c r="G89" s="179">
        <v>14175</v>
      </c>
      <c r="J89" s="179">
        <v>14175</v>
      </c>
      <c r="K89" s="179">
        <v>14175</v>
      </c>
      <c r="N89" s="179">
        <f t="shared" si="1"/>
        <v>0</v>
      </c>
      <c r="O89" s="179" t="s">
        <v>2768</v>
      </c>
      <c r="P89" s="179" t="s">
        <v>815</v>
      </c>
      <c r="Q89" s="3">
        <v>14175</v>
      </c>
      <c r="R89">
        <v>14175</v>
      </c>
    </row>
    <row r="90" spans="1:21">
      <c r="A90" s="95">
        <v>20100818</v>
      </c>
      <c r="B90" s="179">
        <v>153</v>
      </c>
      <c r="C90" s="221" t="s">
        <v>1789</v>
      </c>
      <c r="D90" s="179">
        <v>8</v>
      </c>
      <c r="E90" s="221" t="s">
        <v>1811</v>
      </c>
      <c r="F90" s="179" t="s">
        <v>1810</v>
      </c>
      <c r="G90" s="179">
        <v>14175</v>
      </c>
      <c r="J90" s="179">
        <v>14175</v>
      </c>
      <c r="K90" s="179">
        <v>14175</v>
      </c>
      <c r="N90" s="179">
        <f t="shared" si="1"/>
        <v>0</v>
      </c>
      <c r="O90" s="179" t="s">
        <v>488</v>
      </c>
      <c r="P90" s="179" t="s">
        <v>489</v>
      </c>
      <c r="Q90" s="3">
        <v>14175</v>
      </c>
      <c r="R90">
        <v>14175</v>
      </c>
    </row>
    <row r="91" spans="1:21">
      <c r="A91" s="95">
        <v>20100824</v>
      </c>
      <c r="B91" s="179">
        <v>157</v>
      </c>
      <c r="C91" s="221" t="s">
        <v>2693</v>
      </c>
      <c r="D91" s="179">
        <v>4</v>
      </c>
      <c r="E91" s="221" t="s">
        <v>2724</v>
      </c>
      <c r="F91" s="179" t="s">
        <v>2723</v>
      </c>
      <c r="G91" s="179">
        <v>13230</v>
      </c>
      <c r="J91" s="179">
        <v>13230</v>
      </c>
      <c r="K91" s="179">
        <v>13230</v>
      </c>
      <c r="N91" s="179">
        <f t="shared" si="1"/>
        <v>0</v>
      </c>
      <c r="O91" s="179" t="s">
        <v>2756</v>
      </c>
      <c r="P91" s="179" t="s">
        <v>2757</v>
      </c>
    </row>
    <row r="92" spans="1:21">
      <c r="A92" s="95">
        <v>20100824</v>
      </c>
      <c r="B92" s="179">
        <v>158</v>
      </c>
      <c r="C92" s="221" t="s">
        <v>2693</v>
      </c>
      <c r="D92" s="179">
        <v>5</v>
      </c>
      <c r="E92" s="221" t="s">
        <v>2395</v>
      </c>
      <c r="F92" s="179" t="s">
        <v>2394</v>
      </c>
      <c r="G92" s="179">
        <v>13230</v>
      </c>
      <c r="J92" s="179">
        <v>13230</v>
      </c>
      <c r="K92" s="179">
        <v>13230</v>
      </c>
      <c r="N92" s="179">
        <f t="shared" si="1"/>
        <v>0</v>
      </c>
      <c r="O92" s="179" t="s">
        <v>2751</v>
      </c>
      <c r="P92" s="179" t="s">
        <v>2752</v>
      </c>
    </row>
    <row r="93" spans="1:21">
      <c r="A93" s="95">
        <v>20100824</v>
      </c>
      <c r="B93" s="179">
        <v>159</v>
      </c>
      <c r="C93" s="221" t="s">
        <v>2693</v>
      </c>
      <c r="D93" s="179">
        <v>6</v>
      </c>
      <c r="E93" s="221" t="s">
        <v>1908</v>
      </c>
      <c r="F93" s="179" t="s">
        <v>1907</v>
      </c>
      <c r="G93" s="179">
        <v>13230</v>
      </c>
      <c r="J93" s="179">
        <v>13230</v>
      </c>
      <c r="K93" s="179">
        <v>13230</v>
      </c>
      <c r="N93" s="179">
        <f t="shared" si="1"/>
        <v>0</v>
      </c>
      <c r="O93" s="179" t="s">
        <v>2746</v>
      </c>
      <c r="P93" s="179" t="s">
        <v>2747</v>
      </c>
    </row>
    <row r="94" spans="1:21">
      <c r="A94" s="95">
        <v>20100824</v>
      </c>
      <c r="B94" s="179">
        <v>160</v>
      </c>
      <c r="C94" s="221" t="s">
        <v>2693</v>
      </c>
      <c r="D94" s="179">
        <v>7</v>
      </c>
      <c r="E94" s="221" t="s">
        <v>2561</v>
      </c>
      <c r="F94" s="179" t="s">
        <v>2560</v>
      </c>
      <c r="G94" s="179">
        <v>13230</v>
      </c>
      <c r="J94" s="179">
        <v>13230</v>
      </c>
      <c r="K94" s="179">
        <v>13230</v>
      </c>
      <c r="N94" s="179">
        <f t="shared" si="1"/>
        <v>0</v>
      </c>
      <c r="O94" s="179" t="s">
        <v>415</v>
      </c>
      <c r="P94" s="179" t="s">
        <v>2563</v>
      </c>
    </row>
    <row r="95" spans="1:21">
      <c r="A95" s="95">
        <v>20100824</v>
      </c>
      <c r="B95" s="179">
        <v>161</v>
      </c>
      <c r="C95" s="221" t="s">
        <v>2693</v>
      </c>
      <c r="D95" s="179">
        <v>8</v>
      </c>
      <c r="E95" s="221" t="s">
        <v>1786</v>
      </c>
      <c r="F95" s="179" t="s">
        <v>1784</v>
      </c>
      <c r="G95" s="179">
        <v>13230</v>
      </c>
      <c r="J95" s="179">
        <v>13230</v>
      </c>
      <c r="K95" s="179">
        <v>13230</v>
      </c>
      <c r="N95" s="179">
        <f t="shared" si="1"/>
        <v>0</v>
      </c>
      <c r="O95" s="179" t="s">
        <v>2768</v>
      </c>
      <c r="P95" s="179" t="s">
        <v>815</v>
      </c>
      <c r="Q95" s="3">
        <v>13230</v>
      </c>
      <c r="R95">
        <v>13230</v>
      </c>
    </row>
    <row r="96" spans="1:21">
      <c r="A96" s="95">
        <v>20100902</v>
      </c>
      <c r="B96" s="179">
        <v>164</v>
      </c>
      <c r="C96" s="221" t="s">
        <v>1299</v>
      </c>
      <c r="D96" s="179">
        <v>3</v>
      </c>
      <c r="E96" s="221" t="s">
        <v>2725</v>
      </c>
      <c r="F96" s="179" t="s">
        <v>2723</v>
      </c>
      <c r="G96" s="179">
        <v>11340</v>
      </c>
      <c r="J96" s="179">
        <v>11340</v>
      </c>
      <c r="K96" s="179">
        <v>11340</v>
      </c>
      <c r="N96" s="179">
        <f t="shared" si="1"/>
        <v>0</v>
      </c>
      <c r="O96" s="179" t="s">
        <v>2756</v>
      </c>
      <c r="P96" s="179" t="s">
        <v>2757</v>
      </c>
    </row>
    <row r="97" spans="1:21">
      <c r="A97" s="95">
        <v>20100902</v>
      </c>
      <c r="B97" s="179">
        <v>165</v>
      </c>
      <c r="C97" s="221" t="s">
        <v>1299</v>
      </c>
      <c r="D97" s="179">
        <v>4</v>
      </c>
      <c r="E97" s="221" t="s">
        <v>2396</v>
      </c>
      <c r="F97" s="179" t="s">
        <v>2394</v>
      </c>
      <c r="G97" s="179">
        <v>11340</v>
      </c>
      <c r="J97" s="179">
        <v>11340</v>
      </c>
      <c r="K97" s="179">
        <v>11340</v>
      </c>
      <c r="N97" s="179">
        <f t="shared" si="1"/>
        <v>0</v>
      </c>
      <c r="O97" s="179" t="s">
        <v>2751</v>
      </c>
      <c r="P97" s="179" t="s">
        <v>2752</v>
      </c>
    </row>
    <row r="98" spans="1:21">
      <c r="A98" s="95">
        <v>20100902</v>
      </c>
      <c r="B98" s="179">
        <v>166</v>
      </c>
      <c r="C98" s="221" t="s">
        <v>1299</v>
      </c>
      <c r="D98" s="179">
        <v>5</v>
      </c>
      <c r="E98" s="221" t="s">
        <v>1909</v>
      </c>
      <c r="F98" s="179" t="s">
        <v>1907</v>
      </c>
      <c r="G98" s="179">
        <v>11340</v>
      </c>
      <c r="J98" s="179">
        <v>11340</v>
      </c>
      <c r="K98" s="179">
        <v>11340</v>
      </c>
      <c r="N98" s="179">
        <f t="shared" si="1"/>
        <v>0</v>
      </c>
      <c r="O98" s="179" t="s">
        <v>2746</v>
      </c>
      <c r="P98" s="179" t="s">
        <v>2747</v>
      </c>
    </row>
    <row r="99" spans="1:21">
      <c r="A99" s="95">
        <v>20100902</v>
      </c>
      <c r="B99" s="179">
        <v>167</v>
      </c>
      <c r="C99" s="221" t="s">
        <v>1299</v>
      </c>
      <c r="D99" s="179">
        <v>6</v>
      </c>
      <c r="E99" s="221" t="s">
        <v>2562</v>
      </c>
      <c r="F99" s="179" t="s">
        <v>2560</v>
      </c>
      <c r="G99" s="179">
        <v>11340</v>
      </c>
      <c r="J99" s="179">
        <v>11340</v>
      </c>
      <c r="K99" s="179">
        <v>11340</v>
      </c>
      <c r="N99" s="179">
        <f t="shared" si="1"/>
        <v>0</v>
      </c>
      <c r="O99" s="179" t="s">
        <v>415</v>
      </c>
      <c r="P99" s="179" t="s">
        <v>2563</v>
      </c>
    </row>
    <row r="100" spans="1:21">
      <c r="A100" s="95">
        <v>20100902</v>
      </c>
      <c r="B100" s="179">
        <v>168</v>
      </c>
      <c r="C100" s="221" t="s">
        <v>1299</v>
      </c>
      <c r="D100" s="179">
        <v>7</v>
      </c>
      <c r="E100" s="221" t="s">
        <v>1785</v>
      </c>
      <c r="F100" s="179" t="s">
        <v>1784</v>
      </c>
      <c r="G100" s="179">
        <v>11340</v>
      </c>
      <c r="J100" s="179">
        <v>11340</v>
      </c>
      <c r="K100" s="179">
        <v>11340</v>
      </c>
      <c r="N100" s="179">
        <f t="shared" si="1"/>
        <v>0</v>
      </c>
      <c r="O100" s="179" t="s">
        <v>2768</v>
      </c>
      <c r="P100" s="179" t="s">
        <v>815</v>
      </c>
      <c r="Q100" s="3">
        <v>11340</v>
      </c>
      <c r="R100">
        <v>11340</v>
      </c>
    </row>
    <row r="101" spans="1:21">
      <c r="A101" s="95">
        <v>20100902</v>
      </c>
      <c r="B101" s="179">
        <v>169</v>
      </c>
      <c r="C101" s="221" t="s">
        <v>1299</v>
      </c>
      <c r="D101" s="179">
        <v>8</v>
      </c>
      <c r="E101" s="221" t="s">
        <v>1809</v>
      </c>
      <c r="F101" s="179" t="s">
        <v>1808</v>
      </c>
      <c r="G101" s="179">
        <v>11340</v>
      </c>
      <c r="J101" s="179">
        <v>11340</v>
      </c>
      <c r="K101" s="179">
        <v>11340</v>
      </c>
      <c r="N101" s="179">
        <f t="shared" si="1"/>
        <v>0</v>
      </c>
      <c r="O101" s="179" t="s">
        <v>488</v>
      </c>
      <c r="P101" s="179" t="s">
        <v>489</v>
      </c>
      <c r="Q101" s="3">
        <v>11340</v>
      </c>
      <c r="R101">
        <v>11340</v>
      </c>
    </row>
    <row r="102" spans="1:21">
      <c r="A102" s="95">
        <v>20100916</v>
      </c>
      <c r="B102" s="179">
        <v>174</v>
      </c>
      <c r="C102" s="221" t="s">
        <v>2689</v>
      </c>
      <c r="D102" s="179">
        <v>3</v>
      </c>
      <c r="E102" s="221" t="s">
        <v>2736</v>
      </c>
      <c r="F102" s="179" t="s">
        <v>2735</v>
      </c>
      <c r="G102" s="179">
        <v>14175</v>
      </c>
      <c r="J102" s="179">
        <v>14175</v>
      </c>
      <c r="K102" s="179">
        <v>14175</v>
      </c>
      <c r="N102" s="179">
        <f t="shared" si="1"/>
        <v>0</v>
      </c>
      <c r="O102" s="179" t="s">
        <v>2749</v>
      </c>
      <c r="P102" s="179" t="s">
        <v>2750</v>
      </c>
    </row>
    <row r="103" spans="1:21">
      <c r="A103" s="95">
        <v>20100916</v>
      </c>
      <c r="B103" s="179">
        <v>175</v>
      </c>
      <c r="C103" s="221" t="s">
        <v>2689</v>
      </c>
      <c r="D103" s="179">
        <v>4</v>
      </c>
      <c r="E103" s="221" t="s">
        <v>2406</v>
      </c>
      <c r="F103" s="179" t="s">
        <v>2405</v>
      </c>
      <c r="G103" s="179">
        <v>14175</v>
      </c>
      <c r="J103" s="179">
        <v>14175</v>
      </c>
      <c r="K103" s="179">
        <v>14175</v>
      </c>
      <c r="N103" s="179">
        <f t="shared" si="1"/>
        <v>0</v>
      </c>
      <c r="O103" s="179" t="s">
        <v>2758</v>
      </c>
      <c r="P103" s="179" t="s">
        <v>2759</v>
      </c>
    </row>
    <row r="104" spans="1:21">
      <c r="A104" s="95">
        <v>20100916</v>
      </c>
      <c r="B104" s="179">
        <v>176</v>
      </c>
      <c r="C104" s="221" t="s">
        <v>2689</v>
      </c>
      <c r="D104" s="179">
        <v>5</v>
      </c>
      <c r="E104" s="221" t="s">
        <v>1619</v>
      </c>
      <c r="F104" s="179" t="s">
        <v>1618</v>
      </c>
      <c r="G104" s="179">
        <v>14175</v>
      </c>
      <c r="J104" s="179">
        <v>14175</v>
      </c>
      <c r="K104" s="179">
        <v>14175</v>
      </c>
      <c r="N104" s="179">
        <f t="shared" si="1"/>
        <v>0</v>
      </c>
      <c r="O104" s="179" t="s">
        <v>2760</v>
      </c>
      <c r="P104" s="179" t="s">
        <v>2755</v>
      </c>
    </row>
    <row r="105" spans="1:21" s="114" customFormat="1">
      <c r="A105" s="114">
        <v>20100916</v>
      </c>
      <c r="B105" s="211">
        <v>177</v>
      </c>
      <c r="C105" s="222" t="s">
        <v>2689</v>
      </c>
      <c r="D105" s="211">
        <v>6</v>
      </c>
      <c r="E105" s="222" t="s">
        <v>2572</v>
      </c>
      <c r="F105" s="211" t="s">
        <v>2571</v>
      </c>
      <c r="G105" s="211">
        <v>14175</v>
      </c>
      <c r="H105" s="211"/>
      <c r="I105" s="211"/>
      <c r="J105" s="211">
        <v>14175</v>
      </c>
      <c r="K105" s="211">
        <v>14175</v>
      </c>
      <c r="L105" s="211"/>
      <c r="M105" s="211"/>
      <c r="N105" s="211">
        <f t="shared" si="1"/>
        <v>0</v>
      </c>
      <c r="O105" s="211" t="s">
        <v>486</v>
      </c>
      <c r="P105" s="211" t="s">
        <v>486</v>
      </c>
      <c r="Q105" s="114">
        <v>14175</v>
      </c>
      <c r="R105" s="114">
        <v>14175</v>
      </c>
      <c r="T105" s="211"/>
      <c r="U105" s="222" t="s">
        <v>254</v>
      </c>
    </row>
    <row r="106" spans="1:21">
      <c r="A106" s="95">
        <v>20100916</v>
      </c>
      <c r="B106" s="179">
        <v>178</v>
      </c>
      <c r="C106" s="221" t="s">
        <v>2689</v>
      </c>
      <c r="D106" s="179">
        <v>7</v>
      </c>
      <c r="E106" s="221" t="s">
        <v>1797</v>
      </c>
      <c r="F106" s="179" t="s">
        <v>1796</v>
      </c>
      <c r="G106" s="179">
        <v>14175</v>
      </c>
      <c r="J106" s="179">
        <v>14175</v>
      </c>
      <c r="K106" s="179">
        <v>14175</v>
      </c>
      <c r="N106" s="179">
        <f t="shared" si="1"/>
        <v>0</v>
      </c>
      <c r="O106" s="179" t="s">
        <v>818</v>
      </c>
      <c r="P106" s="179" t="s">
        <v>487</v>
      </c>
      <c r="Q106" s="3">
        <v>14175</v>
      </c>
      <c r="R106">
        <v>14175</v>
      </c>
    </row>
    <row r="107" spans="1:21">
      <c r="A107" s="95">
        <v>20100916</v>
      </c>
      <c r="B107" s="179">
        <v>179</v>
      </c>
      <c r="C107" s="221" t="s">
        <v>2689</v>
      </c>
      <c r="D107" s="179">
        <v>8</v>
      </c>
      <c r="E107" s="221" t="s">
        <v>1817</v>
      </c>
      <c r="F107" s="179" t="s">
        <v>1816</v>
      </c>
      <c r="G107" s="179">
        <v>14175</v>
      </c>
      <c r="J107" s="179">
        <v>14175</v>
      </c>
      <c r="K107" s="179">
        <v>14175</v>
      </c>
      <c r="N107" s="179">
        <f t="shared" si="1"/>
        <v>0</v>
      </c>
      <c r="O107" s="179" t="s">
        <v>488</v>
      </c>
      <c r="P107" s="179" t="s">
        <v>489</v>
      </c>
      <c r="Q107" s="3">
        <v>14175</v>
      </c>
      <c r="R107">
        <v>14175</v>
      </c>
    </row>
    <row r="108" spans="1:21">
      <c r="A108" s="95">
        <v>20101004</v>
      </c>
      <c r="B108" s="179">
        <v>189</v>
      </c>
      <c r="C108" s="221" t="s">
        <v>1764</v>
      </c>
      <c r="D108" s="179">
        <v>2</v>
      </c>
      <c r="E108" s="221" t="s">
        <v>2699</v>
      </c>
      <c r="F108" s="179" t="s">
        <v>2696</v>
      </c>
      <c r="G108" s="179">
        <v>14175</v>
      </c>
      <c r="J108" s="179">
        <v>14175</v>
      </c>
      <c r="K108" s="179">
        <v>14175</v>
      </c>
      <c r="N108" s="179">
        <f t="shared" si="1"/>
        <v>0</v>
      </c>
      <c r="O108" s="179" t="s">
        <v>567</v>
      </c>
      <c r="P108" s="179" t="s">
        <v>568</v>
      </c>
    </row>
    <row r="109" spans="1:21">
      <c r="A109" s="95">
        <v>20101004</v>
      </c>
      <c r="B109" s="179">
        <v>190</v>
      </c>
      <c r="C109" s="221" t="s">
        <v>1764</v>
      </c>
      <c r="D109" s="179">
        <v>3</v>
      </c>
      <c r="E109" s="221" t="s">
        <v>3870</v>
      </c>
      <c r="F109" s="179" t="s">
        <v>3867</v>
      </c>
      <c r="G109" s="179">
        <v>14175</v>
      </c>
      <c r="J109" s="179">
        <v>14175</v>
      </c>
      <c r="K109" s="179">
        <v>14175</v>
      </c>
      <c r="N109" s="179">
        <f t="shared" si="1"/>
        <v>0</v>
      </c>
      <c r="O109" s="179" t="s">
        <v>573</v>
      </c>
      <c r="P109" s="179" t="s">
        <v>2761</v>
      </c>
    </row>
    <row r="110" spans="1:21">
      <c r="A110" s="95">
        <v>20101004</v>
      </c>
      <c r="B110" s="179">
        <v>191</v>
      </c>
      <c r="C110" s="221" t="s">
        <v>1764</v>
      </c>
      <c r="D110" s="179">
        <v>4</v>
      </c>
      <c r="E110" s="221" t="s">
        <v>2411</v>
      </c>
      <c r="F110" s="179" t="s">
        <v>2409</v>
      </c>
      <c r="G110" s="179">
        <v>14175</v>
      </c>
      <c r="J110" s="179">
        <v>14175</v>
      </c>
      <c r="K110" s="179">
        <v>14175</v>
      </c>
      <c r="N110" s="179">
        <f t="shared" si="1"/>
        <v>0</v>
      </c>
      <c r="O110" s="179" t="s">
        <v>2753</v>
      </c>
      <c r="P110" s="179" t="s">
        <v>2754</v>
      </c>
    </row>
    <row r="111" spans="1:21">
      <c r="A111" s="95">
        <v>20101004</v>
      </c>
      <c r="B111" s="179">
        <v>192</v>
      </c>
      <c r="C111" s="221" t="s">
        <v>1764</v>
      </c>
      <c r="D111" s="179">
        <v>5</v>
      </c>
      <c r="E111" s="221" t="s">
        <v>1624</v>
      </c>
      <c r="F111" s="179" t="s">
        <v>1622</v>
      </c>
      <c r="G111" s="179">
        <v>14175</v>
      </c>
      <c r="J111" s="179">
        <v>14175</v>
      </c>
      <c r="K111" s="179">
        <v>14175</v>
      </c>
      <c r="N111" s="179">
        <f t="shared" si="1"/>
        <v>0</v>
      </c>
      <c r="O111" s="179" t="s">
        <v>574</v>
      </c>
      <c r="P111" s="179" t="s">
        <v>575</v>
      </c>
    </row>
    <row r="112" spans="1:21" s="114" customFormat="1">
      <c r="A112" s="114">
        <v>20101004</v>
      </c>
      <c r="B112" s="211">
        <v>193</v>
      </c>
      <c r="C112" s="222" t="s">
        <v>1764</v>
      </c>
      <c r="D112" s="211">
        <v>6</v>
      </c>
      <c r="E112" s="222" t="s">
        <v>1763</v>
      </c>
      <c r="F112" s="211" t="s">
        <v>1762</v>
      </c>
      <c r="G112" s="211">
        <v>14175</v>
      </c>
      <c r="H112" s="211"/>
      <c r="I112" s="211"/>
      <c r="J112" s="211">
        <v>14175</v>
      </c>
      <c r="K112" s="211">
        <v>14175</v>
      </c>
      <c r="L112" s="211"/>
      <c r="M112" s="211"/>
      <c r="N112" s="211">
        <f t="shared" si="1"/>
        <v>0</v>
      </c>
      <c r="O112" s="211" t="s">
        <v>2662</v>
      </c>
      <c r="P112" s="211" t="s">
        <v>2767</v>
      </c>
      <c r="Q112" s="114">
        <v>14175</v>
      </c>
      <c r="R112" s="114">
        <v>14175</v>
      </c>
      <c r="T112" s="211"/>
      <c r="U112" s="222" t="s">
        <v>254</v>
      </c>
    </row>
    <row r="113" spans="1:21">
      <c r="A113" s="95">
        <v>20101004</v>
      </c>
      <c r="B113" s="179">
        <v>194</v>
      </c>
      <c r="C113" s="221" t="s">
        <v>1764</v>
      </c>
      <c r="D113" s="179">
        <v>7</v>
      </c>
      <c r="E113" s="221" t="s">
        <v>1801</v>
      </c>
      <c r="F113" s="179" t="s">
        <v>1800</v>
      </c>
      <c r="G113" s="179">
        <v>14175</v>
      </c>
      <c r="J113" s="179">
        <v>14175</v>
      </c>
      <c r="K113" s="179">
        <v>14175</v>
      </c>
      <c r="N113" s="179">
        <f t="shared" si="1"/>
        <v>0</v>
      </c>
      <c r="O113" s="179" t="s">
        <v>818</v>
      </c>
      <c r="P113" s="179" t="s">
        <v>487</v>
      </c>
      <c r="Q113" s="3">
        <v>14175</v>
      </c>
      <c r="R113">
        <v>14175</v>
      </c>
    </row>
    <row r="114" spans="1:21">
      <c r="A114" s="95">
        <v>20101004</v>
      </c>
      <c r="B114" s="179">
        <v>195</v>
      </c>
      <c r="C114" s="221" t="s">
        <v>1764</v>
      </c>
      <c r="D114" s="179">
        <v>8</v>
      </c>
      <c r="E114" s="221" t="s">
        <v>1819</v>
      </c>
      <c r="F114" s="179" t="s">
        <v>1818</v>
      </c>
      <c r="G114" s="179">
        <v>14175</v>
      </c>
      <c r="J114" s="179">
        <v>14175</v>
      </c>
      <c r="K114" s="179">
        <v>14175</v>
      </c>
      <c r="N114" s="179">
        <f t="shared" si="1"/>
        <v>0</v>
      </c>
      <c r="O114" s="179" t="s">
        <v>490</v>
      </c>
      <c r="P114" s="179" t="s">
        <v>491</v>
      </c>
      <c r="Q114" s="3">
        <v>14175</v>
      </c>
      <c r="R114">
        <v>14175</v>
      </c>
    </row>
    <row r="115" spans="1:21">
      <c r="A115" s="95">
        <v>20101018</v>
      </c>
      <c r="B115" s="179">
        <v>197</v>
      </c>
      <c r="C115" s="221" t="s">
        <v>1270</v>
      </c>
      <c r="D115" s="179">
        <v>2</v>
      </c>
      <c r="E115" s="221" t="s">
        <v>2713</v>
      </c>
      <c r="F115" s="179" t="s">
        <v>2712</v>
      </c>
      <c r="G115" s="179">
        <v>20475</v>
      </c>
      <c r="J115" s="179">
        <v>20475</v>
      </c>
      <c r="K115" s="179">
        <v>20475</v>
      </c>
      <c r="N115" s="179">
        <f t="shared" si="1"/>
        <v>0</v>
      </c>
      <c r="O115" s="179" t="s">
        <v>419</v>
      </c>
      <c r="P115" s="179" t="s">
        <v>572</v>
      </c>
    </row>
    <row r="116" spans="1:21">
      <c r="A116" s="95">
        <v>20101018</v>
      </c>
      <c r="B116" s="179">
        <v>198</v>
      </c>
      <c r="C116" s="221" t="s">
        <v>1270</v>
      </c>
      <c r="D116" s="179">
        <v>3</v>
      </c>
      <c r="E116" s="221" t="s">
        <v>3884</v>
      </c>
      <c r="F116" s="179" t="s">
        <v>3883</v>
      </c>
      <c r="G116" s="179">
        <v>20475</v>
      </c>
      <c r="J116" s="179">
        <v>20475</v>
      </c>
      <c r="K116" s="179">
        <v>20475</v>
      </c>
      <c r="N116" s="179">
        <f t="shared" si="1"/>
        <v>0</v>
      </c>
      <c r="O116" s="179" t="s">
        <v>2751</v>
      </c>
      <c r="P116" s="179" t="s">
        <v>2752</v>
      </c>
    </row>
    <row r="117" spans="1:21">
      <c r="A117" s="95">
        <v>20101018</v>
      </c>
      <c r="B117" s="179">
        <v>199</v>
      </c>
      <c r="C117" s="221" t="s">
        <v>1270</v>
      </c>
      <c r="D117" s="179">
        <v>4</v>
      </c>
      <c r="E117" s="221" t="s">
        <v>1897</v>
      </c>
      <c r="F117" s="179" t="s">
        <v>1896</v>
      </c>
      <c r="G117" s="179">
        <v>20475</v>
      </c>
      <c r="J117" s="179">
        <v>20475</v>
      </c>
      <c r="K117" s="179">
        <v>20475</v>
      </c>
      <c r="N117" s="179">
        <f t="shared" si="1"/>
        <v>0</v>
      </c>
      <c r="O117" s="179" t="s">
        <v>2746</v>
      </c>
      <c r="P117" s="179" t="s">
        <v>2747</v>
      </c>
    </row>
    <row r="118" spans="1:21">
      <c r="A118" s="95">
        <v>20101111</v>
      </c>
      <c r="B118" s="179">
        <v>203</v>
      </c>
      <c r="C118" s="221" t="s">
        <v>2423</v>
      </c>
      <c r="D118" s="179">
        <v>2</v>
      </c>
      <c r="E118" s="221" t="s">
        <v>2734</v>
      </c>
      <c r="F118" s="179" t="s">
        <v>2732</v>
      </c>
      <c r="G118" s="179">
        <v>14175</v>
      </c>
      <c r="J118" s="179">
        <v>14175</v>
      </c>
      <c r="K118" s="179">
        <v>14175</v>
      </c>
      <c r="N118" s="179">
        <f t="shared" si="1"/>
        <v>0</v>
      </c>
      <c r="O118" s="179" t="s">
        <v>569</v>
      </c>
      <c r="P118" s="179" t="s">
        <v>570</v>
      </c>
    </row>
    <row r="119" spans="1:21">
      <c r="A119" s="95">
        <v>20101111</v>
      </c>
      <c r="B119" s="179">
        <v>204</v>
      </c>
      <c r="C119" s="221" t="s">
        <v>2423</v>
      </c>
      <c r="D119" s="179">
        <v>3</v>
      </c>
      <c r="E119" s="221" t="s">
        <v>2404</v>
      </c>
      <c r="F119" s="179" t="s">
        <v>2402</v>
      </c>
      <c r="G119" s="179">
        <v>14175</v>
      </c>
      <c r="J119" s="179">
        <v>14175</v>
      </c>
      <c r="K119" s="179">
        <v>14175</v>
      </c>
      <c r="N119" s="179">
        <f t="shared" si="1"/>
        <v>0</v>
      </c>
      <c r="O119" s="179" t="s">
        <v>571</v>
      </c>
      <c r="P119" s="179" t="s">
        <v>421</v>
      </c>
    </row>
    <row r="120" spans="1:21">
      <c r="A120" s="95">
        <v>20101111</v>
      </c>
      <c r="B120" s="179">
        <v>205</v>
      </c>
      <c r="C120" s="221" t="s">
        <v>2423</v>
      </c>
      <c r="D120" s="179">
        <v>4</v>
      </c>
      <c r="E120" s="221" t="s">
        <v>1617</v>
      </c>
      <c r="F120" s="179" t="s">
        <v>1615</v>
      </c>
      <c r="G120" s="179">
        <v>14175</v>
      </c>
      <c r="J120" s="179">
        <v>14175</v>
      </c>
      <c r="K120" s="179">
        <v>14175</v>
      </c>
      <c r="N120" s="179">
        <f t="shared" si="1"/>
        <v>0</v>
      </c>
      <c r="O120" s="179" t="s">
        <v>2758</v>
      </c>
      <c r="P120" s="179" t="s">
        <v>2759</v>
      </c>
    </row>
    <row r="121" spans="1:21" s="114" customFormat="1">
      <c r="A121" s="114">
        <v>20101111</v>
      </c>
      <c r="B121" s="211">
        <v>206</v>
      </c>
      <c r="C121" s="222" t="s">
        <v>2423</v>
      </c>
      <c r="D121" s="211">
        <v>5</v>
      </c>
      <c r="E121" s="222" t="s">
        <v>2570</v>
      </c>
      <c r="F121" s="211" t="s">
        <v>2568</v>
      </c>
      <c r="G121" s="211">
        <v>14175</v>
      </c>
      <c r="H121" s="211"/>
      <c r="I121" s="211"/>
      <c r="J121" s="211">
        <v>14175</v>
      </c>
      <c r="K121" s="211">
        <v>14175</v>
      </c>
      <c r="L121" s="211"/>
      <c r="M121" s="211"/>
      <c r="N121" s="211">
        <f t="shared" si="1"/>
        <v>0</v>
      </c>
      <c r="O121" s="211" t="s">
        <v>486</v>
      </c>
      <c r="P121" s="211" t="s">
        <v>486</v>
      </c>
      <c r="Q121" s="114">
        <v>14175</v>
      </c>
      <c r="R121" s="114">
        <v>14175</v>
      </c>
      <c r="T121" s="211"/>
      <c r="U121" s="222" t="s">
        <v>254</v>
      </c>
    </row>
    <row r="122" spans="1:21">
      <c r="A122" s="95">
        <v>20101111</v>
      </c>
      <c r="B122" s="179">
        <v>207</v>
      </c>
      <c r="C122" s="221" t="s">
        <v>2423</v>
      </c>
      <c r="D122" s="179">
        <v>6</v>
      </c>
      <c r="E122" s="221" t="s">
        <v>1795</v>
      </c>
      <c r="F122" s="179" t="s">
        <v>1794</v>
      </c>
      <c r="G122" s="179">
        <v>14175</v>
      </c>
      <c r="J122" s="179">
        <v>14175</v>
      </c>
      <c r="K122" s="179">
        <v>14175</v>
      </c>
      <c r="N122" s="179">
        <f t="shared" si="1"/>
        <v>0</v>
      </c>
      <c r="O122" s="179" t="s">
        <v>818</v>
      </c>
      <c r="P122" s="179" t="s">
        <v>487</v>
      </c>
      <c r="Q122" s="3">
        <v>14175</v>
      </c>
      <c r="R122">
        <v>14175</v>
      </c>
    </row>
    <row r="123" spans="1:21">
      <c r="A123" s="95">
        <v>20101111</v>
      </c>
      <c r="B123" s="179">
        <v>208</v>
      </c>
      <c r="C123" s="221" t="s">
        <v>2423</v>
      </c>
      <c r="D123" s="179">
        <v>7</v>
      </c>
      <c r="E123" s="221" t="s">
        <v>1815</v>
      </c>
      <c r="F123" s="179" t="s">
        <v>1814</v>
      </c>
      <c r="G123" s="179">
        <v>14175</v>
      </c>
      <c r="J123" s="179">
        <v>14175</v>
      </c>
      <c r="K123" s="179">
        <v>14175</v>
      </c>
      <c r="N123" s="179">
        <f t="shared" si="1"/>
        <v>0</v>
      </c>
      <c r="O123" s="179" t="s">
        <v>488</v>
      </c>
      <c r="P123" s="179" t="s">
        <v>489</v>
      </c>
      <c r="Q123" s="3">
        <v>14175</v>
      </c>
      <c r="R123">
        <v>14175</v>
      </c>
    </row>
    <row r="124" spans="1:21">
      <c r="A124" s="95">
        <v>20101111</v>
      </c>
      <c r="B124" s="179">
        <v>209</v>
      </c>
      <c r="C124" s="221" t="s">
        <v>2423</v>
      </c>
      <c r="D124" s="179">
        <v>8</v>
      </c>
      <c r="E124" s="221" t="s">
        <v>1382</v>
      </c>
      <c r="F124" s="179" t="s">
        <v>1381</v>
      </c>
      <c r="G124" s="179">
        <v>14175</v>
      </c>
      <c r="J124" s="179">
        <v>14175</v>
      </c>
      <c r="K124" s="179">
        <v>14175</v>
      </c>
      <c r="N124" s="179">
        <f t="shared" si="1"/>
        <v>0</v>
      </c>
      <c r="O124" s="179" t="s">
        <v>1461</v>
      </c>
      <c r="P124" s="179" t="s">
        <v>492</v>
      </c>
      <c r="Q124" s="3">
        <v>14175</v>
      </c>
      <c r="R124">
        <v>14175</v>
      </c>
    </row>
    <row r="125" spans="1:21">
      <c r="A125" s="95">
        <v>20101122</v>
      </c>
      <c r="B125" s="179">
        <v>211</v>
      </c>
      <c r="C125" s="221" t="s">
        <v>2691</v>
      </c>
      <c r="D125" s="179">
        <v>2</v>
      </c>
      <c r="E125" s="221" t="s">
        <v>2722</v>
      </c>
      <c r="F125" s="179" t="s">
        <v>2721</v>
      </c>
      <c r="G125" s="179">
        <v>14175</v>
      </c>
      <c r="J125" s="179">
        <v>14175</v>
      </c>
      <c r="K125" s="179">
        <v>14175</v>
      </c>
      <c r="N125" s="179">
        <f t="shared" si="1"/>
        <v>0</v>
      </c>
      <c r="O125" s="179" t="s">
        <v>2756</v>
      </c>
      <c r="P125" s="179" t="s">
        <v>2757</v>
      </c>
    </row>
    <row r="126" spans="1:21">
      <c r="A126" s="95">
        <v>20101122</v>
      </c>
      <c r="B126" s="179">
        <v>212</v>
      </c>
      <c r="C126" s="221" t="s">
        <v>2691</v>
      </c>
      <c r="D126" s="179">
        <v>3</v>
      </c>
      <c r="E126" s="221" t="s">
        <v>2393</v>
      </c>
      <c r="F126" s="179" t="s">
        <v>2392</v>
      </c>
      <c r="G126" s="179">
        <v>14175</v>
      </c>
      <c r="J126" s="179">
        <v>14175</v>
      </c>
      <c r="K126" s="179">
        <v>14175</v>
      </c>
      <c r="N126" s="179">
        <f t="shared" si="1"/>
        <v>0</v>
      </c>
      <c r="O126" s="179" t="s">
        <v>2751</v>
      </c>
      <c r="P126" s="179" t="s">
        <v>2752</v>
      </c>
    </row>
    <row r="127" spans="1:21">
      <c r="A127" s="95">
        <v>20101122</v>
      </c>
      <c r="B127" s="179">
        <v>213</v>
      </c>
      <c r="C127" s="221" t="s">
        <v>2691</v>
      </c>
      <c r="D127" s="179">
        <v>4</v>
      </c>
      <c r="E127" s="221" t="s">
        <v>1906</v>
      </c>
      <c r="F127" s="179" t="s">
        <v>1905</v>
      </c>
      <c r="G127" s="179">
        <v>14175</v>
      </c>
      <c r="J127" s="179">
        <v>14175</v>
      </c>
      <c r="K127" s="179">
        <v>14175</v>
      </c>
      <c r="N127" s="179">
        <f t="shared" si="1"/>
        <v>0</v>
      </c>
      <c r="O127" s="179" t="s">
        <v>2746</v>
      </c>
      <c r="P127" s="179" t="s">
        <v>2747</v>
      </c>
    </row>
    <row r="128" spans="1:21">
      <c r="A128" s="95">
        <v>20101122</v>
      </c>
      <c r="B128" s="179">
        <v>214</v>
      </c>
      <c r="C128" s="221" t="s">
        <v>2691</v>
      </c>
      <c r="D128" s="179">
        <v>5</v>
      </c>
      <c r="E128" s="221" t="s">
        <v>2559</v>
      </c>
      <c r="F128" s="179" t="s">
        <v>2558</v>
      </c>
      <c r="G128" s="179">
        <v>14175</v>
      </c>
      <c r="J128" s="179">
        <v>14175</v>
      </c>
      <c r="K128" s="179">
        <v>14175</v>
      </c>
      <c r="N128" s="179">
        <f t="shared" si="1"/>
        <v>0</v>
      </c>
      <c r="O128" s="179" t="s">
        <v>415</v>
      </c>
      <c r="P128" s="179" t="s">
        <v>2563</v>
      </c>
    </row>
    <row r="129" spans="1:21">
      <c r="A129" s="95">
        <v>20101122</v>
      </c>
      <c r="B129" s="179">
        <v>215</v>
      </c>
      <c r="C129" s="221" t="s">
        <v>2691</v>
      </c>
      <c r="D129" s="179">
        <v>6</v>
      </c>
      <c r="E129" s="221" t="s">
        <v>1783</v>
      </c>
      <c r="F129" s="179" t="s">
        <v>1782</v>
      </c>
      <c r="G129" s="179">
        <v>14175</v>
      </c>
      <c r="J129" s="179">
        <v>14175</v>
      </c>
      <c r="K129" s="179">
        <v>14175</v>
      </c>
      <c r="N129" s="179">
        <f t="shared" si="1"/>
        <v>0</v>
      </c>
      <c r="O129" s="179" t="s">
        <v>2768</v>
      </c>
      <c r="P129" s="179" t="s">
        <v>815</v>
      </c>
      <c r="Q129" s="3">
        <v>14175</v>
      </c>
      <c r="R129">
        <v>14175</v>
      </c>
    </row>
    <row r="130" spans="1:21">
      <c r="A130" s="95">
        <v>20101122</v>
      </c>
      <c r="B130" s="179">
        <v>216</v>
      </c>
      <c r="C130" s="221" t="s">
        <v>2691</v>
      </c>
      <c r="D130" s="179">
        <v>7</v>
      </c>
      <c r="E130" s="221" t="s">
        <v>1807</v>
      </c>
      <c r="F130" s="179" t="s">
        <v>1806</v>
      </c>
      <c r="G130" s="179">
        <v>14175</v>
      </c>
      <c r="J130" s="179">
        <v>14175</v>
      </c>
      <c r="K130" s="179">
        <v>14175</v>
      </c>
      <c r="N130" s="179">
        <f t="shared" si="1"/>
        <v>0</v>
      </c>
      <c r="O130" s="179" t="s">
        <v>488</v>
      </c>
      <c r="P130" s="179" t="s">
        <v>489</v>
      </c>
      <c r="Q130" s="3">
        <v>14175</v>
      </c>
      <c r="R130">
        <v>14175</v>
      </c>
    </row>
    <row r="131" spans="1:21">
      <c r="A131" s="95">
        <v>20101122</v>
      </c>
      <c r="B131" s="179">
        <v>217</v>
      </c>
      <c r="C131" s="221" t="s">
        <v>2691</v>
      </c>
      <c r="D131" s="179">
        <v>8</v>
      </c>
      <c r="E131" s="221" t="s">
        <v>1380</v>
      </c>
      <c r="F131" s="179" t="s">
        <v>1379</v>
      </c>
      <c r="G131" s="179">
        <v>14175</v>
      </c>
      <c r="J131" s="179">
        <v>14175</v>
      </c>
      <c r="K131" s="179">
        <v>14175</v>
      </c>
      <c r="N131" s="179">
        <f t="shared" si="1"/>
        <v>0</v>
      </c>
      <c r="O131" s="179" t="s">
        <v>493</v>
      </c>
      <c r="P131" s="179" t="s">
        <v>911</v>
      </c>
      <c r="Q131" s="3">
        <v>14175</v>
      </c>
      <c r="R131">
        <v>14175</v>
      </c>
    </row>
    <row r="132" spans="1:21">
      <c r="A132" s="95">
        <v>20101129</v>
      </c>
      <c r="B132" s="179">
        <v>218</v>
      </c>
      <c r="C132" s="221" t="s">
        <v>1699</v>
      </c>
      <c r="D132" s="179">
        <v>1</v>
      </c>
      <c r="E132" s="221" t="s">
        <v>2695</v>
      </c>
      <c r="F132" s="179" t="s">
        <v>2694</v>
      </c>
      <c r="G132" s="179">
        <v>13500</v>
      </c>
      <c r="J132" s="179">
        <v>13500</v>
      </c>
      <c r="K132" s="179">
        <v>13500</v>
      </c>
      <c r="N132" s="179">
        <f t="shared" si="1"/>
        <v>0</v>
      </c>
      <c r="O132" s="179" t="s">
        <v>567</v>
      </c>
      <c r="P132" s="179" t="s">
        <v>568</v>
      </c>
    </row>
    <row r="133" spans="1:21">
      <c r="A133" s="95">
        <v>20101217</v>
      </c>
      <c r="B133" s="179">
        <v>221</v>
      </c>
      <c r="C133" s="221" t="s">
        <v>1306</v>
      </c>
      <c r="D133" s="179">
        <v>1</v>
      </c>
      <c r="E133" s="221" t="s">
        <v>2718</v>
      </c>
      <c r="F133" s="179" t="s">
        <v>561</v>
      </c>
      <c r="G133" s="179">
        <v>14175</v>
      </c>
      <c r="J133" s="179">
        <v>14175</v>
      </c>
      <c r="K133" s="179">
        <v>14175</v>
      </c>
      <c r="N133" s="179">
        <f t="shared" si="1"/>
        <v>0</v>
      </c>
      <c r="O133" s="179" t="s">
        <v>2756</v>
      </c>
      <c r="P133" s="179" t="s">
        <v>2757</v>
      </c>
    </row>
    <row r="134" spans="1:21">
      <c r="A134" s="95">
        <v>20101217</v>
      </c>
      <c r="B134" s="179">
        <v>222</v>
      </c>
      <c r="C134" s="221" t="s">
        <v>1306</v>
      </c>
      <c r="D134" s="179">
        <v>2</v>
      </c>
      <c r="E134" s="221" t="s">
        <v>2389</v>
      </c>
      <c r="F134" s="179" t="s">
        <v>562</v>
      </c>
      <c r="G134" s="179">
        <v>14175</v>
      </c>
      <c r="J134" s="179">
        <v>14175</v>
      </c>
      <c r="K134" s="179">
        <v>14175</v>
      </c>
      <c r="N134" s="179">
        <f t="shared" si="1"/>
        <v>0</v>
      </c>
      <c r="O134" s="179" t="s">
        <v>2751</v>
      </c>
      <c r="P134" s="179" t="s">
        <v>2752</v>
      </c>
    </row>
    <row r="135" spans="1:21">
      <c r="A135" s="95">
        <v>20101217</v>
      </c>
      <c r="B135" s="179">
        <v>223</v>
      </c>
      <c r="C135" s="221" t="s">
        <v>1306</v>
      </c>
      <c r="D135" s="179">
        <v>3</v>
      </c>
      <c r="E135" s="221" t="s">
        <v>1902</v>
      </c>
      <c r="F135" s="179" t="s">
        <v>563</v>
      </c>
      <c r="G135" s="179">
        <v>14175</v>
      </c>
      <c r="J135" s="179">
        <v>14175</v>
      </c>
      <c r="K135" s="179">
        <v>14175</v>
      </c>
      <c r="N135" s="179">
        <f t="shared" si="1"/>
        <v>0</v>
      </c>
      <c r="O135" s="179" t="s">
        <v>2746</v>
      </c>
      <c r="P135" s="179" t="s">
        <v>2747</v>
      </c>
    </row>
    <row r="136" spans="1:21">
      <c r="A136" s="95">
        <v>20101217</v>
      </c>
      <c r="B136" s="179">
        <v>224</v>
      </c>
      <c r="C136" s="221" t="s">
        <v>1306</v>
      </c>
      <c r="D136" s="179">
        <v>4</v>
      </c>
      <c r="E136" s="221" t="s">
        <v>2657</v>
      </c>
      <c r="F136" s="179" t="s">
        <v>2656</v>
      </c>
      <c r="G136" s="179">
        <v>14175</v>
      </c>
      <c r="J136" s="179">
        <v>14175</v>
      </c>
      <c r="K136" s="179">
        <v>14175</v>
      </c>
      <c r="N136" s="179">
        <f t="shared" si="1"/>
        <v>0</v>
      </c>
      <c r="O136" s="179" t="s">
        <v>415</v>
      </c>
      <c r="P136" s="179" t="s">
        <v>2563</v>
      </c>
    </row>
    <row r="137" spans="1:21">
      <c r="A137" s="95">
        <v>20101217</v>
      </c>
      <c r="B137" s="179">
        <v>225</v>
      </c>
      <c r="C137" s="221" t="s">
        <v>1306</v>
      </c>
      <c r="D137" s="179">
        <v>5</v>
      </c>
      <c r="E137" s="221" t="s">
        <v>1778</v>
      </c>
      <c r="F137" s="179" t="s">
        <v>564</v>
      </c>
      <c r="G137" s="179">
        <v>14175</v>
      </c>
      <c r="J137" s="179">
        <v>14175</v>
      </c>
      <c r="K137" s="179">
        <v>14175</v>
      </c>
      <c r="N137" s="179">
        <f t="shared" si="1"/>
        <v>0</v>
      </c>
      <c r="O137" s="179" t="s">
        <v>2768</v>
      </c>
      <c r="P137" s="179" t="s">
        <v>815</v>
      </c>
      <c r="Q137" s="3">
        <v>14175</v>
      </c>
      <c r="R137">
        <v>14175</v>
      </c>
    </row>
    <row r="138" spans="1:21">
      <c r="A138" s="95">
        <v>20101217</v>
      </c>
      <c r="B138" s="179">
        <v>226</v>
      </c>
      <c r="C138" s="221" t="s">
        <v>1306</v>
      </c>
      <c r="D138" s="179">
        <v>6</v>
      </c>
      <c r="E138" s="221" t="s">
        <v>1805</v>
      </c>
      <c r="F138" s="179" t="s">
        <v>565</v>
      </c>
      <c r="G138" s="179">
        <v>14175</v>
      </c>
      <c r="J138" s="179">
        <v>14175</v>
      </c>
      <c r="K138" s="179">
        <v>14175</v>
      </c>
      <c r="N138" s="179">
        <f t="shared" si="1"/>
        <v>0</v>
      </c>
      <c r="O138" s="179" t="s">
        <v>488</v>
      </c>
      <c r="P138" s="179" t="s">
        <v>489</v>
      </c>
      <c r="Q138" s="3">
        <v>14175</v>
      </c>
      <c r="R138">
        <v>14175</v>
      </c>
    </row>
    <row r="139" spans="1:21">
      <c r="A139" s="95">
        <v>20101217</v>
      </c>
      <c r="B139" s="179">
        <v>227</v>
      </c>
      <c r="C139" s="221" t="s">
        <v>1306</v>
      </c>
      <c r="D139" s="179">
        <v>7</v>
      </c>
      <c r="E139" s="221" t="s">
        <v>1820</v>
      </c>
      <c r="F139" s="179" t="s">
        <v>566</v>
      </c>
      <c r="G139" s="179">
        <v>14175</v>
      </c>
      <c r="J139" s="179">
        <v>14175</v>
      </c>
      <c r="K139" s="179">
        <v>14175</v>
      </c>
      <c r="N139" s="179">
        <f>G139-J139</f>
        <v>0</v>
      </c>
      <c r="O139" s="179" t="s">
        <v>493</v>
      </c>
      <c r="P139" s="179" t="s">
        <v>911</v>
      </c>
      <c r="Q139" s="3">
        <v>14175</v>
      </c>
      <c r="R139">
        <v>14175</v>
      </c>
    </row>
    <row r="140" spans="1:21">
      <c r="A140" s="95">
        <v>20101217</v>
      </c>
      <c r="B140" s="179">
        <v>228</v>
      </c>
      <c r="C140" s="221" t="s">
        <v>1306</v>
      </c>
      <c r="D140" s="179">
        <v>8</v>
      </c>
      <c r="E140" s="221" t="s">
        <v>1384</v>
      </c>
      <c r="F140" s="179" t="s">
        <v>1383</v>
      </c>
      <c r="G140" s="179">
        <v>14175</v>
      </c>
      <c r="J140" s="179">
        <v>14175</v>
      </c>
      <c r="K140" s="179">
        <v>14175</v>
      </c>
      <c r="N140" s="179">
        <f>G140-J140</f>
        <v>0</v>
      </c>
      <c r="O140" s="179" t="s">
        <v>458</v>
      </c>
      <c r="P140" s="179" t="s">
        <v>2035</v>
      </c>
      <c r="Q140" s="3">
        <v>14175</v>
      </c>
      <c r="R140">
        <v>14175</v>
      </c>
    </row>
    <row r="141" spans="1:21" s="176" customFormat="1" ht="20.25" customHeight="1">
      <c r="A141" s="203" t="s">
        <v>2531</v>
      </c>
      <c r="B141" s="200"/>
      <c r="C141" s="201"/>
      <c r="D141" s="202"/>
      <c r="E141" s="201"/>
      <c r="F141" s="185" t="s">
        <v>2378</v>
      </c>
      <c r="G141" s="185">
        <f>SUM(G143:G279)</f>
        <v>1643040</v>
      </c>
      <c r="H141" s="185"/>
      <c r="I141" s="185"/>
      <c r="J141" s="185">
        <f>SUM(J143:J279)</f>
        <v>1643040</v>
      </c>
      <c r="K141" s="185">
        <f>SUM(K143:K279)</f>
        <v>1643040</v>
      </c>
      <c r="L141" s="185"/>
      <c r="M141" s="185"/>
      <c r="N141" s="185">
        <f>SUM(N143:N279)</f>
        <v>0</v>
      </c>
      <c r="O141" s="185"/>
      <c r="P141" s="185"/>
      <c r="Q141" s="185">
        <f>SUM(Q143:Q279)</f>
        <v>1286910</v>
      </c>
      <c r="R141" s="185">
        <f>SUM(R143:R279)</f>
        <v>1241205</v>
      </c>
      <c r="S141" s="185"/>
      <c r="T141" s="185">
        <f>SUM(T143:T279)</f>
        <v>345</v>
      </c>
    </row>
    <row r="142" spans="1:21" s="180" customFormat="1">
      <c r="A142" s="181" t="s">
        <v>1281</v>
      </c>
      <c r="B142" s="181" t="s">
        <v>2435</v>
      </c>
      <c r="C142" s="181" t="s">
        <v>1385</v>
      </c>
      <c r="D142" s="181" t="s">
        <v>1275</v>
      </c>
      <c r="E142" s="181" t="s">
        <v>265</v>
      </c>
      <c r="F142" s="181" t="s">
        <v>1280</v>
      </c>
      <c r="G142" s="181" t="s">
        <v>2434</v>
      </c>
      <c r="H142" s="181"/>
      <c r="I142" s="181"/>
      <c r="J142" s="181" t="s">
        <v>1892</v>
      </c>
      <c r="K142" s="181" t="s">
        <v>1892</v>
      </c>
      <c r="L142" s="181"/>
      <c r="M142" s="181"/>
      <c r="N142" s="181" t="s">
        <v>2438</v>
      </c>
      <c r="O142" s="181" t="s">
        <v>1282</v>
      </c>
      <c r="P142" s="181" t="s">
        <v>1386</v>
      </c>
      <c r="Q142" s="181" t="s">
        <v>576</v>
      </c>
      <c r="R142" s="181" t="s">
        <v>3593</v>
      </c>
      <c r="S142" s="181"/>
      <c r="T142" s="181" t="s">
        <v>577</v>
      </c>
    </row>
    <row r="143" spans="1:21" s="8" customFormat="1">
      <c r="A143" s="208" t="s">
        <v>1858</v>
      </c>
      <c r="B143" s="208">
        <v>300</v>
      </c>
      <c r="C143" s="207" t="s">
        <v>255</v>
      </c>
      <c r="D143" s="207">
        <v>1</v>
      </c>
      <c r="E143" s="207" t="s">
        <v>1859</v>
      </c>
      <c r="F143" s="207" t="s">
        <v>1860</v>
      </c>
      <c r="G143" s="208">
        <v>11340</v>
      </c>
      <c r="H143" s="208"/>
      <c r="I143" s="208"/>
      <c r="J143" s="208">
        <v>11340</v>
      </c>
      <c r="K143" s="208">
        <v>11340</v>
      </c>
      <c r="L143" s="208"/>
      <c r="M143" s="208"/>
      <c r="N143" s="208">
        <f t="shared" ref="N143:N206" si="2">G143-J143</f>
        <v>0</v>
      </c>
      <c r="O143" s="207" t="s">
        <v>567</v>
      </c>
      <c r="P143" s="207" t="s">
        <v>568</v>
      </c>
      <c r="Q143" s="184"/>
      <c r="T143" s="184"/>
      <c r="U143" s="8" t="s">
        <v>1910</v>
      </c>
    </row>
    <row r="144" spans="1:21" s="8" customFormat="1">
      <c r="A144" s="208" t="s">
        <v>1858</v>
      </c>
      <c r="B144" s="208">
        <v>301</v>
      </c>
      <c r="C144" s="207" t="s">
        <v>255</v>
      </c>
      <c r="D144" s="207">
        <v>2</v>
      </c>
      <c r="E144" s="207" t="s">
        <v>1861</v>
      </c>
      <c r="F144" s="207" t="s">
        <v>573</v>
      </c>
      <c r="G144" s="208">
        <v>11340</v>
      </c>
      <c r="H144" s="208"/>
      <c r="I144" s="208"/>
      <c r="J144" s="208">
        <v>11340</v>
      </c>
      <c r="K144" s="208">
        <v>11340</v>
      </c>
      <c r="L144" s="208"/>
      <c r="M144" s="208"/>
      <c r="N144" s="208">
        <f t="shared" si="2"/>
        <v>0</v>
      </c>
      <c r="O144" s="207" t="s">
        <v>573</v>
      </c>
      <c r="P144" s="207" t="s">
        <v>2761</v>
      </c>
      <c r="Q144" s="184"/>
      <c r="T144" s="184"/>
      <c r="U144" s="8" t="s">
        <v>1910</v>
      </c>
    </row>
    <row r="145" spans="1:21" s="8" customFormat="1">
      <c r="A145" s="208" t="s">
        <v>1858</v>
      </c>
      <c r="B145" s="208">
        <v>302</v>
      </c>
      <c r="C145" s="207" t="s">
        <v>255</v>
      </c>
      <c r="D145" s="207">
        <v>3</v>
      </c>
      <c r="E145" s="207" t="s">
        <v>1862</v>
      </c>
      <c r="F145" s="207" t="s">
        <v>1863</v>
      </c>
      <c r="G145" s="208">
        <v>11340</v>
      </c>
      <c r="H145" s="208"/>
      <c r="I145" s="208"/>
      <c r="J145" s="208">
        <v>11340</v>
      </c>
      <c r="K145" s="208">
        <v>11340</v>
      </c>
      <c r="L145" s="208"/>
      <c r="M145" s="208"/>
      <c r="N145" s="208">
        <f t="shared" si="2"/>
        <v>0</v>
      </c>
      <c r="O145" s="207" t="s">
        <v>2753</v>
      </c>
      <c r="P145" s="207" t="s">
        <v>2754</v>
      </c>
      <c r="Q145" s="184"/>
      <c r="T145" s="184"/>
      <c r="U145" s="8" t="s">
        <v>1910</v>
      </c>
    </row>
    <row r="146" spans="1:21" s="8" customFormat="1">
      <c r="A146" s="208" t="s">
        <v>1858</v>
      </c>
      <c r="B146" s="208">
        <v>303</v>
      </c>
      <c r="C146" s="207" t="s">
        <v>255</v>
      </c>
      <c r="D146" s="207">
        <v>4</v>
      </c>
      <c r="E146" s="207" t="s">
        <v>1864</v>
      </c>
      <c r="F146" s="207" t="s">
        <v>1865</v>
      </c>
      <c r="G146" s="208">
        <v>11340</v>
      </c>
      <c r="H146" s="208"/>
      <c r="I146" s="208"/>
      <c r="J146" s="208">
        <v>11340</v>
      </c>
      <c r="K146" s="208">
        <v>11340</v>
      </c>
      <c r="L146" s="208"/>
      <c r="M146" s="208"/>
      <c r="N146" s="208">
        <f t="shared" si="2"/>
        <v>0</v>
      </c>
      <c r="O146" s="207" t="s">
        <v>574</v>
      </c>
      <c r="P146" s="207" t="s">
        <v>575</v>
      </c>
      <c r="Q146" s="184"/>
      <c r="T146" s="184"/>
      <c r="U146" s="8" t="s">
        <v>1910</v>
      </c>
    </row>
    <row r="147" spans="1:21" s="8" customFormat="1">
      <c r="A147" s="208" t="s">
        <v>1858</v>
      </c>
      <c r="B147" s="208">
        <v>304</v>
      </c>
      <c r="C147" s="207" t="s">
        <v>255</v>
      </c>
      <c r="D147" s="207">
        <v>5</v>
      </c>
      <c r="E147" s="207" t="s">
        <v>1866</v>
      </c>
      <c r="F147" s="207" t="s">
        <v>1867</v>
      </c>
      <c r="G147" s="208">
        <v>11340</v>
      </c>
      <c r="H147" s="208"/>
      <c r="I147" s="208"/>
      <c r="J147" s="208">
        <v>11340</v>
      </c>
      <c r="K147" s="208">
        <v>11340</v>
      </c>
      <c r="L147" s="208"/>
      <c r="M147" s="208"/>
      <c r="N147" s="208">
        <f t="shared" si="2"/>
        <v>0</v>
      </c>
      <c r="O147" s="207" t="s">
        <v>2662</v>
      </c>
      <c r="P147" s="207" t="s">
        <v>2767</v>
      </c>
      <c r="Q147" s="184">
        <v>11340</v>
      </c>
      <c r="R147" s="8">
        <v>11340</v>
      </c>
      <c r="T147" s="184"/>
      <c r="U147" s="8" t="s">
        <v>1910</v>
      </c>
    </row>
    <row r="148" spans="1:21" s="8" customFormat="1">
      <c r="A148" s="208" t="s">
        <v>1858</v>
      </c>
      <c r="B148" s="208">
        <v>305</v>
      </c>
      <c r="C148" s="207" t="s">
        <v>255</v>
      </c>
      <c r="D148" s="207">
        <v>6</v>
      </c>
      <c r="E148" s="207" t="s">
        <v>1868</v>
      </c>
      <c r="F148" s="207" t="s">
        <v>1869</v>
      </c>
      <c r="G148" s="208">
        <v>11340</v>
      </c>
      <c r="H148" s="208"/>
      <c r="I148" s="208"/>
      <c r="J148" s="208">
        <v>11340</v>
      </c>
      <c r="K148" s="208">
        <v>11340</v>
      </c>
      <c r="L148" s="208"/>
      <c r="M148" s="208"/>
      <c r="N148" s="208">
        <f t="shared" si="2"/>
        <v>0</v>
      </c>
      <c r="O148" s="207" t="s">
        <v>818</v>
      </c>
      <c r="P148" s="207" t="s">
        <v>487</v>
      </c>
      <c r="Q148" s="184">
        <v>11340</v>
      </c>
      <c r="R148" s="8">
        <v>11340</v>
      </c>
      <c r="T148" s="184"/>
      <c r="U148" s="8" t="s">
        <v>1910</v>
      </c>
    </row>
    <row r="149" spans="1:21" s="8" customFormat="1">
      <c r="A149" s="208" t="s">
        <v>1858</v>
      </c>
      <c r="B149" s="208">
        <v>306</v>
      </c>
      <c r="C149" s="207" t="s">
        <v>255</v>
      </c>
      <c r="D149" s="207">
        <v>7</v>
      </c>
      <c r="E149" s="207" t="s">
        <v>1870</v>
      </c>
      <c r="F149" s="207" t="s">
        <v>1871</v>
      </c>
      <c r="G149" s="208">
        <v>11340</v>
      </c>
      <c r="H149" s="208"/>
      <c r="I149" s="208"/>
      <c r="J149" s="208">
        <v>11340</v>
      </c>
      <c r="K149" s="208">
        <v>11340</v>
      </c>
      <c r="L149" s="208"/>
      <c r="M149" s="208"/>
      <c r="N149" s="208">
        <f t="shared" si="2"/>
        <v>0</v>
      </c>
      <c r="O149" s="207" t="s">
        <v>490</v>
      </c>
      <c r="P149" s="207" t="s">
        <v>491</v>
      </c>
      <c r="Q149" s="184">
        <v>11340</v>
      </c>
      <c r="R149" s="8">
        <v>11340</v>
      </c>
      <c r="T149" s="184"/>
      <c r="U149" s="8" t="s">
        <v>1910</v>
      </c>
    </row>
    <row r="150" spans="1:21" s="8" customFormat="1">
      <c r="A150" s="208" t="s">
        <v>1858</v>
      </c>
      <c r="B150" s="208">
        <v>307</v>
      </c>
      <c r="C150" s="207" t="s">
        <v>255</v>
      </c>
      <c r="D150" s="207">
        <v>8</v>
      </c>
      <c r="E150" s="207" t="s">
        <v>1872</v>
      </c>
      <c r="F150" s="207" t="s">
        <v>1873</v>
      </c>
      <c r="G150" s="208">
        <v>11340</v>
      </c>
      <c r="H150" s="208"/>
      <c r="I150" s="208"/>
      <c r="J150" s="208">
        <v>11340</v>
      </c>
      <c r="K150" s="208">
        <v>11340</v>
      </c>
      <c r="L150" s="208"/>
      <c r="M150" s="208"/>
      <c r="N150" s="208">
        <f t="shared" si="2"/>
        <v>0</v>
      </c>
      <c r="O150" s="207" t="s">
        <v>1461</v>
      </c>
      <c r="P150" s="207" t="s">
        <v>492</v>
      </c>
      <c r="Q150" s="184">
        <v>11340</v>
      </c>
      <c r="R150" s="8">
        <v>11340</v>
      </c>
      <c r="T150" s="184"/>
      <c r="U150" s="8" t="s">
        <v>1910</v>
      </c>
    </row>
    <row r="151" spans="1:21">
      <c r="A151" s="209" t="s">
        <v>414</v>
      </c>
      <c r="B151" s="209">
        <v>308</v>
      </c>
      <c r="C151" s="204" t="s">
        <v>7</v>
      </c>
      <c r="D151" s="183">
        <v>1</v>
      </c>
      <c r="E151" s="183" t="s">
        <v>1874</v>
      </c>
      <c r="F151" s="183" t="s">
        <v>2743</v>
      </c>
      <c r="G151" s="209">
        <v>13230</v>
      </c>
      <c r="H151" s="209"/>
      <c r="I151" s="209"/>
      <c r="J151" s="209">
        <v>13230</v>
      </c>
      <c r="K151" s="209">
        <v>13230</v>
      </c>
      <c r="L151" s="209"/>
      <c r="M151" s="209"/>
      <c r="N151" s="209">
        <f t="shared" si="2"/>
        <v>0</v>
      </c>
      <c r="O151" s="183" t="s">
        <v>417</v>
      </c>
      <c r="P151" s="183" t="s">
        <v>2743</v>
      </c>
    </row>
    <row r="152" spans="1:21">
      <c r="A152" s="209" t="s">
        <v>414</v>
      </c>
      <c r="B152" s="209">
        <v>309</v>
      </c>
      <c r="C152" s="204" t="s">
        <v>7</v>
      </c>
      <c r="D152" s="183">
        <v>2</v>
      </c>
      <c r="E152" s="183" t="s">
        <v>1875</v>
      </c>
      <c r="F152" s="183" t="s">
        <v>2659</v>
      </c>
      <c r="G152" s="209">
        <v>13230</v>
      </c>
      <c r="H152" s="209"/>
      <c r="I152" s="209"/>
      <c r="J152" s="209">
        <v>13230</v>
      </c>
      <c r="K152" s="209">
        <v>13230</v>
      </c>
      <c r="L152" s="209"/>
      <c r="M152" s="209"/>
      <c r="N152" s="209">
        <f t="shared" si="2"/>
        <v>0</v>
      </c>
      <c r="O152" s="183" t="s">
        <v>2744</v>
      </c>
      <c r="P152" s="183" t="s">
        <v>2745</v>
      </c>
    </row>
    <row r="153" spans="1:21">
      <c r="A153" s="209" t="s">
        <v>414</v>
      </c>
      <c r="B153" s="209">
        <v>310</v>
      </c>
      <c r="C153" s="204" t="s">
        <v>7</v>
      </c>
      <c r="D153" s="183">
        <v>3</v>
      </c>
      <c r="E153" s="183" t="s">
        <v>1876</v>
      </c>
      <c r="F153" s="183" t="s">
        <v>2660</v>
      </c>
      <c r="G153" s="209">
        <v>13230</v>
      </c>
      <c r="H153" s="209"/>
      <c r="I153" s="209"/>
      <c r="J153" s="209">
        <v>13230</v>
      </c>
      <c r="K153" s="209">
        <v>13230</v>
      </c>
      <c r="L153" s="209"/>
      <c r="M153" s="209"/>
      <c r="N153" s="209">
        <f t="shared" si="2"/>
        <v>0</v>
      </c>
      <c r="O153" s="183" t="s">
        <v>2746</v>
      </c>
      <c r="P153" s="183" t="s">
        <v>2747</v>
      </c>
    </row>
    <row r="154" spans="1:21">
      <c r="A154" s="209" t="s">
        <v>414</v>
      </c>
      <c r="B154" s="209">
        <v>311</v>
      </c>
      <c r="C154" s="204" t="s">
        <v>7</v>
      </c>
      <c r="D154" s="183">
        <v>4</v>
      </c>
      <c r="E154" s="183" t="s">
        <v>1877</v>
      </c>
      <c r="F154" s="183" t="s">
        <v>2649</v>
      </c>
      <c r="G154" s="209">
        <v>13230</v>
      </c>
      <c r="H154" s="209"/>
      <c r="I154" s="209"/>
      <c r="J154" s="209">
        <v>13230</v>
      </c>
      <c r="K154" s="209">
        <v>13230</v>
      </c>
      <c r="L154" s="209"/>
      <c r="M154" s="209"/>
      <c r="N154" s="209">
        <f t="shared" si="2"/>
        <v>0</v>
      </c>
      <c r="O154" s="183" t="s">
        <v>415</v>
      </c>
      <c r="P154" s="183" t="s">
        <v>2563</v>
      </c>
    </row>
    <row r="155" spans="1:21">
      <c r="A155" s="209" t="s">
        <v>414</v>
      </c>
      <c r="B155" s="209">
        <v>312</v>
      </c>
      <c r="C155" s="204" t="s">
        <v>7</v>
      </c>
      <c r="D155" s="183">
        <v>5</v>
      </c>
      <c r="E155" s="183" t="s">
        <v>1878</v>
      </c>
      <c r="F155" s="183" t="s">
        <v>2661</v>
      </c>
      <c r="G155" s="209">
        <v>13230</v>
      </c>
      <c r="H155" s="209"/>
      <c r="I155" s="209"/>
      <c r="J155" s="209">
        <v>13230</v>
      </c>
      <c r="K155" s="209">
        <v>13230</v>
      </c>
      <c r="L155" s="209"/>
      <c r="M155" s="209"/>
      <c r="N155" s="209">
        <f t="shared" si="2"/>
        <v>0</v>
      </c>
      <c r="O155" s="183" t="s">
        <v>2662</v>
      </c>
      <c r="P155" s="183" t="s">
        <v>2767</v>
      </c>
      <c r="Q155" s="3">
        <v>13230</v>
      </c>
      <c r="R155">
        <v>13230</v>
      </c>
    </row>
    <row r="156" spans="1:21">
      <c r="A156" s="209" t="s">
        <v>414</v>
      </c>
      <c r="B156" s="209">
        <v>313</v>
      </c>
      <c r="C156" s="204" t="s">
        <v>7</v>
      </c>
      <c r="D156" s="183">
        <v>6</v>
      </c>
      <c r="E156" s="183" t="s">
        <v>1879</v>
      </c>
      <c r="F156" s="183" t="s">
        <v>2663</v>
      </c>
      <c r="G156" s="209">
        <v>13230</v>
      </c>
      <c r="H156" s="209"/>
      <c r="I156" s="209"/>
      <c r="J156" s="209">
        <v>13230</v>
      </c>
      <c r="K156" s="209">
        <v>13230</v>
      </c>
      <c r="L156" s="209"/>
      <c r="M156" s="209"/>
      <c r="N156" s="209">
        <f t="shared" si="2"/>
        <v>0</v>
      </c>
      <c r="O156" s="183" t="s">
        <v>494</v>
      </c>
      <c r="P156" s="183" t="s">
        <v>908</v>
      </c>
      <c r="Q156" s="3">
        <v>13230</v>
      </c>
      <c r="R156">
        <v>13230</v>
      </c>
    </row>
    <row r="157" spans="1:21">
      <c r="A157" s="209" t="s">
        <v>414</v>
      </c>
      <c r="B157" s="209">
        <v>314</v>
      </c>
      <c r="C157" s="204" t="s">
        <v>7</v>
      </c>
      <c r="D157" s="183">
        <v>7</v>
      </c>
      <c r="E157" s="183" t="s">
        <v>1880</v>
      </c>
      <c r="F157" s="183" t="s">
        <v>2664</v>
      </c>
      <c r="G157" s="209">
        <v>13230</v>
      </c>
      <c r="H157" s="209"/>
      <c r="I157" s="209"/>
      <c r="J157" s="209">
        <v>13230</v>
      </c>
      <c r="K157" s="209">
        <v>13230</v>
      </c>
      <c r="L157" s="209"/>
      <c r="M157" s="209"/>
      <c r="N157" s="209">
        <f t="shared" si="2"/>
        <v>0</v>
      </c>
      <c r="O157" s="183" t="s">
        <v>495</v>
      </c>
      <c r="P157" s="183" t="s">
        <v>1472</v>
      </c>
      <c r="Q157" s="3">
        <v>13230</v>
      </c>
      <c r="R157">
        <v>13230</v>
      </c>
    </row>
    <row r="158" spans="1:21">
      <c r="A158" s="209" t="s">
        <v>414</v>
      </c>
      <c r="B158" s="209">
        <v>315</v>
      </c>
      <c r="C158" s="204" t="s">
        <v>7</v>
      </c>
      <c r="D158" s="183">
        <v>8</v>
      </c>
      <c r="E158" s="183" t="s">
        <v>1881</v>
      </c>
      <c r="F158" s="183" t="s">
        <v>1882</v>
      </c>
      <c r="G158" s="209">
        <v>13230</v>
      </c>
      <c r="H158" s="209"/>
      <c r="I158" s="209"/>
      <c r="J158" s="209">
        <v>13230</v>
      </c>
      <c r="K158" s="209">
        <v>13230</v>
      </c>
      <c r="L158" s="209"/>
      <c r="M158" s="209"/>
      <c r="N158" s="209">
        <f t="shared" si="2"/>
        <v>0</v>
      </c>
      <c r="O158" s="183" t="s">
        <v>1461</v>
      </c>
      <c r="P158" s="183" t="s">
        <v>492</v>
      </c>
      <c r="Q158" s="3">
        <v>13230</v>
      </c>
      <c r="R158">
        <v>13230</v>
      </c>
    </row>
    <row r="159" spans="1:21" s="8" customFormat="1">
      <c r="A159" s="208" t="s">
        <v>416</v>
      </c>
      <c r="B159" s="208">
        <v>316</v>
      </c>
      <c r="C159" s="207" t="s">
        <v>1232</v>
      </c>
      <c r="D159" s="226">
        <v>11</v>
      </c>
      <c r="E159" s="207" t="s">
        <v>1883</v>
      </c>
      <c r="F159" s="207" t="s">
        <v>2748</v>
      </c>
      <c r="G159" s="208">
        <v>16380</v>
      </c>
      <c r="H159" s="208"/>
      <c r="I159" s="208"/>
      <c r="J159" s="208">
        <v>16380</v>
      </c>
      <c r="K159" s="208">
        <v>16380</v>
      </c>
      <c r="L159" s="208"/>
      <c r="M159" s="208"/>
      <c r="N159" s="208">
        <f t="shared" si="2"/>
        <v>0</v>
      </c>
      <c r="O159" s="207" t="s">
        <v>2743</v>
      </c>
      <c r="P159" s="207" t="s">
        <v>2748</v>
      </c>
      <c r="Q159" s="184"/>
      <c r="T159" s="184"/>
      <c r="U159" s="8" t="s">
        <v>1910</v>
      </c>
    </row>
    <row r="160" spans="1:21">
      <c r="A160" s="209" t="s">
        <v>417</v>
      </c>
      <c r="B160" s="209">
        <v>317</v>
      </c>
      <c r="C160" s="205" t="s">
        <v>1884</v>
      </c>
      <c r="D160" s="183">
        <v>1</v>
      </c>
      <c r="E160" s="183" t="s">
        <v>1885</v>
      </c>
      <c r="F160" s="183" t="s">
        <v>2665</v>
      </c>
      <c r="G160" s="209">
        <v>14175</v>
      </c>
      <c r="H160" s="209"/>
      <c r="I160" s="209"/>
      <c r="J160" s="209">
        <v>14175</v>
      </c>
      <c r="K160" s="209">
        <v>14175</v>
      </c>
      <c r="L160" s="209"/>
      <c r="M160" s="209"/>
      <c r="N160" s="209">
        <f t="shared" si="2"/>
        <v>0</v>
      </c>
      <c r="O160" s="183" t="s">
        <v>2743</v>
      </c>
      <c r="P160" s="183" t="s">
        <v>2748</v>
      </c>
    </row>
    <row r="161" spans="1:21">
      <c r="A161" s="209" t="s">
        <v>417</v>
      </c>
      <c r="B161" s="209">
        <v>318</v>
      </c>
      <c r="C161" s="205" t="s">
        <v>1884</v>
      </c>
      <c r="D161" s="183">
        <v>2</v>
      </c>
      <c r="E161" s="183" t="s">
        <v>1886</v>
      </c>
      <c r="F161" s="183" t="s">
        <v>2666</v>
      </c>
      <c r="G161" s="209">
        <v>14175</v>
      </c>
      <c r="H161" s="209"/>
      <c r="I161" s="209"/>
      <c r="J161" s="209">
        <v>14175</v>
      </c>
      <c r="K161" s="209">
        <v>14175</v>
      </c>
      <c r="L161" s="209"/>
      <c r="M161" s="209"/>
      <c r="N161" s="209">
        <f t="shared" si="2"/>
        <v>0</v>
      </c>
      <c r="O161" s="183" t="s">
        <v>2749</v>
      </c>
      <c r="P161" s="183" t="s">
        <v>2750</v>
      </c>
    </row>
    <row r="162" spans="1:21">
      <c r="A162" s="209" t="s">
        <v>417</v>
      </c>
      <c r="B162" s="209">
        <v>319</v>
      </c>
      <c r="C162" s="205" t="s">
        <v>1884</v>
      </c>
      <c r="D162" s="183">
        <v>3</v>
      </c>
      <c r="E162" s="183" t="s">
        <v>1887</v>
      </c>
      <c r="F162" s="183" t="s">
        <v>2667</v>
      </c>
      <c r="G162" s="209">
        <v>14175</v>
      </c>
      <c r="H162" s="209"/>
      <c r="I162" s="209"/>
      <c r="J162" s="209">
        <v>14175</v>
      </c>
      <c r="K162" s="209">
        <v>14175</v>
      </c>
      <c r="L162" s="209"/>
      <c r="M162" s="209"/>
      <c r="N162" s="209">
        <f t="shared" si="2"/>
        <v>0</v>
      </c>
      <c r="O162" s="183" t="s">
        <v>2751</v>
      </c>
      <c r="P162" s="183" t="s">
        <v>2752</v>
      </c>
    </row>
    <row r="163" spans="1:21">
      <c r="A163" s="209" t="s">
        <v>417</v>
      </c>
      <c r="B163" s="209">
        <v>320</v>
      </c>
      <c r="C163" s="205" t="s">
        <v>1884</v>
      </c>
      <c r="D163" s="183">
        <v>4</v>
      </c>
      <c r="E163" s="183" t="s">
        <v>1950</v>
      </c>
      <c r="F163" s="183" t="s">
        <v>2668</v>
      </c>
      <c r="G163" s="209">
        <v>14175</v>
      </c>
      <c r="H163" s="209"/>
      <c r="I163" s="209"/>
      <c r="J163" s="209">
        <v>14175</v>
      </c>
      <c r="K163" s="209">
        <v>14175</v>
      </c>
      <c r="L163" s="209"/>
      <c r="M163" s="209"/>
      <c r="N163" s="209">
        <f t="shared" si="2"/>
        <v>0</v>
      </c>
      <c r="O163" s="183" t="s">
        <v>2753</v>
      </c>
      <c r="P163" s="183" t="s">
        <v>2754</v>
      </c>
    </row>
    <row r="164" spans="1:21">
      <c r="A164" s="209" t="s">
        <v>417</v>
      </c>
      <c r="B164" s="209">
        <v>321</v>
      </c>
      <c r="C164" s="205" t="s">
        <v>1884</v>
      </c>
      <c r="D164" s="183">
        <v>5</v>
      </c>
      <c r="E164" s="183" t="s">
        <v>1951</v>
      </c>
      <c r="F164" s="183" t="s">
        <v>2669</v>
      </c>
      <c r="G164" s="209">
        <v>14175</v>
      </c>
      <c r="H164" s="209"/>
      <c r="I164" s="209"/>
      <c r="J164" s="209">
        <v>14175</v>
      </c>
      <c r="K164" s="209">
        <v>14175</v>
      </c>
      <c r="L164" s="209"/>
      <c r="M164" s="209"/>
      <c r="N164" s="209">
        <f t="shared" si="2"/>
        <v>0</v>
      </c>
      <c r="O164" s="183" t="s">
        <v>2760</v>
      </c>
      <c r="P164" s="183" t="s">
        <v>2755</v>
      </c>
    </row>
    <row r="165" spans="1:21" s="114" customFormat="1">
      <c r="A165" s="214" t="s">
        <v>417</v>
      </c>
      <c r="B165" s="214">
        <v>322</v>
      </c>
      <c r="C165" s="213" t="s">
        <v>1884</v>
      </c>
      <c r="D165" s="213">
        <v>6</v>
      </c>
      <c r="E165" s="213" t="s">
        <v>1952</v>
      </c>
      <c r="F165" s="213" t="s">
        <v>1759</v>
      </c>
      <c r="G165" s="214">
        <v>14175</v>
      </c>
      <c r="H165" s="214"/>
      <c r="I165" s="214"/>
      <c r="J165" s="214">
        <v>14175</v>
      </c>
      <c r="K165" s="214">
        <v>14175</v>
      </c>
      <c r="L165" s="214"/>
      <c r="M165" s="214"/>
      <c r="N165" s="214">
        <f t="shared" si="2"/>
        <v>0</v>
      </c>
      <c r="O165" s="213" t="s">
        <v>2670</v>
      </c>
      <c r="P165" s="213" t="s">
        <v>486</v>
      </c>
      <c r="Q165" s="211">
        <v>14175</v>
      </c>
      <c r="R165" s="114">
        <v>14175</v>
      </c>
      <c r="T165" s="211"/>
      <c r="U165" s="114" t="s">
        <v>254</v>
      </c>
    </row>
    <row r="166" spans="1:21">
      <c r="A166" s="209" t="s">
        <v>417</v>
      </c>
      <c r="B166" s="209">
        <v>323</v>
      </c>
      <c r="C166" s="205" t="s">
        <v>1884</v>
      </c>
      <c r="D166" s="183">
        <v>7</v>
      </c>
      <c r="E166" s="183" t="s">
        <v>1953</v>
      </c>
      <c r="F166" s="183" t="s">
        <v>2671</v>
      </c>
      <c r="G166" s="209">
        <v>14175</v>
      </c>
      <c r="H166" s="209"/>
      <c r="I166" s="209"/>
      <c r="J166" s="209">
        <v>14175</v>
      </c>
      <c r="K166" s="209">
        <v>14175</v>
      </c>
      <c r="L166" s="209"/>
      <c r="M166" s="209"/>
      <c r="N166" s="209">
        <f t="shared" si="2"/>
        <v>0</v>
      </c>
      <c r="O166" s="183" t="s">
        <v>2662</v>
      </c>
      <c r="P166" s="183" t="s">
        <v>2767</v>
      </c>
      <c r="Q166" s="3">
        <v>14175</v>
      </c>
      <c r="R166">
        <v>14175</v>
      </c>
    </row>
    <row r="167" spans="1:21">
      <c r="A167" s="209" t="s">
        <v>417</v>
      </c>
      <c r="B167" s="209">
        <v>324</v>
      </c>
      <c r="C167" s="205" t="s">
        <v>1884</v>
      </c>
      <c r="D167" s="183">
        <v>8</v>
      </c>
      <c r="E167" s="183" t="s">
        <v>1954</v>
      </c>
      <c r="F167" s="183" t="s">
        <v>2764</v>
      </c>
      <c r="G167" s="209">
        <v>14175</v>
      </c>
      <c r="H167" s="209"/>
      <c r="I167" s="209"/>
      <c r="J167" s="209">
        <v>14175</v>
      </c>
      <c r="K167" s="209">
        <v>14175</v>
      </c>
      <c r="L167" s="209"/>
      <c r="M167" s="209"/>
      <c r="N167" s="209">
        <f t="shared" si="2"/>
        <v>0</v>
      </c>
      <c r="O167" s="183" t="s">
        <v>818</v>
      </c>
      <c r="P167" s="183" t="s">
        <v>487</v>
      </c>
      <c r="Q167" s="3">
        <v>14175</v>
      </c>
      <c r="R167">
        <v>14175</v>
      </c>
    </row>
    <row r="168" spans="1:21">
      <c r="A168" s="209" t="s">
        <v>418</v>
      </c>
      <c r="B168" s="209">
        <v>325</v>
      </c>
      <c r="C168" s="205" t="s">
        <v>2422</v>
      </c>
      <c r="D168" s="183">
        <v>1</v>
      </c>
      <c r="E168" s="183" t="s">
        <v>1955</v>
      </c>
      <c r="F168" s="183" t="s">
        <v>2756</v>
      </c>
      <c r="G168" s="209">
        <v>13230</v>
      </c>
      <c r="H168" s="209"/>
      <c r="I168" s="209"/>
      <c r="J168" s="209">
        <v>13230</v>
      </c>
      <c r="K168" s="209">
        <v>13230</v>
      </c>
      <c r="L168" s="209"/>
      <c r="M168" s="209"/>
      <c r="N168" s="209">
        <f t="shared" si="2"/>
        <v>0</v>
      </c>
      <c r="O168" s="183" t="s">
        <v>2756</v>
      </c>
      <c r="P168" s="183" t="s">
        <v>2757</v>
      </c>
    </row>
    <row r="169" spans="1:21">
      <c r="A169" s="209" t="s">
        <v>418</v>
      </c>
      <c r="B169" s="209">
        <v>326</v>
      </c>
      <c r="C169" s="205" t="s">
        <v>2422</v>
      </c>
      <c r="D169" s="183">
        <v>2</v>
      </c>
      <c r="E169" s="183" t="s">
        <v>1956</v>
      </c>
      <c r="F169" s="183" t="s">
        <v>1957</v>
      </c>
      <c r="G169" s="209">
        <v>13230</v>
      </c>
      <c r="H169" s="209"/>
      <c r="I169" s="209"/>
      <c r="J169" s="209">
        <v>13230</v>
      </c>
      <c r="K169" s="209">
        <v>13230</v>
      </c>
      <c r="L169" s="209"/>
      <c r="M169" s="209"/>
      <c r="N169" s="209">
        <f t="shared" si="2"/>
        <v>0</v>
      </c>
      <c r="O169" s="183" t="s">
        <v>2758</v>
      </c>
      <c r="P169" s="183" t="s">
        <v>2759</v>
      </c>
    </row>
    <row r="170" spans="1:21">
      <c r="A170" s="209" t="s">
        <v>418</v>
      </c>
      <c r="B170" s="209">
        <v>327</v>
      </c>
      <c r="C170" s="205" t="s">
        <v>2422</v>
      </c>
      <c r="D170" s="183">
        <v>3</v>
      </c>
      <c r="E170" s="183" t="s">
        <v>1958</v>
      </c>
      <c r="F170" s="183" t="s">
        <v>1959</v>
      </c>
      <c r="G170" s="209">
        <v>13230</v>
      </c>
      <c r="H170" s="209"/>
      <c r="I170" s="209"/>
      <c r="J170" s="209">
        <v>13230</v>
      </c>
      <c r="K170" s="209">
        <v>13230</v>
      </c>
      <c r="L170" s="209"/>
      <c r="M170" s="209"/>
      <c r="N170" s="209">
        <f t="shared" si="2"/>
        <v>0</v>
      </c>
      <c r="O170" s="183" t="s">
        <v>2760</v>
      </c>
      <c r="P170" s="183" t="s">
        <v>2755</v>
      </c>
    </row>
    <row r="171" spans="1:21" s="114" customFormat="1">
      <c r="A171" s="214" t="s">
        <v>418</v>
      </c>
      <c r="B171" s="214">
        <v>328</v>
      </c>
      <c r="C171" s="213" t="s">
        <v>2422</v>
      </c>
      <c r="D171" s="213">
        <v>4</v>
      </c>
      <c r="E171" s="213" t="s">
        <v>1960</v>
      </c>
      <c r="F171" s="213" t="s">
        <v>1961</v>
      </c>
      <c r="G171" s="214">
        <v>13230</v>
      </c>
      <c r="H171" s="214"/>
      <c r="I171" s="214"/>
      <c r="J171" s="214">
        <v>13230</v>
      </c>
      <c r="K171" s="214">
        <v>13230</v>
      </c>
      <c r="L171" s="214"/>
      <c r="M171" s="214"/>
      <c r="N171" s="214">
        <f t="shared" si="2"/>
        <v>0</v>
      </c>
      <c r="O171" s="213" t="s">
        <v>2670</v>
      </c>
      <c r="P171" s="213" t="s">
        <v>486</v>
      </c>
      <c r="Q171" s="211">
        <v>13230</v>
      </c>
      <c r="R171" s="114">
        <v>13230</v>
      </c>
      <c r="T171" s="211"/>
      <c r="U171" s="114" t="s">
        <v>254</v>
      </c>
    </row>
    <row r="172" spans="1:21">
      <c r="A172" s="209" t="s">
        <v>418</v>
      </c>
      <c r="B172" s="209">
        <v>329</v>
      </c>
      <c r="C172" s="205" t="s">
        <v>2422</v>
      </c>
      <c r="D172" s="183">
        <v>5</v>
      </c>
      <c r="E172" s="183" t="s">
        <v>1962</v>
      </c>
      <c r="F172" s="183" t="s">
        <v>1963</v>
      </c>
      <c r="G172" s="209">
        <v>13230</v>
      </c>
      <c r="H172" s="209"/>
      <c r="I172" s="209"/>
      <c r="J172" s="209">
        <v>13230</v>
      </c>
      <c r="K172" s="209">
        <v>13230</v>
      </c>
      <c r="L172" s="209"/>
      <c r="M172" s="209"/>
      <c r="N172" s="209">
        <f t="shared" si="2"/>
        <v>0</v>
      </c>
      <c r="O172" s="183" t="s">
        <v>818</v>
      </c>
      <c r="P172" s="183" t="s">
        <v>487</v>
      </c>
      <c r="Q172" s="3">
        <v>13230</v>
      </c>
      <c r="R172">
        <v>13230</v>
      </c>
    </row>
    <row r="173" spans="1:21">
      <c r="A173" s="209" t="s">
        <v>418</v>
      </c>
      <c r="B173" s="209">
        <v>330</v>
      </c>
      <c r="C173" s="205" t="s">
        <v>2422</v>
      </c>
      <c r="D173" s="183">
        <v>6</v>
      </c>
      <c r="E173" s="183" t="s">
        <v>1964</v>
      </c>
      <c r="F173" s="183" t="s">
        <v>1965</v>
      </c>
      <c r="G173" s="209">
        <v>13230</v>
      </c>
      <c r="H173" s="209"/>
      <c r="I173" s="209"/>
      <c r="J173" s="209">
        <v>13230</v>
      </c>
      <c r="K173" s="209">
        <v>13230</v>
      </c>
      <c r="L173" s="209"/>
      <c r="M173" s="209"/>
      <c r="N173" s="209">
        <f t="shared" si="2"/>
        <v>0</v>
      </c>
      <c r="O173" s="183" t="s">
        <v>488</v>
      </c>
      <c r="P173" s="183" t="s">
        <v>489</v>
      </c>
      <c r="Q173" s="3">
        <v>13230</v>
      </c>
      <c r="R173">
        <v>13230</v>
      </c>
    </row>
    <row r="174" spans="1:21">
      <c r="A174" s="209" t="s">
        <v>418</v>
      </c>
      <c r="B174" s="209">
        <v>331</v>
      </c>
      <c r="C174" s="205" t="s">
        <v>2422</v>
      </c>
      <c r="D174" s="183">
        <v>7</v>
      </c>
      <c r="E174" s="183" t="s">
        <v>1966</v>
      </c>
      <c r="F174" s="183" t="s">
        <v>1967</v>
      </c>
      <c r="G174" s="209">
        <v>13230</v>
      </c>
      <c r="H174" s="209"/>
      <c r="I174" s="209"/>
      <c r="J174" s="209">
        <v>13230</v>
      </c>
      <c r="K174" s="209">
        <v>13230</v>
      </c>
      <c r="L174" s="209"/>
      <c r="M174" s="209"/>
      <c r="N174" s="209">
        <f t="shared" si="2"/>
        <v>0</v>
      </c>
      <c r="O174" s="183" t="s">
        <v>493</v>
      </c>
      <c r="P174" s="183" t="s">
        <v>911</v>
      </c>
      <c r="Q174" s="3">
        <v>13230</v>
      </c>
      <c r="R174">
        <v>13230</v>
      </c>
    </row>
    <row r="175" spans="1:21">
      <c r="A175" s="209" t="s">
        <v>418</v>
      </c>
      <c r="B175" s="209">
        <v>332</v>
      </c>
      <c r="C175" s="205" t="s">
        <v>2422</v>
      </c>
      <c r="D175" s="183">
        <v>8</v>
      </c>
      <c r="E175" s="183" t="s">
        <v>1968</v>
      </c>
      <c r="F175" s="183" t="s">
        <v>1969</v>
      </c>
      <c r="G175" s="209">
        <v>13230</v>
      </c>
      <c r="H175" s="209"/>
      <c r="I175" s="209"/>
      <c r="J175" s="209">
        <v>13230</v>
      </c>
      <c r="K175" s="209">
        <v>13230</v>
      </c>
      <c r="L175" s="209"/>
      <c r="M175" s="209"/>
      <c r="N175" s="209">
        <f t="shared" si="2"/>
        <v>0</v>
      </c>
      <c r="O175" s="183" t="s">
        <v>460</v>
      </c>
      <c r="P175" s="183" t="s">
        <v>1465</v>
      </c>
      <c r="Q175" s="3">
        <v>13230</v>
      </c>
      <c r="R175">
        <v>13230</v>
      </c>
    </row>
    <row r="176" spans="1:21">
      <c r="A176" s="209" t="s">
        <v>419</v>
      </c>
      <c r="B176" s="209">
        <v>333</v>
      </c>
      <c r="C176" s="205" t="s">
        <v>1300</v>
      </c>
      <c r="D176" s="183">
        <v>1</v>
      </c>
      <c r="E176" s="183" t="s">
        <v>1970</v>
      </c>
      <c r="F176" s="183" t="s">
        <v>2765</v>
      </c>
      <c r="G176" s="209">
        <v>14175</v>
      </c>
      <c r="H176" s="209"/>
      <c r="I176" s="209"/>
      <c r="J176" s="209">
        <v>14175</v>
      </c>
      <c r="K176" s="209">
        <v>14175</v>
      </c>
      <c r="L176" s="209"/>
      <c r="M176" s="209"/>
      <c r="N176" s="209">
        <f t="shared" si="2"/>
        <v>0</v>
      </c>
      <c r="O176" s="183" t="s">
        <v>2751</v>
      </c>
      <c r="P176" s="183" t="s">
        <v>2752</v>
      </c>
    </row>
    <row r="177" spans="1:21">
      <c r="A177" s="209" t="s">
        <v>419</v>
      </c>
      <c r="B177" s="209">
        <v>334</v>
      </c>
      <c r="C177" s="205" t="s">
        <v>1300</v>
      </c>
      <c r="D177" s="183">
        <v>2</v>
      </c>
      <c r="E177" s="183" t="s">
        <v>1971</v>
      </c>
      <c r="F177" s="183" t="s">
        <v>2766</v>
      </c>
      <c r="G177" s="209">
        <v>14175</v>
      </c>
      <c r="H177" s="209"/>
      <c r="I177" s="209"/>
      <c r="J177" s="209">
        <v>14175</v>
      </c>
      <c r="K177" s="209">
        <v>14175</v>
      </c>
      <c r="L177" s="209"/>
      <c r="M177" s="209"/>
      <c r="N177" s="209">
        <f t="shared" si="2"/>
        <v>0</v>
      </c>
      <c r="O177" s="183" t="s">
        <v>2746</v>
      </c>
      <c r="P177" s="183" t="s">
        <v>2747</v>
      </c>
    </row>
    <row r="178" spans="1:21">
      <c r="A178" s="209" t="s">
        <v>419</v>
      </c>
      <c r="B178" s="209">
        <v>335</v>
      </c>
      <c r="C178" s="205" t="s">
        <v>1300</v>
      </c>
      <c r="D178" s="183">
        <v>3</v>
      </c>
      <c r="E178" s="183" t="s">
        <v>1972</v>
      </c>
      <c r="F178" s="183" t="s">
        <v>2654</v>
      </c>
      <c r="G178" s="209">
        <v>14175</v>
      </c>
      <c r="H178" s="209"/>
      <c r="I178" s="209"/>
      <c r="J178" s="209">
        <v>14175</v>
      </c>
      <c r="K178" s="209">
        <v>14175</v>
      </c>
      <c r="L178" s="209"/>
      <c r="M178" s="209"/>
      <c r="N178" s="209">
        <f t="shared" si="2"/>
        <v>0</v>
      </c>
      <c r="O178" s="183" t="s">
        <v>415</v>
      </c>
      <c r="P178" s="183" t="s">
        <v>2563</v>
      </c>
    </row>
    <row r="179" spans="1:21">
      <c r="A179" s="209" t="s">
        <v>419</v>
      </c>
      <c r="B179" s="209">
        <v>336</v>
      </c>
      <c r="C179" s="205" t="s">
        <v>1300</v>
      </c>
      <c r="D179" s="183">
        <v>4</v>
      </c>
      <c r="E179" s="183" t="s">
        <v>1973</v>
      </c>
      <c r="F179" s="183" t="s">
        <v>2767</v>
      </c>
      <c r="G179" s="209">
        <v>14175</v>
      </c>
      <c r="H179" s="209"/>
      <c r="I179" s="209"/>
      <c r="J179" s="209">
        <v>14175</v>
      </c>
      <c r="K179" s="209">
        <v>14175</v>
      </c>
      <c r="L179" s="209"/>
      <c r="M179" s="209"/>
      <c r="N179" s="209">
        <f t="shared" si="2"/>
        <v>0</v>
      </c>
      <c r="O179" s="183" t="s">
        <v>2768</v>
      </c>
      <c r="P179" s="183" t="s">
        <v>815</v>
      </c>
      <c r="Q179" s="3">
        <v>14175</v>
      </c>
      <c r="R179">
        <v>14175</v>
      </c>
    </row>
    <row r="180" spans="1:21">
      <c r="A180" s="209" t="s">
        <v>419</v>
      </c>
      <c r="B180" s="209">
        <v>337</v>
      </c>
      <c r="C180" s="205" t="s">
        <v>1300</v>
      </c>
      <c r="D180" s="183">
        <v>5</v>
      </c>
      <c r="E180" s="183" t="s">
        <v>1974</v>
      </c>
      <c r="F180" s="183" t="s">
        <v>2769</v>
      </c>
      <c r="G180" s="209">
        <v>14175</v>
      </c>
      <c r="H180" s="209"/>
      <c r="I180" s="209"/>
      <c r="J180" s="209">
        <v>14175</v>
      </c>
      <c r="K180" s="209">
        <v>14175</v>
      </c>
      <c r="L180" s="209"/>
      <c r="M180" s="209"/>
      <c r="N180" s="209">
        <f t="shared" si="2"/>
        <v>0</v>
      </c>
      <c r="O180" s="183" t="s">
        <v>488</v>
      </c>
      <c r="P180" s="183" t="s">
        <v>489</v>
      </c>
      <c r="Q180" s="3">
        <v>14175</v>
      </c>
      <c r="R180">
        <v>14175</v>
      </c>
    </row>
    <row r="181" spans="1:21">
      <c r="A181" s="209" t="s">
        <v>419</v>
      </c>
      <c r="B181" s="209">
        <v>338</v>
      </c>
      <c r="C181" s="205" t="s">
        <v>1300</v>
      </c>
      <c r="D181" s="183">
        <v>6</v>
      </c>
      <c r="E181" s="183" t="s">
        <v>1975</v>
      </c>
      <c r="F181" s="183" t="s">
        <v>2770</v>
      </c>
      <c r="G181" s="209">
        <v>14175</v>
      </c>
      <c r="H181" s="209"/>
      <c r="I181" s="209"/>
      <c r="J181" s="209">
        <v>14175</v>
      </c>
      <c r="K181" s="209">
        <v>14175</v>
      </c>
      <c r="L181" s="209"/>
      <c r="M181" s="209"/>
      <c r="N181" s="209">
        <f t="shared" si="2"/>
        <v>0</v>
      </c>
      <c r="O181" s="183" t="s">
        <v>493</v>
      </c>
      <c r="P181" s="183" t="s">
        <v>911</v>
      </c>
      <c r="Q181" s="3">
        <v>14175</v>
      </c>
      <c r="R181">
        <v>14175</v>
      </c>
    </row>
    <row r="182" spans="1:21">
      <c r="A182" s="209" t="s">
        <v>419</v>
      </c>
      <c r="B182" s="209">
        <v>339</v>
      </c>
      <c r="C182" s="205" t="s">
        <v>1300</v>
      </c>
      <c r="D182" s="183">
        <v>7</v>
      </c>
      <c r="E182" s="183" t="s">
        <v>1976</v>
      </c>
      <c r="F182" s="183" t="s">
        <v>1977</v>
      </c>
      <c r="G182" s="209">
        <v>14175</v>
      </c>
      <c r="H182" s="209"/>
      <c r="I182" s="209"/>
      <c r="J182" s="209">
        <v>14175</v>
      </c>
      <c r="K182" s="209">
        <v>14175</v>
      </c>
      <c r="L182" s="209"/>
      <c r="M182" s="209"/>
      <c r="N182" s="209">
        <f t="shared" si="2"/>
        <v>0</v>
      </c>
      <c r="O182" s="183" t="s">
        <v>458</v>
      </c>
      <c r="P182" s="183" t="s">
        <v>2035</v>
      </c>
      <c r="Q182" s="3">
        <v>14175</v>
      </c>
      <c r="R182">
        <v>14175</v>
      </c>
    </row>
    <row r="183" spans="1:21">
      <c r="A183" s="209" t="s">
        <v>419</v>
      </c>
      <c r="B183" s="209">
        <v>340</v>
      </c>
      <c r="C183" s="205" t="s">
        <v>1300</v>
      </c>
      <c r="D183" s="183">
        <v>8</v>
      </c>
      <c r="E183" s="183" t="s">
        <v>1978</v>
      </c>
      <c r="F183" s="183" t="s">
        <v>2771</v>
      </c>
      <c r="G183" s="209">
        <v>14175</v>
      </c>
      <c r="H183" s="209"/>
      <c r="I183" s="209"/>
      <c r="J183" s="209">
        <v>14175</v>
      </c>
      <c r="K183" s="209">
        <v>14175</v>
      </c>
      <c r="L183" s="209"/>
      <c r="M183" s="209"/>
      <c r="N183" s="209">
        <f t="shared" si="2"/>
        <v>0</v>
      </c>
      <c r="O183" s="183" t="s">
        <v>496</v>
      </c>
      <c r="P183" s="183" t="s">
        <v>497</v>
      </c>
      <c r="Q183" s="3">
        <v>14175</v>
      </c>
      <c r="R183">
        <v>14175</v>
      </c>
    </row>
    <row r="184" spans="1:21" s="8" customFormat="1">
      <c r="A184" s="208" t="s">
        <v>420</v>
      </c>
      <c r="B184" s="208"/>
      <c r="C184" s="207" t="s">
        <v>1230</v>
      </c>
      <c r="D184" s="226">
        <v>4</v>
      </c>
      <c r="E184" s="207" t="s">
        <v>1283</v>
      </c>
      <c r="F184" s="207" t="s">
        <v>420</v>
      </c>
      <c r="G184" s="184"/>
      <c r="H184" s="184"/>
      <c r="I184" s="184"/>
      <c r="J184" s="208"/>
      <c r="K184" s="208"/>
      <c r="L184" s="208"/>
      <c r="M184" s="208"/>
      <c r="N184" s="208">
        <f t="shared" si="2"/>
        <v>0</v>
      </c>
      <c r="O184" s="207" t="s">
        <v>420</v>
      </c>
      <c r="P184" s="207" t="s">
        <v>420</v>
      </c>
      <c r="Q184" s="184">
        <v>11970</v>
      </c>
      <c r="R184" s="208">
        <v>11940</v>
      </c>
      <c r="S184" s="208"/>
      <c r="T184" s="184">
        <v>30</v>
      </c>
      <c r="U184" s="8" t="s">
        <v>1910</v>
      </c>
    </row>
    <row r="185" spans="1:21">
      <c r="A185" s="209" t="s">
        <v>1979</v>
      </c>
      <c r="B185" s="209"/>
      <c r="C185" s="205" t="s">
        <v>3825</v>
      </c>
      <c r="D185" s="226">
        <v>1</v>
      </c>
      <c r="E185" s="183" t="s">
        <v>1283</v>
      </c>
      <c r="F185" s="183" t="s">
        <v>1979</v>
      </c>
      <c r="G185" s="165"/>
      <c r="H185" s="165"/>
      <c r="I185" s="165"/>
      <c r="J185" s="209"/>
      <c r="K185" s="209"/>
      <c r="L185" s="209"/>
      <c r="M185" s="209"/>
      <c r="N185" s="209">
        <f t="shared" si="2"/>
        <v>0</v>
      </c>
      <c r="O185" s="183" t="s">
        <v>1979</v>
      </c>
      <c r="P185" s="183" t="s">
        <v>1979</v>
      </c>
      <c r="Q185" s="3">
        <v>14175</v>
      </c>
      <c r="R185" s="178">
        <v>14145</v>
      </c>
      <c r="S185" s="178"/>
      <c r="T185" s="3">
        <v>30</v>
      </c>
    </row>
    <row r="186" spans="1:21">
      <c r="A186" s="209" t="s">
        <v>421</v>
      </c>
      <c r="B186" s="209"/>
      <c r="C186" s="205" t="s">
        <v>1532</v>
      </c>
      <c r="D186" s="226">
        <v>2</v>
      </c>
      <c r="E186" s="183" t="s">
        <v>1283</v>
      </c>
      <c r="F186" s="183" t="s">
        <v>421</v>
      </c>
      <c r="G186" s="165"/>
      <c r="H186" s="165"/>
      <c r="I186" s="165"/>
      <c r="J186" s="209"/>
      <c r="K186" s="209"/>
      <c r="L186" s="209"/>
      <c r="M186" s="209"/>
      <c r="N186" s="209">
        <f t="shared" si="2"/>
        <v>0</v>
      </c>
      <c r="O186" s="183" t="s">
        <v>421</v>
      </c>
      <c r="P186" s="183" t="s">
        <v>421</v>
      </c>
      <c r="Q186" s="3">
        <v>13500</v>
      </c>
      <c r="R186" s="178">
        <v>13485</v>
      </c>
      <c r="S186" s="178"/>
      <c r="T186" s="3">
        <v>15</v>
      </c>
    </row>
    <row r="187" spans="1:21" s="8" customFormat="1">
      <c r="A187" s="208" t="s">
        <v>422</v>
      </c>
      <c r="B187" s="208">
        <v>341</v>
      </c>
      <c r="C187" s="207" t="s">
        <v>1264</v>
      </c>
      <c r="D187" s="207">
        <v>5</v>
      </c>
      <c r="E187" s="207" t="s">
        <v>1980</v>
      </c>
      <c r="F187" s="207" t="s">
        <v>421</v>
      </c>
      <c r="G187" s="208">
        <v>11340</v>
      </c>
      <c r="H187" s="208"/>
      <c r="I187" s="208"/>
      <c r="J187" s="208">
        <v>11340</v>
      </c>
      <c r="K187" s="208">
        <v>11340</v>
      </c>
      <c r="L187" s="208"/>
      <c r="M187" s="208"/>
      <c r="N187" s="208">
        <f t="shared" si="2"/>
        <v>0</v>
      </c>
      <c r="O187" s="207" t="s">
        <v>2749</v>
      </c>
      <c r="P187" s="207" t="s">
        <v>2761</v>
      </c>
      <c r="Q187" s="184"/>
      <c r="T187" s="184"/>
      <c r="U187" s="8" t="s">
        <v>1910</v>
      </c>
    </row>
    <row r="188" spans="1:21" s="8" customFormat="1">
      <c r="A188" s="208" t="s">
        <v>422</v>
      </c>
      <c r="B188" s="208">
        <v>342</v>
      </c>
      <c r="C188" s="207" t="s">
        <v>1264</v>
      </c>
      <c r="D188" s="207">
        <v>6</v>
      </c>
      <c r="E188" s="207" t="s">
        <v>1981</v>
      </c>
      <c r="F188" s="207" t="s">
        <v>1957</v>
      </c>
      <c r="G188" s="208">
        <v>11340</v>
      </c>
      <c r="H188" s="208"/>
      <c r="I188" s="208"/>
      <c r="J188" s="208">
        <v>11340</v>
      </c>
      <c r="K188" s="208">
        <v>11340</v>
      </c>
      <c r="L188" s="208"/>
      <c r="M188" s="208"/>
      <c r="N188" s="208">
        <f t="shared" si="2"/>
        <v>0</v>
      </c>
      <c r="O188" s="207" t="s">
        <v>2758</v>
      </c>
      <c r="P188" s="207" t="s">
        <v>1863</v>
      </c>
      <c r="Q188" s="184"/>
      <c r="T188" s="184"/>
      <c r="U188" s="8" t="s">
        <v>1910</v>
      </c>
    </row>
    <row r="189" spans="1:21" s="8" customFormat="1">
      <c r="A189" s="208" t="s">
        <v>422</v>
      </c>
      <c r="B189" s="208">
        <v>343</v>
      </c>
      <c r="C189" s="207" t="s">
        <v>1264</v>
      </c>
      <c r="D189" s="207">
        <v>7</v>
      </c>
      <c r="E189" s="207" t="s">
        <v>1982</v>
      </c>
      <c r="F189" s="207" t="s">
        <v>1959</v>
      </c>
      <c r="G189" s="208">
        <v>11340</v>
      </c>
      <c r="H189" s="208"/>
      <c r="I189" s="208"/>
      <c r="J189" s="208">
        <v>11340</v>
      </c>
      <c r="K189" s="208">
        <v>11340</v>
      </c>
      <c r="L189" s="208"/>
      <c r="M189" s="208"/>
      <c r="N189" s="208">
        <f t="shared" si="2"/>
        <v>0</v>
      </c>
      <c r="O189" s="207" t="s">
        <v>2760</v>
      </c>
      <c r="P189" s="207" t="s">
        <v>1983</v>
      </c>
      <c r="Q189" s="184"/>
      <c r="T189" s="184"/>
      <c r="U189" s="8" t="s">
        <v>1910</v>
      </c>
    </row>
    <row r="190" spans="1:21" s="218" customFormat="1">
      <c r="A190" s="216" t="s">
        <v>422</v>
      </c>
      <c r="B190" s="216">
        <v>344</v>
      </c>
      <c r="C190" s="215" t="s">
        <v>1264</v>
      </c>
      <c r="D190" s="215">
        <v>8</v>
      </c>
      <c r="E190" s="215" t="s">
        <v>1984</v>
      </c>
      <c r="F190" s="215" t="s">
        <v>1961</v>
      </c>
      <c r="G190" s="216">
        <v>11340</v>
      </c>
      <c r="H190" s="216"/>
      <c r="I190" s="216"/>
      <c r="J190" s="216">
        <v>11340</v>
      </c>
      <c r="K190" s="216">
        <v>11340</v>
      </c>
      <c r="L190" s="216"/>
      <c r="M190" s="216"/>
      <c r="N190" s="216">
        <f t="shared" si="2"/>
        <v>0</v>
      </c>
      <c r="O190" s="215" t="s">
        <v>2670</v>
      </c>
      <c r="P190" s="215" t="s">
        <v>498</v>
      </c>
      <c r="Q190" s="217">
        <v>11340</v>
      </c>
      <c r="R190" s="218">
        <v>11340</v>
      </c>
      <c r="T190" s="217"/>
      <c r="U190" s="218" t="s">
        <v>1985</v>
      </c>
    </row>
    <row r="191" spans="1:21">
      <c r="A191" s="209" t="s">
        <v>2741</v>
      </c>
      <c r="B191" s="209">
        <v>345</v>
      </c>
      <c r="C191" s="205" t="s">
        <v>1232</v>
      </c>
      <c r="D191" s="226">
        <v>12</v>
      </c>
      <c r="E191" s="183" t="s">
        <v>1986</v>
      </c>
      <c r="F191" s="183" t="s">
        <v>2007</v>
      </c>
      <c r="G191" s="209">
        <v>16380</v>
      </c>
      <c r="H191" s="209"/>
      <c r="I191" s="209"/>
      <c r="J191" s="209">
        <v>16380</v>
      </c>
      <c r="K191" s="209">
        <v>16380</v>
      </c>
      <c r="L191" s="209"/>
      <c r="M191" s="209"/>
      <c r="N191" s="209">
        <f t="shared" si="2"/>
        <v>0</v>
      </c>
      <c r="O191" s="183" t="s">
        <v>2762</v>
      </c>
      <c r="P191" s="183" t="s">
        <v>2763</v>
      </c>
      <c r="U191" s="7"/>
    </row>
    <row r="192" spans="1:21">
      <c r="A192" s="209" t="s">
        <v>2742</v>
      </c>
      <c r="B192" s="209">
        <v>346</v>
      </c>
      <c r="C192" s="205" t="s">
        <v>1699</v>
      </c>
      <c r="D192" s="226">
        <v>2</v>
      </c>
      <c r="E192" s="183" t="s">
        <v>2008</v>
      </c>
      <c r="F192" s="183" t="s">
        <v>2659</v>
      </c>
      <c r="G192" s="209">
        <v>13500</v>
      </c>
      <c r="H192" s="209"/>
      <c r="I192" s="209"/>
      <c r="J192" s="209">
        <v>13500</v>
      </c>
      <c r="K192" s="209">
        <v>13500</v>
      </c>
      <c r="L192" s="209"/>
      <c r="M192" s="209"/>
      <c r="N192" s="209">
        <f t="shared" si="2"/>
        <v>0</v>
      </c>
      <c r="O192" s="183" t="s">
        <v>2744</v>
      </c>
      <c r="P192" s="183" t="s">
        <v>2745</v>
      </c>
    </row>
    <row r="193" spans="1:18">
      <c r="A193" s="209" t="s">
        <v>2773</v>
      </c>
      <c r="B193" s="209">
        <v>347</v>
      </c>
      <c r="C193" s="205" t="s">
        <v>857</v>
      </c>
      <c r="D193" s="183">
        <v>1</v>
      </c>
      <c r="E193" s="183" t="s">
        <v>2009</v>
      </c>
      <c r="F193" s="183" t="s">
        <v>2774</v>
      </c>
      <c r="G193" s="209">
        <v>14175</v>
      </c>
      <c r="H193" s="209"/>
      <c r="I193" s="209"/>
      <c r="J193" s="209">
        <v>14175</v>
      </c>
      <c r="K193" s="209">
        <v>14175</v>
      </c>
      <c r="L193" s="209"/>
      <c r="M193" s="209"/>
      <c r="N193" s="209">
        <f t="shared" si="2"/>
        <v>0</v>
      </c>
      <c r="O193" s="183" t="s">
        <v>2753</v>
      </c>
      <c r="P193" s="183" t="s">
        <v>2754</v>
      </c>
    </row>
    <row r="194" spans="1:18">
      <c r="A194" s="209" t="s">
        <v>2773</v>
      </c>
      <c r="B194" s="209">
        <v>348</v>
      </c>
      <c r="C194" s="205" t="s">
        <v>857</v>
      </c>
      <c r="D194" s="183">
        <v>2</v>
      </c>
      <c r="E194" s="183" t="s">
        <v>2010</v>
      </c>
      <c r="F194" s="183" t="s">
        <v>2755</v>
      </c>
      <c r="G194" s="209">
        <v>14175</v>
      </c>
      <c r="H194" s="209"/>
      <c r="I194" s="209"/>
      <c r="J194" s="209">
        <v>14175</v>
      </c>
      <c r="K194" s="209">
        <v>14175</v>
      </c>
      <c r="L194" s="209"/>
      <c r="M194" s="209"/>
      <c r="N194" s="209">
        <f t="shared" si="2"/>
        <v>0</v>
      </c>
      <c r="O194" s="183" t="s">
        <v>574</v>
      </c>
      <c r="P194" s="183" t="s">
        <v>575</v>
      </c>
    </row>
    <row r="195" spans="1:18">
      <c r="A195" s="209" t="s">
        <v>2773</v>
      </c>
      <c r="B195" s="209">
        <v>349</v>
      </c>
      <c r="C195" s="205" t="s">
        <v>857</v>
      </c>
      <c r="D195" s="183">
        <v>3</v>
      </c>
      <c r="E195" s="183" t="s">
        <v>2011</v>
      </c>
      <c r="F195" s="183" t="s">
        <v>2012</v>
      </c>
      <c r="G195" s="209">
        <v>14175</v>
      </c>
      <c r="H195" s="209"/>
      <c r="I195" s="209"/>
      <c r="J195" s="209">
        <v>14175</v>
      </c>
      <c r="K195" s="209">
        <v>14175</v>
      </c>
      <c r="L195" s="209"/>
      <c r="M195" s="209"/>
      <c r="N195" s="209">
        <f t="shared" si="2"/>
        <v>0</v>
      </c>
      <c r="O195" s="183" t="s">
        <v>2662</v>
      </c>
      <c r="P195" s="183" t="s">
        <v>2767</v>
      </c>
      <c r="Q195" s="3">
        <v>14175</v>
      </c>
      <c r="R195">
        <v>14175</v>
      </c>
    </row>
    <row r="196" spans="1:18">
      <c r="A196" s="209" t="s">
        <v>2773</v>
      </c>
      <c r="B196" s="209">
        <v>350</v>
      </c>
      <c r="C196" s="205" t="s">
        <v>857</v>
      </c>
      <c r="D196" s="183">
        <v>4</v>
      </c>
      <c r="E196" s="183" t="s">
        <v>2013</v>
      </c>
      <c r="F196" s="183" t="s">
        <v>2775</v>
      </c>
      <c r="G196" s="209">
        <v>14175</v>
      </c>
      <c r="H196" s="209"/>
      <c r="I196" s="209"/>
      <c r="J196" s="209">
        <v>14175</v>
      </c>
      <c r="K196" s="209">
        <v>14175</v>
      </c>
      <c r="L196" s="209"/>
      <c r="M196" s="209"/>
      <c r="N196" s="209">
        <f t="shared" si="2"/>
        <v>0</v>
      </c>
      <c r="O196" s="183" t="s">
        <v>818</v>
      </c>
      <c r="P196" s="183" t="s">
        <v>487</v>
      </c>
      <c r="Q196" s="3">
        <v>14175</v>
      </c>
      <c r="R196">
        <v>14175</v>
      </c>
    </row>
    <row r="197" spans="1:18">
      <c r="A197" s="209" t="s">
        <v>2773</v>
      </c>
      <c r="B197" s="209">
        <v>351</v>
      </c>
      <c r="C197" s="205" t="s">
        <v>857</v>
      </c>
      <c r="D197" s="183">
        <v>5</v>
      </c>
      <c r="E197" s="183" t="s">
        <v>2014</v>
      </c>
      <c r="F197" s="183" t="s">
        <v>2776</v>
      </c>
      <c r="G197" s="209">
        <v>14175</v>
      </c>
      <c r="H197" s="209"/>
      <c r="I197" s="209"/>
      <c r="J197" s="209">
        <v>14175</v>
      </c>
      <c r="K197" s="209">
        <v>14175</v>
      </c>
      <c r="L197" s="209"/>
      <c r="M197" s="209"/>
      <c r="N197" s="209">
        <f t="shared" si="2"/>
        <v>0</v>
      </c>
      <c r="O197" s="183" t="s">
        <v>490</v>
      </c>
      <c r="P197" s="183" t="s">
        <v>491</v>
      </c>
      <c r="Q197" s="3">
        <v>14175</v>
      </c>
      <c r="R197">
        <v>14175</v>
      </c>
    </row>
    <row r="198" spans="1:18">
      <c r="A198" s="209" t="s">
        <v>2773</v>
      </c>
      <c r="B198" s="209">
        <v>352</v>
      </c>
      <c r="C198" s="205" t="s">
        <v>857</v>
      </c>
      <c r="D198" s="183">
        <v>6</v>
      </c>
      <c r="E198" s="183" t="s">
        <v>2015</v>
      </c>
      <c r="F198" s="183" t="s">
        <v>2777</v>
      </c>
      <c r="G198" s="209">
        <v>14175</v>
      </c>
      <c r="H198" s="209"/>
      <c r="I198" s="209"/>
      <c r="J198" s="209">
        <v>14175</v>
      </c>
      <c r="K198" s="209">
        <v>14175</v>
      </c>
      <c r="L198" s="209"/>
      <c r="M198" s="209"/>
      <c r="N198" s="209">
        <f t="shared" si="2"/>
        <v>0</v>
      </c>
      <c r="O198" s="183" t="s">
        <v>1461</v>
      </c>
      <c r="P198" s="183" t="s">
        <v>492</v>
      </c>
      <c r="Q198" s="3">
        <v>14175</v>
      </c>
      <c r="R198">
        <v>14175</v>
      </c>
    </row>
    <row r="199" spans="1:18">
      <c r="A199" s="209" t="s">
        <v>2773</v>
      </c>
      <c r="B199" s="209">
        <v>353</v>
      </c>
      <c r="C199" s="205" t="s">
        <v>857</v>
      </c>
      <c r="D199" s="183">
        <v>7</v>
      </c>
      <c r="E199" s="183" t="s">
        <v>2016</v>
      </c>
      <c r="F199" s="183" t="s">
        <v>2017</v>
      </c>
      <c r="G199" s="209">
        <v>14175</v>
      </c>
      <c r="H199" s="209"/>
      <c r="I199" s="209"/>
      <c r="J199" s="209">
        <v>14175</v>
      </c>
      <c r="K199" s="209">
        <v>14175</v>
      </c>
      <c r="L199" s="209"/>
      <c r="M199" s="209"/>
      <c r="N199" s="209">
        <f t="shared" si="2"/>
        <v>0</v>
      </c>
      <c r="O199" s="183" t="s">
        <v>500</v>
      </c>
      <c r="P199" s="183" t="s">
        <v>500</v>
      </c>
      <c r="Q199" s="3">
        <v>14175</v>
      </c>
      <c r="R199">
        <v>14175</v>
      </c>
    </row>
    <row r="200" spans="1:18">
      <c r="A200" s="209" t="s">
        <v>2773</v>
      </c>
      <c r="B200" s="209">
        <v>354</v>
      </c>
      <c r="C200" s="205" t="s">
        <v>857</v>
      </c>
      <c r="D200" s="183">
        <v>8</v>
      </c>
      <c r="E200" s="183" t="s">
        <v>2018</v>
      </c>
      <c r="F200" s="183" t="s">
        <v>2778</v>
      </c>
      <c r="G200" s="209">
        <v>14175</v>
      </c>
      <c r="H200" s="209"/>
      <c r="I200" s="209"/>
      <c r="J200" s="209">
        <v>14175</v>
      </c>
      <c r="K200" s="209">
        <v>14175</v>
      </c>
      <c r="L200" s="209"/>
      <c r="M200" s="209"/>
      <c r="N200" s="209">
        <f t="shared" si="2"/>
        <v>0</v>
      </c>
      <c r="O200" s="183" t="s">
        <v>501</v>
      </c>
      <c r="P200" s="183" t="s">
        <v>2051</v>
      </c>
      <c r="Q200" s="3">
        <v>14175</v>
      </c>
      <c r="R200">
        <v>14175</v>
      </c>
    </row>
    <row r="201" spans="1:18">
      <c r="A201" s="209" t="s">
        <v>2744</v>
      </c>
      <c r="B201" s="209">
        <v>355</v>
      </c>
      <c r="C201" s="205" t="s">
        <v>2739</v>
      </c>
      <c r="D201" s="183">
        <v>1</v>
      </c>
      <c r="E201" s="183" t="s">
        <v>2019</v>
      </c>
      <c r="F201" s="183" t="s">
        <v>2774</v>
      </c>
      <c r="G201" s="209">
        <v>13500</v>
      </c>
      <c r="H201" s="209"/>
      <c r="I201" s="209"/>
      <c r="J201" s="209">
        <v>13500</v>
      </c>
      <c r="K201" s="209">
        <v>13500</v>
      </c>
      <c r="L201" s="209"/>
      <c r="M201" s="209"/>
      <c r="N201" s="209">
        <f t="shared" si="2"/>
        <v>0</v>
      </c>
      <c r="O201" s="183" t="s">
        <v>2753</v>
      </c>
      <c r="P201" s="183" t="s">
        <v>2754</v>
      </c>
    </row>
    <row r="202" spans="1:18">
      <c r="A202" s="209" t="s">
        <v>2744</v>
      </c>
      <c r="B202" s="209">
        <v>356</v>
      </c>
      <c r="C202" s="205" t="s">
        <v>2739</v>
      </c>
      <c r="D202" s="183">
        <v>2</v>
      </c>
      <c r="E202" s="183" t="s">
        <v>2020</v>
      </c>
      <c r="F202" s="183" t="s">
        <v>2755</v>
      </c>
      <c r="G202" s="209">
        <v>13500</v>
      </c>
      <c r="H202" s="209"/>
      <c r="I202" s="209"/>
      <c r="J202" s="209">
        <v>13500</v>
      </c>
      <c r="K202" s="209">
        <v>13500</v>
      </c>
      <c r="L202" s="209"/>
      <c r="M202" s="209"/>
      <c r="N202" s="209">
        <f t="shared" si="2"/>
        <v>0</v>
      </c>
      <c r="O202" s="183" t="s">
        <v>574</v>
      </c>
      <c r="P202" s="183" t="s">
        <v>575</v>
      </c>
    </row>
    <row r="203" spans="1:18">
      <c r="A203" s="209" t="s">
        <v>2744</v>
      </c>
      <c r="B203" s="209">
        <v>357</v>
      </c>
      <c r="C203" s="205" t="s">
        <v>2739</v>
      </c>
      <c r="D203" s="183">
        <v>3</v>
      </c>
      <c r="E203" s="183" t="s">
        <v>2021</v>
      </c>
      <c r="F203" s="183" t="s">
        <v>2012</v>
      </c>
      <c r="G203" s="209">
        <v>13500</v>
      </c>
      <c r="H203" s="209"/>
      <c r="I203" s="209"/>
      <c r="J203" s="209">
        <v>13500</v>
      </c>
      <c r="K203" s="209">
        <v>13500</v>
      </c>
      <c r="L203" s="209"/>
      <c r="M203" s="209"/>
      <c r="N203" s="209">
        <f t="shared" si="2"/>
        <v>0</v>
      </c>
      <c r="O203" s="183" t="s">
        <v>2662</v>
      </c>
      <c r="P203" s="183" t="s">
        <v>2767</v>
      </c>
      <c r="Q203" s="3">
        <v>13500</v>
      </c>
      <c r="R203">
        <v>13500</v>
      </c>
    </row>
    <row r="204" spans="1:18">
      <c r="A204" s="209" t="s">
        <v>2744</v>
      </c>
      <c r="B204" s="209">
        <v>358</v>
      </c>
      <c r="C204" s="205" t="s">
        <v>2739</v>
      </c>
      <c r="D204" s="183">
        <v>4</v>
      </c>
      <c r="E204" s="183" t="s">
        <v>2022</v>
      </c>
      <c r="F204" s="183" t="s">
        <v>2775</v>
      </c>
      <c r="G204" s="209">
        <v>13500</v>
      </c>
      <c r="H204" s="209"/>
      <c r="I204" s="209"/>
      <c r="J204" s="209">
        <v>13500</v>
      </c>
      <c r="K204" s="209">
        <v>13500</v>
      </c>
      <c r="L204" s="209"/>
      <c r="M204" s="209"/>
      <c r="N204" s="209">
        <f t="shared" si="2"/>
        <v>0</v>
      </c>
      <c r="O204" s="183" t="s">
        <v>818</v>
      </c>
      <c r="P204" s="183" t="s">
        <v>487</v>
      </c>
      <c r="Q204" s="3">
        <v>13500</v>
      </c>
      <c r="R204">
        <v>13500</v>
      </c>
    </row>
    <row r="205" spans="1:18">
      <c r="A205" s="209" t="s">
        <v>2744</v>
      </c>
      <c r="B205" s="209">
        <v>359</v>
      </c>
      <c r="C205" s="205" t="s">
        <v>2739</v>
      </c>
      <c r="D205" s="183">
        <v>5</v>
      </c>
      <c r="E205" s="183" t="s">
        <v>2023</v>
      </c>
      <c r="F205" s="183" t="s">
        <v>2776</v>
      </c>
      <c r="G205" s="209">
        <v>13500</v>
      </c>
      <c r="H205" s="209"/>
      <c r="I205" s="209"/>
      <c r="J205" s="209">
        <v>13500</v>
      </c>
      <c r="K205" s="209">
        <v>13500</v>
      </c>
      <c r="L205" s="209"/>
      <c r="M205" s="209"/>
      <c r="N205" s="209">
        <f t="shared" si="2"/>
        <v>0</v>
      </c>
      <c r="O205" s="183" t="s">
        <v>490</v>
      </c>
      <c r="P205" s="183" t="s">
        <v>491</v>
      </c>
      <c r="Q205" s="3">
        <v>13500</v>
      </c>
      <c r="R205">
        <v>13500</v>
      </c>
    </row>
    <row r="206" spans="1:18">
      <c r="A206" s="209" t="s">
        <v>2744</v>
      </c>
      <c r="B206" s="209">
        <v>360</v>
      </c>
      <c r="C206" s="205" t="s">
        <v>2739</v>
      </c>
      <c r="D206" s="183">
        <v>6</v>
      </c>
      <c r="E206" s="183" t="s">
        <v>2024</v>
      </c>
      <c r="F206" s="183" t="s">
        <v>2777</v>
      </c>
      <c r="G206" s="209">
        <v>13500</v>
      </c>
      <c r="H206" s="209"/>
      <c r="I206" s="209"/>
      <c r="J206" s="209">
        <v>13500</v>
      </c>
      <c r="K206" s="209">
        <v>13500</v>
      </c>
      <c r="L206" s="209"/>
      <c r="M206" s="209"/>
      <c r="N206" s="209">
        <f t="shared" si="2"/>
        <v>0</v>
      </c>
      <c r="O206" s="183" t="s">
        <v>1461</v>
      </c>
      <c r="P206" s="183" t="s">
        <v>492</v>
      </c>
      <c r="Q206" s="3">
        <v>13500</v>
      </c>
      <c r="R206">
        <v>13500</v>
      </c>
    </row>
    <row r="207" spans="1:18">
      <c r="A207" s="209" t="s">
        <v>2744</v>
      </c>
      <c r="B207" s="209">
        <v>361</v>
      </c>
      <c r="C207" s="205" t="s">
        <v>2739</v>
      </c>
      <c r="D207" s="183">
        <v>7</v>
      </c>
      <c r="E207" s="183" t="s">
        <v>2025</v>
      </c>
      <c r="F207" s="183" t="s">
        <v>2017</v>
      </c>
      <c r="G207" s="209">
        <v>13500</v>
      </c>
      <c r="H207" s="209"/>
      <c r="I207" s="209"/>
      <c r="J207" s="209">
        <v>13500</v>
      </c>
      <c r="K207" s="209">
        <v>13500</v>
      </c>
      <c r="L207" s="209"/>
      <c r="M207" s="209"/>
      <c r="N207" s="209">
        <f t="shared" ref="N207:N270" si="3">G207-J207</f>
        <v>0</v>
      </c>
      <c r="O207" s="183" t="s">
        <v>500</v>
      </c>
      <c r="P207" s="183" t="s">
        <v>500</v>
      </c>
      <c r="Q207" s="3">
        <v>13500</v>
      </c>
      <c r="R207">
        <v>13500</v>
      </c>
    </row>
    <row r="208" spans="1:18">
      <c r="A208" s="209" t="s">
        <v>2744</v>
      </c>
      <c r="B208" s="209">
        <v>362</v>
      </c>
      <c r="C208" s="205" t="s">
        <v>2739</v>
      </c>
      <c r="D208" s="183">
        <v>8</v>
      </c>
      <c r="E208" s="183" t="s">
        <v>2026</v>
      </c>
      <c r="F208" s="183" t="s">
        <v>2778</v>
      </c>
      <c r="G208" s="209">
        <v>13500</v>
      </c>
      <c r="H208" s="209"/>
      <c r="I208" s="209"/>
      <c r="J208" s="209">
        <v>13500</v>
      </c>
      <c r="K208" s="209">
        <v>13500</v>
      </c>
      <c r="L208" s="209"/>
      <c r="M208" s="209"/>
      <c r="N208" s="209">
        <f t="shared" si="3"/>
        <v>0</v>
      </c>
      <c r="O208" s="183" t="s">
        <v>501</v>
      </c>
      <c r="P208" s="183" t="s">
        <v>2051</v>
      </c>
      <c r="Q208" s="3">
        <v>13500</v>
      </c>
      <c r="R208">
        <v>13500</v>
      </c>
    </row>
    <row r="209" spans="1:21">
      <c r="A209" s="209" t="s">
        <v>2745</v>
      </c>
      <c r="B209" s="209">
        <v>363</v>
      </c>
      <c r="C209" s="205" t="s">
        <v>2027</v>
      </c>
      <c r="D209" s="183">
        <v>1</v>
      </c>
      <c r="E209" s="183" t="s">
        <v>2028</v>
      </c>
      <c r="F209" s="183" t="s">
        <v>440</v>
      </c>
      <c r="G209" s="209">
        <v>11340</v>
      </c>
      <c r="H209" s="209"/>
      <c r="I209" s="209"/>
      <c r="J209" s="209">
        <v>11340</v>
      </c>
      <c r="K209" s="209">
        <v>11340</v>
      </c>
      <c r="L209" s="209"/>
      <c r="M209" s="209"/>
      <c r="N209" s="209">
        <f t="shared" si="3"/>
        <v>0</v>
      </c>
      <c r="O209" s="183" t="s">
        <v>2758</v>
      </c>
      <c r="P209" s="183" t="s">
        <v>2759</v>
      </c>
    </row>
    <row r="210" spans="1:21">
      <c r="A210" s="209" t="s">
        <v>2745</v>
      </c>
      <c r="B210" s="209">
        <v>364</v>
      </c>
      <c r="C210" s="205" t="s">
        <v>2027</v>
      </c>
      <c r="D210" s="183">
        <v>2</v>
      </c>
      <c r="E210" s="183" t="s">
        <v>2029</v>
      </c>
      <c r="F210" s="183" t="s">
        <v>441</v>
      </c>
      <c r="G210" s="209">
        <v>11340</v>
      </c>
      <c r="H210" s="209"/>
      <c r="I210" s="209"/>
      <c r="J210" s="209">
        <v>11340</v>
      </c>
      <c r="K210" s="209">
        <v>11340</v>
      </c>
      <c r="L210" s="209"/>
      <c r="M210" s="209"/>
      <c r="N210" s="209">
        <f t="shared" si="3"/>
        <v>0</v>
      </c>
      <c r="O210" s="183" t="s">
        <v>2746</v>
      </c>
      <c r="P210" s="183" t="s">
        <v>2747</v>
      </c>
    </row>
    <row r="211" spans="1:21" s="114" customFormat="1">
      <c r="A211" s="214" t="s">
        <v>2745</v>
      </c>
      <c r="B211" s="214">
        <v>365</v>
      </c>
      <c r="C211" s="213" t="s">
        <v>2027</v>
      </c>
      <c r="D211" s="213">
        <v>3</v>
      </c>
      <c r="E211" s="213" t="s">
        <v>2030</v>
      </c>
      <c r="F211" s="213" t="s">
        <v>415</v>
      </c>
      <c r="G211" s="214">
        <v>11340</v>
      </c>
      <c r="H211" s="214"/>
      <c r="I211" s="214"/>
      <c r="J211" s="214">
        <v>11340</v>
      </c>
      <c r="K211" s="214">
        <v>11340</v>
      </c>
      <c r="L211" s="214"/>
      <c r="M211" s="214"/>
      <c r="N211" s="214">
        <f t="shared" si="3"/>
        <v>0</v>
      </c>
      <c r="O211" s="213" t="s">
        <v>2670</v>
      </c>
      <c r="P211" s="213" t="s">
        <v>486</v>
      </c>
      <c r="Q211" s="211">
        <v>11340</v>
      </c>
      <c r="R211" s="114">
        <v>11340</v>
      </c>
      <c r="T211" s="211"/>
      <c r="U211" s="212" t="s">
        <v>254</v>
      </c>
    </row>
    <row r="212" spans="1:21">
      <c r="A212" s="209" t="s">
        <v>2745</v>
      </c>
      <c r="B212" s="209">
        <v>366</v>
      </c>
      <c r="C212" s="205" t="s">
        <v>2027</v>
      </c>
      <c r="D212" s="183">
        <v>4</v>
      </c>
      <c r="E212" s="183" t="s">
        <v>2031</v>
      </c>
      <c r="F212" s="183" t="s">
        <v>442</v>
      </c>
      <c r="G212" s="209">
        <v>11340</v>
      </c>
      <c r="H212" s="209"/>
      <c r="I212" s="209"/>
      <c r="J212" s="209">
        <v>11340</v>
      </c>
      <c r="K212" s="209">
        <v>11340</v>
      </c>
      <c r="L212" s="209"/>
      <c r="M212" s="209"/>
      <c r="N212" s="209">
        <f t="shared" si="3"/>
        <v>0</v>
      </c>
      <c r="O212" s="183" t="s">
        <v>2768</v>
      </c>
      <c r="P212" s="183" t="s">
        <v>815</v>
      </c>
      <c r="Q212" s="3">
        <v>11340</v>
      </c>
      <c r="R212">
        <v>11340</v>
      </c>
    </row>
    <row r="213" spans="1:21">
      <c r="A213" s="209" t="s">
        <v>2745</v>
      </c>
      <c r="B213" s="209">
        <v>367</v>
      </c>
      <c r="C213" s="205" t="s">
        <v>2027</v>
      </c>
      <c r="D213" s="256">
        <v>5</v>
      </c>
      <c r="E213" s="183" t="s">
        <v>2032</v>
      </c>
      <c r="F213" s="183" t="s">
        <v>443</v>
      </c>
      <c r="G213" s="209">
        <v>11340</v>
      </c>
      <c r="H213" s="209"/>
      <c r="I213" s="209"/>
      <c r="J213" s="258">
        <v>11340</v>
      </c>
      <c r="K213" s="258">
        <v>11340</v>
      </c>
      <c r="L213" s="258"/>
      <c r="M213" s="258"/>
      <c r="N213" s="258">
        <f t="shared" si="3"/>
        <v>0</v>
      </c>
      <c r="O213" s="254" t="s">
        <v>488</v>
      </c>
      <c r="P213" s="183"/>
      <c r="Q213" s="3">
        <v>11340</v>
      </c>
      <c r="U213" s="257" t="s">
        <v>502</v>
      </c>
    </row>
    <row r="214" spans="1:21">
      <c r="A214" s="209" t="s">
        <v>2745</v>
      </c>
      <c r="B214" s="209">
        <v>368</v>
      </c>
      <c r="C214" s="205" t="s">
        <v>2027</v>
      </c>
      <c r="D214" s="256">
        <v>6</v>
      </c>
      <c r="E214" s="183" t="s">
        <v>2033</v>
      </c>
      <c r="F214" s="183" t="s">
        <v>444</v>
      </c>
      <c r="G214" s="209">
        <v>11340</v>
      </c>
      <c r="H214" s="209"/>
      <c r="I214" s="209"/>
      <c r="J214" s="258">
        <v>11340</v>
      </c>
      <c r="K214" s="258">
        <v>11340</v>
      </c>
      <c r="L214" s="258"/>
      <c r="M214" s="258"/>
      <c r="N214" s="258">
        <f t="shared" si="3"/>
        <v>0</v>
      </c>
      <c r="O214" s="183"/>
      <c r="P214" s="183"/>
      <c r="Q214" s="3">
        <v>11340</v>
      </c>
      <c r="U214" s="257" t="s">
        <v>503</v>
      </c>
    </row>
    <row r="215" spans="1:21">
      <c r="A215" s="209" t="s">
        <v>2745</v>
      </c>
      <c r="B215" s="209">
        <v>369</v>
      </c>
      <c r="C215" s="205" t="s">
        <v>2027</v>
      </c>
      <c r="D215" s="256">
        <v>7</v>
      </c>
      <c r="E215" s="183" t="s">
        <v>2034</v>
      </c>
      <c r="F215" s="183" t="s">
        <v>2035</v>
      </c>
      <c r="G215" s="209">
        <v>11340</v>
      </c>
      <c r="H215" s="209"/>
      <c r="I215" s="209"/>
      <c r="J215" s="258">
        <v>11340</v>
      </c>
      <c r="K215" s="258">
        <v>11340</v>
      </c>
      <c r="L215" s="258"/>
      <c r="M215" s="258"/>
      <c r="N215" s="258">
        <f t="shared" si="3"/>
        <v>0</v>
      </c>
      <c r="O215" s="183"/>
      <c r="P215" s="183"/>
      <c r="Q215" s="3">
        <v>11340</v>
      </c>
      <c r="U215" s="257" t="s">
        <v>503</v>
      </c>
    </row>
    <row r="216" spans="1:21">
      <c r="A216" s="209" t="s">
        <v>2745</v>
      </c>
      <c r="B216" s="209">
        <v>370</v>
      </c>
      <c r="C216" s="205" t="s">
        <v>2027</v>
      </c>
      <c r="D216" s="256">
        <v>8</v>
      </c>
      <c r="E216" s="183" t="s">
        <v>2036</v>
      </c>
      <c r="F216" s="183" t="s">
        <v>445</v>
      </c>
      <c r="G216" s="209">
        <v>11340</v>
      </c>
      <c r="H216" s="209"/>
      <c r="I216" s="209"/>
      <c r="J216" s="258">
        <v>11340</v>
      </c>
      <c r="K216" s="258">
        <v>11340</v>
      </c>
      <c r="L216" s="258"/>
      <c r="M216" s="258"/>
      <c r="N216" s="258">
        <f t="shared" si="3"/>
        <v>0</v>
      </c>
      <c r="O216" s="183"/>
      <c r="P216" s="183"/>
      <c r="Q216" s="3">
        <v>11340</v>
      </c>
      <c r="U216" s="257" t="s">
        <v>503</v>
      </c>
    </row>
    <row r="217" spans="1:21">
      <c r="A217" s="209" t="s">
        <v>446</v>
      </c>
      <c r="B217" s="209"/>
      <c r="C217" s="205" t="s">
        <v>2421</v>
      </c>
      <c r="D217" s="226">
        <v>2</v>
      </c>
      <c r="E217" s="183" t="s">
        <v>1283</v>
      </c>
      <c r="F217" s="183" t="s">
        <v>446</v>
      </c>
      <c r="G217" s="165"/>
      <c r="H217" s="165"/>
      <c r="I217" s="165"/>
      <c r="J217" s="165"/>
      <c r="K217" s="165"/>
      <c r="L217" s="165"/>
      <c r="M217" s="165"/>
      <c r="N217" s="165">
        <f t="shared" si="3"/>
        <v>0</v>
      </c>
      <c r="O217" s="183" t="s">
        <v>446</v>
      </c>
      <c r="P217" s="183" t="s">
        <v>446</v>
      </c>
      <c r="Q217" s="178">
        <v>14175</v>
      </c>
      <c r="R217" s="178">
        <v>14165</v>
      </c>
      <c r="S217" s="178"/>
      <c r="T217" s="3">
        <v>10</v>
      </c>
      <c r="U217">
        <f>Q217-R217-T217</f>
        <v>0</v>
      </c>
    </row>
    <row r="218" spans="1:21">
      <c r="A218" s="209" t="s">
        <v>2751</v>
      </c>
      <c r="B218" s="209">
        <v>371</v>
      </c>
      <c r="C218" s="205" t="s">
        <v>1699</v>
      </c>
      <c r="D218" s="226">
        <v>3</v>
      </c>
      <c r="E218" s="183" t="s">
        <v>2037</v>
      </c>
      <c r="F218" s="183" t="s">
        <v>2774</v>
      </c>
      <c r="G218" s="209">
        <v>13500</v>
      </c>
      <c r="H218" s="209"/>
      <c r="I218" s="209"/>
      <c r="J218" s="209">
        <v>13500</v>
      </c>
      <c r="K218" s="209">
        <v>13500</v>
      </c>
      <c r="L218" s="209"/>
      <c r="M218" s="209"/>
      <c r="N218" s="209">
        <f t="shared" si="3"/>
        <v>0</v>
      </c>
      <c r="O218" s="183" t="s">
        <v>2753</v>
      </c>
      <c r="P218" s="183" t="s">
        <v>2754</v>
      </c>
    </row>
    <row r="219" spans="1:21">
      <c r="A219" s="209" t="s">
        <v>448</v>
      </c>
      <c r="B219" s="209"/>
      <c r="C219" s="205" t="s">
        <v>1532</v>
      </c>
      <c r="D219" s="226">
        <v>3</v>
      </c>
      <c r="E219" s="183" t="s">
        <v>1283</v>
      </c>
      <c r="F219" s="183" t="s">
        <v>448</v>
      </c>
      <c r="G219" s="165"/>
      <c r="H219" s="165"/>
      <c r="I219" s="165"/>
      <c r="J219" s="165"/>
      <c r="K219" s="165"/>
      <c r="L219" s="165"/>
      <c r="M219" s="165"/>
      <c r="N219" s="165">
        <f t="shared" si="3"/>
        <v>0</v>
      </c>
      <c r="O219" s="183" t="s">
        <v>448</v>
      </c>
      <c r="P219" s="183" t="s">
        <v>448</v>
      </c>
      <c r="Q219" s="178">
        <v>13500</v>
      </c>
      <c r="R219" s="178">
        <v>13500</v>
      </c>
      <c r="S219" s="178"/>
    </row>
    <row r="220" spans="1:21">
      <c r="A220" s="209" t="s">
        <v>449</v>
      </c>
      <c r="B220" s="209">
        <v>372</v>
      </c>
      <c r="C220" s="205" t="s">
        <v>1232</v>
      </c>
      <c r="D220" s="226">
        <v>1</v>
      </c>
      <c r="E220" s="183" t="s">
        <v>2038</v>
      </c>
      <c r="F220" s="183" t="s">
        <v>2039</v>
      </c>
      <c r="G220" s="209">
        <v>16380</v>
      </c>
      <c r="H220" s="209"/>
      <c r="I220" s="209"/>
      <c r="J220" s="209">
        <v>16380</v>
      </c>
      <c r="K220" s="209">
        <v>16380</v>
      </c>
      <c r="L220" s="209"/>
      <c r="M220" s="209"/>
      <c r="N220" s="209">
        <f t="shared" si="3"/>
        <v>0</v>
      </c>
      <c r="O220" s="183" t="s">
        <v>2753</v>
      </c>
      <c r="P220" s="183" t="s">
        <v>2754</v>
      </c>
    </row>
    <row r="221" spans="1:21">
      <c r="A221" s="209" t="s">
        <v>450</v>
      </c>
      <c r="B221" s="209"/>
      <c r="C221" s="205" t="s">
        <v>3825</v>
      </c>
      <c r="D221" s="226">
        <v>2</v>
      </c>
      <c r="E221" s="183" t="s">
        <v>1283</v>
      </c>
      <c r="F221" s="183" t="s">
        <v>450</v>
      </c>
      <c r="G221" s="165"/>
      <c r="H221" s="165"/>
      <c r="I221" s="165"/>
      <c r="J221" s="165"/>
      <c r="K221" s="165"/>
      <c r="L221" s="165"/>
      <c r="M221" s="165"/>
      <c r="N221" s="165">
        <f t="shared" si="3"/>
        <v>0</v>
      </c>
      <c r="O221" s="183" t="s">
        <v>450</v>
      </c>
      <c r="P221" s="183" t="s">
        <v>450</v>
      </c>
      <c r="Q221" s="3">
        <v>14175</v>
      </c>
      <c r="R221" s="178">
        <v>14145</v>
      </c>
      <c r="S221" s="178"/>
      <c r="T221" s="3">
        <v>30</v>
      </c>
    </row>
    <row r="222" spans="1:21" s="7" customFormat="1">
      <c r="A222" s="209" t="s">
        <v>2040</v>
      </c>
      <c r="B222" s="209"/>
      <c r="C222" s="205" t="s">
        <v>1230</v>
      </c>
      <c r="D222" s="226">
        <v>5</v>
      </c>
      <c r="E222" s="199" t="s">
        <v>1283</v>
      </c>
      <c r="F222" s="199" t="s">
        <v>452</v>
      </c>
      <c r="G222" s="165"/>
      <c r="H222" s="165"/>
      <c r="I222" s="165"/>
      <c r="J222" s="165"/>
      <c r="K222" s="165"/>
      <c r="L222" s="165"/>
      <c r="M222" s="165"/>
      <c r="N222" s="165">
        <f t="shared" si="3"/>
        <v>0</v>
      </c>
      <c r="O222" s="199" t="s">
        <v>2040</v>
      </c>
      <c r="P222" s="199" t="s">
        <v>2040</v>
      </c>
      <c r="Q222" s="165">
        <v>11970</v>
      </c>
      <c r="R222" s="209">
        <v>11940</v>
      </c>
      <c r="S222" s="209"/>
      <c r="T222" s="165">
        <v>30</v>
      </c>
    </row>
    <row r="223" spans="1:21">
      <c r="A223" s="209" t="s">
        <v>453</v>
      </c>
      <c r="B223" s="209">
        <v>373</v>
      </c>
      <c r="C223" s="205" t="s">
        <v>2041</v>
      </c>
      <c r="D223" s="183">
        <v>1</v>
      </c>
      <c r="E223" s="183" t="s">
        <v>2042</v>
      </c>
      <c r="F223" s="183" t="s">
        <v>1863</v>
      </c>
      <c r="G223" s="209">
        <v>14175</v>
      </c>
      <c r="H223" s="209"/>
      <c r="I223" s="209"/>
      <c r="J223" s="209">
        <v>14175</v>
      </c>
      <c r="K223" s="209">
        <v>14175</v>
      </c>
      <c r="L223" s="209"/>
      <c r="M223" s="209"/>
      <c r="N223" s="209">
        <f t="shared" si="3"/>
        <v>0</v>
      </c>
      <c r="O223" s="183" t="s">
        <v>2753</v>
      </c>
      <c r="P223" s="183" t="s">
        <v>2754</v>
      </c>
    </row>
    <row r="224" spans="1:21">
      <c r="A224" s="209" t="s">
        <v>453</v>
      </c>
      <c r="B224" s="209">
        <v>374</v>
      </c>
      <c r="C224" s="205" t="s">
        <v>2041</v>
      </c>
      <c r="D224" s="183">
        <v>2</v>
      </c>
      <c r="E224" s="183" t="s">
        <v>2043</v>
      </c>
      <c r="F224" s="183" t="s">
        <v>1865</v>
      </c>
      <c r="G224" s="209">
        <v>14175</v>
      </c>
      <c r="H224" s="209"/>
      <c r="I224" s="209"/>
      <c r="J224" s="209">
        <v>14175</v>
      </c>
      <c r="K224" s="209">
        <v>14175</v>
      </c>
      <c r="L224" s="209"/>
      <c r="M224" s="209"/>
      <c r="N224" s="209">
        <f t="shared" si="3"/>
        <v>0</v>
      </c>
      <c r="O224" s="183" t="s">
        <v>574</v>
      </c>
      <c r="P224" s="183" t="s">
        <v>575</v>
      </c>
    </row>
    <row r="225" spans="1:21">
      <c r="A225" s="209" t="s">
        <v>453</v>
      </c>
      <c r="B225" s="209">
        <v>375</v>
      </c>
      <c r="C225" s="205" t="s">
        <v>2041</v>
      </c>
      <c r="D225" s="183">
        <v>3</v>
      </c>
      <c r="E225" s="183" t="s">
        <v>2044</v>
      </c>
      <c r="F225" s="183" t="s">
        <v>1867</v>
      </c>
      <c r="G225" s="209">
        <v>14175</v>
      </c>
      <c r="H225" s="209"/>
      <c r="I225" s="209"/>
      <c r="J225" s="209">
        <v>14175</v>
      </c>
      <c r="K225" s="209">
        <v>14175</v>
      </c>
      <c r="L225" s="209"/>
      <c r="M225" s="209"/>
      <c r="N225" s="209">
        <f t="shared" si="3"/>
        <v>0</v>
      </c>
      <c r="O225" s="183" t="s">
        <v>2662</v>
      </c>
      <c r="P225" s="183" t="s">
        <v>2767</v>
      </c>
      <c r="Q225" s="3">
        <v>14175</v>
      </c>
      <c r="R225">
        <v>14175</v>
      </c>
    </row>
    <row r="226" spans="1:21">
      <c r="A226" s="209" t="s">
        <v>453</v>
      </c>
      <c r="B226" s="209">
        <v>376</v>
      </c>
      <c r="C226" s="205" t="s">
        <v>2041</v>
      </c>
      <c r="D226" s="183">
        <v>4</v>
      </c>
      <c r="E226" s="183" t="s">
        <v>2045</v>
      </c>
      <c r="F226" s="183" t="s">
        <v>1869</v>
      </c>
      <c r="G226" s="209">
        <v>14175</v>
      </c>
      <c r="H226" s="209"/>
      <c r="I226" s="209"/>
      <c r="J226" s="209">
        <v>14175</v>
      </c>
      <c r="K226" s="209">
        <v>14175</v>
      </c>
      <c r="L226" s="209"/>
      <c r="M226" s="209"/>
      <c r="N226" s="209">
        <f t="shared" si="3"/>
        <v>0</v>
      </c>
      <c r="O226" s="183" t="s">
        <v>818</v>
      </c>
      <c r="P226" s="183" t="s">
        <v>487</v>
      </c>
      <c r="Q226" s="3">
        <v>14175</v>
      </c>
      <c r="R226">
        <v>14175</v>
      </c>
    </row>
    <row r="227" spans="1:21">
      <c r="A227" s="209" t="s">
        <v>453</v>
      </c>
      <c r="B227" s="209">
        <v>377</v>
      </c>
      <c r="C227" s="205" t="s">
        <v>2041</v>
      </c>
      <c r="D227" s="183">
        <v>5</v>
      </c>
      <c r="E227" s="183" t="s">
        <v>2046</v>
      </c>
      <c r="F227" s="183" t="s">
        <v>1871</v>
      </c>
      <c r="G227" s="209">
        <v>14175</v>
      </c>
      <c r="H227" s="209"/>
      <c r="I227" s="209"/>
      <c r="J227" s="209">
        <v>14175</v>
      </c>
      <c r="K227" s="209">
        <v>14175</v>
      </c>
      <c r="L227" s="209"/>
      <c r="M227" s="209"/>
      <c r="N227" s="209">
        <f t="shared" si="3"/>
        <v>0</v>
      </c>
      <c r="O227" s="183" t="s">
        <v>490</v>
      </c>
      <c r="P227" s="183" t="s">
        <v>491</v>
      </c>
      <c r="Q227" s="3">
        <v>14175</v>
      </c>
      <c r="R227">
        <v>14175</v>
      </c>
    </row>
    <row r="228" spans="1:21">
      <c r="A228" s="209" t="s">
        <v>453</v>
      </c>
      <c r="B228" s="209">
        <v>378</v>
      </c>
      <c r="C228" s="205" t="s">
        <v>2041</v>
      </c>
      <c r="D228" s="183">
        <v>6</v>
      </c>
      <c r="E228" s="183" t="s">
        <v>2047</v>
      </c>
      <c r="F228" s="183" t="s">
        <v>1873</v>
      </c>
      <c r="G228" s="209">
        <v>14175</v>
      </c>
      <c r="H228" s="209"/>
      <c r="I228" s="209"/>
      <c r="J228" s="209">
        <v>14175</v>
      </c>
      <c r="K228" s="209">
        <v>14175</v>
      </c>
      <c r="L228" s="209"/>
      <c r="M228" s="209"/>
      <c r="N228" s="209">
        <f t="shared" si="3"/>
        <v>0</v>
      </c>
      <c r="O228" s="183" t="s">
        <v>1461</v>
      </c>
      <c r="P228" s="183" t="s">
        <v>492</v>
      </c>
      <c r="Q228" s="3">
        <v>14175</v>
      </c>
      <c r="R228">
        <v>14175</v>
      </c>
    </row>
    <row r="229" spans="1:21">
      <c r="A229" s="209" t="s">
        <v>453</v>
      </c>
      <c r="B229" s="209">
        <v>379</v>
      </c>
      <c r="C229" s="205" t="s">
        <v>2041</v>
      </c>
      <c r="D229" s="183">
        <v>7</v>
      </c>
      <c r="E229" s="183" t="s">
        <v>2048</v>
      </c>
      <c r="F229" s="183" t="s">
        <v>2049</v>
      </c>
      <c r="G229" s="209">
        <v>14175</v>
      </c>
      <c r="H229" s="209"/>
      <c r="I229" s="209"/>
      <c r="J229" s="209">
        <v>14175</v>
      </c>
      <c r="K229" s="209">
        <v>14175</v>
      </c>
      <c r="L229" s="209"/>
      <c r="M229" s="209"/>
      <c r="N229" s="209">
        <f t="shared" si="3"/>
        <v>0</v>
      </c>
      <c r="O229" s="183" t="s">
        <v>505</v>
      </c>
      <c r="P229" s="183" t="s">
        <v>505</v>
      </c>
      <c r="Q229" s="3">
        <v>14175</v>
      </c>
      <c r="R229">
        <v>14175</v>
      </c>
    </row>
    <row r="230" spans="1:21">
      <c r="A230" s="209" t="s">
        <v>453</v>
      </c>
      <c r="B230" s="209">
        <v>380</v>
      </c>
      <c r="C230" s="205" t="s">
        <v>2041</v>
      </c>
      <c r="D230" s="183">
        <v>8</v>
      </c>
      <c r="E230" s="183" t="s">
        <v>2050</v>
      </c>
      <c r="F230" s="183" t="s">
        <v>2051</v>
      </c>
      <c r="G230" s="209">
        <v>14175</v>
      </c>
      <c r="H230" s="209"/>
      <c r="I230" s="209"/>
      <c r="J230" s="209">
        <v>14175</v>
      </c>
      <c r="K230" s="209">
        <v>14175</v>
      </c>
      <c r="L230" s="209"/>
      <c r="M230" s="209"/>
      <c r="N230" s="209">
        <f t="shared" si="3"/>
        <v>0</v>
      </c>
      <c r="O230" s="183" t="s">
        <v>506</v>
      </c>
      <c r="P230" s="183" t="s">
        <v>507</v>
      </c>
      <c r="Q230" s="3">
        <v>14175</v>
      </c>
      <c r="R230">
        <v>14175</v>
      </c>
    </row>
    <row r="231" spans="1:21">
      <c r="A231" s="209" t="s">
        <v>454</v>
      </c>
      <c r="B231" s="209">
        <v>381</v>
      </c>
      <c r="C231" s="205" t="s">
        <v>1307</v>
      </c>
      <c r="D231" s="183">
        <v>1</v>
      </c>
      <c r="E231" s="183" t="s">
        <v>2052</v>
      </c>
      <c r="F231" s="183" t="s">
        <v>1863</v>
      </c>
      <c r="G231" s="209">
        <v>13500</v>
      </c>
      <c r="H231" s="209"/>
      <c r="I231" s="209"/>
      <c r="J231" s="209">
        <v>13500</v>
      </c>
      <c r="K231" s="209">
        <v>13500</v>
      </c>
      <c r="L231" s="209"/>
      <c r="M231" s="209"/>
      <c r="N231" s="209">
        <f t="shared" si="3"/>
        <v>0</v>
      </c>
      <c r="O231" s="183" t="s">
        <v>2753</v>
      </c>
      <c r="P231" s="183" t="s">
        <v>2754</v>
      </c>
    </row>
    <row r="232" spans="1:21">
      <c r="A232" s="209" t="s">
        <v>454</v>
      </c>
      <c r="B232" s="209">
        <v>382</v>
      </c>
      <c r="C232" s="205" t="s">
        <v>1307</v>
      </c>
      <c r="D232" s="183">
        <v>2</v>
      </c>
      <c r="E232" s="183" t="s">
        <v>2053</v>
      </c>
      <c r="F232" s="183" t="s">
        <v>1865</v>
      </c>
      <c r="G232" s="209">
        <v>13500</v>
      </c>
      <c r="H232" s="209"/>
      <c r="I232" s="209"/>
      <c r="J232" s="209">
        <v>13500</v>
      </c>
      <c r="K232" s="209">
        <v>13500</v>
      </c>
      <c r="L232" s="209"/>
      <c r="M232" s="209"/>
      <c r="N232" s="209">
        <f t="shared" si="3"/>
        <v>0</v>
      </c>
      <c r="O232" s="183" t="s">
        <v>574</v>
      </c>
      <c r="P232" s="183" t="s">
        <v>575</v>
      </c>
    </row>
    <row r="233" spans="1:21">
      <c r="A233" s="209" t="s">
        <v>454</v>
      </c>
      <c r="B233" s="209">
        <v>383</v>
      </c>
      <c r="C233" s="205" t="s">
        <v>1307</v>
      </c>
      <c r="D233" s="183">
        <v>3</v>
      </c>
      <c r="E233" s="183" t="s">
        <v>2054</v>
      </c>
      <c r="F233" s="183" t="s">
        <v>1867</v>
      </c>
      <c r="G233" s="209">
        <v>13500</v>
      </c>
      <c r="H233" s="209"/>
      <c r="I233" s="209"/>
      <c r="J233" s="209">
        <v>13500</v>
      </c>
      <c r="K233" s="209">
        <v>13500</v>
      </c>
      <c r="L233" s="209"/>
      <c r="M233" s="209"/>
      <c r="N233" s="209">
        <f t="shared" si="3"/>
        <v>0</v>
      </c>
      <c r="O233" s="183" t="s">
        <v>2662</v>
      </c>
      <c r="P233" s="183" t="s">
        <v>2767</v>
      </c>
      <c r="Q233" s="3">
        <v>13500</v>
      </c>
      <c r="R233">
        <v>13500</v>
      </c>
    </row>
    <row r="234" spans="1:21">
      <c r="A234" s="209" t="s">
        <v>454</v>
      </c>
      <c r="B234" s="209">
        <v>384</v>
      </c>
      <c r="C234" s="205" t="s">
        <v>1307</v>
      </c>
      <c r="D234" s="183">
        <v>4</v>
      </c>
      <c r="E234" s="183" t="s">
        <v>2055</v>
      </c>
      <c r="F234" s="183" t="s">
        <v>1869</v>
      </c>
      <c r="G234" s="209">
        <v>13500</v>
      </c>
      <c r="H234" s="209"/>
      <c r="I234" s="209"/>
      <c r="J234" s="209">
        <v>13500</v>
      </c>
      <c r="K234" s="209">
        <v>13500</v>
      </c>
      <c r="L234" s="209"/>
      <c r="M234" s="209"/>
      <c r="N234" s="209">
        <f t="shared" si="3"/>
        <v>0</v>
      </c>
      <c r="O234" s="183" t="s">
        <v>818</v>
      </c>
      <c r="P234" s="183" t="s">
        <v>487</v>
      </c>
      <c r="Q234" s="3">
        <v>13500</v>
      </c>
      <c r="R234">
        <v>13500</v>
      </c>
    </row>
    <row r="235" spans="1:21">
      <c r="A235" s="209" t="s">
        <v>454</v>
      </c>
      <c r="B235" s="209">
        <v>385</v>
      </c>
      <c r="C235" s="205" t="s">
        <v>1307</v>
      </c>
      <c r="D235" s="183">
        <v>5</v>
      </c>
      <c r="E235" s="183" t="s">
        <v>2056</v>
      </c>
      <c r="F235" s="183" t="s">
        <v>1871</v>
      </c>
      <c r="G235" s="209">
        <v>13500</v>
      </c>
      <c r="H235" s="209"/>
      <c r="I235" s="209"/>
      <c r="J235" s="209">
        <v>13500</v>
      </c>
      <c r="K235" s="209">
        <v>13500</v>
      </c>
      <c r="L235" s="209"/>
      <c r="M235" s="209"/>
      <c r="N235" s="209">
        <f t="shared" si="3"/>
        <v>0</v>
      </c>
      <c r="O235" s="183" t="s">
        <v>490</v>
      </c>
      <c r="P235" s="183" t="s">
        <v>491</v>
      </c>
      <c r="Q235" s="3">
        <v>13500</v>
      </c>
      <c r="R235">
        <v>13500</v>
      </c>
    </row>
    <row r="236" spans="1:21">
      <c r="A236" s="209" t="s">
        <v>454</v>
      </c>
      <c r="B236" s="209">
        <v>386</v>
      </c>
      <c r="C236" s="205" t="s">
        <v>1307</v>
      </c>
      <c r="D236" s="183">
        <v>6</v>
      </c>
      <c r="E236" s="183" t="s">
        <v>2057</v>
      </c>
      <c r="F236" s="183" t="s">
        <v>1873</v>
      </c>
      <c r="G236" s="209">
        <v>13500</v>
      </c>
      <c r="H236" s="209"/>
      <c r="I236" s="209"/>
      <c r="J236" s="209">
        <v>13500</v>
      </c>
      <c r="K236" s="209">
        <v>13500</v>
      </c>
      <c r="L236" s="209"/>
      <c r="M236" s="209"/>
      <c r="N236" s="209">
        <f t="shared" si="3"/>
        <v>0</v>
      </c>
      <c r="O236" s="183" t="s">
        <v>1461</v>
      </c>
      <c r="P236" s="183" t="s">
        <v>492</v>
      </c>
      <c r="Q236" s="3">
        <v>13500</v>
      </c>
      <c r="R236">
        <v>13500</v>
      </c>
    </row>
    <row r="237" spans="1:21">
      <c r="A237" s="209" t="s">
        <v>454</v>
      </c>
      <c r="B237" s="209">
        <v>387</v>
      </c>
      <c r="C237" s="205" t="s">
        <v>1307</v>
      </c>
      <c r="D237" s="183">
        <v>7</v>
      </c>
      <c r="E237" s="183" t="s">
        <v>2058</v>
      </c>
      <c r="F237" s="183" t="s">
        <v>2049</v>
      </c>
      <c r="G237" s="209">
        <v>13500</v>
      </c>
      <c r="H237" s="209"/>
      <c r="I237" s="209"/>
      <c r="J237" s="209">
        <v>13500</v>
      </c>
      <c r="K237" s="209">
        <v>13500</v>
      </c>
      <c r="L237" s="209"/>
      <c r="M237" s="209"/>
      <c r="N237" s="209">
        <f t="shared" si="3"/>
        <v>0</v>
      </c>
      <c r="O237" s="183" t="s">
        <v>505</v>
      </c>
      <c r="P237" s="183" t="s">
        <v>505</v>
      </c>
      <c r="Q237" s="3">
        <v>13500</v>
      </c>
      <c r="R237">
        <v>13500</v>
      </c>
    </row>
    <row r="238" spans="1:21">
      <c r="A238" s="209" t="s">
        <v>454</v>
      </c>
      <c r="B238" s="209">
        <v>388</v>
      </c>
      <c r="C238" s="205" t="s">
        <v>1307</v>
      </c>
      <c r="D238" s="183">
        <v>8</v>
      </c>
      <c r="E238" s="183" t="s">
        <v>2059</v>
      </c>
      <c r="F238" s="183" t="s">
        <v>2051</v>
      </c>
      <c r="G238" s="209">
        <v>13500</v>
      </c>
      <c r="H238" s="209"/>
      <c r="I238" s="209"/>
      <c r="J238" s="209">
        <v>13500</v>
      </c>
      <c r="K238" s="209">
        <v>13500</v>
      </c>
      <c r="L238" s="209"/>
      <c r="M238" s="209"/>
      <c r="N238" s="209">
        <f t="shared" si="3"/>
        <v>0</v>
      </c>
      <c r="O238" s="183" t="s">
        <v>506</v>
      </c>
      <c r="P238" s="183" t="s">
        <v>507</v>
      </c>
      <c r="Q238" s="3">
        <v>13500</v>
      </c>
      <c r="R238">
        <v>13500</v>
      </c>
    </row>
    <row r="239" spans="1:21" s="95" customFormat="1">
      <c r="A239" s="182" t="s">
        <v>455</v>
      </c>
      <c r="B239" s="182"/>
      <c r="C239" s="210" t="s">
        <v>2060</v>
      </c>
      <c r="D239" s="226">
        <v>1</v>
      </c>
      <c r="E239" s="210" t="s">
        <v>1283</v>
      </c>
      <c r="F239" s="210" t="s">
        <v>455</v>
      </c>
      <c r="G239" s="179"/>
      <c r="H239" s="179"/>
      <c r="I239" s="179"/>
      <c r="J239" s="179"/>
      <c r="K239" s="179"/>
      <c r="L239" s="179"/>
      <c r="M239" s="179"/>
      <c r="N239" s="179">
        <f t="shared" si="3"/>
        <v>0</v>
      </c>
      <c r="O239" s="210" t="s">
        <v>455</v>
      </c>
      <c r="P239" s="210" t="s">
        <v>455</v>
      </c>
      <c r="Q239" s="182">
        <v>14175</v>
      </c>
      <c r="R239" s="182">
        <v>14145</v>
      </c>
      <c r="S239" s="182"/>
      <c r="T239" s="179">
        <v>30</v>
      </c>
      <c r="U239" s="210" t="s">
        <v>245</v>
      </c>
    </row>
    <row r="240" spans="1:21" s="7" customFormat="1">
      <c r="A240" s="209" t="s">
        <v>455</v>
      </c>
      <c r="B240" s="209"/>
      <c r="C240" s="205" t="s">
        <v>1230</v>
      </c>
      <c r="D240" s="226">
        <v>6</v>
      </c>
      <c r="E240" s="199" t="s">
        <v>1283</v>
      </c>
      <c r="F240" s="199" t="s">
        <v>455</v>
      </c>
      <c r="G240" s="165"/>
      <c r="H240" s="165"/>
      <c r="I240" s="165"/>
      <c r="J240" s="165"/>
      <c r="K240" s="165"/>
      <c r="L240" s="165"/>
      <c r="M240" s="165"/>
      <c r="N240" s="165">
        <f t="shared" si="3"/>
        <v>0</v>
      </c>
      <c r="O240" s="199" t="s">
        <v>455</v>
      </c>
      <c r="P240" s="199" t="s">
        <v>455</v>
      </c>
      <c r="Q240" s="165">
        <v>11970</v>
      </c>
      <c r="R240" s="209">
        <v>11940</v>
      </c>
      <c r="S240" s="209"/>
      <c r="T240" s="165">
        <v>30</v>
      </c>
    </row>
    <row r="241" spans="1:20">
      <c r="A241" s="209" t="s">
        <v>441</v>
      </c>
      <c r="B241" s="209">
        <v>389</v>
      </c>
      <c r="C241" s="205" t="s">
        <v>1699</v>
      </c>
      <c r="D241" s="226">
        <v>4</v>
      </c>
      <c r="E241" s="183" t="s">
        <v>2061</v>
      </c>
      <c r="F241" s="183" t="s">
        <v>2755</v>
      </c>
      <c r="G241" s="165">
        <v>13500</v>
      </c>
      <c r="H241" s="165"/>
      <c r="I241" s="165"/>
      <c r="J241" s="165">
        <v>13500</v>
      </c>
      <c r="K241" s="165">
        <v>13500</v>
      </c>
      <c r="L241" s="165"/>
      <c r="M241" s="165"/>
      <c r="N241" s="165">
        <f t="shared" si="3"/>
        <v>0</v>
      </c>
      <c r="O241" s="183" t="s">
        <v>574</v>
      </c>
      <c r="P241" s="183" t="s">
        <v>575</v>
      </c>
      <c r="R241" s="178"/>
      <c r="S241" s="178"/>
      <c r="T241" s="165"/>
    </row>
    <row r="242" spans="1:20">
      <c r="A242" s="209" t="s">
        <v>2746</v>
      </c>
      <c r="B242" s="209">
        <v>390</v>
      </c>
      <c r="C242" s="205" t="s">
        <v>1232</v>
      </c>
      <c r="D242" s="226">
        <v>2</v>
      </c>
      <c r="E242" s="183" t="s">
        <v>2062</v>
      </c>
      <c r="F242" s="183" t="s">
        <v>2063</v>
      </c>
      <c r="G242" s="209">
        <v>16380</v>
      </c>
      <c r="H242" s="209"/>
      <c r="I242" s="209"/>
      <c r="J242" s="209">
        <v>16380</v>
      </c>
      <c r="K242" s="209">
        <v>16380</v>
      </c>
      <c r="L242" s="209"/>
      <c r="M242" s="209"/>
      <c r="N242" s="209">
        <f t="shared" si="3"/>
        <v>0</v>
      </c>
      <c r="O242" s="183" t="s">
        <v>2760</v>
      </c>
      <c r="P242" s="183" t="s">
        <v>2755</v>
      </c>
    </row>
    <row r="243" spans="1:20">
      <c r="A243" s="209" t="s">
        <v>457</v>
      </c>
      <c r="B243" s="209"/>
      <c r="C243" s="205" t="s">
        <v>2421</v>
      </c>
      <c r="D243" s="226">
        <v>3</v>
      </c>
      <c r="E243" s="183" t="s">
        <v>1283</v>
      </c>
      <c r="F243" s="183" t="s">
        <v>457</v>
      </c>
      <c r="G243" s="165"/>
      <c r="H243" s="165"/>
      <c r="I243" s="165"/>
      <c r="J243" s="165"/>
      <c r="K243" s="165"/>
      <c r="L243" s="165"/>
      <c r="M243" s="165"/>
      <c r="N243" s="165">
        <f t="shared" si="3"/>
        <v>0</v>
      </c>
      <c r="O243" s="183" t="s">
        <v>457</v>
      </c>
      <c r="P243" s="183" t="s">
        <v>457</v>
      </c>
      <c r="Q243" s="178">
        <v>14175</v>
      </c>
      <c r="R243" s="178">
        <v>14165</v>
      </c>
      <c r="S243" s="178"/>
      <c r="T243" s="3">
        <v>10</v>
      </c>
    </row>
    <row r="244" spans="1:20">
      <c r="A244" s="209" t="s">
        <v>2760</v>
      </c>
      <c r="B244" s="209">
        <v>391</v>
      </c>
      <c r="C244" s="205" t="s">
        <v>8</v>
      </c>
      <c r="D244" s="183">
        <v>1</v>
      </c>
      <c r="E244" s="183" t="s">
        <v>2064</v>
      </c>
      <c r="F244" s="183" t="s">
        <v>2065</v>
      </c>
      <c r="G244" s="209">
        <v>14175</v>
      </c>
      <c r="H244" s="209"/>
      <c r="I244" s="209"/>
      <c r="J244" s="209">
        <v>14175</v>
      </c>
      <c r="K244" s="209">
        <v>14175</v>
      </c>
      <c r="L244" s="209"/>
      <c r="M244" s="209"/>
      <c r="N244" s="209">
        <f t="shared" si="3"/>
        <v>0</v>
      </c>
      <c r="O244" s="183" t="s">
        <v>415</v>
      </c>
      <c r="P244" s="183" t="s">
        <v>2563</v>
      </c>
    </row>
    <row r="245" spans="1:20">
      <c r="A245" s="209" t="s">
        <v>2760</v>
      </c>
      <c r="B245" s="209">
        <v>392</v>
      </c>
      <c r="C245" s="205" t="s">
        <v>8</v>
      </c>
      <c r="D245" s="183">
        <v>2</v>
      </c>
      <c r="E245" s="183" t="s">
        <v>2066</v>
      </c>
      <c r="F245" s="183" t="s">
        <v>2067</v>
      </c>
      <c r="G245" s="209">
        <v>14175</v>
      </c>
      <c r="H245" s="209"/>
      <c r="I245" s="209"/>
      <c r="J245" s="209">
        <v>14175</v>
      </c>
      <c r="K245" s="209">
        <v>14175</v>
      </c>
      <c r="L245" s="209"/>
      <c r="M245" s="209"/>
      <c r="N245" s="209">
        <f t="shared" si="3"/>
        <v>0</v>
      </c>
      <c r="O245" s="183" t="s">
        <v>415</v>
      </c>
      <c r="P245" s="183" t="s">
        <v>2563</v>
      </c>
    </row>
    <row r="246" spans="1:20">
      <c r="A246" s="209" t="s">
        <v>2760</v>
      </c>
      <c r="B246" s="209">
        <v>393</v>
      </c>
      <c r="C246" s="205" t="s">
        <v>8</v>
      </c>
      <c r="D246" s="183">
        <v>3</v>
      </c>
      <c r="E246" s="183" t="s">
        <v>2068</v>
      </c>
      <c r="F246" s="183" t="s">
        <v>2069</v>
      </c>
      <c r="G246" s="209">
        <v>14175</v>
      </c>
      <c r="H246" s="209"/>
      <c r="I246" s="209"/>
      <c r="J246" s="209">
        <v>14175</v>
      </c>
      <c r="K246" s="209">
        <v>14175</v>
      </c>
      <c r="L246" s="209"/>
      <c r="M246" s="209"/>
      <c r="N246" s="209">
        <f t="shared" si="3"/>
        <v>0</v>
      </c>
      <c r="O246" s="183" t="s">
        <v>2768</v>
      </c>
      <c r="P246" s="183" t="s">
        <v>815</v>
      </c>
      <c r="Q246" s="3">
        <v>14175</v>
      </c>
      <c r="R246">
        <v>14175</v>
      </c>
    </row>
    <row r="247" spans="1:20">
      <c r="A247" s="209" t="s">
        <v>2760</v>
      </c>
      <c r="B247" s="209">
        <v>394</v>
      </c>
      <c r="C247" s="205" t="s">
        <v>8</v>
      </c>
      <c r="D247" s="183">
        <v>4</v>
      </c>
      <c r="E247" s="183" t="s">
        <v>2070</v>
      </c>
      <c r="F247" s="183" t="s">
        <v>2071</v>
      </c>
      <c r="G247" s="209">
        <v>14175</v>
      </c>
      <c r="H247" s="209"/>
      <c r="I247" s="209"/>
      <c r="J247" s="209">
        <v>14175</v>
      </c>
      <c r="K247" s="209">
        <v>14175</v>
      </c>
      <c r="L247" s="209"/>
      <c r="M247" s="209"/>
      <c r="N247" s="209">
        <f t="shared" si="3"/>
        <v>0</v>
      </c>
      <c r="O247" s="183" t="s">
        <v>488</v>
      </c>
      <c r="P247" s="183" t="s">
        <v>489</v>
      </c>
      <c r="Q247" s="3">
        <v>14175</v>
      </c>
      <c r="R247">
        <v>14175</v>
      </c>
    </row>
    <row r="248" spans="1:20">
      <c r="A248" s="209" t="s">
        <v>2760</v>
      </c>
      <c r="B248" s="209">
        <v>395</v>
      </c>
      <c r="C248" s="205" t="s">
        <v>8</v>
      </c>
      <c r="D248" s="183">
        <v>5</v>
      </c>
      <c r="E248" s="183" t="s">
        <v>2072</v>
      </c>
      <c r="F248" s="183" t="s">
        <v>2073</v>
      </c>
      <c r="G248" s="209">
        <v>14175</v>
      </c>
      <c r="H248" s="209"/>
      <c r="I248" s="209"/>
      <c r="J248" s="209">
        <v>14175</v>
      </c>
      <c r="K248" s="209">
        <v>14175</v>
      </c>
      <c r="L248" s="209"/>
      <c r="M248" s="209"/>
      <c r="N248" s="209">
        <f t="shared" si="3"/>
        <v>0</v>
      </c>
      <c r="O248" s="183" t="s">
        <v>493</v>
      </c>
      <c r="P248" s="183" t="s">
        <v>911</v>
      </c>
      <c r="Q248" s="3">
        <v>14175</v>
      </c>
      <c r="R248">
        <v>14175</v>
      </c>
    </row>
    <row r="249" spans="1:20">
      <c r="A249" s="209" t="s">
        <v>2760</v>
      </c>
      <c r="B249" s="209">
        <v>396</v>
      </c>
      <c r="C249" s="205" t="s">
        <v>8</v>
      </c>
      <c r="D249" s="183">
        <v>6</v>
      </c>
      <c r="E249" s="183" t="s">
        <v>2074</v>
      </c>
      <c r="F249" s="183" t="s">
        <v>2075</v>
      </c>
      <c r="G249" s="209">
        <v>14175</v>
      </c>
      <c r="H249" s="209"/>
      <c r="I249" s="209"/>
      <c r="J249" s="209">
        <v>14175</v>
      </c>
      <c r="K249" s="209">
        <v>14175</v>
      </c>
      <c r="L249" s="209"/>
      <c r="M249" s="209"/>
      <c r="N249" s="209">
        <f t="shared" si="3"/>
        <v>0</v>
      </c>
      <c r="O249" s="183" t="s">
        <v>458</v>
      </c>
      <c r="P249" s="183" t="s">
        <v>2035</v>
      </c>
      <c r="Q249" s="3">
        <v>14175</v>
      </c>
      <c r="R249">
        <v>14175</v>
      </c>
    </row>
    <row r="250" spans="1:20">
      <c r="A250" s="209" t="s">
        <v>2760</v>
      </c>
      <c r="B250" s="209">
        <v>397</v>
      </c>
      <c r="C250" s="205" t="s">
        <v>8</v>
      </c>
      <c r="D250" s="183">
        <v>7</v>
      </c>
      <c r="E250" s="183" t="s">
        <v>2076</v>
      </c>
      <c r="F250" s="183" t="s">
        <v>2077</v>
      </c>
      <c r="G250" s="209">
        <v>14175</v>
      </c>
      <c r="H250" s="209"/>
      <c r="I250" s="209"/>
      <c r="J250" s="209">
        <v>14175</v>
      </c>
      <c r="K250" s="209">
        <v>14175</v>
      </c>
      <c r="L250" s="209"/>
      <c r="M250" s="209"/>
      <c r="N250" s="209">
        <f t="shared" si="3"/>
        <v>0</v>
      </c>
      <c r="O250" s="183" t="s">
        <v>496</v>
      </c>
      <c r="P250" s="183" t="s">
        <v>497</v>
      </c>
      <c r="Q250" s="3">
        <v>14175</v>
      </c>
      <c r="R250">
        <v>14175</v>
      </c>
    </row>
    <row r="251" spans="1:20">
      <c r="A251" s="209" t="s">
        <v>2760</v>
      </c>
      <c r="B251" s="209">
        <v>398</v>
      </c>
      <c r="C251" s="205" t="s">
        <v>8</v>
      </c>
      <c r="D251" s="183">
        <v>8</v>
      </c>
      <c r="E251" s="183" t="s">
        <v>2078</v>
      </c>
      <c r="F251" s="183" t="s">
        <v>2079</v>
      </c>
      <c r="G251" s="209">
        <v>14175</v>
      </c>
      <c r="H251" s="209"/>
      <c r="I251" s="209"/>
      <c r="J251" s="209">
        <v>14175</v>
      </c>
      <c r="K251" s="209">
        <v>14175</v>
      </c>
      <c r="L251" s="209"/>
      <c r="M251" s="209"/>
      <c r="N251" s="209">
        <f t="shared" si="3"/>
        <v>0</v>
      </c>
      <c r="O251" s="183" t="s">
        <v>609</v>
      </c>
      <c r="P251" s="183" t="s">
        <v>2079</v>
      </c>
      <c r="Q251" s="3">
        <v>14175</v>
      </c>
      <c r="R251">
        <v>14175</v>
      </c>
    </row>
    <row r="252" spans="1:20">
      <c r="A252" s="209" t="s">
        <v>2080</v>
      </c>
      <c r="B252" s="209"/>
      <c r="C252" s="205" t="s">
        <v>1532</v>
      </c>
      <c r="D252" s="226">
        <v>4</v>
      </c>
      <c r="E252" s="183" t="s">
        <v>1283</v>
      </c>
      <c r="F252" s="183" t="s">
        <v>2080</v>
      </c>
      <c r="G252" s="165"/>
      <c r="H252" s="165"/>
      <c r="I252" s="165"/>
      <c r="J252" s="165"/>
      <c r="K252" s="165"/>
      <c r="L252" s="165"/>
      <c r="M252" s="165"/>
      <c r="N252" s="165">
        <f t="shared" si="3"/>
        <v>0</v>
      </c>
      <c r="O252" s="183" t="s">
        <v>2080</v>
      </c>
      <c r="P252" s="183" t="s">
        <v>2080</v>
      </c>
      <c r="Q252" s="178">
        <v>13500</v>
      </c>
      <c r="R252" s="178">
        <v>13485</v>
      </c>
      <c r="S252" s="178"/>
      <c r="T252" s="3">
        <v>15</v>
      </c>
    </row>
    <row r="253" spans="1:20">
      <c r="A253" s="209" t="s">
        <v>2081</v>
      </c>
      <c r="B253" s="209"/>
      <c r="C253" s="205" t="s">
        <v>3825</v>
      </c>
      <c r="D253" s="226">
        <v>3</v>
      </c>
      <c r="E253" s="183" t="s">
        <v>1283</v>
      </c>
      <c r="F253" s="183" t="s">
        <v>2081</v>
      </c>
      <c r="G253" s="165"/>
      <c r="H253" s="165"/>
      <c r="I253" s="165"/>
      <c r="J253" s="165"/>
      <c r="K253" s="165"/>
      <c r="L253" s="165"/>
      <c r="M253" s="165"/>
      <c r="N253" s="165">
        <f t="shared" si="3"/>
        <v>0</v>
      </c>
      <c r="O253" s="183" t="s">
        <v>2081</v>
      </c>
      <c r="P253" s="183" t="s">
        <v>2081</v>
      </c>
      <c r="Q253" s="178">
        <v>14175</v>
      </c>
      <c r="R253" s="178">
        <v>14145</v>
      </c>
      <c r="S253" s="178"/>
      <c r="T253" s="3">
        <v>30</v>
      </c>
    </row>
    <row r="254" spans="1:20">
      <c r="A254" s="209" t="s">
        <v>2082</v>
      </c>
      <c r="B254" s="209">
        <v>399</v>
      </c>
      <c r="C254" s="205" t="s">
        <v>1270</v>
      </c>
      <c r="D254" s="183">
        <v>5</v>
      </c>
      <c r="E254" s="183" t="s">
        <v>2083</v>
      </c>
      <c r="F254" s="183" t="s">
        <v>2652</v>
      </c>
      <c r="G254" s="209">
        <v>20475</v>
      </c>
      <c r="H254" s="209"/>
      <c r="I254" s="209"/>
      <c r="J254" s="209">
        <v>20475</v>
      </c>
      <c r="K254" s="209">
        <v>20475</v>
      </c>
      <c r="L254" s="209"/>
      <c r="M254" s="209"/>
      <c r="N254" s="209">
        <f t="shared" si="3"/>
        <v>0</v>
      </c>
      <c r="O254" s="183" t="s">
        <v>415</v>
      </c>
      <c r="P254" s="183" t="s">
        <v>2563</v>
      </c>
    </row>
    <row r="255" spans="1:20">
      <c r="A255" s="209" t="s">
        <v>2082</v>
      </c>
      <c r="B255" s="209">
        <v>400</v>
      </c>
      <c r="C255" s="205" t="s">
        <v>1270</v>
      </c>
      <c r="D255" s="183">
        <v>6</v>
      </c>
      <c r="E255" s="183" t="s">
        <v>2084</v>
      </c>
      <c r="F255" s="183" t="s">
        <v>819</v>
      </c>
      <c r="G255" s="209">
        <v>20475</v>
      </c>
      <c r="H255" s="209"/>
      <c r="I255" s="209"/>
      <c r="J255" s="209">
        <v>20475</v>
      </c>
      <c r="K255" s="209">
        <v>20475</v>
      </c>
      <c r="L255" s="209"/>
      <c r="M255" s="209"/>
      <c r="N255" s="209">
        <f t="shared" si="3"/>
        <v>0</v>
      </c>
      <c r="O255" s="183" t="s">
        <v>2768</v>
      </c>
      <c r="P255" s="183" t="s">
        <v>815</v>
      </c>
      <c r="Q255" s="3">
        <v>20475</v>
      </c>
      <c r="R255">
        <v>20475</v>
      </c>
    </row>
    <row r="256" spans="1:20">
      <c r="A256" s="209" t="s">
        <v>2082</v>
      </c>
      <c r="B256" s="209">
        <v>401</v>
      </c>
      <c r="C256" s="205" t="s">
        <v>1270</v>
      </c>
      <c r="D256" s="183">
        <v>7</v>
      </c>
      <c r="E256" s="183" t="s">
        <v>2085</v>
      </c>
      <c r="F256" s="183" t="s">
        <v>820</v>
      </c>
      <c r="G256" s="209">
        <v>20475</v>
      </c>
      <c r="H256" s="209"/>
      <c r="I256" s="209"/>
      <c r="J256" s="209">
        <v>20475</v>
      </c>
      <c r="K256" s="209">
        <v>20475</v>
      </c>
      <c r="L256" s="209"/>
      <c r="M256" s="209"/>
      <c r="N256" s="209">
        <f t="shared" si="3"/>
        <v>0</v>
      </c>
      <c r="O256" s="183" t="s">
        <v>488</v>
      </c>
      <c r="P256" s="183" t="s">
        <v>489</v>
      </c>
      <c r="Q256" s="3">
        <v>20475</v>
      </c>
      <c r="R256">
        <v>20475</v>
      </c>
    </row>
    <row r="257" spans="1:21">
      <c r="A257" s="209" t="s">
        <v>2082</v>
      </c>
      <c r="B257" s="209">
        <v>402</v>
      </c>
      <c r="C257" s="205" t="s">
        <v>1270</v>
      </c>
      <c r="D257" s="183">
        <v>8</v>
      </c>
      <c r="E257" s="183" t="s">
        <v>2086</v>
      </c>
      <c r="F257" s="183" t="s">
        <v>821</v>
      </c>
      <c r="G257" s="209">
        <v>20475</v>
      </c>
      <c r="H257" s="209"/>
      <c r="I257" s="209"/>
      <c r="J257" s="209">
        <v>20475</v>
      </c>
      <c r="K257" s="209">
        <v>20475</v>
      </c>
      <c r="L257" s="209"/>
      <c r="M257" s="209"/>
      <c r="N257" s="209">
        <f t="shared" si="3"/>
        <v>0</v>
      </c>
      <c r="O257" s="183" t="s">
        <v>493</v>
      </c>
      <c r="P257" s="183" t="s">
        <v>911</v>
      </c>
      <c r="Q257" s="3">
        <v>20475</v>
      </c>
      <c r="R257">
        <v>20475</v>
      </c>
    </row>
    <row r="258" spans="1:21">
      <c r="A258" s="209" t="s">
        <v>2087</v>
      </c>
      <c r="B258" s="209"/>
      <c r="C258" s="205" t="s">
        <v>2421</v>
      </c>
      <c r="D258" s="226">
        <v>4</v>
      </c>
      <c r="E258" s="183" t="s">
        <v>1283</v>
      </c>
      <c r="F258" s="183" t="s">
        <v>2088</v>
      </c>
      <c r="G258" s="165"/>
      <c r="H258" s="165"/>
      <c r="I258" s="165"/>
      <c r="J258" s="165"/>
      <c r="K258" s="165"/>
      <c r="L258" s="165"/>
      <c r="M258" s="165"/>
      <c r="N258" s="165">
        <f t="shared" si="3"/>
        <v>0</v>
      </c>
      <c r="O258" s="183" t="s">
        <v>2087</v>
      </c>
      <c r="P258" s="206" t="s">
        <v>2087</v>
      </c>
      <c r="Q258" s="178">
        <v>14175</v>
      </c>
      <c r="R258" s="178">
        <v>14165</v>
      </c>
      <c r="S258" s="178"/>
      <c r="T258" s="3">
        <v>10</v>
      </c>
    </row>
    <row r="259" spans="1:21">
      <c r="A259" s="209" t="s">
        <v>1961</v>
      </c>
      <c r="B259" s="209">
        <v>403</v>
      </c>
      <c r="C259" s="205" t="s">
        <v>1699</v>
      </c>
      <c r="D259" s="226">
        <v>5</v>
      </c>
      <c r="E259" s="183" t="s">
        <v>2089</v>
      </c>
      <c r="F259" s="183" t="s">
        <v>2012</v>
      </c>
      <c r="G259" s="209">
        <v>13500</v>
      </c>
      <c r="H259" s="209"/>
      <c r="I259" s="209"/>
      <c r="J259" s="209">
        <v>13500</v>
      </c>
      <c r="K259" s="209">
        <v>13500</v>
      </c>
      <c r="L259" s="209"/>
      <c r="M259" s="209"/>
      <c r="N259" s="209">
        <f t="shared" si="3"/>
        <v>0</v>
      </c>
      <c r="O259" s="183" t="s">
        <v>2662</v>
      </c>
      <c r="P259" s="183" t="s">
        <v>2767</v>
      </c>
      <c r="Q259" s="3">
        <v>13500</v>
      </c>
      <c r="R259">
        <v>13500</v>
      </c>
    </row>
    <row r="260" spans="1:21">
      <c r="A260" s="209" t="s">
        <v>1961</v>
      </c>
      <c r="B260" s="209">
        <v>404</v>
      </c>
      <c r="C260" s="205" t="s">
        <v>1302</v>
      </c>
      <c r="D260" s="183">
        <v>1</v>
      </c>
      <c r="E260" s="183" t="s">
        <v>2090</v>
      </c>
      <c r="F260" s="183" t="s">
        <v>822</v>
      </c>
      <c r="G260" s="209">
        <v>11970</v>
      </c>
      <c r="H260" s="209"/>
      <c r="I260" s="209"/>
      <c r="J260" s="209">
        <v>11970</v>
      </c>
      <c r="K260" s="209">
        <v>11970</v>
      </c>
      <c r="L260" s="209"/>
      <c r="M260" s="209"/>
      <c r="N260" s="209">
        <f t="shared" si="3"/>
        <v>0</v>
      </c>
      <c r="O260" s="183" t="s">
        <v>2662</v>
      </c>
      <c r="P260" s="183" t="s">
        <v>2767</v>
      </c>
      <c r="Q260" s="3">
        <v>11970</v>
      </c>
      <c r="R260">
        <v>11970</v>
      </c>
    </row>
    <row r="261" spans="1:21">
      <c r="A261" s="209" t="s">
        <v>1961</v>
      </c>
      <c r="B261" s="209">
        <v>405</v>
      </c>
      <c r="C261" s="205" t="s">
        <v>1302</v>
      </c>
      <c r="D261" s="183">
        <v>2</v>
      </c>
      <c r="E261" s="183" t="s">
        <v>2091</v>
      </c>
      <c r="F261" s="183" t="s">
        <v>823</v>
      </c>
      <c r="G261" s="209">
        <v>11970</v>
      </c>
      <c r="H261" s="209"/>
      <c r="I261" s="209"/>
      <c r="J261" s="209">
        <v>11970</v>
      </c>
      <c r="K261" s="209">
        <v>11970</v>
      </c>
      <c r="L261" s="209"/>
      <c r="M261" s="209"/>
      <c r="N261" s="209">
        <f t="shared" si="3"/>
        <v>0</v>
      </c>
      <c r="O261" s="183" t="s">
        <v>494</v>
      </c>
      <c r="P261" s="183" t="s">
        <v>908</v>
      </c>
      <c r="Q261" s="3">
        <v>11970</v>
      </c>
      <c r="R261">
        <v>11970</v>
      </c>
    </row>
    <row r="262" spans="1:21">
      <c r="A262" s="209" t="s">
        <v>1961</v>
      </c>
      <c r="B262" s="209">
        <v>406</v>
      </c>
      <c r="C262" s="205" t="s">
        <v>1302</v>
      </c>
      <c r="D262" s="183">
        <v>3</v>
      </c>
      <c r="E262" s="183" t="s">
        <v>2092</v>
      </c>
      <c r="F262" s="183" t="s">
        <v>824</v>
      </c>
      <c r="G262" s="209">
        <v>11970</v>
      </c>
      <c r="H262" s="209"/>
      <c r="I262" s="209"/>
      <c r="J262" s="209">
        <v>11970</v>
      </c>
      <c r="K262" s="209">
        <v>11970</v>
      </c>
      <c r="L262" s="209"/>
      <c r="M262" s="209"/>
      <c r="N262" s="209">
        <f t="shared" si="3"/>
        <v>0</v>
      </c>
      <c r="O262" s="183" t="s">
        <v>495</v>
      </c>
      <c r="P262" s="183" t="s">
        <v>1472</v>
      </c>
      <c r="Q262" s="3">
        <v>11970</v>
      </c>
      <c r="R262">
        <v>11970</v>
      </c>
    </row>
    <row r="263" spans="1:21">
      <c r="A263" s="209" t="s">
        <v>1961</v>
      </c>
      <c r="B263" s="209">
        <v>407</v>
      </c>
      <c r="C263" s="205" t="s">
        <v>1302</v>
      </c>
      <c r="D263" s="183">
        <v>4</v>
      </c>
      <c r="E263" s="183" t="s">
        <v>2093</v>
      </c>
      <c r="F263" s="183" t="s">
        <v>2094</v>
      </c>
      <c r="G263" s="209">
        <v>11970</v>
      </c>
      <c r="H263" s="209"/>
      <c r="I263" s="209"/>
      <c r="J263" s="209">
        <v>11970</v>
      </c>
      <c r="K263" s="209">
        <v>11970</v>
      </c>
      <c r="L263" s="209"/>
      <c r="M263" s="209"/>
      <c r="N263" s="209">
        <f t="shared" si="3"/>
        <v>0</v>
      </c>
      <c r="O263" s="183" t="s">
        <v>1461</v>
      </c>
      <c r="P263" s="183" t="s">
        <v>492</v>
      </c>
      <c r="Q263" s="3">
        <v>11970</v>
      </c>
      <c r="R263">
        <v>11970</v>
      </c>
    </row>
    <row r="264" spans="1:21">
      <c r="A264" s="209" t="s">
        <v>1961</v>
      </c>
      <c r="B264" s="209">
        <v>408</v>
      </c>
      <c r="C264" s="205" t="s">
        <v>1302</v>
      </c>
      <c r="D264" s="183">
        <v>5</v>
      </c>
      <c r="E264" s="183" t="s">
        <v>2095</v>
      </c>
      <c r="F264" s="183" t="s">
        <v>825</v>
      </c>
      <c r="G264" s="209">
        <v>11970</v>
      </c>
      <c r="H264" s="209"/>
      <c r="I264" s="209"/>
      <c r="J264" s="209">
        <v>11970</v>
      </c>
      <c r="K264" s="209">
        <v>11970</v>
      </c>
      <c r="L264" s="209"/>
      <c r="M264" s="209"/>
      <c r="N264" s="209">
        <f t="shared" si="3"/>
        <v>0</v>
      </c>
      <c r="O264" s="183" t="s">
        <v>504</v>
      </c>
      <c r="P264" s="183" t="s">
        <v>505</v>
      </c>
      <c r="Q264" s="3">
        <v>11970</v>
      </c>
      <c r="R264">
        <v>11970</v>
      </c>
    </row>
    <row r="265" spans="1:21">
      <c r="A265" s="209" t="s">
        <v>1961</v>
      </c>
      <c r="B265" s="209">
        <v>409</v>
      </c>
      <c r="C265" s="205" t="s">
        <v>1302</v>
      </c>
      <c r="D265" s="183">
        <v>6</v>
      </c>
      <c r="E265" s="183" t="s">
        <v>2096</v>
      </c>
      <c r="F265" s="183" t="s">
        <v>826</v>
      </c>
      <c r="G265" s="209">
        <v>11970</v>
      </c>
      <c r="H265" s="209"/>
      <c r="I265" s="209"/>
      <c r="J265" s="209">
        <v>11970</v>
      </c>
      <c r="K265" s="209">
        <v>11970</v>
      </c>
      <c r="L265" s="209"/>
      <c r="M265" s="209"/>
      <c r="N265" s="209">
        <f t="shared" si="3"/>
        <v>0</v>
      </c>
      <c r="O265" s="183" t="s">
        <v>610</v>
      </c>
      <c r="P265" s="183" t="s">
        <v>611</v>
      </c>
      <c r="Q265" s="3">
        <v>11970</v>
      </c>
      <c r="R265">
        <v>11970</v>
      </c>
    </row>
    <row r="266" spans="1:21">
      <c r="A266" s="209" t="s">
        <v>1961</v>
      </c>
      <c r="B266" s="209">
        <v>410</v>
      </c>
      <c r="C266" s="205" t="s">
        <v>1302</v>
      </c>
      <c r="D266" s="183">
        <v>7</v>
      </c>
      <c r="E266" s="183" t="s">
        <v>2097</v>
      </c>
      <c r="F266" s="183" t="s">
        <v>827</v>
      </c>
      <c r="G266" s="209">
        <v>11970</v>
      </c>
      <c r="H266" s="209"/>
      <c r="I266" s="209"/>
      <c r="J266" s="209">
        <v>11970</v>
      </c>
      <c r="K266" s="209">
        <v>11970</v>
      </c>
      <c r="L266" s="209"/>
      <c r="M266" s="209"/>
      <c r="N266" s="209">
        <f t="shared" si="3"/>
        <v>0</v>
      </c>
      <c r="O266" s="183" t="s">
        <v>612</v>
      </c>
      <c r="P266" s="183" t="s">
        <v>2201</v>
      </c>
      <c r="Q266" s="3">
        <v>11970</v>
      </c>
      <c r="R266">
        <v>11970</v>
      </c>
    </row>
    <row r="267" spans="1:21">
      <c r="A267" s="209" t="s">
        <v>1961</v>
      </c>
      <c r="B267" s="209">
        <v>411</v>
      </c>
      <c r="C267" s="205" t="s">
        <v>1302</v>
      </c>
      <c r="D267" s="183">
        <v>8</v>
      </c>
      <c r="E267" s="183" t="s">
        <v>2098</v>
      </c>
      <c r="F267" s="183" t="s">
        <v>2099</v>
      </c>
      <c r="G267" s="209">
        <v>11970</v>
      </c>
      <c r="H267" s="209"/>
      <c r="I267" s="209"/>
      <c r="J267" s="209">
        <v>11970</v>
      </c>
      <c r="K267" s="209">
        <v>11970</v>
      </c>
      <c r="L267" s="209"/>
      <c r="M267" s="209"/>
      <c r="N267" s="209">
        <f t="shared" si="3"/>
        <v>0</v>
      </c>
      <c r="O267" s="183" t="s">
        <v>613</v>
      </c>
      <c r="P267" s="183" t="s">
        <v>614</v>
      </c>
      <c r="Q267" s="3">
        <v>11970</v>
      </c>
      <c r="R267">
        <v>11970</v>
      </c>
    </row>
    <row r="268" spans="1:21">
      <c r="A268" s="209" t="s">
        <v>2100</v>
      </c>
      <c r="B268" s="209"/>
      <c r="C268" s="205" t="s">
        <v>3825</v>
      </c>
      <c r="D268" s="226">
        <v>4</v>
      </c>
      <c r="E268" s="183" t="s">
        <v>1283</v>
      </c>
      <c r="F268" s="183" t="s">
        <v>2100</v>
      </c>
      <c r="G268" s="165"/>
      <c r="H268" s="165"/>
      <c r="I268" s="165"/>
      <c r="J268" s="209"/>
      <c r="K268" s="209"/>
      <c r="L268" s="209"/>
      <c r="M268" s="209"/>
      <c r="N268" s="209">
        <f t="shared" si="3"/>
        <v>0</v>
      </c>
      <c r="O268" s="183" t="s">
        <v>2100</v>
      </c>
      <c r="P268" s="183"/>
      <c r="Q268" s="178">
        <v>14175</v>
      </c>
      <c r="R268" s="178">
        <v>14145</v>
      </c>
      <c r="S268" s="178"/>
      <c r="T268" s="3">
        <v>30</v>
      </c>
    </row>
    <row r="269" spans="1:21" s="114" customFormat="1">
      <c r="A269" s="214" t="s">
        <v>2100</v>
      </c>
      <c r="B269" s="214">
        <v>412</v>
      </c>
      <c r="C269" s="213" t="s">
        <v>606</v>
      </c>
      <c r="D269" s="213">
        <v>1</v>
      </c>
      <c r="E269" s="213" t="s">
        <v>2101</v>
      </c>
      <c r="F269" s="213" t="s">
        <v>1961</v>
      </c>
      <c r="G269" s="214">
        <v>13500</v>
      </c>
      <c r="H269" s="214"/>
      <c r="I269" s="214"/>
      <c r="J269" s="214">
        <v>13500</v>
      </c>
      <c r="K269" s="214">
        <v>13500</v>
      </c>
      <c r="L269" s="214"/>
      <c r="M269" s="214"/>
      <c r="N269" s="214">
        <f t="shared" si="3"/>
        <v>0</v>
      </c>
      <c r="O269" s="213" t="s">
        <v>2670</v>
      </c>
      <c r="P269" s="213" t="s">
        <v>486</v>
      </c>
      <c r="Q269" s="211">
        <v>13500</v>
      </c>
      <c r="R269" s="114">
        <v>13500</v>
      </c>
      <c r="T269" s="211"/>
      <c r="U269" s="114" t="s">
        <v>254</v>
      </c>
    </row>
    <row r="270" spans="1:21">
      <c r="A270" s="209" t="s">
        <v>2100</v>
      </c>
      <c r="B270" s="209">
        <v>413</v>
      </c>
      <c r="C270" s="205" t="s">
        <v>606</v>
      </c>
      <c r="D270" s="183">
        <v>2</v>
      </c>
      <c r="E270" s="183" t="s">
        <v>2102</v>
      </c>
      <c r="F270" s="183" t="s">
        <v>1963</v>
      </c>
      <c r="G270" s="209">
        <v>13500</v>
      </c>
      <c r="H270" s="209"/>
      <c r="I270" s="209"/>
      <c r="J270" s="209">
        <v>13500</v>
      </c>
      <c r="K270" s="209">
        <v>13500</v>
      </c>
      <c r="L270" s="209"/>
      <c r="M270" s="209"/>
      <c r="N270" s="209">
        <f t="shared" si="3"/>
        <v>0</v>
      </c>
      <c r="O270" s="183" t="s">
        <v>818</v>
      </c>
      <c r="P270" s="183" t="s">
        <v>487</v>
      </c>
      <c r="Q270" s="3">
        <v>13500</v>
      </c>
      <c r="R270">
        <v>13500</v>
      </c>
    </row>
    <row r="271" spans="1:21">
      <c r="A271" s="209" t="s">
        <v>2100</v>
      </c>
      <c r="B271" s="209">
        <v>414</v>
      </c>
      <c r="C271" s="205" t="s">
        <v>606</v>
      </c>
      <c r="D271" s="183">
        <v>3</v>
      </c>
      <c r="E271" s="183" t="s">
        <v>2103</v>
      </c>
      <c r="F271" s="183" t="s">
        <v>1965</v>
      </c>
      <c r="G271" s="209">
        <v>13500</v>
      </c>
      <c r="H271" s="209"/>
      <c r="I271" s="209"/>
      <c r="J271" s="209">
        <v>13500</v>
      </c>
      <c r="K271" s="209">
        <v>13500</v>
      </c>
      <c r="L271" s="209"/>
      <c r="M271" s="209"/>
      <c r="N271" s="209">
        <f t="shared" ref="N271:N279" si="4">G271-J271</f>
        <v>0</v>
      </c>
      <c r="O271" s="183" t="s">
        <v>488</v>
      </c>
      <c r="P271" s="183" t="s">
        <v>489</v>
      </c>
      <c r="Q271" s="3">
        <v>13500</v>
      </c>
      <c r="R271">
        <v>13500</v>
      </c>
    </row>
    <row r="272" spans="1:21">
      <c r="A272" s="209" t="s">
        <v>2100</v>
      </c>
      <c r="B272" s="209">
        <v>415</v>
      </c>
      <c r="C272" s="205" t="s">
        <v>606</v>
      </c>
      <c r="D272" s="183">
        <v>4</v>
      </c>
      <c r="E272" s="183" t="s">
        <v>2104</v>
      </c>
      <c r="F272" s="183" t="s">
        <v>1967</v>
      </c>
      <c r="G272" s="209">
        <v>13500</v>
      </c>
      <c r="H272" s="209"/>
      <c r="I272" s="209"/>
      <c r="J272" s="209">
        <v>13500</v>
      </c>
      <c r="K272" s="209">
        <v>13500</v>
      </c>
      <c r="L272" s="209"/>
      <c r="M272" s="209"/>
      <c r="N272" s="209">
        <f t="shared" si="4"/>
        <v>0</v>
      </c>
      <c r="O272" s="183" t="s">
        <v>493</v>
      </c>
      <c r="P272" s="183" t="s">
        <v>911</v>
      </c>
      <c r="Q272" s="3">
        <v>13500</v>
      </c>
      <c r="R272">
        <v>13500</v>
      </c>
    </row>
    <row r="273" spans="1:21">
      <c r="A273" s="209" t="s">
        <v>2100</v>
      </c>
      <c r="B273" s="209">
        <v>416</v>
      </c>
      <c r="C273" s="205" t="s">
        <v>606</v>
      </c>
      <c r="D273" s="183">
        <v>5</v>
      </c>
      <c r="E273" s="183" t="s">
        <v>2105</v>
      </c>
      <c r="F273" s="183" t="s">
        <v>1969</v>
      </c>
      <c r="G273" s="209">
        <v>13500</v>
      </c>
      <c r="H273" s="209"/>
      <c r="I273" s="209"/>
      <c r="J273" s="209">
        <v>13500</v>
      </c>
      <c r="K273" s="209">
        <v>13500</v>
      </c>
      <c r="L273" s="209"/>
      <c r="M273" s="209"/>
      <c r="N273" s="209">
        <f t="shared" si="4"/>
        <v>0</v>
      </c>
      <c r="O273" s="183" t="s">
        <v>460</v>
      </c>
      <c r="P273" s="183" t="s">
        <v>1465</v>
      </c>
      <c r="Q273" s="3">
        <v>13500</v>
      </c>
      <c r="R273">
        <v>13500</v>
      </c>
    </row>
    <row r="274" spans="1:21">
      <c r="A274" s="209" t="s">
        <v>2100</v>
      </c>
      <c r="B274" s="209">
        <v>417</v>
      </c>
      <c r="C274" s="205" t="s">
        <v>606</v>
      </c>
      <c r="D274" s="183">
        <v>6</v>
      </c>
      <c r="E274" s="183" t="s">
        <v>2106</v>
      </c>
      <c r="F274" s="183" t="s">
        <v>2107</v>
      </c>
      <c r="G274" s="209">
        <v>13500</v>
      </c>
      <c r="H274" s="209"/>
      <c r="I274" s="209"/>
      <c r="J274" s="209">
        <v>13500</v>
      </c>
      <c r="K274" s="209">
        <v>13500</v>
      </c>
      <c r="L274" s="209"/>
      <c r="M274" s="209"/>
      <c r="N274" s="209">
        <f t="shared" si="4"/>
        <v>0</v>
      </c>
      <c r="O274" s="183" t="s">
        <v>508</v>
      </c>
      <c r="P274" s="183" t="s">
        <v>2107</v>
      </c>
      <c r="Q274" s="3">
        <v>13500</v>
      </c>
      <c r="R274">
        <v>13500</v>
      </c>
    </row>
    <row r="275" spans="1:21">
      <c r="A275" s="209" t="s">
        <v>2100</v>
      </c>
      <c r="B275" s="209">
        <v>418</v>
      </c>
      <c r="C275" s="205" t="s">
        <v>606</v>
      </c>
      <c r="D275" s="183">
        <v>7</v>
      </c>
      <c r="E275" s="183" t="s">
        <v>2108</v>
      </c>
      <c r="F275" s="183" t="s">
        <v>2109</v>
      </c>
      <c r="G275" s="209">
        <v>13500</v>
      </c>
      <c r="H275" s="209"/>
      <c r="I275" s="209"/>
      <c r="J275" s="209">
        <v>13500</v>
      </c>
      <c r="K275" s="209">
        <v>13500</v>
      </c>
      <c r="L275" s="209"/>
      <c r="M275" s="209"/>
      <c r="N275" s="209">
        <f t="shared" si="4"/>
        <v>0</v>
      </c>
      <c r="O275" s="183" t="s">
        <v>615</v>
      </c>
      <c r="P275" s="183" t="s">
        <v>616</v>
      </c>
      <c r="Q275" s="3">
        <v>13500</v>
      </c>
      <c r="R275">
        <v>13500</v>
      </c>
    </row>
    <row r="276" spans="1:21">
      <c r="A276" s="209" t="s">
        <v>2100</v>
      </c>
      <c r="B276" s="209">
        <v>419</v>
      </c>
      <c r="C276" s="205" t="s">
        <v>606</v>
      </c>
      <c r="D276" s="183">
        <v>8</v>
      </c>
      <c r="E276" s="183" t="s">
        <v>2110</v>
      </c>
      <c r="F276" s="183" t="s">
        <v>2111</v>
      </c>
      <c r="G276" s="209">
        <v>13500</v>
      </c>
      <c r="H276" s="209"/>
      <c r="I276" s="209"/>
      <c r="J276" s="209">
        <v>13500</v>
      </c>
      <c r="K276" s="209">
        <v>13500</v>
      </c>
      <c r="L276" s="209"/>
      <c r="M276" s="209"/>
      <c r="N276" s="209">
        <f t="shared" si="4"/>
        <v>0</v>
      </c>
      <c r="O276" s="183" t="s">
        <v>617</v>
      </c>
      <c r="P276" s="183" t="s">
        <v>618</v>
      </c>
      <c r="Q276" s="3">
        <v>13500</v>
      </c>
      <c r="R276">
        <v>13500</v>
      </c>
    </row>
    <row r="277" spans="1:21" s="95" customFormat="1">
      <c r="A277" s="182" t="s">
        <v>2112</v>
      </c>
      <c r="B277" s="182"/>
      <c r="C277" s="210" t="s">
        <v>2060</v>
      </c>
      <c r="D277" s="226">
        <v>2</v>
      </c>
      <c r="E277" s="210" t="s">
        <v>1283</v>
      </c>
      <c r="F277" s="210" t="s">
        <v>2112</v>
      </c>
      <c r="G277" s="179"/>
      <c r="H277" s="179"/>
      <c r="I277" s="179"/>
      <c r="J277" s="179"/>
      <c r="K277" s="179"/>
      <c r="L277" s="179"/>
      <c r="M277" s="179"/>
      <c r="N277" s="179">
        <f t="shared" si="4"/>
        <v>0</v>
      </c>
      <c r="O277" s="210" t="s">
        <v>2112</v>
      </c>
      <c r="P277" s="210" t="s">
        <v>2112</v>
      </c>
      <c r="Q277" s="182">
        <v>14175</v>
      </c>
      <c r="R277" s="182">
        <v>14145</v>
      </c>
      <c r="S277" s="182"/>
      <c r="T277" s="179">
        <v>30</v>
      </c>
      <c r="U277" s="210" t="s">
        <v>245</v>
      </c>
    </row>
    <row r="278" spans="1:21">
      <c r="A278" s="209" t="s">
        <v>2568</v>
      </c>
      <c r="B278" s="209"/>
      <c r="C278" s="205" t="s">
        <v>1532</v>
      </c>
      <c r="D278" s="226">
        <v>5</v>
      </c>
      <c r="E278" s="183" t="s">
        <v>1283</v>
      </c>
      <c r="F278" s="183" t="s">
        <v>2568</v>
      </c>
      <c r="G278" s="165"/>
      <c r="H278" s="165"/>
      <c r="I278" s="165"/>
      <c r="J278" s="165"/>
      <c r="K278" s="165"/>
      <c r="L278" s="165"/>
      <c r="M278" s="165"/>
      <c r="N278" s="165">
        <f t="shared" si="4"/>
        <v>0</v>
      </c>
      <c r="O278" s="183" t="s">
        <v>2568</v>
      </c>
      <c r="P278" s="183" t="s">
        <v>2568</v>
      </c>
      <c r="Q278" s="178">
        <v>13500</v>
      </c>
      <c r="R278" s="178">
        <v>13485</v>
      </c>
      <c r="S278" s="178"/>
      <c r="T278" s="3">
        <v>15</v>
      </c>
    </row>
    <row r="279" spans="1:21" s="5" customFormat="1">
      <c r="A279" s="249" t="s">
        <v>2113</v>
      </c>
      <c r="B279" s="249">
        <v>420</v>
      </c>
      <c r="C279" s="265" t="s">
        <v>1232</v>
      </c>
      <c r="D279" s="266">
        <v>3</v>
      </c>
      <c r="E279" s="267" t="s">
        <v>2114</v>
      </c>
      <c r="F279" s="267" t="s">
        <v>2115</v>
      </c>
      <c r="G279" s="249">
        <v>16380</v>
      </c>
      <c r="H279" s="249"/>
      <c r="I279" s="249"/>
      <c r="J279" s="249">
        <v>16380</v>
      </c>
      <c r="K279" s="249">
        <v>16380</v>
      </c>
      <c r="L279" s="249"/>
      <c r="M279" s="249"/>
      <c r="N279" s="249">
        <f t="shared" si="4"/>
        <v>0</v>
      </c>
      <c r="O279" s="267" t="s">
        <v>2662</v>
      </c>
      <c r="P279" s="267" t="s">
        <v>2767</v>
      </c>
      <c r="Q279" s="93">
        <v>16380</v>
      </c>
      <c r="R279" s="5">
        <v>16380</v>
      </c>
      <c r="T279" s="93"/>
    </row>
    <row r="280" spans="1:21" s="5" customFormat="1">
      <c r="A280" s="249"/>
      <c r="B280" s="249"/>
      <c r="C280" s="265"/>
      <c r="D280" s="266"/>
      <c r="E280" s="267"/>
      <c r="F280" s="267"/>
      <c r="G280" s="249"/>
      <c r="H280" s="249"/>
      <c r="I280" s="249"/>
      <c r="J280" s="249"/>
      <c r="K280" s="249"/>
      <c r="L280" s="249"/>
      <c r="M280" s="249"/>
      <c r="N280" s="249"/>
      <c r="O280" s="267"/>
      <c r="P280" s="267"/>
      <c r="Q280" s="93"/>
      <c r="T280" s="93"/>
    </row>
    <row r="281" spans="1:21" s="176" customFormat="1" ht="20.25" customHeight="1">
      <c r="A281" s="203" t="s">
        <v>2118</v>
      </c>
      <c r="B281" s="200"/>
      <c r="C281" s="201"/>
      <c r="D281" s="202"/>
      <c r="E281" s="201"/>
      <c r="F281" s="185" t="s">
        <v>2378</v>
      </c>
      <c r="G281" s="185">
        <f>SUM(G283:G509)</f>
        <v>2736915</v>
      </c>
      <c r="H281" s="185"/>
      <c r="I281" s="185"/>
      <c r="J281" s="185">
        <f>SUM(J283:J509)</f>
        <v>550043</v>
      </c>
      <c r="K281" s="185">
        <f>SUM(K283:K509)</f>
        <v>2144347</v>
      </c>
      <c r="L281" s="185"/>
      <c r="M281" s="185"/>
      <c r="N281" s="185">
        <f>SUM(N283:N509)</f>
        <v>42525</v>
      </c>
      <c r="O281" s="185"/>
      <c r="P281" s="185"/>
      <c r="Q281" s="185">
        <f>SUM(Q283:Q509)</f>
        <v>2904989</v>
      </c>
      <c r="R281" s="185">
        <f>SUM(R283:R509)</f>
        <v>2904715</v>
      </c>
      <c r="S281" s="185"/>
      <c r="T281" s="185">
        <f>SUM(T283:T509)</f>
        <v>275</v>
      </c>
    </row>
    <row r="282" spans="1:21" s="270" customFormat="1">
      <c r="A282" s="269" t="s">
        <v>1281</v>
      </c>
      <c r="B282" s="269" t="s">
        <v>2435</v>
      </c>
      <c r="C282" s="269" t="s">
        <v>1385</v>
      </c>
      <c r="D282" s="269" t="s">
        <v>1275</v>
      </c>
      <c r="E282" s="269" t="s">
        <v>265</v>
      </c>
      <c r="F282" s="269" t="s">
        <v>1280</v>
      </c>
      <c r="G282" s="269" t="s">
        <v>2434</v>
      </c>
      <c r="H282" s="269"/>
      <c r="I282" s="269"/>
      <c r="J282" s="269" t="s">
        <v>878</v>
      </c>
      <c r="K282" s="269" t="s">
        <v>879</v>
      </c>
      <c r="L282" s="269"/>
      <c r="M282" s="269"/>
      <c r="N282" s="269" t="s">
        <v>2438</v>
      </c>
      <c r="O282" s="269" t="s">
        <v>1282</v>
      </c>
      <c r="P282" s="269" t="s">
        <v>1386</v>
      </c>
      <c r="Q282" s="269" t="s">
        <v>576</v>
      </c>
      <c r="R282" s="269" t="s">
        <v>3593</v>
      </c>
      <c r="S282" s="269"/>
      <c r="T282" s="269" t="s">
        <v>577</v>
      </c>
    </row>
    <row r="283" spans="1:21" s="5" customFormat="1">
      <c r="A283" s="249" t="s">
        <v>509</v>
      </c>
      <c r="B283" s="249"/>
      <c r="C283" s="265" t="s">
        <v>2421</v>
      </c>
      <c r="D283" s="266">
        <v>5</v>
      </c>
      <c r="E283" s="267" t="s">
        <v>1283</v>
      </c>
      <c r="F283" s="249" t="s">
        <v>509</v>
      </c>
      <c r="G283" s="94"/>
      <c r="H283" s="94"/>
      <c r="I283" s="94"/>
      <c r="J283" s="94"/>
      <c r="K283" s="94"/>
      <c r="L283" s="94"/>
      <c r="M283" s="94"/>
      <c r="N283" s="94">
        <f>G283-J283-K283</f>
        <v>0</v>
      </c>
      <c r="O283" s="249" t="s">
        <v>509</v>
      </c>
      <c r="P283" s="249" t="s">
        <v>509</v>
      </c>
      <c r="Q283" s="268">
        <v>14175</v>
      </c>
      <c r="R283" s="268">
        <v>14165</v>
      </c>
      <c r="S283" s="268"/>
      <c r="T283" s="93">
        <v>10</v>
      </c>
    </row>
    <row r="284" spans="1:21" s="95" customFormat="1">
      <c r="A284" s="182" t="s">
        <v>819</v>
      </c>
      <c r="B284" s="182"/>
      <c r="C284" s="210" t="s">
        <v>2060</v>
      </c>
      <c r="D284" s="226">
        <v>3</v>
      </c>
      <c r="E284" s="210" t="s">
        <v>1283</v>
      </c>
      <c r="F284" s="182" t="s">
        <v>819</v>
      </c>
      <c r="G284" s="179"/>
      <c r="H284" s="179"/>
      <c r="I284" s="179"/>
      <c r="J284" s="179"/>
      <c r="K284" s="179"/>
      <c r="L284" s="179"/>
      <c r="M284" s="179"/>
      <c r="N284" s="179">
        <f t="shared" ref="N284:N347" si="5">G284-J284-K284</f>
        <v>0</v>
      </c>
      <c r="O284" s="182" t="s">
        <v>819</v>
      </c>
      <c r="P284" s="182" t="s">
        <v>819</v>
      </c>
      <c r="Q284" s="182">
        <v>14175</v>
      </c>
      <c r="R284" s="182">
        <v>14145</v>
      </c>
      <c r="S284" s="182"/>
      <c r="T284" s="179">
        <v>30</v>
      </c>
      <c r="U284" s="210" t="s">
        <v>245</v>
      </c>
    </row>
    <row r="285" spans="1:21">
      <c r="A285" s="178" t="s">
        <v>814</v>
      </c>
      <c r="B285" s="183">
        <v>421</v>
      </c>
      <c r="C285" s="178" t="s">
        <v>1232</v>
      </c>
      <c r="D285" s="178">
        <v>4</v>
      </c>
      <c r="E285" s="178" t="s">
        <v>510</v>
      </c>
      <c r="F285" s="178" t="s">
        <v>1963</v>
      </c>
      <c r="G285" s="178">
        <v>16380</v>
      </c>
      <c r="H285" s="178"/>
      <c r="I285" s="178"/>
      <c r="J285" s="165"/>
      <c r="K285" s="165">
        <v>16380</v>
      </c>
      <c r="L285" s="165"/>
      <c r="M285" s="165"/>
      <c r="N285" s="165">
        <f t="shared" si="5"/>
        <v>0</v>
      </c>
      <c r="O285" s="165" t="s">
        <v>818</v>
      </c>
      <c r="P285" s="165" t="s">
        <v>487</v>
      </c>
      <c r="Q285" s="3">
        <v>16380</v>
      </c>
      <c r="R285">
        <v>16380</v>
      </c>
    </row>
    <row r="286" spans="1:21">
      <c r="A286" s="178" t="s">
        <v>814</v>
      </c>
      <c r="B286" s="183">
        <v>422</v>
      </c>
      <c r="C286" s="178" t="s">
        <v>1699</v>
      </c>
      <c r="D286" s="178">
        <v>6</v>
      </c>
      <c r="E286" s="178" t="s">
        <v>511</v>
      </c>
      <c r="F286" s="178" t="s">
        <v>2775</v>
      </c>
      <c r="G286" s="178">
        <v>13500</v>
      </c>
      <c r="H286" s="178"/>
      <c r="I286" s="178"/>
      <c r="J286" s="165"/>
      <c r="K286" s="165">
        <v>13500</v>
      </c>
      <c r="L286" s="165"/>
      <c r="M286" s="165"/>
      <c r="N286" s="165">
        <f t="shared" si="5"/>
        <v>0</v>
      </c>
      <c r="O286" s="165" t="s">
        <v>818</v>
      </c>
      <c r="P286" s="165" t="s">
        <v>487</v>
      </c>
      <c r="Q286" s="3">
        <v>13500</v>
      </c>
      <c r="R286">
        <v>13500</v>
      </c>
    </row>
    <row r="287" spans="1:21">
      <c r="A287" s="165" t="s">
        <v>1456</v>
      </c>
      <c r="B287" s="183">
        <v>423</v>
      </c>
      <c r="C287" s="165" t="s">
        <v>1249</v>
      </c>
      <c r="D287" s="165">
        <v>1</v>
      </c>
      <c r="E287" s="165" t="s">
        <v>512</v>
      </c>
      <c r="F287" s="165" t="s">
        <v>513</v>
      </c>
      <c r="G287" s="165">
        <v>3780</v>
      </c>
      <c r="H287" s="165"/>
      <c r="I287" s="165"/>
      <c r="J287" s="165"/>
      <c r="K287" s="165">
        <v>3780</v>
      </c>
      <c r="L287" s="165"/>
      <c r="M287" s="165"/>
      <c r="N287" s="165">
        <f t="shared" si="5"/>
        <v>0</v>
      </c>
      <c r="O287" s="165" t="s">
        <v>818</v>
      </c>
      <c r="P287" s="165" t="s">
        <v>487</v>
      </c>
      <c r="Q287" s="3">
        <v>3780</v>
      </c>
      <c r="R287">
        <v>3780</v>
      </c>
    </row>
    <row r="288" spans="1:21">
      <c r="A288" s="165" t="s">
        <v>1456</v>
      </c>
      <c r="B288" s="183">
        <v>424</v>
      </c>
      <c r="C288" s="165" t="s">
        <v>1249</v>
      </c>
      <c r="D288" s="165">
        <v>2</v>
      </c>
      <c r="E288" s="165" t="s">
        <v>85</v>
      </c>
      <c r="F288" s="165" t="s">
        <v>823</v>
      </c>
      <c r="G288" s="165">
        <v>3780</v>
      </c>
      <c r="H288" s="165"/>
      <c r="I288" s="165"/>
      <c r="J288" s="165"/>
      <c r="K288" s="165">
        <v>3780</v>
      </c>
      <c r="L288" s="165"/>
      <c r="M288" s="165"/>
      <c r="N288" s="165">
        <f t="shared" si="5"/>
        <v>0</v>
      </c>
      <c r="O288" s="165" t="s">
        <v>494</v>
      </c>
      <c r="P288" s="165" t="s">
        <v>908</v>
      </c>
      <c r="Q288" s="3">
        <v>3780</v>
      </c>
      <c r="R288">
        <v>3780</v>
      </c>
    </row>
    <row r="289" spans="1:20">
      <c r="A289" s="165" t="s">
        <v>1456</v>
      </c>
      <c r="B289" s="183">
        <v>425</v>
      </c>
      <c r="C289" s="165" t="s">
        <v>1249</v>
      </c>
      <c r="D289" s="165">
        <v>3</v>
      </c>
      <c r="E289" s="165" t="s">
        <v>86</v>
      </c>
      <c r="F289" s="165" t="s">
        <v>820</v>
      </c>
      <c r="G289" s="165">
        <v>3780</v>
      </c>
      <c r="H289" s="165"/>
      <c r="I289" s="165"/>
      <c r="J289" s="165"/>
      <c r="K289" s="165">
        <v>3780</v>
      </c>
      <c r="L289" s="165"/>
      <c r="M289" s="165"/>
      <c r="N289" s="165">
        <f t="shared" si="5"/>
        <v>0</v>
      </c>
      <c r="O289" s="165" t="s">
        <v>488</v>
      </c>
      <c r="P289" s="165" t="s">
        <v>489</v>
      </c>
      <c r="Q289" s="3">
        <v>3780</v>
      </c>
      <c r="R289">
        <v>3780</v>
      </c>
    </row>
    <row r="290" spans="1:20">
      <c r="A290" s="165" t="s">
        <v>1456</v>
      </c>
      <c r="B290" s="183">
        <v>426</v>
      </c>
      <c r="C290" s="165" t="s">
        <v>1249</v>
      </c>
      <c r="D290" s="165">
        <v>4</v>
      </c>
      <c r="E290" s="165" t="s">
        <v>87</v>
      </c>
      <c r="F290" s="165" t="s">
        <v>514</v>
      </c>
      <c r="G290" s="165">
        <v>3780</v>
      </c>
      <c r="H290" s="165"/>
      <c r="I290" s="165"/>
      <c r="J290" s="165"/>
      <c r="K290" s="165">
        <v>3780</v>
      </c>
      <c r="L290" s="165"/>
      <c r="M290" s="165"/>
      <c r="N290" s="165">
        <f t="shared" si="5"/>
        <v>0</v>
      </c>
      <c r="O290" s="165" t="s">
        <v>488</v>
      </c>
      <c r="P290" s="165" t="s">
        <v>489</v>
      </c>
      <c r="Q290" s="3">
        <v>3780</v>
      </c>
      <c r="R290">
        <v>3780</v>
      </c>
    </row>
    <row r="291" spans="1:20">
      <c r="A291" s="165" t="s">
        <v>1456</v>
      </c>
      <c r="B291" s="183">
        <v>427</v>
      </c>
      <c r="C291" s="165" t="s">
        <v>1249</v>
      </c>
      <c r="D291" s="165">
        <v>5</v>
      </c>
      <c r="E291" s="165" t="s">
        <v>88</v>
      </c>
      <c r="F291" s="165" t="s">
        <v>824</v>
      </c>
      <c r="G291" s="165">
        <v>3780</v>
      </c>
      <c r="H291" s="165"/>
      <c r="I291" s="165"/>
      <c r="J291" s="165"/>
      <c r="K291" s="165">
        <v>3780</v>
      </c>
      <c r="L291" s="165"/>
      <c r="M291" s="165"/>
      <c r="N291" s="165">
        <f t="shared" si="5"/>
        <v>0</v>
      </c>
      <c r="O291" s="165" t="s">
        <v>495</v>
      </c>
      <c r="P291" s="165" t="s">
        <v>1472</v>
      </c>
      <c r="Q291" s="3">
        <v>3780</v>
      </c>
      <c r="R291">
        <v>3780</v>
      </c>
    </row>
    <row r="292" spans="1:20">
      <c r="A292" s="165" t="s">
        <v>1456</v>
      </c>
      <c r="B292" s="183">
        <v>428</v>
      </c>
      <c r="C292" s="165" t="s">
        <v>1249</v>
      </c>
      <c r="D292" s="165">
        <v>6</v>
      </c>
      <c r="E292" s="165" t="s">
        <v>89</v>
      </c>
      <c r="F292" s="165" t="s">
        <v>821</v>
      </c>
      <c r="G292" s="165">
        <v>3780</v>
      </c>
      <c r="H292" s="165"/>
      <c r="I292" s="165"/>
      <c r="J292" s="165"/>
      <c r="K292" s="165">
        <v>3780</v>
      </c>
      <c r="L292" s="165"/>
      <c r="M292" s="165"/>
      <c r="N292" s="165">
        <f t="shared" si="5"/>
        <v>0</v>
      </c>
      <c r="O292" s="165" t="s">
        <v>493</v>
      </c>
      <c r="P292" s="165" t="s">
        <v>911</v>
      </c>
      <c r="Q292" s="3">
        <v>3780</v>
      </c>
      <c r="R292">
        <v>3780</v>
      </c>
    </row>
    <row r="293" spans="1:20">
      <c r="A293" s="165" t="s">
        <v>1456</v>
      </c>
      <c r="B293" s="183">
        <v>429</v>
      </c>
      <c r="C293" s="165" t="s">
        <v>1249</v>
      </c>
      <c r="D293" s="165">
        <v>7</v>
      </c>
      <c r="E293" s="165" t="s">
        <v>90</v>
      </c>
      <c r="F293" s="165" t="s">
        <v>515</v>
      </c>
      <c r="G293" s="165">
        <v>3780</v>
      </c>
      <c r="H293" s="165"/>
      <c r="I293" s="165"/>
      <c r="J293" s="165"/>
      <c r="K293" s="165">
        <v>3780</v>
      </c>
      <c r="L293" s="165"/>
      <c r="M293" s="165"/>
      <c r="N293" s="165">
        <f t="shared" si="5"/>
        <v>0</v>
      </c>
      <c r="O293" s="165" t="s">
        <v>493</v>
      </c>
      <c r="P293" s="165" t="s">
        <v>911</v>
      </c>
      <c r="Q293" s="3">
        <v>3780</v>
      </c>
      <c r="R293">
        <v>3780</v>
      </c>
    </row>
    <row r="294" spans="1:20">
      <c r="A294" s="165" t="s">
        <v>1456</v>
      </c>
      <c r="B294" s="183">
        <v>430</v>
      </c>
      <c r="C294" s="165" t="s">
        <v>1249</v>
      </c>
      <c r="D294" s="165">
        <v>8</v>
      </c>
      <c r="E294" s="165" t="s">
        <v>516</v>
      </c>
      <c r="F294" s="165" t="s">
        <v>2094</v>
      </c>
      <c r="G294" s="165">
        <v>3780</v>
      </c>
      <c r="H294" s="165"/>
      <c r="I294" s="165"/>
      <c r="J294" s="165"/>
      <c r="K294" s="165">
        <v>3780</v>
      </c>
      <c r="L294" s="165"/>
      <c r="M294" s="165"/>
      <c r="N294" s="165">
        <f t="shared" si="5"/>
        <v>0</v>
      </c>
      <c r="O294" s="165" t="s">
        <v>1461</v>
      </c>
      <c r="P294" s="165" t="s">
        <v>492</v>
      </c>
      <c r="Q294" s="3">
        <v>3780</v>
      </c>
      <c r="R294">
        <v>3780</v>
      </c>
    </row>
    <row r="295" spans="1:20">
      <c r="A295" s="165" t="s">
        <v>1456</v>
      </c>
      <c r="B295" s="183">
        <v>431</v>
      </c>
      <c r="C295" s="165" t="s">
        <v>1249</v>
      </c>
      <c r="D295" s="165">
        <v>9</v>
      </c>
      <c r="E295" s="165" t="s">
        <v>517</v>
      </c>
      <c r="F295" s="165" t="s">
        <v>518</v>
      </c>
      <c r="G295" s="165">
        <v>3780</v>
      </c>
      <c r="H295" s="165"/>
      <c r="I295" s="165"/>
      <c r="J295" s="165"/>
      <c r="K295" s="165">
        <v>3780</v>
      </c>
      <c r="L295" s="165"/>
      <c r="M295" s="165"/>
      <c r="N295" s="165">
        <f t="shared" si="5"/>
        <v>0</v>
      </c>
      <c r="O295" s="165" t="s">
        <v>458</v>
      </c>
      <c r="P295" s="165" t="s">
        <v>2035</v>
      </c>
      <c r="Q295" s="3">
        <v>3780</v>
      </c>
      <c r="R295">
        <v>3780</v>
      </c>
    </row>
    <row r="296" spans="1:20">
      <c r="A296" s="165" t="s">
        <v>1456</v>
      </c>
      <c r="B296" s="183">
        <v>432</v>
      </c>
      <c r="C296" s="165" t="s">
        <v>1249</v>
      </c>
      <c r="D296" s="165">
        <v>10</v>
      </c>
      <c r="E296" s="165" t="s">
        <v>519</v>
      </c>
      <c r="F296" s="165" t="s">
        <v>460</v>
      </c>
      <c r="G296" s="165">
        <v>3780</v>
      </c>
      <c r="H296" s="165"/>
      <c r="I296" s="165"/>
      <c r="J296" s="165"/>
      <c r="K296" s="165">
        <v>3780</v>
      </c>
      <c r="L296" s="165"/>
      <c r="M296" s="165"/>
      <c r="N296" s="165">
        <f t="shared" si="5"/>
        <v>0</v>
      </c>
      <c r="O296" s="165" t="s">
        <v>460</v>
      </c>
      <c r="P296" s="165" t="s">
        <v>1465</v>
      </c>
      <c r="Q296" s="3">
        <v>3780</v>
      </c>
      <c r="R296">
        <v>3780</v>
      </c>
    </row>
    <row r="297" spans="1:20">
      <c r="A297" s="165" t="s">
        <v>1456</v>
      </c>
      <c r="B297" s="183">
        <v>433</v>
      </c>
      <c r="C297" s="165" t="s">
        <v>1249</v>
      </c>
      <c r="D297" s="165">
        <v>11</v>
      </c>
      <c r="E297" s="165" t="s">
        <v>520</v>
      </c>
      <c r="F297" s="165" t="s">
        <v>825</v>
      </c>
      <c r="G297" s="165">
        <v>3780</v>
      </c>
      <c r="H297" s="165"/>
      <c r="I297" s="165"/>
      <c r="J297" s="165"/>
      <c r="K297" s="165">
        <v>3780</v>
      </c>
      <c r="L297" s="165"/>
      <c r="M297" s="165"/>
      <c r="N297" s="165">
        <f t="shared" si="5"/>
        <v>0</v>
      </c>
      <c r="O297" s="165" t="s">
        <v>505</v>
      </c>
      <c r="P297" s="165" t="s">
        <v>505</v>
      </c>
      <c r="Q297" s="3">
        <v>3780</v>
      </c>
      <c r="R297">
        <v>3780</v>
      </c>
    </row>
    <row r="298" spans="1:20">
      <c r="A298" s="165" t="s">
        <v>1456</v>
      </c>
      <c r="B298" s="183">
        <v>434</v>
      </c>
      <c r="C298" s="165" t="s">
        <v>1249</v>
      </c>
      <c r="D298" s="165">
        <v>12</v>
      </c>
      <c r="E298" s="165" t="s">
        <v>521</v>
      </c>
      <c r="F298" s="165" t="s">
        <v>522</v>
      </c>
      <c r="G298" s="165">
        <v>3780</v>
      </c>
      <c r="H298" s="165"/>
      <c r="I298" s="165"/>
      <c r="J298" s="165"/>
      <c r="K298" s="165">
        <v>3780</v>
      </c>
      <c r="L298" s="165"/>
      <c r="M298" s="165"/>
      <c r="N298" s="165">
        <f t="shared" si="5"/>
        <v>0</v>
      </c>
      <c r="O298" s="165" t="s">
        <v>496</v>
      </c>
      <c r="P298" s="165" t="s">
        <v>497</v>
      </c>
      <c r="Q298" s="3">
        <v>3780</v>
      </c>
      <c r="R298">
        <v>3780</v>
      </c>
    </row>
    <row r="299" spans="1:20">
      <c r="A299" s="209" t="s">
        <v>523</v>
      </c>
      <c r="B299" s="209"/>
      <c r="C299" s="205" t="s">
        <v>3825</v>
      </c>
      <c r="D299" s="226">
        <v>5</v>
      </c>
      <c r="E299" s="183" t="s">
        <v>1283</v>
      </c>
      <c r="F299" s="209" t="s">
        <v>523</v>
      </c>
      <c r="G299" s="165"/>
      <c r="H299" s="165"/>
      <c r="I299" s="165"/>
      <c r="J299" s="209"/>
      <c r="K299" s="209"/>
      <c r="L299" s="209"/>
      <c r="M299" s="209"/>
      <c r="N299" s="209">
        <f t="shared" si="5"/>
        <v>0</v>
      </c>
      <c r="O299" s="209" t="s">
        <v>523</v>
      </c>
      <c r="P299" s="209" t="s">
        <v>523</v>
      </c>
      <c r="Q299" s="178">
        <v>14175</v>
      </c>
      <c r="R299" s="178">
        <v>14145</v>
      </c>
      <c r="S299" s="178"/>
      <c r="T299" s="3">
        <v>30</v>
      </c>
    </row>
    <row r="300" spans="1:20">
      <c r="A300" s="165" t="s">
        <v>815</v>
      </c>
      <c r="B300" s="165">
        <v>435</v>
      </c>
      <c r="C300" s="165" t="s">
        <v>264</v>
      </c>
      <c r="D300" s="165">
        <v>1</v>
      </c>
      <c r="E300" s="165" t="s">
        <v>524</v>
      </c>
      <c r="F300" s="165" t="s">
        <v>525</v>
      </c>
      <c r="G300" s="165">
        <v>11340</v>
      </c>
      <c r="H300" s="165"/>
      <c r="I300" s="165"/>
      <c r="J300" s="165"/>
      <c r="K300" s="165">
        <v>11340</v>
      </c>
      <c r="L300" s="165"/>
      <c r="M300" s="165"/>
      <c r="N300" s="165">
        <f t="shared" si="5"/>
        <v>0</v>
      </c>
      <c r="O300" s="165" t="s">
        <v>493</v>
      </c>
      <c r="P300" s="165" t="s">
        <v>911</v>
      </c>
      <c r="Q300" s="3">
        <v>11340</v>
      </c>
      <c r="R300">
        <v>11340</v>
      </c>
    </row>
    <row r="301" spans="1:20">
      <c r="A301" s="165" t="s">
        <v>815</v>
      </c>
      <c r="B301" s="165">
        <v>436</v>
      </c>
      <c r="C301" s="165" t="s">
        <v>264</v>
      </c>
      <c r="D301" s="165">
        <v>2</v>
      </c>
      <c r="E301" s="165" t="s">
        <v>526</v>
      </c>
      <c r="F301" s="165" t="s">
        <v>527</v>
      </c>
      <c r="G301" s="165">
        <v>11340</v>
      </c>
      <c r="H301" s="165"/>
      <c r="I301" s="165"/>
      <c r="J301" s="165"/>
      <c r="K301" s="165">
        <v>11340</v>
      </c>
      <c r="L301" s="165"/>
      <c r="M301" s="165"/>
      <c r="N301" s="165">
        <f t="shared" si="5"/>
        <v>0</v>
      </c>
      <c r="O301" s="165" t="s">
        <v>495</v>
      </c>
      <c r="P301" s="165" t="s">
        <v>1472</v>
      </c>
      <c r="Q301" s="3">
        <v>11340</v>
      </c>
      <c r="R301">
        <v>11340</v>
      </c>
    </row>
    <row r="302" spans="1:20">
      <c r="A302" s="165" t="s">
        <v>815</v>
      </c>
      <c r="B302" s="165">
        <v>437</v>
      </c>
      <c r="C302" s="165" t="s">
        <v>264</v>
      </c>
      <c r="D302" s="165">
        <v>3</v>
      </c>
      <c r="E302" s="165" t="s">
        <v>528</v>
      </c>
      <c r="F302" s="165" t="s">
        <v>529</v>
      </c>
      <c r="G302" s="165">
        <v>11340</v>
      </c>
      <c r="H302" s="165"/>
      <c r="I302" s="165"/>
      <c r="J302" s="165"/>
      <c r="K302" s="165">
        <v>11340</v>
      </c>
      <c r="L302" s="165"/>
      <c r="M302" s="165"/>
      <c r="N302" s="165">
        <f t="shared" si="5"/>
        <v>0</v>
      </c>
      <c r="O302" s="165" t="s">
        <v>1461</v>
      </c>
      <c r="P302" s="165" t="s">
        <v>492</v>
      </c>
      <c r="Q302" s="3">
        <v>11340</v>
      </c>
      <c r="R302">
        <v>11340</v>
      </c>
    </row>
    <row r="303" spans="1:20">
      <c r="A303" s="165" t="s">
        <v>815</v>
      </c>
      <c r="B303" s="165">
        <v>438</v>
      </c>
      <c r="C303" s="165" t="s">
        <v>264</v>
      </c>
      <c r="D303" s="165">
        <v>4</v>
      </c>
      <c r="E303" s="165" t="s">
        <v>530</v>
      </c>
      <c r="F303" s="165" t="s">
        <v>531</v>
      </c>
      <c r="G303" s="165">
        <v>11340</v>
      </c>
      <c r="H303" s="165"/>
      <c r="I303" s="165"/>
      <c r="J303" s="165"/>
      <c r="K303" s="165">
        <v>11340</v>
      </c>
      <c r="L303" s="165"/>
      <c r="M303" s="165"/>
      <c r="N303" s="165">
        <f t="shared" si="5"/>
        <v>0</v>
      </c>
      <c r="O303" s="165" t="s">
        <v>505</v>
      </c>
      <c r="P303" s="165" t="s">
        <v>505</v>
      </c>
      <c r="Q303" s="3">
        <v>11340</v>
      </c>
      <c r="R303">
        <v>11340</v>
      </c>
    </row>
    <row r="304" spans="1:20">
      <c r="A304" s="165" t="s">
        <v>815</v>
      </c>
      <c r="B304" s="165">
        <v>439</v>
      </c>
      <c r="C304" s="165" t="s">
        <v>264</v>
      </c>
      <c r="D304" s="165">
        <v>5</v>
      </c>
      <c r="E304" s="165" t="s">
        <v>532</v>
      </c>
      <c r="F304" s="165" t="s">
        <v>533</v>
      </c>
      <c r="G304" s="165">
        <v>11340</v>
      </c>
      <c r="H304" s="165"/>
      <c r="I304" s="165"/>
      <c r="J304" s="165"/>
      <c r="K304" s="165">
        <v>11340</v>
      </c>
      <c r="L304" s="165"/>
      <c r="M304" s="165"/>
      <c r="N304" s="165">
        <f t="shared" si="5"/>
        <v>0</v>
      </c>
      <c r="O304" s="165" t="s">
        <v>610</v>
      </c>
      <c r="P304" s="165" t="s">
        <v>611</v>
      </c>
      <c r="Q304" s="3">
        <v>11340</v>
      </c>
      <c r="R304">
        <v>11340</v>
      </c>
    </row>
    <row r="305" spans="1:20">
      <c r="A305" s="165" t="s">
        <v>815</v>
      </c>
      <c r="B305" s="165">
        <v>440</v>
      </c>
      <c r="C305" s="165" t="s">
        <v>264</v>
      </c>
      <c r="D305" s="165">
        <v>6</v>
      </c>
      <c r="E305" s="165" t="s">
        <v>534</v>
      </c>
      <c r="F305" s="165" t="s">
        <v>535</v>
      </c>
      <c r="G305" s="165">
        <v>11340</v>
      </c>
      <c r="H305" s="165"/>
      <c r="I305" s="165"/>
      <c r="J305" s="165"/>
      <c r="K305" s="165">
        <v>11340</v>
      </c>
      <c r="L305" s="165"/>
      <c r="M305" s="165"/>
      <c r="N305" s="165">
        <f t="shared" si="5"/>
        <v>0</v>
      </c>
      <c r="O305" s="165" t="s">
        <v>612</v>
      </c>
      <c r="P305" s="165" t="s">
        <v>2201</v>
      </c>
      <c r="Q305" s="3">
        <v>11340</v>
      </c>
      <c r="R305">
        <v>11340</v>
      </c>
    </row>
    <row r="306" spans="1:20">
      <c r="A306" s="165" t="s">
        <v>815</v>
      </c>
      <c r="B306" s="165">
        <v>441</v>
      </c>
      <c r="C306" s="165" t="s">
        <v>264</v>
      </c>
      <c r="D306" s="165">
        <v>7</v>
      </c>
      <c r="E306" s="165" t="s">
        <v>536</v>
      </c>
      <c r="F306" s="165" t="s">
        <v>537</v>
      </c>
      <c r="G306" s="165">
        <v>11340</v>
      </c>
      <c r="H306" s="165"/>
      <c r="I306" s="165"/>
      <c r="J306" s="165"/>
      <c r="K306" s="165">
        <v>11340</v>
      </c>
      <c r="L306" s="165"/>
      <c r="M306" s="165"/>
      <c r="N306" s="165">
        <f t="shared" si="5"/>
        <v>0</v>
      </c>
      <c r="O306" s="165" t="s">
        <v>619</v>
      </c>
      <c r="P306" s="165" t="s">
        <v>620</v>
      </c>
      <c r="Q306" s="3">
        <v>11340</v>
      </c>
      <c r="R306">
        <v>11340</v>
      </c>
    </row>
    <row r="307" spans="1:20">
      <c r="A307" s="165" t="s">
        <v>815</v>
      </c>
      <c r="B307" s="165">
        <v>442</v>
      </c>
      <c r="C307" s="165" t="s">
        <v>264</v>
      </c>
      <c r="D307" s="165">
        <v>8</v>
      </c>
      <c r="E307" s="165" t="s">
        <v>538</v>
      </c>
      <c r="F307" s="165" t="s">
        <v>539</v>
      </c>
      <c r="G307" s="165">
        <v>11340</v>
      </c>
      <c r="H307" s="165"/>
      <c r="I307" s="165"/>
      <c r="J307" s="165">
        <v>11340</v>
      </c>
      <c r="K307" s="165"/>
      <c r="L307" s="165"/>
      <c r="M307" s="165"/>
      <c r="N307" s="165">
        <f t="shared" si="5"/>
        <v>0</v>
      </c>
      <c r="O307" s="165" t="s">
        <v>621</v>
      </c>
      <c r="P307" s="165" t="s">
        <v>622</v>
      </c>
      <c r="Q307" s="3">
        <v>11340</v>
      </c>
      <c r="R307">
        <v>11340</v>
      </c>
    </row>
    <row r="308" spans="1:20">
      <c r="A308" s="209" t="s">
        <v>540</v>
      </c>
      <c r="B308" s="209"/>
      <c r="C308" s="205" t="s">
        <v>1532</v>
      </c>
      <c r="D308" s="226">
        <v>6</v>
      </c>
      <c r="E308" s="183" t="s">
        <v>1283</v>
      </c>
      <c r="F308" s="209" t="s">
        <v>540</v>
      </c>
      <c r="G308" s="165"/>
      <c r="H308" s="165"/>
      <c r="I308" s="165"/>
      <c r="J308" s="165"/>
      <c r="K308" s="165"/>
      <c r="L308" s="165"/>
      <c r="M308" s="165"/>
      <c r="N308" s="165">
        <f t="shared" si="5"/>
        <v>0</v>
      </c>
      <c r="O308" s="209" t="s">
        <v>540</v>
      </c>
      <c r="P308" s="209" t="s">
        <v>540</v>
      </c>
      <c r="Q308" s="178">
        <v>13500</v>
      </c>
      <c r="R308" s="178">
        <v>13485</v>
      </c>
      <c r="S308" s="178"/>
      <c r="T308" s="3">
        <v>15</v>
      </c>
    </row>
    <row r="309" spans="1:20">
      <c r="A309" s="165" t="s">
        <v>540</v>
      </c>
      <c r="B309" s="165">
        <v>443</v>
      </c>
      <c r="C309" s="165" t="s">
        <v>1303</v>
      </c>
      <c r="D309" s="165">
        <v>1</v>
      </c>
      <c r="E309" s="165" t="s">
        <v>541</v>
      </c>
      <c r="F309" s="165" t="s">
        <v>2663</v>
      </c>
      <c r="G309" s="165">
        <v>13230</v>
      </c>
      <c r="H309" s="165"/>
      <c r="I309" s="165"/>
      <c r="J309" s="165"/>
      <c r="K309" s="165">
        <v>13230</v>
      </c>
      <c r="L309" s="165"/>
      <c r="M309" s="165"/>
      <c r="N309" s="165">
        <f t="shared" si="5"/>
        <v>0</v>
      </c>
      <c r="O309" s="165" t="s">
        <v>494</v>
      </c>
      <c r="P309" s="165" t="s">
        <v>908</v>
      </c>
      <c r="Q309" s="3">
        <v>13230</v>
      </c>
      <c r="R309">
        <v>13230</v>
      </c>
    </row>
    <row r="310" spans="1:20">
      <c r="A310" s="165" t="s">
        <v>540</v>
      </c>
      <c r="B310" s="165">
        <v>444</v>
      </c>
      <c r="C310" s="165" t="s">
        <v>1303</v>
      </c>
      <c r="D310" s="165">
        <v>2</v>
      </c>
      <c r="E310" s="165" t="s">
        <v>542</v>
      </c>
      <c r="F310" s="165" t="s">
        <v>543</v>
      </c>
      <c r="G310" s="165">
        <v>13230</v>
      </c>
      <c r="H310" s="165"/>
      <c r="I310" s="165"/>
      <c r="J310" s="165"/>
      <c r="K310" s="165">
        <v>13230</v>
      </c>
      <c r="L310" s="165"/>
      <c r="M310" s="165"/>
      <c r="N310" s="165">
        <f t="shared" si="5"/>
        <v>0</v>
      </c>
      <c r="O310" s="165" t="s">
        <v>495</v>
      </c>
      <c r="P310" s="165" t="s">
        <v>1472</v>
      </c>
      <c r="Q310" s="3">
        <v>13230</v>
      </c>
      <c r="R310">
        <v>13230</v>
      </c>
    </row>
    <row r="311" spans="1:20">
      <c r="A311" s="165" t="s">
        <v>540</v>
      </c>
      <c r="B311" s="165">
        <v>445</v>
      </c>
      <c r="C311" s="165" t="s">
        <v>1303</v>
      </c>
      <c r="D311" s="165">
        <v>3</v>
      </c>
      <c r="E311" s="165" t="s">
        <v>544</v>
      </c>
      <c r="F311" s="165" t="s">
        <v>545</v>
      </c>
      <c r="G311" s="165">
        <v>13230</v>
      </c>
      <c r="H311" s="165"/>
      <c r="I311" s="165"/>
      <c r="J311" s="165"/>
      <c r="K311" s="165">
        <v>13230</v>
      </c>
      <c r="L311" s="165"/>
      <c r="M311" s="165"/>
      <c r="N311" s="165">
        <f t="shared" si="5"/>
        <v>0</v>
      </c>
      <c r="O311" s="165" t="s">
        <v>1461</v>
      </c>
      <c r="P311" s="165" t="s">
        <v>492</v>
      </c>
      <c r="Q311" s="3">
        <v>13230</v>
      </c>
      <c r="R311">
        <v>13230</v>
      </c>
    </row>
    <row r="312" spans="1:20">
      <c r="A312" s="165" t="s">
        <v>540</v>
      </c>
      <c r="B312" s="165">
        <v>446</v>
      </c>
      <c r="C312" s="165" t="s">
        <v>1303</v>
      </c>
      <c r="D312" s="165">
        <v>4</v>
      </c>
      <c r="E312" s="165" t="s">
        <v>546</v>
      </c>
      <c r="F312" s="165" t="s">
        <v>504</v>
      </c>
      <c r="G312" s="165">
        <v>13230</v>
      </c>
      <c r="H312" s="165"/>
      <c r="I312" s="165"/>
      <c r="J312" s="165"/>
      <c r="K312" s="165">
        <v>13230</v>
      </c>
      <c r="L312" s="165"/>
      <c r="M312" s="165"/>
      <c r="N312" s="165">
        <f t="shared" si="5"/>
        <v>0</v>
      </c>
      <c r="O312" s="165" t="s">
        <v>496</v>
      </c>
      <c r="P312" s="165" t="s">
        <v>497</v>
      </c>
      <c r="Q312" s="3">
        <v>13230</v>
      </c>
      <c r="R312">
        <v>13230</v>
      </c>
    </row>
    <row r="313" spans="1:20">
      <c r="A313" s="165" t="s">
        <v>540</v>
      </c>
      <c r="B313" s="165">
        <v>447</v>
      </c>
      <c r="C313" s="165" t="s">
        <v>1303</v>
      </c>
      <c r="D313" s="165">
        <v>5</v>
      </c>
      <c r="E313" s="165" t="s">
        <v>547</v>
      </c>
      <c r="F313" s="165" t="s">
        <v>548</v>
      </c>
      <c r="G313" s="165">
        <v>13230</v>
      </c>
      <c r="H313" s="165"/>
      <c r="I313" s="165"/>
      <c r="J313" s="165"/>
      <c r="K313" s="165">
        <v>13230</v>
      </c>
      <c r="L313" s="165"/>
      <c r="M313" s="165"/>
      <c r="N313" s="165">
        <f t="shared" si="5"/>
        <v>0</v>
      </c>
      <c r="O313" s="165" t="s">
        <v>623</v>
      </c>
      <c r="P313" s="165" t="s">
        <v>624</v>
      </c>
      <c r="Q313" s="3">
        <v>13230</v>
      </c>
      <c r="R313">
        <v>13230</v>
      </c>
    </row>
    <row r="314" spans="1:20">
      <c r="A314" s="165" t="s">
        <v>540</v>
      </c>
      <c r="B314" s="165">
        <v>448</v>
      </c>
      <c r="C314" s="165" t="s">
        <v>1303</v>
      </c>
      <c r="D314" s="165">
        <v>6</v>
      </c>
      <c r="E314" s="165" t="s">
        <v>549</v>
      </c>
      <c r="F314" s="165" t="s">
        <v>550</v>
      </c>
      <c r="G314" s="165">
        <v>13230</v>
      </c>
      <c r="H314" s="165"/>
      <c r="I314" s="165"/>
      <c r="J314" s="165"/>
      <c r="K314" s="165">
        <v>13230</v>
      </c>
      <c r="L314" s="165"/>
      <c r="M314" s="165"/>
      <c r="N314" s="165">
        <f t="shared" si="5"/>
        <v>0</v>
      </c>
      <c r="O314" s="165" t="s">
        <v>612</v>
      </c>
      <c r="P314" s="165" t="s">
        <v>2201</v>
      </c>
      <c r="Q314" s="3">
        <v>13230</v>
      </c>
      <c r="R314">
        <v>13230</v>
      </c>
    </row>
    <row r="315" spans="1:20">
      <c r="A315" s="165" t="s">
        <v>540</v>
      </c>
      <c r="B315" s="165">
        <v>449</v>
      </c>
      <c r="C315" s="165" t="s">
        <v>1303</v>
      </c>
      <c r="D315" s="165">
        <v>7</v>
      </c>
      <c r="E315" s="165" t="s">
        <v>551</v>
      </c>
      <c r="F315" s="165" t="s">
        <v>552</v>
      </c>
      <c r="G315" s="165">
        <v>13230</v>
      </c>
      <c r="H315" s="165"/>
      <c r="I315" s="165"/>
      <c r="J315" s="165"/>
      <c r="K315" s="165">
        <v>13230</v>
      </c>
      <c r="L315" s="165"/>
      <c r="M315" s="165"/>
      <c r="N315" s="165">
        <f t="shared" si="5"/>
        <v>0</v>
      </c>
      <c r="O315" s="165" t="s">
        <v>619</v>
      </c>
      <c r="P315" s="165" t="s">
        <v>620</v>
      </c>
      <c r="Q315" s="3">
        <v>13230</v>
      </c>
      <c r="R315">
        <v>13230</v>
      </c>
    </row>
    <row r="316" spans="1:20">
      <c r="A316" s="165" t="s">
        <v>540</v>
      </c>
      <c r="B316" s="165">
        <v>450</v>
      </c>
      <c r="C316" s="165" t="s">
        <v>1303</v>
      </c>
      <c r="D316" s="165">
        <v>8</v>
      </c>
      <c r="E316" s="165" t="s">
        <v>553</v>
      </c>
      <c r="F316" s="165" t="s">
        <v>554</v>
      </c>
      <c r="G316" s="165">
        <v>13230</v>
      </c>
      <c r="H316" s="165"/>
      <c r="I316" s="165"/>
      <c r="J316" s="165">
        <v>13230</v>
      </c>
      <c r="K316" s="165"/>
      <c r="L316" s="165"/>
      <c r="M316" s="165"/>
      <c r="N316" s="165">
        <f t="shared" si="5"/>
        <v>0</v>
      </c>
      <c r="O316" s="165" t="s">
        <v>625</v>
      </c>
      <c r="P316" s="165" t="s">
        <v>626</v>
      </c>
      <c r="Q316" s="3">
        <v>13230</v>
      </c>
      <c r="R316">
        <v>13230</v>
      </c>
    </row>
    <row r="317" spans="1:20">
      <c r="A317" s="165" t="s">
        <v>816</v>
      </c>
      <c r="B317" s="165">
        <v>451</v>
      </c>
      <c r="C317" s="165" t="s">
        <v>555</v>
      </c>
      <c r="D317" s="165">
        <v>1</v>
      </c>
      <c r="E317" s="165" t="s">
        <v>556</v>
      </c>
      <c r="F317" s="165" t="s">
        <v>2764</v>
      </c>
      <c r="G317" s="165">
        <v>12600</v>
      </c>
      <c r="H317" s="165"/>
      <c r="I317" s="165"/>
      <c r="J317" s="165"/>
      <c r="K317" s="165">
        <v>12600</v>
      </c>
      <c r="L317" s="165"/>
      <c r="M317" s="165"/>
      <c r="N317" s="165">
        <f t="shared" si="5"/>
        <v>0</v>
      </c>
      <c r="O317" s="165" t="s">
        <v>493</v>
      </c>
      <c r="P317" s="165" t="s">
        <v>911</v>
      </c>
      <c r="Q317" s="3">
        <v>12600</v>
      </c>
      <c r="R317">
        <v>12600</v>
      </c>
    </row>
    <row r="318" spans="1:20">
      <c r="A318" s="165" t="s">
        <v>816</v>
      </c>
      <c r="B318" s="165">
        <v>452</v>
      </c>
      <c r="C318" s="165" t="s">
        <v>555</v>
      </c>
      <c r="D318" s="165">
        <v>2</v>
      </c>
      <c r="E318" s="165" t="s">
        <v>557</v>
      </c>
      <c r="F318" s="165" t="s">
        <v>910</v>
      </c>
      <c r="G318" s="165">
        <v>12600</v>
      </c>
      <c r="H318" s="165"/>
      <c r="I318" s="165"/>
      <c r="J318" s="165"/>
      <c r="K318" s="165">
        <v>12600</v>
      </c>
      <c r="L318" s="165"/>
      <c r="M318" s="165"/>
      <c r="N318" s="165">
        <f t="shared" si="5"/>
        <v>0</v>
      </c>
      <c r="O318" s="165" t="s">
        <v>488</v>
      </c>
      <c r="P318" s="165" t="s">
        <v>489</v>
      </c>
      <c r="Q318" s="3">
        <v>12600</v>
      </c>
      <c r="R318">
        <v>12600</v>
      </c>
    </row>
    <row r="319" spans="1:20">
      <c r="A319" s="165" t="s">
        <v>816</v>
      </c>
      <c r="B319" s="165">
        <v>453</v>
      </c>
      <c r="C319" s="165" t="s">
        <v>555</v>
      </c>
      <c r="D319" s="165">
        <v>3</v>
      </c>
      <c r="E319" s="165" t="s">
        <v>558</v>
      </c>
      <c r="F319" s="165" t="s">
        <v>559</v>
      </c>
      <c r="G319" s="165">
        <v>12600</v>
      </c>
      <c r="H319" s="165"/>
      <c r="I319" s="165"/>
      <c r="J319" s="165"/>
      <c r="K319" s="165">
        <v>12600</v>
      </c>
      <c r="L319" s="165"/>
      <c r="M319" s="165"/>
      <c r="N319" s="165">
        <f t="shared" si="5"/>
        <v>0</v>
      </c>
      <c r="O319" s="165" t="s">
        <v>1461</v>
      </c>
      <c r="P319" s="165" t="s">
        <v>492</v>
      </c>
      <c r="Q319" s="3">
        <v>12600</v>
      </c>
      <c r="R319">
        <v>12600</v>
      </c>
    </row>
    <row r="320" spans="1:20">
      <c r="A320" s="165" t="s">
        <v>816</v>
      </c>
      <c r="B320" s="165">
        <v>454</v>
      </c>
      <c r="C320" s="165" t="s">
        <v>555</v>
      </c>
      <c r="D320" s="165">
        <v>4</v>
      </c>
      <c r="E320" s="165" t="s">
        <v>560</v>
      </c>
      <c r="F320" s="165" t="s">
        <v>1467</v>
      </c>
      <c r="G320" s="165">
        <v>12600</v>
      </c>
      <c r="H320" s="165"/>
      <c r="I320" s="165"/>
      <c r="J320" s="165"/>
      <c r="K320" s="165">
        <v>12600</v>
      </c>
      <c r="L320" s="165"/>
      <c r="M320" s="165"/>
      <c r="N320" s="165">
        <f t="shared" si="5"/>
        <v>0</v>
      </c>
      <c r="O320" s="165" t="s">
        <v>500</v>
      </c>
      <c r="P320" s="165" t="s">
        <v>500</v>
      </c>
      <c r="Q320" s="3">
        <v>12600</v>
      </c>
      <c r="R320">
        <v>12600</v>
      </c>
    </row>
    <row r="321" spans="1:18">
      <c r="A321" s="165" t="s">
        <v>816</v>
      </c>
      <c r="B321" s="165">
        <v>455</v>
      </c>
      <c r="C321" s="165" t="s">
        <v>555</v>
      </c>
      <c r="D321" s="165">
        <v>5</v>
      </c>
      <c r="E321" s="165" t="s">
        <v>2158</v>
      </c>
      <c r="F321" s="165" t="s">
        <v>2159</v>
      </c>
      <c r="G321" s="165">
        <v>12600</v>
      </c>
      <c r="H321" s="165"/>
      <c r="I321" s="165"/>
      <c r="J321" s="165"/>
      <c r="K321" s="165">
        <v>12600</v>
      </c>
      <c r="L321" s="165"/>
      <c r="M321" s="165"/>
      <c r="N321" s="165">
        <f t="shared" si="5"/>
        <v>0</v>
      </c>
      <c r="O321" s="165" t="s">
        <v>501</v>
      </c>
      <c r="P321" s="165" t="s">
        <v>2160</v>
      </c>
      <c r="Q321" s="3">
        <v>12600</v>
      </c>
      <c r="R321">
        <v>12600</v>
      </c>
    </row>
    <row r="322" spans="1:18">
      <c r="A322" s="165" t="s">
        <v>816</v>
      </c>
      <c r="B322" s="165">
        <v>456</v>
      </c>
      <c r="C322" s="165" t="s">
        <v>555</v>
      </c>
      <c r="D322" s="165">
        <v>6</v>
      </c>
      <c r="E322" s="165" t="s">
        <v>2161</v>
      </c>
      <c r="F322" s="165" t="s">
        <v>2162</v>
      </c>
      <c r="G322" s="165">
        <v>12600</v>
      </c>
      <c r="H322" s="165"/>
      <c r="I322" s="165"/>
      <c r="J322" s="165"/>
      <c r="K322" s="165">
        <v>12600</v>
      </c>
      <c r="L322" s="165"/>
      <c r="M322" s="165"/>
      <c r="N322" s="165">
        <f t="shared" si="5"/>
        <v>0</v>
      </c>
      <c r="O322" s="165" t="s">
        <v>2162</v>
      </c>
      <c r="P322" s="165" t="s">
        <v>1024</v>
      </c>
      <c r="Q322" s="3">
        <v>12600</v>
      </c>
      <c r="R322">
        <v>12600</v>
      </c>
    </row>
    <row r="323" spans="1:18">
      <c r="A323" s="165" t="s">
        <v>816</v>
      </c>
      <c r="B323" s="165">
        <v>457</v>
      </c>
      <c r="C323" s="165" t="s">
        <v>555</v>
      </c>
      <c r="D323" s="165">
        <v>7</v>
      </c>
      <c r="E323" s="165" t="s">
        <v>2163</v>
      </c>
      <c r="F323" s="165" t="s">
        <v>2164</v>
      </c>
      <c r="G323" s="165">
        <v>12600</v>
      </c>
      <c r="H323" s="165"/>
      <c r="I323" s="165"/>
      <c r="J323" s="165"/>
      <c r="K323" s="165">
        <v>12600</v>
      </c>
      <c r="L323" s="165"/>
      <c r="M323" s="165"/>
      <c r="N323" s="165">
        <f t="shared" si="5"/>
        <v>0</v>
      </c>
      <c r="O323" s="165" t="s">
        <v>2164</v>
      </c>
      <c r="P323" s="165" t="s">
        <v>1025</v>
      </c>
      <c r="Q323" s="3">
        <v>12600</v>
      </c>
      <c r="R323">
        <v>12600</v>
      </c>
    </row>
    <row r="324" spans="1:18">
      <c r="A324" s="165" t="s">
        <v>816</v>
      </c>
      <c r="B324" s="165">
        <v>458</v>
      </c>
      <c r="C324" s="165" t="s">
        <v>555</v>
      </c>
      <c r="D324" s="165">
        <v>8</v>
      </c>
      <c r="E324" s="165" t="s">
        <v>2165</v>
      </c>
      <c r="F324" s="165" t="s">
        <v>2166</v>
      </c>
      <c r="G324" s="165">
        <v>12600</v>
      </c>
      <c r="H324" s="165"/>
      <c r="I324" s="165"/>
      <c r="J324" s="165"/>
      <c r="K324" s="165">
        <v>12600</v>
      </c>
      <c r="L324" s="165"/>
      <c r="M324" s="165"/>
      <c r="N324" s="165">
        <f t="shared" si="5"/>
        <v>0</v>
      </c>
      <c r="O324" s="165" t="s">
        <v>621</v>
      </c>
      <c r="P324" s="165" t="s">
        <v>622</v>
      </c>
      <c r="Q324" s="3">
        <v>12600</v>
      </c>
      <c r="R324">
        <v>12600</v>
      </c>
    </row>
    <row r="325" spans="1:18">
      <c r="A325" s="165" t="s">
        <v>817</v>
      </c>
      <c r="B325" s="165">
        <v>459</v>
      </c>
      <c r="C325" s="165" t="s">
        <v>9</v>
      </c>
      <c r="D325" s="165">
        <v>1</v>
      </c>
      <c r="E325" s="165" t="s">
        <v>2167</v>
      </c>
      <c r="F325" s="165" t="s">
        <v>2168</v>
      </c>
      <c r="G325" s="165">
        <v>12000</v>
      </c>
      <c r="H325" s="165"/>
      <c r="I325" s="165"/>
      <c r="J325" s="165"/>
      <c r="K325" s="165">
        <v>12000</v>
      </c>
      <c r="L325" s="165"/>
      <c r="M325" s="165"/>
      <c r="N325" s="165">
        <f t="shared" si="5"/>
        <v>0</v>
      </c>
      <c r="O325" s="165" t="s">
        <v>494</v>
      </c>
      <c r="P325" s="165" t="s">
        <v>908</v>
      </c>
      <c r="Q325" s="3">
        <v>12000</v>
      </c>
      <c r="R325">
        <v>12000</v>
      </c>
    </row>
    <row r="326" spans="1:18">
      <c r="A326" s="165" t="s">
        <v>817</v>
      </c>
      <c r="B326" s="165">
        <v>460</v>
      </c>
      <c r="C326" s="165" t="s">
        <v>9</v>
      </c>
      <c r="D326" s="165">
        <v>2</v>
      </c>
      <c r="E326" s="165" t="s">
        <v>2169</v>
      </c>
      <c r="F326" s="165" t="s">
        <v>2170</v>
      </c>
      <c r="G326" s="165">
        <v>12000</v>
      </c>
      <c r="H326" s="165"/>
      <c r="I326" s="165"/>
      <c r="J326" s="165"/>
      <c r="K326" s="165">
        <v>12000</v>
      </c>
      <c r="L326" s="165"/>
      <c r="M326" s="165"/>
      <c r="N326" s="165">
        <f t="shared" si="5"/>
        <v>0</v>
      </c>
      <c r="O326" s="165" t="s">
        <v>2171</v>
      </c>
      <c r="P326" s="165" t="s">
        <v>1472</v>
      </c>
      <c r="Q326" s="3">
        <v>12000</v>
      </c>
      <c r="R326">
        <v>12000</v>
      </c>
    </row>
    <row r="327" spans="1:18">
      <c r="A327" s="165" t="s">
        <v>817</v>
      </c>
      <c r="B327" s="165">
        <v>461</v>
      </c>
      <c r="C327" s="165" t="s">
        <v>9</v>
      </c>
      <c r="D327" s="165">
        <v>3</v>
      </c>
      <c r="E327" s="165" t="s">
        <v>2172</v>
      </c>
      <c r="F327" s="165" t="s">
        <v>2173</v>
      </c>
      <c r="G327" s="165">
        <v>12000</v>
      </c>
      <c r="H327" s="165"/>
      <c r="I327" s="165"/>
      <c r="J327" s="165"/>
      <c r="K327" s="165">
        <v>12000</v>
      </c>
      <c r="L327" s="165"/>
      <c r="M327" s="165"/>
      <c r="N327" s="165">
        <f t="shared" si="5"/>
        <v>0</v>
      </c>
      <c r="O327" s="165" t="s">
        <v>1461</v>
      </c>
      <c r="P327" s="165" t="s">
        <v>492</v>
      </c>
      <c r="Q327" s="3">
        <v>12000</v>
      </c>
      <c r="R327">
        <v>12000</v>
      </c>
    </row>
    <row r="328" spans="1:18">
      <c r="A328" s="165" t="s">
        <v>817</v>
      </c>
      <c r="B328" s="165">
        <v>462</v>
      </c>
      <c r="C328" s="165" t="s">
        <v>9</v>
      </c>
      <c r="D328" s="165">
        <v>4</v>
      </c>
      <c r="E328" s="165" t="s">
        <v>2174</v>
      </c>
      <c r="F328" s="165" t="s">
        <v>2175</v>
      </c>
      <c r="G328" s="165">
        <v>12000</v>
      </c>
      <c r="H328" s="165"/>
      <c r="I328" s="165"/>
      <c r="J328" s="165"/>
      <c r="K328" s="165">
        <v>12000</v>
      </c>
      <c r="L328" s="165"/>
      <c r="M328" s="165"/>
      <c r="N328" s="165">
        <f t="shared" si="5"/>
        <v>0</v>
      </c>
      <c r="O328" s="165" t="s">
        <v>504</v>
      </c>
      <c r="P328" s="165" t="s">
        <v>505</v>
      </c>
      <c r="Q328" s="3">
        <v>12000</v>
      </c>
      <c r="R328">
        <v>12000</v>
      </c>
    </row>
    <row r="329" spans="1:18">
      <c r="A329" s="165" t="s">
        <v>817</v>
      </c>
      <c r="B329" s="165">
        <v>463</v>
      </c>
      <c r="C329" s="165" t="s">
        <v>9</v>
      </c>
      <c r="D329" s="165">
        <v>5</v>
      </c>
      <c r="E329" s="165" t="s">
        <v>2176</v>
      </c>
      <c r="F329" s="165" t="s">
        <v>2177</v>
      </c>
      <c r="G329" s="165">
        <v>12000</v>
      </c>
      <c r="H329" s="165"/>
      <c r="I329" s="165"/>
      <c r="J329" s="165"/>
      <c r="K329" s="165">
        <v>12000</v>
      </c>
      <c r="L329" s="165"/>
      <c r="M329" s="165"/>
      <c r="N329" s="165">
        <f t="shared" si="5"/>
        <v>0</v>
      </c>
      <c r="O329" s="165" t="s">
        <v>610</v>
      </c>
      <c r="P329" s="165" t="s">
        <v>611</v>
      </c>
      <c r="Q329" s="3">
        <v>12000</v>
      </c>
      <c r="R329">
        <v>12000</v>
      </c>
    </row>
    <row r="330" spans="1:18">
      <c r="A330" s="165" t="s">
        <v>817</v>
      </c>
      <c r="B330" s="165">
        <v>464</v>
      </c>
      <c r="C330" s="165" t="s">
        <v>9</v>
      </c>
      <c r="D330" s="165">
        <v>6</v>
      </c>
      <c r="E330" s="165" t="s">
        <v>2178</v>
      </c>
      <c r="F330" s="165" t="s">
        <v>2179</v>
      </c>
      <c r="G330" s="165">
        <v>12000</v>
      </c>
      <c r="H330" s="165"/>
      <c r="I330" s="165"/>
      <c r="J330" s="165"/>
      <c r="K330" s="165">
        <v>12000</v>
      </c>
      <c r="L330" s="165"/>
      <c r="M330" s="165"/>
      <c r="N330" s="165">
        <f t="shared" si="5"/>
        <v>0</v>
      </c>
      <c r="O330" s="165" t="s">
        <v>612</v>
      </c>
      <c r="P330" s="165" t="s">
        <v>2201</v>
      </c>
      <c r="Q330" s="3">
        <v>12000</v>
      </c>
      <c r="R330">
        <v>12000</v>
      </c>
    </row>
    <row r="331" spans="1:18">
      <c r="A331" s="165" t="s">
        <v>817</v>
      </c>
      <c r="B331" s="165">
        <v>465</v>
      </c>
      <c r="C331" s="165" t="s">
        <v>9</v>
      </c>
      <c r="D331" s="165">
        <v>7</v>
      </c>
      <c r="E331" s="165" t="s">
        <v>2180</v>
      </c>
      <c r="F331" s="165" t="s">
        <v>2181</v>
      </c>
      <c r="G331" s="165">
        <v>12000</v>
      </c>
      <c r="H331" s="165"/>
      <c r="I331" s="165"/>
      <c r="J331" s="165"/>
      <c r="K331" s="165">
        <v>12000</v>
      </c>
      <c r="L331" s="165"/>
      <c r="M331" s="165"/>
      <c r="N331" s="165">
        <f t="shared" si="5"/>
        <v>0</v>
      </c>
      <c r="O331" s="165" t="s">
        <v>619</v>
      </c>
      <c r="P331" s="165" t="s">
        <v>620</v>
      </c>
      <c r="Q331" s="3">
        <v>12000</v>
      </c>
      <c r="R331">
        <v>12000</v>
      </c>
    </row>
    <row r="332" spans="1:18">
      <c r="A332" s="165" t="s">
        <v>817</v>
      </c>
      <c r="B332" s="165">
        <v>466</v>
      </c>
      <c r="C332" s="165" t="s">
        <v>9</v>
      </c>
      <c r="D332" s="165">
        <v>8</v>
      </c>
      <c r="E332" s="165" t="s">
        <v>2182</v>
      </c>
      <c r="F332" s="165" t="s">
        <v>2183</v>
      </c>
      <c r="G332" s="165">
        <v>12000</v>
      </c>
      <c r="H332" s="165"/>
      <c r="I332" s="165"/>
      <c r="J332" s="165">
        <v>12000</v>
      </c>
      <c r="K332" s="165"/>
      <c r="L332" s="165"/>
      <c r="M332" s="165"/>
      <c r="N332" s="165">
        <f t="shared" si="5"/>
        <v>0</v>
      </c>
      <c r="O332" s="165" t="s">
        <v>621</v>
      </c>
      <c r="P332" s="165" t="s">
        <v>622</v>
      </c>
      <c r="Q332" s="3">
        <v>12000</v>
      </c>
      <c r="R332">
        <v>12000</v>
      </c>
    </row>
    <row r="333" spans="1:18">
      <c r="A333" s="165" t="s">
        <v>1457</v>
      </c>
      <c r="B333" s="165">
        <v>467</v>
      </c>
      <c r="C333" s="165" t="s">
        <v>2424</v>
      </c>
      <c r="D333" s="165">
        <v>1</v>
      </c>
      <c r="E333" s="165" t="s">
        <v>2184</v>
      </c>
      <c r="F333" s="165" t="s">
        <v>1869</v>
      </c>
      <c r="G333" s="165">
        <v>11340</v>
      </c>
      <c r="H333" s="165"/>
      <c r="I333" s="165"/>
      <c r="J333" s="165"/>
      <c r="K333" s="165">
        <v>11340</v>
      </c>
      <c r="L333" s="165"/>
      <c r="M333" s="165"/>
      <c r="N333" s="165">
        <f t="shared" si="5"/>
        <v>0</v>
      </c>
      <c r="O333" s="165" t="s">
        <v>818</v>
      </c>
      <c r="P333" s="165" t="s">
        <v>487</v>
      </c>
      <c r="Q333" s="3">
        <v>11340</v>
      </c>
      <c r="R333">
        <v>11340</v>
      </c>
    </row>
    <row r="334" spans="1:18">
      <c r="A334" s="165" t="s">
        <v>1457</v>
      </c>
      <c r="B334" s="165">
        <v>468</v>
      </c>
      <c r="C334" s="165" t="s">
        <v>2424</v>
      </c>
      <c r="D334" s="165">
        <v>2</v>
      </c>
      <c r="E334" s="165" t="s">
        <v>2185</v>
      </c>
      <c r="F334" s="165" t="s">
        <v>1871</v>
      </c>
      <c r="G334" s="165">
        <v>11340</v>
      </c>
      <c r="H334" s="165"/>
      <c r="I334" s="165"/>
      <c r="J334" s="165"/>
      <c r="K334" s="165">
        <v>11340</v>
      </c>
      <c r="L334" s="165"/>
      <c r="M334" s="165"/>
      <c r="N334" s="165">
        <f t="shared" si="5"/>
        <v>0</v>
      </c>
      <c r="O334" s="165" t="s">
        <v>490</v>
      </c>
      <c r="P334" s="165" t="s">
        <v>491</v>
      </c>
      <c r="Q334" s="3">
        <v>11340</v>
      </c>
      <c r="R334">
        <v>11340</v>
      </c>
    </row>
    <row r="335" spans="1:18">
      <c r="A335" s="165" t="s">
        <v>1457</v>
      </c>
      <c r="B335" s="165">
        <v>469</v>
      </c>
      <c r="C335" s="165" t="s">
        <v>2424</v>
      </c>
      <c r="D335" s="165">
        <v>3</v>
      </c>
      <c r="E335" s="165" t="s">
        <v>2186</v>
      </c>
      <c r="F335" s="165" t="s">
        <v>1873</v>
      </c>
      <c r="G335" s="165">
        <v>11340</v>
      </c>
      <c r="H335" s="165"/>
      <c r="I335" s="165"/>
      <c r="J335" s="165"/>
      <c r="K335" s="165">
        <v>11340</v>
      </c>
      <c r="L335" s="165"/>
      <c r="M335" s="165"/>
      <c r="N335" s="165">
        <f t="shared" si="5"/>
        <v>0</v>
      </c>
      <c r="O335" s="165" t="s">
        <v>1461</v>
      </c>
      <c r="P335" s="165" t="s">
        <v>492</v>
      </c>
      <c r="Q335" s="3">
        <v>11340</v>
      </c>
      <c r="R335">
        <v>11340</v>
      </c>
    </row>
    <row r="336" spans="1:18">
      <c r="A336" s="165" t="s">
        <v>1457</v>
      </c>
      <c r="B336" s="165">
        <v>470</v>
      </c>
      <c r="C336" s="165" t="s">
        <v>2424</v>
      </c>
      <c r="D336" s="165">
        <v>4</v>
      </c>
      <c r="E336" s="165" t="s">
        <v>2187</v>
      </c>
      <c r="F336" s="165" t="s">
        <v>2049</v>
      </c>
      <c r="G336" s="165">
        <v>11340</v>
      </c>
      <c r="H336" s="165"/>
      <c r="I336" s="165"/>
      <c r="J336" s="165"/>
      <c r="K336" s="165">
        <v>11340</v>
      </c>
      <c r="L336" s="165"/>
      <c r="M336" s="165"/>
      <c r="N336" s="165">
        <f t="shared" si="5"/>
        <v>0</v>
      </c>
      <c r="O336" s="165" t="s">
        <v>504</v>
      </c>
      <c r="P336" s="165" t="s">
        <v>505</v>
      </c>
      <c r="Q336" s="3">
        <v>11340</v>
      </c>
      <c r="R336">
        <v>11340</v>
      </c>
    </row>
    <row r="337" spans="1:20">
      <c r="A337" s="165" t="s">
        <v>1457</v>
      </c>
      <c r="B337" s="165">
        <v>471</v>
      </c>
      <c r="C337" s="165" t="s">
        <v>2424</v>
      </c>
      <c r="D337" s="165">
        <v>5</v>
      </c>
      <c r="E337" s="165" t="s">
        <v>2188</v>
      </c>
      <c r="F337" s="165" t="s">
        <v>2051</v>
      </c>
      <c r="G337" s="165">
        <v>11340</v>
      </c>
      <c r="H337" s="165"/>
      <c r="I337" s="165"/>
      <c r="J337" s="165"/>
      <c r="K337" s="165">
        <v>11340</v>
      </c>
      <c r="L337" s="165"/>
      <c r="M337" s="165"/>
      <c r="N337" s="165">
        <f t="shared" si="5"/>
        <v>0</v>
      </c>
      <c r="O337" s="165" t="s">
        <v>506</v>
      </c>
      <c r="P337" s="165" t="s">
        <v>507</v>
      </c>
      <c r="Q337" s="3">
        <v>11340</v>
      </c>
      <c r="R337">
        <v>11340</v>
      </c>
    </row>
    <row r="338" spans="1:20">
      <c r="A338" s="165" t="s">
        <v>1457</v>
      </c>
      <c r="B338" s="165">
        <v>472</v>
      </c>
      <c r="C338" s="165" t="s">
        <v>2424</v>
      </c>
      <c r="D338" s="165">
        <v>6</v>
      </c>
      <c r="E338" s="165" t="s">
        <v>2189</v>
      </c>
      <c r="F338" s="165" t="s">
        <v>2190</v>
      </c>
      <c r="G338" s="165">
        <v>11340</v>
      </c>
      <c r="H338" s="165"/>
      <c r="I338" s="165"/>
      <c r="J338" s="165"/>
      <c r="K338" s="165">
        <v>11340</v>
      </c>
      <c r="L338" s="165"/>
      <c r="M338" s="165"/>
      <c r="N338" s="165">
        <f t="shared" si="5"/>
        <v>0</v>
      </c>
      <c r="O338" s="165" t="s">
        <v>627</v>
      </c>
      <c r="P338" s="165" t="s">
        <v>827</v>
      </c>
      <c r="Q338" s="3">
        <v>11340</v>
      </c>
      <c r="R338">
        <v>11340</v>
      </c>
    </row>
    <row r="339" spans="1:20">
      <c r="A339" s="165" t="s">
        <v>1457</v>
      </c>
      <c r="B339" s="165">
        <v>473</v>
      </c>
      <c r="C339" s="165" t="s">
        <v>2424</v>
      </c>
      <c r="D339" s="165">
        <v>7</v>
      </c>
      <c r="E339" s="165" t="s">
        <v>2191</v>
      </c>
      <c r="F339" s="165" t="s">
        <v>2192</v>
      </c>
      <c r="G339" s="165">
        <v>11340</v>
      </c>
      <c r="H339" s="165"/>
      <c r="I339" s="165"/>
      <c r="J339" s="165"/>
      <c r="K339" s="165">
        <v>11340</v>
      </c>
      <c r="L339" s="165"/>
      <c r="M339" s="165"/>
      <c r="N339" s="165">
        <f t="shared" si="5"/>
        <v>0</v>
      </c>
      <c r="O339" s="165" t="s">
        <v>613</v>
      </c>
      <c r="P339" s="165" t="s">
        <v>614</v>
      </c>
      <c r="Q339" s="3">
        <v>11340</v>
      </c>
      <c r="R339">
        <v>11340</v>
      </c>
    </row>
    <row r="340" spans="1:20">
      <c r="A340" s="165" t="s">
        <v>1457</v>
      </c>
      <c r="B340" s="165">
        <v>474</v>
      </c>
      <c r="C340" s="165" t="s">
        <v>2424</v>
      </c>
      <c r="D340" s="165">
        <v>8</v>
      </c>
      <c r="E340" s="165" t="s">
        <v>2193</v>
      </c>
      <c r="F340" s="165" t="s">
        <v>2194</v>
      </c>
      <c r="G340" s="165">
        <v>11340</v>
      </c>
      <c r="H340" s="165"/>
      <c r="I340" s="165"/>
      <c r="J340" s="165">
        <v>11340</v>
      </c>
      <c r="K340" s="165"/>
      <c r="L340" s="165"/>
      <c r="M340" s="165"/>
      <c r="N340" s="165">
        <f t="shared" si="5"/>
        <v>0</v>
      </c>
      <c r="O340" s="165" t="s">
        <v>621</v>
      </c>
      <c r="P340" s="165" t="s">
        <v>622</v>
      </c>
      <c r="Q340" s="3">
        <v>11340</v>
      </c>
      <c r="R340">
        <v>11340</v>
      </c>
    </row>
    <row r="341" spans="1:20">
      <c r="A341" s="165" t="s">
        <v>1471</v>
      </c>
      <c r="B341" s="165">
        <v>475</v>
      </c>
      <c r="C341" s="165" t="s">
        <v>2690</v>
      </c>
      <c r="D341" s="165">
        <v>1</v>
      </c>
      <c r="E341" s="165" t="s">
        <v>2195</v>
      </c>
      <c r="F341" s="165" t="s">
        <v>2663</v>
      </c>
      <c r="G341" s="165">
        <v>11340</v>
      </c>
      <c r="H341" s="165"/>
      <c r="I341" s="165"/>
      <c r="J341" s="165"/>
      <c r="K341" s="165">
        <v>11340</v>
      </c>
      <c r="L341" s="165"/>
      <c r="M341" s="165"/>
      <c r="N341" s="165">
        <f t="shared" si="5"/>
        <v>0</v>
      </c>
      <c r="O341" s="165" t="s">
        <v>494</v>
      </c>
      <c r="P341" s="165" t="s">
        <v>908</v>
      </c>
      <c r="Q341" s="3">
        <v>11340</v>
      </c>
      <c r="R341">
        <v>11340</v>
      </c>
    </row>
    <row r="342" spans="1:20">
      <c r="A342" s="165" t="s">
        <v>1471</v>
      </c>
      <c r="B342" s="165">
        <v>476</v>
      </c>
      <c r="C342" s="165" t="s">
        <v>2690</v>
      </c>
      <c r="D342" s="165">
        <v>2</v>
      </c>
      <c r="E342" s="165" t="s">
        <v>2196</v>
      </c>
      <c r="F342" s="165" t="s">
        <v>2664</v>
      </c>
      <c r="G342" s="165">
        <v>11340</v>
      </c>
      <c r="H342" s="165"/>
      <c r="I342" s="165"/>
      <c r="J342" s="165"/>
      <c r="K342" s="165">
        <v>11340</v>
      </c>
      <c r="L342" s="165"/>
      <c r="M342" s="165"/>
      <c r="N342" s="165">
        <f t="shared" si="5"/>
        <v>0</v>
      </c>
      <c r="O342" s="165" t="s">
        <v>495</v>
      </c>
      <c r="P342" s="165" t="s">
        <v>1472</v>
      </c>
      <c r="Q342" s="3">
        <v>11340</v>
      </c>
      <c r="R342">
        <v>11340</v>
      </c>
    </row>
    <row r="343" spans="1:20">
      <c r="A343" s="165" t="s">
        <v>1471</v>
      </c>
      <c r="B343" s="165">
        <v>477</v>
      </c>
      <c r="C343" s="165" t="s">
        <v>2690</v>
      </c>
      <c r="D343" s="165">
        <v>3</v>
      </c>
      <c r="E343" s="165" t="s">
        <v>2197</v>
      </c>
      <c r="F343" s="165" t="s">
        <v>1882</v>
      </c>
      <c r="G343" s="165">
        <v>11340</v>
      </c>
      <c r="H343" s="165"/>
      <c r="I343" s="165"/>
      <c r="J343" s="165"/>
      <c r="K343" s="165">
        <v>11340</v>
      </c>
      <c r="L343" s="165"/>
      <c r="M343" s="165"/>
      <c r="N343" s="165">
        <f t="shared" si="5"/>
        <v>0</v>
      </c>
      <c r="O343" s="165" t="s">
        <v>1461</v>
      </c>
      <c r="P343" s="165" t="s">
        <v>492</v>
      </c>
      <c r="Q343" s="3">
        <v>11340</v>
      </c>
      <c r="R343">
        <v>11340</v>
      </c>
    </row>
    <row r="344" spans="1:20">
      <c r="A344" s="165" t="s">
        <v>1471</v>
      </c>
      <c r="B344" s="165">
        <v>478</v>
      </c>
      <c r="C344" s="165" t="s">
        <v>2690</v>
      </c>
      <c r="D344" s="165">
        <v>4</v>
      </c>
      <c r="E344" s="165" t="s">
        <v>2198</v>
      </c>
      <c r="F344" s="165" t="s">
        <v>505</v>
      </c>
      <c r="G344" s="165">
        <v>11340</v>
      </c>
      <c r="H344" s="165"/>
      <c r="I344" s="165"/>
      <c r="J344" s="165"/>
      <c r="K344" s="165">
        <v>11340</v>
      </c>
      <c r="L344" s="165"/>
      <c r="M344" s="165"/>
      <c r="N344" s="165">
        <f t="shared" si="5"/>
        <v>0</v>
      </c>
      <c r="O344" s="165" t="s">
        <v>496</v>
      </c>
      <c r="P344" s="165" t="s">
        <v>497</v>
      </c>
      <c r="Q344" s="3">
        <v>11340</v>
      </c>
      <c r="R344">
        <v>11340</v>
      </c>
    </row>
    <row r="345" spans="1:20">
      <c r="A345" s="165" t="s">
        <v>1471</v>
      </c>
      <c r="B345" s="165">
        <v>479</v>
      </c>
      <c r="C345" s="165" t="s">
        <v>2690</v>
      </c>
      <c r="D345" s="165">
        <v>5</v>
      </c>
      <c r="E345" s="165" t="s">
        <v>2199</v>
      </c>
      <c r="F345" s="165" t="s">
        <v>548</v>
      </c>
      <c r="G345" s="165">
        <v>11340</v>
      </c>
      <c r="H345" s="165"/>
      <c r="I345" s="165"/>
      <c r="J345" s="165"/>
      <c r="K345" s="165">
        <v>11340</v>
      </c>
      <c r="L345" s="165"/>
      <c r="M345" s="165"/>
      <c r="N345" s="165">
        <f t="shared" si="5"/>
        <v>0</v>
      </c>
      <c r="O345" s="165" t="s">
        <v>623</v>
      </c>
      <c r="P345" s="165" t="s">
        <v>624</v>
      </c>
      <c r="Q345" s="3">
        <v>11340</v>
      </c>
      <c r="R345">
        <v>11340</v>
      </c>
    </row>
    <row r="346" spans="1:20">
      <c r="A346" s="165" t="s">
        <v>1471</v>
      </c>
      <c r="B346" s="165">
        <v>480</v>
      </c>
      <c r="C346" s="165" t="s">
        <v>2690</v>
      </c>
      <c r="D346" s="165">
        <v>6</v>
      </c>
      <c r="E346" s="165" t="s">
        <v>2200</v>
      </c>
      <c r="F346" s="165" t="s">
        <v>2201</v>
      </c>
      <c r="G346" s="165">
        <v>11340</v>
      </c>
      <c r="H346" s="165"/>
      <c r="I346" s="165"/>
      <c r="J346" s="165"/>
      <c r="K346" s="165">
        <v>11340</v>
      </c>
      <c r="L346" s="165"/>
      <c r="M346" s="165"/>
      <c r="N346" s="165">
        <f t="shared" si="5"/>
        <v>0</v>
      </c>
      <c r="O346" s="165" t="s">
        <v>612</v>
      </c>
      <c r="P346" s="165" t="s">
        <v>2201</v>
      </c>
      <c r="Q346" s="3">
        <v>11340</v>
      </c>
      <c r="R346">
        <v>11340</v>
      </c>
    </row>
    <row r="347" spans="1:20">
      <c r="A347" s="165" t="s">
        <v>1471</v>
      </c>
      <c r="B347" s="165">
        <v>481</v>
      </c>
      <c r="C347" s="165" t="s">
        <v>2690</v>
      </c>
      <c r="D347" s="165">
        <v>7</v>
      </c>
      <c r="E347" s="165" t="s">
        <v>2202</v>
      </c>
      <c r="F347" s="165" t="s">
        <v>2203</v>
      </c>
      <c r="G347" s="165">
        <v>11340</v>
      </c>
      <c r="H347" s="165"/>
      <c r="I347" s="165"/>
      <c r="J347" s="165"/>
      <c r="K347" s="165">
        <v>11340</v>
      </c>
      <c r="L347" s="165"/>
      <c r="M347" s="165"/>
      <c r="N347" s="165">
        <f t="shared" si="5"/>
        <v>0</v>
      </c>
      <c r="O347" s="165" t="s">
        <v>619</v>
      </c>
      <c r="P347" s="165" t="s">
        <v>620</v>
      </c>
      <c r="Q347" s="3">
        <v>11340</v>
      </c>
      <c r="R347">
        <v>11340</v>
      </c>
    </row>
    <row r="348" spans="1:20">
      <c r="A348" s="165" t="s">
        <v>1471</v>
      </c>
      <c r="B348" s="165">
        <v>482</v>
      </c>
      <c r="C348" s="165" t="s">
        <v>2690</v>
      </c>
      <c r="D348" s="165">
        <v>8</v>
      </c>
      <c r="E348" s="165" t="s">
        <v>2204</v>
      </c>
      <c r="F348" s="165" t="s">
        <v>2205</v>
      </c>
      <c r="G348" s="165">
        <v>11340</v>
      </c>
      <c r="H348" s="165"/>
      <c r="I348" s="165"/>
      <c r="J348" s="165">
        <v>11340</v>
      </c>
      <c r="K348" s="165"/>
      <c r="L348" s="165"/>
      <c r="M348" s="165"/>
      <c r="N348" s="165">
        <f t="shared" ref="N348:N411" si="6">G348-J348-K348</f>
        <v>0</v>
      </c>
      <c r="O348" s="165" t="s">
        <v>625</v>
      </c>
      <c r="P348" s="165" t="s">
        <v>626</v>
      </c>
      <c r="Q348" s="3">
        <v>11340</v>
      </c>
      <c r="R348">
        <v>11340</v>
      </c>
    </row>
    <row r="349" spans="1:20">
      <c r="A349" s="209" t="s">
        <v>487</v>
      </c>
      <c r="B349" s="209"/>
      <c r="C349" s="205" t="s">
        <v>2421</v>
      </c>
      <c r="D349" s="226">
        <v>6</v>
      </c>
      <c r="E349" s="183" t="s">
        <v>1283</v>
      </c>
      <c r="F349" s="209" t="s">
        <v>487</v>
      </c>
      <c r="G349" s="165"/>
      <c r="H349" s="165"/>
      <c r="I349" s="165"/>
      <c r="J349" s="165"/>
      <c r="K349" s="165"/>
      <c r="L349" s="165"/>
      <c r="M349" s="165"/>
      <c r="N349" s="165">
        <f t="shared" si="6"/>
        <v>0</v>
      </c>
      <c r="O349" s="209" t="s">
        <v>487</v>
      </c>
      <c r="P349" s="209" t="s">
        <v>487</v>
      </c>
      <c r="Q349" s="178">
        <v>14175</v>
      </c>
      <c r="R349" s="178">
        <v>14165</v>
      </c>
      <c r="S349" s="178"/>
      <c r="T349" s="3">
        <v>10</v>
      </c>
    </row>
    <row r="350" spans="1:20">
      <c r="A350" s="165" t="s">
        <v>2071</v>
      </c>
      <c r="B350" s="165">
        <v>483</v>
      </c>
      <c r="C350" s="165" t="s">
        <v>2206</v>
      </c>
      <c r="D350" s="165">
        <v>1</v>
      </c>
      <c r="E350" s="165" t="s">
        <v>2207</v>
      </c>
      <c r="F350" s="165" t="s">
        <v>908</v>
      </c>
      <c r="G350" s="165">
        <v>14175</v>
      </c>
      <c r="H350" s="165"/>
      <c r="I350" s="165"/>
      <c r="J350" s="165"/>
      <c r="K350" s="165">
        <v>14175</v>
      </c>
      <c r="L350" s="165"/>
      <c r="M350" s="165"/>
      <c r="N350" s="165">
        <f t="shared" si="6"/>
        <v>0</v>
      </c>
      <c r="O350" s="165" t="s">
        <v>490</v>
      </c>
      <c r="P350" s="165" t="s">
        <v>491</v>
      </c>
      <c r="Q350" s="3">
        <v>14175</v>
      </c>
      <c r="R350">
        <v>14175</v>
      </c>
    </row>
    <row r="351" spans="1:20">
      <c r="A351" s="165" t="s">
        <v>2071</v>
      </c>
      <c r="B351" s="165">
        <v>484</v>
      </c>
      <c r="C351" s="165" t="s">
        <v>2206</v>
      </c>
      <c r="D351" s="165">
        <v>2</v>
      </c>
      <c r="E351" s="165" t="s">
        <v>2208</v>
      </c>
      <c r="F351" s="165" t="s">
        <v>2209</v>
      </c>
      <c r="G351" s="165">
        <v>14175</v>
      </c>
      <c r="H351" s="165"/>
      <c r="I351" s="165"/>
      <c r="J351" s="165"/>
      <c r="K351" s="165">
        <v>14175</v>
      </c>
      <c r="L351" s="165"/>
      <c r="M351" s="165"/>
      <c r="N351" s="165">
        <f t="shared" si="6"/>
        <v>0</v>
      </c>
      <c r="O351" s="165" t="s">
        <v>493</v>
      </c>
      <c r="P351" s="165" t="s">
        <v>911</v>
      </c>
      <c r="Q351" s="3">
        <v>14175</v>
      </c>
      <c r="R351">
        <v>14175</v>
      </c>
    </row>
    <row r="352" spans="1:20">
      <c r="A352" s="165" t="s">
        <v>2071</v>
      </c>
      <c r="B352" s="165">
        <v>485</v>
      </c>
      <c r="C352" s="165" t="s">
        <v>2206</v>
      </c>
      <c r="D352" s="165">
        <v>3</v>
      </c>
      <c r="E352" s="165" t="s">
        <v>2210</v>
      </c>
      <c r="F352" s="165" t="s">
        <v>459</v>
      </c>
      <c r="G352" s="165">
        <v>14175</v>
      </c>
      <c r="H352" s="165"/>
      <c r="I352" s="165"/>
      <c r="J352" s="165"/>
      <c r="K352" s="165">
        <v>14175</v>
      </c>
      <c r="L352" s="165"/>
      <c r="M352" s="165"/>
      <c r="N352" s="165">
        <f t="shared" si="6"/>
        <v>0</v>
      </c>
      <c r="O352" s="165" t="s">
        <v>460</v>
      </c>
      <c r="P352" s="165" t="s">
        <v>1465</v>
      </c>
      <c r="Q352" s="3">
        <v>14175</v>
      </c>
      <c r="R352">
        <v>14175</v>
      </c>
    </row>
    <row r="353" spans="1:21">
      <c r="A353" s="165" t="s">
        <v>2071</v>
      </c>
      <c r="B353" s="165">
        <v>486</v>
      </c>
      <c r="C353" s="165" t="s">
        <v>2206</v>
      </c>
      <c r="D353" s="165">
        <v>4</v>
      </c>
      <c r="E353" s="165" t="s">
        <v>2211</v>
      </c>
      <c r="F353" s="165" t="s">
        <v>445</v>
      </c>
      <c r="G353" s="165">
        <v>14175</v>
      </c>
      <c r="H353" s="165"/>
      <c r="I353" s="165"/>
      <c r="J353" s="165"/>
      <c r="K353" s="165">
        <v>14175</v>
      </c>
      <c r="L353" s="165"/>
      <c r="M353" s="165"/>
      <c r="N353" s="165">
        <f t="shared" si="6"/>
        <v>0</v>
      </c>
      <c r="O353" s="165" t="s">
        <v>508</v>
      </c>
      <c r="P353" s="165" t="s">
        <v>2107</v>
      </c>
      <c r="Q353" s="3">
        <v>14175</v>
      </c>
      <c r="R353">
        <v>14175</v>
      </c>
    </row>
    <row r="354" spans="1:21">
      <c r="A354" s="165" t="s">
        <v>2071</v>
      </c>
      <c r="B354" s="165">
        <v>487</v>
      </c>
      <c r="C354" s="165" t="s">
        <v>2206</v>
      </c>
      <c r="D354" s="165">
        <v>5</v>
      </c>
      <c r="E354" s="165" t="s">
        <v>2212</v>
      </c>
      <c r="F354" s="165" t="s">
        <v>2079</v>
      </c>
      <c r="G354" s="165">
        <v>14175</v>
      </c>
      <c r="H354" s="165"/>
      <c r="I354" s="165"/>
      <c r="J354" s="165"/>
      <c r="K354" s="165">
        <v>14175</v>
      </c>
      <c r="L354" s="165"/>
      <c r="M354" s="165"/>
      <c r="N354" s="165">
        <f t="shared" si="6"/>
        <v>0</v>
      </c>
      <c r="O354" s="165" t="s">
        <v>615</v>
      </c>
      <c r="P354" s="165" t="s">
        <v>616</v>
      </c>
      <c r="Q354" s="3">
        <v>14175</v>
      </c>
      <c r="R354">
        <v>14175</v>
      </c>
    </row>
    <row r="355" spans="1:21">
      <c r="A355" s="165" t="s">
        <v>2071</v>
      </c>
      <c r="B355" s="165">
        <v>488</v>
      </c>
      <c r="C355" s="165" t="s">
        <v>2206</v>
      </c>
      <c r="D355" s="165">
        <v>6</v>
      </c>
      <c r="E355" s="165" t="s">
        <v>2213</v>
      </c>
      <c r="F355" s="165" t="s">
        <v>2214</v>
      </c>
      <c r="G355" s="165">
        <v>14175</v>
      </c>
      <c r="H355" s="165"/>
      <c r="I355" s="165"/>
      <c r="J355" s="165"/>
      <c r="K355" s="165">
        <v>14175</v>
      </c>
      <c r="L355" s="165"/>
      <c r="M355" s="165"/>
      <c r="N355" s="165">
        <f t="shared" si="6"/>
        <v>0</v>
      </c>
      <c r="O355" s="165" t="s">
        <v>617</v>
      </c>
      <c r="P355" s="165" t="s">
        <v>618</v>
      </c>
      <c r="Q355" s="3">
        <v>14175</v>
      </c>
      <c r="R355">
        <v>14175</v>
      </c>
    </row>
    <row r="356" spans="1:21">
      <c r="A356" s="165" t="s">
        <v>2071</v>
      </c>
      <c r="B356" s="165">
        <v>489</v>
      </c>
      <c r="C356" s="165" t="s">
        <v>2206</v>
      </c>
      <c r="D356" s="165">
        <v>7</v>
      </c>
      <c r="E356" s="165" t="s">
        <v>2215</v>
      </c>
      <c r="F356" s="165" t="s">
        <v>2216</v>
      </c>
      <c r="G356" s="165">
        <v>14175</v>
      </c>
      <c r="H356" s="165"/>
      <c r="I356" s="165"/>
      <c r="J356" s="165"/>
      <c r="K356" s="165">
        <v>14175</v>
      </c>
      <c r="L356" s="165"/>
      <c r="M356" s="165"/>
      <c r="N356" s="165">
        <f t="shared" si="6"/>
        <v>0</v>
      </c>
      <c r="O356" s="165" t="s">
        <v>628</v>
      </c>
      <c r="P356" s="165" t="s">
        <v>629</v>
      </c>
      <c r="Q356" s="3">
        <v>14175</v>
      </c>
      <c r="R356">
        <v>14175</v>
      </c>
    </row>
    <row r="357" spans="1:21">
      <c r="A357" s="165" t="s">
        <v>2071</v>
      </c>
      <c r="B357" s="165">
        <v>490</v>
      </c>
      <c r="C357" s="165" t="s">
        <v>2206</v>
      </c>
      <c r="D357" s="165">
        <v>8</v>
      </c>
      <c r="E357" s="165" t="s">
        <v>2217</v>
      </c>
      <c r="F357" s="165" t="s">
        <v>2218</v>
      </c>
      <c r="G357" s="165">
        <v>14175</v>
      </c>
      <c r="H357" s="165"/>
      <c r="I357" s="165"/>
      <c r="J357" s="165">
        <v>14175</v>
      </c>
      <c r="K357" s="165"/>
      <c r="L357" s="165"/>
      <c r="M357" s="165"/>
      <c r="N357" s="165">
        <f t="shared" si="6"/>
        <v>0</v>
      </c>
      <c r="O357" s="165" t="s">
        <v>625</v>
      </c>
      <c r="P357" s="165" t="s">
        <v>626</v>
      </c>
      <c r="Q357" s="3">
        <v>14175</v>
      </c>
      <c r="R357">
        <v>14175</v>
      </c>
    </row>
    <row r="358" spans="1:21" s="95" customFormat="1">
      <c r="A358" s="182" t="s">
        <v>820</v>
      </c>
      <c r="B358" s="182"/>
      <c r="C358" s="210" t="s">
        <v>2060</v>
      </c>
      <c r="D358" s="226">
        <v>4</v>
      </c>
      <c r="E358" s="210" t="s">
        <v>1283</v>
      </c>
      <c r="F358" s="182" t="s">
        <v>820</v>
      </c>
      <c r="G358" s="179"/>
      <c r="H358" s="179"/>
      <c r="I358" s="179"/>
      <c r="J358" s="179"/>
      <c r="K358" s="179"/>
      <c r="L358" s="179"/>
      <c r="M358" s="179"/>
      <c r="N358" s="179">
        <f t="shared" si="6"/>
        <v>0</v>
      </c>
      <c r="O358" s="182" t="s">
        <v>820</v>
      </c>
      <c r="P358" s="182" t="s">
        <v>820</v>
      </c>
      <c r="Q358" s="182">
        <v>14175</v>
      </c>
      <c r="R358" s="182">
        <v>14145</v>
      </c>
      <c r="S358" s="182"/>
      <c r="T358" s="179">
        <v>30</v>
      </c>
      <c r="U358" s="210" t="s">
        <v>245</v>
      </c>
    </row>
    <row r="359" spans="1:21">
      <c r="A359" s="165" t="s">
        <v>2219</v>
      </c>
      <c r="B359" s="165">
        <v>491</v>
      </c>
      <c r="C359" s="165" t="s">
        <v>1264</v>
      </c>
      <c r="D359" s="165">
        <v>1</v>
      </c>
      <c r="E359" s="165" t="s">
        <v>2220</v>
      </c>
      <c r="F359" s="165" t="s">
        <v>1965</v>
      </c>
      <c r="G359" s="165">
        <v>11340</v>
      </c>
      <c r="H359" s="165"/>
      <c r="I359" s="165"/>
      <c r="J359" s="165"/>
      <c r="K359" s="165">
        <v>11340</v>
      </c>
      <c r="L359" s="165"/>
      <c r="M359" s="165"/>
      <c r="N359" s="165">
        <f t="shared" si="6"/>
        <v>0</v>
      </c>
      <c r="O359" s="165" t="s">
        <v>490</v>
      </c>
      <c r="P359" s="165" t="s">
        <v>1459</v>
      </c>
      <c r="Q359" s="3">
        <v>11340</v>
      </c>
      <c r="R359">
        <v>11340</v>
      </c>
    </row>
    <row r="360" spans="1:21">
      <c r="A360" s="165" t="s">
        <v>2219</v>
      </c>
      <c r="B360" s="165">
        <v>492</v>
      </c>
      <c r="C360" s="165" t="s">
        <v>1264</v>
      </c>
      <c r="D360" s="165">
        <v>2</v>
      </c>
      <c r="E360" s="165" t="s">
        <v>2221</v>
      </c>
      <c r="F360" s="165" t="s">
        <v>1871</v>
      </c>
      <c r="G360" s="165">
        <v>11340</v>
      </c>
      <c r="H360" s="165"/>
      <c r="I360" s="165"/>
      <c r="J360" s="165"/>
      <c r="K360" s="165">
        <v>11340</v>
      </c>
      <c r="L360" s="165"/>
      <c r="M360" s="165"/>
      <c r="N360" s="165">
        <f t="shared" si="6"/>
        <v>0</v>
      </c>
      <c r="O360" s="165" t="s">
        <v>490</v>
      </c>
      <c r="P360" s="165" t="s">
        <v>1459</v>
      </c>
      <c r="Q360" s="3">
        <v>11340</v>
      </c>
      <c r="R360">
        <v>11340</v>
      </c>
    </row>
    <row r="361" spans="1:21">
      <c r="A361" s="165" t="s">
        <v>2219</v>
      </c>
      <c r="B361" s="165">
        <v>493</v>
      </c>
      <c r="C361" s="165" t="s">
        <v>1264</v>
      </c>
      <c r="D361" s="165">
        <v>3</v>
      </c>
      <c r="E361" s="165" t="s">
        <v>2222</v>
      </c>
      <c r="F361" s="165" t="s">
        <v>1873</v>
      </c>
      <c r="G361" s="165">
        <v>11340</v>
      </c>
      <c r="H361" s="165"/>
      <c r="I361" s="165"/>
      <c r="J361" s="165"/>
      <c r="K361" s="165">
        <v>11340</v>
      </c>
      <c r="L361" s="165"/>
      <c r="M361" s="165"/>
      <c r="N361" s="165">
        <f t="shared" si="6"/>
        <v>0</v>
      </c>
      <c r="O361" s="165" t="s">
        <v>1461</v>
      </c>
      <c r="P361" s="165" t="s">
        <v>1462</v>
      </c>
      <c r="Q361" s="3">
        <v>11340</v>
      </c>
      <c r="R361">
        <v>11340</v>
      </c>
    </row>
    <row r="362" spans="1:21">
      <c r="A362" s="165" t="s">
        <v>2219</v>
      </c>
      <c r="B362" s="165">
        <v>494</v>
      </c>
      <c r="C362" s="165" t="s">
        <v>1264</v>
      </c>
      <c r="D362" s="165">
        <v>4</v>
      </c>
      <c r="E362" s="165" t="s">
        <v>2223</v>
      </c>
      <c r="F362" s="165" t="s">
        <v>2049</v>
      </c>
      <c r="G362" s="165">
        <v>11340</v>
      </c>
      <c r="H362" s="165"/>
      <c r="I362" s="165"/>
      <c r="J362" s="165"/>
      <c r="K362" s="165">
        <v>11340</v>
      </c>
      <c r="L362" s="165"/>
      <c r="M362" s="165"/>
      <c r="N362" s="165">
        <f t="shared" si="6"/>
        <v>0</v>
      </c>
      <c r="O362" s="165" t="s">
        <v>504</v>
      </c>
      <c r="P362" s="165" t="s">
        <v>2499</v>
      </c>
      <c r="Q362" s="3">
        <v>11340</v>
      </c>
      <c r="R362">
        <v>11340</v>
      </c>
    </row>
    <row r="363" spans="1:21">
      <c r="A363" s="165" t="s">
        <v>2224</v>
      </c>
      <c r="B363" s="165">
        <v>495</v>
      </c>
      <c r="C363" s="165" t="s">
        <v>1301</v>
      </c>
      <c r="D363" s="165">
        <v>1</v>
      </c>
      <c r="E363" s="165" t="s">
        <v>2225</v>
      </c>
      <c r="F363" s="165" t="s">
        <v>514</v>
      </c>
      <c r="G363" s="165">
        <v>14175</v>
      </c>
      <c r="H363" s="165"/>
      <c r="I363" s="165"/>
      <c r="J363" s="165"/>
      <c r="K363" s="165">
        <v>14175</v>
      </c>
      <c r="L363" s="165"/>
      <c r="M363" s="165"/>
      <c r="N363" s="165">
        <f t="shared" si="6"/>
        <v>0</v>
      </c>
      <c r="O363" s="165" t="s">
        <v>490</v>
      </c>
      <c r="P363" s="165" t="s">
        <v>491</v>
      </c>
      <c r="Q363" s="3">
        <v>14175</v>
      </c>
      <c r="R363">
        <v>14175</v>
      </c>
    </row>
    <row r="364" spans="1:21">
      <c r="A364" s="165" t="s">
        <v>2224</v>
      </c>
      <c r="B364" s="165">
        <v>496</v>
      </c>
      <c r="C364" s="165" t="s">
        <v>1301</v>
      </c>
      <c r="D364" s="165">
        <v>2</v>
      </c>
      <c r="E364" s="165" t="s">
        <v>2226</v>
      </c>
      <c r="F364" s="165" t="s">
        <v>515</v>
      </c>
      <c r="G364" s="165">
        <v>14175</v>
      </c>
      <c r="H364" s="165"/>
      <c r="I364" s="165"/>
      <c r="J364" s="165"/>
      <c r="K364" s="165">
        <v>14175</v>
      </c>
      <c r="L364" s="165"/>
      <c r="M364" s="165"/>
      <c r="N364" s="165">
        <f t="shared" si="6"/>
        <v>0</v>
      </c>
      <c r="O364" s="165" t="s">
        <v>493</v>
      </c>
      <c r="P364" s="165" t="s">
        <v>911</v>
      </c>
      <c r="Q364" s="3">
        <v>14175</v>
      </c>
      <c r="R364">
        <v>14175</v>
      </c>
    </row>
    <row r="365" spans="1:21">
      <c r="A365" s="165" t="s">
        <v>2224</v>
      </c>
      <c r="B365" s="165">
        <v>497</v>
      </c>
      <c r="C365" s="165" t="s">
        <v>1301</v>
      </c>
      <c r="D365" s="165">
        <v>3</v>
      </c>
      <c r="E365" s="165" t="s">
        <v>2227</v>
      </c>
      <c r="F365" s="165" t="s">
        <v>460</v>
      </c>
      <c r="G365" s="165">
        <v>14175</v>
      </c>
      <c r="H365" s="165"/>
      <c r="I365" s="165"/>
      <c r="J365" s="165"/>
      <c r="K365" s="165">
        <v>14175</v>
      </c>
      <c r="L365" s="165"/>
      <c r="M365" s="165"/>
      <c r="N365" s="165">
        <f t="shared" si="6"/>
        <v>0</v>
      </c>
      <c r="O365" s="165" t="s">
        <v>460</v>
      </c>
      <c r="P365" s="165" t="s">
        <v>1465</v>
      </c>
      <c r="Q365" s="3">
        <v>14175</v>
      </c>
      <c r="R365">
        <v>14175</v>
      </c>
    </row>
    <row r="366" spans="1:21">
      <c r="A366" s="165" t="s">
        <v>2224</v>
      </c>
      <c r="B366" s="165">
        <v>498</v>
      </c>
      <c r="C366" s="165" t="s">
        <v>1301</v>
      </c>
      <c r="D366" s="165">
        <v>4</v>
      </c>
      <c r="E366" s="165" t="s">
        <v>2228</v>
      </c>
      <c r="F366" s="165" t="s">
        <v>2229</v>
      </c>
      <c r="G366" s="165">
        <v>14175</v>
      </c>
      <c r="H366" s="165"/>
      <c r="I366" s="165"/>
      <c r="J366" s="165"/>
      <c r="K366" s="165">
        <v>14175</v>
      </c>
      <c r="L366" s="165"/>
      <c r="M366" s="165"/>
      <c r="N366" s="165">
        <f t="shared" si="6"/>
        <v>0</v>
      </c>
      <c r="O366" s="165" t="s">
        <v>472</v>
      </c>
      <c r="P366" s="165" t="s">
        <v>2230</v>
      </c>
      <c r="Q366" s="3">
        <v>14175</v>
      </c>
      <c r="R366">
        <v>14175</v>
      </c>
    </row>
    <row r="367" spans="1:21">
      <c r="A367" s="165" t="s">
        <v>2224</v>
      </c>
      <c r="B367" s="165">
        <v>499</v>
      </c>
      <c r="C367" s="165" t="s">
        <v>1301</v>
      </c>
      <c r="D367" s="165">
        <v>5</v>
      </c>
      <c r="E367" s="165" t="s">
        <v>2231</v>
      </c>
      <c r="F367" s="165" t="s">
        <v>2232</v>
      </c>
      <c r="G367" s="165">
        <v>14175</v>
      </c>
      <c r="H367" s="165"/>
      <c r="I367" s="165"/>
      <c r="J367" s="165"/>
      <c r="K367" s="165">
        <v>14175</v>
      </c>
      <c r="L367" s="165"/>
      <c r="M367" s="165"/>
      <c r="N367" s="165">
        <f t="shared" si="6"/>
        <v>0</v>
      </c>
      <c r="O367" s="165" t="s">
        <v>2162</v>
      </c>
      <c r="P367" s="165" t="s">
        <v>1024</v>
      </c>
      <c r="Q367" s="3">
        <v>14175</v>
      </c>
      <c r="R367">
        <v>14175</v>
      </c>
    </row>
    <row r="368" spans="1:21">
      <c r="A368" s="165" t="s">
        <v>2224</v>
      </c>
      <c r="B368" s="165">
        <v>500</v>
      </c>
      <c r="C368" s="165" t="s">
        <v>1301</v>
      </c>
      <c r="D368" s="165">
        <v>6</v>
      </c>
      <c r="E368" s="165" t="s">
        <v>2233</v>
      </c>
      <c r="F368" s="165" t="s">
        <v>2234</v>
      </c>
      <c r="G368" s="165">
        <v>14175</v>
      </c>
      <c r="H368" s="165"/>
      <c r="I368" s="165"/>
      <c r="J368" s="165"/>
      <c r="K368" s="165">
        <v>14175</v>
      </c>
      <c r="L368" s="165"/>
      <c r="M368" s="165"/>
      <c r="N368" s="165">
        <f t="shared" si="6"/>
        <v>0</v>
      </c>
      <c r="O368" s="165" t="s">
        <v>2164</v>
      </c>
      <c r="P368" s="165" t="s">
        <v>1025</v>
      </c>
      <c r="Q368" s="3">
        <v>14175</v>
      </c>
      <c r="R368">
        <v>14175</v>
      </c>
    </row>
    <row r="369" spans="1:20">
      <c r="A369" s="165" t="s">
        <v>2224</v>
      </c>
      <c r="B369" s="165">
        <v>501</v>
      </c>
      <c r="C369" s="165" t="s">
        <v>1301</v>
      </c>
      <c r="D369" s="165">
        <v>7</v>
      </c>
      <c r="E369" s="165" t="s">
        <v>2235</v>
      </c>
      <c r="F369" s="165" t="s">
        <v>2236</v>
      </c>
      <c r="G369" s="165">
        <v>14175</v>
      </c>
      <c r="H369" s="165"/>
      <c r="I369" s="165"/>
      <c r="J369" s="165"/>
      <c r="K369" s="165">
        <v>14175</v>
      </c>
      <c r="L369" s="165"/>
      <c r="M369" s="165"/>
      <c r="N369" s="165">
        <f t="shared" si="6"/>
        <v>0</v>
      </c>
      <c r="O369" s="165" t="s">
        <v>628</v>
      </c>
      <c r="P369" s="165" t="s">
        <v>629</v>
      </c>
      <c r="Q369" s="3">
        <v>14175</v>
      </c>
      <c r="R369">
        <v>14175</v>
      </c>
    </row>
    <row r="370" spans="1:20">
      <c r="A370" s="165" t="s">
        <v>2224</v>
      </c>
      <c r="B370" s="165">
        <v>502</v>
      </c>
      <c r="C370" s="165" t="s">
        <v>1301</v>
      </c>
      <c r="D370" s="165">
        <v>8</v>
      </c>
      <c r="E370" s="165" t="s">
        <v>2237</v>
      </c>
      <c r="F370" s="165" t="s">
        <v>2238</v>
      </c>
      <c r="G370" s="165">
        <v>14175</v>
      </c>
      <c r="H370" s="165"/>
      <c r="I370" s="165"/>
      <c r="J370" s="165">
        <v>14175</v>
      </c>
      <c r="K370" s="165"/>
      <c r="L370" s="165"/>
      <c r="M370" s="165"/>
      <c r="N370" s="165">
        <f t="shared" si="6"/>
        <v>0</v>
      </c>
      <c r="O370" s="165" t="s">
        <v>3159</v>
      </c>
      <c r="P370" s="165" t="s">
        <v>3160</v>
      </c>
      <c r="Q370" s="3">
        <v>14175</v>
      </c>
      <c r="R370">
        <v>14175</v>
      </c>
    </row>
    <row r="371" spans="1:20">
      <c r="A371" s="209" t="s">
        <v>2239</v>
      </c>
      <c r="B371" s="209"/>
      <c r="C371" s="205" t="s">
        <v>1532</v>
      </c>
      <c r="D371" s="226">
        <v>7</v>
      </c>
      <c r="E371" s="183" t="s">
        <v>1283</v>
      </c>
      <c r="F371" s="209" t="s">
        <v>2239</v>
      </c>
      <c r="G371" s="165"/>
      <c r="H371" s="165"/>
      <c r="I371" s="165"/>
      <c r="J371" s="165"/>
      <c r="K371" s="165"/>
      <c r="L371" s="165"/>
      <c r="M371" s="165"/>
      <c r="N371" s="165">
        <f t="shared" si="6"/>
        <v>0</v>
      </c>
      <c r="O371" s="209" t="s">
        <v>2239</v>
      </c>
      <c r="P371" s="209" t="s">
        <v>2239</v>
      </c>
      <c r="Q371" s="178">
        <v>13500</v>
      </c>
      <c r="R371" s="178">
        <v>13485</v>
      </c>
      <c r="S371" s="178"/>
      <c r="T371" s="3">
        <v>15</v>
      </c>
    </row>
    <row r="372" spans="1:20">
      <c r="A372" s="165" t="s">
        <v>2240</v>
      </c>
      <c r="B372" s="165">
        <v>503</v>
      </c>
      <c r="C372" s="165" t="s">
        <v>1781</v>
      </c>
      <c r="D372" s="165">
        <v>1</v>
      </c>
      <c r="E372" s="165" t="s">
        <v>2241</v>
      </c>
      <c r="F372" s="165" t="s">
        <v>2240</v>
      </c>
      <c r="G372" s="165">
        <v>14175</v>
      </c>
      <c r="H372" s="165"/>
      <c r="I372" s="165"/>
      <c r="J372" s="165"/>
      <c r="K372" s="165">
        <v>14175</v>
      </c>
      <c r="L372" s="165"/>
      <c r="M372" s="165"/>
      <c r="N372" s="165">
        <f t="shared" si="6"/>
        <v>0</v>
      </c>
      <c r="O372" s="165" t="s">
        <v>490</v>
      </c>
      <c r="P372" s="165" t="s">
        <v>491</v>
      </c>
      <c r="Q372" s="3">
        <v>14175</v>
      </c>
      <c r="R372">
        <v>14175</v>
      </c>
    </row>
    <row r="373" spans="1:20">
      <c r="A373" s="165" t="s">
        <v>2240</v>
      </c>
      <c r="B373" s="165">
        <v>504</v>
      </c>
      <c r="C373" s="165" t="s">
        <v>1781</v>
      </c>
      <c r="D373" s="165">
        <v>2</v>
      </c>
      <c r="E373" s="165" t="s">
        <v>2242</v>
      </c>
      <c r="F373" s="165" t="s">
        <v>913</v>
      </c>
      <c r="G373" s="165">
        <v>14175</v>
      </c>
      <c r="H373" s="165"/>
      <c r="I373" s="165"/>
      <c r="J373" s="165"/>
      <c r="K373" s="165">
        <v>14175</v>
      </c>
      <c r="L373" s="165"/>
      <c r="M373" s="165"/>
      <c r="N373" s="165">
        <f t="shared" si="6"/>
        <v>0</v>
      </c>
      <c r="O373" s="165" t="s">
        <v>1461</v>
      </c>
      <c r="P373" s="165" t="s">
        <v>492</v>
      </c>
      <c r="Q373" s="3">
        <v>14175</v>
      </c>
      <c r="R373">
        <v>14175</v>
      </c>
    </row>
    <row r="374" spans="1:20">
      <c r="A374" s="165" t="s">
        <v>2240</v>
      </c>
      <c r="B374" s="165">
        <v>505</v>
      </c>
      <c r="C374" s="165" t="s">
        <v>1781</v>
      </c>
      <c r="D374" s="165">
        <v>3</v>
      </c>
      <c r="E374" s="165" t="s">
        <v>2243</v>
      </c>
      <c r="F374" s="165" t="s">
        <v>1470</v>
      </c>
      <c r="G374" s="165">
        <v>14175</v>
      </c>
      <c r="H374" s="165"/>
      <c r="I374" s="165"/>
      <c r="J374" s="165"/>
      <c r="K374" s="165">
        <v>14175</v>
      </c>
      <c r="L374" s="165"/>
      <c r="M374" s="165"/>
      <c r="N374" s="165">
        <f t="shared" si="6"/>
        <v>0</v>
      </c>
      <c r="O374" s="165" t="s">
        <v>500</v>
      </c>
      <c r="P374" s="165" t="s">
        <v>500</v>
      </c>
      <c r="Q374" s="3">
        <v>14175</v>
      </c>
      <c r="R374">
        <v>14175</v>
      </c>
    </row>
    <row r="375" spans="1:20">
      <c r="A375" s="165" t="s">
        <v>2240</v>
      </c>
      <c r="B375" s="165">
        <v>506</v>
      </c>
      <c r="C375" s="165" t="s">
        <v>1781</v>
      </c>
      <c r="D375" s="165">
        <v>4</v>
      </c>
      <c r="E375" s="165" t="s">
        <v>2244</v>
      </c>
      <c r="F375" s="165" t="s">
        <v>2245</v>
      </c>
      <c r="G375" s="165">
        <v>14175</v>
      </c>
      <c r="H375" s="165"/>
      <c r="I375" s="165"/>
      <c r="J375" s="165"/>
      <c r="K375" s="165">
        <v>14175</v>
      </c>
      <c r="L375" s="165"/>
      <c r="M375" s="165"/>
      <c r="N375" s="165">
        <f t="shared" si="6"/>
        <v>0</v>
      </c>
      <c r="O375" s="165" t="s">
        <v>501</v>
      </c>
      <c r="P375" s="165" t="s">
        <v>2160</v>
      </c>
      <c r="Q375" s="3">
        <v>14175</v>
      </c>
      <c r="R375">
        <v>14175</v>
      </c>
    </row>
    <row r="376" spans="1:20">
      <c r="A376" s="165" t="s">
        <v>2240</v>
      </c>
      <c r="B376" s="165">
        <v>507</v>
      </c>
      <c r="C376" s="165" t="s">
        <v>1781</v>
      </c>
      <c r="D376" s="165">
        <v>5</v>
      </c>
      <c r="E376" s="165" t="s">
        <v>2246</v>
      </c>
      <c r="F376" s="165" t="s">
        <v>2247</v>
      </c>
      <c r="G376" s="165">
        <v>14175</v>
      </c>
      <c r="H376" s="165"/>
      <c r="I376" s="165"/>
      <c r="J376" s="165"/>
      <c r="K376" s="165">
        <v>14175</v>
      </c>
      <c r="L376" s="165"/>
      <c r="M376" s="165"/>
      <c r="N376" s="165">
        <f t="shared" si="6"/>
        <v>0</v>
      </c>
      <c r="O376" s="165" t="s">
        <v>2162</v>
      </c>
      <c r="P376" s="165" t="s">
        <v>1024</v>
      </c>
      <c r="Q376" s="3">
        <v>14175</v>
      </c>
      <c r="R376">
        <v>14175</v>
      </c>
    </row>
    <row r="377" spans="1:20">
      <c r="A377" s="165" t="s">
        <v>2240</v>
      </c>
      <c r="B377" s="165">
        <v>508</v>
      </c>
      <c r="C377" s="165" t="s">
        <v>1781</v>
      </c>
      <c r="D377" s="165">
        <v>6</v>
      </c>
      <c r="E377" s="165" t="s">
        <v>2248</v>
      </c>
      <c r="F377" s="165" t="s">
        <v>2249</v>
      </c>
      <c r="G377" s="165">
        <v>14175</v>
      </c>
      <c r="H377" s="165"/>
      <c r="I377" s="165"/>
      <c r="J377" s="165"/>
      <c r="K377" s="165">
        <v>14175</v>
      </c>
      <c r="L377" s="165"/>
      <c r="M377" s="165"/>
      <c r="N377" s="165">
        <f t="shared" si="6"/>
        <v>0</v>
      </c>
      <c r="O377" s="165" t="s">
        <v>2164</v>
      </c>
      <c r="P377" s="165" t="s">
        <v>1025</v>
      </c>
      <c r="Q377" s="3">
        <v>14175</v>
      </c>
      <c r="R377">
        <v>14175</v>
      </c>
    </row>
    <row r="378" spans="1:20">
      <c r="A378" s="165" t="s">
        <v>2240</v>
      </c>
      <c r="B378" s="165">
        <v>509</v>
      </c>
      <c r="C378" s="165" t="s">
        <v>1781</v>
      </c>
      <c r="D378" s="165">
        <v>7</v>
      </c>
      <c r="E378" s="165" t="s">
        <v>2250</v>
      </c>
      <c r="F378" s="165" t="s">
        <v>2251</v>
      </c>
      <c r="G378" s="165">
        <v>14175</v>
      </c>
      <c r="H378" s="165"/>
      <c r="I378" s="165"/>
      <c r="J378" s="165"/>
      <c r="K378" s="165">
        <v>14175</v>
      </c>
      <c r="L378" s="165"/>
      <c r="M378" s="165"/>
      <c r="N378" s="165">
        <f t="shared" si="6"/>
        <v>0</v>
      </c>
      <c r="O378" s="165" t="s">
        <v>628</v>
      </c>
      <c r="P378" s="165" t="s">
        <v>629</v>
      </c>
      <c r="Q378" s="3">
        <v>14175</v>
      </c>
      <c r="R378">
        <v>14175</v>
      </c>
    </row>
    <row r="379" spans="1:20">
      <c r="A379" s="165" t="s">
        <v>2240</v>
      </c>
      <c r="B379" s="165">
        <v>510</v>
      </c>
      <c r="C379" s="165" t="s">
        <v>1781</v>
      </c>
      <c r="D379" s="165">
        <v>8</v>
      </c>
      <c r="E379" s="165" t="s">
        <v>630</v>
      </c>
      <c r="F379" s="165" t="s">
        <v>2252</v>
      </c>
      <c r="G379" s="165">
        <v>14175</v>
      </c>
      <c r="H379" s="165"/>
      <c r="I379" s="165"/>
      <c r="J379" s="165">
        <v>14175</v>
      </c>
      <c r="K379" s="165"/>
      <c r="L379" s="165"/>
      <c r="M379" s="165"/>
      <c r="N379" s="165">
        <f t="shared" si="6"/>
        <v>0</v>
      </c>
      <c r="O379" s="165" t="s">
        <v>3159</v>
      </c>
      <c r="P379" s="165" t="s">
        <v>3160</v>
      </c>
      <c r="Q379" s="3">
        <v>14175</v>
      </c>
      <c r="R379">
        <v>14175</v>
      </c>
    </row>
    <row r="380" spans="1:20">
      <c r="A380" s="178" t="s">
        <v>910</v>
      </c>
      <c r="B380" s="165">
        <v>511</v>
      </c>
      <c r="C380" s="178" t="s">
        <v>1232</v>
      </c>
      <c r="D380" s="178">
        <v>5</v>
      </c>
      <c r="E380" s="178" t="s">
        <v>2253</v>
      </c>
      <c r="F380" s="178" t="s">
        <v>910</v>
      </c>
      <c r="G380" s="178">
        <v>16380</v>
      </c>
      <c r="H380" s="178"/>
      <c r="I380" s="178"/>
      <c r="J380" s="165"/>
      <c r="K380" s="165">
        <v>16380</v>
      </c>
      <c r="L380" s="165"/>
      <c r="M380" s="165"/>
      <c r="N380" s="165">
        <f t="shared" si="6"/>
        <v>0</v>
      </c>
      <c r="O380" s="165" t="s">
        <v>490</v>
      </c>
      <c r="P380" s="165" t="s">
        <v>491</v>
      </c>
      <c r="Q380" s="3">
        <v>16380</v>
      </c>
      <c r="R380">
        <v>16380</v>
      </c>
    </row>
    <row r="381" spans="1:20">
      <c r="A381" s="165" t="s">
        <v>488</v>
      </c>
      <c r="B381" s="165">
        <v>512</v>
      </c>
      <c r="C381" s="165" t="s">
        <v>2254</v>
      </c>
      <c r="D381" s="165">
        <v>1</v>
      </c>
      <c r="E381" s="165" t="s">
        <v>2255</v>
      </c>
      <c r="F381" s="165" t="s">
        <v>490</v>
      </c>
      <c r="G381" s="165">
        <v>12600</v>
      </c>
      <c r="H381" s="165"/>
      <c r="I381" s="165"/>
      <c r="J381" s="165"/>
      <c r="K381" s="165">
        <v>12600</v>
      </c>
      <c r="L381" s="165"/>
      <c r="M381" s="165"/>
      <c r="N381" s="165">
        <f t="shared" si="6"/>
        <v>0</v>
      </c>
      <c r="O381" s="165" t="s">
        <v>490</v>
      </c>
      <c r="P381" s="165" t="s">
        <v>491</v>
      </c>
      <c r="Q381" s="3">
        <v>12600</v>
      </c>
      <c r="R381">
        <v>12600</v>
      </c>
    </row>
    <row r="382" spans="1:20">
      <c r="A382" s="165" t="s">
        <v>488</v>
      </c>
      <c r="B382" s="165">
        <v>513</v>
      </c>
      <c r="C382" s="165" t="s">
        <v>2254</v>
      </c>
      <c r="D382" s="165">
        <v>2</v>
      </c>
      <c r="E382" s="165" t="s">
        <v>2256</v>
      </c>
      <c r="F382" s="165" t="s">
        <v>2257</v>
      </c>
      <c r="G382" s="165">
        <v>12600</v>
      </c>
      <c r="H382" s="165"/>
      <c r="I382" s="165"/>
      <c r="J382" s="165"/>
      <c r="K382" s="165">
        <v>12600</v>
      </c>
      <c r="L382" s="165"/>
      <c r="M382" s="165"/>
      <c r="N382" s="165">
        <f t="shared" si="6"/>
        <v>0</v>
      </c>
      <c r="O382" s="165" t="s">
        <v>1461</v>
      </c>
      <c r="P382" s="165" t="s">
        <v>492</v>
      </c>
      <c r="Q382" s="3">
        <v>12600</v>
      </c>
      <c r="R382">
        <v>12600</v>
      </c>
    </row>
    <row r="383" spans="1:20">
      <c r="A383" s="165" t="s">
        <v>488</v>
      </c>
      <c r="B383" s="165">
        <v>514</v>
      </c>
      <c r="C383" s="165" t="s">
        <v>2254</v>
      </c>
      <c r="D383" s="165">
        <v>3</v>
      </c>
      <c r="E383" s="165" t="s">
        <v>2258</v>
      </c>
      <c r="F383" s="165" t="s">
        <v>2259</v>
      </c>
      <c r="G383" s="165">
        <v>12600</v>
      </c>
      <c r="H383" s="165"/>
      <c r="I383" s="165"/>
      <c r="J383" s="165"/>
      <c r="K383" s="165">
        <v>12600</v>
      </c>
      <c r="L383" s="165"/>
      <c r="M383" s="165"/>
      <c r="N383" s="165">
        <f t="shared" si="6"/>
        <v>0</v>
      </c>
      <c r="O383" s="165" t="s">
        <v>504</v>
      </c>
      <c r="P383" s="165" t="s">
        <v>505</v>
      </c>
      <c r="Q383" s="3">
        <v>12600</v>
      </c>
      <c r="R383">
        <v>12600</v>
      </c>
    </row>
    <row r="384" spans="1:20">
      <c r="A384" s="165" t="s">
        <v>488</v>
      </c>
      <c r="B384" s="165">
        <v>515</v>
      </c>
      <c r="C384" s="165" t="s">
        <v>2254</v>
      </c>
      <c r="D384" s="165">
        <v>4</v>
      </c>
      <c r="E384" s="165" t="s">
        <v>2260</v>
      </c>
      <c r="F384" s="165" t="s">
        <v>2261</v>
      </c>
      <c r="G384" s="165">
        <v>12600</v>
      </c>
      <c r="H384" s="165"/>
      <c r="I384" s="165"/>
      <c r="J384" s="165"/>
      <c r="K384" s="165">
        <v>12600</v>
      </c>
      <c r="L384" s="165"/>
      <c r="M384" s="165"/>
      <c r="N384" s="165">
        <f t="shared" si="6"/>
        <v>0</v>
      </c>
      <c r="O384" s="209" t="s">
        <v>610</v>
      </c>
      <c r="P384" s="165" t="s">
        <v>611</v>
      </c>
      <c r="Q384" s="3">
        <v>12600</v>
      </c>
      <c r="R384">
        <v>12600</v>
      </c>
    </row>
    <row r="385" spans="1:18">
      <c r="A385" s="165" t="s">
        <v>488</v>
      </c>
      <c r="B385" s="165">
        <v>516</v>
      </c>
      <c r="C385" s="165" t="s">
        <v>2254</v>
      </c>
      <c r="D385" s="165">
        <v>5</v>
      </c>
      <c r="E385" s="165" t="s">
        <v>2262</v>
      </c>
      <c r="F385" s="165" t="s">
        <v>2263</v>
      </c>
      <c r="G385" s="165">
        <v>12600</v>
      </c>
      <c r="H385" s="165"/>
      <c r="I385" s="165"/>
      <c r="J385" s="165"/>
      <c r="K385" s="165">
        <v>12600</v>
      </c>
      <c r="L385" s="165"/>
      <c r="M385" s="165"/>
      <c r="N385" s="165">
        <f t="shared" si="6"/>
        <v>0</v>
      </c>
      <c r="O385" s="165" t="s">
        <v>627</v>
      </c>
      <c r="P385" s="165" t="s">
        <v>827</v>
      </c>
      <c r="Q385" s="3">
        <v>12600</v>
      </c>
      <c r="R385">
        <v>12600</v>
      </c>
    </row>
    <row r="386" spans="1:18">
      <c r="A386" s="165" t="s">
        <v>488</v>
      </c>
      <c r="B386" s="165">
        <v>517</v>
      </c>
      <c r="C386" s="165" t="s">
        <v>2254</v>
      </c>
      <c r="D386" s="165">
        <v>6</v>
      </c>
      <c r="E386" s="165" t="s">
        <v>2264</v>
      </c>
      <c r="F386" s="165" t="s">
        <v>2265</v>
      </c>
      <c r="G386" s="165">
        <v>12600</v>
      </c>
      <c r="H386" s="165"/>
      <c r="I386" s="165"/>
      <c r="J386" s="165"/>
      <c r="K386" s="165">
        <v>12600</v>
      </c>
      <c r="L386" s="165"/>
      <c r="M386" s="165"/>
      <c r="N386" s="165">
        <f t="shared" si="6"/>
        <v>0</v>
      </c>
      <c r="O386" s="165" t="s">
        <v>613</v>
      </c>
      <c r="P386" s="165" t="s">
        <v>614</v>
      </c>
      <c r="Q386" s="3">
        <v>12600</v>
      </c>
      <c r="R386">
        <v>12600</v>
      </c>
    </row>
    <row r="387" spans="1:18">
      <c r="A387" s="165" t="s">
        <v>488</v>
      </c>
      <c r="B387" s="165">
        <v>518</v>
      </c>
      <c r="C387" s="165" t="s">
        <v>2254</v>
      </c>
      <c r="D387" s="165">
        <v>7</v>
      </c>
      <c r="E387" s="165" t="s">
        <v>2266</v>
      </c>
      <c r="F387" s="165" t="s">
        <v>2267</v>
      </c>
      <c r="G387" s="165">
        <v>12600</v>
      </c>
      <c r="H387" s="165"/>
      <c r="I387" s="165"/>
      <c r="J387" s="165">
        <v>12600</v>
      </c>
      <c r="K387" s="165"/>
      <c r="L387" s="165"/>
      <c r="M387" s="165"/>
      <c r="N387" s="165">
        <f t="shared" si="6"/>
        <v>0</v>
      </c>
      <c r="O387" s="165" t="s">
        <v>621</v>
      </c>
      <c r="P387" s="165" t="s">
        <v>622</v>
      </c>
      <c r="Q387" s="3">
        <v>12600</v>
      </c>
      <c r="R387">
        <v>12600</v>
      </c>
    </row>
    <row r="388" spans="1:18">
      <c r="A388" s="165" t="s">
        <v>488</v>
      </c>
      <c r="B388" s="165">
        <v>519</v>
      </c>
      <c r="C388" s="165" t="s">
        <v>2254</v>
      </c>
      <c r="D388" s="165">
        <v>8</v>
      </c>
      <c r="E388" s="165" t="s">
        <v>2268</v>
      </c>
      <c r="F388" s="165" t="s">
        <v>2269</v>
      </c>
      <c r="G388" s="165">
        <v>12600</v>
      </c>
      <c r="H388" s="165"/>
      <c r="I388" s="165"/>
      <c r="J388" s="165">
        <v>12600</v>
      </c>
      <c r="K388" s="165"/>
      <c r="L388" s="165"/>
      <c r="M388" s="165"/>
      <c r="N388" s="165">
        <f t="shared" si="6"/>
        <v>0</v>
      </c>
      <c r="O388" s="165" t="s">
        <v>3161</v>
      </c>
      <c r="P388" s="165" t="s">
        <v>3162</v>
      </c>
      <c r="Q388" s="3">
        <v>12600</v>
      </c>
      <c r="R388">
        <v>12600</v>
      </c>
    </row>
    <row r="389" spans="1:18">
      <c r="A389" s="165" t="s">
        <v>488</v>
      </c>
      <c r="B389" s="165">
        <v>520</v>
      </c>
      <c r="C389" s="165" t="s">
        <v>2270</v>
      </c>
      <c r="D389" s="165">
        <v>1</v>
      </c>
      <c r="E389" s="165" t="s">
        <v>2271</v>
      </c>
      <c r="F389" s="165" t="s">
        <v>490</v>
      </c>
      <c r="G389" s="165">
        <v>18900</v>
      </c>
      <c r="H389" s="165"/>
      <c r="I389" s="165"/>
      <c r="J389" s="165"/>
      <c r="K389" s="165">
        <v>18900</v>
      </c>
      <c r="L389" s="165"/>
      <c r="M389" s="165"/>
      <c r="N389" s="165">
        <f t="shared" si="6"/>
        <v>0</v>
      </c>
      <c r="O389" s="165" t="s">
        <v>490</v>
      </c>
      <c r="P389" s="165" t="s">
        <v>491</v>
      </c>
      <c r="Q389" s="3">
        <v>18900</v>
      </c>
      <c r="R389">
        <v>18900</v>
      </c>
    </row>
    <row r="390" spans="1:18">
      <c r="A390" s="165" t="s">
        <v>488</v>
      </c>
      <c r="B390" s="165">
        <v>521</v>
      </c>
      <c r="C390" s="165" t="s">
        <v>2270</v>
      </c>
      <c r="D390" s="165">
        <v>2</v>
      </c>
      <c r="E390" s="165" t="s">
        <v>2272</v>
      </c>
      <c r="F390" s="165" t="s">
        <v>2257</v>
      </c>
      <c r="G390" s="165">
        <v>18900</v>
      </c>
      <c r="H390" s="165"/>
      <c r="I390" s="165"/>
      <c r="J390" s="165"/>
      <c r="K390" s="165">
        <v>18900</v>
      </c>
      <c r="L390" s="165"/>
      <c r="M390" s="165"/>
      <c r="N390" s="165">
        <f t="shared" si="6"/>
        <v>0</v>
      </c>
      <c r="O390" s="165" t="s">
        <v>1461</v>
      </c>
      <c r="P390" s="165" t="s">
        <v>492</v>
      </c>
      <c r="Q390" s="3">
        <v>18900</v>
      </c>
      <c r="R390">
        <v>18900</v>
      </c>
    </row>
    <row r="391" spans="1:18">
      <c r="A391" s="165" t="s">
        <v>488</v>
      </c>
      <c r="B391" s="165">
        <v>522</v>
      </c>
      <c r="C391" s="165" t="s">
        <v>2270</v>
      </c>
      <c r="D391" s="165">
        <v>3</v>
      </c>
      <c r="E391" s="165" t="s">
        <v>2273</v>
      </c>
      <c r="F391" s="165" t="s">
        <v>2259</v>
      </c>
      <c r="G391" s="165">
        <v>18900</v>
      </c>
      <c r="H391" s="165"/>
      <c r="I391" s="165"/>
      <c r="J391" s="165"/>
      <c r="K391" s="165">
        <v>18900</v>
      </c>
      <c r="L391" s="165"/>
      <c r="M391" s="165"/>
      <c r="N391" s="165">
        <f t="shared" si="6"/>
        <v>0</v>
      </c>
      <c r="O391" s="165" t="s">
        <v>504</v>
      </c>
      <c r="P391" s="165" t="s">
        <v>505</v>
      </c>
      <c r="Q391" s="3">
        <v>18900</v>
      </c>
      <c r="R391">
        <v>18900</v>
      </c>
    </row>
    <row r="392" spans="1:18">
      <c r="A392" s="165" t="s">
        <v>488</v>
      </c>
      <c r="B392" s="165">
        <v>523</v>
      </c>
      <c r="C392" s="165" t="s">
        <v>2270</v>
      </c>
      <c r="D392" s="165">
        <v>4</v>
      </c>
      <c r="E392" s="165" t="s">
        <v>2274</v>
      </c>
      <c r="F392" s="165" t="s">
        <v>2261</v>
      </c>
      <c r="G392" s="165">
        <v>18900</v>
      </c>
      <c r="H392" s="165"/>
      <c r="I392" s="165"/>
      <c r="J392" s="165"/>
      <c r="K392" s="165">
        <v>18900</v>
      </c>
      <c r="L392" s="165"/>
      <c r="M392" s="165"/>
      <c r="N392" s="165">
        <f t="shared" si="6"/>
        <v>0</v>
      </c>
      <c r="O392" s="165" t="s">
        <v>610</v>
      </c>
      <c r="P392" s="165" t="s">
        <v>611</v>
      </c>
      <c r="Q392" s="3">
        <v>18900</v>
      </c>
      <c r="R392">
        <v>18900</v>
      </c>
    </row>
    <row r="393" spans="1:18">
      <c r="A393" s="165" t="s">
        <v>488</v>
      </c>
      <c r="B393" s="165">
        <v>524</v>
      </c>
      <c r="C393" s="165" t="s">
        <v>2270</v>
      </c>
      <c r="D393" s="165">
        <v>5</v>
      </c>
      <c r="E393" s="165" t="s">
        <v>2275</v>
      </c>
      <c r="F393" s="165" t="s">
        <v>2263</v>
      </c>
      <c r="G393" s="165">
        <v>18900</v>
      </c>
      <c r="H393" s="165"/>
      <c r="I393" s="165"/>
      <c r="J393" s="165"/>
      <c r="K393" s="165">
        <v>18900</v>
      </c>
      <c r="L393" s="165"/>
      <c r="M393" s="165"/>
      <c r="N393" s="165">
        <f t="shared" si="6"/>
        <v>0</v>
      </c>
      <c r="O393" s="165" t="s">
        <v>627</v>
      </c>
      <c r="P393" s="165" t="s">
        <v>827</v>
      </c>
      <c r="Q393" s="3">
        <v>18900</v>
      </c>
      <c r="R393">
        <v>18900</v>
      </c>
    </row>
    <row r="394" spans="1:18">
      <c r="A394" s="165" t="s">
        <v>488</v>
      </c>
      <c r="B394" s="165">
        <v>525</v>
      </c>
      <c r="C394" s="165" t="s">
        <v>2270</v>
      </c>
      <c r="D394" s="165">
        <v>6</v>
      </c>
      <c r="E394" s="165" t="s">
        <v>2276</v>
      </c>
      <c r="F394" s="165" t="s">
        <v>2265</v>
      </c>
      <c r="G394" s="165">
        <v>18900</v>
      </c>
      <c r="H394" s="165"/>
      <c r="I394" s="165"/>
      <c r="J394" s="165"/>
      <c r="K394" s="165">
        <v>18900</v>
      </c>
      <c r="L394" s="165"/>
      <c r="M394" s="165"/>
      <c r="N394" s="165">
        <f t="shared" si="6"/>
        <v>0</v>
      </c>
      <c r="O394" s="165" t="s">
        <v>613</v>
      </c>
      <c r="P394" s="165" t="s">
        <v>614</v>
      </c>
      <c r="Q394" s="3">
        <v>18900</v>
      </c>
      <c r="R394">
        <v>18900</v>
      </c>
    </row>
    <row r="395" spans="1:18">
      <c r="A395" s="165" t="s">
        <v>488</v>
      </c>
      <c r="B395" s="165">
        <v>526</v>
      </c>
      <c r="C395" s="165" t="s">
        <v>2270</v>
      </c>
      <c r="D395" s="165">
        <v>7</v>
      </c>
      <c r="E395" s="165" t="s">
        <v>2277</v>
      </c>
      <c r="F395" s="165" t="s">
        <v>2267</v>
      </c>
      <c r="G395" s="165">
        <v>18900</v>
      </c>
      <c r="H395" s="165"/>
      <c r="I395" s="165"/>
      <c r="J395" s="165">
        <v>18900</v>
      </c>
      <c r="K395" s="165"/>
      <c r="L395" s="165"/>
      <c r="M395" s="165"/>
      <c r="N395" s="165">
        <f t="shared" si="6"/>
        <v>0</v>
      </c>
      <c r="O395" s="165" t="s">
        <v>621</v>
      </c>
      <c r="P395" s="165" t="s">
        <v>622</v>
      </c>
      <c r="Q395" s="3">
        <v>18900</v>
      </c>
      <c r="R395">
        <v>18900</v>
      </c>
    </row>
    <row r="396" spans="1:18">
      <c r="A396" s="165" t="s">
        <v>488</v>
      </c>
      <c r="B396" s="165">
        <v>527</v>
      </c>
      <c r="C396" s="165" t="s">
        <v>2270</v>
      </c>
      <c r="D396" s="165">
        <v>8</v>
      </c>
      <c r="E396" s="165" t="s">
        <v>2278</v>
      </c>
      <c r="F396" s="165" t="s">
        <v>2269</v>
      </c>
      <c r="G396" s="165">
        <v>18900</v>
      </c>
      <c r="H396" s="165"/>
      <c r="I396" s="165"/>
      <c r="J396" s="165">
        <v>18900</v>
      </c>
      <c r="K396" s="165"/>
      <c r="L396" s="165"/>
      <c r="M396" s="165"/>
      <c r="N396" s="165">
        <f t="shared" si="6"/>
        <v>0</v>
      </c>
      <c r="O396" s="165" t="s">
        <v>3161</v>
      </c>
      <c r="P396" s="165" t="s">
        <v>3162</v>
      </c>
      <c r="Q396" s="3">
        <v>18900</v>
      </c>
      <c r="R396">
        <v>18900</v>
      </c>
    </row>
    <row r="397" spans="1:18">
      <c r="A397" s="178" t="s">
        <v>489</v>
      </c>
      <c r="B397" s="165">
        <v>528</v>
      </c>
      <c r="C397" s="178" t="s">
        <v>1699</v>
      </c>
      <c r="D397" s="178">
        <v>7</v>
      </c>
      <c r="E397" s="178" t="s">
        <v>2279</v>
      </c>
      <c r="F397" s="178" t="s">
        <v>2664</v>
      </c>
      <c r="G397" s="178">
        <v>13500</v>
      </c>
      <c r="H397" s="178"/>
      <c r="I397" s="178"/>
      <c r="J397" s="165"/>
      <c r="K397" s="165">
        <v>13500</v>
      </c>
      <c r="L397" s="165"/>
      <c r="M397" s="165"/>
      <c r="N397" s="165">
        <f t="shared" si="6"/>
        <v>0</v>
      </c>
      <c r="O397" s="165" t="s">
        <v>495</v>
      </c>
      <c r="P397" s="165" t="s">
        <v>1472</v>
      </c>
      <c r="Q397" s="3">
        <v>13500</v>
      </c>
      <c r="R397">
        <v>13500</v>
      </c>
    </row>
    <row r="398" spans="1:18">
      <c r="A398" s="165" t="s">
        <v>2280</v>
      </c>
      <c r="B398" s="165">
        <v>529</v>
      </c>
      <c r="C398" s="165" t="s">
        <v>1304</v>
      </c>
      <c r="D398" s="165">
        <v>1</v>
      </c>
      <c r="E398" s="165" t="s">
        <v>2281</v>
      </c>
      <c r="F398" s="165" t="s">
        <v>909</v>
      </c>
      <c r="G398" s="165">
        <v>9450</v>
      </c>
      <c r="H398" s="165"/>
      <c r="I398" s="165"/>
      <c r="J398" s="165"/>
      <c r="K398" s="165">
        <v>9450</v>
      </c>
      <c r="L398" s="165"/>
      <c r="M398" s="165"/>
      <c r="N398" s="165">
        <f t="shared" si="6"/>
        <v>0</v>
      </c>
      <c r="O398" s="165" t="s">
        <v>490</v>
      </c>
      <c r="P398" s="165" t="s">
        <v>491</v>
      </c>
      <c r="Q398" s="3">
        <v>9450</v>
      </c>
      <c r="R398">
        <v>9450</v>
      </c>
    </row>
    <row r="399" spans="1:18">
      <c r="A399" s="165" t="s">
        <v>2280</v>
      </c>
      <c r="B399" s="165">
        <v>530</v>
      </c>
      <c r="C399" s="165" t="s">
        <v>1304</v>
      </c>
      <c r="D399" s="165">
        <v>2</v>
      </c>
      <c r="E399" s="165" t="s">
        <v>2282</v>
      </c>
      <c r="F399" s="165" t="s">
        <v>912</v>
      </c>
      <c r="G399" s="165">
        <v>9450</v>
      </c>
      <c r="H399" s="165"/>
      <c r="I399" s="165"/>
      <c r="J399" s="165"/>
      <c r="K399" s="165">
        <v>9450</v>
      </c>
      <c r="L399" s="165"/>
      <c r="M399" s="165"/>
      <c r="N399" s="165">
        <f t="shared" si="6"/>
        <v>0</v>
      </c>
      <c r="O399" s="165" t="s">
        <v>1461</v>
      </c>
      <c r="P399" s="165" t="s">
        <v>492</v>
      </c>
      <c r="Q399" s="3">
        <v>9450</v>
      </c>
      <c r="R399">
        <v>9450</v>
      </c>
    </row>
    <row r="400" spans="1:18">
      <c r="A400" s="165" t="s">
        <v>2280</v>
      </c>
      <c r="B400" s="165">
        <v>531</v>
      </c>
      <c r="C400" s="165" t="s">
        <v>1304</v>
      </c>
      <c r="D400" s="165">
        <v>3</v>
      </c>
      <c r="E400" s="165" t="s">
        <v>2283</v>
      </c>
      <c r="F400" s="165" t="s">
        <v>1468</v>
      </c>
      <c r="G400" s="165">
        <v>9450</v>
      </c>
      <c r="H400" s="165"/>
      <c r="I400" s="165"/>
      <c r="J400" s="165"/>
      <c r="K400" s="165">
        <v>9450</v>
      </c>
      <c r="L400" s="165"/>
      <c r="M400" s="165"/>
      <c r="N400" s="165">
        <f t="shared" si="6"/>
        <v>0</v>
      </c>
      <c r="O400" s="165" t="s">
        <v>500</v>
      </c>
      <c r="P400" s="165" t="s">
        <v>500</v>
      </c>
      <c r="Q400" s="3">
        <v>9450</v>
      </c>
      <c r="R400">
        <v>9450</v>
      </c>
    </row>
    <row r="401" spans="1:20">
      <c r="A401" s="165" t="s">
        <v>2280</v>
      </c>
      <c r="B401" s="165">
        <v>532</v>
      </c>
      <c r="C401" s="165" t="s">
        <v>1304</v>
      </c>
      <c r="D401" s="165">
        <v>4</v>
      </c>
      <c r="E401" s="165" t="s">
        <v>2284</v>
      </c>
      <c r="F401" s="165" t="s">
        <v>2285</v>
      </c>
      <c r="G401" s="165">
        <v>9450</v>
      </c>
      <c r="H401" s="165"/>
      <c r="I401" s="165"/>
      <c r="J401" s="165"/>
      <c r="K401" s="165">
        <v>9450</v>
      </c>
      <c r="L401" s="165"/>
      <c r="M401" s="165"/>
      <c r="N401" s="165">
        <f t="shared" si="6"/>
        <v>0</v>
      </c>
      <c r="O401" s="165" t="s">
        <v>501</v>
      </c>
      <c r="P401" s="165" t="s">
        <v>2160</v>
      </c>
      <c r="Q401" s="3">
        <v>9450</v>
      </c>
      <c r="R401">
        <v>9450</v>
      </c>
    </row>
    <row r="402" spans="1:20">
      <c r="A402" s="165" t="s">
        <v>2280</v>
      </c>
      <c r="B402" s="165">
        <v>533</v>
      </c>
      <c r="C402" s="165" t="s">
        <v>1304</v>
      </c>
      <c r="D402" s="165">
        <v>5</v>
      </c>
      <c r="E402" s="165" t="s">
        <v>2286</v>
      </c>
      <c r="F402" s="165" t="s">
        <v>2287</v>
      </c>
      <c r="G402" s="165">
        <v>9450</v>
      </c>
      <c r="H402" s="165"/>
      <c r="I402" s="165"/>
      <c r="J402" s="165"/>
      <c r="K402" s="165">
        <v>9450</v>
      </c>
      <c r="L402" s="165"/>
      <c r="M402" s="165"/>
      <c r="N402" s="165">
        <f t="shared" si="6"/>
        <v>0</v>
      </c>
      <c r="O402" s="165" t="s">
        <v>2162</v>
      </c>
      <c r="P402" s="165" t="s">
        <v>2162</v>
      </c>
      <c r="Q402" s="3">
        <v>9450</v>
      </c>
      <c r="R402">
        <v>9450</v>
      </c>
    </row>
    <row r="403" spans="1:20">
      <c r="A403" s="165" t="s">
        <v>2280</v>
      </c>
      <c r="B403" s="165">
        <v>534</v>
      </c>
      <c r="C403" s="165" t="s">
        <v>1304</v>
      </c>
      <c r="D403" s="165">
        <v>6</v>
      </c>
      <c r="E403" s="165" t="s">
        <v>2288</v>
      </c>
      <c r="F403" s="165" t="s">
        <v>2289</v>
      </c>
      <c r="G403" s="165">
        <v>9450</v>
      </c>
      <c r="H403" s="165"/>
      <c r="I403" s="165"/>
      <c r="J403" s="165"/>
      <c r="K403" s="165">
        <v>9450</v>
      </c>
      <c r="L403" s="165"/>
      <c r="M403" s="165"/>
      <c r="N403" s="165">
        <f t="shared" si="6"/>
        <v>0</v>
      </c>
      <c r="O403" s="165" t="s">
        <v>2164</v>
      </c>
      <c r="P403" s="165" t="s">
        <v>1025</v>
      </c>
      <c r="Q403" s="3">
        <v>9450</v>
      </c>
      <c r="R403">
        <v>9450</v>
      </c>
    </row>
    <row r="404" spans="1:20">
      <c r="A404" s="165" t="s">
        <v>2280</v>
      </c>
      <c r="B404" s="165">
        <v>535</v>
      </c>
      <c r="C404" s="165" t="s">
        <v>1304</v>
      </c>
      <c r="D404" s="165">
        <v>7</v>
      </c>
      <c r="E404" s="165" t="s">
        <v>2290</v>
      </c>
      <c r="F404" s="165" t="s">
        <v>2291</v>
      </c>
      <c r="G404" s="165">
        <v>9450</v>
      </c>
      <c r="H404" s="165"/>
      <c r="I404" s="165"/>
      <c r="J404" s="165"/>
      <c r="K404" s="165">
        <v>9450</v>
      </c>
      <c r="L404" s="165"/>
      <c r="M404" s="165"/>
      <c r="N404" s="165">
        <f t="shared" si="6"/>
        <v>0</v>
      </c>
      <c r="O404" s="165" t="s">
        <v>628</v>
      </c>
      <c r="P404" s="165" t="s">
        <v>629</v>
      </c>
      <c r="Q404" s="3">
        <v>9450</v>
      </c>
      <c r="R404">
        <v>9450</v>
      </c>
    </row>
    <row r="405" spans="1:20">
      <c r="A405" s="165" t="s">
        <v>2280</v>
      </c>
      <c r="B405" s="165">
        <v>536</v>
      </c>
      <c r="C405" s="165" t="s">
        <v>1304</v>
      </c>
      <c r="D405" s="165">
        <v>8</v>
      </c>
      <c r="E405" s="165" t="s">
        <v>2292</v>
      </c>
      <c r="F405" s="165" t="s">
        <v>2293</v>
      </c>
      <c r="G405" s="165">
        <v>9450</v>
      </c>
      <c r="H405" s="165"/>
      <c r="I405" s="165"/>
      <c r="J405" s="165">
        <v>9450</v>
      </c>
      <c r="K405" s="165"/>
      <c r="L405" s="165"/>
      <c r="M405" s="165"/>
      <c r="N405" s="165">
        <f t="shared" si="6"/>
        <v>0</v>
      </c>
      <c r="O405" s="165" t="s">
        <v>3159</v>
      </c>
      <c r="P405" s="165" t="s">
        <v>3160</v>
      </c>
      <c r="Q405" s="3">
        <v>9450</v>
      </c>
      <c r="R405">
        <v>9450</v>
      </c>
    </row>
    <row r="406" spans="1:20">
      <c r="A406" s="209" t="s">
        <v>1458</v>
      </c>
      <c r="B406" s="209"/>
      <c r="C406" s="205" t="s">
        <v>3825</v>
      </c>
      <c r="D406" s="226">
        <v>6</v>
      </c>
      <c r="E406" s="183" t="s">
        <v>1283</v>
      </c>
      <c r="F406" s="209" t="s">
        <v>1458</v>
      </c>
      <c r="G406" s="165"/>
      <c r="H406" s="165"/>
      <c r="I406" s="165"/>
      <c r="J406" s="209"/>
      <c r="K406" s="209"/>
      <c r="L406" s="209"/>
      <c r="M406" s="209"/>
      <c r="N406" s="209">
        <f t="shared" si="6"/>
        <v>0</v>
      </c>
      <c r="O406" s="209" t="s">
        <v>1458</v>
      </c>
      <c r="P406" s="209" t="s">
        <v>1458</v>
      </c>
      <c r="Q406" s="178">
        <v>14175</v>
      </c>
      <c r="R406" s="178">
        <v>14145</v>
      </c>
      <c r="S406" s="178"/>
      <c r="T406" s="3">
        <v>30</v>
      </c>
    </row>
    <row r="407" spans="1:20">
      <c r="A407" s="165" t="s">
        <v>2294</v>
      </c>
      <c r="B407" s="165">
        <v>537</v>
      </c>
      <c r="C407" s="165" t="s">
        <v>1699</v>
      </c>
      <c r="D407" s="165">
        <v>8</v>
      </c>
      <c r="E407" s="165" t="s">
        <v>2295</v>
      </c>
      <c r="F407" s="165" t="s">
        <v>2777</v>
      </c>
      <c r="G407" s="165">
        <v>13500</v>
      </c>
      <c r="H407" s="165"/>
      <c r="I407" s="165"/>
      <c r="J407" s="165"/>
      <c r="K407" s="165">
        <v>13500</v>
      </c>
      <c r="L407" s="165"/>
      <c r="M407" s="165"/>
      <c r="N407" s="165">
        <f t="shared" si="6"/>
        <v>0</v>
      </c>
      <c r="O407" s="165" t="s">
        <v>1461</v>
      </c>
      <c r="P407" s="165" t="s">
        <v>492</v>
      </c>
      <c r="Q407" s="3">
        <v>13500</v>
      </c>
      <c r="R407">
        <v>13500</v>
      </c>
    </row>
    <row r="408" spans="1:20">
      <c r="A408" s="165" t="s">
        <v>2294</v>
      </c>
      <c r="B408" s="165">
        <v>538</v>
      </c>
      <c r="C408" s="165" t="s">
        <v>2686</v>
      </c>
      <c r="D408" s="165">
        <v>1</v>
      </c>
      <c r="E408" s="165" t="s">
        <v>2296</v>
      </c>
      <c r="F408" s="165" t="s">
        <v>2209</v>
      </c>
      <c r="G408" s="165">
        <v>11340</v>
      </c>
      <c r="H408" s="165"/>
      <c r="I408" s="165"/>
      <c r="J408" s="165"/>
      <c r="K408" s="165">
        <v>11340</v>
      </c>
      <c r="L408" s="165"/>
      <c r="M408" s="165"/>
      <c r="N408" s="165">
        <f t="shared" si="6"/>
        <v>0</v>
      </c>
      <c r="O408" s="165" t="s">
        <v>493</v>
      </c>
      <c r="P408" s="165" t="s">
        <v>911</v>
      </c>
      <c r="Q408" s="3">
        <v>11340</v>
      </c>
      <c r="R408">
        <v>11340</v>
      </c>
    </row>
    <row r="409" spans="1:20">
      <c r="A409" s="165" t="s">
        <v>2294</v>
      </c>
      <c r="B409" s="165">
        <v>539</v>
      </c>
      <c r="C409" s="165" t="s">
        <v>2686</v>
      </c>
      <c r="D409" s="165">
        <v>2</v>
      </c>
      <c r="E409" s="165" t="s">
        <v>2297</v>
      </c>
      <c r="F409" s="165" t="s">
        <v>459</v>
      </c>
      <c r="G409" s="165">
        <v>11340</v>
      </c>
      <c r="H409" s="165"/>
      <c r="I409" s="165"/>
      <c r="J409" s="165"/>
      <c r="K409" s="165">
        <v>11340</v>
      </c>
      <c r="L409" s="165"/>
      <c r="M409" s="165"/>
      <c r="N409" s="165">
        <f t="shared" si="6"/>
        <v>0</v>
      </c>
      <c r="O409" s="165" t="s">
        <v>460</v>
      </c>
      <c r="P409" s="165" t="s">
        <v>1465</v>
      </c>
      <c r="Q409" s="3">
        <v>11340</v>
      </c>
      <c r="R409">
        <v>11340</v>
      </c>
    </row>
    <row r="410" spans="1:20">
      <c r="A410" s="165" t="s">
        <v>2294</v>
      </c>
      <c r="B410" s="165">
        <v>540</v>
      </c>
      <c r="C410" s="165" t="s">
        <v>2686</v>
      </c>
      <c r="D410" s="165">
        <v>3</v>
      </c>
      <c r="E410" s="165" t="s">
        <v>2298</v>
      </c>
      <c r="F410" s="165" t="s">
        <v>445</v>
      </c>
      <c r="G410" s="165">
        <v>11340</v>
      </c>
      <c r="H410" s="165"/>
      <c r="I410" s="165"/>
      <c r="J410" s="165"/>
      <c r="K410" s="165">
        <v>11340</v>
      </c>
      <c r="L410" s="165"/>
      <c r="M410" s="165"/>
      <c r="N410" s="165">
        <f t="shared" si="6"/>
        <v>0</v>
      </c>
      <c r="O410" s="165" t="s">
        <v>508</v>
      </c>
      <c r="P410" s="165" t="s">
        <v>2299</v>
      </c>
      <c r="Q410" s="3">
        <v>11340</v>
      </c>
      <c r="R410">
        <v>11340</v>
      </c>
    </row>
    <row r="411" spans="1:20">
      <c r="A411" s="165" t="s">
        <v>2294</v>
      </c>
      <c r="B411" s="165">
        <v>541</v>
      </c>
      <c r="C411" s="165" t="s">
        <v>2686</v>
      </c>
      <c r="D411" s="165">
        <v>4</v>
      </c>
      <c r="E411" s="165" t="s">
        <v>2300</v>
      </c>
      <c r="F411" s="165" t="s">
        <v>2301</v>
      </c>
      <c r="G411" s="165">
        <v>11340</v>
      </c>
      <c r="H411" s="165"/>
      <c r="I411" s="165"/>
      <c r="J411" s="165"/>
      <c r="K411" s="165">
        <v>11340</v>
      </c>
      <c r="L411" s="165"/>
      <c r="M411" s="165"/>
      <c r="N411" s="165">
        <f t="shared" si="6"/>
        <v>0</v>
      </c>
      <c r="O411" s="165" t="s">
        <v>615</v>
      </c>
      <c r="P411" s="165" t="s">
        <v>616</v>
      </c>
      <c r="Q411" s="3">
        <v>11340</v>
      </c>
      <c r="R411">
        <v>11340</v>
      </c>
    </row>
    <row r="412" spans="1:20">
      <c r="A412" s="165" t="s">
        <v>2294</v>
      </c>
      <c r="B412" s="165">
        <v>542</v>
      </c>
      <c r="C412" s="165" t="s">
        <v>2686</v>
      </c>
      <c r="D412" s="165">
        <v>5</v>
      </c>
      <c r="E412" s="165" t="s">
        <v>2302</v>
      </c>
      <c r="F412" s="165" t="s">
        <v>2214</v>
      </c>
      <c r="G412" s="165">
        <v>11340</v>
      </c>
      <c r="H412" s="165"/>
      <c r="I412" s="165"/>
      <c r="J412" s="165"/>
      <c r="K412" s="165">
        <v>11340</v>
      </c>
      <c r="L412" s="165"/>
      <c r="M412" s="165"/>
      <c r="N412" s="165">
        <f t="shared" ref="N412:N475" si="7">G412-J412-K412</f>
        <v>0</v>
      </c>
      <c r="O412" s="165" t="s">
        <v>617</v>
      </c>
      <c r="P412" s="165" t="s">
        <v>618</v>
      </c>
      <c r="Q412" s="3">
        <v>11340</v>
      </c>
      <c r="R412">
        <v>11340</v>
      </c>
    </row>
    <row r="413" spans="1:20">
      <c r="A413" s="165" t="s">
        <v>2294</v>
      </c>
      <c r="B413" s="165">
        <v>543</v>
      </c>
      <c r="C413" s="165" t="s">
        <v>2686</v>
      </c>
      <c r="D413" s="165">
        <v>6</v>
      </c>
      <c r="E413" s="165" t="s">
        <v>2303</v>
      </c>
      <c r="F413" s="165" t="s">
        <v>2216</v>
      </c>
      <c r="G413" s="165">
        <v>11340</v>
      </c>
      <c r="H413" s="165"/>
      <c r="I413" s="165"/>
      <c r="J413" s="165"/>
      <c r="K413" s="165">
        <v>11340</v>
      </c>
      <c r="L413" s="165"/>
      <c r="M413" s="165"/>
      <c r="N413" s="165">
        <f t="shared" si="7"/>
        <v>0</v>
      </c>
      <c r="O413" s="165" t="s">
        <v>628</v>
      </c>
      <c r="P413" s="165" t="s">
        <v>629</v>
      </c>
      <c r="Q413" s="3">
        <v>11340</v>
      </c>
      <c r="R413">
        <v>11340</v>
      </c>
    </row>
    <row r="414" spans="1:20">
      <c r="A414" s="165" t="s">
        <v>2294</v>
      </c>
      <c r="B414" s="165">
        <v>544</v>
      </c>
      <c r="C414" s="165" t="s">
        <v>2686</v>
      </c>
      <c r="D414" s="165">
        <v>7</v>
      </c>
      <c r="E414" s="165" t="s">
        <v>2304</v>
      </c>
      <c r="F414" s="165" t="s">
        <v>2218</v>
      </c>
      <c r="G414" s="165">
        <v>11340</v>
      </c>
      <c r="H414" s="165"/>
      <c r="I414" s="165"/>
      <c r="J414" s="165">
        <v>11340</v>
      </c>
      <c r="K414" s="165"/>
      <c r="L414" s="165"/>
      <c r="M414" s="165"/>
      <c r="N414" s="165">
        <f t="shared" si="7"/>
        <v>0</v>
      </c>
      <c r="O414" s="165" t="s">
        <v>625</v>
      </c>
      <c r="P414" s="165" t="s">
        <v>626</v>
      </c>
      <c r="Q414" s="3">
        <v>11340</v>
      </c>
      <c r="R414">
        <v>11340</v>
      </c>
    </row>
    <row r="415" spans="1:20">
      <c r="A415" s="165" t="s">
        <v>2294</v>
      </c>
      <c r="B415" s="165">
        <v>545</v>
      </c>
      <c r="C415" s="165" t="s">
        <v>2686</v>
      </c>
      <c r="D415" s="165">
        <v>8</v>
      </c>
      <c r="E415" s="165" t="s">
        <v>2305</v>
      </c>
      <c r="F415" s="165" t="s">
        <v>2306</v>
      </c>
      <c r="G415" s="165">
        <v>11340</v>
      </c>
      <c r="H415" s="165"/>
      <c r="I415" s="165"/>
      <c r="J415" s="165">
        <v>11340</v>
      </c>
      <c r="K415" s="165"/>
      <c r="L415" s="165"/>
      <c r="M415" s="165"/>
      <c r="N415" s="165">
        <f t="shared" si="7"/>
        <v>0</v>
      </c>
      <c r="O415" s="165" t="s">
        <v>683</v>
      </c>
      <c r="P415" s="165" t="s">
        <v>3163</v>
      </c>
      <c r="Q415" s="3">
        <v>11340</v>
      </c>
      <c r="R415">
        <v>11340</v>
      </c>
    </row>
    <row r="416" spans="1:20">
      <c r="A416" s="209" t="s">
        <v>2307</v>
      </c>
      <c r="B416" s="209"/>
      <c r="C416" s="205" t="s">
        <v>2421</v>
      </c>
      <c r="D416" s="226">
        <v>7</v>
      </c>
      <c r="E416" s="183" t="s">
        <v>1283</v>
      </c>
      <c r="F416" s="209" t="s">
        <v>2307</v>
      </c>
      <c r="G416" s="165"/>
      <c r="H416" s="165"/>
      <c r="I416" s="165"/>
      <c r="J416" s="165"/>
      <c r="K416" s="165"/>
      <c r="L416" s="165"/>
      <c r="M416" s="165"/>
      <c r="N416" s="165">
        <f t="shared" si="7"/>
        <v>0</v>
      </c>
      <c r="O416" s="209" t="s">
        <v>2307</v>
      </c>
      <c r="P416" s="209" t="s">
        <v>2307</v>
      </c>
      <c r="Q416" s="178">
        <v>14175</v>
      </c>
      <c r="R416" s="178">
        <v>14165</v>
      </c>
      <c r="S416" s="178"/>
      <c r="T416" s="3">
        <v>10</v>
      </c>
    </row>
    <row r="417" spans="1:19">
      <c r="A417" s="165" t="s">
        <v>2307</v>
      </c>
      <c r="B417" s="165">
        <v>546</v>
      </c>
      <c r="C417" s="165" t="s">
        <v>1775</v>
      </c>
      <c r="D417" s="165">
        <v>1</v>
      </c>
      <c r="E417" s="165" t="s">
        <v>2308</v>
      </c>
      <c r="F417" s="165" t="s">
        <v>2209</v>
      </c>
      <c r="G417" s="165">
        <v>10800</v>
      </c>
      <c r="H417" s="165"/>
      <c r="I417" s="165"/>
      <c r="J417" s="165"/>
      <c r="K417" s="165">
        <v>10800</v>
      </c>
      <c r="L417" s="165"/>
      <c r="M417" s="165"/>
      <c r="N417" s="165">
        <f t="shared" si="7"/>
        <v>0</v>
      </c>
      <c r="O417" s="165" t="s">
        <v>493</v>
      </c>
      <c r="P417" s="165" t="s">
        <v>911</v>
      </c>
      <c r="Q417" s="3">
        <v>10800</v>
      </c>
      <c r="R417">
        <v>10800</v>
      </c>
    </row>
    <row r="418" spans="1:19">
      <c r="A418" s="165" t="s">
        <v>2307</v>
      </c>
      <c r="B418" s="165">
        <v>547</v>
      </c>
      <c r="C418" s="165" t="s">
        <v>1775</v>
      </c>
      <c r="D418" s="165">
        <v>2</v>
      </c>
      <c r="E418" s="165" t="s">
        <v>2309</v>
      </c>
      <c r="F418" s="165" t="s">
        <v>459</v>
      </c>
      <c r="G418" s="165">
        <v>10800</v>
      </c>
      <c r="H418" s="165"/>
      <c r="I418" s="165"/>
      <c r="J418" s="165"/>
      <c r="K418" s="165">
        <v>10800</v>
      </c>
      <c r="L418" s="165"/>
      <c r="M418" s="165"/>
      <c r="N418" s="165">
        <f t="shared" si="7"/>
        <v>0</v>
      </c>
      <c r="O418" s="165" t="s">
        <v>460</v>
      </c>
      <c r="P418" s="165" t="s">
        <v>1465</v>
      </c>
      <c r="Q418" s="3">
        <v>10800</v>
      </c>
      <c r="R418">
        <v>10800</v>
      </c>
    </row>
    <row r="419" spans="1:19">
      <c r="A419" s="165" t="s">
        <v>2307</v>
      </c>
      <c r="B419" s="165">
        <v>548</v>
      </c>
      <c r="C419" s="165" t="s">
        <v>1775</v>
      </c>
      <c r="D419" s="165">
        <v>3</v>
      </c>
      <c r="E419" s="165" t="s">
        <v>2310</v>
      </c>
      <c r="F419" s="165" t="s">
        <v>445</v>
      </c>
      <c r="G419" s="165">
        <v>10800</v>
      </c>
      <c r="H419" s="165"/>
      <c r="I419" s="165"/>
      <c r="J419" s="165"/>
      <c r="K419" s="165">
        <v>10800</v>
      </c>
      <c r="L419" s="165"/>
      <c r="M419" s="165"/>
      <c r="N419" s="165">
        <f t="shared" si="7"/>
        <v>0</v>
      </c>
      <c r="O419" s="165" t="s">
        <v>508</v>
      </c>
      <c r="P419" s="165" t="s">
        <v>2107</v>
      </c>
      <c r="Q419" s="3">
        <v>10800</v>
      </c>
      <c r="R419">
        <v>10800</v>
      </c>
    </row>
    <row r="420" spans="1:19">
      <c r="A420" s="165" t="s">
        <v>2307</v>
      </c>
      <c r="B420" s="165">
        <v>549</v>
      </c>
      <c r="C420" s="165" t="s">
        <v>1775</v>
      </c>
      <c r="D420" s="165">
        <v>4</v>
      </c>
      <c r="E420" s="165" t="s">
        <v>2311</v>
      </c>
      <c r="F420" s="165" t="s">
        <v>2301</v>
      </c>
      <c r="G420" s="165">
        <v>10800</v>
      </c>
      <c r="H420" s="165"/>
      <c r="I420" s="165"/>
      <c r="J420" s="165"/>
      <c r="K420" s="165">
        <v>10800</v>
      </c>
      <c r="L420" s="165"/>
      <c r="M420" s="165"/>
      <c r="N420" s="165">
        <f t="shared" si="7"/>
        <v>0</v>
      </c>
      <c r="O420" s="165" t="s">
        <v>615</v>
      </c>
      <c r="P420" s="165" t="s">
        <v>616</v>
      </c>
      <c r="Q420" s="3">
        <v>10800</v>
      </c>
      <c r="R420">
        <v>10800</v>
      </c>
    </row>
    <row r="421" spans="1:19">
      <c r="A421" s="165" t="s">
        <v>2307</v>
      </c>
      <c r="B421" s="165">
        <v>550</v>
      </c>
      <c r="C421" s="165" t="s">
        <v>1775</v>
      </c>
      <c r="D421" s="165">
        <v>5</v>
      </c>
      <c r="E421" s="165" t="s">
        <v>2312</v>
      </c>
      <c r="F421" s="165" t="s">
        <v>2214</v>
      </c>
      <c r="G421" s="165">
        <v>10800</v>
      </c>
      <c r="H421" s="165"/>
      <c r="I421" s="165"/>
      <c r="J421" s="165"/>
      <c r="K421" s="165">
        <v>10800</v>
      </c>
      <c r="L421" s="165"/>
      <c r="M421" s="165"/>
      <c r="N421" s="165">
        <f t="shared" si="7"/>
        <v>0</v>
      </c>
      <c r="O421" s="165" t="s">
        <v>617</v>
      </c>
      <c r="P421" s="165" t="s">
        <v>618</v>
      </c>
      <c r="Q421" s="3">
        <v>10800</v>
      </c>
      <c r="R421">
        <v>10800</v>
      </c>
    </row>
    <row r="422" spans="1:19">
      <c r="A422" s="165" t="s">
        <v>2307</v>
      </c>
      <c r="B422" s="165">
        <v>551</v>
      </c>
      <c r="C422" s="165" t="s">
        <v>1775</v>
      </c>
      <c r="D422" s="165">
        <v>6</v>
      </c>
      <c r="E422" s="165" t="s">
        <v>2313</v>
      </c>
      <c r="F422" s="165" t="s">
        <v>2216</v>
      </c>
      <c r="G422" s="165">
        <v>10800</v>
      </c>
      <c r="H422" s="165"/>
      <c r="I422" s="165"/>
      <c r="J422" s="165"/>
      <c r="K422" s="165">
        <v>10800</v>
      </c>
      <c r="L422" s="165"/>
      <c r="M422" s="165"/>
      <c r="N422" s="165">
        <f t="shared" si="7"/>
        <v>0</v>
      </c>
      <c r="O422" s="165" t="s">
        <v>628</v>
      </c>
      <c r="P422" s="165" t="s">
        <v>629</v>
      </c>
      <c r="Q422" s="3">
        <v>10800</v>
      </c>
      <c r="R422">
        <v>10800</v>
      </c>
    </row>
    <row r="423" spans="1:19">
      <c r="A423" s="165" t="s">
        <v>2307</v>
      </c>
      <c r="B423" s="165">
        <v>552</v>
      </c>
      <c r="C423" s="165" t="s">
        <v>1775</v>
      </c>
      <c r="D423" s="165">
        <v>7</v>
      </c>
      <c r="E423" s="165" t="s">
        <v>2314</v>
      </c>
      <c r="F423" s="165" t="s">
        <v>2218</v>
      </c>
      <c r="G423" s="165">
        <v>10800</v>
      </c>
      <c r="H423" s="165"/>
      <c r="I423" s="165"/>
      <c r="J423" s="165">
        <v>10800</v>
      </c>
      <c r="K423" s="165"/>
      <c r="L423" s="165"/>
      <c r="M423" s="165"/>
      <c r="N423" s="165">
        <f t="shared" si="7"/>
        <v>0</v>
      </c>
      <c r="O423" s="165" t="s">
        <v>625</v>
      </c>
      <c r="P423" s="165" t="s">
        <v>626</v>
      </c>
      <c r="Q423" s="3">
        <v>10800</v>
      </c>
      <c r="R423">
        <v>10800</v>
      </c>
    </row>
    <row r="424" spans="1:19">
      <c r="A424" s="165" t="s">
        <v>2307</v>
      </c>
      <c r="B424" s="165">
        <v>553</v>
      </c>
      <c r="C424" s="165" t="s">
        <v>1775</v>
      </c>
      <c r="D424" s="165">
        <v>8</v>
      </c>
      <c r="E424" s="165" t="s">
        <v>2315</v>
      </c>
      <c r="F424" s="165" t="s">
        <v>2306</v>
      </c>
      <c r="G424" s="165">
        <v>10800</v>
      </c>
      <c r="H424" s="165"/>
      <c r="I424" s="165"/>
      <c r="J424" s="165">
        <v>10800</v>
      </c>
      <c r="K424" s="165"/>
      <c r="L424" s="165"/>
      <c r="M424" s="165"/>
      <c r="N424" s="165">
        <f t="shared" si="7"/>
        <v>0</v>
      </c>
      <c r="O424" s="165" t="s">
        <v>683</v>
      </c>
      <c r="P424" s="165" t="s">
        <v>3163</v>
      </c>
      <c r="Q424" s="3">
        <v>10800</v>
      </c>
      <c r="R424">
        <v>10800</v>
      </c>
    </row>
    <row r="425" spans="1:19">
      <c r="A425" s="165" t="s">
        <v>1473</v>
      </c>
      <c r="B425" s="165">
        <v>554</v>
      </c>
      <c r="C425" s="165" t="s">
        <v>1246</v>
      </c>
      <c r="D425" s="165">
        <v>1</v>
      </c>
      <c r="E425" s="165" t="s">
        <v>2316</v>
      </c>
      <c r="F425" s="165" t="s">
        <v>1967</v>
      </c>
      <c r="G425" s="165">
        <v>10080</v>
      </c>
      <c r="H425" s="165"/>
      <c r="I425" s="165"/>
      <c r="J425" s="165"/>
      <c r="K425" s="165">
        <v>10080</v>
      </c>
      <c r="L425" s="165"/>
      <c r="M425" s="165"/>
      <c r="N425" s="165">
        <f t="shared" si="7"/>
        <v>0</v>
      </c>
      <c r="O425" s="165" t="s">
        <v>493</v>
      </c>
      <c r="P425" s="165" t="s">
        <v>911</v>
      </c>
      <c r="Q425" s="3">
        <v>10080</v>
      </c>
      <c r="R425">
        <v>10080</v>
      </c>
    </row>
    <row r="426" spans="1:19">
      <c r="A426" s="165" t="s">
        <v>1473</v>
      </c>
      <c r="B426" s="165">
        <v>555</v>
      </c>
      <c r="C426" s="165" t="s">
        <v>1246</v>
      </c>
      <c r="D426" s="165">
        <v>2</v>
      </c>
      <c r="E426" s="165" t="s">
        <v>2317</v>
      </c>
      <c r="F426" s="165" t="s">
        <v>1873</v>
      </c>
      <c r="G426" s="165">
        <v>10080</v>
      </c>
      <c r="H426" s="165"/>
      <c r="I426" s="165"/>
      <c r="J426" s="165"/>
      <c r="K426" s="165">
        <v>10080</v>
      </c>
      <c r="L426" s="165"/>
      <c r="M426" s="165"/>
      <c r="N426" s="165">
        <f t="shared" si="7"/>
        <v>0</v>
      </c>
      <c r="O426" s="165" t="s">
        <v>1461</v>
      </c>
      <c r="P426" s="165" t="s">
        <v>492</v>
      </c>
      <c r="Q426" s="3">
        <v>10080</v>
      </c>
      <c r="R426">
        <v>10080</v>
      </c>
    </row>
    <row r="427" spans="1:19">
      <c r="A427" s="165" t="s">
        <v>1473</v>
      </c>
      <c r="B427" s="165">
        <v>556</v>
      </c>
      <c r="C427" s="165" t="s">
        <v>1246</v>
      </c>
      <c r="D427" s="165">
        <v>3</v>
      </c>
      <c r="E427" s="165" t="s">
        <v>2318</v>
      </c>
      <c r="F427" s="165" t="s">
        <v>500</v>
      </c>
      <c r="G427" s="165">
        <v>10080</v>
      </c>
      <c r="H427" s="165"/>
      <c r="I427" s="165"/>
      <c r="J427" s="165"/>
      <c r="K427" s="165">
        <v>10080</v>
      </c>
      <c r="L427" s="165"/>
      <c r="M427" s="165"/>
      <c r="N427" s="165">
        <f t="shared" si="7"/>
        <v>0</v>
      </c>
      <c r="O427" s="165" t="s">
        <v>505</v>
      </c>
      <c r="P427" s="165" t="s">
        <v>505</v>
      </c>
      <c r="Q427" s="3">
        <v>10080</v>
      </c>
      <c r="R427">
        <v>10080</v>
      </c>
    </row>
    <row r="428" spans="1:19">
      <c r="A428" s="165" t="s">
        <v>1473</v>
      </c>
      <c r="B428" s="165">
        <v>557</v>
      </c>
      <c r="C428" s="165" t="s">
        <v>1246</v>
      </c>
      <c r="D428" s="165">
        <v>4</v>
      </c>
      <c r="E428" s="165" t="s">
        <v>2319</v>
      </c>
      <c r="F428" s="165" t="s">
        <v>2051</v>
      </c>
      <c r="G428" s="165">
        <v>10080</v>
      </c>
      <c r="H428" s="165"/>
      <c r="I428" s="165"/>
      <c r="J428" s="165"/>
      <c r="K428" s="165">
        <v>10080</v>
      </c>
      <c r="L428" s="165"/>
      <c r="M428" s="165"/>
      <c r="N428" s="165">
        <f t="shared" si="7"/>
        <v>0</v>
      </c>
      <c r="O428" s="165" t="s">
        <v>506</v>
      </c>
      <c r="P428" s="165" t="s">
        <v>507</v>
      </c>
      <c r="Q428" s="3">
        <v>10080</v>
      </c>
      <c r="R428">
        <v>10080</v>
      </c>
    </row>
    <row r="429" spans="1:19">
      <c r="A429" s="165" t="s">
        <v>1473</v>
      </c>
      <c r="B429" s="165">
        <v>558</v>
      </c>
      <c r="C429" s="165" t="s">
        <v>1246</v>
      </c>
      <c r="D429" s="165">
        <v>5</v>
      </c>
      <c r="E429" s="165" t="s">
        <v>2320</v>
      </c>
      <c r="F429" s="165" t="s">
        <v>2190</v>
      </c>
      <c r="G429" s="165">
        <v>10080</v>
      </c>
      <c r="H429" s="165"/>
      <c r="I429" s="165"/>
      <c r="J429" s="165"/>
      <c r="K429" s="165">
        <v>10080</v>
      </c>
      <c r="L429" s="165"/>
      <c r="M429" s="165"/>
      <c r="N429" s="165">
        <f t="shared" si="7"/>
        <v>0</v>
      </c>
      <c r="O429" s="165" t="s">
        <v>627</v>
      </c>
      <c r="P429" s="165" t="s">
        <v>827</v>
      </c>
      <c r="Q429" s="3">
        <v>10080</v>
      </c>
      <c r="R429">
        <v>10080</v>
      </c>
    </row>
    <row r="430" spans="1:19">
      <c r="A430" s="165" t="s">
        <v>1473</v>
      </c>
      <c r="B430" s="165">
        <v>559</v>
      </c>
      <c r="C430" s="165" t="s">
        <v>1246</v>
      </c>
      <c r="D430" s="165">
        <v>6</v>
      </c>
      <c r="E430" s="165" t="s">
        <v>2321</v>
      </c>
      <c r="F430" s="165" t="s">
        <v>2192</v>
      </c>
      <c r="G430" s="165">
        <v>10080</v>
      </c>
      <c r="H430" s="165"/>
      <c r="I430" s="165"/>
      <c r="J430" s="165"/>
      <c r="K430" s="165">
        <v>10080</v>
      </c>
      <c r="L430" s="165"/>
      <c r="M430" s="165"/>
      <c r="N430" s="165">
        <f t="shared" si="7"/>
        <v>0</v>
      </c>
      <c r="O430" s="165" t="s">
        <v>613</v>
      </c>
      <c r="P430" s="165" t="s">
        <v>614</v>
      </c>
      <c r="Q430" s="3">
        <v>10080</v>
      </c>
      <c r="R430">
        <v>10080</v>
      </c>
    </row>
    <row r="431" spans="1:19">
      <c r="A431" s="165" t="s">
        <v>1473</v>
      </c>
      <c r="B431" s="165">
        <v>560</v>
      </c>
      <c r="C431" s="165" t="s">
        <v>1246</v>
      </c>
      <c r="D431" s="165">
        <v>7</v>
      </c>
      <c r="E431" s="165" t="s">
        <v>2322</v>
      </c>
      <c r="F431" s="165" t="s">
        <v>2323</v>
      </c>
      <c r="G431" s="165">
        <v>10080</v>
      </c>
      <c r="H431" s="165"/>
      <c r="I431" s="165"/>
      <c r="J431" s="165">
        <v>10080</v>
      </c>
      <c r="K431" s="165"/>
      <c r="L431" s="165"/>
      <c r="M431" s="165"/>
      <c r="N431" s="165">
        <f t="shared" si="7"/>
        <v>0</v>
      </c>
      <c r="O431" s="165" t="s">
        <v>621</v>
      </c>
      <c r="P431" s="165" t="s">
        <v>622</v>
      </c>
      <c r="Q431" s="3">
        <v>10080</v>
      </c>
      <c r="R431" s="3">
        <v>10080</v>
      </c>
      <c r="S431" s="3"/>
    </row>
    <row r="432" spans="1:19">
      <c r="A432" s="165" t="s">
        <v>1473</v>
      </c>
      <c r="B432" s="165">
        <v>561</v>
      </c>
      <c r="C432" s="165" t="s">
        <v>1246</v>
      </c>
      <c r="D432" s="165">
        <v>8</v>
      </c>
      <c r="E432" s="165" t="s">
        <v>2324</v>
      </c>
      <c r="F432" s="165" t="s">
        <v>2325</v>
      </c>
      <c r="G432" s="165">
        <v>10080</v>
      </c>
      <c r="H432" s="165"/>
      <c r="I432" s="165"/>
      <c r="J432" s="165">
        <v>10080</v>
      </c>
      <c r="K432" s="165"/>
      <c r="L432" s="165"/>
      <c r="M432" s="165"/>
      <c r="N432" s="165">
        <f t="shared" si="7"/>
        <v>0</v>
      </c>
      <c r="O432" s="165" t="s">
        <v>3161</v>
      </c>
      <c r="P432" s="165" t="s">
        <v>3162</v>
      </c>
      <c r="Q432" s="3">
        <v>10080</v>
      </c>
      <c r="R432">
        <v>10080</v>
      </c>
    </row>
    <row r="433" spans="1:21">
      <c r="A433" s="209" t="s">
        <v>2326</v>
      </c>
      <c r="B433" s="209"/>
      <c r="C433" s="205" t="s">
        <v>3825</v>
      </c>
      <c r="D433" s="226">
        <v>7</v>
      </c>
      <c r="E433" s="183" t="s">
        <v>1283</v>
      </c>
      <c r="F433" s="209" t="s">
        <v>2326</v>
      </c>
      <c r="G433" s="165"/>
      <c r="H433" s="165"/>
      <c r="I433" s="165"/>
      <c r="J433" s="209"/>
      <c r="K433" s="209"/>
      <c r="L433" s="209"/>
      <c r="M433" s="209"/>
      <c r="N433" s="209">
        <f t="shared" si="7"/>
        <v>0</v>
      </c>
      <c r="O433" s="209" t="s">
        <v>2326</v>
      </c>
      <c r="P433" s="209" t="s">
        <v>2326</v>
      </c>
      <c r="Q433" s="178">
        <v>14175</v>
      </c>
      <c r="R433" s="178">
        <v>14145</v>
      </c>
      <c r="S433" s="178"/>
      <c r="T433" s="3">
        <v>30</v>
      </c>
    </row>
    <row r="434" spans="1:21" s="95" customFormat="1">
      <c r="A434" s="182" t="s">
        <v>515</v>
      </c>
      <c r="B434" s="182"/>
      <c r="C434" s="210" t="s">
        <v>2060</v>
      </c>
      <c r="D434" s="226">
        <v>5</v>
      </c>
      <c r="E434" s="210" t="s">
        <v>1283</v>
      </c>
      <c r="F434" s="182" t="s">
        <v>515</v>
      </c>
      <c r="G434" s="179"/>
      <c r="H434" s="179"/>
      <c r="I434" s="179"/>
      <c r="J434" s="179"/>
      <c r="K434" s="179"/>
      <c r="L434" s="179"/>
      <c r="M434" s="179"/>
      <c r="N434" s="179">
        <f t="shared" si="7"/>
        <v>0</v>
      </c>
      <c r="O434" s="182" t="s">
        <v>515</v>
      </c>
      <c r="P434" s="182" t="s">
        <v>515</v>
      </c>
      <c r="Q434" s="182">
        <v>14175</v>
      </c>
      <c r="R434" s="182">
        <v>14175</v>
      </c>
      <c r="S434" s="182"/>
      <c r="T434" s="179">
        <v>0</v>
      </c>
      <c r="U434" s="210" t="s">
        <v>245</v>
      </c>
    </row>
    <row r="435" spans="1:21" s="95" customFormat="1">
      <c r="A435" s="182" t="s">
        <v>2327</v>
      </c>
      <c r="B435" s="182"/>
      <c r="C435" s="210" t="s">
        <v>2060</v>
      </c>
      <c r="D435" s="226">
        <v>6</v>
      </c>
      <c r="E435" s="210" t="s">
        <v>1283</v>
      </c>
      <c r="F435" s="182" t="s">
        <v>2327</v>
      </c>
      <c r="G435" s="179"/>
      <c r="H435" s="179"/>
      <c r="I435" s="179"/>
      <c r="J435" s="179"/>
      <c r="K435" s="179"/>
      <c r="L435" s="179"/>
      <c r="M435" s="179"/>
      <c r="N435" s="179">
        <f t="shared" si="7"/>
        <v>0</v>
      </c>
      <c r="O435" s="182" t="s">
        <v>2327</v>
      </c>
      <c r="P435" s="182" t="s">
        <v>2327</v>
      </c>
      <c r="Q435" s="182">
        <v>14175</v>
      </c>
      <c r="R435" s="182">
        <v>14165</v>
      </c>
      <c r="S435" s="182"/>
      <c r="T435" s="179">
        <v>10</v>
      </c>
      <c r="U435" s="210" t="s">
        <v>245</v>
      </c>
    </row>
    <row r="436" spans="1:21">
      <c r="A436" s="209" t="s">
        <v>914</v>
      </c>
      <c r="B436" s="209"/>
      <c r="C436" s="205" t="s">
        <v>1532</v>
      </c>
      <c r="D436" s="226">
        <v>8</v>
      </c>
      <c r="E436" s="183" t="s">
        <v>1283</v>
      </c>
      <c r="F436" s="209" t="s">
        <v>914</v>
      </c>
      <c r="G436" s="165"/>
      <c r="H436" s="165"/>
      <c r="I436" s="165"/>
      <c r="J436" s="165"/>
      <c r="K436" s="165"/>
      <c r="L436" s="165"/>
      <c r="M436" s="165"/>
      <c r="N436" s="165">
        <f t="shared" si="7"/>
        <v>0</v>
      </c>
      <c r="O436" s="209" t="s">
        <v>914</v>
      </c>
      <c r="P436" s="209" t="s">
        <v>914</v>
      </c>
      <c r="Q436" s="178">
        <v>13500</v>
      </c>
      <c r="R436" s="178">
        <v>13485</v>
      </c>
      <c r="S436" s="178"/>
      <c r="T436" s="3">
        <v>15</v>
      </c>
    </row>
    <row r="437" spans="1:21">
      <c r="A437" s="165" t="s">
        <v>559</v>
      </c>
      <c r="B437" s="165">
        <v>562</v>
      </c>
      <c r="C437" s="165" t="s">
        <v>1232</v>
      </c>
      <c r="D437" s="165">
        <v>6</v>
      </c>
      <c r="E437" s="165" t="s">
        <v>2328</v>
      </c>
      <c r="F437" s="165" t="s">
        <v>559</v>
      </c>
      <c r="G437" s="165">
        <v>16380</v>
      </c>
      <c r="H437" s="165"/>
      <c r="I437" s="165"/>
      <c r="J437" s="165"/>
      <c r="K437" s="165">
        <v>16380</v>
      </c>
      <c r="L437" s="165"/>
      <c r="M437" s="165"/>
      <c r="N437" s="165">
        <f t="shared" si="7"/>
        <v>0</v>
      </c>
      <c r="O437" s="165" t="s">
        <v>458</v>
      </c>
      <c r="P437" s="165" t="s">
        <v>2035</v>
      </c>
      <c r="Q437" s="3">
        <v>16380</v>
      </c>
      <c r="R437">
        <v>16380</v>
      </c>
    </row>
    <row r="438" spans="1:21">
      <c r="A438" s="209" t="s">
        <v>1460</v>
      </c>
      <c r="B438" s="209"/>
      <c r="C438" s="205" t="s">
        <v>2421</v>
      </c>
      <c r="D438" s="226">
        <v>8</v>
      </c>
      <c r="E438" s="183" t="s">
        <v>1283</v>
      </c>
      <c r="F438" s="209" t="s">
        <v>1460</v>
      </c>
      <c r="G438" s="165"/>
      <c r="H438" s="165"/>
      <c r="I438" s="165"/>
      <c r="J438" s="165"/>
      <c r="K438" s="165"/>
      <c r="L438" s="165"/>
      <c r="M438" s="165"/>
      <c r="N438" s="165">
        <f t="shared" si="7"/>
        <v>0</v>
      </c>
      <c r="O438" s="209" t="s">
        <v>1460</v>
      </c>
      <c r="P438" s="209" t="s">
        <v>1460</v>
      </c>
      <c r="Q438" s="178">
        <v>14175</v>
      </c>
      <c r="R438" s="178">
        <v>14165</v>
      </c>
      <c r="S438" s="178"/>
      <c r="T438" s="3">
        <v>10</v>
      </c>
    </row>
    <row r="439" spans="1:21">
      <c r="A439" s="165" t="s">
        <v>1977</v>
      </c>
      <c r="B439" s="165">
        <v>563</v>
      </c>
      <c r="C439" s="165" t="s">
        <v>1764</v>
      </c>
      <c r="D439" s="165">
        <v>1</v>
      </c>
      <c r="E439" s="165" t="s">
        <v>2329</v>
      </c>
      <c r="F439" s="165" t="s">
        <v>1475</v>
      </c>
      <c r="G439" s="165">
        <v>14175</v>
      </c>
      <c r="H439" s="165"/>
      <c r="I439" s="165"/>
      <c r="J439" s="165"/>
      <c r="K439" s="165">
        <v>14175</v>
      </c>
      <c r="L439" s="165"/>
      <c r="M439" s="165"/>
      <c r="N439" s="165">
        <f t="shared" si="7"/>
        <v>0</v>
      </c>
      <c r="O439" s="165" t="s">
        <v>500</v>
      </c>
      <c r="P439" s="165" t="s">
        <v>500</v>
      </c>
      <c r="Q439" s="3">
        <v>14175</v>
      </c>
      <c r="R439">
        <v>14175</v>
      </c>
    </row>
    <row r="440" spans="1:21">
      <c r="A440" s="165" t="s">
        <v>1977</v>
      </c>
      <c r="B440" s="165">
        <v>563</v>
      </c>
      <c r="C440" s="165" t="s">
        <v>1764</v>
      </c>
      <c r="D440" s="165">
        <v>1</v>
      </c>
      <c r="E440" s="165" t="s">
        <v>2329</v>
      </c>
      <c r="F440" s="165" t="s">
        <v>1475</v>
      </c>
      <c r="G440" s="165">
        <v>14175</v>
      </c>
      <c r="H440" s="165"/>
      <c r="I440" s="165"/>
      <c r="J440" s="165"/>
      <c r="K440" s="165">
        <v>14175</v>
      </c>
      <c r="L440" s="165"/>
      <c r="M440" s="165"/>
      <c r="N440" s="165">
        <f t="shared" si="7"/>
        <v>0</v>
      </c>
      <c r="O440" s="165" t="s">
        <v>499</v>
      </c>
      <c r="P440" s="165" t="s">
        <v>500</v>
      </c>
      <c r="Q440" s="3">
        <v>14175</v>
      </c>
      <c r="R440">
        <v>14175</v>
      </c>
    </row>
    <row r="441" spans="1:21">
      <c r="A441" s="165" t="s">
        <v>1977</v>
      </c>
      <c r="B441" s="165">
        <v>564</v>
      </c>
      <c r="C441" s="165" t="s">
        <v>1764</v>
      </c>
      <c r="D441" s="165">
        <v>2</v>
      </c>
      <c r="E441" s="165" t="s">
        <v>98</v>
      </c>
      <c r="F441" s="165" t="s">
        <v>2330</v>
      </c>
      <c r="G441" s="165">
        <v>14175</v>
      </c>
      <c r="H441" s="165"/>
      <c r="I441" s="165"/>
      <c r="J441" s="165"/>
      <c r="K441" s="165">
        <v>14175</v>
      </c>
      <c r="L441" s="165"/>
      <c r="M441" s="165"/>
      <c r="N441" s="165">
        <f t="shared" si="7"/>
        <v>0</v>
      </c>
      <c r="O441" s="165" t="s">
        <v>501</v>
      </c>
      <c r="P441" s="165" t="s">
        <v>2160</v>
      </c>
      <c r="Q441" s="3">
        <v>14175</v>
      </c>
      <c r="R441">
        <v>14175</v>
      </c>
    </row>
    <row r="442" spans="1:21">
      <c r="A442" s="165" t="s">
        <v>1977</v>
      </c>
      <c r="B442" s="165">
        <v>565</v>
      </c>
      <c r="C442" s="165" t="s">
        <v>1764</v>
      </c>
      <c r="D442" s="165">
        <v>3</v>
      </c>
      <c r="E442" s="165" t="s">
        <v>99</v>
      </c>
      <c r="F442" s="165" t="s">
        <v>2331</v>
      </c>
      <c r="G442" s="165">
        <v>14175</v>
      </c>
      <c r="H442" s="165"/>
      <c r="I442" s="165"/>
      <c r="J442" s="165"/>
      <c r="K442" s="165">
        <v>14175</v>
      </c>
      <c r="L442" s="165"/>
      <c r="M442" s="165"/>
      <c r="N442" s="165">
        <f t="shared" si="7"/>
        <v>0</v>
      </c>
      <c r="O442" s="165" t="s">
        <v>2162</v>
      </c>
      <c r="P442" s="165" t="s">
        <v>1024</v>
      </c>
      <c r="Q442" s="3">
        <v>14175</v>
      </c>
      <c r="R442">
        <v>14175</v>
      </c>
    </row>
    <row r="443" spans="1:21">
      <c r="A443" s="165" t="s">
        <v>1977</v>
      </c>
      <c r="B443" s="165">
        <v>566</v>
      </c>
      <c r="C443" s="165" t="s">
        <v>1764</v>
      </c>
      <c r="D443" s="165">
        <v>4</v>
      </c>
      <c r="E443" s="165" t="s">
        <v>100</v>
      </c>
      <c r="F443" s="165" t="s">
        <v>2332</v>
      </c>
      <c r="G443" s="165">
        <v>14175</v>
      </c>
      <c r="H443" s="165"/>
      <c r="I443" s="165"/>
      <c r="J443" s="165"/>
      <c r="K443" s="165">
        <v>14175</v>
      </c>
      <c r="L443" s="165"/>
      <c r="M443" s="165"/>
      <c r="N443" s="165">
        <f t="shared" si="7"/>
        <v>0</v>
      </c>
      <c r="O443" s="165" t="s">
        <v>2164</v>
      </c>
      <c r="P443" s="165" t="s">
        <v>1025</v>
      </c>
      <c r="Q443" s="3">
        <v>14175</v>
      </c>
      <c r="R443">
        <v>14175</v>
      </c>
    </row>
    <row r="444" spans="1:21">
      <c r="A444" s="165" t="s">
        <v>1977</v>
      </c>
      <c r="B444" s="165">
        <v>567</v>
      </c>
      <c r="C444" s="165" t="s">
        <v>1764</v>
      </c>
      <c r="D444" s="165">
        <v>5</v>
      </c>
      <c r="E444" s="165" t="s">
        <v>101</v>
      </c>
      <c r="F444" s="165" t="s">
        <v>2333</v>
      </c>
      <c r="G444" s="165">
        <v>14175</v>
      </c>
      <c r="H444" s="165"/>
      <c r="I444" s="165"/>
      <c r="J444" s="165"/>
      <c r="K444" s="165">
        <v>14175</v>
      </c>
      <c r="L444" s="165"/>
      <c r="M444" s="165"/>
      <c r="N444" s="165">
        <f t="shared" si="7"/>
        <v>0</v>
      </c>
      <c r="O444" s="165" t="s">
        <v>628</v>
      </c>
      <c r="P444" s="165" t="s">
        <v>629</v>
      </c>
      <c r="Q444" s="3">
        <v>14175</v>
      </c>
      <c r="R444">
        <v>14175</v>
      </c>
    </row>
    <row r="445" spans="1:21">
      <c r="A445" s="165" t="s">
        <v>1977</v>
      </c>
      <c r="B445" s="165">
        <v>568</v>
      </c>
      <c r="C445" s="165" t="s">
        <v>1764</v>
      </c>
      <c r="D445" s="165">
        <v>6</v>
      </c>
      <c r="E445" s="165" t="s">
        <v>102</v>
      </c>
      <c r="F445" s="165" t="s">
        <v>2334</v>
      </c>
      <c r="G445" s="165">
        <v>14175</v>
      </c>
      <c r="H445" s="165"/>
      <c r="I445" s="165"/>
      <c r="J445" s="165">
        <v>14175</v>
      </c>
      <c r="K445" s="165"/>
      <c r="L445" s="165"/>
      <c r="M445" s="165"/>
      <c r="N445" s="165">
        <f t="shared" si="7"/>
        <v>0</v>
      </c>
      <c r="O445" s="165" t="s">
        <v>3159</v>
      </c>
      <c r="P445" s="165" t="s">
        <v>3160</v>
      </c>
      <c r="Q445" s="3">
        <v>14175</v>
      </c>
      <c r="R445">
        <v>14175</v>
      </c>
    </row>
    <row r="446" spans="1:21">
      <c r="A446" s="165" t="s">
        <v>1977</v>
      </c>
      <c r="B446" s="165">
        <v>569</v>
      </c>
      <c r="C446" s="165" t="s">
        <v>1764</v>
      </c>
      <c r="D446" s="165">
        <v>7</v>
      </c>
      <c r="E446" s="165" t="s">
        <v>103</v>
      </c>
      <c r="F446" s="165" t="s">
        <v>2335</v>
      </c>
      <c r="G446" s="165">
        <v>14175</v>
      </c>
      <c r="H446" s="165"/>
      <c r="I446" s="165"/>
      <c r="J446" s="165">
        <v>14175</v>
      </c>
      <c r="K446" s="165"/>
      <c r="L446" s="165"/>
      <c r="M446" s="165"/>
      <c r="N446" s="165">
        <f t="shared" si="7"/>
        <v>0</v>
      </c>
      <c r="O446" s="165" t="s">
        <v>3164</v>
      </c>
      <c r="P446" s="165" t="s">
        <v>808</v>
      </c>
      <c r="Q446" s="3">
        <v>14175</v>
      </c>
      <c r="R446">
        <v>14175</v>
      </c>
    </row>
    <row r="447" spans="1:21">
      <c r="A447" s="165" t="s">
        <v>1977</v>
      </c>
      <c r="B447" s="165">
        <v>570</v>
      </c>
      <c r="C447" s="165" t="s">
        <v>1764</v>
      </c>
      <c r="D447" s="165">
        <v>8</v>
      </c>
      <c r="E447" s="165" t="s">
        <v>104</v>
      </c>
      <c r="F447" s="165" t="s">
        <v>2336</v>
      </c>
      <c r="G447" s="165">
        <v>14175</v>
      </c>
      <c r="H447" s="165"/>
      <c r="I447" s="165"/>
      <c r="J447" s="165">
        <v>14175</v>
      </c>
      <c r="K447" s="165"/>
      <c r="L447" s="165"/>
      <c r="M447" s="165"/>
      <c r="N447" s="165">
        <f t="shared" si="7"/>
        <v>0</v>
      </c>
      <c r="O447" s="165" t="s">
        <v>3165</v>
      </c>
      <c r="P447" s="165" t="s">
        <v>3166</v>
      </c>
      <c r="Q447" s="3">
        <v>14175</v>
      </c>
      <c r="R447">
        <v>14175</v>
      </c>
    </row>
    <row r="448" spans="1:21">
      <c r="A448" s="165" t="s">
        <v>1463</v>
      </c>
      <c r="B448" s="165">
        <v>571</v>
      </c>
      <c r="C448" s="165" t="s">
        <v>2687</v>
      </c>
      <c r="D448" s="165">
        <v>1</v>
      </c>
      <c r="E448" s="165" t="s">
        <v>2337</v>
      </c>
      <c r="F448" s="165" t="s">
        <v>1969</v>
      </c>
      <c r="G448" s="165">
        <v>14175</v>
      </c>
      <c r="H448" s="165"/>
      <c r="I448" s="165"/>
      <c r="J448" s="165"/>
      <c r="K448" s="165">
        <v>14175</v>
      </c>
      <c r="L448" s="165"/>
      <c r="M448" s="165"/>
      <c r="N448" s="165">
        <f t="shared" si="7"/>
        <v>0</v>
      </c>
      <c r="O448" s="165" t="s">
        <v>460</v>
      </c>
      <c r="P448" s="165" t="s">
        <v>1465</v>
      </c>
      <c r="Q448" s="3">
        <v>14175</v>
      </c>
      <c r="R448">
        <v>14175</v>
      </c>
    </row>
    <row r="449" spans="1:19">
      <c r="A449" s="165" t="s">
        <v>1463</v>
      </c>
      <c r="B449" s="165">
        <v>572</v>
      </c>
      <c r="C449" s="165" t="s">
        <v>2687</v>
      </c>
      <c r="D449" s="165">
        <v>2</v>
      </c>
      <c r="E449" s="165" t="s">
        <v>71</v>
      </c>
      <c r="F449" s="165" t="s">
        <v>2107</v>
      </c>
      <c r="G449" s="165">
        <v>14175</v>
      </c>
      <c r="H449" s="165"/>
      <c r="I449" s="165"/>
      <c r="J449" s="165"/>
      <c r="K449" s="165">
        <v>14175</v>
      </c>
      <c r="L449" s="165"/>
      <c r="M449" s="165"/>
      <c r="N449" s="165">
        <f t="shared" si="7"/>
        <v>0</v>
      </c>
      <c r="O449" s="165" t="s">
        <v>508</v>
      </c>
      <c r="P449" s="165" t="s">
        <v>2107</v>
      </c>
      <c r="Q449" s="3">
        <v>14175</v>
      </c>
      <c r="R449">
        <v>14175</v>
      </c>
    </row>
    <row r="450" spans="1:19">
      <c r="A450" s="165" t="s">
        <v>1463</v>
      </c>
      <c r="B450" s="165">
        <v>573</v>
      </c>
      <c r="C450" s="165" t="s">
        <v>2687</v>
      </c>
      <c r="D450" s="165">
        <v>3</v>
      </c>
      <c r="E450" s="165" t="s">
        <v>72</v>
      </c>
      <c r="F450" s="165" t="s">
        <v>2109</v>
      </c>
      <c r="G450" s="165">
        <v>14175</v>
      </c>
      <c r="H450" s="165"/>
      <c r="I450" s="165"/>
      <c r="J450" s="165"/>
      <c r="K450" s="165">
        <v>14175</v>
      </c>
      <c r="L450" s="165"/>
      <c r="M450" s="165"/>
      <c r="N450" s="165">
        <f t="shared" si="7"/>
        <v>0</v>
      </c>
      <c r="O450" s="165" t="s">
        <v>615</v>
      </c>
      <c r="P450" s="165" t="s">
        <v>616</v>
      </c>
      <c r="Q450" s="3">
        <v>14175</v>
      </c>
      <c r="R450">
        <v>14175</v>
      </c>
    </row>
    <row r="451" spans="1:19">
      <c r="A451" s="165" t="s">
        <v>1463</v>
      </c>
      <c r="B451" s="165">
        <v>574</v>
      </c>
      <c r="C451" s="165" t="s">
        <v>2687</v>
      </c>
      <c r="D451" s="165">
        <v>4</v>
      </c>
      <c r="E451" s="165" t="s">
        <v>73</v>
      </c>
      <c r="F451" s="165" t="s">
        <v>2111</v>
      </c>
      <c r="G451" s="165">
        <v>14175</v>
      </c>
      <c r="H451" s="165"/>
      <c r="I451" s="165"/>
      <c r="J451" s="165"/>
      <c r="K451" s="165">
        <v>14175</v>
      </c>
      <c r="L451" s="165"/>
      <c r="M451" s="165"/>
      <c r="N451" s="165">
        <f t="shared" si="7"/>
        <v>0</v>
      </c>
      <c r="O451" s="165" t="s">
        <v>617</v>
      </c>
      <c r="P451" s="165" t="s">
        <v>618</v>
      </c>
      <c r="Q451" s="3">
        <v>14175</v>
      </c>
      <c r="R451" s="10">
        <v>14175</v>
      </c>
      <c r="S451" s="10"/>
    </row>
    <row r="452" spans="1:19">
      <c r="A452" s="165" t="s">
        <v>1463</v>
      </c>
      <c r="B452" s="165">
        <v>575</v>
      </c>
      <c r="C452" s="165" t="s">
        <v>2687</v>
      </c>
      <c r="D452" s="165">
        <v>5</v>
      </c>
      <c r="E452" s="165" t="s">
        <v>74</v>
      </c>
      <c r="F452" s="165" t="s">
        <v>2338</v>
      </c>
      <c r="G452" s="165">
        <v>14175</v>
      </c>
      <c r="H452" s="165"/>
      <c r="I452" s="165"/>
      <c r="J452" s="165"/>
      <c r="K452" s="165">
        <v>14175</v>
      </c>
      <c r="L452" s="165"/>
      <c r="M452" s="165"/>
      <c r="N452" s="165">
        <f t="shared" si="7"/>
        <v>0</v>
      </c>
      <c r="O452" s="165" t="s">
        <v>628</v>
      </c>
      <c r="P452" s="165" t="s">
        <v>629</v>
      </c>
      <c r="Q452" s="3">
        <v>14175</v>
      </c>
      <c r="R452">
        <v>14175</v>
      </c>
    </row>
    <row r="453" spans="1:19">
      <c r="A453" s="165" t="s">
        <v>1463</v>
      </c>
      <c r="B453" s="165">
        <v>576</v>
      </c>
      <c r="C453" s="165" t="s">
        <v>2687</v>
      </c>
      <c r="D453" s="165">
        <v>6</v>
      </c>
      <c r="E453" s="165" t="s">
        <v>75</v>
      </c>
      <c r="F453" s="165" t="s">
        <v>2339</v>
      </c>
      <c r="G453" s="165">
        <v>14175</v>
      </c>
      <c r="H453" s="165"/>
      <c r="I453" s="165"/>
      <c r="J453" s="165">
        <v>14175</v>
      </c>
      <c r="K453" s="165"/>
      <c r="L453" s="165"/>
      <c r="M453" s="165"/>
      <c r="N453" s="165">
        <f t="shared" si="7"/>
        <v>0</v>
      </c>
      <c r="O453" s="165" t="s">
        <v>3159</v>
      </c>
      <c r="P453" s="165" t="s">
        <v>3160</v>
      </c>
      <c r="Q453" s="3">
        <v>14175</v>
      </c>
      <c r="R453">
        <v>14175</v>
      </c>
    </row>
    <row r="454" spans="1:19">
      <c r="A454" s="165" t="s">
        <v>1463</v>
      </c>
      <c r="B454" s="165">
        <v>577</v>
      </c>
      <c r="C454" s="165" t="s">
        <v>2687</v>
      </c>
      <c r="D454" s="165">
        <v>7</v>
      </c>
      <c r="E454" s="165" t="s">
        <v>76</v>
      </c>
      <c r="F454" s="165" t="s">
        <v>2340</v>
      </c>
      <c r="G454" s="165">
        <v>14175</v>
      </c>
      <c r="H454" s="165"/>
      <c r="I454" s="165"/>
      <c r="J454" s="165">
        <v>14175</v>
      </c>
      <c r="K454" s="165"/>
      <c r="L454" s="165"/>
      <c r="M454" s="165"/>
      <c r="N454" s="165">
        <f t="shared" si="7"/>
        <v>0</v>
      </c>
      <c r="O454" s="165" t="s">
        <v>3164</v>
      </c>
      <c r="P454" s="165" t="s">
        <v>808</v>
      </c>
      <c r="Q454" s="3">
        <v>14175</v>
      </c>
      <c r="R454">
        <v>14175</v>
      </c>
    </row>
    <row r="455" spans="1:19">
      <c r="A455" s="165" t="s">
        <v>1463</v>
      </c>
      <c r="B455" s="165">
        <v>578</v>
      </c>
      <c r="C455" s="165" t="s">
        <v>2687</v>
      </c>
      <c r="D455" s="165">
        <v>8</v>
      </c>
      <c r="E455" s="165" t="s">
        <v>77</v>
      </c>
      <c r="F455" s="165" t="s">
        <v>2341</v>
      </c>
      <c r="G455" s="165">
        <v>14175</v>
      </c>
      <c r="H455" s="165"/>
      <c r="I455" s="165"/>
      <c r="J455" s="165">
        <v>14175</v>
      </c>
      <c r="K455" s="165"/>
      <c r="L455" s="165"/>
      <c r="M455" s="165"/>
      <c r="N455" s="165">
        <f t="shared" si="7"/>
        <v>0</v>
      </c>
      <c r="O455" s="165" t="s">
        <v>3165</v>
      </c>
      <c r="P455" s="165" t="s">
        <v>3166</v>
      </c>
      <c r="Q455" s="3">
        <v>14175</v>
      </c>
      <c r="R455">
        <v>14175</v>
      </c>
    </row>
    <row r="456" spans="1:19">
      <c r="A456" s="165" t="s">
        <v>2342</v>
      </c>
      <c r="B456" s="165">
        <v>579</v>
      </c>
      <c r="C456" s="165" t="s">
        <v>1270</v>
      </c>
      <c r="D456" s="165">
        <v>1</v>
      </c>
      <c r="E456" s="165" t="s">
        <v>2343</v>
      </c>
      <c r="F456" s="165" t="s">
        <v>1469</v>
      </c>
      <c r="G456" s="165">
        <v>20475</v>
      </c>
      <c r="H456" s="165"/>
      <c r="I456" s="165"/>
      <c r="J456" s="165"/>
      <c r="K456" s="165">
        <v>20475</v>
      </c>
      <c r="L456" s="165"/>
      <c r="M456" s="165"/>
      <c r="N456" s="165">
        <f t="shared" si="7"/>
        <v>0</v>
      </c>
      <c r="O456" s="165" t="s">
        <v>458</v>
      </c>
      <c r="P456" s="165" t="s">
        <v>2035</v>
      </c>
      <c r="Q456" s="3">
        <v>20475</v>
      </c>
      <c r="R456">
        <v>20475</v>
      </c>
    </row>
    <row r="457" spans="1:19">
      <c r="A457" s="165" t="s">
        <v>2342</v>
      </c>
      <c r="B457" s="165">
        <v>580</v>
      </c>
      <c r="C457" s="165" t="s">
        <v>1270</v>
      </c>
      <c r="D457" s="165">
        <v>2</v>
      </c>
      <c r="E457" s="165" t="s">
        <v>69</v>
      </c>
      <c r="F457" s="165" t="s">
        <v>2120</v>
      </c>
      <c r="G457" s="165">
        <v>20475</v>
      </c>
      <c r="H457" s="165"/>
      <c r="I457" s="165"/>
      <c r="J457" s="165"/>
      <c r="K457" s="165">
        <v>20475</v>
      </c>
      <c r="L457" s="165"/>
      <c r="M457" s="165"/>
      <c r="N457" s="165">
        <f t="shared" si="7"/>
        <v>0</v>
      </c>
      <c r="O457" s="165" t="s">
        <v>496</v>
      </c>
      <c r="P457" s="165" t="s">
        <v>497</v>
      </c>
      <c r="Q457" s="3">
        <v>20475</v>
      </c>
      <c r="R457">
        <v>20475</v>
      </c>
    </row>
    <row r="458" spans="1:19">
      <c r="A458" s="165" t="s">
        <v>2342</v>
      </c>
      <c r="B458" s="165">
        <v>581</v>
      </c>
      <c r="C458" s="165" t="s">
        <v>1270</v>
      </c>
      <c r="D458" s="165">
        <v>3</v>
      </c>
      <c r="E458" s="165" t="s">
        <v>70</v>
      </c>
      <c r="F458" s="165" t="s">
        <v>2344</v>
      </c>
      <c r="G458" s="165">
        <v>20475</v>
      </c>
      <c r="H458" s="165"/>
      <c r="I458" s="165"/>
      <c r="J458" s="165"/>
      <c r="K458" s="165">
        <v>20475</v>
      </c>
      <c r="L458" s="165"/>
      <c r="M458" s="165"/>
      <c r="N458" s="165">
        <f t="shared" si="7"/>
        <v>0</v>
      </c>
      <c r="O458" s="165" t="s">
        <v>631</v>
      </c>
      <c r="P458" s="165" t="s">
        <v>632</v>
      </c>
      <c r="Q458" s="3">
        <v>20475</v>
      </c>
      <c r="R458">
        <v>20475</v>
      </c>
    </row>
    <row r="459" spans="1:19">
      <c r="A459" s="165" t="s">
        <v>2342</v>
      </c>
      <c r="B459" s="165">
        <v>582</v>
      </c>
      <c r="C459" s="165" t="s">
        <v>1270</v>
      </c>
      <c r="D459" s="165">
        <v>4</v>
      </c>
      <c r="E459" s="165" t="s">
        <v>68</v>
      </c>
      <c r="F459" s="165" t="s">
        <v>2345</v>
      </c>
      <c r="G459" s="165">
        <v>20475</v>
      </c>
      <c r="H459" s="165"/>
      <c r="I459" s="165"/>
      <c r="J459" s="165"/>
      <c r="K459" s="165">
        <v>20475</v>
      </c>
      <c r="L459" s="165"/>
      <c r="M459" s="165"/>
      <c r="N459" s="165">
        <f t="shared" si="7"/>
        <v>0</v>
      </c>
      <c r="O459" s="165" t="s">
        <v>633</v>
      </c>
      <c r="P459" s="165" t="s">
        <v>634</v>
      </c>
      <c r="Q459" s="3">
        <v>20475</v>
      </c>
      <c r="R459">
        <v>20475</v>
      </c>
    </row>
    <row r="460" spans="1:19">
      <c r="A460" s="165" t="s">
        <v>1469</v>
      </c>
      <c r="B460" s="165">
        <v>583</v>
      </c>
      <c r="C460" s="165" t="s">
        <v>2346</v>
      </c>
      <c r="D460" s="165">
        <v>1</v>
      </c>
      <c r="E460" s="165" t="s">
        <v>2347</v>
      </c>
      <c r="F460" s="165" t="s">
        <v>2348</v>
      </c>
      <c r="G460" s="165">
        <v>14175</v>
      </c>
      <c r="H460" s="165"/>
      <c r="I460" s="165"/>
      <c r="J460" s="165"/>
      <c r="K460" s="165">
        <v>14175</v>
      </c>
      <c r="L460" s="165"/>
      <c r="M460" s="165"/>
      <c r="N460" s="165">
        <f t="shared" si="7"/>
        <v>0</v>
      </c>
      <c r="O460" s="165" t="s">
        <v>500</v>
      </c>
      <c r="P460" s="165" t="s">
        <v>500</v>
      </c>
      <c r="Q460" s="3">
        <v>14175</v>
      </c>
      <c r="R460">
        <v>14175</v>
      </c>
    </row>
    <row r="461" spans="1:19">
      <c r="A461" s="165" t="s">
        <v>1469</v>
      </c>
      <c r="B461" s="165">
        <v>584</v>
      </c>
      <c r="C461" s="165" t="s">
        <v>2346</v>
      </c>
      <c r="D461" s="165">
        <v>2</v>
      </c>
      <c r="E461" s="165" t="s">
        <v>105</v>
      </c>
      <c r="F461" s="165" t="s">
        <v>2349</v>
      </c>
      <c r="G461" s="165">
        <v>14175</v>
      </c>
      <c r="H461" s="165"/>
      <c r="I461" s="165"/>
      <c r="J461" s="165"/>
      <c r="K461" s="165">
        <v>14175</v>
      </c>
      <c r="L461" s="165"/>
      <c r="M461" s="165"/>
      <c r="N461" s="165">
        <f t="shared" si="7"/>
        <v>0</v>
      </c>
      <c r="O461" s="165" t="s">
        <v>501</v>
      </c>
      <c r="P461" s="165" t="s">
        <v>2160</v>
      </c>
      <c r="Q461" s="3">
        <v>14175</v>
      </c>
      <c r="R461">
        <v>14175</v>
      </c>
    </row>
    <row r="462" spans="1:19">
      <c r="A462" s="165" t="s">
        <v>1469</v>
      </c>
      <c r="B462" s="165">
        <v>585</v>
      </c>
      <c r="C462" s="165" t="s">
        <v>2346</v>
      </c>
      <c r="D462" s="165">
        <v>3</v>
      </c>
      <c r="E462" s="165" t="s">
        <v>106</v>
      </c>
      <c r="F462" s="165" t="s">
        <v>2350</v>
      </c>
      <c r="G462" s="165">
        <v>14175</v>
      </c>
      <c r="H462" s="165"/>
      <c r="I462" s="165"/>
      <c r="J462" s="165"/>
      <c r="K462" s="165">
        <v>14175</v>
      </c>
      <c r="L462" s="165"/>
      <c r="M462" s="165"/>
      <c r="N462" s="165">
        <f t="shared" si="7"/>
        <v>0</v>
      </c>
      <c r="O462" s="165" t="s">
        <v>2162</v>
      </c>
      <c r="P462" s="165" t="s">
        <v>1024</v>
      </c>
      <c r="Q462" s="3">
        <v>14175</v>
      </c>
      <c r="R462">
        <v>14175</v>
      </c>
    </row>
    <row r="463" spans="1:19">
      <c r="A463" s="165" t="s">
        <v>1469</v>
      </c>
      <c r="B463" s="165">
        <v>586</v>
      </c>
      <c r="C463" s="165" t="s">
        <v>2346</v>
      </c>
      <c r="D463" s="165">
        <v>4</v>
      </c>
      <c r="E463" s="165" t="s">
        <v>2351</v>
      </c>
      <c r="F463" s="165" t="s">
        <v>2352</v>
      </c>
      <c r="G463" s="165">
        <v>14175</v>
      </c>
      <c r="H463" s="165"/>
      <c r="I463" s="165"/>
      <c r="J463" s="165"/>
      <c r="K463" s="165">
        <v>14175</v>
      </c>
      <c r="L463" s="165"/>
      <c r="M463" s="165"/>
      <c r="N463" s="165">
        <f t="shared" si="7"/>
        <v>0</v>
      </c>
      <c r="O463" s="165" t="s">
        <v>2164</v>
      </c>
      <c r="P463" s="165" t="s">
        <v>1025</v>
      </c>
      <c r="Q463" s="3">
        <v>14175</v>
      </c>
      <c r="R463">
        <v>14175</v>
      </c>
    </row>
    <row r="464" spans="1:19">
      <c r="A464" s="165" t="s">
        <v>1469</v>
      </c>
      <c r="B464" s="165">
        <v>587</v>
      </c>
      <c r="C464" s="165" t="s">
        <v>2346</v>
      </c>
      <c r="D464" s="165">
        <v>5</v>
      </c>
      <c r="E464" s="165" t="s">
        <v>107</v>
      </c>
      <c r="F464" s="165" t="s">
        <v>2353</v>
      </c>
      <c r="G464" s="165">
        <v>14175</v>
      </c>
      <c r="H464" s="165"/>
      <c r="I464" s="165"/>
      <c r="J464" s="165"/>
      <c r="K464" s="165">
        <v>14175</v>
      </c>
      <c r="L464" s="165"/>
      <c r="M464" s="165"/>
      <c r="N464" s="165">
        <f t="shared" si="7"/>
        <v>0</v>
      </c>
      <c r="O464" s="165" t="s">
        <v>628</v>
      </c>
      <c r="P464" s="165" t="s">
        <v>629</v>
      </c>
      <c r="Q464" s="3">
        <v>14175</v>
      </c>
      <c r="R464">
        <v>14175</v>
      </c>
    </row>
    <row r="465" spans="1:20" s="8" customFormat="1">
      <c r="A465" s="184" t="s">
        <v>1469</v>
      </c>
      <c r="B465" s="184">
        <v>588</v>
      </c>
      <c r="C465" s="184" t="s">
        <v>2346</v>
      </c>
      <c r="D465" s="184">
        <v>6</v>
      </c>
      <c r="E465" s="184" t="s">
        <v>108</v>
      </c>
      <c r="F465" s="184" t="s">
        <v>2354</v>
      </c>
      <c r="G465" s="184">
        <v>14175</v>
      </c>
      <c r="H465" s="184"/>
      <c r="I465" s="184"/>
      <c r="J465" s="184"/>
      <c r="K465" s="184"/>
      <c r="L465" s="184"/>
      <c r="M465" s="184"/>
      <c r="N465" s="184">
        <f t="shared" si="7"/>
        <v>14175</v>
      </c>
      <c r="O465" s="184"/>
      <c r="P465" s="184"/>
      <c r="Q465" s="184"/>
      <c r="T465" s="184" t="s">
        <v>635</v>
      </c>
    </row>
    <row r="466" spans="1:20" s="8" customFormat="1">
      <c r="A466" s="184" t="s">
        <v>1469</v>
      </c>
      <c r="B466" s="184">
        <v>589</v>
      </c>
      <c r="C466" s="184" t="s">
        <v>2346</v>
      </c>
      <c r="D466" s="184">
        <v>7</v>
      </c>
      <c r="E466" s="184" t="s">
        <v>109</v>
      </c>
      <c r="F466" s="184" t="s">
        <v>2355</v>
      </c>
      <c r="G466" s="184">
        <v>14175</v>
      </c>
      <c r="H466" s="184"/>
      <c r="I466" s="184"/>
      <c r="J466" s="184"/>
      <c r="K466" s="184"/>
      <c r="L466" s="184"/>
      <c r="M466" s="184"/>
      <c r="N466" s="184">
        <f t="shared" si="7"/>
        <v>14175</v>
      </c>
      <c r="O466" s="184"/>
      <c r="P466" s="184"/>
      <c r="Q466" s="184"/>
      <c r="T466" s="184" t="s">
        <v>635</v>
      </c>
    </row>
    <row r="467" spans="1:20" s="8" customFormat="1">
      <c r="A467" s="184" t="s">
        <v>1469</v>
      </c>
      <c r="B467" s="184">
        <v>590</v>
      </c>
      <c r="C467" s="184" t="s">
        <v>2346</v>
      </c>
      <c r="D467" s="184">
        <v>8</v>
      </c>
      <c r="E467" s="184" t="s">
        <v>110</v>
      </c>
      <c r="F467" s="184" t="s">
        <v>2356</v>
      </c>
      <c r="G467" s="184">
        <v>14175</v>
      </c>
      <c r="H467" s="184"/>
      <c r="I467" s="184"/>
      <c r="J467" s="184"/>
      <c r="K467" s="184"/>
      <c r="L467" s="184"/>
      <c r="M467" s="184"/>
      <c r="N467" s="184">
        <f t="shared" si="7"/>
        <v>14175</v>
      </c>
      <c r="O467" s="184"/>
      <c r="P467" s="184"/>
      <c r="Q467" s="184"/>
      <c r="T467" s="184" t="s">
        <v>635</v>
      </c>
    </row>
    <row r="468" spans="1:20">
      <c r="A468" s="165" t="s">
        <v>2357</v>
      </c>
      <c r="B468" s="165">
        <v>591</v>
      </c>
      <c r="C468" s="165" t="s">
        <v>1761</v>
      </c>
      <c r="D468" s="165">
        <v>1</v>
      </c>
      <c r="E468" s="165" t="s">
        <v>2358</v>
      </c>
      <c r="F468" s="165" t="s">
        <v>1873</v>
      </c>
      <c r="G468" s="165">
        <v>8977</v>
      </c>
      <c r="H468" s="165"/>
      <c r="I468" s="165"/>
      <c r="J468" s="165"/>
      <c r="K468" s="165">
        <v>8977</v>
      </c>
      <c r="L468" s="165"/>
      <c r="M468" s="165"/>
      <c r="N468" s="165">
        <f t="shared" si="7"/>
        <v>0</v>
      </c>
      <c r="O468" s="165" t="s">
        <v>458</v>
      </c>
      <c r="P468" s="165" t="s">
        <v>2035</v>
      </c>
      <c r="Q468" s="3">
        <v>8977</v>
      </c>
      <c r="R468">
        <v>8977</v>
      </c>
    </row>
    <row r="469" spans="1:20">
      <c r="A469" s="165" t="s">
        <v>2357</v>
      </c>
      <c r="B469" s="165">
        <v>592</v>
      </c>
      <c r="C469" s="165" t="s">
        <v>1761</v>
      </c>
      <c r="D469" s="165">
        <v>2</v>
      </c>
      <c r="E469" s="165" t="s">
        <v>78</v>
      </c>
      <c r="F469" s="165" t="s">
        <v>2049</v>
      </c>
      <c r="G469" s="165">
        <v>8978</v>
      </c>
      <c r="H469" s="165"/>
      <c r="I469" s="165"/>
      <c r="J469" s="165"/>
      <c r="K469" s="165">
        <v>8978</v>
      </c>
      <c r="L469" s="165"/>
      <c r="M469" s="165"/>
      <c r="N469" s="165">
        <f t="shared" si="7"/>
        <v>0</v>
      </c>
      <c r="O469" s="165" t="s">
        <v>505</v>
      </c>
      <c r="P469" s="165" t="s">
        <v>505</v>
      </c>
      <c r="Q469" s="3">
        <v>8977</v>
      </c>
      <c r="R469">
        <v>8978</v>
      </c>
    </row>
    <row r="470" spans="1:20">
      <c r="A470" s="165" t="s">
        <v>2357</v>
      </c>
      <c r="B470" s="165">
        <v>593</v>
      </c>
      <c r="C470" s="165" t="s">
        <v>1761</v>
      </c>
      <c r="D470" s="165">
        <v>3</v>
      </c>
      <c r="E470" s="165" t="s">
        <v>79</v>
      </c>
      <c r="F470" s="165" t="s">
        <v>2051</v>
      </c>
      <c r="G470" s="165">
        <v>8977</v>
      </c>
      <c r="H470" s="165"/>
      <c r="I470" s="165"/>
      <c r="J470" s="165"/>
      <c r="K470" s="165">
        <v>8977</v>
      </c>
      <c r="L470" s="165"/>
      <c r="M470" s="165"/>
      <c r="N470" s="165">
        <f t="shared" si="7"/>
        <v>0</v>
      </c>
      <c r="O470" s="165" t="s">
        <v>506</v>
      </c>
      <c r="P470" s="165" t="s">
        <v>507</v>
      </c>
      <c r="Q470" s="3">
        <v>8977</v>
      </c>
      <c r="R470">
        <v>8977</v>
      </c>
    </row>
    <row r="471" spans="1:20">
      <c r="A471" s="165" t="s">
        <v>2357</v>
      </c>
      <c r="B471" s="165">
        <v>594</v>
      </c>
      <c r="C471" s="165" t="s">
        <v>1761</v>
      </c>
      <c r="D471" s="165">
        <v>4</v>
      </c>
      <c r="E471" s="165" t="s">
        <v>80</v>
      </c>
      <c r="F471" s="165" t="s">
        <v>2190</v>
      </c>
      <c r="G471" s="165">
        <v>8978</v>
      </c>
      <c r="H471" s="165"/>
      <c r="I471" s="165"/>
      <c r="J471" s="165"/>
      <c r="K471" s="165">
        <v>8978</v>
      </c>
      <c r="L471" s="165"/>
      <c r="M471" s="165"/>
      <c r="N471" s="165">
        <f t="shared" si="7"/>
        <v>0</v>
      </c>
      <c r="O471" s="165" t="s">
        <v>627</v>
      </c>
      <c r="P471" s="165" t="s">
        <v>827</v>
      </c>
      <c r="Q471" s="3">
        <v>8978</v>
      </c>
      <c r="R471">
        <v>8978</v>
      </c>
    </row>
    <row r="472" spans="1:20">
      <c r="A472" s="165" t="s">
        <v>2357</v>
      </c>
      <c r="B472" s="165">
        <v>595</v>
      </c>
      <c r="C472" s="165" t="s">
        <v>1761</v>
      </c>
      <c r="D472" s="165">
        <v>5</v>
      </c>
      <c r="E472" s="165" t="s">
        <v>81</v>
      </c>
      <c r="F472" s="165" t="s">
        <v>2192</v>
      </c>
      <c r="G472" s="165">
        <v>8977</v>
      </c>
      <c r="H472" s="165"/>
      <c r="I472" s="165"/>
      <c r="J472" s="165"/>
      <c r="K472" s="165">
        <v>8977</v>
      </c>
      <c r="L472" s="165"/>
      <c r="M472" s="165"/>
      <c r="N472" s="165">
        <f t="shared" si="7"/>
        <v>0</v>
      </c>
      <c r="O472" s="165" t="s">
        <v>613</v>
      </c>
      <c r="P472" s="165" t="s">
        <v>614</v>
      </c>
      <c r="Q472" s="3">
        <v>8977</v>
      </c>
      <c r="R472">
        <v>8977</v>
      </c>
    </row>
    <row r="473" spans="1:20">
      <c r="A473" s="165" t="s">
        <v>2357</v>
      </c>
      <c r="B473" s="165">
        <v>596</v>
      </c>
      <c r="C473" s="165" t="s">
        <v>1761</v>
      </c>
      <c r="D473" s="165">
        <v>6</v>
      </c>
      <c r="E473" s="165" t="s">
        <v>82</v>
      </c>
      <c r="F473" s="165" t="s">
        <v>2194</v>
      </c>
      <c r="G473" s="165">
        <v>8978</v>
      </c>
      <c r="H473" s="165"/>
      <c r="I473" s="165"/>
      <c r="J473" s="165">
        <v>8978</v>
      </c>
      <c r="K473" s="165"/>
      <c r="L473" s="165"/>
      <c r="M473" s="165"/>
      <c r="N473" s="165">
        <f t="shared" si="7"/>
        <v>0</v>
      </c>
      <c r="O473" s="165" t="s">
        <v>621</v>
      </c>
      <c r="P473" s="165" t="s">
        <v>622</v>
      </c>
      <c r="Q473" s="3">
        <v>8978</v>
      </c>
      <c r="R473">
        <v>8978</v>
      </c>
    </row>
    <row r="474" spans="1:20">
      <c r="A474" s="165" t="s">
        <v>2357</v>
      </c>
      <c r="B474" s="165">
        <v>597</v>
      </c>
      <c r="C474" s="165" t="s">
        <v>1761</v>
      </c>
      <c r="D474" s="165">
        <v>7</v>
      </c>
      <c r="E474" s="165" t="s">
        <v>83</v>
      </c>
      <c r="F474" s="165" t="s">
        <v>2325</v>
      </c>
      <c r="G474" s="165">
        <v>8977</v>
      </c>
      <c r="H474" s="165"/>
      <c r="I474" s="165"/>
      <c r="J474" s="165">
        <v>8977</v>
      </c>
      <c r="K474" s="165"/>
      <c r="L474" s="165"/>
      <c r="M474" s="165"/>
      <c r="N474" s="165">
        <f t="shared" si="7"/>
        <v>0</v>
      </c>
      <c r="O474" s="165" t="s">
        <v>3161</v>
      </c>
      <c r="P474" s="165" t="s">
        <v>3162</v>
      </c>
      <c r="Q474" s="3">
        <v>8977</v>
      </c>
      <c r="R474">
        <v>8977</v>
      </c>
    </row>
    <row r="475" spans="1:20">
      <c r="A475" s="165" t="s">
        <v>2357</v>
      </c>
      <c r="B475" s="165">
        <v>598</v>
      </c>
      <c r="C475" s="165" t="s">
        <v>1761</v>
      </c>
      <c r="D475" s="165">
        <v>8</v>
      </c>
      <c r="E475" s="165" t="s">
        <v>84</v>
      </c>
      <c r="F475" s="165" t="s">
        <v>683</v>
      </c>
      <c r="G475" s="165">
        <v>8978</v>
      </c>
      <c r="H475" s="165"/>
      <c r="I475" s="165"/>
      <c r="J475" s="165">
        <v>8978</v>
      </c>
      <c r="K475" s="165"/>
      <c r="L475" s="165"/>
      <c r="M475" s="165"/>
      <c r="N475" s="165">
        <f t="shared" si="7"/>
        <v>0</v>
      </c>
      <c r="O475" s="165" t="s">
        <v>3164</v>
      </c>
      <c r="P475" s="165" t="s">
        <v>808</v>
      </c>
      <c r="Q475" s="3">
        <v>8978</v>
      </c>
      <c r="R475">
        <v>8978</v>
      </c>
    </row>
    <row r="476" spans="1:20">
      <c r="A476" s="165" t="s">
        <v>2359</v>
      </c>
      <c r="B476" s="165">
        <v>599</v>
      </c>
      <c r="C476" s="165" t="s">
        <v>2691</v>
      </c>
      <c r="D476" s="165">
        <v>1</v>
      </c>
      <c r="E476" s="165" t="s">
        <v>2360</v>
      </c>
      <c r="F476" s="165" t="s">
        <v>2361</v>
      </c>
      <c r="G476" s="165">
        <v>14175</v>
      </c>
      <c r="H476" s="165"/>
      <c r="I476" s="165"/>
      <c r="J476" s="165"/>
      <c r="K476" s="165">
        <v>14175</v>
      </c>
      <c r="L476" s="165"/>
      <c r="M476" s="165"/>
      <c r="N476" s="165">
        <f t="shared" ref="N476:N509" si="8">G476-J476-K476</f>
        <v>0</v>
      </c>
      <c r="O476" s="165" t="s">
        <v>458</v>
      </c>
      <c r="P476" s="165" t="s">
        <v>2035</v>
      </c>
      <c r="Q476" s="3">
        <v>14175</v>
      </c>
      <c r="R476">
        <v>14175</v>
      </c>
    </row>
    <row r="477" spans="1:20">
      <c r="A477" s="165" t="s">
        <v>2359</v>
      </c>
      <c r="B477" s="165">
        <v>600</v>
      </c>
      <c r="C477" s="165" t="s">
        <v>2691</v>
      </c>
      <c r="D477" s="165">
        <v>2</v>
      </c>
      <c r="E477" s="165" t="s">
        <v>91</v>
      </c>
      <c r="F477" s="165" t="s">
        <v>469</v>
      </c>
      <c r="G477" s="165">
        <v>14175</v>
      </c>
      <c r="H477" s="165"/>
      <c r="I477" s="165"/>
      <c r="J477" s="165"/>
      <c r="K477" s="165">
        <v>14175</v>
      </c>
      <c r="L477" s="165"/>
      <c r="M477" s="165"/>
      <c r="N477" s="165">
        <f t="shared" si="8"/>
        <v>0</v>
      </c>
      <c r="O477" s="165" t="s">
        <v>469</v>
      </c>
      <c r="P477" s="165" t="s">
        <v>470</v>
      </c>
      <c r="Q477" s="3">
        <v>14175</v>
      </c>
      <c r="R477">
        <v>14175</v>
      </c>
    </row>
    <row r="478" spans="1:20">
      <c r="A478" s="165" t="s">
        <v>2359</v>
      </c>
      <c r="B478" s="165">
        <v>601</v>
      </c>
      <c r="C478" s="165" t="s">
        <v>2691</v>
      </c>
      <c r="D478" s="165">
        <v>3</v>
      </c>
      <c r="E478" s="165" t="s">
        <v>92</v>
      </c>
      <c r="F478" s="165" t="s">
        <v>2362</v>
      </c>
      <c r="G478" s="165">
        <v>14175</v>
      </c>
      <c r="H478" s="165"/>
      <c r="I478" s="165"/>
      <c r="J478" s="165"/>
      <c r="K478" s="165">
        <v>14175</v>
      </c>
      <c r="L478" s="165"/>
      <c r="M478" s="165"/>
      <c r="N478" s="165">
        <f t="shared" si="8"/>
        <v>0</v>
      </c>
      <c r="O478" s="165" t="s">
        <v>631</v>
      </c>
      <c r="P478" s="165" t="s">
        <v>632</v>
      </c>
      <c r="Q478" s="3">
        <v>14175</v>
      </c>
      <c r="R478">
        <v>14175</v>
      </c>
    </row>
    <row r="479" spans="1:20">
      <c r="A479" s="165" t="s">
        <v>2359</v>
      </c>
      <c r="B479" s="165">
        <v>602</v>
      </c>
      <c r="C479" s="165" t="s">
        <v>2691</v>
      </c>
      <c r="D479" s="165">
        <v>4</v>
      </c>
      <c r="E479" s="165" t="s">
        <v>93</v>
      </c>
      <c r="F479" s="165" t="s">
        <v>2363</v>
      </c>
      <c r="G479" s="165">
        <v>14175</v>
      </c>
      <c r="H479" s="165"/>
      <c r="I479" s="165"/>
      <c r="J479" s="165"/>
      <c r="K479" s="165">
        <v>14175</v>
      </c>
      <c r="L479" s="165"/>
      <c r="M479" s="165"/>
      <c r="N479" s="165">
        <f t="shared" si="8"/>
        <v>0</v>
      </c>
      <c r="O479" s="165" t="s">
        <v>633</v>
      </c>
      <c r="P479" s="165" t="s">
        <v>634</v>
      </c>
      <c r="Q479" s="3">
        <v>14175</v>
      </c>
      <c r="R479">
        <v>14175</v>
      </c>
    </row>
    <row r="480" spans="1:20">
      <c r="A480" s="165" t="s">
        <v>2359</v>
      </c>
      <c r="B480" s="165">
        <v>603</v>
      </c>
      <c r="C480" s="165" t="s">
        <v>2691</v>
      </c>
      <c r="D480" s="165">
        <v>5</v>
      </c>
      <c r="E480" s="165" t="s">
        <v>94</v>
      </c>
      <c r="F480" s="165" t="s">
        <v>2364</v>
      </c>
      <c r="G480" s="165">
        <v>14175</v>
      </c>
      <c r="H480" s="165"/>
      <c r="I480" s="165"/>
      <c r="J480" s="165"/>
      <c r="K480" s="165">
        <v>14175</v>
      </c>
      <c r="L480" s="165"/>
      <c r="M480" s="165"/>
      <c r="N480" s="165">
        <f t="shared" si="8"/>
        <v>0</v>
      </c>
      <c r="O480" s="165" t="s">
        <v>628</v>
      </c>
      <c r="P480" s="165" t="s">
        <v>629</v>
      </c>
      <c r="Q480" s="3">
        <v>14175</v>
      </c>
      <c r="R480">
        <v>14175</v>
      </c>
    </row>
    <row r="481" spans="1:20">
      <c r="A481" s="165" t="s">
        <v>2359</v>
      </c>
      <c r="B481" s="165">
        <v>604</v>
      </c>
      <c r="C481" s="165" t="s">
        <v>2691</v>
      </c>
      <c r="D481" s="165">
        <v>6</v>
      </c>
      <c r="E481" s="165" t="s">
        <v>95</v>
      </c>
      <c r="F481" s="165" t="s">
        <v>2365</v>
      </c>
      <c r="G481" s="165">
        <v>14175</v>
      </c>
      <c r="H481" s="165"/>
      <c r="I481" s="165"/>
      <c r="J481" s="165">
        <v>14175</v>
      </c>
      <c r="K481" s="165"/>
      <c r="L481" s="165"/>
      <c r="M481" s="165"/>
      <c r="N481" s="165">
        <f t="shared" si="8"/>
        <v>0</v>
      </c>
      <c r="O481" s="165" t="s">
        <v>625</v>
      </c>
      <c r="P481" s="165" t="s">
        <v>626</v>
      </c>
      <c r="Q481" s="3">
        <v>14175</v>
      </c>
      <c r="R481">
        <v>14175</v>
      </c>
    </row>
    <row r="482" spans="1:20">
      <c r="A482" s="165" t="s">
        <v>2359</v>
      </c>
      <c r="B482" s="165">
        <v>605</v>
      </c>
      <c r="C482" s="165" t="s">
        <v>2691</v>
      </c>
      <c r="D482" s="165">
        <v>7</v>
      </c>
      <c r="E482" s="165" t="s">
        <v>96</v>
      </c>
      <c r="F482" s="165" t="s">
        <v>2366</v>
      </c>
      <c r="G482" s="165">
        <v>14175</v>
      </c>
      <c r="H482" s="165"/>
      <c r="I482" s="165"/>
      <c r="J482" s="165">
        <v>14175</v>
      </c>
      <c r="K482" s="165"/>
      <c r="L482" s="165"/>
      <c r="M482" s="165"/>
      <c r="N482" s="165">
        <f t="shared" si="8"/>
        <v>0</v>
      </c>
      <c r="O482" s="165" t="s">
        <v>683</v>
      </c>
      <c r="P482" s="165" t="s">
        <v>3163</v>
      </c>
      <c r="Q482" s="3">
        <v>14175</v>
      </c>
      <c r="R482">
        <v>14175</v>
      </c>
    </row>
    <row r="483" spans="1:20">
      <c r="A483" s="165" t="s">
        <v>2359</v>
      </c>
      <c r="B483" s="165">
        <v>606</v>
      </c>
      <c r="C483" s="165" t="s">
        <v>2691</v>
      </c>
      <c r="D483" s="165">
        <v>8</v>
      </c>
      <c r="E483" s="165" t="s">
        <v>97</v>
      </c>
      <c r="F483" s="165" t="s">
        <v>2367</v>
      </c>
      <c r="G483" s="165">
        <v>14175</v>
      </c>
      <c r="H483" s="165"/>
      <c r="I483" s="165"/>
      <c r="J483" s="165">
        <v>14175</v>
      </c>
      <c r="K483" s="165"/>
      <c r="L483" s="165"/>
      <c r="M483" s="165"/>
      <c r="N483" s="165">
        <f t="shared" si="8"/>
        <v>0</v>
      </c>
      <c r="O483" s="165" t="s">
        <v>3167</v>
      </c>
      <c r="P483" s="165" t="s">
        <v>3168</v>
      </c>
      <c r="Q483" s="3">
        <v>14175</v>
      </c>
      <c r="R483">
        <v>14175</v>
      </c>
    </row>
    <row r="484" spans="1:20">
      <c r="A484" s="209" t="s">
        <v>1464</v>
      </c>
      <c r="B484" s="209"/>
      <c r="C484" s="205" t="s">
        <v>3825</v>
      </c>
      <c r="D484" s="226">
        <v>8</v>
      </c>
      <c r="E484" s="183" t="s">
        <v>1283</v>
      </c>
      <c r="F484" s="209" t="s">
        <v>1464</v>
      </c>
      <c r="G484" s="165"/>
      <c r="H484" s="165"/>
      <c r="I484" s="165"/>
      <c r="J484" s="209"/>
      <c r="K484" s="209"/>
      <c r="L484" s="209"/>
      <c r="M484" s="209"/>
      <c r="N484" s="209">
        <f t="shared" si="8"/>
        <v>0</v>
      </c>
      <c r="O484" s="209" t="s">
        <v>1464</v>
      </c>
      <c r="P484" s="209" t="s">
        <v>1464</v>
      </c>
      <c r="Q484" s="178">
        <v>14175</v>
      </c>
      <c r="R484" s="178">
        <v>14145</v>
      </c>
      <c r="S484" s="178"/>
      <c r="T484" s="3">
        <v>30</v>
      </c>
    </row>
    <row r="485" spans="1:20">
      <c r="A485" s="165" t="s">
        <v>1465</v>
      </c>
      <c r="B485" s="165">
        <v>607</v>
      </c>
      <c r="C485" s="165" t="s">
        <v>2688</v>
      </c>
      <c r="D485" s="165">
        <v>1</v>
      </c>
      <c r="E485" s="165" t="s">
        <v>2368</v>
      </c>
      <c r="F485" s="165" t="s">
        <v>2017</v>
      </c>
      <c r="G485" s="165">
        <v>11340</v>
      </c>
      <c r="H485" s="165"/>
      <c r="I485" s="165"/>
      <c r="J485" s="165"/>
      <c r="K485" s="165">
        <v>11340</v>
      </c>
      <c r="L485" s="165"/>
      <c r="M485" s="165"/>
      <c r="N485" s="165">
        <f t="shared" si="8"/>
        <v>0</v>
      </c>
      <c r="O485" s="165" t="s">
        <v>500</v>
      </c>
      <c r="P485" s="165" t="s">
        <v>500</v>
      </c>
      <c r="Q485" s="3">
        <v>11340</v>
      </c>
      <c r="R485">
        <v>11340</v>
      </c>
    </row>
    <row r="486" spans="1:20">
      <c r="A486" s="165" t="s">
        <v>1465</v>
      </c>
      <c r="B486" s="165">
        <v>608</v>
      </c>
      <c r="C486" s="165" t="s">
        <v>2688</v>
      </c>
      <c r="D486" s="165">
        <v>2</v>
      </c>
      <c r="E486" s="165" t="s">
        <v>111</v>
      </c>
      <c r="F486" s="165" t="s">
        <v>2778</v>
      </c>
      <c r="G486" s="165">
        <v>11340</v>
      </c>
      <c r="H486" s="165"/>
      <c r="I486" s="165"/>
      <c r="J486" s="165"/>
      <c r="K486" s="165">
        <v>11340</v>
      </c>
      <c r="L486" s="165"/>
      <c r="M486" s="165"/>
      <c r="N486" s="165">
        <f t="shared" si="8"/>
        <v>0</v>
      </c>
      <c r="O486" s="165" t="s">
        <v>1006</v>
      </c>
      <c r="P486" s="165" t="s">
        <v>2051</v>
      </c>
      <c r="Q486" s="3">
        <v>11340</v>
      </c>
      <c r="R486">
        <v>11340</v>
      </c>
    </row>
    <row r="487" spans="1:20">
      <c r="A487" s="165" t="s">
        <v>1465</v>
      </c>
      <c r="B487" s="165">
        <v>609</v>
      </c>
      <c r="C487" s="165" t="s">
        <v>2688</v>
      </c>
      <c r="D487" s="165">
        <v>3</v>
      </c>
      <c r="E487" s="165" t="s">
        <v>112</v>
      </c>
      <c r="F487" s="165" t="s">
        <v>1007</v>
      </c>
      <c r="G487" s="165">
        <v>11340</v>
      </c>
      <c r="H487" s="165"/>
      <c r="I487" s="165"/>
      <c r="J487" s="165"/>
      <c r="K487" s="165">
        <v>11340</v>
      </c>
      <c r="L487" s="165"/>
      <c r="M487" s="165"/>
      <c r="N487" s="165">
        <f t="shared" si="8"/>
        <v>0</v>
      </c>
      <c r="O487" s="165" t="s">
        <v>627</v>
      </c>
      <c r="P487" s="165" t="s">
        <v>827</v>
      </c>
      <c r="Q487" s="3">
        <v>11340</v>
      </c>
      <c r="R487">
        <v>11340</v>
      </c>
    </row>
    <row r="488" spans="1:20">
      <c r="A488" s="165" t="s">
        <v>1465</v>
      </c>
      <c r="B488" s="165">
        <v>610</v>
      </c>
      <c r="C488" s="165" t="s">
        <v>2688</v>
      </c>
      <c r="D488" s="165">
        <v>4</v>
      </c>
      <c r="E488" s="165" t="s">
        <v>113</v>
      </c>
      <c r="F488" s="165" t="s">
        <v>1008</v>
      </c>
      <c r="G488" s="165">
        <v>11340</v>
      </c>
      <c r="H488" s="165"/>
      <c r="I488" s="165"/>
      <c r="J488" s="165"/>
      <c r="K488" s="165">
        <v>11340</v>
      </c>
      <c r="L488" s="165"/>
      <c r="M488" s="165"/>
      <c r="N488" s="165">
        <f t="shared" si="8"/>
        <v>0</v>
      </c>
      <c r="O488" s="165" t="s">
        <v>613</v>
      </c>
      <c r="P488" s="165" t="s">
        <v>614</v>
      </c>
      <c r="Q488" s="3">
        <v>11340</v>
      </c>
      <c r="R488">
        <v>11340</v>
      </c>
    </row>
    <row r="489" spans="1:20">
      <c r="A489" s="165" t="s">
        <v>1465</v>
      </c>
      <c r="B489" s="165">
        <v>611</v>
      </c>
      <c r="C489" s="165" t="s">
        <v>2688</v>
      </c>
      <c r="D489" s="165">
        <v>5</v>
      </c>
      <c r="E489" s="165" t="s">
        <v>114</v>
      </c>
      <c r="F489" s="165" t="s">
        <v>1009</v>
      </c>
      <c r="G489" s="165">
        <v>11340</v>
      </c>
      <c r="H489" s="165"/>
      <c r="I489" s="165"/>
      <c r="J489" s="165"/>
      <c r="K489" s="165">
        <v>11340</v>
      </c>
      <c r="L489" s="165"/>
      <c r="M489" s="165"/>
      <c r="N489" s="165">
        <f t="shared" si="8"/>
        <v>0</v>
      </c>
      <c r="O489" s="165" t="s">
        <v>621</v>
      </c>
      <c r="P489" s="165" t="s">
        <v>622</v>
      </c>
      <c r="Q489" s="3">
        <v>11340</v>
      </c>
      <c r="R489">
        <v>11340</v>
      </c>
    </row>
    <row r="490" spans="1:20">
      <c r="A490" s="165" t="s">
        <v>1465</v>
      </c>
      <c r="B490" s="165">
        <v>612</v>
      </c>
      <c r="C490" s="165" t="s">
        <v>2688</v>
      </c>
      <c r="D490" s="165">
        <v>6</v>
      </c>
      <c r="E490" s="165" t="s">
        <v>115</v>
      </c>
      <c r="F490" s="165" t="s">
        <v>1010</v>
      </c>
      <c r="G490" s="165">
        <v>11340</v>
      </c>
      <c r="H490" s="165"/>
      <c r="I490" s="165"/>
      <c r="J490" s="165">
        <v>11340</v>
      </c>
      <c r="K490" s="165"/>
      <c r="L490" s="165"/>
      <c r="M490" s="165"/>
      <c r="N490" s="165">
        <f t="shared" si="8"/>
        <v>0</v>
      </c>
      <c r="O490" s="165" t="s">
        <v>3159</v>
      </c>
      <c r="P490" s="165" t="s">
        <v>3160</v>
      </c>
      <c r="Q490" s="3">
        <v>11340</v>
      </c>
      <c r="R490">
        <v>11340</v>
      </c>
    </row>
    <row r="491" spans="1:20">
      <c r="A491" s="165" t="s">
        <v>1465</v>
      </c>
      <c r="B491" s="165">
        <v>613</v>
      </c>
      <c r="C491" s="165" t="s">
        <v>2688</v>
      </c>
      <c r="D491" s="165">
        <v>7</v>
      </c>
      <c r="E491" s="165" t="s">
        <v>116</v>
      </c>
      <c r="F491" s="165" t="s">
        <v>1011</v>
      </c>
      <c r="G491" s="165">
        <v>11340</v>
      </c>
      <c r="H491" s="165"/>
      <c r="I491" s="165"/>
      <c r="J491" s="165">
        <v>11340</v>
      </c>
      <c r="K491" s="165"/>
      <c r="L491" s="165"/>
      <c r="M491" s="165"/>
      <c r="N491" s="165">
        <f t="shared" si="8"/>
        <v>0</v>
      </c>
      <c r="O491" s="165" t="s">
        <v>3164</v>
      </c>
      <c r="P491" s="165" t="s">
        <v>808</v>
      </c>
      <c r="Q491" s="3">
        <v>11340</v>
      </c>
      <c r="R491">
        <v>11340</v>
      </c>
    </row>
    <row r="492" spans="1:20">
      <c r="A492" s="165" t="s">
        <v>1465</v>
      </c>
      <c r="B492" s="165">
        <v>614</v>
      </c>
      <c r="C492" s="165" t="s">
        <v>2688</v>
      </c>
      <c r="D492" s="165">
        <v>8</v>
      </c>
      <c r="E492" s="165" t="s">
        <v>117</v>
      </c>
      <c r="F492" s="165" t="s">
        <v>1012</v>
      </c>
      <c r="G492" s="165">
        <v>11340</v>
      </c>
      <c r="H492" s="165"/>
      <c r="I492" s="165"/>
      <c r="J492" s="165">
        <v>11340</v>
      </c>
      <c r="K492" s="165"/>
      <c r="L492" s="165"/>
      <c r="M492" s="165"/>
      <c r="N492" s="165">
        <f t="shared" si="8"/>
        <v>0</v>
      </c>
      <c r="O492" s="165" t="s">
        <v>3165</v>
      </c>
      <c r="P492" s="165" t="s">
        <v>3166</v>
      </c>
      <c r="Q492" s="3">
        <v>11340</v>
      </c>
      <c r="R492">
        <v>11340</v>
      </c>
    </row>
    <row r="493" spans="1:20">
      <c r="A493" s="165" t="s">
        <v>1466</v>
      </c>
      <c r="B493" s="165">
        <v>615</v>
      </c>
      <c r="C493" s="165" t="s">
        <v>1013</v>
      </c>
      <c r="D493" s="165">
        <v>1</v>
      </c>
      <c r="E493" s="165" t="s">
        <v>1014</v>
      </c>
      <c r="F493" s="165" t="s">
        <v>1474</v>
      </c>
      <c r="G493" s="165">
        <v>20475</v>
      </c>
      <c r="H493" s="165"/>
      <c r="I493" s="165"/>
      <c r="J493" s="165"/>
      <c r="K493" s="165">
        <v>20475</v>
      </c>
      <c r="L493" s="165"/>
      <c r="M493" s="165"/>
      <c r="N493" s="165">
        <f t="shared" si="8"/>
        <v>0</v>
      </c>
      <c r="O493" s="165" t="s">
        <v>500</v>
      </c>
      <c r="P493" s="165" t="s">
        <v>500</v>
      </c>
      <c r="Q493" s="3">
        <v>20475</v>
      </c>
      <c r="R493">
        <v>20475</v>
      </c>
    </row>
    <row r="494" spans="1:20">
      <c r="A494" s="165" t="s">
        <v>1466</v>
      </c>
      <c r="B494" s="165">
        <v>616</v>
      </c>
      <c r="C494" s="165" t="s">
        <v>1013</v>
      </c>
      <c r="D494" s="165">
        <v>2</v>
      </c>
      <c r="E494" s="165" t="s">
        <v>118</v>
      </c>
      <c r="F494" s="165" t="s">
        <v>469</v>
      </c>
      <c r="G494" s="165">
        <v>20475</v>
      </c>
      <c r="H494" s="165"/>
      <c r="I494" s="165"/>
      <c r="J494" s="165"/>
      <c r="K494" s="165">
        <v>20475</v>
      </c>
      <c r="L494" s="165"/>
      <c r="M494" s="165"/>
      <c r="N494" s="165">
        <f t="shared" si="8"/>
        <v>0</v>
      </c>
      <c r="O494" s="165" t="s">
        <v>469</v>
      </c>
      <c r="P494" s="165" t="s">
        <v>470</v>
      </c>
      <c r="Q494" s="3">
        <v>20475</v>
      </c>
      <c r="R494">
        <v>20475</v>
      </c>
      <c r="T494" s="271" t="s">
        <v>2740</v>
      </c>
    </row>
    <row r="495" spans="1:20">
      <c r="A495" s="165" t="s">
        <v>1466</v>
      </c>
      <c r="B495" s="165">
        <v>617</v>
      </c>
      <c r="C495" s="165" t="s">
        <v>1013</v>
      </c>
      <c r="D495" s="165">
        <v>3</v>
      </c>
      <c r="E495" s="165" t="s">
        <v>119</v>
      </c>
      <c r="F495" s="165" t="s">
        <v>2362</v>
      </c>
      <c r="G495" s="165">
        <v>20475</v>
      </c>
      <c r="H495" s="165"/>
      <c r="I495" s="165"/>
      <c r="J495" s="165"/>
      <c r="K495" s="165">
        <v>20475</v>
      </c>
      <c r="L495" s="165"/>
      <c r="M495" s="165"/>
      <c r="N495" s="165">
        <f t="shared" si="8"/>
        <v>0</v>
      </c>
      <c r="O495" s="165" t="s">
        <v>631</v>
      </c>
      <c r="P495" s="165" t="s">
        <v>632</v>
      </c>
      <c r="Q495" s="3">
        <v>20475</v>
      </c>
      <c r="R495">
        <v>20475</v>
      </c>
      <c r="T495" s="271" t="s">
        <v>2740</v>
      </c>
    </row>
    <row r="496" spans="1:20">
      <c r="A496" s="165" t="s">
        <v>1466</v>
      </c>
      <c r="B496" s="165">
        <v>618</v>
      </c>
      <c r="C496" s="165" t="s">
        <v>1013</v>
      </c>
      <c r="D496" s="165">
        <v>4</v>
      </c>
      <c r="E496" s="165" t="s">
        <v>120</v>
      </c>
      <c r="F496" s="165" t="s">
        <v>2363</v>
      </c>
      <c r="G496" s="165">
        <v>20475</v>
      </c>
      <c r="H496" s="165"/>
      <c r="I496" s="165"/>
      <c r="J496" s="165"/>
      <c r="K496" s="165">
        <v>20475</v>
      </c>
      <c r="L496" s="165"/>
      <c r="M496" s="165"/>
      <c r="N496" s="165">
        <f t="shared" si="8"/>
        <v>0</v>
      </c>
      <c r="O496" s="165" t="s">
        <v>633</v>
      </c>
      <c r="P496" s="165" t="s">
        <v>634</v>
      </c>
      <c r="Q496" s="3">
        <v>20475</v>
      </c>
      <c r="R496">
        <v>20475</v>
      </c>
      <c r="T496" s="271" t="s">
        <v>2740</v>
      </c>
    </row>
    <row r="497" spans="1:20">
      <c r="A497" s="165" t="s">
        <v>1466</v>
      </c>
      <c r="B497" s="165">
        <v>619</v>
      </c>
      <c r="C497" s="165" t="s">
        <v>1013</v>
      </c>
      <c r="D497" s="165">
        <v>5</v>
      </c>
      <c r="E497" s="165" t="s">
        <v>121</v>
      </c>
      <c r="F497" s="165" t="s">
        <v>2364</v>
      </c>
      <c r="G497" s="165">
        <v>20475</v>
      </c>
      <c r="H497" s="165"/>
      <c r="I497" s="165"/>
      <c r="J497" s="165"/>
      <c r="K497" s="165">
        <v>20475</v>
      </c>
      <c r="L497" s="165"/>
      <c r="M497" s="165"/>
      <c r="N497" s="165">
        <f t="shared" si="8"/>
        <v>0</v>
      </c>
      <c r="O497" s="165" t="s">
        <v>628</v>
      </c>
      <c r="P497" s="165" t="s">
        <v>629</v>
      </c>
      <c r="Q497" s="3">
        <v>20475</v>
      </c>
      <c r="R497">
        <v>20475</v>
      </c>
      <c r="T497" s="271" t="s">
        <v>2740</v>
      </c>
    </row>
    <row r="498" spans="1:20">
      <c r="A498" s="165" t="s">
        <v>1466</v>
      </c>
      <c r="B498" s="165">
        <v>620</v>
      </c>
      <c r="C498" s="165" t="s">
        <v>1013</v>
      </c>
      <c r="D498" s="165">
        <v>6</v>
      </c>
      <c r="E498" s="165" t="s">
        <v>122</v>
      </c>
      <c r="F498" s="165" t="s">
        <v>2365</v>
      </c>
      <c r="G498" s="165">
        <v>20475</v>
      </c>
      <c r="H498" s="165"/>
      <c r="I498" s="165"/>
      <c r="J498" s="165">
        <v>20475</v>
      </c>
      <c r="K498" s="165"/>
      <c r="L498" s="165"/>
      <c r="M498" s="165"/>
      <c r="N498" s="165">
        <f t="shared" si="8"/>
        <v>0</v>
      </c>
      <c r="O498" s="165" t="s">
        <v>625</v>
      </c>
      <c r="P498" s="165" t="s">
        <v>471</v>
      </c>
      <c r="Q498" s="3">
        <v>20475</v>
      </c>
      <c r="R498">
        <v>20475</v>
      </c>
      <c r="T498" s="271" t="s">
        <v>2740</v>
      </c>
    </row>
    <row r="499" spans="1:20">
      <c r="A499" s="165" t="s">
        <v>1466</v>
      </c>
      <c r="B499" s="165">
        <v>621</v>
      </c>
      <c r="C499" s="165" t="s">
        <v>1013</v>
      </c>
      <c r="D499" s="165">
        <v>7</v>
      </c>
      <c r="E499" s="165" t="s">
        <v>123</v>
      </c>
      <c r="F499" s="165" t="s">
        <v>2366</v>
      </c>
      <c r="G499" s="165">
        <v>20475</v>
      </c>
      <c r="H499" s="165"/>
      <c r="I499" s="165"/>
      <c r="J499" s="165">
        <v>20475</v>
      </c>
      <c r="K499" s="165"/>
      <c r="L499" s="165"/>
      <c r="M499" s="165"/>
      <c r="N499" s="165">
        <f t="shared" si="8"/>
        <v>0</v>
      </c>
      <c r="O499" s="165" t="s">
        <v>683</v>
      </c>
      <c r="P499" s="165" t="s">
        <v>3163</v>
      </c>
      <c r="Q499" s="3">
        <v>20475</v>
      </c>
      <c r="R499">
        <v>20475</v>
      </c>
      <c r="T499" s="271" t="s">
        <v>2740</v>
      </c>
    </row>
    <row r="500" spans="1:20">
      <c r="A500" s="165" t="s">
        <v>1466</v>
      </c>
      <c r="B500" s="165">
        <v>622</v>
      </c>
      <c r="C500" s="165" t="s">
        <v>1013</v>
      </c>
      <c r="D500" s="165">
        <v>8</v>
      </c>
      <c r="E500" s="165" t="s">
        <v>1015</v>
      </c>
      <c r="F500" s="165" t="s">
        <v>2367</v>
      </c>
      <c r="G500" s="165">
        <v>20475</v>
      </c>
      <c r="H500" s="165"/>
      <c r="I500" s="165"/>
      <c r="J500" s="165">
        <v>20475</v>
      </c>
      <c r="K500" s="165"/>
      <c r="L500" s="165"/>
      <c r="M500" s="165"/>
      <c r="N500" s="165">
        <f t="shared" si="8"/>
        <v>0</v>
      </c>
      <c r="O500" s="165" t="s">
        <v>3167</v>
      </c>
      <c r="P500" s="165" t="s">
        <v>3168</v>
      </c>
      <c r="Q500" s="3">
        <v>20475</v>
      </c>
      <c r="R500">
        <v>20475</v>
      </c>
      <c r="T500" s="271" t="s">
        <v>2740</v>
      </c>
    </row>
    <row r="501" spans="1:20">
      <c r="A501" s="165" t="s">
        <v>1466</v>
      </c>
      <c r="B501" s="165">
        <v>623</v>
      </c>
      <c r="C501" s="165" t="s">
        <v>1016</v>
      </c>
      <c r="D501" s="165">
        <v>1</v>
      </c>
      <c r="E501" s="165" t="s">
        <v>1017</v>
      </c>
      <c r="F501" s="165" t="s">
        <v>1474</v>
      </c>
      <c r="G501" s="165">
        <v>20475</v>
      </c>
      <c r="H501" s="165"/>
      <c r="I501" s="165"/>
      <c r="J501" s="165"/>
      <c r="K501" s="165">
        <v>20475</v>
      </c>
      <c r="L501" s="165"/>
      <c r="M501" s="165"/>
      <c r="N501" s="165">
        <f t="shared" si="8"/>
        <v>0</v>
      </c>
      <c r="O501" s="165" t="s">
        <v>500</v>
      </c>
      <c r="P501" s="165" t="s">
        <v>500</v>
      </c>
      <c r="Q501" s="3">
        <v>20475</v>
      </c>
      <c r="R501">
        <v>20475</v>
      </c>
    </row>
    <row r="502" spans="1:20">
      <c r="A502" s="165" t="s">
        <v>1466</v>
      </c>
      <c r="B502" s="165">
        <v>624</v>
      </c>
      <c r="C502" s="165" t="s">
        <v>1016</v>
      </c>
      <c r="D502" s="165">
        <v>2</v>
      </c>
      <c r="E502" s="165" t="s">
        <v>124</v>
      </c>
      <c r="F502" s="165" t="s">
        <v>469</v>
      </c>
      <c r="G502" s="165">
        <v>20475</v>
      </c>
      <c r="H502" s="165"/>
      <c r="I502" s="165"/>
      <c r="J502" s="165"/>
      <c r="K502" s="165">
        <v>20475</v>
      </c>
      <c r="L502" s="165"/>
      <c r="M502" s="165"/>
      <c r="N502" s="165">
        <f t="shared" si="8"/>
        <v>0</v>
      </c>
      <c r="O502" s="165" t="s">
        <v>469</v>
      </c>
      <c r="P502" s="165" t="s">
        <v>470</v>
      </c>
      <c r="Q502" s="3">
        <v>20475</v>
      </c>
      <c r="R502">
        <v>20475</v>
      </c>
      <c r="T502" s="271" t="s">
        <v>2740</v>
      </c>
    </row>
    <row r="503" spans="1:20">
      <c r="A503" s="165" t="s">
        <v>1466</v>
      </c>
      <c r="B503" s="165">
        <v>625</v>
      </c>
      <c r="C503" s="165" t="s">
        <v>1016</v>
      </c>
      <c r="D503" s="165">
        <v>3</v>
      </c>
      <c r="E503" s="165" t="s">
        <v>125</v>
      </c>
      <c r="F503" s="165" t="s">
        <v>2362</v>
      </c>
      <c r="G503" s="165">
        <v>20475</v>
      </c>
      <c r="H503" s="165"/>
      <c r="I503" s="165"/>
      <c r="J503" s="165"/>
      <c r="K503" s="165">
        <v>20475</v>
      </c>
      <c r="L503" s="165"/>
      <c r="M503" s="165"/>
      <c r="N503" s="165">
        <f t="shared" si="8"/>
        <v>0</v>
      </c>
      <c r="O503" s="165" t="s">
        <v>631</v>
      </c>
      <c r="P503" s="165" t="s">
        <v>632</v>
      </c>
      <c r="Q503" s="3">
        <v>20475</v>
      </c>
      <c r="R503">
        <v>20475</v>
      </c>
      <c r="T503" s="271" t="s">
        <v>2740</v>
      </c>
    </row>
    <row r="504" spans="1:20">
      <c r="A504" s="165" t="s">
        <v>1466</v>
      </c>
      <c r="B504" s="165">
        <v>626</v>
      </c>
      <c r="C504" s="165" t="s">
        <v>1016</v>
      </c>
      <c r="D504" s="165">
        <v>4</v>
      </c>
      <c r="E504" s="165" t="s">
        <v>126</v>
      </c>
      <c r="F504" s="165" t="s">
        <v>2363</v>
      </c>
      <c r="G504" s="165">
        <v>20475</v>
      </c>
      <c r="H504" s="165"/>
      <c r="I504" s="165"/>
      <c r="J504" s="165"/>
      <c r="K504" s="165">
        <v>20475</v>
      </c>
      <c r="L504" s="165"/>
      <c r="M504" s="165"/>
      <c r="N504" s="165">
        <f t="shared" si="8"/>
        <v>0</v>
      </c>
      <c r="O504" s="165" t="s">
        <v>633</v>
      </c>
      <c r="P504" s="165" t="s">
        <v>634</v>
      </c>
      <c r="Q504" s="3">
        <v>20475</v>
      </c>
      <c r="R504">
        <v>20475</v>
      </c>
      <c r="T504" s="271" t="s">
        <v>2740</v>
      </c>
    </row>
    <row r="505" spans="1:20">
      <c r="A505" s="165" t="s">
        <v>1466</v>
      </c>
      <c r="B505" s="165">
        <v>627</v>
      </c>
      <c r="C505" s="165" t="s">
        <v>1016</v>
      </c>
      <c r="D505" s="165">
        <v>5</v>
      </c>
      <c r="E505" s="165" t="s">
        <v>127</v>
      </c>
      <c r="F505" s="165" t="s">
        <v>2364</v>
      </c>
      <c r="G505" s="165">
        <v>20475</v>
      </c>
      <c r="H505" s="165"/>
      <c r="I505" s="165"/>
      <c r="J505" s="165"/>
      <c r="K505" s="165">
        <v>20475</v>
      </c>
      <c r="L505" s="165"/>
      <c r="M505" s="165"/>
      <c r="N505" s="165">
        <f t="shared" si="8"/>
        <v>0</v>
      </c>
      <c r="O505" s="165" t="s">
        <v>628</v>
      </c>
      <c r="P505" s="165" t="s">
        <v>629</v>
      </c>
      <c r="Q505" s="3">
        <v>20475</v>
      </c>
      <c r="R505">
        <v>20475</v>
      </c>
      <c r="T505" s="271" t="s">
        <v>2740</v>
      </c>
    </row>
    <row r="506" spans="1:20">
      <c r="A506" s="165" t="s">
        <v>1466</v>
      </c>
      <c r="B506" s="165">
        <v>628</v>
      </c>
      <c r="C506" s="165" t="s">
        <v>1016</v>
      </c>
      <c r="D506" s="165">
        <v>6</v>
      </c>
      <c r="E506" s="165" t="s">
        <v>128</v>
      </c>
      <c r="F506" s="165" t="s">
        <v>2365</v>
      </c>
      <c r="G506" s="165">
        <v>20475</v>
      </c>
      <c r="H506" s="165"/>
      <c r="I506" s="165"/>
      <c r="J506" s="165">
        <v>20475</v>
      </c>
      <c r="K506" s="165"/>
      <c r="L506" s="165"/>
      <c r="M506" s="165"/>
      <c r="N506" s="165">
        <f t="shared" si="8"/>
        <v>0</v>
      </c>
      <c r="O506" s="165" t="s">
        <v>625</v>
      </c>
      <c r="P506" s="165" t="s">
        <v>626</v>
      </c>
      <c r="Q506" s="3">
        <v>20475</v>
      </c>
      <c r="R506">
        <v>20475</v>
      </c>
      <c r="T506" s="271" t="s">
        <v>2740</v>
      </c>
    </row>
    <row r="507" spans="1:20">
      <c r="A507" s="165" t="s">
        <v>1466</v>
      </c>
      <c r="B507" s="165">
        <v>629</v>
      </c>
      <c r="C507" s="165" t="s">
        <v>1016</v>
      </c>
      <c r="D507" s="165">
        <v>7</v>
      </c>
      <c r="E507" s="165" t="s">
        <v>129</v>
      </c>
      <c r="F507" s="165" t="s">
        <v>2366</v>
      </c>
      <c r="G507" s="165">
        <v>20475</v>
      </c>
      <c r="H507" s="165"/>
      <c r="I507" s="165"/>
      <c r="J507" s="165">
        <v>20475</v>
      </c>
      <c r="K507" s="165"/>
      <c r="L507" s="165"/>
      <c r="M507" s="165"/>
      <c r="N507" s="165">
        <f t="shared" si="8"/>
        <v>0</v>
      </c>
      <c r="O507" s="165" t="s">
        <v>683</v>
      </c>
      <c r="P507" s="165" t="s">
        <v>3163</v>
      </c>
      <c r="Q507" s="3">
        <v>20475</v>
      </c>
      <c r="R507">
        <v>20475</v>
      </c>
      <c r="T507" s="271" t="s">
        <v>2740</v>
      </c>
    </row>
    <row r="508" spans="1:20">
      <c r="A508" s="165" t="s">
        <v>1466</v>
      </c>
      <c r="B508" s="165">
        <v>630</v>
      </c>
      <c r="C508" s="165" t="s">
        <v>1016</v>
      </c>
      <c r="D508" s="165">
        <v>8</v>
      </c>
      <c r="E508" s="165" t="s">
        <v>130</v>
      </c>
      <c r="F508" s="165" t="s">
        <v>2367</v>
      </c>
      <c r="G508" s="165">
        <v>20475</v>
      </c>
      <c r="H508" s="165"/>
      <c r="I508" s="165"/>
      <c r="J508" s="165">
        <v>20475</v>
      </c>
      <c r="K508" s="165"/>
      <c r="L508" s="165"/>
      <c r="M508" s="165"/>
      <c r="N508" s="165">
        <f t="shared" si="8"/>
        <v>0</v>
      </c>
      <c r="O508" s="165" t="s">
        <v>3167</v>
      </c>
      <c r="P508" s="165" t="s">
        <v>3168</v>
      </c>
      <c r="Q508" s="3">
        <v>20475</v>
      </c>
      <c r="R508">
        <v>20475</v>
      </c>
      <c r="T508" s="271" t="s">
        <v>2740</v>
      </c>
    </row>
    <row r="509" spans="1:20">
      <c r="A509" s="165" t="s">
        <v>461</v>
      </c>
      <c r="B509" s="165">
        <v>631</v>
      </c>
      <c r="C509" s="165" t="s">
        <v>1232</v>
      </c>
      <c r="D509" s="165">
        <v>7</v>
      </c>
      <c r="E509" s="165" t="s">
        <v>1018</v>
      </c>
      <c r="F509" s="165" t="s">
        <v>1467</v>
      </c>
      <c r="G509" s="165">
        <v>16380</v>
      </c>
      <c r="H509" s="165"/>
      <c r="I509" s="165"/>
      <c r="J509" s="165"/>
      <c r="K509" s="165">
        <v>16380</v>
      </c>
      <c r="L509" s="165"/>
      <c r="M509" s="165"/>
      <c r="N509" s="165">
        <f t="shared" si="8"/>
        <v>0</v>
      </c>
      <c r="O509" s="165" t="s">
        <v>500</v>
      </c>
      <c r="P509" s="165" t="s">
        <v>500</v>
      </c>
      <c r="Q509" s="3">
        <v>16380</v>
      </c>
      <c r="R509">
        <v>16380</v>
      </c>
    </row>
    <row r="510" spans="1:20">
      <c r="A510" s="165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</row>
    <row r="511" spans="1:20" s="176" customFormat="1" ht="20.25" customHeight="1">
      <c r="A511" s="203" t="s">
        <v>2119</v>
      </c>
      <c r="B511" s="200"/>
      <c r="C511" s="201"/>
      <c r="D511" s="202"/>
      <c r="E511" s="201"/>
      <c r="F511" s="185" t="s">
        <v>2378</v>
      </c>
      <c r="G511" s="185">
        <f t="shared" ref="G511:N511" si="9">SUM(G513:G658)</f>
        <v>1934310</v>
      </c>
      <c r="H511" s="185">
        <f t="shared" si="9"/>
        <v>45360</v>
      </c>
      <c r="I511" s="185">
        <f t="shared" si="9"/>
        <v>81900</v>
      </c>
      <c r="J511" s="185">
        <f>SUM(J513:J658)</f>
        <v>1140825</v>
      </c>
      <c r="K511" s="185">
        <f>SUM(K513:K658)</f>
        <v>719775</v>
      </c>
      <c r="L511" s="185">
        <f t="shared" si="9"/>
        <v>200970</v>
      </c>
      <c r="M511" s="185">
        <f>SUM(M513:M658)</f>
        <v>41580</v>
      </c>
      <c r="N511" s="185">
        <f t="shared" si="9"/>
        <v>0</v>
      </c>
      <c r="O511" s="185"/>
      <c r="P511" s="185"/>
      <c r="Q511" s="185">
        <f>SUM(Q513:Q658)</f>
        <v>2693970</v>
      </c>
      <c r="R511" s="185">
        <f>SUM(R513:R658)</f>
        <v>2693235</v>
      </c>
      <c r="S511" s="185"/>
      <c r="T511" s="185">
        <f>SUM(T513:T658)</f>
        <v>195</v>
      </c>
    </row>
    <row r="512" spans="1:20" s="270" customFormat="1">
      <c r="A512" s="269" t="s">
        <v>1281</v>
      </c>
      <c r="B512" s="269" t="s">
        <v>2435</v>
      </c>
      <c r="C512" s="269" t="s">
        <v>1385</v>
      </c>
      <c r="D512" s="269" t="s">
        <v>1275</v>
      </c>
      <c r="E512" s="269" t="s">
        <v>265</v>
      </c>
      <c r="F512" s="269" t="s">
        <v>1280</v>
      </c>
      <c r="G512" s="269" t="s">
        <v>3724</v>
      </c>
      <c r="H512" s="269" t="s">
        <v>3725</v>
      </c>
      <c r="I512" s="269" t="s">
        <v>3727</v>
      </c>
      <c r="J512" s="269" t="s">
        <v>879</v>
      </c>
      <c r="K512" s="269" t="s">
        <v>878</v>
      </c>
      <c r="L512" s="269" t="s">
        <v>3991</v>
      </c>
      <c r="M512" s="269" t="s">
        <v>3728</v>
      </c>
      <c r="N512" s="269" t="s">
        <v>2438</v>
      </c>
      <c r="O512" s="269" t="s">
        <v>1282</v>
      </c>
      <c r="P512" s="269" t="s">
        <v>1386</v>
      </c>
      <c r="Q512" s="269" t="s">
        <v>576</v>
      </c>
      <c r="R512" s="269" t="s">
        <v>3593</v>
      </c>
      <c r="S512" s="269"/>
      <c r="T512" s="269" t="s">
        <v>577</v>
      </c>
    </row>
    <row r="513" spans="1:18">
      <c r="A513" s="165" t="s">
        <v>1019</v>
      </c>
      <c r="B513" s="165">
        <v>632</v>
      </c>
      <c r="C513" s="165" t="s">
        <v>2693</v>
      </c>
      <c r="D513" s="165">
        <v>1</v>
      </c>
      <c r="E513" s="165" t="s">
        <v>1020</v>
      </c>
      <c r="F513" s="165" t="s">
        <v>1021</v>
      </c>
      <c r="G513" s="165">
        <v>13230</v>
      </c>
      <c r="H513" s="165"/>
      <c r="I513" s="165"/>
      <c r="J513" s="165">
        <v>13230</v>
      </c>
      <c r="K513" s="165"/>
      <c r="L513" s="165"/>
      <c r="M513" s="165"/>
      <c r="N513" s="165">
        <f t="shared" ref="N513:N576" si="10">G513+H513+I513-K513-J513-L513</f>
        <v>0</v>
      </c>
      <c r="O513" s="165" t="s">
        <v>504</v>
      </c>
      <c r="P513" s="165" t="s">
        <v>505</v>
      </c>
      <c r="Q513" s="3">
        <v>13230</v>
      </c>
      <c r="R513">
        <v>13230</v>
      </c>
    </row>
    <row r="514" spans="1:18">
      <c r="A514" s="165" t="s">
        <v>1019</v>
      </c>
      <c r="B514" s="165">
        <v>633</v>
      </c>
      <c r="C514" s="165" t="s">
        <v>2693</v>
      </c>
      <c r="D514" s="165">
        <v>2</v>
      </c>
      <c r="E514" s="165" t="s">
        <v>163</v>
      </c>
      <c r="F514" s="165" t="s">
        <v>1022</v>
      </c>
      <c r="G514" s="165">
        <v>13230</v>
      </c>
      <c r="H514" s="165"/>
      <c r="I514" s="165"/>
      <c r="J514" s="165">
        <v>13230</v>
      </c>
      <c r="K514" s="165"/>
      <c r="L514" s="165"/>
      <c r="M514" s="165"/>
      <c r="N514" s="165">
        <f t="shared" si="10"/>
        <v>0</v>
      </c>
      <c r="O514" s="165" t="s">
        <v>504</v>
      </c>
      <c r="P514" s="165" t="s">
        <v>505</v>
      </c>
      <c r="Q514" s="3">
        <v>13230</v>
      </c>
      <c r="R514">
        <v>13230</v>
      </c>
    </row>
    <row r="515" spans="1:18">
      <c r="A515" s="165" t="s">
        <v>1019</v>
      </c>
      <c r="B515" s="165">
        <v>634</v>
      </c>
      <c r="C515" s="165" t="s">
        <v>2693</v>
      </c>
      <c r="D515" s="165">
        <v>3</v>
      </c>
      <c r="E515" s="165" t="s">
        <v>164</v>
      </c>
      <c r="F515" s="165" t="s">
        <v>1476</v>
      </c>
      <c r="G515" s="165">
        <v>13230</v>
      </c>
      <c r="H515" s="165"/>
      <c r="I515" s="165"/>
      <c r="J515" s="165">
        <v>13230</v>
      </c>
      <c r="K515" s="165"/>
      <c r="L515" s="165"/>
      <c r="M515" s="165"/>
      <c r="N515" s="165">
        <f t="shared" si="10"/>
        <v>0</v>
      </c>
      <c r="O515" s="165" t="s">
        <v>504</v>
      </c>
      <c r="P515" s="165" t="s">
        <v>505</v>
      </c>
      <c r="Q515" s="3">
        <v>13230</v>
      </c>
      <c r="R515">
        <v>13230</v>
      </c>
    </row>
    <row r="516" spans="1:18">
      <c r="A516" s="165" t="s">
        <v>1019</v>
      </c>
      <c r="B516" s="165">
        <v>635</v>
      </c>
      <c r="C516" s="165" t="s">
        <v>2693</v>
      </c>
      <c r="D516" s="165">
        <v>4</v>
      </c>
      <c r="E516" s="165" t="s">
        <v>165</v>
      </c>
      <c r="F516" s="165" t="s">
        <v>1023</v>
      </c>
      <c r="G516" s="165">
        <v>13230</v>
      </c>
      <c r="H516" s="165"/>
      <c r="I516" s="165"/>
      <c r="J516" s="165">
        <v>13230</v>
      </c>
      <c r="K516" s="165"/>
      <c r="L516" s="165"/>
      <c r="M516" s="165"/>
      <c r="N516" s="165">
        <f t="shared" si="10"/>
        <v>0</v>
      </c>
      <c r="O516" s="165" t="s">
        <v>501</v>
      </c>
      <c r="P516" s="165" t="s">
        <v>2160</v>
      </c>
      <c r="Q516" s="3">
        <v>13230</v>
      </c>
      <c r="R516">
        <v>13230</v>
      </c>
    </row>
    <row r="517" spans="1:18">
      <c r="A517" s="165" t="s">
        <v>1019</v>
      </c>
      <c r="B517" s="165">
        <v>636</v>
      </c>
      <c r="C517" s="165" t="s">
        <v>2693</v>
      </c>
      <c r="D517" s="165">
        <v>5</v>
      </c>
      <c r="E517" s="165" t="s">
        <v>166</v>
      </c>
      <c r="F517" s="165" t="s">
        <v>1024</v>
      </c>
      <c r="G517" s="165">
        <v>13230</v>
      </c>
      <c r="H517" s="165"/>
      <c r="I517" s="165"/>
      <c r="J517" s="165">
        <v>13230</v>
      </c>
      <c r="K517" s="165"/>
      <c r="L517" s="165"/>
      <c r="M517" s="165"/>
      <c r="N517" s="165">
        <f t="shared" si="10"/>
        <v>0</v>
      </c>
      <c r="O517" s="165" t="s">
        <v>2162</v>
      </c>
      <c r="P517" s="165" t="s">
        <v>1024</v>
      </c>
      <c r="Q517" s="3">
        <v>13230</v>
      </c>
      <c r="R517">
        <v>13230</v>
      </c>
    </row>
    <row r="518" spans="1:18">
      <c r="A518" s="165" t="s">
        <v>1019</v>
      </c>
      <c r="B518" s="165">
        <v>637</v>
      </c>
      <c r="C518" s="165" t="s">
        <v>2693</v>
      </c>
      <c r="D518" s="165">
        <v>6</v>
      </c>
      <c r="E518" s="165" t="s">
        <v>167</v>
      </c>
      <c r="F518" s="165" t="s">
        <v>1025</v>
      </c>
      <c r="G518" s="165">
        <v>13230</v>
      </c>
      <c r="H518" s="165"/>
      <c r="I518" s="165"/>
      <c r="J518" s="165">
        <v>13230</v>
      </c>
      <c r="K518" s="165"/>
      <c r="L518" s="165"/>
      <c r="M518" s="165"/>
      <c r="N518" s="165">
        <f t="shared" si="10"/>
        <v>0</v>
      </c>
      <c r="O518" s="165" t="s">
        <v>2164</v>
      </c>
      <c r="P518" s="165" t="s">
        <v>1025</v>
      </c>
      <c r="Q518" s="3">
        <v>13230</v>
      </c>
      <c r="R518">
        <v>13230</v>
      </c>
    </row>
    <row r="519" spans="1:18">
      <c r="A519" s="165" t="s">
        <v>1019</v>
      </c>
      <c r="B519" s="165">
        <v>638</v>
      </c>
      <c r="C519" s="165" t="s">
        <v>2693</v>
      </c>
      <c r="D519" s="165">
        <v>7</v>
      </c>
      <c r="E519" s="165" t="s">
        <v>168</v>
      </c>
      <c r="F519" s="165" t="s">
        <v>1026</v>
      </c>
      <c r="G519" s="165">
        <v>13230</v>
      </c>
      <c r="H519" s="165"/>
      <c r="I519" s="165"/>
      <c r="J519" s="165">
        <v>13230</v>
      </c>
      <c r="K519" s="165"/>
      <c r="L519" s="165"/>
      <c r="M519" s="165"/>
      <c r="N519" s="165">
        <f t="shared" si="10"/>
        <v>0</v>
      </c>
      <c r="O519" s="165" t="s">
        <v>621</v>
      </c>
      <c r="P519" s="165" t="s">
        <v>622</v>
      </c>
      <c r="Q519" s="3">
        <v>13230</v>
      </c>
      <c r="R519">
        <v>13230</v>
      </c>
    </row>
    <row r="520" spans="1:18">
      <c r="A520" s="165" t="s">
        <v>1019</v>
      </c>
      <c r="B520" s="165">
        <v>639</v>
      </c>
      <c r="C520" s="165" t="s">
        <v>2693</v>
      </c>
      <c r="D520" s="165">
        <v>8</v>
      </c>
      <c r="E520" s="165" t="s">
        <v>169</v>
      </c>
      <c r="F520" s="165" t="s">
        <v>1027</v>
      </c>
      <c r="G520" s="165">
        <v>13230</v>
      </c>
      <c r="H520" s="165"/>
      <c r="I520" s="165"/>
      <c r="J520" s="165"/>
      <c r="K520" s="165">
        <v>13230</v>
      </c>
      <c r="L520" s="165"/>
      <c r="M520" s="165"/>
      <c r="N520" s="165">
        <f t="shared" si="10"/>
        <v>0</v>
      </c>
      <c r="O520" s="165" t="s">
        <v>3159</v>
      </c>
      <c r="P520" s="165" t="s">
        <v>3160</v>
      </c>
      <c r="Q520" s="3">
        <v>13230</v>
      </c>
      <c r="R520">
        <v>13230</v>
      </c>
    </row>
    <row r="521" spans="1:18">
      <c r="A521" s="165" t="s">
        <v>1028</v>
      </c>
      <c r="B521" s="165">
        <v>640</v>
      </c>
      <c r="C521" s="165" t="s">
        <v>1789</v>
      </c>
      <c r="D521" s="165">
        <v>1</v>
      </c>
      <c r="E521" s="165" t="s">
        <v>1029</v>
      </c>
      <c r="F521" s="165" t="s">
        <v>505</v>
      </c>
      <c r="G521" s="165">
        <v>14175</v>
      </c>
      <c r="H521" s="165"/>
      <c r="I521" s="165"/>
      <c r="J521" s="165">
        <v>14175</v>
      </c>
      <c r="K521" s="165"/>
      <c r="L521" s="165"/>
      <c r="M521" s="165"/>
      <c r="N521" s="165">
        <f t="shared" si="10"/>
        <v>0</v>
      </c>
      <c r="O521" s="165" t="s">
        <v>496</v>
      </c>
      <c r="P521" s="165" t="s">
        <v>497</v>
      </c>
      <c r="Q521" s="3">
        <v>14175</v>
      </c>
      <c r="R521">
        <v>14175</v>
      </c>
    </row>
    <row r="522" spans="1:18">
      <c r="A522" s="165" t="s">
        <v>1028</v>
      </c>
      <c r="B522" s="165">
        <v>641</v>
      </c>
      <c r="C522" s="165" t="s">
        <v>1789</v>
      </c>
      <c r="D522" s="165">
        <v>2</v>
      </c>
      <c r="E522" s="165" t="s">
        <v>170</v>
      </c>
      <c r="F522" s="165" t="s">
        <v>548</v>
      </c>
      <c r="G522" s="165">
        <v>14175</v>
      </c>
      <c r="H522" s="165"/>
      <c r="I522" s="165"/>
      <c r="J522" s="165">
        <v>14175</v>
      </c>
      <c r="K522" s="165"/>
      <c r="L522" s="165"/>
      <c r="M522" s="165"/>
      <c r="N522" s="165">
        <f t="shared" si="10"/>
        <v>0</v>
      </c>
      <c r="O522" s="165" t="s">
        <v>623</v>
      </c>
      <c r="P522" s="165" t="s">
        <v>624</v>
      </c>
      <c r="Q522" s="3">
        <v>14175</v>
      </c>
      <c r="R522">
        <v>14175</v>
      </c>
    </row>
    <row r="523" spans="1:18">
      <c r="A523" s="165" t="s">
        <v>1028</v>
      </c>
      <c r="B523" s="165">
        <v>642</v>
      </c>
      <c r="C523" s="165" t="s">
        <v>1789</v>
      </c>
      <c r="D523" s="165">
        <v>3</v>
      </c>
      <c r="E523" s="165" t="s">
        <v>171</v>
      </c>
      <c r="F523" s="165" t="s">
        <v>2201</v>
      </c>
      <c r="G523" s="165">
        <v>14175</v>
      </c>
      <c r="H523" s="165"/>
      <c r="I523" s="165"/>
      <c r="J523" s="165">
        <v>14175</v>
      </c>
      <c r="K523" s="165"/>
      <c r="L523" s="165"/>
      <c r="M523" s="165"/>
      <c r="N523" s="165">
        <f t="shared" si="10"/>
        <v>0</v>
      </c>
      <c r="O523" s="165" t="s">
        <v>636</v>
      </c>
      <c r="P523" s="165" t="s">
        <v>637</v>
      </c>
      <c r="Q523" s="3">
        <v>14175</v>
      </c>
      <c r="R523">
        <v>14175</v>
      </c>
    </row>
    <row r="524" spans="1:18">
      <c r="A524" s="165" t="s">
        <v>1028</v>
      </c>
      <c r="B524" s="165">
        <v>643</v>
      </c>
      <c r="C524" s="165" t="s">
        <v>1789</v>
      </c>
      <c r="D524" s="165">
        <v>4</v>
      </c>
      <c r="E524" s="165" t="s">
        <v>172</v>
      </c>
      <c r="F524" s="165" t="s">
        <v>2203</v>
      </c>
      <c r="G524" s="165">
        <v>14175</v>
      </c>
      <c r="H524" s="165"/>
      <c r="I524" s="165"/>
      <c r="J524" s="165">
        <v>14175</v>
      </c>
      <c r="K524" s="165"/>
      <c r="L524" s="165"/>
      <c r="M524" s="165"/>
      <c r="N524" s="165">
        <f t="shared" si="10"/>
        <v>0</v>
      </c>
      <c r="O524" s="165" t="s">
        <v>619</v>
      </c>
      <c r="P524" s="165" t="s">
        <v>620</v>
      </c>
      <c r="Q524" s="3">
        <v>14175</v>
      </c>
      <c r="R524">
        <v>14175</v>
      </c>
    </row>
    <row r="525" spans="1:18">
      <c r="A525" s="165" t="s">
        <v>1028</v>
      </c>
      <c r="B525" s="165">
        <v>644</v>
      </c>
      <c r="C525" s="165" t="s">
        <v>1789</v>
      </c>
      <c r="D525" s="165">
        <v>5</v>
      </c>
      <c r="E525" s="165" t="s">
        <v>173</v>
      </c>
      <c r="F525" s="165" t="s">
        <v>2205</v>
      </c>
      <c r="G525" s="165">
        <v>14175</v>
      </c>
      <c r="H525" s="165"/>
      <c r="I525" s="165"/>
      <c r="J525" s="165"/>
      <c r="K525" s="165">
        <v>14175</v>
      </c>
      <c r="L525" s="165"/>
      <c r="M525" s="165"/>
      <c r="N525" s="165">
        <f t="shared" si="10"/>
        <v>0</v>
      </c>
      <c r="O525" s="165" t="s">
        <v>625</v>
      </c>
      <c r="P525" s="165" t="s">
        <v>626</v>
      </c>
      <c r="Q525" s="3">
        <v>14175</v>
      </c>
      <c r="R525">
        <v>14175</v>
      </c>
    </row>
    <row r="526" spans="1:18">
      <c r="A526" s="165" t="s">
        <v>1028</v>
      </c>
      <c r="B526" s="165">
        <v>645</v>
      </c>
      <c r="C526" s="165" t="s">
        <v>1789</v>
      </c>
      <c r="D526" s="165">
        <v>6</v>
      </c>
      <c r="E526" s="165" t="s">
        <v>174</v>
      </c>
      <c r="F526" s="165" t="s">
        <v>1030</v>
      </c>
      <c r="G526" s="165">
        <v>14175</v>
      </c>
      <c r="H526" s="165"/>
      <c r="I526" s="165"/>
      <c r="J526" s="165"/>
      <c r="K526" s="165">
        <v>14175</v>
      </c>
      <c r="L526" s="165"/>
      <c r="M526" s="165"/>
      <c r="N526" s="165">
        <f t="shared" si="10"/>
        <v>0</v>
      </c>
      <c r="O526" s="165" t="s">
        <v>3161</v>
      </c>
      <c r="P526" s="165" t="s">
        <v>3162</v>
      </c>
      <c r="Q526" s="3">
        <v>14175</v>
      </c>
      <c r="R526">
        <v>14175</v>
      </c>
    </row>
    <row r="527" spans="1:18">
      <c r="A527" s="165" t="s">
        <v>1028</v>
      </c>
      <c r="B527" s="165">
        <v>646</v>
      </c>
      <c r="C527" s="165" t="s">
        <v>1789</v>
      </c>
      <c r="D527" s="165">
        <v>7</v>
      </c>
      <c r="E527" s="165" t="s">
        <v>175</v>
      </c>
      <c r="F527" s="165" t="s">
        <v>1031</v>
      </c>
      <c r="G527" s="165">
        <v>14175</v>
      </c>
      <c r="H527" s="165"/>
      <c r="I527" s="165"/>
      <c r="J527" s="165"/>
      <c r="K527" s="165">
        <v>14175</v>
      </c>
      <c r="L527" s="165"/>
      <c r="M527" s="165"/>
      <c r="N527" s="165">
        <f t="shared" si="10"/>
        <v>0</v>
      </c>
      <c r="O527" s="165" t="s">
        <v>3167</v>
      </c>
      <c r="P527" s="165" t="s">
        <v>3168</v>
      </c>
      <c r="Q527" s="3">
        <v>14175</v>
      </c>
      <c r="R527">
        <v>14175</v>
      </c>
    </row>
    <row r="528" spans="1:18">
      <c r="A528" s="165" t="s">
        <v>1028</v>
      </c>
      <c r="B528" s="165">
        <v>647</v>
      </c>
      <c r="C528" s="165" t="s">
        <v>1789</v>
      </c>
      <c r="D528" s="165">
        <v>8</v>
      </c>
      <c r="E528" s="165" t="s">
        <v>176</v>
      </c>
      <c r="F528" s="165" t="s">
        <v>1032</v>
      </c>
      <c r="G528" s="165">
        <v>14175</v>
      </c>
      <c r="H528" s="165"/>
      <c r="I528" s="165"/>
      <c r="J528" s="165"/>
      <c r="K528" s="165">
        <v>14175</v>
      </c>
      <c r="L528" s="165"/>
      <c r="M528" s="165"/>
      <c r="N528" s="165">
        <f t="shared" si="10"/>
        <v>0</v>
      </c>
      <c r="O528" s="165" t="s">
        <v>3169</v>
      </c>
      <c r="P528" s="165" t="s">
        <v>3170</v>
      </c>
      <c r="Q528" s="3">
        <v>14175</v>
      </c>
      <c r="R528">
        <v>14175</v>
      </c>
    </row>
    <row r="529" spans="1:21" s="283" customFormat="1">
      <c r="A529" s="279" t="s">
        <v>1033</v>
      </c>
      <c r="B529" s="279"/>
      <c r="C529" s="279" t="s">
        <v>2060</v>
      </c>
      <c r="D529" s="279">
        <v>7</v>
      </c>
      <c r="E529" s="279" t="s">
        <v>1283</v>
      </c>
      <c r="F529" s="279" t="s">
        <v>1033</v>
      </c>
      <c r="G529" s="280"/>
      <c r="H529" s="280"/>
      <c r="I529" s="280"/>
      <c r="J529" s="280"/>
      <c r="K529" s="280"/>
      <c r="L529" s="280"/>
      <c r="M529" s="280"/>
      <c r="N529" s="280">
        <f t="shared" si="10"/>
        <v>0</v>
      </c>
      <c r="O529" s="279" t="s">
        <v>1033</v>
      </c>
      <c r="P529" s="279" t="s">
        <v>1033</v>
      </c>
      <c r="Q529" s="279">
        <v>14175</v>
      </c>
      <c r="R529" s="279">
        <v>14175</v>
      </c>
      <c r="S529" s="279"/>
      <c r="T529" s="280"/>
      <c r="U529" s="282" t="s">
        <v>245</v>
      </c>
    </row>
    <row r="530" spans="1:21">
      <c r="A530" s="165" t="s">
        <v>1034</v>
      </c>
      <c r="B530" s="165">
        <v>648</v>
      </c>
      <c r="C530" s="165" t="s">
        <v>2423</v>
      </c>
      <c r="D530" s="165">
        <v>1</v>
      </c>
      <c r="E530" s="165" t="s">
        <v>1035</v>
      </c>
      <c r="F530" s="165" t="s">
        <v>2349</v>
      </c>
      <c r="G530" s="165">
        <v>14175</v>
      </c>
      <c r="H530" s="165"/>
      <c r="I530" s="165"/>
      <c r="J530" s="165">
        <v>14175</v>
      </c>
      <c r="K530" s="165"/>
      <c r="L530" s="165"/>
      <c r="M530" s="165"/>
      <c r="N530" s="165">
        <f t="shared" si="10"/>
        <v>0</v>
      </c>
      <c r="O530" s="165" t="s">
        <v>501</v>
      </c>
      <c r="P530" s="165" t="s">
        <v>2160</v>
      </c>
      <c r="Q530" s="3">
        <v>14175</v>
      </c>
      <c r="R530">
        <v>14175</v>
      </c>
    </row>
    <row r="531" spans="1:21">
      <c r="A531" s="165" t="s">
        <v>1034</v>
      </c>
      <c r="B531" s="165">
        <v>649</v>
      </c>
      <c r="C531" s="165" t="s">
        <v>2423</v>
      </c>
      <c r="D531" s="165">
        <v>2</v>
      </c>
      <c r="E531" s="165" t="s">
        <v>156</v>
      </c>
      <c r="F531" s="165" t="s">
        <v>2350</v>
      </c>
      <c r="G531" s="165">
        <v>14175</v>
      </c>
      <c r="H531" s="165"/>
      <c r="I531" s="165"/>
      <c r="J531" s="165">
        <v>14175</v>
      </c>
      <c r="K531" s="165"/>
      <c r="L531" s="165"/>
      <c r="M531" s="165"/>
      <c r="N531" s="165">
        <f t="shared" si="10"/>
        <v>0</v>
      </c>
      <c r="O531" s="165" t="s">
        <v>2162</v>
      </c>
      <c r="P531" s="165" t="s">
        <v>1024</v>
      </c>
      <c r="Q531" s="3">
        <v>14175</v>
      </c>
      <c r="R531">
        <v>14175</v>
      </c>
    </row>
    <row r="532" spans="1:21">
      <c r="A532" s="165" t="s">
        <v>1034</v>
      </c>
      <c r="B532" s="165">
        <v>650</v>
      </c>
      <c r="C532" s="165" t="s">
        <v>2423</v>
      </c>
      <c r="D532" s="165">
        <v>3</v>
      </c>
      <c r="E532" s="165" t="s">
        <v>157</v>
      </c>
      <c r="F532" s="165" t="s">
        <v>2352</v>
      </c>
      <c r="G532" s="165">
        <v>14175</v>
      </c>
      <c r="H532" s="165"/>
      <c r="I532" s="165"/>
      <c r="J532" s="165">
        <v>14175</v>
      </c>
      <c r="K532" s="165"/>
      <c r="L532" s="165"/>
      <c r="M532" s="165"/>
      <c r="N532" s="165">
        <f t="shared" si="10"/>
        <v>0</v>
      </c>
      <c r="O532" s="165" t="s">
        <v>2164</v>
      </c>
      <c r="P532" s="165" t="s">
        <v>1025</v>
      </c>
      <c r="Q532" s="3">
        <v>14175</v>
      </c>
      <c r="R532">
        <v>14175</v>
      </c>
    </row>
    <row r="533" spans="1:21">
      <c r="A533" s="165" t="s">
        <v>1034</v>
      </c>
      <c r="B533" s="165">
        <v>651</v>
      </c>
      <c r="C533" s="165" t="s">
        <v>2423</v>
      </c>
      <c r="D533" s="165">
        <v>4</v>
      </c>
      <c r="E533" s="165" t="s">
        <v>158</v>
      </c>
      <c r="F533" s="165" t="s">
        <v>2353</v>
      </c>
      <c r="G533" s="165">
        <v>14175</v>
      </c>
      <c r="H533" s="165"/>
      <c r="I533" s="165"/>
      <c r="J533" s="165">
        <v>14175</v>
      </c>
      <c r="K533" s="165"/>
      <c r="L533" s="165"/>
      <c r="M533" s="165"/>
      <c r="N533" s="165">
        <f t="shared" si="10"/>
        <v>0</v>
      </c>
      <c r="O533" s="165" t="s">
        <v>628</v>
      </c>
      <c r="P533" s="165" t="s">
        <v>629</v>
      </c>
      <c r="Q533" s="3">
        <v>14175</v>
      </c>
      <c r="R533">
        <v>14175</v>
      </c>
    </row>
    <row r="534" spans="1:21">
      <c r="A534" s="165" t="s">
        <v>1034</v>
      </c>
      <c r="B534" s="165">
        <v>652</v>
      </c>
      <c r="C534" s="165" t="s">
        <v>2423</v>
      </c>
      <c r="D534" s="165">
        <v>5</v>
      </c>
      <c r="E534" s="165" t="s">
        <v>159</v>
      </c>
      <c r="F534" s="165" t="s">
        <v>2354</v>
      </c>
      <c r="G534" s="165">
        <v>14175</v>
      </c>
      <c r="H534" s="165"/>
      <c r="I534" s="165"/>
      <c r="J534" s="165"/>
      <c r="K534" s="165">
        <v>14175</v>
      </c>
      <c r="L534" s="165"/>
      <c r="M534" s="165"/>
      <c r="N534" s="165">
        <f t="shared" si="10"/>
        <v>0</v>
      </c>
      <c r="O534" s="165" t="s">
        <v>3159</v>
      </c>
      <c r="P534" s="165" t="s">
        <v>3160</v>
      </c>
      <c r="Q534" s="3">
        <v>14175</v>
      </c>
      <c r="R534">
        <v>14175</v>
      </c>
    </row>
    <row r="535" spans="1:21">
      <c r="A535" s="165" t="s">
        <v>1034</v>
      </c>
      <c r="B535" s="165">
        <v>653</v>
      </c>
      <c r="C535" s="165" t="s">
        <v>2423</v>
      </c>
      <c r="D535" s="165">
        <v>6</v>
      </c>
      <c r="E535" s="165" t="s">
        <v>160</v>
      </c>
      <c r="F535" s="165" t="s">
        <v>2355</v>
      </c>
      <c r="G535" s="165">
        <v>14175</v>
      </c>
      <c r="H535" s="165"/>
      <c r="I535" s="165"/>
      <c r="J535" s="165"/>
      <c r="K535" s="165">
        <v>14175</v>
      </c>
      <c r="L535" s="165"/>
      <c r="M535" s="165"/>
      <c r="N535" s="165">
        <f t="shared" si="10"/>
        <v>0</v>
      </c>
      <c r="O535" s="165" t="s">
        <v>3164</v>
      </c>
      <c r="P535" s="165" t="s">
        <v>808</v>
      </c>
      <c r="Q535" s="3">
        <v>14175</v>
      </c>
      <c r="R535">
        <v>14175</v>
      </c>
    </row>
    <row r="536" spans="1:21">
      <c r="A536" s="165" t="s">
        <v>1034</v>
      </c>
      <c r="B536" s="165">
        <v>654</v>
      </c>
      <c r="C536" s="165" t="s">
        <v>2423</v>
      </c>
      <c r="D536" s="165">
        <v>7</v>
      </c>
      <c r="E536" s="165" t="s">
        <v>161</v>
      </c>
      <c r="F536" s="165" t="s">
        <v>2356</v>
      </c>
      <c r="G536" s="165">
        <v>14175</v>
      </c>
      <c r="H536" s="165"/>
      <c r="I536" s="165"/>
      <c r="J536" s="165"/>
      <c r="K536" s="165">
        <v>14175</v>
      </c>
      <c r="L536" s="165"/>
      <c r="M536" s="165"/>
      <c r="N536" s="165">
        <f t="shared" si="10"/>
        <v>0</v>
      </c>
      <c r="O536" s="165" t="s">
        <v>3165</v>
      </c>
      <c r="P536" s="165" t="s">
        <v>3166</v>
      </c>
      <c r="Q536" s="3">
        <v>14175</v>
      </c>
      <c r="R536">
        <v>14175</v>
      </c>
    </row>
    <row r="537" spans="1:21" s="5" customFormat="1">
      <c r="A537" s="94" t="s">
        <v>1034</v>
      </c>
      <c r="B537" s="165">
        <v>655</v>
      </c>
      <c r="C537" s="94" t="s">
        <v>2423</v>
      </c>
      <c r="D537" s="94">
        <v>8</v>
      </c>
      <c r="E537" s="94" t="s">
        <v>162</v>
      </c>
      <c r="F537" s="94" t="s">
        <v>1042</v>
      </c>
      <c r="G537" s="94">
        <v>14175</v>
      </c>
      <c r="H537" s="94"/>
      <c r="I537" s="94"/>
      <c r="J537" s="94"/>
      <c r="K537" s="307">
        <v>14175</v>
      </c>
      <c r="L537" s="94"/>
      <c r="M537" s="307">
        <v>14175</v>
      </c>
      <c r="N537" s="94">
        <f t="shared" si="10"/>
        <v>0</v>
      </c>
      <c r="O537" s="94" t="s">
        <v>3171</v>
      </c>
      <c r="P537" s="94" t="s">
        <v>3172</v>
      </c>
      <c r="Q537" s="93">
        <v>14175</v>
      </c>
      <c r="R537" s="5">
        <v>14175</v>
      </c>
      <c r="T537" s="93"/>
    </row>
    <row r="538" spans="1:21">
      <c r="A538" s="165" t="s">
        <v>462</v>
      </c>
      <c r="B538" s="165">
        <v>656</v>
      </c>
      <c r="C538" s="165" t="s">
        <v>1013</v>
      </c>
      <c r="D538" s="165"/>
      <c r="E538" s="165" t="s">
        <v>1036</v>
      </c>
      <c r="F538" s="165" t="s">
        <v>1037</v>
      </c>
      <c r="G538" s="165">
        <v>126000</v>
      </c>
      <c r="H538" s="165"/>
      <c r="I538" s="165"/>
      <c r="J538" s="165">
        <v>126000</v>
      </c>
      <c r="K538" s="165"/>
      <c r="L538" s="165"/>
      <c r="M538" s="165"/>
      <c r="N538" s="165">
        <f t="shared" si="10"/>
        <v>0</v>
      </c>
      <c r="O538" s="165" t="s">
        <v>504</v>
      </c>
      <c r="P538" s="165" t="s">
        <v>505</v>
      </c>
      <c r="Q538" s="3">
        <v>126000</v>
      </c>
      <c r="R538">
        <v>126000</v>
      </c>
      <c r="U538" t="s">
        <v>1038</v>
      </c>
    </row>
    <row r="539" spans="1:21">
      <c r="A539" s="165" t="s">
        <v>1039</v>
      </c>
      <c r="B539" s="165">
        <v>657</v>
      </c>
      <c r="C539" s="165" t="s">
        <v>1016</v>
      </c>
      <c r="D539" s="165"/>
      <c r="E539" s="165" t="s">
        <v>1040</v>
      </c>
      <c r="F539" s="165" t="s">
        <v>1041</v>
      </c>
      <c r="G539" s="165">
        <v>126000</v>
      </c>
      <c r="H539" s="165"/>
      <c r="I539" s="165"/>
      <c r="J539" s="165">
        <v>126000</v>
      </c>
      <c r="K539" s="165"/>
      <c r="L539" s="165"/>
      <c r="M539" s="165"/>
      <c r="N539" s="165">
        <f t="shared" si="10"/>
        <v>0</v>
      </c>
      <c r="O539" s="165" t="s">
        <v>504</v>
      </c>
      <c r="P539" s="165" t="s">
        <v>505</v>
      </c>
      <c r="Q539" s="3">
        <v>126000</v>
      </c>
      <c r="R539">
        <v>126000</v>
      </c>
      <c r="U539" t="s">
        <v>1038</v>
      </c>
    </row>
    <row r="540" spans="1:21" s="163" customFormat="1">
      <c r="A540" s="281" t="s">
        <v>472</v>
      </c>
      <c r="B540" s="281"/>
      <c r="C540" s="281" t="s">
        <v>3825</v>
      </c>
      <c r="D540" s="281">
        <v>1</v>
      </c>
      <c r="E540" s="281" t="s">
        <v>1283</v>
      </c>
      <c r="F540" s="281" t="s">
        <v>472</v>
      </c>
      <c r="G540" s="284"/>
      <c r="H540" s="284"/>
      <c r="I540" s="284"/>
      <c r="J540" s="281"/>
      <c r="K540" s="281"/>
      <c r="L540" s="281"/>
      <c r="M540" s="281"/>
      <c r="N540" s="281">
        <f t="shared" si="10"/>
        <v>0</v>
      </c>
      <c r="O540" s="281" t="s">
        <v>472</v>
      </c>
      <c r="P540" s="281" t="s">
        <v>472</v>
      </c>
      <c r="Q540" s="281">
        <v>14175</v>
      </c>
      <c r="R540" s="281">
        <v>14145</v>
      </c>
      <c r="S540" s="281"/>
      <c r="T540" s="284">
        <v>30</v>
      </c>
    </row>
    <row r="541" spans="1:21" s="283" customFormat="1">
      <c r="A541" s="279" t="s">
        <v>2349</v>
      </c>
      <c r="B541" s="279"/>
      <c r="C541" s="279" t="s">
        <v>2060</v>
      </c>
      <c r="D541" s="279">
        <v>8</v>
      </c>
      <c r="E541" s="279" t="s">
        <v>1283</v>
      </c>
      <c r="F541" s="279" t="s">
        <v>2349</v>
      </c>
      <c r="G541" s="280"/>
      <c r="H541" s="280"/>
      <c r="I541" s="280"/>
      <c r="J541" s="280"/>
      <c r="K541" s="280"/>
      <c r="L541" s="280"/>
      <c r="M541" s="280"/>
      <c r="N541" s="280">
        <f t="shared" si="10"/>
        <v>0</v>
      </c>
      <c r="O541" s="279" t="s">
        <v>2349</v>
      </c>
      <c r="P541" s="279" t="s">
        <v>2349</v>
      </c>
      <c r="Q541" s="279">
        <v>14175</v>
      </c>
      <c r="R541" s="279">
        <v>14165</v>
      </c>
      <c r="S541" s="279"/>
      <c r="T541" s="280">
        <v>10</v>
      </c>
      <c r="U541" s="282" t="s">
        <v>245</v>
      </c>
    </row>
    <row r="542" spans="1:21" s="5" customFormat="1">
      <c r="A542" s="94" t="s">
        <v>1043</v>
      </c>
      <c r="B542" s="94">
        <v>658</v>
      </c>
      <c r="C542" s="94" t="s">
        <v>1232</v>
      </c>
      <c r="D542" s="94">
        <v>8</v>
      </c>
      <c r="E542" s="94" t="s">
        <v>1044</v>
      </c>
      <c r="F542" s="94" t="s">
        <v>2261</v>
      </c>
      <c r="G542" s="94">
        <v>16380</v>
      </c>
      <c r="H542" s="94"/>
      <c r="I542" s="94"/>
      <c r="J542" s="94">
        <v>16380</v>
      </c>
      <c r="K542" s="94"/>
      <c r="L542" s="94"/>
      <c r="M542" s="94"/>
      <c r="N542" s="94">
        <f t="shared" si="10"/>
        <v>0</v>
      </c>
      <c r="O542" s="94" t="s">
        <v>610</v>
      </c>
      <c r="P542" s="94" t="s">
        <v>611</v>
      </c>
      <c r="Q542" s="93">
        <v>16380</v>
      </c>
      <c r="R542" s="4">
        <v>16380</v>
      </c>
      <c r="S542" s="4"/>
      <c r="T542" s="93"/>
    </row>
    <row r="543" spans="1:21">
      <c r="A543" s="165" t="s">
        <v>473</v>
      </c>
      <c r="B543" s="94">
        <v>659</v>
      </c>
      <c r="C543" s="165" t="s">
        <v>1264</v>
      </c>
      <c r="D543" s="165">
        <v>5</v>
      </c>
      <c r="E543" s="165" t="s">
        <v>1045</v>
      </c>
      <c r="F543" s="165" t="s">
        <v>2051</v>
      </c>
      <c r="G543" s="165"/>
      <c r="H543" s="165">
        <v>11340</v>
      </c>
      <c r="I543" s="165"/>
      <c r="J543" s="165">
        <v>11340</v>
      </c>
      <c r="K543" s="165"/>
      <c r="L543" s="165"/>
      <c r="M543" s="165"/>
      <c r="N543" s="165">
        <f t="shared" si="10"/>
        <v>0</v>
      </c>
      <c r="O543" s="165" t="s">
        <v>506</v>
      </c>
      <c r="P543" s="165" t="s">
        <v>826</v>
      </c>
      <c r="Q543" s="3">
        <v>11340</v>
      </c>
      <c r="R543" s="4">
        <v>11340</v>
      </c>
      <c r="S543" s="4"/>
    </row>
    <row r="544" spans="1:21">
      <c r="A544" s="165" t="s">
        <v>473</v>
      </c>
      <c r="B544" s="94">
        <v>660</v>
      </c>
      <c r="C544" s="165" t="s">
        <v>1264</v>
      </c>
      <c r="D544" s="165">
        <v>6</v>
      </c>
      <c r="E544" s="165" t="s">
        <v>131</v>
      </c>
      <c r="F544" s="165" t="s">
        <v>2190</v>
      </c>
      <c r="G544" s="165"/>
      <c r="H544" s="165">
        <v>11340</v>
      </c>
      <c r="I544" s="165"/>
      <c r="J544" s="165">
        <v>11340</v>
      </c>
      <c r="K544" s="165"/>
      <c r="L544" s="165"/>
      <c r="M544" s="165"/>
      <c r="N544" s="165">
        <f t="shared" si="10"/>
        <v>0</v>
      </c>
      <c r="O544" s="165" t="s">
        <v>627</v>
      </c>
      <c r="P544" s="165" t="s">
        <v>827</v>
      </c>
      <c r="Q544" s="3">
        <v>11340</v>
      </c>
      <c r="R544" s="4">
        <v>11340</v>
      </c>
      <c r="S544" s="4"/>
    </row>
    <row r="545" spans="1:22">
      <c r="A545" s="165" t="s">
        <v>473</v>
      </c>
      <c r="B545" s="94">
        <v>661</v>
      </c>
      <c r="C545" s="165" t="s">
        <v>1264</v>
      </c>
      <c r="D545" s="165">
        <v>7</v>
      </c>
      <c r="E545" s="165" t="s">
        <v>132</v>
      </c>
      <c r="F545" s="165" t="s">
        <v>2192</v>
      </c>
      <c r="G545" s="165"/>
      <c r="H545" s="165">
        <v>11340</v>
      </c>
      <c r="I545" s="165"/>
      <c r="J545" s="165">
        <v>11340</v>
      </c>
      <c r="K545" s="165"/>
      <c r="L545" s="165"/>
      <c r="M545" s="165"/>
      <c r="N545" s="165">
        <f t="shared" si="10"/>
        <v>0</v>
      </c>
      <c r="O545" s="165" t="s">
        <v>613</v>
      </c>
      <c r="P545" s="165" t="s">
        <v>614</v>
      </c>
      <c r="Q545" s="3">
        <v>11340</v>
      </c>
      <c r="R545" s="4">
        <v>11340</v>
      </c>
      <c r="S545" s="4"/>
    </row>
    <row r="546" spans="1:22">
      <c r="A546" s="165" t="s">
        <v>473</v>
      </c>
      <c r="B546" s="94">
        <v>662</v>
      </c>
      <c r="C546" s="165" t="s">
        <v>1264</v>
      </c>
      <c r="D546" s="165">
        <v>8</v>
      </c>
      <c r="E546" s="165" t="s">
        <v>133</v>
      </c>
      <c r="F546" s="165" t="s">
        <v>2194</v>
      </c>
      <c r="G546" s="165"/>
      <c r="H546" s="165">
        <v>11340</v>
      </c>
      <c r="I546" s="165"/>
      <c r="J546" s="165"/>
      <c r="K546" s="165">
        <v>11340</v>
      </c>
      <c r="L546" s="165"/>
      <c r="M546" s="165"/>
      <c r="N546" s="165">
        <f t="shared" si="10"/>
        <v>0</v>
      </c>
      <c r="O546" s="165" t="s">
        <v>621</v>
      </c>
      <c r="P546" s="165" t="s">
        <v>622</v>
      </c>
      <c r="Q546" s="3">
        <v>11340</v>
      </c>
      <c r="R546" s="4">
        <v>11340</v>
      </c>
      <c r="S546" s="4"/>
    </row>
    <row r="547" spans="1:22">
      <c r="A547" s="165" t="s">
        <v>506</v>
      </c>
      <c r="B547" s="94">
        <v>663</v>
      </c>
      <c r="C547" s="165" t="s">
        <v>1249</v>
      </c>
      <c r="D547" s="165">
        <v>13</v>
      </c>
      <c r="E547" s="165" t="s">
        <v>1046</v>
      </c>
      <c r="F547" s="165" t="s">
        <v>2229</v>
      </c>
      <c r="G547" s="165">
        <v>3780</v>
      </c>
      <c r="H547" s="165"/>
      <c r="I547" s="165"/>
      <c r="J547" s="165">
        <v>3780</v>
      </c>
      <c r="K547" s="165"/>
      <c r="L547" s="165"/>
      <c r="M547" s="165"/>
      <c r="N547" s="165">
        <f t="shared" si="10"/>
        <v>0</v>
      </c>
      <c r="O547" s="165" t="s">
        <v>610</v>
      </c>
      <c r="P547" s="165" t="s">
        <v>611</v>
      </c>
      <c r="Q547" s="3">
        <v>3780</v>
      </c>
      <c r="R547">
        <v>3780</v>
      </c>
    </row>
    <row r="548" spans="1:22" s="3" customFormat="1">
      <c r="A548" s="165" t="s">
        <v>506</v>
      </c>
      <c r="B548" s="94">
        <v>664</v>
      </c>
      <c r="C548" s="165" t="s">
        <v>1249</v>
      </c>
      <c r="D548" s="165">
        <v>14</v>
      </c>
      <c r="E548" s="165" t="s">
        <v>146</v>
      </c>
      <c r="F548" s="165" t="s">
        <v>826</v>
      </c>
      <c r="G548" s="165">
        <v>3780</v>
      </c>
      <c r="H548" s="165"/>
      <c r="I548" s="165"/>
      <c r="J548" s="165">
        <v>3780</v>
      </c>
      <c r="K548" s="165"/>
      <c r="L548" s="165"/>
      <c r="M548" s="165"/>
      <c r="N548" s="165">
        <f t="shared" si="10"/>
        <v>0</v>
      </c>
      <c r="O548" s="165" t="s">
        <v>610</v>
      </c>
      <c r="P548" s="165" t="s">
        <v>611</v>
      </c>
      <c r="Q548" s="3">
        <v>3780</v>
      </c>
      <c r="R548">
        <v>3780</v>
      </c>
      <c r="S548"/>
      <c r="U548"/>
      <c r="V548"/>
    </row>
    <row r="549" spans="1:22" s="3" customFormat="1">
      <c r="A549" s="165" t="s">
        <v>506</v>
      </c>
      <c r="B549" s="94">
        <v>665</v>
      </c>
      <c r="C549" s="165" t="s">
        <v>1249</v>
      </c>
      <c r="D549" s="165">
        <v>15</v>
      </c>
      <c r="E549" s="165" t="s">
        <v>147</v>
      </c>
      <c r="F549" s="165" t="s">
        <v>1047</v>
      </c>
      <c r="G549" s="165">
        <v>3780</v>
      </c>
      <c r="H549" s="165"/>
      <c r="I549" s="165"/>
      <c r="J549" s="165">
        <v>3780</v>
      </c>
      <c r="K549" s="165"/>
      <c r="L549" s="165"/>
      <c r="M549" s="165"/>
      <c r="N549" s="165">
        <f t="shared" si="10"/>
        <v>0</v>
      </c>
      <c r="O549" s="165" t="s">
        <v>631</v>
      </c>
      <c r="P549" s="165" t="s">
        <v>632</v>
      </c>
      <c r="Q549" s="3">
        <v>3780</v>
      </c>
      <c r="R549">
        <v>3780</v>
      </c>
      <c r="S549"/>
      <c r="U549"/>
      <c r="V549"/>
    </row>
    <row r="550" spans="1:22" s="3" customFormat="1">
      <c r="A550" s="165" t="s">
        <v>506</v>
      </c>
      <c r="B550" s="94">
        <v>666</v>
      </c>
      <c r="C550" s="165" t="s">
        <v>1249</v>
      </c>
      <c r="D550" s="165">
        <v>16</v>
      </c>
      <c r="E550" s="165" t="s">
        <v>148</v>
      </c>
      <c r="F550" s="165" t="s">
        <v>2232</v>
      </c>
      <c r="G550" s="165">
        <v>3780</v>
      </c>
      <c r="H550" s="165"/>
      <c r="I550" s="165"/>
      <c r="J550" s="165">
        <v>3780</v>
      </c>
      <c r="K550" s="165"/>
      <c r="L550" s="165"/>
      <c r="M550" s="165"/>
      <c r="N550" s="165">
        <f t="shared" si="10"/>
        <v>0</v>
      </c>
      <c r="O550" s="165" t="s">
        <v>2162</v>
      </c>
      <c r="P550" s="165" t="s">
        <v>1024</v>
      </c>
      <c r="Q550" s="3">
        <v>3780</v>
      </c>
      <c r="R550">
        <v>3780</v>
      </c>
      <c r="S550"/>
      <c r="U550"/>
      <c r="V550"/>
    </row>
    <row r="551" spans="1:22" s="3" customFormat="1">
      <c r="A551" s="165" t="s">
        <v>506</v>
      </c>
      <c r="B551" s="94">
        <v>667</v>
      </c>
      <c r="C551" s="165" t="s">
        <v>1249</v>
      </c>
      <c r="D551" s="165">
        <v>17</v>
      </c>
      <c r="E551" s="165" t="s">
        <v>149</v>
      </c>
      <c r="F551" s="165" t="s">
        <v>827</v>
      </c>
      <c r="G551" s="165">
        <v>3780</v>
      </c>
      <c r="H551" s="165"/>
      <c r="I551" s="165"/>
      <c r="J551" s="165">
        <v>3780</v>
      </c>
      <c r="K551" s="165"/>
      <c r="L551" s="165"/>
      <c r="M551" s="165"/>
      <c r="N551" s="165">
        <f t="shared" si="10"/>
        <v>0</v>
      </c>
      <c r="O551" s="165" t="s">
        <v>612</v>
      </c>
      <c r="P551" s="165" t="s">
        <v>2201</v>
      </c>
      <c r="Q551" s="3">
        <v>3780</v>
      </c>
      <c r="R551">
        <v>3780</v>
      </c>
      <c r="S551"/>
      <c r="U551"/>
      <c r="V551"/>
    </row>
    <row r="552" spans="1:22" s="3" customFormat="1">
      <c r="A552" s="165" t="s">
        <v>506</v>
      </c>
      <c r="B552" s="94">
        <v>668</v>
      </c>
      <c r="C552" s="165" t="s">
        <v>1249</v>
      </c>
      <c r="D552" s="165">
        <v>18</v>
      </c>
      <c r="E552" s="165" t="s">
        <v>1048</v>
      </c>
      <c r="F552" s="165" t="s">
        <v>1049</v>
      </c>
      <c r="G552" s="165">
        <v>3780</v>
      </c>
      <c r="H552" s="165"/>
      <c r="I552" s="165"/>
      <c r="J552" s="165">
        <v>3780</v>
      </c>
      <c r="K552" s="165"/>
      <c r="L552" s="165"/>
      <c r="M552" s="165"/>
      <c r="N552" s="165">
        <f t="shared" si="10"/>
        <v>0</v>
      </c>
      <c r="O552" s="165" t="s">
        <v>633</v>
      </c>
      <c r="P552" s="165" t="s">
        <v>634</v>
      </c>
      <c r="Q552" s="3">
        <v>3780</v>
      </c>
      <c r="R552">
        <v>3780</v>
      </c>
      <c r="S552"/>
      <c r="U552"/>
      <c r="V552"/>
    </row>
    <row r="553" spans="1:22" s="3" customFormat="1">
      <c r="A553" s="165" t="s">
        <v>506</v>
      </c>
      <c r="B553" s="94">
        <v>669</v>
      </c>
      <c r="C553" s="165" t="s">
        <v>1249</v>
      </c>
      <c r="D553" s="165">
        <v>19</v>
      </c>
      <c r="E553" s="165" t="s">
        <v>150</v>
      </c>
      <c r="F553" s="165" t="s">
        <v>2234</v>
      </c>
      <c r="G553" s="165">
        <v>3780</v>
      </c>
      <c r="H553" s="165"/>
      <c r="I553" s="165"/>
      <c r="J553" s="165">
        <v>3780</v>
      </c>
      <c r="K553" s="165"/>
      <c r="L553" s="165"/>
      <c r="M553" s="165"/>
      <c r="N553" s="165">
        <f t="shared" si="10"/>
        <v>0</v>
      </c>
      <c r="O553" s="165" t="s">
        <v>2164</v>
      </c>
      <c r="P553" s="165" t="s">
        <v>1025</v>
      </c>
      <c r="Q553" s="3">
        <v>3780</v>
      </c>
      <c r="R553">
        <v>3780</v>
      </c>
      <c r="S553"/>
      <c r="U553"/>
      <c r="V553"/>
    </row>
    <row r="554" spans="1:22" s="3" customFormat="1">
      <c r="A554" s="165" t="s">
        <v>506</v>
      </c>
      <c r="B554" s="94">
        <v>670</v>
      </c>
      <c r="C554" s="165" t="s">
        <v>1249</v>
      </c>
      <c r="D554" s="165">
        <v>20</v>
      </c>
      <c r="E554" s="165" t="s">
        <v>151</v>
      </c>
      <c r="F554" s="165" t="s">
        <v>2099</v>
      </c>
      <c r="G554" s="165">
        <v>3780</v>
      </c>
      <c r="H554" s="165"/>
      <c r="I554" s="165"/>
      <c r="J554" s="165">
        <v>3780</v>
      </c>
      <c r="K554" s="165"/>
      <c r="L554" s="165"/>
      <c r="M554" s="165"/>
      <c r="N554" s="165">
        <f t="shared" si="10"/>
        <v>0</v>
      </c>
      <c r="O554" s="165" t="s">
        <v>613</v>
      </c>
      <c r="P554" s="165" t="s">
        <v>614</v>
      </c>
      <c r="Q554" s="3">
        <v>3780</v>
      </c>
      <c r="R554">
        <v>3780</v>
      </c>
      <c r="S554"/>
      <c r="U554"/>
      <c r="V554"/>
    </row>
    <row r="555" spans="1:22" s="3" customFormat="1">
      <c r="A555" s="165" t="s">
        <v>506</v>
      </c>
      <c r="B555" s="94">
        <v>671</v>
      </c>
      <c r="C555" s="165" t="s">
        <v>1249</v>
      </c>
      <c r="D555" s="165">
        <v>21</v>
      </c>
      <c r="E555" s="165" t="s">
        <v>152</v>
      </c>
      <c r="F555" s="165" t="s">
        <v>1050</v>
      </c>
      <c r="G555" s="165">
        <v>3780</v>
      </c>
      <c r="H555" s="165"/>
      <c r="I555" s="165"/>
      <c r="J555" s="165">
        <v>3780</v>
      </c>
      <c r="K555" s="165"/>
      <c r="L555" s="165"/>
      <c r="M555" s="165"/>
      <c r="N555" s="165">
        <f t="shared" si="10"/>
        <v>0</v>
      </c>
      <c r="O555" s="165" t="s">
        <v>619</v>
      </c>
      <c r="P555" s="165" t="s">
        <v>620</v>
      </c>
      <c r="Q555" s="3">
        <v>3780</v>
      </c>
      <c r="R555">
        <v>3780</v>
      </c>
      <c r="S555"/>
      <c r="U555"/>
      <c r="V555"/>
    </row>
    <row r="556" spans="1:22" s="3" customFormat="1">
      <c r="A556" s="165" t="s">
        <v>506</v>
      </c>
      <c r="B556" s="94">
        <v>672</v>
      </c>
      <c r="C556" s="165" t="s">
        <v>1249</v>
      </c>
      <c r="D556" s="165">
        <v>22</v>
      </c>
      <c r="E556" s="165" t="s">
        <v>153</v>
      </c>
      <c r="F556" s="165" t="s">
        <v>2236</v>
      </c>
      <c r="G556" s="165">
        <v>3780</v>
      </c>
      <c r="H556" s="165"/>
      <c r="I556" s="165"/>
      <c r="J556" s="165">
        <v>3780</v>
      </c>
      <c r="K556" s="165"/>
      <c r="L556" s="165"/>
      <c r="M556" s="165"/>
      <c r="N556" s="165">
        <f t="shared" si="10"/>
        <v>0</v>
      </c>
      <c r="O556" s="165" t="s">
        <v>628</v>
      </c>
      <c r="P556" s="165" t="s">
        <v>629</v>
      </c>
      <c r="Q556" s="3">
        <v>3780</v>
      </c>
      <c r="R556">
        <v>3780</v>
      </c>
      <c r="S556"/>
      <c r="U556"/>
      <c r="V556"/>
    </row>
    <row r="557" spans="1:22" s="3" customFormat="1">
      <c r="A557" s="165" t="s">
        <v>506</v>
      </c>
      <c r="B557" s="94">
        <v>673</v>
      </c>
      <c r="C557" s="165" t="s">
        <v>1249</v>
      </c>
      <c r="D557" s="165">
        <v>23</v>
      </c>
      <c r="E557" s="165" t="s">
        <v>154</v>
      </c>
      <c r="F557" s="165" t="s">
        <v>1051</v>
      </c>
      <c r="G557" s="165">
        <v>3780</v>
      </c>
      <c r="H557" s="165"/>
      <c r="I557" s="165"/>
      <c r="J557" s="165"/>
      <c r="K557" s="165">
        <v>3780</v>
      </c>
      <c r="L557" s="165"/>
      <c r="M557" s="165"/>
      <c r="N557" s="165">
        <f t="shared" si="10"/>
        <v>0</v>
      </c>
      <c r="O557" s="165" t="s">
        <v>621</v>
      </c>
      <c r="P557" s="165" t="s">
        <v>622</v>
      </c>
      <c r="Q557" s="3">
        <v>3780</v>
      </c>
      <c r="R557">
        <v>3780</v>
      </c>
      <c r="S557"/>
      <c r="U557"/>
      <c r="V557"/>
    </row>
    <row r="558" spans="1:22" s="3" customFormat="1">
      <c r="A558" s="165" t="s">
        <v>506</v>
      </c>
      <c r="B558" s="94">
        <v>674</v>
      </c>
      <c r="C558" s="165" t="s">
        <v>1249</v>
      </c>
      <c r="D558" s="165">
        <v>24</v>
      </c>
      <c r="E558" s="165" t="s">
        <v>155</v>
      </c>
      <c r="F558" s="165" t="s">
        <v>1052</v>
      </c>
      <c r="G558" s="165">
        <v>3780</v>
      </c>
      <c r="H558" s="165"/>
      <c r="I558" s="165"/>
      <c r="J558" s="165"/>
      <c r="K558" s="165">
        <v>3780</v>
      </c>
      <c r="L558" s="165"/>
      <c r="M558" s="165"/>
      <c r="N558" s="165">
        <f t="shared" si="10"/>
        <v>0</v>
      </c>
      <c r="O558" s="165" t="s">
        <v>625</v>
      </c>
      <c r="P558" s="165" t="s">
        <v>626</v>
      </c>
      <c r="Q558" s="3">
        <v>3780</v>
      </c>
      <c r="R558">
        <v>3780</v>
      </c>
      <c r="S558"/>
      <c r="U558"/>
      <c r="V558"/>
    </row>
    <row r="559" spans="1:22" s="3" customFormat="1">
      <c r="A559" s="165" t="s">
        <v>507</v>
      </c>
      <c r="B559" s="94">
        <v>675</v>
      </c>
      <c r="C559" s="165" t="s">
        <v>7</v>
      </c>
      <c r="D559" s="165">
        <v>1</v>
      </c>
      <c r="E559" s="165" t="s">
        <v>1053</v>
      </c>
      <c r="F559" s="165" t="s">
        <v>2778</v>
      </c>
      <c r="G559" s="165">
        <v>13230</v>
      </c>
      <c r="H559" s="165"/>
      <c r="I559" s="165"/>
      <c r="J559" s="165">
        <v>13230</v>
      </c>
      <c r="K559" s="165"/>
      <c r="L559" s="165"/>
      <c r="M559" s="165"/>
      <c r="N559" s="165">
        <f t="shared" si="10"/>
        <v>0</v>
      </c>
      <c r="O559" s="165" t="s">
        <v>610</v>
      </c>
      <c r="P559" s="165" t="s">
        <v>611</v>
      </c>
      <c r="Q559" s="3">
        <v>13230</v>
      </c>
      <c r="R559">
        <v>13230</v>
      </c>
      <c r="S559"/>
      <c r="U559"/>
      <c r="V559"/>
    </row>
    <row r="560" spans="1:22" s="3" customFormat="1">
      <c r="A560" s="165" t="s">
        <v>507</v>
      </c>
      <c r="B560" s="94">
        <v>676</v>
      </c>
      <c r="C560" s="165" t="s">
        <v>7</v>
      </c>
      <c r="D560" s="165">
        <v>2</v>
      </c>
      <c r="E560" s="165" t="s">
        <v>141</v>
      </c>
      <c r="F560" s="165" t="s">
        <v>1007</v>
      </c>
      <c r="G560" s="165">
        <v>13230</v>
      </c>
      <c r="H560" s="165"/>
      <c r="I560" s="165"/>
      <c r="J560" s="165">
        <v>13230</v>
      </c>
      <c r="K560" s="165"/>
      <c r="L560" s="165"/>
      <c r="M560" s="165"/>
      <c r="N560" s="165">
        <f t="shared" si="10"/>
        <v>0</v>
      </c>
      <c r="O560" s="165" t="s">
        <v>627</v>
      </c>
      <c r="P560" s="165" t="s">
        <v>827</v>
      </c>
      <c r="Q560" s="3">
        <v>13230</v>
      </c>
      <c r="R560">
        <v>13230</v>
      </c>
      <c r="S560"/>
      <c r="U560"/>
      <c r="V560"/>
    </row>
    <row r="561" spans="1:22" s="3" customFormat="1">
      <c r="A561" s="165" t="s">
        <v>507</v>
      </c>
      <c r="B561" s="94">
        <v>677</v>
      </c>
      <c r="C561" s="165" t="s">
        <v>7</v>
      </c>
      <c r="D561" s="165">
        <v>3</v>
      </c>
      <c r="E561" s="165" t="s">
        <v>142</v>
      </c>
      <c r="F561" s="165" t="s">
        <v>1008</v>
      </c>
      <c r="G561" s="165">
        <v>13230</v>
      </c>
      <c r="H561" s="165"/>
      <c r="I561" s="165"/>
      <c r="J561" s="165">
        <v>13230</v>
      </c>
      <c r="K561" s="165"/>
      <c r="L561" s="165"/>
      <c r="M561" s="165"/>
      <c r="N561" s="165">
        <f t="shared" si="10"/>
        <v>0</v>
      </c>
      <c r="O561" s="165" t="s">
        <v>613</v>
      </c>
      <c r="P561" s="165" t="s">
        <v>614</v>
      </c>
      <c r="Q561" s="3">
        <v>13230</v>
      </c>
      <c r="R561">
        <v>13230</v>
      </c>
      <c r="S561"/>
      <c r="U561"/>
      <c r="V561"/>
    </row>
    <row r="562" spans="1:22" s="3" customFormat="1">
      <c r="A562" s="165" t="s">
        <v>507</v>
      </c>
      <c r="B562" s="94">
        <v>678</v>
      </c>
      <c r="C562" s="165" t="s">
        <v>7</v>
      </c>
      <c r="D562" s="165">
        <v>4</v>
      </c>
      <c r="E562" s="165" t="s">
        <v>143</v>
      </c>
      <c r="F562" s="165" t="s">
        <v>2166</v>
      </c>
      <c r="G562" s="165">
        <v>13230</v>
      </c>
      <c r="H562" s="165"/>
      <c r="I562" s="165"/>
      <c r="J562" s="165">
        <v>13230</v>
      </c>
      <c r="K562" s="165"/>
      <c r="L562" s="165"/>
      <c r="M562" s="165"/>
      <c r="N562" s="165">
        <f t="shared" si="10"/>
        <v>0</v>
      </c>
      <c r="O562" s="165" t="s">
        <v>621</v>
      </c>
      <c r="P562" s="165" t="s">
        <v>622</v>
      </c>
      <c r="Q562" s="3">
        <v>13230</v>
      </c>
      <c r="R562">
        <v>13230</v>
      </c>
      <c r="S562"/>
      <c r="U562"/>
      <c r="V562"/>
    </row>
    <row r="563" spans="1:22" s="3" customFormat="1">
      <c r="A563" s="165" t="s">
        <v>507</v>
      </c>
      <c r="B563" s="94">
        <v>679</v>
      </c>
      <c r="C563" s="165" t="s">
        <v>7</v>
      </c>
      <c r="D563" s="165">
        <v>5</v>
      </c>
      <c r="E563" s="165" t="s">
        <v>1054</v>
      </c>
      <c r="F563" s="165" t="s">
        <v>1010</v>
      </c>
      <c r="G563" s="165">
        <v>13230</v>
      </c>
      <c r="H563" s="165"/>
      <c r="I563" s="165"/>
      <c r="J563" s="165"/>
      <c r="K563" s="165">
        <v>13230</v>
      </c>
      <c r="L563" s="165"/>
      <c r="M563" s="165"/>
      <c r="N563" s="165">
        <f t="shared" si="10"/>
        <v>0</v>
      </c>
      <c r="O563" s="165" t="s">
        <v>3159</v>
      </c>
      <c r="P563" s="165" t="s">
        <v>3160</v>
      </c>
      <c r="Q563" s="3">
        <v>13230</v>
      </c>
      <c r="R563">
        <v>13230</v>
      </c>
      <c r="S563"/>
      <c r="U563"/>
      <c r="V563"/>
    </row>
    <row r="564" spans="1:22">
      <c r="A564" s="165" t="s">
        <v>507</v>
      </c>
      <c r="B564" s="94">
        <v>680</v>
      </c>
      <c r="C564" s="165" t="s">
        <v>7</v>
      </c>
      <c r="D564" s="165">
        <v>6</v>
      </c>
      <c r="E564" s="165" t="s">
        <v>144</v>
      </c>
      <c r="F564" s="165" t="s">
        <v>1011</v>
      </c>
      <c r="G564" s="165">
        <v>13230</v>
      </c>
      <c r="H564" s="165"/>
      <c r="I564" s="165"/>
      <c r="J564" s="165"/>
      <c r="K564" s="165">
        <v>13230</v>
      </c>
      <c r="L564" s="165"/>
      <c r="M564" s="165"/>
      <c r="N564" s="165">
        <f t="shared" si="10"/>
        <v>0</v>
      </c>
      <c r="O564" s="165" t="s">
        <v>3164</v>
      </c>
      <c r="P564" s="165" t="s">
        <v>808</v>
      </c>
      <c r="Q564" s="3">
        <v>13230</v>
      </c>
      <c r="R564">
        <v>13230</v>
      </c>
    </row>
    <row r="565" spans="1:22">
      <c r="A565" s="165" t="s">
        <v>507</v>
      </c>
      <c r="B565" s="94">
        <v>681</v>
      </c>
      <c r="C565" s="165" t="s">
        <v>7</v>
      </c>
      <c r="D565" s="165">
        <v>7</v>
      </c>
      <c r="E565" s="165" t="s">
        <v>1055</v>
      </c>
      <c r="F565" s="165" t="s">
        <v>1012</v>
      </c>
      <c r="G565" s="165">
        <v>13230</v>
      </c>
      <c r="H565" s="165"/>
      <c r="I565" s="165"/>
      <c r="J565" s="165"/>
      <c r="K565" s="165">
        <v>13230</v>
      </c>
      <c r="L565" s="165"/>
      <c r="M565" s="165"/>
      <c r="N565" s="165">
        <f t="shared" si="10"/>
        <v>0</v>
      </c>
      <c r="O565" s="165" t="s">
        <v>3165</v>
      </c>
      <c r="P565" s="165" t="s">
        <v>3166</v>
      </c>
      <c r="Q565" s="3">
        <v>13230</v>
      </c>
      <c r="R565">
        <v>13230</v>
      </c>
    </row>
    <row r="566" spans="1:22">
      <c r="A566" s="165" t="s">
        <v>507</v>
      </c>
      <c r="B566" s="94">
        <v>682</v>
      </c>
      <c r="C566" s="165" t="s">
        <v>7</v>
      </c>
      <c r="D566" s="165">
        <v>8</v>
      </c>
      <c r="E566" s="165" t="s">
        <v>145</v>
      </c>
      <c r="F566" s="165" t="s">
        <v>1056</v>
      </c>
      <c r="G566" s="165">
        <v>13230</v>
      </c>
      <c r="H566" s="165"/>
      <c r="I566" s="165"/>
      <c r="J566" s="165"/>
      <c r="K566" s="211">
        <v>13230</v>
      </c>
      <c r="L566" s="165"/>
      <c r="M566" s="211">
        <v>13230</v>
      </c>
      <c r="N566" s="165">
        <f t="shared" si="10"/>
        <v>0</v>
      </c>
      <c r="O566" s="165" t="s">
        <v>3171</v>
      </c>
      <c r="P566" s="165" t="s">
        <v>3172</v>
      </c>
      <c r="Q566" s="3">
        <v>13230</v>
      </c>
      <c r="R566">
        <v>13230</v>
      </c>
    </row>
    <row r="567" spans="1:22">
      <c r="A567" s="165" t="s">
        <v>1057</v>
      </c>
      <c r="B567" s="94">
        <v>683</v>
      </c>
      <c r="C567" s="165" t="s">
        <v>2422</v>
      </c>
      <c r="D567" s="165">
        <v>1</v>
      </c>
      <c r="E567" s="165" t="s">
        <v>1058</v>
      </c>
      <c r="F567" s="165" t="s">
        <v>1059</v>
      </c>
      <c r="G567" s="165">
        <v>13230</v>
      </c>
      <c r="H567" s="165"/>
      <c r="I567" s="165"/>
      <c r="J567" s="165">
        <v>13230</v>
      </c>
      <c r="K567" s="165"/>
      <c r="L567" s="165"/>
      <c r="M567" s="165"/>
      <c r="N567" s="165">
        <f t="shared" si="10"/>
        <v>0</v>
      </c>
      <c r="O567" s="165" t="s">
        <v>631</v>
      </c>
      <c r="P567" s="165" t="s">
        <v>632</v>
      </c>
      <c r="Q567" s="3">
        <v>13230</v>
      </c>
      <c r="R567">
        <v>13230</v>
      </c>
    </row>
    <row r="568" spans="1:22">
      <c r="A568" s="165" t="s">
        <v>1057</v>
      </c>
      <c r="B568" s="94">
        <v>684</v>
      </c>
      <c r="C568" s="165" t="s">
        <v>2422</v>
      </c>
      <c r="D568" s="165">
        <v>2</v>
      </c>
      <c r="E568" s="165" t="s">
        <v>134</v>
      </c>
      <c r="F568" s="165" t="s">
        <v>1060</v>
      </c>
      <c r="G568" s="165">
        <v>13230</v>
      </c>
      <c r="H568" s="165"/>
      <c r="I568" s="165"/>
      <c r="J568" s="165">
        <v>13230</v>
      </c>
      <c r="K568" s="165"/>
      <c r="L568" s="165"/>
      <c r="M568" s="165"/>
      <c r="N568" s="165">
        <f t="shared" si="10"/>
        <v>0</v>
      </c>
      <c r="O568" s="165" t="s">
        <v>633</v>
      </c>
      <c r="P568" s="165" t="s">
        <v>634</v>
      </c>
      <c r="Q568" s="3">
        <v>13230</v>
      </c>
      <c r="R568">
        <v>13230</v>
      </c>
    </row>
    <row r="569" spans="1:22">
      <c r="A569" s="165" t="s">
        <v>1057</v>
      </c>
      <c r="B569" s="94">
        <v>685</v>
      </c>
      <c r="C569" s="165" t="s">
        <v>2422</v>
      </c>
      <c r="D569" s="165">
        <v>3</v>
      </c>
      <c r="E569" s="165" t="s">
        <v>135</v>
      </c>
      <c r="F569" s="165" t="s">
        <v>1061</v>
      </c>
      <c r="G569" s="165">
        <v>13230</v>
      </c>
      <c r="H569" s="165"/>
      <c r="I569" s="165"/>
      <c r="J569" s="165">
        <v>13230</v>
      </c>
      <c r="K569" s="165"/>
      <c r="L569" s="165"/>
      <c r="M569" s="165"/>
      <c r="N569" s="165">
        <f t="shared" si="10"/>
        <v>0</v>
      </c>
      <c r="O569" s="165" t="s">
        <v>619</v>
      </c>
      <c r="P569" s="165" t="s">
        <v>620</v>
      </c>
      <c r="Q569" s="3">
        <v>13230</v>
      </c>
      <c r="R569">
        <v>13230</v>
      </c>
    </row>
    <row r="570" spans="1:22">
      <c r="A570" s="165" t="s">
        <v>1057</v>
      </c>
      <c r="B570" s="94">
        <v>686</v>
      </c>
      <c r="C570" s="165" t="s">
        <v>2422</v>
      </c>
      <c r="D570" s="165">
        <v>4</v>
      </c>
      <c r="E570" s="165" t="s">
        <v>136</v>
      </c>
      <c r="F570" s="165" t="s">
        <v>1062</v>
      </c>
      <c r="G570" s="165">
        <v>13230</v>
      </c>
      <c r="H570" s="165"/>
      <c r="I570" s="165"/>
      <c r="J570" s="165"/>
      <c r="K570" s="165">
        <v>13230</v>
      </c>
      <c r="L570" s="165"/>
      <c r="M570" s="165"/>
      <c r="N570" s="165">
        <f t="shared" si="10"/>
        <v>0</v>
      </c>
      <c r="O570" s="165" t="s">
        <v>625</v>
      </c>
      <c r="P570" s="165" t="s">
        <v>626</v>
      </c>
      <c r="Q570" s="3">
        <v>13230</v>
      </c>
      <c r="R570">
        <v>13230</v>
      </c>
    </row>
    <row r="571" spans="1:22">
      <c r="A571" s="165" t="s">
        <v>1057</v>
      </c>
      <c r="B571" s="94">
        <v>687</v>
      </c>
      <c r="C571" s="165" t="s">
        <v>2422</v>
      </c>
      <c r="D571" s="165">
        <v>5</v>
      </c>
      <c r="E571" s="165" t="s">
        <v>137</v>
      </c>
      <c r="F571" s="165" t="s">
        <v>1063</v>
      </c>
      <c r="G571" s="165">
        <v>13230</v>
      </c>
      <c r="H571" s="165"/>
      <c r="I571" s="165"/>
      <c r="J571" s="165"/>
      <c r="K571" s="165">
        <v>13230</v>
      </c>
      <c r="L571" s="165"/>
      <c r="M571" s="165"/>
      <c r="N571" s="165">
        <f t="shared" si="10"/>
        <v>0</v>
      </c>
      <c r="O571" s="165" t="s">
        <v>683</v>
      </c>
      <c r="P571" s="165" t="s">
        <v>3163</v>
      </c>
      <c r="Q571" s="3">
        <v>13230</v>
      </c>
      <c r="R571">
        <v>13230</v>
      </c>
    </row>
    <row r="572" spans="1:22">
      <c r="A572" s="165" t="s">
        <v>1057</v>
      </c>
      <c r="B572" s="94">
        <v>688</v>
      </c>
      <c r="C572" s="165" t="s">
        <v>2422</v>
      </c>
      <c r="D572" s="165">
        <v>6</v>
      </c>
      <c r="E572" s="165" t="s">
        <v>138</v>
      </c>
      <c r="F572" s="165" t="s">
        <v>1064</v>
      </c>
      <c r="G572" s="165">
        <v>13230</v>
      </c>
      <c r="H572" s="165"/>
      <c r="I572" s="165"/>
      <c r="J572" s="165"/>
      <c r="K572" s="165">
        <v>13230</v>
      </c>
      <c r="L572" s="165"/>
      <c r="M572" s="165"/>
      <c r="N572" s="165">
        <f t="shared" si="10"/>
        <v>0</v>
      </c>
      <c r="O572" s="165" t="s">
        <v>3167</v>
      </c>
      <c r="P572" s="165" t="s">
        <v>3168</v>
      </c>
      <c r="Q572" s="3">
        <v>13230</v>
      </c>
      <c r="R572">
        <v>13230</v>
      </c>
    </row>
    <row r="573" spans="1:22">
      <c r="A573" s="165" t="s">
        <v>1057</v>
      </c>
      <c r="B573" s="94">
        <v>689</v>
      </c>
      <c r="C573" s="165" t="s">
        <v>2422</v>
      </c>
      <c r="D573" s="165">
        <v>7</v>
      </c>
      <c r="E573" s="165" t="s">
        <v>139</v>
      </c>
      <c r="F573" s="165" t="s">
        <v>1065</v>
      </c>
      <c r="G573" s="165">
        <v>13230</v>
      </c>
      <c r="H573" s="165"/>
      <c r="I573" s="165"/>
      <c r="J573" s="165"/>
      <c r="K573" s="165">
        <v>13230</v>
      </c>
      <c r="L573" s="165"/>
      <c r="M573" s="165"/>
      <c r="N573" s="165">
        <f t="shared" si="10"/>
        <v>0</v>
      </c>
      <c r="O573" s="165" t="s">
        <v>3169</v>
      </c>
      <c r="P573" s="165" t="s">
        <v>3170</v>
      </c>
      <c r="Q573" s="3">
        <v>13230</v>
      </c>
      <c r="R573">
        <v>13230</v>
      </c>
    </row>
    <row r="574" spans="1:22">
      <c r="A574" s="165" t="s">
        <v>1057</v>
      </c>
      <c r="B574" s="94">
        <v>690</v>
      </c>
      <c r="C574" s="165" t="s">
        <v>2422</v>
      </c>
      <c r="D574" s="165">
        <v>8</v>
      </c>
      <c r="E574" s="165" t="s">
        <v>140</v>
      </c>
      <c r="F574" s="165" t="s">
        <v>1066</v>
      </c>
      <c r="G574" s="165">
        <v>13230</v>
      </c>
      <c r="H574" s="165"/>
      <c r="I574" s="165"/>
      <c r="J574" s="165"/>
      <c r="K574" s="165"/>
      <c r="L574" s="165">
        <v>13230</v>
      </c>
      <c r="M574" s="165"/>
      <c r="N574" s="165">
        <f t="shared" si="10"/>
        <v>0</v>
      </c>
      <c r="O574" s="165" t="s">
        <v>3934</v>
      </c>
      <c r="P574" s="165" t="s">
        <v>3935</v>
      </c>
      <c r="Q574" s="3">
        <v>13230</v>
      </c>
      <c r="R574">
        <v>13230</v>
      </c>
    </row>
    <row r="575" spans="1:22" s="163" customFormat="1">
      <c r="A575" s="281" t="s">
        <v>533</v>
      </c>
      <c r="B575" s="281"/>
      <c r="C575" s="281" t="s">
        <v>1532</v>
      </c>
      <c r="D575" s="281">
        <v>1</v>
      </c>
      <c r="E575" s="281" t="s">
        <v>1283</v>
      </c>
      <c r="F575" s="281" t="s">
        <v>533</v>
      </c>
      <c r="G575" s="284"/>
      <c r="H575" s="284"/>
      <c r="I575" s="284"/>
      <c r="J575" s="281"/>
      <c r="K575" s="281"/>
      <c r="L575" s="281"/>
      <c r="M575" s="281"/>
      <c r="N575" s="281">
        <f t="shared" si="10"/>
        <v>0</v>
      </c>
      <c r="O575" s="281" t="s">
        <v>533</v>
      </c>
      <c r="P575" s="281" t="s">
        <v>533</v>
      </c>
      <c r="Q575" s="281">
        <v>13500</v>
      </c>
      <c r="R575" s="281">
        <v>13485</v>
      </c>
      <c r="S575" s="281"/>
      <c r="T575" s="284">
        <v>15</v>
      </c>
    </row>
    <row r="576" spans="1:22">
      <c r="A576" s="165" t="s">
        <v>624</v>
      </c>
      <c r="B576" s="165">
        <v>691</v>
      </c>
      <c r="C576" s="165" t="s">
        <v>1013</v>
      </c>
      <c r="D576" s="165">
        <v>2</v>
      </c>
      <c r="E576" s="165" t="s">
        <v>638</v>
      </c>
      <c r="F576" s="165" t="s">
        <v>624</v>
      </c>
      <c r="G576" s="165">
        <v>126000</v>
      </c>
      <c r="H576" s="165"/>
      <c r="I576" s="165"/>
      <c r="J576" s="209">
        <v>126000</v>
      </c>
      <c r="K576" s="209"/>
      <c r="L576" s="209"/>
      <c r="M576" s="209"/>
      <c r="N576" s="209">
        <f t="shared" si="10"/>
        <v>0</v>
      </c>
      <c r="O576" s="165" t="s">
        <v>624</v>
      </c>
      <c r="P576" s="165" t="s">
        <v>609</v>
      </c>
      <c r="Q576" s="3">
        <v>126000</v>
      </c>
      <c r="R576">
        <v>126000</v>
      </c>
      <c r="U576" t="s">
        <v>639</v>
      </c>
    </row>
    <row r="577" spans="1:21" s="163" customFormat="1">
      <c r="A577" s="281" t="s">
        <v>609</v>
      </c>
      <c r="B577" s="281"/>
      <c r="C577" s="281" t="s">
        <v>1016</v>
      </c>
      <c r="D577" s="281">
        <v>2</v>
      </c>
      <c r="E577" s="281" t="s">
        <v>1283</v>
      </c>
      <c r="F577" s="281" t="s">
        <v>609</v>
      </c>
      <c r="G577" s="284"/>
      <c r="H577" s="284"/>
      <c r="I577" s="284"/>
      <c r="J577" s="281"/>
      <c r="K577" s="281"/>
      <c r="L577" s="281"/>
      <c r="M577" s="281"/>
      <c r="N577" s="281">
        <f t="shared" ref="N577:N640" si="11">G577+H577+I577-K577-J577-L577</f>
        <v>0</v>
      </c>
      <c r="O577" s="281" t="s">
        <v>609</v>
      </c>
      <c r="P577" s="281" t="s">
        <v>609</v>
      </c>
      <c r="Q577" s="281">
        <v>126000</v>
      </c>
      <c r="R577" s="281">
        <v>126000</v>
      </c>
      <c r="S577" s="281"/>
      <c r="T577" s="284"/>
      <c r="U577" s="163" t="s">
        <v>639</v>
      </c>
    </row>
    <row r="578" spans="1:21" s="5" customFormat="1">
      <c r="A578" s="94" t="s">
        <v>640</v>
      </c>
      <c r="B578" s="165">
        <v>692</v>
      </c>
      <c r="C578" s="94" t="s">
        <v>1232</v>
      </c>
      <c r="D578" s="94">
        <v>9</v>
      </c>
      <c r="E578" s="94" t="s">
        <v>641</v>
      </c>
      <c r="F578" s="94" t="s">
        <v>2109</v>
      </c>
      <c r="G578" s="94">
        <v>16380</v>
      </c>
      <c r="H578" s="94"/>
      <c r="I578" s="94"/>
      <c r="J578" s="94">
        <v>16380</v>
      </c>
      <c r="K578" s="94"/>
      <c r="L578" s="94"/>
      <c r="M578" s="94"/>
      <c r="N578" s="94">
        <f t="shared" si="11"/>
        <v>0</v>
      </c>
      <c r="O578" s="94" t="s">
        <v>610</v>
      </c>
      <c r="P578" s="94" t="s">
        <v>611</v>
      </c>
      <c r="Q578" s="93">
        <v>16380</v>
      </c>
      <c r="R578" s="4">
        <v>16380</v>
      </c>
      <c r="S578" s="4"/>
      <c r="T578" s="93"/>
    </row>
    <row r="579" spans="1:21" s="163" customFormat="1">
      <c r="A579" s="281" t="s">
        <v>2232</v>
      </c>
      <c r="B579" s="281"/>
      <c r="C579" s="281" t="s">
        <v>3825</v>
      </c>
      <c r="D579" s="281">
        <v>2</v>
      </c>
      <c r="E579" s="281" t="s">
        <v>1283</v>
      </c>
      <c r="F579" s="281" t="s">
        <v>2232</v>
      </c>
      <c r="G579" s="284"/>
      <c r="H579" s="284"/>
      <c r="I579" s="284"/>
      <c r="J579" s="281"/>
      <c r="K579" s="281"/>
      <c r="L579" s="281"/>
      <c r="M579" s="281"/>
      <c r="N579" s="281">
        <f t="shared" si="11"/>
        <v>0</v>
      </c>
      <c r="O579" s="281" t="s">
        <v>2232</v>
      </c>
      <c r="P579" s="281" t="s">
        <v>2232</v>
      </c>
      <c r="Q579" s="281">
        <v>14175</v>
      </c>
      <c r="R579" s="281">
        <v>14145</v>
      </c>
      <c r="S579" s="281"/>
      <c r="T579" s="284">
        <v>30</v>
      </c>
    </row>
    <row r="580" spans="1:21">
      <c r="A580" s="165" t="s">
        <v>2331</v>
      </c>
      <c r="B580" s="165">
        <v>693</v>
      </c>
      <c r="C580" s="165" t="s">
        <v>857</v>
      </c>
      <c r="D580" s="165">
        <v>1</v>
      </c>
      <c r="E580" s="165" t="s">
        <v>642</v>
      </c>
      <c r="F580" s="165" t="s">
        <v>1007</v>
      </c>
      <c r="G580" s="165">
        <v>14175</v>
      </c>
      <c r="H580" s="165"/>
      <c r="I580" s="165"/>
      <c r="J580" s="209">
        <v>14175</v>
      </c>
      <c r="K580" s="209"/>
      <c r="L580" s="209"/>
      <c r="M580" s="209"/>
      <c r="N580" s="209">
        <f t="shared" si="11"/>
        <v>0</v>
      </c>
      <c r="O580" s="165" t="s">
        <v>627</v>
      </c>
      <c r="P580" s="165" t="s">
        <v>827</v>
      </c>
      <c r="Q580" s="3">
        <v>14175</v>
      </c>
      <c r="R580" s="249">
        <v>14175</v>
      </c>
      <c r="S580" s="249"/>
    </row>
    <row r="581" spans="1:21">
      <c r="A581" s="165" t="s">
        <v>2331</v>
      </c>
      <c r="B581" s="165">
        <v>694</v>
      </c>
      <c r="C581" s="165" t="s">
        <v>857</v>
      </c>
      <c r="D581" s="165">
        <v>2</v>
      </c>
      <c r="E581" s="165" t="s">
        <v>643</v>
      </c>
      <c r="F581" s="165" t="s">
        <v>1008</v>
      </c>
      <c r="G581" s="165">
        <v>14175</v>
      </c>
      <c r="H581" s="165"/>
      <c r="I581" s="165"/>
      <c r="J581" s="209">
        <v>14175</v>
      </c>
      <c r="K581" s="209"/>
      <c r="L581" s="209"/>
      <c r="M581" s="209"/>
      <c r="N581" s="209">
        <f t="shared" si="11"/>
        <v>0</v>
      </c>
      <c r="O581" s="165" t="s">
        <v>613</v>
      </c>
      <c r="P581" s="165" t="s">
        <v>614</v>
      </c>
      <c r="Q581" s="3">
        <v>14175</v>
      </c>
      <c r="R581" s="94">
        <v>14175</v>
      </c>
      <c r="S581" s="94"/>
    </row>
    <row r="582" spans="1:21">
      <c r="A582" s="165" t="s">
        <v>2331</v>
      </c>
      <c r="B582" s="165">
        <v>695</v>
      </c>
      <c r="C582" s="165" t="s">
        <v>857</v>
      </c>
      <c r="D582" s="165">
        <v>3</v>
      </c>
      <c r="E582" s="165" t="s">
        <v>644</v>
      </c>
      <c r="F582" s="165" t="s">
        <v>645</v>
      </c>
      <c r="G582" s="165">
        <v>14175</v>
      </c>
      <c r="H582" s="165"/>
      <c r="I582" s="165"/>
      <c r="J582" s="209">
        <v>14175</v>
      </c>
      <c r="K582" s="209"/>
      <c r="L582" s="209"/>
      <c r="M582" s="209"/>
      <c r="N582" s="209">
        <f t="shared" si="11"/>
        <v>0</v>
      </c>
      <c r="O582" s="165" t="s">
        <v>621</v>
      </c>
      <c r="P582" s="165" t="s">
        <v>622</v>
      </c>
      <c r="Q582" s="3">
        <v>14175</v>
      </c>
      <c r="R582" s="3">
        <v>14175</v>
      </c>
      <c r="S582" s="3"/>
    </row>
    <row r="583" spans="1:21">
      <c r="A583" s="165" t="s">
        <v>2331</v>
      </c>
      <c r="B583" s="165">
        <v>696</v>
      </c>
      <c r="C583" s="165" t="s">
        <v>857</v>
      </c>
      <c r="D583" s="165">
        <v>4</v>
      </c>
      <c r="E583" s="165" t="s">
        <v>646</v>
      </c>
      <c r="F583" s="165" t="s">
        <v>647</v>
      </c>
      <c r="G583" s="165">
        <v>14175</v>
      </c>
      <c r="H583" s="165"/>
      <c r="I583" s="165"/>
      <c r="J583" s="209"/>
      <c r="K583" s="209">
        <v>14175</v>
      </c>
      <c r="L583" s="209"/>
      <c r="M583" s="209"/>
      <c r="N583" s="209">
        <f t="shared" si="11"/>
        <v>0</v>
      </c>
      <c r="O583" s="165" t="s">
        <v>3159</v>
      </c>
      <c r="P583" s="165" t="s">
        <v>3160</v>
      </c>
      <c r="Q583" s="3">
        <v>14175</v>
      </c>
      <c r="R583">
        <v>14175</v>
      </c>
    </row>
    <row r="584" spans="1:21">
      <c r="A584" s="165" t="s">
        <v>2331</v>
      </c>
      <c r="B584" s="165">
        <v>697</v>
      </c>
      <c r="C584" s="165" t="s">
        <v>857</v>
      </c>
      <c r="D584" s="165">
        <v>5</v>
      </c>
      <c r="E584" s="165" t="s">
        <v>648</v>
      </c>
      <c r="F584" s="165" t="s">
        <v>1011</v>
      </c>
      <c r="G584" s="165">
        <v>14175</v>
      </c>
      <c r="H584" s="165"/>
      <c r="I584" s="165"/>
      <c r="J584" s="209"/>
      <c r="K584" s="209">
        <v>14175</v>
      </c>
      <c r="L584" s="209"/>
      <c r="M584" s="209"/>
      <c r="N584" s="209">
        <f t="shared" si="11"/>
        <v>0</v>
      </c>
      <c r="O584" s="165" t="s">
        <v>3164</v>
      </c>
      <c r="P584" s="165" t="s">
        <v>808</v>
      </c>
      <c r="Q584" s="3">
        <v>14175</v>
      </c>
      <c r="R584">
        <v>14175</v>
      </c>
    </row>
    <row r="585" spans="1:21">
      <c r="A585" s="165" t="s">
        <v>2331</v>
      </c>
      <c r="B585" s="165">
        <v>698</v>
      </c>
      <c r="C585" s="165" t="s">
        <v>857</v>
      </c>
      <c r="D585" s="165">
        <v>6</v>
      </c>
      <c r="E585" s="165" t="s">
        <v>649</v>
      </c>
      <c r="F585" s="165" t="s">
        <v>1012</v>
      </c>
      <c r="G585" s="165">
        <v>14175</v>
      </c>
      <c r="H585" s="165"/>
      <c r="I585" s="165"/>
      <c r="J585" s="209"/>
      <c r="K585" s="209">
        <v>14175</v>
      </c>
      <c r="L585" s="209"/>
      <c r="M585" s="209"/>
      <c r="N585" s="209">
        <f t="shared" si="11"/>
        <v>0</v>
      </c>
      <c r="O585" s="165" t="s">
        <v>3165</v>
      </c>
      <c r="P585" s="165" t="s">
        <v>3166</v>
      </c>
      <c r="Q585" s="3">
        <v>14175</v>
      </c>
      <c r="R585">
        <v>14175</v>
      </c>
    </row>
    <row r="586" spans="1:21">
      <c r="A586" s="165" t="s">
        <v>2331</v>
      </c>
      <c r="B586" s="165">
        <v>699</v>
      </c>
      <c r="C586" s="165" t="s">
        <v>857</v>
      </c>
      <c r="D586" s="165">
        <v>7</v>
      </c>
      <c r="E586" s="165" t="s">
        <v>650</v>
      </c>
      <c r="F586" s="165" t="s">
        <v>651</v>
      </c>
      <c r="G586" s="165">
        <v>14175</v>
      </c>
      <c r="H586" s="165"/>
      <c r="I586" s="165"/>
      <c r="J586" s="209"/>
      <c r="K586" s="214">
        <v>14175</v>
      </c>
      <c r="L586" s="209"/>
      <c r="M586" s="214">
        <v>14175</v>
      </c>
      <c r="N586" s="209">
        <f t="shared" si="11"/>
        <v>0</v>
      </c>
      <c r="O586" s="165" t="s">
        <v>3171</v>
      </c>
      <c r="P586" s="165" t="s">
        <v>3172</v>
      </c>
      <c r="Q586" s="3">
        <v>14175</v>
      </c>
      <c r="R586">
        <v>14175</v>
      </c>
    </row>
    <row r="587" spans="1:21">
      <c r="A587" s="165" t="s">
        <v>2331</v>
      </c>
      <c r="B587" s="165">
        <v>700</v>
      </c>
      <c r="C587" s="165" t="s">
        <v>857</v>
      </c>
      <c r="D587" s="165">
        <v>8</v>
      </c>
      <c r="E587" s="165" t="s">
        <v>652</v>
      </c>
      <c r="F587" s="165" t="s">
        <v>653</v>
      </c>
      <c r="G587" s="165">
        <v>14175</v>
      </c>
      <c r="H587" s="165"/>
      <c r="I587" s="165"/>
      <c r="J587" s="209"/>
      <c r="K587" s="209"/>
      <c r="L587" s="209">
        <v>14175</v>
      </c>
      <c r="M587" s="209"/>
      <c r="N587" s="209">
        <f t="shared" si="11"/>
        <v>0</v>
      </c>
      <c r="O587" s="165" t="s">
        <v>3936</v>
      </c>
      <c r="P587" s="165" t="s">
        <v>3937</v>
      </c>
      <c r="Q587" s="3">
        <v>14175</v>
      </c>
      <c r="R587">
        <v>14175</v>
      </c>
    </row>
    <row r="588" spans="1:21">
      <c r="A588" s="165" t="s">
        <v>1024</v>
      </c>
      <c r="B588" s="165">
        <v>701</v>
      </c>
      <c r="C588" s="165" t="s">
        <v>1884</v>
      </c>
      <c r="D588" s="165">
        <v>1</v>
      </c>
      <c r="E588" s="165" t="s">
        <v>654</v>
      </c>
      <c r="F588" s="165" t="s">
        <v>2162</v>
      </c>
      <c r="G588" s="165">
        <v>14175</v>
      </c>
      <c r="H588" s="165"/>
      <c r="I588" s="165"/>
      <c r="J588" s="209">
        <v>14175</v>
      </c>
      <c r="K588" s="209"/>
      <c r="L588" s="209"/>
      <c r="M588" s="209"/>
      <c r="N588" s="209">
        <f t="shared" si="11"/>
        <v>0</v>
      </c>
      <c r="O588" s="165" t="s">
        <v>627</v>
      </c>
      <c r="P588" s="165" t="s">
        <v>827</v>
      </c>
      <c r="Q588" s="3">
        <v>14175</v>
      </c>
      <c r="R588">
        <v>14175</v>
      </c>
    </row>
    <row r="589" spans="1:21">
      <c r="A589" s="165" t="s">
        <v>1024</v>
      </c>
      <c r="B589" s="165">
        <v>702</v>
      </c>
      <c r="C589" s="165" t="s">
        <v>1884</v>
      </c>
      <c r="D589" s="165">
        <v>2</v>
      </c>
      <c r="E589" s="165" t="s">
        <v>655</v>
      </c>
      <c r="F589" s="165" t="s">
        <v>2363</v>
      </c>
      <c r="G589" s="165">
        <v>14175</v>
      </c>
      <c r="H589" s="165"/>
      <c r="I589" s="165"/>
      <c r="J589" s="209">
        <v>14175</v>
      </c>
      <c r="K589" s="209"/>
      <c r="L589" s="209"/>
      <c r="M589" s="209"/>
      <c r="N589" s="209">
        <f t="shared" si="11"/>
        <v>0</v>
      </c>
      <c r="O589" s="165" t="s">
        <v>633</v>
      </c>
      <c r="P589" s="165" t="s">
        <v>634</v>
      </c>
      <c r="Q589" s="3">
        <v>14175</v>
      </c>
      <c r="R589" s="3">
        <v>14175</v>
      </c>
      <c r="S589" s="3"/>
    </row>
    <row r="590" spans="1:21">
      <c r="A590" s="165" t="s">
        <v>1024</v>
      </c>
      <c r="B590" s="165">
        <v>703</v>
      </c>
      <c r="C590" s="165" t="s">
        <v>1884</v>
      </c>
      <c r="D590" s="165">
        <v>3</v>
      </c>
      <c r="E590" s="165" t="s">
        <v>656</v>
      </c>
      <c r="F590" s="165" t="s">
        <v>3737</v>
      </c>
      <c r="G590" s="165">
        <v>14175</v>
      </c>
      <c r="H590" s="165"/>
      <c r="I590" s="165"/>
      <c r="J590" s="209">
        <v>14175</v>
      </c>
      <c r="K590" s="209"/>
      <c r="L590" s="209"/>
      <c r="M590" s="209"/>
      <c r="N590" s="209">
        <f t="shared" si="11"/>
        <v>0</v>
      </c>
      <c r="O590" s="165" t="s">
        <v>619</v>
      </c>
      <c r="P590" s="165" t="s">
        <v>620</v>
      </c>
      <c r="Q590" s="3">
        <v>14175</v>
      </c>
      <c r="R590" s="3">
        <v>14175</v>
      </c>
      <c r="S590" s="3"/>
    </row>
    <row r="591" spans="1:21">
      <c r="A591" s="165" t="s">
        <v>1024</v>
      </c>
      <c r="B591" s="165">
        <v>704</v>
      </c>
      <c r="C591" s="165" t="s">
        <v>1884</v>
      </c>
      <c r="D591" s="165">
        <v>4</v>
      </c>
      <c r="E591" s="165" t="s">
        <v>657</v>
      </c>
      <c r="F591" s="165" t="s">
        <v>2166</v>
      </c>
      <c r="G591" s="165">
        <v>14175</v>
      </c>
      <c r="H591" s="165"/>
      <c r="I591" s="165"/>
      <c r="J591" s="209">
        <v>14175</v>
      </c>
      <c r="K591" s="209"/>
      <c r="L591" s="209"/>
      <c r="M591" s="209"/>
      <c r="N591" s="209">
        <f t="shared" si="11"/>
        <v>0</v>
      </c>
      <c r="O591" s="165" t="s">
        <v>621</v>
      </c>
      <c r="P591" s="165" t="s">
        <v>622</v>
      </c>
      <c r="Q591" s="3">
        <v>14175</v>
      </c>
      <c r="R591" s="3">
        <v>14175</v>
      </c>
      <c r="S591" s="3"/>
    </row>
    <row r="592" spans="1:21">
      <c r="A592" s="165" t="s">
        <v>1024</v>
      </c>
      <c r="B592" s="165">
        <v>705</v>
      </c>
      <c r="C592" s="165" t="s">
        <v>1884</v>
      </c>
      <c r="D592" s="165">
        <v>5</v>
      </c>
      <c r="E592" s="165" t="s">
        <v>658</v>
      </c>
      <c r="F592" s="165" t="s">
        <v>2365</v>
      </c>
      <c r="G592" s="165">
        <v>14175</v>
      </c>
      <c r="H592" s="165"/>
      <c r="I592" s="165"/>
      <c r="J592" s="209"/>
      <c r="K592" s="209">
        <v>14175</v>
      </c>
      <c r="L592" s="209"/>
      <c r="M592" s="209"/>
      <c r="N592" s="209">
        <f t="shared" si="11"/>
        <v>0</v>
      </c>
      <c r="O592" s="165" t="s">
        <v>625</v>
      </c>
      <c r="P592" s="165" t="s">
        <v>471</v>
      </c>
      <c r="Q592" s="3">
        <v>14175</v>
      </c>
      <c r="R592" s="3">
        <v>14175</v>
      </c>
      <c r="S592" s="3"/>
    </row>
    <row r="593" spans="1:21">
      <c r="A593" s="165" t="s">
        <v>1024</v>
      </c>
      <c r="B593" s="165">
        <v>706</v>
      </c>
      <c r="C593" s="165" t="s">
        <v>1884</v>
      </c>
      <c r="D593" s="165">
        <v>6</v>
      </c>
      <c r="E593" s="165" t="s">
        <v>660</v>
      </c>
      <c r="F593" s="165" t="s">
        <v>3738</v>
      </c>
      <c r="G593" s="165">
        <v>14175</v>
      </c>
      <c r="H593" s="165"/>
      <c r="I593" s="165"/>
      <c r="J593" s="209"/>
      <c r="K593" s="209">
        <v>14175</v>
      </c>
      <c r="L593" s="209"/>
      <c r="M593" s="209"/>
      <c r="N593" s="209">
        <f t="shared" si="11"/>
        <v>0</v>
      </c>
      <c r="O593" s="165" t="s">
        <v>3161</v>
      </c>
      <c r="P593" s="165" t="s">
        <v>3162</v>
      </c>
      <c r="Q593" s="3">
        <v>14175</v>
      </c>
      <c r="R593" s="3">
        <v>14175</v>
      </c>
      <c r="S593" s="3"/>
    </row>
    <row r="594" spans="1:21">
      <c r="A594" s="165" t="s">
        <v>1024</v>
      </c>
      <c r="B594" s="165">
        <v>707</v>
      </c>
      <c r="C594" s="165" t="s">
        <v>1884</v>
      </c>
      <c r="D594" s="165">
        <v>7</v>
      </c>
      <c r="E594" s="165" t="s">
        <v>661</v>
      </c>
      <c r="F594" s="165" t="s">
        <v>3739</v>
      </c>
      <c r="G594" s="165">
        <v>14175</v>
      </c>
      <c r="H594" s="165"/>
      <c r="I594" s="165"/>
      <c r="J594" s="165"/>
      <c r="K594" s="165">
        <v>14175</v>
      </c>
      <c r="L594" s="165"/>
      <c r="M594" s="165"/>
      <c r="N594" s="165">
        <f t="shared" si="11"/>
        <v>0</v>
      </c>
      <c r="O594" s="165" t="s">
        <v>3164</v>
      </c>
      <c r="P594" s="165" t="s">
        <v>808</v>
      </c>
      <c r="Q594" s="3">
        <v>14175</v>
      </c>
      <c r="R594" s="3">
        <v>14175</v>
      </c>
      <c r="S594" s="3"/>
    </row>
    <row r="595" spans="1:21">
      <c r="A595" s="165" t="s">
        <v>1024</v>
      </c>
      <c r="B595" s="165">
        <v>708</v>
      </c>
      <c r="C595" s="165" t="s">
        <v>1884</v>
      </c>
      <c r="D595" s="165">
        <v>8</v>
      </c>
      <c r="E595" s="165" t="s">
        <v>662</v>
      </c>
      <c r="F595" s="165" t="s">
        <v>2367</v>
      </c>
      <c r="G595" s="165">
        <v>14175</v>
      </c>
      <c r="H595" s="165"/>
      <c r="I595" s="165"/>
      <c r="J595" s="165"/>
      <c r="K595" s="165">
        <v>14175</v>
      </c>
      <c r="L595" s="165"/>
      <c r="M595" s="165"/>
      <c r="N595" s="165">
        <f t="shared" si="11"/>
        <v>0</v>
      </c>
      <c r="O595" s="165" t="s">
        <v>3173</v>
      </c>
      <c r="P595" s="165" t="s">
        <v>3174</v>
      </c>
      <c r="Q595" s="3">
        <v>14175</v>
      </c>
      <c r="R595" s="3">
        <v>14175</v>
      </c>
      <c r="S595" s="3"/>
    </row>
    <row r="596" spans="1:21" s="163" customFormat="1">
      <c r="A596" s="281" t="s">
        <v>664</v>
      </c>
      <c r="B596" s="281"/>
      <c r="C596" s="281" t="s">
        <v>1016</v>
      </c>
      <c r="D596" s="281">
        <v>1</v>
      </c>
      <c r="E596" s="281" t="s">
        <v>1283</v>
      </c>
      <c r="F596" s="281" t="s">
        <v>664</v>
      </c>
      <c r="G596" s="284"/>
      <c r="H596" s="284"/>
      <c r="I596" s="284"/>
      <c r="J596" s="281"/>
      <c r="K596" s="281"/>
      <c r="L596" s="281"/>
      <c r="M596" s="281"/>
      <c r="N596" s="281">
        <f t="shared" si="11"/>
        <v>0</v>
      </c>
      <c r="O596" s="281" t="s">
        <v>664</v>
      </c>
      <c r="P596" s="281" t="s">
        <v>664</v>
      </c>
      <c r="Q596" s="281">
        <v>63000</v>
      </c>
      <c r="R596" s="281">
        <v>63000</v>
      </c>
      <c r="S596" s="281"/>
      <c r="T596" s="284"/>
      <c r="U596" s="163" t="s">
        <v>665</v>
      </c>
    </row>
    <row r="597" spans="1:21" s="163" customFormat="1">
      <c r="A597" s="281" t="s">
        <v>666</v>
      </c>
      <c r="B597" s="281"/>
      <c r="C597" s="281" t="s">
        <v>1013</v>
      </c>
      <c r="D597" s="281">
        <v>1</v>
      </c>
      <c r="E597" s="281" t="s">
        <v>1283</v>
      </c>
      <c r="F597" s="281" t="s">
        <v>666</v>
      </c>
      <c r="G597" s="284"/>
      <c r="H597" s="284"/>
      <c r="I597" s="284"/>
      <c r="J597" s="281"/>
      <c r="K597" s="281"/>
      <c r="L597" s="281"/>
      <c r="M597" s="281"/>
      <c r="N597" s="281">
        <f t="shared" si="11"/>
        <v>0</v>
      </c>
      <c r="O597" s="281" t="s">
        <v>666</v>
      </c>
      <c r="P597" s="281" t="s">
        <v>666</v>
      </c>
      <c r="Q597" s="281">
        <v>63000</v>
      </c>
      <c r="R597" s="281">
        <v>63000</v>
      </c>
      <c r="S597" s="281"/>
      <c r="T597" s="284"/>
      <c r="U597" s="163" t="s">
        <v>665</v>
      </c>
    </row>
    <row r="598" spans="1:21">
      <c r="A598" s="165" t="s">
        <v>2190</v>
      </c>
      <c r="B598" s="165">
        <v>709</v>
      </c>
      <c r="C598" s="165" t="s">
        <v>2739</v>
      </c>
      <c r="D598" s="165">
        <v>1</v>
      </c>
      <c r="E598" s="165" t="s">
        <v>667</v>
      </c>
      <c r="F598" s="165" t="s">
        <v>2201</v>
      </c>
      <c r="G598" s="165">
        <v>11970</v>
      </c>
      <c r="H598" s="165"/>
      <c r="I598" s="165"/>
      <c r="J598" s="165">
        <v>11970</v>
      </c>
      <c r="K598" s="165"/>
      <c r="L598" s="165"/>
      <c r="M598" s="165"/>
      <c r="N598" s="165">
        <f t="shared" si="11"/>
        <v>0</v>
      </c>
      <c r="O598" s="165" t="s">
        <v>612</v>
      </c>
      <c r="P598" s="165" t="s">
        <v>2201</v>
      </c>
      <c r="Q598" s="3">
        <v>11970</v>
      </c>
      <c r="R598">
        <v>11970</v>
      </c>
    </row>
    <row r="599" spans="1:21">
      <c r="A599" s="165" t="s">
        <v>2190</v>
      </c>
      <c r="B599" s="165">
        <v>710</v>
      </c>
      <c r="C599" s="165" t="s">
        <v>2739</v>
      </c>
      <c r="D599" s="165">
        <v>2</v>
      </c>
      <c r="E599" s="165" t="s">
        <v>668</v>
      </c>
      <c r="F599" s="165" t="s">
        <v>2203</v>
      </c>
      <c r="G599" s="165">
        <v>11970</v>
      </c>
      <c r="H599" s="165"/>
      <c r="I599" s="165"/>
      <c r="J599" s="165">
        <v>11970</v>
      </c>
      <c r="K599" s="165"/>
      <c r="L599" s="165"/>
      <c r="M599" s="165"/>
      <c r="N599" s="165">
        <f t="shared" si="11"/>
        <v>0</v>
      </c>
      <c r="O599" s="165" t="s">
        <v>619</v>
      </c>
      <c r="P599" s="165" t="s">
        <v>620</v>
      </c>
      <c r="Q599" s="3">
        <v>11970</v>
      </c>
      <c r="R599" s="3">
        <v>11970</v>
      </c>
      <c r="S599" s="3"/>
    </row>
    <row r="600" spans="1:21">
      <c r="A600" s="165" t="s">
        <v>2190</v>
      </c>
      <c r="B600" s="165">
        <v>711</v>
      </c>
      <c r="C600" s="165" t="s">
        <v>2739</v>
      </c>
      <c r="D600" s="165">
        <v>3</v>
      </c>
      <c r="E600" s="165" t="s">
        <v>669</v>
      </c>
      <c r="F600" s="165" t="s">
        <v>2205</v>
      </c>
      <c r="G600" s="165">
        <v>11970</v>
      </c>
      <c r="H600" s="165"/>
      <c r="I600" s="165"/>
      <c r="J600" s="165"/>
      <c r="K600" s="165">
        <v>11970</v>
      </c>
      <c r="L600" s="165"/>
      <c r="M600" s="165"/>
      <c r="N600" s="165">
        <f t="shared" si="11"/>
        <v>0</v>
      </c>
      <c r="O600" s="165" t="s">
        <v>625</v>
      </c>
      <c r="P600" s="165" t="s">
        <v>626</v>
      </c>
      <c r="Q600" s="3">
        <v>11970</v>
      </c>
      <c r="R600" s="3">
        <v>11970</v>
      </c>
      <c r="S600" s="3"/>
    </row>
    <row r="601" spans="1:21">
      <c r="A601" s="165" t="s">
        <v>2190</v>
      </c>
      <c r="B601" s="165">
        <v>712</v>
      </c>
      <c r="C601" s="165" t="s">
        <v>2739</v>
      </c>
      <c r="D601" s="165">
        <v>4</v>
      </c>
      <c r="E601" s="165" t="s">
        <v>670</v>
      </c>
      <c r="F601" s="165" t="s">
        <v>1030</v>
      </c>
      <c r="G601" s="165">
        <v>11970</v>
      </c>
      <c r="H601" s="165"/>
      <c r="I601" s="165"/>
      <c r="J601" s="165"/>
      <c r="K601" s="165">
        <v>11970</v>
      </c>
      <c r="L601" s="165"/>
      <c r="M601" s="165"/>
      <c r="N601" s="165">
        <f t="shared" si="11"/>
        <v>0</v>
      </c>
      <c r="O601" s="165" t="s">
        <v>3161</v>
      </c>
      <c r="P601" s="165" t="s">
        <v>3162</v>
      </c>
      <c r="Q601" s="3">
        <v>11970</v>
      </c>
      <c r="R601">
        <v>11970</v>
      </c>
    </row>
    <row r="602" spans="1:21">
      <c r="A602" s="165" t="s">
        <v>2190</v>
      </c>
      <c r="B602" s="165">
        <v>713</v>
      </c>
      <c r="C602" s="165" t="s">
        <v>2739</v>
      </c>
      <c r="D602" s="165">
        <v>5</v>
      </c>
      <c r="E602" s="165" t="s">
        <v>671</v>
      </c>
      <c r="F602" s="165" t="s">
        <v>1031</v>
      </c>
      <c r="G602" s="165">
        <v>11970</v>
      </c>
      <c r="H602" s="165"/>
      <c r="I602" s="165"/>
      <c r="J602" s="165"/>
      <c r="K602" s="165">
        <v>11970</v>
      </c>
      <c r="L602" s="165"/>
      <c r="M602" s="165"/>
      <c r="N602" s="165">
        <f t="shared" si="11"/>
        <v>0</v>
      </c>
      <c r="O602" s="165" t="s">
        <v>3167</v>
      </c>
      <c r="P602" s="165" t="s">
        <v>3168</v>
      </c>
      <c r="Q602" s="3">
        <v>11970</v>
      </c>
      <c r="R602">
        <v>11970</v>
      </c>
    </row>
    <row r="603" spans="1:21">
      <c r="A603" s="165" t="s">
        <v>2190</v>
      </c>
      <c r="B603" s="165">
        <v>714</v>
      </c>
      <c r="C603" s="165" t="s">
        <v>2739</v>
      </c>
      <c r="D603" s="165">
        <v>6</v>
      </c>
      <c r="E603" s="165" t="s">
        <v>672</v>
      </c>
      <c r="F603" s="165" t="s">
        <v>1032</v>
      </c>
      <c r="G603" s="165">
        <v>11970</v>
      </c>
      <c r="H603" s="165"/>
      <c r="I603" s="165"/>
      <c r="J603" s="165"/>
      <c r="K603" s="165">
        <v>11970</v>
      </c>
      <c r="L603" s="165"/>
      <c r="M603" s="165"/>
      <c r="N603" s="165">
        <f t="shared" si="11"/>
        <v>0</v>
      </c>
      <c r="O603" s="165" t="s">
        <v>3169</v>
      </c>
      <c r="P603" s="165" t="s">
        <v>3170</v>
      </c>
      <c r="Q603" s="3">
        <v>11970</v>
      </c>
      <c r="R603">
        <v>11970</v>
      </c>
    </row>
    <row r="604" spans="1:21">
      <c r="A604" s="165" t="s">
        <v>2190</v>
      </c>
      <c r="B604" s="165">
        <v>715</v>
      </c>
      <c r="C604" s="165" t="s">
        <v>2739</v>
      </c>
      <c r="D604" s="165">
        <v>7</v>
      </c>
      <c r="E604" s="165" t="s">
        <v>673</v>
      </c>
      <c r="F604" s="165" t="s">
        <v>674</v>
      </c>
      <c r="G604" s="165">
        <v>11970</v>
      </c>
      <c r="H604" s="165"/>
      <c r="I604" s="165"/>
      <c r="J604" s="165"/>
      <c r="K604" s="165"/>
      <c r="L604" s="165">
        <v>11970</v>
      </c>
      <c r="M604" s="165"/>
      <c r="N604" s="165">
        <f t="shared" si="11"/>
        <v>0</v>
      </c>
      <c r="O604" s="165" t="s">
        <v>3938</v>
      </c>
      <c r="P604" s="165" t="s">
        <v>3939</v>
      </c>
      <c r="Q604" s="3">
        <v>11970</v>
      </c>
      <c r="R604">
        <v>11970</v>
      </c>
    </row>
    <row r="605" spans="1:21">
      <c r="A605" s="165" t="s">
        <v>2190</v>
      </c>
      <c r="B605" s="165">
        <v>716</v>
      </c>
      <c r="C605" s="165" t="s">
        <v>2739</v>
      </c>
      <c r="D605" s="165">
        <v>8</v>
      </c>
      <c r="E605" s="165" t="s">
        <v>675</v>
      </c>
      <c r="F605" s="165" t="s">
        <v>676</v>
      </c>
      <c r="G605" s="165">
        <v>11970</v>
      </c>
      <c r="H605" s="165"/>
      <c r="I605" s="165"/>
      <c r="J605" s="165"/>
      <c r="K605" s="165"/>
      <c r="L605" s="165">
        <v>11970</v>
      </c>
      <c r="M605" s="165"/>
      <c r="N605" s="165">
        <f t="shared" si="11"/>
        <v>0</v>
      </c>
      <c r="O605" s="165" t="s">
        <v>3940</v>
      </c>
      <c r="P605" s="165" t="s">
        <v>3941</v>
      </c>
      <c r="Q605" s="3">
        <v>11970</v>
      </c>
      <c r="R605">
        <v>11970</v>
      </c>
    </row>
    <row r="606" spans="1:21" s="163" customFormat="1">
      <c r="A606" s="281" t="s">
        <v>677</v>
      </c>
      <c r="B606" s="281"/>
      <c r="C606" s="281" t="s">
        <v>1532</v>
      </c>
      <c r="D606" s="281">
        <v>2</v>
      </c>
      <c r="E606" s="281" t="s">
        <v>1283</v>
      </c>
      <c r="F606" s="281" t="s">
        <v>677</v>
      </c>
      <c r="G606" s="284"/>
      <c r="H606" s="284"/>
      <c r="I606" s="284"/>
      <c r="J606" s="281"/>
      <c r="K606" s="281"/>
      <c r="L606" s="281"/>
      <c r="M606" s="281"/>
      <c r="N606" s="281">
        <f t="shared" si="11"/>
        <v>0</v>
      </c>
      <c r="O606" s="281" t="s">
        <v>677</v>
      </c>
      <c r="P606" s="281" t="s">
        <v>677</v>
      </c>
      <c r="Q606" s="281">
        <v>13500</v>
      </c>
      <c r="R606" s="281">
        <v>13485</v>
      </c>
      <c r="S606" s="281"/>
      <c r="T606" s="284">
        <v>15</v>
      </c>
    </row>
    <row r="607" spans="1:21">
      <c r="A607" s="165" t="s">
        <v>612</v>
      </c>
      <c r="B607" s="165">
        <v>717</v>
      </c>
      <c r="C607" s="165" t="s">
        <v>2041</v>
      </c>
      <c r="D607" s="165">
        <v>1</v>
      </c>
      <c r="E607" s="165" t="s">
        <v>678</v>
      </c>
      <c r="F607" s="165" t="s">
        <v>2190</v>
      </c>
      <c r="G607" s="165">
        <v>14175</v>
      </c>
      <c r="H607" s="165"/>
      <c r="I607" s="165"/>
      <c r="J607" s="165">
        <v>14175</v>
      </c>
      <c r="K607" s="165"/>
      <c r="L607" s="165"/>
      <c r="M607" s="165"/>
      <c r="N607" s="165">
        <f t="shared" si="11"/>
        <v>0</v>
      </c>
      <c r="O607" s="165" t="s">
        <v>633</v>
      </c>
      <c r="P607" s="165" t="s">
        <v>634</v>
      </c>
      <c r="Q607" s="3">
        <v>14175</v>
      </c>
      <c r="R607">
        <v>14175</v>
      </c>
    </row>
    <row r="608" spans="1:21">
      <c r="A608" s="165" t="s">
        <v>612</v>
      </c>
      <c r="B608" s="165">
        <v>718</v>
      </c>
      <c r="C608" s="165" t="s">
        <v>2041</v>
      </c>
      <c r="D608" s="165">
        <v>2</v>
      </c>
      <c r="E608" s="165" t="s">
        <v>679</v>
      </c>
      <c r="F608" s="165" t="s">
        <v>2192</v>
      </c>
      <c r="G608" s="165">
        <v>14175</v>
      </c>
      <c r="H608" s="165"/>
      <c r="I608" s="165"/>
      <c r="J608" s="165">
        <v>14175</v>
      </c>
      <c r="K608" s="165"/>
      <c r="L608" s="165"/>
      <c r="M608" s="165"/>
      <c r="N608" s="165">
        <f t="shared" si="11"/>
        <v>0</v>
      </c>
      <c r="O608" s="165" t="s">
        <v>613</v>
      </c>
      <c r="P608" s="165" t="s">
        <v>614</v>
      </c>
      <c r="Q608" s="3">
        <v>14175</v>
      </c>
      <c r="R608" s="3">
        <v>14175</v>
      </c>
      <c r="S608" s="3"/>
    </row>
    <row r="609" spans="1:21">
      <c r="A609" s="165" t="s">
        <v>612</v>
      </c>
      <c r="B609" s="165">
        <v>719</v>
      </c>
      <c r="C609" s="165" t="s">
        <v>2041</v>
      </c>
      <c r="D609" s="165">
        <v>3</v>
      </c>
      <c r="E609" s="165" t="s">
        <v>680</v>
      </c>
      <c r="F609" s="165" t="s">
        <v>2194</v>
      </c>
      <c r="G609" s="165">
        <v>14175</v>
      </c>
      <c r="H609" s="165"/>
      <c r="I609" s="165"/>
      <c r="J609" s="165"/>
      <c r="K609" s="165">
        <v>14175</v>
      </c>
      <c r="L609" s="165"/>
      <c r="M609" s="165"/>
      <c r="N609" s="165">
        <f t="shared" si="11"/>
        <v>0</v>
      </c>
      <c r="O609" s="165" t="s">
        <v>621</v>
      </c>
      <c r="P609" s="165" t="s">
        <v>622</v>
      </c>
      <c r="Q609" s="3">
        <v>14175</v>
      </c>
      <c r="R609" s="3">
        <v>14175</v>
      </c>
      <c r="S609" s="3"/>
    </row>
    <row r="610" spans="1:21">
      <c r="A610" s="165" t="s">
        <v>612</v>
      </c>
      <c r="B610" s="165">
        <v>720</v>
      </c>
      <c r="C610" s="165" t="s">
        <v>2041</v>
      </c>
      <c r="D610" s="165">
        <v>4</v>
      </c>
      <c r="E610" s="165" t="s">
        <v>681</v>
      </c>
      <c r="F610" s="165" t="s">
        <v>2325</v>
      </c>
      <c r="G610" s="165">
        <v>14175</v>
      </c>
      <c r="H610" s="165"/>
      <c r="I610" s="165"/>
      <c r="J610" s="165"/>
      <c r="K610" s="165">
        <v>14175</v>
      </c>
      <c r="L610" s="165"/>
      <c r="M610" s="165"/>
      <c r="N610" s="165">
        <f t="shared" si="11"/>
        <v>0</v>
      </c>
      <c r="O610" s="165" t="s">
        <v>3161</v>
      </c>
      <c r="P610" s="165" t="s">
        <v>3162</v>
      </c>
      <c r="Q610" s="3">
        <v>14175</v>
      </c>
      <c r="R610">
        <v>14175</v>
      </c>
    </row>
    <row r="611" spans="1:21">
      <c r="A611" s="165" t="s">
        <v>612</v>
      </c>
      <c r="B611" s="165">
        <v>721</v>
      </c>
      <c r="C611" s="165" t="s">
        <v>2041</v>
      </c>
      <c r="D611" s="165">
        <v>5</v>
      </c>
      <c r="E611" s="165" t="s">
        <v>682</v>
      </c>
      <c r="F611" s="165" t="s">
        <v>683</v>
      </c>
      <c r="G611" s="165">
        <v>14175</v>
      </c>
      <c r="H611" s="165"/>
      <c r="I611" s="165"/>
      <c r="J611" s="165"/>
      <c r="K611" s="165">
        <v>14175</v>
      </c>
      <c r="L611" s="165"/>
      <c r="M611" s="165"/>
      <c r="N611" s="165">
        <f t="shared" si="11"/>
        <v>0</v>
      </c>
      <c r="O611" s="165" t="s">
        <v>3164</v>
      </c>
      <c r="P611" s="165" t="s">
        <v>808</v>
      </c>
      <c r="Q611" s="3">
        <v>14175</v>
      </c>
      <c r="R611">
        <v>14175</v>
      </c>
    </row>
    <row r="612" spans="1:21">
      <c r="A612" s="165" t="s">
        <v>612</v>
      </c>
      <c r="B612" s="165">
        <v>722</v>
      </c>
      <c r="C612" s="165" t="s">
        <v>2041</v>
      </c>
      <c r="D612" s="165">
        <v>6</v>
      </c>
      <c r="E612" s="165" t="s">
        <v>684</v>
      </c>
      <c r="F612" s="164" t="s">
        <v>685</v>
      </c>
      <c r="G612" s="165">
        <v>14175</v>
      </c>
      <c r="H612" s="165"/>
      <c r="I612" s="165"/>
      <c r="J612" s="165"/>
      <c r="K612" s="165">
        <v>14175</v>
      </c>
      <c r="L612" s="165"/>
      <c r="M612" s="165"/>
      <c r="N612" s="165">
        <f t="shared" si="11"/>
        <v>0</v>
      </c>
      <c r="O612" s="165" t="s">
        <v>3165</v>
      </c>
      <c r="P612" s="165" t="s">
        <v>3166</v>
      </c>
      <c r="Q612" s="3">
        <v>14175</v>
      </c>
      <c r="R612">
        <v>14175</v>
      </c>
    </row>
    <row r="613" spans="1:21">
      <c r="A613" s="165" t="s">
        <v>612</v>
      </c>
      <c r="B613" s="165">
        <v>723</v>
      </c>
      <c r="C613" s="165" t="s">
        <v>2041</v>
      </c>
      <c r="D613" s="165">
        <v>7</v>
      </c>
      <c r="E613" s="165" t="s">
        <v>686</v>
      </c>
      <c r="F613" s="165" t="s">
        <v>687</v>
      </c>
      <c r="G613" s="165">
        <v>14175</v>
      </c>
      <c r="H613" s="165"/>
      <c r="I613" s="165"/>
      <c r="J613" s="165"/>
      <c r="K613" s="165"/>
      <c r="L613" s="165">
        <v>14175</v>
      </c>
      <c r="M613" s="165"/>
      <c r="N613" s="165">
        <f t="shared" si="11"/>
        <v>0</v>
      </c>
      <c r="O613" s="165" t="s">
        <v>3942</v>
      </c>
      <c r="P613" s="165" t="s">
        <v>3943</v>
      </c>
      <c r="Q613" s="3">
        <v>14175</v>
      </c>
      <c r="R613">
        <v>14175</v>
      </c>
    </row>
    <row r="614" spans="1:21">
      <c r="A614" s="165" t="s">
        <v>612</v>
      </c>
      <c r="B614" s="165">
        <v>724</v>
      </c>
      <c r="C614" s="165" t="s">
        <v>2041</v>
      </c>
      <c r="D614" s="165">
        <v>8</v>
      </c>
      <c r="E614" s="165" t="s">
        <v>688</v>
      </c>
      <c r="F614" s="165" t="s">
        <v>689</v>
      </c>
      <c r="G614" s="165">
        <v>14175</v>
      </c>
      <c r="H614" s="165"/>
      <c r="I614" s="165"/>
      <c r="J614" s="165"/>
      <c r="K614" s="165"/>
      <c r="L614" s="165">
        <v>14175</v>
      </c>
      <c r="M614" s="165"/>
      <c r="N614" s="165">
        <f t="shared" si="11"/>
        <v>0</v>
      </c>
      <c r="O614" s="165" t="s">
        <v>3944</v>
      </c>
      <c r="P614" s="165" t="s">
        <v>3945</v>
      </c>
      <c r="Q614" s="3">
        <v>14715</v>
      </c>
      <c r="R614">
        <v>14175</v>
      </c>
    </row>
    <row r="615" spans="1:21" s="283" customFormat="1">
      <c r="A615" s="279" t="s">
        <v>690</v>
      </c>
      <c r="B615" s="279"/>
      <c r="C615" s="279" t="s">
        <v>2060</v>
      </c>
      <c r="D615" s="279">
        <v>1</v>
      </c>
      <c r="E615" s="279" t="s">
        <v>1283</v>
      </c>
      <c r="F615" s="279" t="s">
        <v>690</v>
      </c>
      <c r="G615" s="280"/>
      <c r="H615" s="280"/>
      <c r="I615" s="280"/>
      <c r="J615" s="280"/>
      <c r="K615" s="280"/>
      <c r="L615" s="280"/>
      <c r="M615" s="280"/>
      <c r="N615" s="280">
        <f t="shared" si="11"/>
        <v>0</v>
      </c>
      <c r="O615" s="279" t="s">
        <v>690</v>
      </c>
      <c r="P615" s="279" t="s">
        <v>690</v>
      </c>
      <c r="Q615" s="279">
        <v>14175</v>
      </c>
      <c r="R615" s="279">
        <v>14175</v>
      </c>
      <c r="S615" s="279"/>
      <c r="T615" s="280">
        <v>0</v>
      </c>
      <c r="U615" s="282" t="s">
        <v>245</v>
      </c>
    </row>
    <row r="616" spans="1:21">
      <c r="A616" s="165" t="s">
        <v>1060</v>
      </c>
      <c r="B616" s="165">
        <v>725</v>
      </c>
      <c r="C616" s="165" t="s">
        <v>1300</v>
      </c>
      <c r="D616" s="165">
        <v>1</v>
      </c>
      <c r="E616" s="165" t="s">
        <v>691</v>
      </c>
      <c r="F616" s="165" t="s">
        <v>1061</v>
      </c>
      <c r="G616" s="165">
        <v>12600</v>
      </c>
      <c r="H616" s="165"/>
      <c r="I616" s="165"/>
      <c r="J616" s="165">
        <v>12600</v>
      </c>
      <c r="K616" s="165"/>
      <c r="L616" s="165"/>
      <c r="M616" s="165"/>
      <c r="N616" s="165">
        <f t="shared" si="11"/>
        <v>0</v>
      </c>
      <c r="O616" s="165" t="s">
        <v>619</v>
      </c>
      <c r="P616" s="165" t="s">
        <v>620</v>
      </c>
      <c r="Q616" s="3">
        <v>12600</v>
      </c>
      <c r="R616" s="3">
        <v>12600</v>
      </c>
      <c r="S616" s="3"/>
    </row>
    <row r="617" spans="1:21">
      <c r="A617" s="165" t="s">
        <v>1060</v>
      </c>
      <c r="B617" s="165">
        <v>726</v>
      </c>
      <c r="C617" s="165" t="s">
        <v>1300</v>
      </c>
      <c r="D617" s="165">
        <v>2</v>
      </c>
      <c r="E617" s="165" t="s">
        <v>692</v>
      </c>
      <c r="F617" s="165" t="s">
        <v>1062</v>
      </c>
      <c r="G617" s="165">
        <v>12600</v>
      </c>
      <c r="H617" s="165"/>
      <c r="I617" s="165"/>
      <c r="J617" s="165"/>
      <c r="K617" s="165">
        <v>12600</v>
      </c>
      <c r="L617" s="165"/>
      <c r="M617" s="165"/>
      <c r="N617" s="165">
        <f t="shared" si="11"/>
        <v>0</v>
      </c>
      <c r="O617" s="165" t="s">
        <v>625</v>
      </c>
      <c r="P617" s="165" t="s">
        <v>626</v>
      </c>
      <c r="Q617" s="3">
        <v>12600</v>
      </c>
      <c r="R617" s="3">
        <v>12600</v>
      </c>
      <c r="S617" s="3"/>
    </row>
    <row r="618" spans="1:21">
      <c r="A618" s="165" t="s">
        <v>1060</v>
      </c>
      <c r="B618" s="165">
        <v>727</v>
      </c>
      <c r="C618" s="165" t="s">
        <v>1300</v>
      </c>
      <c r="D618" s="165">
        <v>3</v>
      </c>
      <c r="E618" s="165" t="s">
        <v>693</v>
      </c>
      <c r="F618" s="165" t="s">
        <v>1063</v>
      </c>
      <c r="G618" s="165">
        <v>12600</v>
      </c>
      <c r="H618" s="165"/>
      <c r="I618" s="165"/>
      <c r="J618" s="165"/>
      <c r="K618" s="165">
        <v>12600</v>
      </c>
      <c r="L618" s="165"/>
      <c r="M618" s="165"/>
      <c r="N618" s="165">
        <f t="shared" si="11"/>
        <v>0</v>
      </c>
      <c r="O618" s="165" t="s">
        <v>683</v>
      </c>
      <c r="P618" s="165" t="s">
        <v>3163</v>
      </c>
      <c r="Q618" s="3">
        <v>12600</v>
      </c>
      <c r="R618">
        <v>12600</v>
      </c>
    </row>
    <row r="619" spans="1:21">
      <c r="A619" s="165" t="s">
        <v>1060</v>
      </c>
      <c r="B619" s="165">
        <v>728</v>
      </c>
      <c r="C619" s="165" t="s">
        <v>1300</v>
      </c>
      <c r="D619" s="165">
        <v>4</v>
      </c>
      <c r="E619" s="165" t="s">
        <v>694</v>
      </c>
      <c r="F619" s="165" t="s">
        <v>1064</v>
      </c>
      <c r="G619" s="165">
        <v>12600</v>
      </c>
      <c r="H619" s="165"/>
      <c r="I619" s="165"/>
      <c r="J619" s="165"/>
      <c r="K619" s="165">
        <v>12600</v>
      </c>
      <c r="L619" s="165"/>
      <c r="M619" s="165"/>
      <c r="N619" s="165">
        <f t="shared" si="11"/>
        <v>0</v>
      </c>
      <c r="O619" s="165" t="s">
        <v>3167</v>
      </c>
      <c r="P619" s="165" t="s">
        <v>3168</v>
      </c>
      <c r="Q619" s="3">
        <v>12600</v>
      </c>
      <c r="R619">
        <v>12600</v>
      </c>
    </row>
    <row r="620" spans="1:21">
      <c r="A620" s="165" t="s">
        <v>1060</v>
      </c>
      <c r="B620" s="165">
        <v>729</v>
      </c>
      <c r="C620" s="165" t="s">
        <v>1300</v>
      </c>
      <c r="D620" s="165">
        <v>5</v>
      </c>
      <c r="E620" s="165" t="s">
        <v>695</v>
      </c>
      <c r="F620" s="165" t="s">
        <v>1065</v>
      </c>
      <c r="G620" s="165">
        <v>12600</v>
      </c>
      <c r="H620" s="165"/>
      <c r="I620" s="165"/>
      <c r="J620" s="165"/>
      <c r="K620" s="165">
        <v>12600</v>
      </c>
      <c r="L620" s="165"/>
      <c r="M620" s="165"/>
      <c r="N620" s="165">
        <f t="shared" si="11"/>
        <v>0</v>
      </c>
      <c r="O620" s="165" t="s">
        <v>3169</v>
      </c>
      <c r="P620" s="165" t="s">
        <v>3170</v>
      </c>
      <c r="Q620" s="3">
        <v>12600</v>
      </c>
      <c r="R620">
        <v>12600</v>
      </c>
    </row>
    <row r="621" spans="1:21">
      <c r="A621" s="165" t="s">
        <v>1060</v>
      </c>
      <c r="B621" s="165">
        <v>730</v>
      </c>
      <c r="C621" s="165" t="s">
        <v>1300</v>
      </c>
      <c r="D621" s="165">
        <v>6</v>
      </c>
      <c r="E621" s="165" t="s">
        <v>696</v>
      </c>
      <c r="F621" s="165" t="s">
        <v>1066</v>
      </c>
      <c r="G621" s="165">
        <v>12600</v>
      </c>
      <c r="H621" s="165"/>
      <c r="I621" s="165"/>
      <c r="J621" s="165"/>
      <c r="K621" s="165"/>
      <c r="L621" s="165">
        <v>12600</v>
      </c>
      <c r="M621" s="165"/>
      <c r="N621" s="165">
        <f t="shared" si="11"/>
        <v>0</v>
      </c>
      <c r="O621" s="165" t="s">
        <v>3934</v>
      </c>
      <c r="P621" s="165" t="s">
        <v>3935</v>
      </c>
      <c r="Q621" s="3">
        <v>12600</v>
      </c>
      <c r="R621">
        <v>12600</v>
      </c>
    </row>
    <row r="622" spans="1:21">
      <c r="A622" s="165" t="s">
        <v>1060</v>
      </c>
      <c r="B622" s="165">
        <v>731</v>
      </c>
      <c r="C622" s="165" t="s">
        <v>1300</v>
      </c>
      <c r="D622" s="165">
        <v>7</v>
      </c>
      <c r="E622" s="165" t="s">
        <v>697</v>
      </c>
      <c r="F622" s="165" t="s">
        <v>698</v>
      </c>
      <c r="G622" s="165">
        <v>12600</v>
      </c>
      <c r="H622" s="165"/>
      <c r="I622" s="165"/>
      <c r="J622" s="165"/>
      <c r="K622" s="165"/>
      <c r="L622" s="165">
        <v>12600</v>
      </c>
      <c r="M622" s="165"/>
      <c r="N622" s="165">
        <f t="shared" si="11"/>
        <v>0</v>
      </c>
      <c r="O622" s="165" t="s">
        <v>3946</v>
      </c>
      <c r="P622" s="165" t="s">
        <v>3947</v>
      </c>
      <c r="Q622" s="3">
        <v>12600</v>
      </c>
      <c r="R622">
        <v>12600</v>
      </c>
    </row>
    <row r="623" spans="1:21">
      <c r="A623" s="165" t="s">
        <v>1060</v>
      </c>
      <c r="B623" s="165">
        <v>732</v>
      </c>
      <c r="C623" s="165" t="s">
        <v>1300</v>
      </c>
      <c r="D623" s="165">
        <v>8</v>
      </c>
      <c r="E623" s="165" t="s">
        <v>699</v>
      </c>
      <c r="F623" s="165" t="s">
        <v>700</v>
      </c>
      <c r="G623" s="165">
        <v>12600</v>
      </c>
      <c r="H623" s="165"/>
      <c r="I623" s="165"/>
      <c r="J623" s="165"/>
      <c r="K623" s="165"/>
      <c r="L623" s="165">
        <v>12600</v>
      </c>
      <c r="M623" s="165"/>
      <c r="N623" s="165">
        <f t="shared" si="11"/>
        <v>0</v>
      </c>
      <c r="O623" s="165" t="s">
        <v>3948</v>
      </c>
      <c r="P623" s="165" t="s">
        <v>3949</v>
      </c>
      <c r="Q623" s="3">
        <v>12600</v>
      </c>
      <c r="R623">
        <v>12600</v>
      </c>
    </row>
    <row r="624" spans="1:21" s="163" customFormat="1">
      <c r="A624" s="281" t="s">
        <v>634</v>
      </c>
      <c r="B624" s="281"/>
      <c r="C624" s="281" t="s">
        <v>2421</v>
      </c>
      <c r="D624" s="281">
        <v>1</v>
      </c>
      <c r="E624" s="281" t="s">
        <v>1283</v>
      </c>
      <c r="F624" s="281" t="s">
        <v>634</v>
      </c>
      <c r="G624" s="284"/>
      <c r="H624" s="284"/>
      <c r="I624" s="284"/>
      <c r="J624" s="281"/>
      <c r="K624" s="281"/>
      <c r="L624" s="281"/>
      <c r="M624" s="281"/>
      <c r="N624" s="281">
        <f t="shared" si="11"/>
        <v>0</v>
      </c>
      <c r="O624" s="281" t="s">
        <v>634</v>
      </c>
      <c r="P624" s="281" t="s">
        <v>634</v>
      </c>
      <c r="Q624" s="281">
        <v>13230</v>
      </c>
      <c r="R624" s="281">
        <v>13220</v>
      </c>
      <c r="S624" s="281"/>
      <c r="T624" s="284">
        <v>10</v>
      </c>
    </row>
    <row r="625" spans="1:21" s="163" customFormat="1">
      <c r="A625" s="281" t="s">
        <v>2234</v>
      </c>
      <c r="B625" s="281"/>
      <c r="C625" s="281" t="s">
        <v>3825</v>
      </c>
      <c r="D625" s="281">
        <v>3</v>
      </c>
      <c r="E625" s="281" t="s">
        <v>1283</v>
      </c>
      <c r="F625" s="281" t="s">
        <v>2234</v>
      </c>
      <c r="G625" s="284"/>
      <c r="H625" s="284"/>
      <c r="I625" s="284"/>
      <c r="J625" s="281"/>
      <c r="K625" s="281"/>
      <c r="L625" s="281"/>
      <c r="M625" s="281"/>
      <c r="N625" s="281">
        <f t="shared" si="11"/>
        <v>0</v>
      </c>
      <c r="O625" s="281" t="s">
        <v>2234</v>
      </c>
      <c r="P625" s="281" t="s">
        <v>2234</v>
      </c>
      <c r="Q625" s="281">
        <v>14175</v>
      </c>
      <c r="R625" s="281">
        <v>14145</v>
      </c>
      <c r="S625" s="281"/>
      <c r="T625" s="284">
        <v>30</v>
      </c>
    </row>
    <row r="626" spans="1:21">
      <c r="A626" s="165" t="s">
        <v>2332</v>
      </c>
      <c r="B626" s="165">
        <v>733</v>
      </c>
      <c r="C626" s="165" t="s">
        <v>701</v>
      </c>
      <c r="D626" s="165">
        <v>1</v>
      </c>
      <c r="E626" s="165" t="s">
        <v>702</v>
      </c>
      <c r="F626" s="165" t="s">
        <v>2363</v>
      </c>
      <c r="G626" s="165">
        <v>20475</v>
      </c>
      <c r="H626" s="165"/>
      <c r="I626" s="165"/>
      <c r="J626" s="165">
        <v>20475</v>
      </c>
      <c r="K626" s="165"/>
      <c r="L626" s="165"/>
      <c r="M626" s="165"/>
      <c r="N626" s="165">
        <f t="shared" si="11"/>
        <v>0</v>
      </c>
      <c r="O626" s="165" t="s">
        <v>2164</v>
      </c>
      <c r="P626" s="165" t="s">
        <v>1025</v>
      </c>
      <c r="Q626" s="3">
        <v>20475</v>
      </c>
      <c r="R626" s="3">
        <v>20475</v>
      </c>
      <c r="S626" s="3"/>
      <c r="U626" s="271" t="s">
        <v>2740</v>
      </c>
    </row>
    <row r="627" spans="1:21">
      <c r="A627" s="165" t="s">
        <v>2332</v>
      </c>
      <c r="B627" s="165">
        <v>734</v>
      </c>
      <c r="C627" s="165" t="s">
        <v>701</v>
      </c>
      <c r="D627" s="165">
        <v>2</v>
      </c>
      <c r="E627" s="165" t="s">
        <v>703</v>
      </c>
      <c r="F627" s="165" t="s">
        <v>2364</v>
      </c>
      <c r="G627" s="165">
        <v>20475</v>
      </c>
      <c r="H627" s="165"/>
      <c r="I627" s="165"/>
      <c r="J627" s="165">
        <v>20475</v>
      </c>
      <c r="K627" s="165"/>
      <c r="L627" s="165"/>
      <c r="M627" s="165"/>
      <c r="N627" s="165">
        <f t="shared" si="11"/>
        <v>0</v>
      </c>
      <c r="O627" s="165" t="s">
        <v>628</v>
      </c>
      <c r="P627" s="165" t="s">
        <v>629</v>
      </c>
      <c r="Q627" s="3">
        <v>20475</v>
      </c>
      <c r="R627" s="3">
        <v>20475</v>
      </c>
      <c r="S627" s="3"/>
      <c r="U627" s="271" t="s">
        <v>2740</v>
      </c>
    </row>
    <row r="628" spans="1:21">
      <c r="A628" s="165" t="s">
        <v>2332</v>
      </c>
      <c r="B628" s="165">
        <v>735</v>
      </c>
      <c r="C628" s="165" t="s">
        <v>701</v>
      </c>
      <c r="D628" s="165">
        <v>3</v>
      </c>
      <c r="E628" s="165" t="s">
        <v>704</v>
      </c>
      <c r="F628" s="165" t="s">
        <v>2365</v>
      </c>
      <c r="G628" s="165"/>
      <c r="H628" s="165"/>
      <c r="I628" s="165">
        <v>20475</v>
      </c>
      <c r="J628" s="165"/>
      <c r="K628" s="165">
        <v>20475</v>
      </c>
      <c r="L628" s="165"/>
      <c r="M628" s="165"/>
      <c r="N628" s="165">
        <f t="shared" si="11"/>
        <v>0</v>
      </c>
      <c r="O628" s="165" t="s">
        <v>625</v>
      </c>
      <c r="P628" s="165" t="s">
        <v>626</v>
      </c>
      <c r="Q628" s="3">
        <v>20475</v>
      </c>
      <c r="R628" s="3">
        <v>20475</v>
      </c>
      <c r="S628" s="3"/>
      <c r="U628" s="271" t="s">
        <v>2740</v>
      </c>
    </row>
    <row r="629" spans="1:21">
      <c r="A629" s="165" t="s">
        <v>2332</v>
      </c>
      <c r="B629" s="165">
        <v>736</v>
      </c>
      <c r="C629" s="165" t="s">
        <v>701</v>
      </c>
      <c r="D629" s="165">
        <v>4</v>
      </c>
      <c r="E629" s="165" t="s">
        <v>705</v>
      </c>
      <c r="F629" s="165" t="s">
        <v>2366</v>
      </c>
      <c r="G629" s="165"/>
      <c r="H629" s="165"/>
      <c r="I629" s="165">
        <v>20475</v>
      </c>
      <c r="J629" s="165"/>
      <c r="K629" s="165">
        <v>20475</v>
      </c>
      <c r="L629" s="165"/>
      <c r="M629" s="165"/>
      <c r="N629" s="165">
        <f t="shared" si="11"/>
        <v>0</v>
      </c>
      <c r="O629" s="165" t="s">
        <v>683</v>
      </c>
      <c r="P629" s="165" t="s">
        <v>3163</v>
      </c>
      <c r="Q629" s="3">
        <v>20475</v>
      </c>
      <c r="R629" s="3">
        <v>20475</v>
      </c>
      <c r="S629" s="3"/>
      <c r="U629" s="271" t="s">
        <v>2740</v>
      </c>
    </row>
    <row r="630" spans="1:21">
      <c r="A630" s="165" t="s">
        <v>2332</v>
      </c>
      <c r="B630" s="165">
        <v>737</v>
      </c>
      <c r="C630" s="165" t="s">
        <v>701</v>
      </c>
      <c r="D630" s="165">
        <v>5</v>
      </c>
      <c r="E630" s="165" t="s">
        <v>706</v>
      </c>
      <c r="F630" s="165" t="s">
        <v>2367</v>
      </c>
      <c r="G630" s="165"/>
      <c r="H630" s="165"/>
      <c r="I630" s="165">
        <v>20475</v>
      </c>
      <c r="J630" s="165"/>
      <c r="K630" s="165">
        <v>20475</v>
      </c>
      <c r="L630" s="165"/>
      <c r="M630" s="165"/>
      <c r="N630" s="165">
        <f t="shared" si="11"/>
        <v>0</v>
      </c>
      <c r="O630" s="165" t="s">
        <v>3167</v>
      </c>
      <c r="P630" s="165" t="s">
        <v>3168</v>
      </c>
      <c r="Q630" s="3">
        <v>20475</v>
      </c>
      <c r="R630" s="3">
        <v>20475</v>
      </c>
      <c r="S630" s="3"/>
      <c r="U630" s="271" t="s">
        <v>2740</v>
      </c>
    </row>
    <row r="631" spans="1:21">
      <c r="A631" s="165" t="s">
        <v>2332</v>
      </c>
      <c r="B631" s="165">
        <v>738</v>
      </c>
      <c r="C631" s="165" t="s">
        <v>701</v>
      </c>
      <c r="D631" s="165">
        <v>6</v>
      </c>
      <c r="E631" s="165" t="s">
        <v>707</v>
      </c>
      <c r="F631" s="165" t="s">
        <v>708</v>
      </c>
      <c r="G631" s="165"/>
      <c r="H631" s="165"/>
      <c r="I631" s="165">
        <v>20475</v>
      </c>
      <c r="J631" s="165"/>
      <c r="K631" s="165">
        <v>20475</v>
      </c>
      <c r="L631" s="165"/>
      <c r="M631" s="165"/>
      <c r="N631" s="165">
        <f t="shared" si="11"/>
        <v>0</v>
      </c>
      <c r="O631" s="165" t="s">
        <v>3169</v>
      </c>
      <c r="P631" s="165" t="s">
        <v>3170</v>
      </c>
      <c r="Q631" s="3">
        <v>20475</v>
      </c>
      <c r="R631" s="3">
        <v>20475</v>
      </c>
      <c r="S631" s="3"/>
      <c r="U631" s="271" t="s">
        <v>2740</v>
      </c>
    </row>
    <row r="632" spans="1:21">
      <c r="A632" s="165" t="s">
        <v>2332</v>
      </c>
      <c r="B632" s="165">
        <v>739</v>
      </c>
      <c r="C632" s="165" t="s">
        <v>701</v>
      </c>
      <c r="D632" s="165">
        <v>7</v>
      </c>
      <c r="E632" s="165" t="s">
        <v>709</v>
      </c>
      <c r="F632" s="165" t="s">
        <v>659</v>
      </c>
      <c r="G632" s="165">
        <v>20475</v>
      </c>
      <c r="H632" s="165"/>
      <c r="I632" s="165"/>
      <c r="J632" s="165"/>
      <c r="K632" s="165"/>
      <c r="L632" s="165">
        <v>20475</v>
      </c>
      <c r="M632" s="165"/>
      <c r="N632" s="165">
        <f t="shared" si="11"/>
        <v>0</v>
      </c>
      <c r="O632" s="165" t="s">
        <v>3934</v>
      </c>
      <c r="P632" s="165" t="s">
        <v>3935</v>
      </c>
      <c r="Q632" s="3">
        <v>20475</v>
      </c>
      <c r="R632" s="3">
        <v>20475</v>
      </c>
      <c r="U632" s="271" t="s">
        <v>2740</v>
      </c>
    </row>
    <row r="633" spans="1:21">
      <c r="A633" s="165" t="s">
        <v>2332</v>
      </c>
      <c r="B633" s="165">
        <v>740</v>
      </c>
      <c r="C633" s="165" t="s">
        <v>701</v>
      </c>
      <c r="D633" s="165">
        <v>8</v>
      </c>
      <c r="E633" s="165" t="s">
        <v>710</v>
      </c>
      <c r="F633" s="165" t="s">
        <v>711</v>
      </c>
      <c r="G633" s="165">
        <v>20475</v>
      </c>
      <c r="H633" s="165"/>
      <c r="I633" s="165"/>
      <c r="J633" s="165"/>
      <c r="K633" s="165"/>
      <c r="L633" s="165">
        <v>20475</v>
      </c>
      <c r="M633" s="165"/>
      <c r="N633" s="165">
        <f t="shared" si="11"/>
        <v>0</v>
      </c>
      <c r="O633" s="165" t="s">
        <v>3950</v>
      </c>
      <c r="P633" s="165" t="s">
        <v>3951</v>
      </c>
      <c r="Q633" s="3">
        <v>20475</v>
      </c>
      <c r="R633" s="3">
        <v>20475</v>
      </c>
      <c r="U633" s="271" t="s">
        <v>2740</v>
      </c>
    </row>
    <row r="634" spans="1:21" s="5" customFormat="1">
      <c r="A634" s="94" t="s">
        <v>1025</v>
      </c>
      <c r="B634" s="165">
        <v>741</v>
      </c>
      <c r="C634" s="94" t="s">
        <v>1232</v>
      </c>
      <c r="D634" s="94">
        <v>10</v>
      </c>
      <c r="E634" s="94" t="s">
        <v>712</v>
      </c>
      <c r="F634" s="94" t="s">
        <v>2164</v>
      </c>
      <c r="G634" s="94">
        <v>16380</v>
      </c>
      <c r="H634" s="94"/>
      <c r="I634" s="94"/>
      <c r="J634" s="94">
        <v>16380</v>
      </c>
      <c r="K634" s="94"/>
      <c r="L634" s="94"/>
      <c r="M634" s="94"/>
      <c r="N634" s="94">
        <f t="shared" si="11"/>
        <v>0</v>
      </c>
      <c r="O634" s="94" t="s">
        <v>613</v>
      </c>
      <c r="P634" s="94" t="s">
        <v>614</v>
      </c>
      <c r="Q634" s="93">
        <v>16380</v>
      </c>
      <c r="R634" s="4">
        <v>16380</v>
      </c>
      <c r="S634" s="4"/>
      <c r="T634" s="93"/>
    </row>
    <row r="635" spans="1:21" s="163" customFormat="1">
      <c r="A635" s="281" t="s">
        <v>537</v>
      </c>
      <c r="B635" s="281"/>
      <c r="C635" s="281" t="s">
        <v>1532</v>
      </c>
      <c r="D635" s="281">
        <v>3</v>
      </c>
      <c r="E635" s="281" t="s">
        <v>1283</v>
      </c>
      <c r="F635" s="281" t="s">
        <v>537</v>
      </c>
      <c r="G635" s="284"/>
      <c r="H635" s="284"/>
      <c r="I635" s="284"/>
      <c r="J635" s="281"/>
      <c r="K635" s="281"/>
      <c r="L635" s="281"/>
      <c r="M635" s="281"/>
      <c r="N635" s="281">
        <f t="shared" si="11"/>
        <v>0</v>
      </c>
      <c r="O635" s="281" t="s">
        <v>537</v>
      </c>
      <c r="P635" s="281" t="s">
        <v>537</v>
      </c>
      <c r="Q635" s="281">
        <v>13500</v>
      </c>
      <c r="R635" s="281">
        <v>13485</v>
      </c>
      <c r="S635" s="281"/>
      <c r="T635" s="284">
        <v>15</v>
      </c>
    </row>
    <row r="636" spans="1:21">
      <c r="A636" s="165" t="s">
        <v>713</v>
      </c>
      <c r="B636" s="165">
        <v>742</v>
      </c>
      <c r="C636" s="165" t="s">
        <v>1307</v>
      </c>
      <c r="D636" s="165">
        <v>1</v>
      </c>
      <c r="E636" s="165" t="s">
        <v>714</v>
      </c>
      <c r="F636" s="165" t="s">
        <v>715</v>
      </c>
      <c r="G636" s="165">
        <v>14175</v>
      </c>
      <c r="H636" s="165"/>
      <c r="I636" s="165"/>
      <c r="J636" s="165">
        <v>14175</v>
      </c>
      <c r="K636" s="165"/>
      <c r="L636" s="165"/>
      <c r="M636" s="165"/>
      <c r="N636" s="165">
        <f t="shared" si="11"/>
        <v>0</v>
      </c>
      <c r="O636" s="165" t="s">
        <v>619</v>
      </c>
      <c r="P636" s="165" t="s">
        <v>620</v>
      </c>
      <c r="Q636" s="3">
        <v>14175</v>
      </c>
      <c r="R636" s="3">
        <v>14175</v>
      </c>
      <c r="S636" s="3"/>
    </row>
    <row r="637" spans="1:21">
      <c r="A637" s="165" t="s">
        <v>713</v>
      </c>
      <c r="B637" s="165">
        <v>743</v>
      </c>
      <c r="C637" s="165" t="s">
        <v>1307</v>
      </c>
      <c r="D637" s="165">
        <v>2</v>
      </c>
      <c r="E637" s="165" t="s">
        <v>716</v>
      </c>
      <c r="F637" s="165" t="s">
        <v>717</v>
      </c>
      <c r="G637" s="165">
        <v>14175</v>
      </c>
      <c r="H637" s="165"/>
      <c r="I637" s="165"/>
      <c r="J637" s="165"/>
      <c r="K637" s="165">
        <v>14175</v>
      </c>
      <c r="L637" s="165"/>
      <c r="M637" s="165"/>
      <c r="N637" s="165">
        <f t="shared" si="11"/>
        <v>0</v>
      </c>
      <c r="O637" s="165" t="s">
        <v>621</v>
      </c>
      <c r="P637" s="165" t="s">
        <v>622</v>
      </c>
      <c r="Q637" s="3">
        <v>14175</v>
      </c>
      <c r="R637" s="3">
        <v>14175</v>
      </c>
      <c r="S637" s="3"/>
    </row>
    <row r="638" spans="1:21">
      <c r="A638" s="165" t="s">
        <v>713</v>
      </c>
      <c r="B638" s="165">
        <v>744</v>
      </c>
      <c r="C638" s="165" t="s">
        <v>1307</v>
      </c>
      <c r="D638" s="165">
        <v>3</v>
      </c>
      <c r="E638" s="165" t="s">
        <v>718</v>
      </c>
      <c r="F638" s="165" t="s">
        <v>719</v>
      </c>
      <c r="G638" s="165">
        <v>14175</v>
      </c>
      <c r="H638" s="165"/>
      <c r="I638" s="165"/>
      <c r="J638" s="165"/>
      <c r="K638" s="165">
        <v>14175</v>
      </c>
      <c r="L638" s="165"/>
      <c r="M638" s="165"/>
      <c r="N638" s="165">
        <f t="shared" si="11"/>
        <v>0</v>
      </c>
      <c r="O638" s="165" t="s">
        <v>3161</v>
      </c>
      <c r="P638" s="165" t="s">
        <v>3162</v>
      </c>
      <c r="Q638" s="3">
        <v>14175</v>
      </c>
      <c r="R638">
        <v>14175</v>
      </c>
    </row>
    <row r="639" spans="1:21">
      <c r="A639" s="165" t="s">
        <v>713</v>
      </c>
      <c r="B639" s="165">
        <v>745</v>
      </c>
      <c r="C639" s="165" t="s">
        <v>1307</v>
      </c>
      <c r="D639" s="165">
        <v>4</v>
      </c>
      <c r="E639" s="165" t="s">
        <v>720</v>
      </c>
      <c r="F639" s="165" t="s">
        <v>721</v>
      </c>
      <c r="G639" s="165">
        <v>14175</v>
      </c>
      <c r="H639" s="165"/>
      <c r="I639" s="165"/>
      <c r="J639" s="165"/>
      <c r="K639" s="165">
        <v>14175</v>
      </c>
      <c r="L639" s="165"/>
      <c r="M639" s="165"/>
      <c r="N639" s="165">
        <f t="shared" si="11"/>
        <v>0</v>
      </c>
      <c r="O639" s="165" t="s">
        <v>3164</v>
      </c>
      <c r="P639" s="165" t="s">
        <v>808</v>
      </c>
      <c r="Q639" s="3">
        <v>14175</v>
      </c>
      <c r="R639">
        <v>14175</v>
      </c>
    </row>
    <row r="640" spans="1:21">
      <c r="A640" s="165" t="s">
        <v>713</v>
      </c>
      <c r="B640" s="165">
        <v>746</v>
      </c>
      <c r="C640" s="165" t="s">
        <v>1307</v>
      </c>
      <c r="D640" s="165">
        <v>5</v>
      </c>
      <c r="E640" s="165" t="s">
        <v>722</v>
      </c>
      <c r="F640" s="165" t="s">
        <v>723</v>
      </c>
      <c r="G640" s="165">
        <v>14175</v>
      </c>
      <c r="H640" s="165"/>
      <c r="I640" s="165"/>
      <c r="J640" s="165"/>
      <c r="K640" s="165">
        <v>14175</v>
      </c>
      <c r="L640" s="165"/>
      <c r="M640" s="165"/>
      <c r="N640" s="165">
        <f t="shared" si="11"/>
        <v>0</v>
      </c>
      <c r="O640" s="165" t="s">
        <v>3165</v>
      </c>
      <c r="P640" s="165" t="s">
        <v>3166</v>
      </c>
      <c r="Q640" s="3">
        <v>14175</v>
      </c>
      <c r="R640">
        <v>14175</v>
      </c>
    </row>
    <row r="641" spans="1:21">
      <c r="A641" s="165" t="s">
        <v>713</v>
      </c>
      <c r="B641" s="165">
        <v>747</v>
      </c>
      <c r="C641" s="165" t="s">
        <v>1307</v>
      </c>
      <c r="D641" s="165">
        <v>6</v>
      </c>
      <c r="E641" s="165" t="s">
        <v>724</v>
      </c>
      <c r="F641" s="165" t="s">
        <v>725</v>
      </c>
      <c r="G641" s="165">
        <v>14175</v>
      </c>
      <c r="H641" s="165"/>
      <c r="I641" s="165"/>
      <c r="J641" s="165"/>
      <c r="K641" s="165"/>
      <c r="L641" s="165">
        <v>14175</v>
      </c>
      <c r="M641" s="165"/>
      <c r="N641" s="165">
        <f t="shared" ref="N641:N658" si="12">G641+H641+I641-K641-J641-L641</f>
        <v>0</v>
      </c>
      <c r="O641" s="165" t="s">
        <v>3942</v>
      </c>
      <c r="P641" s="165" t="s">
        <v>3943</v>
      </c>
      <c r="Q641" s="3">
        <v>14175</v>
      </c>
      <c r="R641">
        <v>14175</v>
      </c>
    </row>
    <row r="642" spans="1:21">
      <c r="A642" s="165" t="s">
        <v>713</v>
      </c>
      <c r="B642" s="165">
        <v>748</v>
      </c>
      <c r="C642" s="165" t="s">
        <v>1307</v>
      </c>
      <c r="D642" s="165">
        <v>7</v>
      </c>
      <c r="E642" s="165" t="s">
        <v>726</v>
      </c>
      <c r="F642" s="165" t="s">
        <v>727</v>
      </c>
      <c r="G642" s="165">
        <v>14175</v>
      </c>
      <c r="H642" s="165"/>
      <c r="I642" s="165"/>
      <c r="J642" s="165"/>
      <c r="K642" s="165"/>
      <c r="L642" s="165">
        <v>14175</v>
      </c>
      <c r="M642" s="165"/>
      <c r="N642" s="165">
        <f t="shared" si="12"/>
        <v>0</v>
      </c>
      <c r="O642" s="165" t="s">
        <v>3944</v>
      </c>
      <c r="P642" s="165" t="s">
        <v>3945</v>
      </c>
      <c r="Q642" s="3">
        <v>14175</v>
      </c>
      <c r="R642">
        <v>14175</v>
      </c>
    </row>
    <row r="643" spans="1:21">
      <c r="A643" s="165" t="s">
        <v>713</v>
      </c>
      <c r="B643" s="165">
        <v>749</v>
      </c>
      <c r="C643" s="165" t="s">
        <v>1307</v>
      </c>
      <c r="D643" s="165">
        <v>8</v>
      </c>
      <c r="E643" s="165" t="s">
        <v>728</v>
      </c>
      <c r="F643" s="165" t="s">
        <v>729</v>
      </c>
      <c r="G643" s="165">
        <v>14175</v>
      </c>
      <c r="H643" s="165"/>
      <c r="I643" s="165"/>
      <c r="J643" s="165"/>
      <c r="K643" s="165"/>
      <c r="L643" s="165">
        <v>14175</v>
      </c>
      <c r="M643" s="165"/>
      <c r="N643" s="165">
        <f t="shared" si="12"/>
        <v>0</v>
      </c>
      <c r="O643" s="165" t="s">
        <v>3952</v>
      </c>
      <c r="P643" s="165" t="s">
        <v>3953</v>
      </c>
      <c r="Q643" s="3">
        <v>14175</v>
      </c>
      <c r="R643">
        <v>14175</v>
      </c>
    </row>
    <row r="644" spans="1:21" s="283" customFormat="1">
      <c r="A644" s="279" t="s">
        <v>730</v>
      </c>
      <c r="B644" s="279"/>
      <c r="C644" s="279" t="s">
        <v>2060</v>
      </c>
      <c r="D644" s="279">
        <v>2</v>
      </c>
      <c r="E644" s="279" t="s">
        <v>1283</v>
      </c>
      <c r="F644" s="279" t="s">
        <v>730</v>
      </c>
      <c r="G644" s="280"/>
      <c r="H644" s="280"/>
      <c r="I644" s="280"/>
      <c r="J644" s="280"/>
      <c r="K644" s="280"/>
      <c r="L644" s="280"/>
      <c r="M644" s="280"/>
      <c r="N644" s="280">
        <f t="shared" si="12"/>
        <v>0</v>
      </c>
      <c r="O644" s="279" t="s">
        <v>730</v>
      </c>
      <c r="P644" s="279" t="s">
        <v>730</v>
      </c>
      <c r="Q644" s="279">
        <v>14175</v>
      </c>
      <c r="R644" s="279">
        <v>14175</v>
      </c>
      <c r="S644" s="279"/>
      <c r="T644" s="280">
        <v>0</v>
      </c>
      <c r="U644" s="282" t="s">
        <v>245</v>
      </c>
    </row>
    <row r="645" spans="1:21">
      <c r="A645" s="165" t="s">
        <v>731</v>
      </c>
      <c r="B645" s="165">
        <v>750</v>
      </c>
      <c r="C645" s="165" t="s">
        <v>701</v>
      </c>
      <c r="D645" s="165">
        <v>1</v>
      </c>
      <c r="E645" s="165" t="s">
        <v>732</v>
      </c>
      <c r="F645" s="165" t="s">
        <v>1061</v>
      </c>
      <c r="G645" s="165">
        <v>84000</v>
      </c>
      <c r="H645" s="165"/>
      <c r="I645" s="165"/>
      <c r="J645" s="165">
        <v>84000</v>
      </c>
      <c r="K645" s="165"/>
      <c r="L645" s="165"/>
      <c r="M645" s="165"/>
      <c r="N645" s="165">
        <f t="shared" si="12"/>
        <v>0</v>
      </c>
      <c r="O645" s="165" t="s">
        <v>619</v>
      </c>
      <c r="P645" s="165" t="s">
        <v>620</v>
      </c>
      <c r="Q645" s="3">
        <v>84000</v>
      </c>
      <c r="R645" s="3">
        <v>84000</v>
      </c>
      <c r="S645" s="3"/>
      <c r="U645" t="s">
        <v>1038</v>
      </c>
    </row>
    <row r="646" spans="1:21">
      <c r="A646" s="165" t="s">
        <v>731</v>
      </c>
      <c r="B646" s="165">
        <v>751</v>
      </c>
      <c r="C646" s="165" t="s">
        <v>701</v>
      </c>
      <c r="D646" s="165">
        <v>1</v>
      </c>
      <c r="E646" s="165" t="s">
        <v>733</v>
      </c>
      <c r="F646" s="165" t="s">
        <v>734</v>
      </c>
      <c r="G646" s="165">
        <v>3150</v>
      </c>
      <c r="H646" s="165"/>
      <c r="I646" s="165"/>
      <c r="J646" s="165">
        <v>3150</v>
      </c>
      <c r="K646" s="165"/>
      <c r="L646" s="165"/>
      <c r="M646" s="165"/>
      <c r="N646" s="165">
        <f t="shared" si="12"/>
        <v>0</v>
      </c>
      <c r="O646" s="165" t="s">
        <v>628</v>
      </c>
      <c r="P646" s="165" t="s">
        <v>629</v>
      </c>
      <c r="Q646" s="3">
        <v>3150</v>
      </c>
      <c r="R646" s="3">
        <v>3150</v>
      </c>
      <c r="S646" s="3"/>
      <c r="U646" t="s">
        <v>735</v>
      </c>
    </row>
    <row r="647" spans="1:21">
      <c r="A647" s="165" t="s">
        <v>736</v>
      </c>
      <c r="B647" s="165">
        <v>752</v>
      </c>
      <c r="C647" s="165" t="s">
        <v>1270</v>
      </c>
      <c r="D647" s="165">
        <v>5</v>
      </c>
      <c r="E647" s="165" t="s">
        <v>737</v>
      </c>
      <c r="F647" s="165" t="s">
        <v>738</v>
      </c>
      <c r="G647" s="165">
        <v>20475</v>
      </c>
      <c r="H647" s="165"/>
      <c r="I647" s="165"/>
      <c r="J647" s="165">
        <v>20475</v>
      </c>
      <c r="K647" s="165"/>
      <c r="L647" s="165"/>
      <c r="M647" s="165"/>
      <c r="N647" s="165">
        <f t="shared" si="12"/>
        <v>0</v>
      </c>
      <c r="O647" s="165" t="s">
        <v>619</v>
      </c>
      <c r="P647" s="165" t="s">
        <v>620</v>
      </c>
      <c r="Q647" s="3">
        <v>20475</v>
      </c>
      <c r="R647" s="3">
        <v>20475</v>
      </c>
      <c r="S647" s="3"/>
    </row>
    <row r="648" spans="1:21">
      <c r="A648" s="165" t="s">
        <v>736</v>
      </c>
      <c r="B648" s="165">
        <v>753</v>
      </c>
      <c r="C648" s="165" t="s">
        <v>1270</v>
      </c>
      <c r="D648" s="165">
        <v>6</v>
      </c>
      <c r="E648" s="165" t="s">
        <v>739</v>
      </c>
      <c r="F648" s="165" t="s">
        <v>740</v>
      </c>
      <c r="G648" s="165">
        <v>20475</v>
      </c>
      <c r="H648" s="165"/>
      <c r="I648" s="165"/>
      <c r="J648" s="165"/>
      <c r="K648" s="165">
        <v>20475</v>
      </c>
      <c r="L648" s="165"/>
      <c r="M648" s="165"/>
      <c r="N648" s="165">
        <f t="shared" si="12"/>
        <v>0</v>
      </c>
      <c r="O648" s="165" t="s">
        <v>625</v>
      </c>
      <c r="P648" s="165" t="s">
        <v>741</v>
      </c>
      <c r="Q648" s="3">
        <v>20475</v>
      </c>
      <c r="R648" s="3">
        <v>20475</v>
      </c>
      <c r="S648" s="3"/>
    </row>
    <row r="649" spans="1:21">
      <c r="A649" s="165" t="s">
        <v>736</v>
      </c>
      <c r="B649" s="165">
        <v>754</v>
      </c>
      <c r="C649" s="165" t="s">
        <v>1270</v>
      </c>
      <c r="D649" s="165">
        <v>7</v>
      </c>
      <c r="E649" s="165" t="s">
        <v>742</v>
      </c>
      <c r="F649" s="165" t="s">
        <v>743</v>
      </c>
      <c r="G649" s="165">
        <v>20475</v>
      </c>
      <c r="H649" s="165"/>
      <c r="I649" s="165"/>
      <c r="J649" s="165"/>
      <c r="K649" s="165">
        <v>20475</v>
      </c>
      <c r="L649" s="165"/>
      <c r="M649" s="165"/>
      <c r="N649" s="165">
        <f t="shared" si="12"/>
        <v>0</v>
      </c>
      <c r="O649" s="165" t="s">
        <v>683</v>
      </c>
      <c r="P649" s="165" t="s">
        <v>3163</v>
      </c>
      <c r="Q649" s="3">
        <v>20475</v>
      </c>
      <c r="R649" s="3">
        <v>20475</v>
      </c>
      <c r="S649" s="3"/>
    </row>
    <row r="650" spans="1:21">
      <c r="A650" s="165" t="s">
        <v>736</v>
      </c>
      <c r="B650" s="165">
        <v>755</v>
      </c>
      <c r="C650" s="165" t="s">
        <v>1270</v>
      </c>
      <c r="D650" s="165">
        <v>8</v>
      </c>
      <c r="E650" s="165" t="s">
        <v>744</v>
      </c>
      <c r="F650" s="165" t="s">
        <v>745</v>
      </c>
      <c r="G650" s="165">
        <v>20475</v>
      </c>
      <c r="H650" s="165"/>
      <c r="I650" s="165"/>
      <c r="J650" s="165"/>
      <c r="K650" s="165">
        <v>20475</v>
      </c>
      <c r="L650" s="165"/>
      <c r="M650" s="165"/>
      <c r="N650" s="165">
        <f t="shared" si="12"/>
        <v>0</v>
      </c>
      <c r="O650" s="165" t="s">
        <v>3167</v>
      </c>
      <c r="P650" s="165" t="s">
        <v>3168</v>
      </c>
      <c r="Q650" s="3">
        <v>20475</v>
      </c>
      <c r="R650" s="3">
        <v>20475</v>
      </c>
      <c r="S650" s="3"/>
    </row>
    <row r="651" spans="1:21" s="163" customFormat="1">
      <c r="A651" s="281" t="s">
        <v>1061</v>
      </c>
      <c r="B651" s="281"/>
      <c r="C651" s="281" t="s">
        <v>1013</v>
      </c>
      <c r="D651" s="281">
        <v>1</v>
      </c>
      <c r="E651" s="281" t="s">
        <v>1283</v>
      </c>
      <c r="F651" s="281" t="s">
        <v>1061</v>
      </c>
      <c r="G651" s="284"/>
      <c r="H651" s="284"/>
      <c r="I651" s="284"/>
      <c r="J651" s="281"/>
      <c r="K651" s="281"/>
      <c r="L651" s="281"/>
      <c r="M651" s="281"/>
      <c r="N651" s="281">
        <f t="shared" si="12"/>
        <v>0</v>
      </c>
      <c r="O651" s="281" t="s">
        <v>1061</v>
      </c>
      <c r="P651" s="281" t="s">
        <v>1061</v>
      </c>
      <c r="Q651" s="281">
        <v>75600</v>
      </c>
      <c r="R651" s="281">
        <v>75600</v>
      </c>
      <c r="S651" s="281"/>
      <c r="T651" s="284"/>
      <c r="U651" s="163" t="s">
        <v>746</v>
      </c>
    </row>
    <row r="652" spans="1:21" s="163" customFormat="1">
      <c r="A652" s="281" t="s">
        <v>1061</v>
      </c>
      <c r="B652" s="281"/>
      <c r="C652" s="281" t="s">
        <v>1016</v>
      </c>
      <c r="D652" s="281">
        <v>1</v>
      </c>
      <c r="E652" s="281" t="s">
        <v>1283</v>
      </c>
      <c r="F652" s="281" t="s">
        <v>1061</v>
      </c>
      <c r="G652" s="284"/>
      <c r="H652" s="284"/>
      <c r="I652" s="284"/>
      <c r="J652" s="281"/>
      <c r="K652" s="281"/>
      <c r="L652" s="281"/>
      <c r="M652" s="281"/>
      <c r="N652" s="281">
        <f t="shared" si="12"/>
        <v>0</v>
      </c>
      <c r="O652" s="281" t="s">
        <v>1061</v>
      </c>
      <c r="P652" s="281" t="s">
        <v>1061</v>
      </c>
      <c r="Q652" s="281">
        <v>3150</v>
      </c>
      <c r="R652" s="281">
        <v>3150</v>
      </c>
      <c r="S652" s="281"/>
      <c r="T652" s="284"/>
      <c r="U652" s="163" t="s">
        <v>735</v>
      </c>
    </row>
    <row r="653" spans="1:21" s="163" customFormat="1">
      <c r="A653" s="281" t="s">
        <v>1061</v>
      </c>
      <c r="B653" s="281"/>
      <c r="C653" s="281" t="s">
        <v>1016</v>
      </c>
      <c r="D653" s="281">
        <v>1</v>
      </c>
      <c r="E653" s="281" t="s">
        <v>1283</v>
      </c>
      <c r="F653" s="281" t="s">
        <v>1061</v>
      </c>
      <c r="G653" s="284"/>
      <c r="H653" s="284"/>
      <c r="I653" s="284"/>
      <c r="J653" s="281"/>
      <c r="K653" s="281"/>
      <c r="L653" s="281"/>
      <c r="M653" s="281"/>
      <c r="N653" s="281">
        <f t="shared" si="12"/>
        <v>0</v>
      </c>
      <c r="O653" s="281" t="s">
        <v>1061</v>
      </c>
      <c r="P653" s="281" t="s">
        <v>1061</v>
      </c>
      <c r="Q653" s="281">
        <v>75600</v>
      </c>
      <c r="R653" s="281">
        <v>75600</v>
      </c>
      <c r="S653" s="281"/>
      <c r="T653" s="284"/>
      <c r="U653" s="163" t="s">
        <v>746</v>
      </c>
    </row>
    <row r="654" spans="1:21" s="163" customFormat="1">
      <c r="A654" s="281" t="s">
        <v>1061</v>
      </c>
      <c r="B654" s="281"/>
      <c r="C654" s="281" t="s">
        <v>747</v>
      </c>
      <c r="D654" s="281">
        <v>1</v>
      </c>
      <c r="E654" s="281" t="s">
        <v>1283</v>
      </c>
      <c r="F654" s="281" t="s">
        <v>1061</v>
      </c>
      <c r="G654" s="284"/>
      <c r="H654" s="284"/>
      <c r="I654" s="284"/>
      <c r="J654" s="281"/>
      <c r="K654" s="281"/>
      <c r="L654" s="281"/>
      <c r="M654" s="281"/>
      <c r="N654" s="281">
        <f t="shared" si="12"/>
        <v>0</v>
      </c>
      <c r="O654" s="281" t="s">
        <v>1061</v>
      </c>
      <c r="P654" s="281" t="s">
        <v>1061</v>
      </c>
      <c r="Q654" s="281">
        <v>42000</v>
      </c>
      <c r="R654" s="281">
        <v>42000</v>
      </c>
      <c r="S654" s="281"/>
      <c r="T654" s="284"/>
      <c r="U654" s="163" t="s">
        <v>748</v>
      </c>
    </row>
    <row r="655" spans="1:21" s="163" customFormat="1">
      <c r="A655" s="281" t="s">
        <v>749</v>
      </c>
      <c r="B655" s="281"/>
      <c r="C655" s="281" t="s">
        <v>2421</v>
      </c>
      <c r="D655" s="281">
        <v>2</v>
      </c>
      <c r="E655" s="281" t="s">
        <v>1283</v>
      </c>
      <c r="F655" s="281" t="s">
        <v>749</v>
      </c>
      <c r="G655" s="284"/>
      <c r="H655" s="284"/>
      <c r="I655" s="284"/>
      <c r="J655" s="281"/>
      <c r="K655" s="281"/>
      <c r="L655" s="281"/>
      <c r="M655" s="281"/>
      <c r="N655" s="281">
        <f t="shared" si="12"/>
        <v>0</v>
      </c>
      <c r="O655" s="281" t="s">
        <v>749</v>
      </c>
      <c r="P655" s="281" t="s">
        <v>749</v>
      </c>
      <c r="Q655" s="281">
        <v>13230</v>
      </c>
      <c r="R655" s="281">
        <v>13220</v>
      </c>
      <c r="S655" s="281"/>
      <c r="T655" s="284">
        <v>10</v>
      </c>
    </row>
    <row r="656" spans="1:21" s="163" customFormat="1">
      <c r="A656" s="281" t="s">
        <v>734</v>
      </c>
      <c r="B656" s="281"/>
      <c r="C656" s="281" t="s">
        <v>1013</v>
      </c>
      <c r="D656" s="281">
        <v>1</v>
      </c>
      <c r="E656" s="281" t="s">
        <v>1283</v>
      </c>
      <c r="F656" s="281" t="s">
        <v>1061</v>
      </c>
      <c r="G656" s="284"/>
      <c r="H656" s="284"/>
      <c r="I656" s="284"/>
      <c r="J656" s="281"/>
      <c r="K656" s="281"/>
      <c r="L656" s="281"/>
      <c r="M656" s="281"/>
      <c r="N656" s="281">
        <f t="shared" si="12"/>
        <v>0</v>
      </c>
      <c r="O656" s="281" t="s">
        <v>734</v>
      </c>
      <c r="P656" s="281" t="s">
        <v>734</v>
      </c>
      <c r="Q656" s="281">
        <v>3150</v>
      </c>
      <c r="R656" s="281">
        <v>3150</v>
      </c>
      <c r="S656" s="281"/>
      <c r="T656" s="284"/>
      <c r="U656" s="163" t="s">
        <v>735</v>
      </c>
    </row>
    <row r="657" spans="1:21" s="163" customFormat="1">
      <c r="A657" s="281" t="s">
        <v>2236</v>
      </c>
      <c r="B657" s="281"/>
      <c r="C657" s="281" t="s">
        <v>3825</v>
      </c>
      <c r="D657" s="281">
        <v>4</v>
      </c>
      <c r="E657" s="281" t="s">
        <v>1283</v>
      </c>
      <c r="F657" s="281" t="s">
        <v>2236</v>
      </c>
      <c r="G657" s="284"/>
      <c r="H657" s="284"/>
      <c r="I657" s="284"/>
      <c r="J657" s="281"/>
      <c r="K657" s="281"/>
      <c r="L657" s="281"/>
      <c r="M657" s="281"/>
      <c r="N657" s="281">
        <f t="shared" si="12"/>
        <v>0</v>
      </c>
      <c r="O657" s="281" t="s">
        <v>2236</v>
      </c>
      <c r="P657" s="281" t="s">
        <v>2236</v>
      </c>
      <c r="Q657" s="281">
        <v>14175</v>
      </c>
      <c r="R657" s="281">
        <v>14145</v>
      </c>
      <c r="S657" s="281"/>
      <c r="T657" s="284">
        <v>30</v>
      </c>
    </row>
    <row r="658" spans="1:21" s="5" customFormat="1">
      <c r="A658" s="94" t="s">
        <v>628</v>
      </c>
      <c r="B658" s="94">
        <v>756</v>
      </c>
      <c r="C658" s="94" t="s">
        <v>1232</v>
      </c>
      <c r="D658" s="94">
        <v>11</v>
      </c>
      <c r="E658" s="94" t="s">
        <v>750</v>
      </c>
      <c r="F658" s="94" t="s">
        <v>1026</v>
      </c>
      <c r="G658" s="94">
        <v>16380</v>
      </c>
      <c r="H658" s="94"/>
      <c r="I658" s="94"/>
      <c r="J658" s="94">
        <v>16380</v>
      </c>
      <c r="K658" s="94"/>
      <c r="L658" s="94"/>
      <c r="M658" s="94"/>
      <c r="N658" s="94">
        <f t="shared" si="12"/>
        <v>0</v>
      </c>
      <c r="O658" s="94" t="s">
        <v>621</v>
      </c>
      <c r="P658" s="94" t="s">
        <v>622</v>
      </c>
      <c r="Q658" s="93">
        <v>16380</v>
      </c>
      <c r="R658" s="4">
        <v>16380</v>
      </c>
      <c r="S658" s="4"/>
      <c r="T658" s="93"/>
    </row>
    <row r="659" spans="1:21" s="5" customFormat="1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3"/>
      <c r="R659" s="4"/>
      <c r="S659" s="4"/>
      <c r="T659" s="93"/>
    </row>
    <row r="660" spans="1:21" s="176" customFormat="1" ht="20.25" customHeight="1">
      <c r="A660" s="203" t="s">
        <v>2614</v>
      </c>
      <c r="B660" s="200"/>
      <c r="C660" s="201"/>
      <c r="D660" s="202"/>
      <c r="E660" s="201"/>
      <c r="F660" s="185" t="s">
        <v>2378</v>
      </c>
      <c r="G660" s="185">
        <f>SUM(G662:G853)</f>
        <v>2482940</v>
      </c>
      <c r="H660" s="185">
        <f t="shared" ref="H660:T660" si="13">SUM(H662:H853)</f>
        <v>0</v>
      </c>
      <c r="I660" s="185">
        <f t="shared" si="13"/>
        <v>0</v>
      </c>
      <c r="J660" s="185">
        <f t="shared" si="13"/>
        <v>878195</v>
      </c>
      <c r="K660" s="185">
        <f>SUM(K662:K853)</f>
        <v>1128150</v>
      </c>
      <c r="L660" s="185">
        <f>SUM(L662:L853)</f>
        <v>476595</v>
      </c>
      <c r="M660" s="185">
        <f>SUM(M662:M853)</f>
        <v>0</v>
      </c>
      <c r="N660" s="185">
        <f t="shared" si="13"/>
        <v>0</v>
      </c>
      <c r="O660" s="185">
        <v>2736360</v>
      </c>
      <c r="P660" s="185">
        <f>N660+N511-O660</f>
        <v>-2736360</v>
      </c>
      <c r="Q660" s="185">
        <f t="shared" si="13"/>
        <v>3392320</v>
      </c>
      <c r="R660" s="185">
        <f>SUM(R662:R853)</f>
        <v>3392110</v>
      </c>
      <c r="S660" s="185">
        <f>SUM(S662:S853)</f>
        <v>937520</v>
      </c>
      <c r="T660" s="185">
        <f t="shared" si="13"/>
        <v>210</v>
      </c>
    </row>
    <row r="661" spans="1:21" s="270" customFormat="1">
      <c r="A661" s="269" t="s">
        <v>1281</v>
      </c>
      <c r="B661" s="269" t="s">
        <v>2435</v>
      </c>
      <c r="C661" s="269" t="s">
        <v>1385</v>
      </c>
      <c r="D661" s="269" t="s">
        <v>1275</v>
      </c>
      <c r="E661" s="269" t="s">
        <v>265</v>
      </c>
      <c r="F661" s="269" t="s">
        <v>1280</v>
      </c>
      <c r="G661" s="269" t="s">
        <v>3735</v>
      </c>
      <c r="H661" s="269" t="s">
        <v>3736</v>
      </c>
      <c r="I661" s="269" t="s">
        <v>3726</v>
      </c>
      <c r="J661" s="269" t="s">
        <v>878</v>
      </c>
      <c r="K661" s="269" t="s">
        <v>3991</v>
      </c>
      <c r="L661" s="269" t="s">
        <v>4470</v>
      </c>
      <c r="M661" s="269" t="s">
        <v>3728</v>
      </c>
      <c r="N661" s="269" t="s">
        <v>2438</v>
      </c>
      <c r="O661" s="269" t="s">
        <v>1282</v>
      </c>
      <c r="P661" s="269" t="s">
        <v>1386</v>
      </c>
      <c r="Q661" s="269" t="s">
        <v>576</v>
      </c>
      <c r="R661" s="269" t="s">
        <v>3593</v>
      </c>
      <c r="S661" s="269" t="s">
        <v>1283</v>
      </c>
      <c r="T661" s="269" t="s">
        <v>577</v>
      </c>
    </row>
    <row r="662" spans="1:21">
      <c r="A662" s="165" t="s">
        <v>751</v>
      </c>
      <c r="B662" s="94">
        <v>757</v>
      </c>
      <c r="C662" s="165" t="s">
        <v>3954</v>
      </c>
      <c r="D662" s="165">
        <v>1</v>
      </c>
      <c r="E662" s="165" t="s">
        <v>752</v>
      </c>
      <c r="F662" s="165" t="s">
        <v>740</v>
      </c>
      <c r="G662" s="165">
        <v>17325</v>
      </c>
      <c r="H662" s="165"/>
      <c r="I662" s="165"/>
      <c r="J662" s="165">
        <v>17325</v>
      </c>
      <c r="K662" s="165"/>
      <c r="L662" s="165"/>
      <c r="M662" s="165"/>
      <c r="N662" s="165">
        <f>G662+H662+I662-J662-K662</f>
        <v>0</v>
      </c>
      <c r="O662" s="165" t="s">
        <v>625</v>
      </c>
      <c r="P662" s="165" t="s">
        <v>625</v>
      </c>
      <c r="Q662" s="3">
        <v>17325</v>
      </c>
      <c r="R662" s="3">
        <v>17325</v>
      </c>
      <c r="S662" s="3"/>
    </row>
    <row r="663" spans="1:21">
      <c r="A663" s="165" t="s">
        <v>751</v>
      </c>
      <c r="B663" s="94">
        <v>758</v>
      </c>
      <c r="C663" s="165" t="s">
        <v>3954</v>
      </c>
      <c r="D663" s="165">
        <v>2</v>
      </c>
      <c r="E663" s="165" t="s">
        <v>753</v>
      </c>
      <c r="F663" s="165" t="s">
        <v>743</v>
      </c>
      <c r="G663" s="165">
        <v>17325</v>
      </c>
      <c r="H663" s="165"/>
      <c r="I663" s="165"/>
      <c r="J663" s="165">
        <v>17325</v>
      </c>
      <c r="K663" s="165"/>
      <c r="L663" s="165"/>
      <c r="M663" s="165"/>
      <c r="N663" s="165">
        <f t="shared" ref="N663:N725" si="14">G663+H663+I663-J663-K663</f>
        <v>0</v>
      </c>
      <c r="O663" s="165" t="s">
        <v>683</v>
      </c>
      <c r="P663" s="165" t="s">
        <v>3163</v>
      </c>
      <c r="Q663" s="3">
        <v>17325</v>
      </c>
      <c r="R663">
        <v>17325</v>
      </c>
    </row>
    <row r="664" spans="1:21">
      <c r="A664" s="165" t="s">
        <v>751</v>
      </c>
      <c r="B664" s="94">
        <v>759</v>
      </c>
      <c r="C664" s="165" t="s">
        <v>3954</v>
      </c>
      <c r="D664" s="165">
        <v>3</v>
      </c>
      <c r="E664" s="165" t="s">
        <v>754</v>
      </c>
      <c r="F664" s="165" t="s">
        <v>745</v>
      </c>
      <c r="G664" s="165">
        <v>17325</v>
      </c>
      <c r="H664" s="165"/>
      <c r="I664" s="165"/>
      <c r="J664" s="165">
        <v>17325</v>
      </c>
      <c r="K664" s="165"/>
      <c r="L664" s="165"/>
      <c r="M664" s="165"/>
      <c r="N664" s="165">
        <f t="shared" si="14"/>
        <v>0</v>
      </c>
      <c r="O664" s="165" t="s">
        <v>3167</v>
      </c>
      <c r="P664" s="165" t="s">
        <v>3168</v>
      </c>
      <c r="Q664" s="3">
        <v>17325</v>
      </c>
      <c r="R664">
        <v>17325</v>
      </c>
    </row>
    <row r="665" spans="1:21">
      <c r="A665" s="165" t="s">
        <v>751</v>
      </c>
      <c r="B665" s="94">
        <v>760</v>
      </c>
      <c r="C665" s="165" t="s">
        <v>3954</v>
      </c>
      <c r="D665" s="165">
        <v>4</v>
      </c>
      <c r="E665" s="165" t="s">
        <v>755</v>
      </c>
      <c r="F665" s="165" t="s">
        <v>756</v>
      </c>
      <c r="G665" s="165">
        <v>17325</v>
      </c>
      <c r="H665" s="165"/>
      <c r="I665" s="165"/>
      <c r="J665" s="165">
        <v>17325</v>
      </c>
      <c r="K665" s="165"/>
      <c r="L665" s="165"/>
      <c r="M665" s="165"/>
      <c r="N665" s="165">
        <f t="shared" si="14"/>
        <v>0</v>
      </c>
      <c r="O665" s="165" t="s">
        <v>3169</v>
      </c>
      <c r="P665" s="165" t="s">
        <v>3170</v>
      </c>
      <c r="Q665" s="3">
        <v>17325</v>
      </c>
      <c r="R665">
        <v>17325</v>
      </c>
    </row>
    <row r="666" spans="1:21">
      <c r="A666" s="165" t="s">
        <v>751</v>
      </c>
      <c r="B666" s="94">
        <v>761</v>
      </c>
      <c r="C666" s="165" t="s">
        <v>3954</v>
      </c>
      <c r="D666" s="165">
        <v>5</v>
      </c>
      <c r="E666" s="165" t="s">
        <v>757</v>
      </c>
      <c r="F666" s="165" t="s">
        <v>758</v>
      </c>
      <c r="G666" s="165">
        <v>17325</v>
      </c>
      <c r="H666" s="165"/>
      <c r="I666" s="165"/>
      <c r="J666" s="165"/>
      <c r="K666" s="165">
        <v>17325</v>
      </c>
      <c r="L666" s="165"/>
      <c r="M666" s="165"/>
      <c r="N666" s="165">
        <f t="shared" si="14"/>
        <v>0</v>
      </c>
      <c r="O666" s="165" t="s">
        <v>3934</v>
      </c>
      <c r="P666" s="165" t="s">
        <v>3935</v>
      </c>
      <c r="Q666" s="3">
        <v>17325</v>
      </c>
      <c r="R666">
        <v>17325</v>
      </c>
    </row>
    <row r="667" spans="1:21">
      <c r="A667" s="165" t="s">
        <v>751</v>
      </c>
      <c r="B667" s="94">
        <v>762</v>
      </c>
      <c r="C667" s="165" t="s">
        <v>3954</v>
      </c>
      <c r="D667" s="165">
        <v>6</v>
      </c>
      <c r="E667" s="165" t="s">
        <v>759</v>
      </c>
      <c r="F667" s="165" t="s">
        <v>760</v>
      </c>
      <c r="G667" s="165">
        <v>17325</v>
      </c>
      <c r="H667" s="165"/>
      <c r="I667" s="165"/>
      <c r="J667" s="165"/>
      <c r="K667" s="165">
        <v>17325</v>
      </c>
      <c r="L667" s="165"/>
      <c r="M667" s="165"/>
      <c r="N667" s="165">
        <f t="shared" si="14"/>
        <v>0</v>
      </c>
      <c r="O667" s="165" t="s">
        <v>3946</v>
      </c>
      <c r="P667" s="165" t="s">
        <v>3947</v>
      </c>
      <c r="Q667" s="3">
        <v>17325</v>
      </c>
      <c r="R667">
        <v>17325</v>
      </c>
    </row>
    <row r="668" spans="1:21">
      <c r="A668" s="165" t="s">
        <v>751</v>
      </c>
      <c r="B668" s="94">
        <v>763</v>
      </c>
      <c r="C668" s="165" t="s">
        <v>3954</v>
      </c>
      <c r="D668" s="165">
        <v>7</v>
      </c>
      <c r="E668" s="165" t="s">
        <v>761</v>
      </c>
      <c r="F668" s="165" t="s">
        <v>762</v>
      </c>
      <c r="G668" s="165">
        <v>17325</v>
      </c>
      <c r="H668" s="165"/>
      <c r="I668" s="165"/>
      <c r="J668" s="165"/>
      <c r="K668" s="165">
        <v>17325</v>
      </c>
      <c r="L668" s="165"/>
      <c r="M668" s="165"/>
      <c r="N668" s="165">
        <f t="shared" si="14"/>
        <v>0</v>
      </c>
      <c r="O668" s="165" t="s">
        <v>3955</v>
      </c>
      <c r="P668" s="165" t="s">
        <v>3956</v>
      </c>
      <c r="Q668" s="3">
        <v>17325</v>
      </c>
      <c r="R668">
        <v>17325</v>
      </c>
    </row>
    <row r="669" spans="1:21">
      <c r="A669" s="165" t="s">
        <v>751</v>
      </c>
      <c r="B669" s="94">
        <v>764</v>
      </c>
      <c r="C669" s="165" t="s">
        <v>3954</v>
      </c>
      <c r="D669" s="165">
        <v>8</v>
      </c>
      <c r="E669" s="165" t="s">
        <v>763</v>
      </c>
      <c r="F669" s="165" t="s">
        <v>764</v>
      </c>
      <c r="G669" s="165">
        <v>17325</v>
      </c>
      <c r="H669" s="165"/>
      <c r="I669" s="165"/>
      <c r="J669" s="165"/>
      <c r="K669" s="165">
        <v>17325</v>
      </c>
      <c r="L669" s="165"/>
      <c r="M669" s="165"/>
      <c r="N669" s="165">
        <f t="shared" si="14"/>
        <v>0</v>
      </c>
      <c r="O669" s="165" t="s">
        <v>3957</v>
      </c>
      <c r="P669" s="165" t="s">
        <v>3958</v>
      </c>
      <c r="Q669" s="3">
        <v>17325</v>
      </c>
      <c r="R669">
        <v>17325</v>
      </c>
    </row>
    <row r="670" spans="1:21" s="163" customFormat="1">
      <c r="A670" s="281" t="s">
        <v>539</v>
      </c>
      <c r="B670" s="281"/>
      <c r="C670" s="281" t="s">
        <v>1532</v>
      </c>
      <c r="D670" s="281">
        <v>4</v>
      </c>
      <c r="E670" s="281" t="s">
        <v>1283</v>
      </c>
      <c r="F670" s="281" t="s">
        <v>539</v>
      </c>
      <c r="G670" s="284"/>
      <c r="H670" s="284"/>
      <c r="I670" s="284"/>
      <c r="J670" s="281"/>
      <c r="K670" s="281"/>
      <c r="L670" s="281"/>
      <c r="M670" s="281"/>
      <c r="N670" s="281">
        <f t="shared" si="14"/>
        <v>0</v>
      </c>
      <c r="O670" s="281" t="s">
        <v>539</v>
      </c>
      <c r="P670" s="281" t="s">
        <v>539</v>
      </c>
      <c r="Q670" s="281">
        <v>13500</v>
      </c>
      <c r="R670" s="281">
        <v>13485</v>
      </c>
      <c r="S670" s="281">
        <v>13485</v>
      </c>
      <c r="T670" s="284">
        <v>15</v>
      </c>
    </row>
    <row r="671" spans="1:21" s="163" customFormat="1">
      <c r="A671" s="281" t="s">
        <v>765</v>
      </c>
      <c r="B671" s="281"/>
      <c r="C671" s="281" t="s">
        <v>747</v>
      </c>
      <c r="D671" s="281">
        <v>2</v>
      </c>
      <c r="E671" s="281" t="s">
        <v>1283</v>
      </c>
      <c r="F671" s="281" t="s">
        <v>765</v>
      </c>
      <c r="G671" s="284"/>
      <c r="H671" s="284"/>
      <c r="I671" s="284"/>
      <c r="J671" s="281"/>
      <c r="K671" s="281"/>
      <c r="L671" s="281"/>
      <c r="M671" s="281"/>
      <c r="N671" s="281">
        <f t="shared" si="14"/>
        <v>0</v>
      </c>
      <c r="O671" s="281" t="s">
        <v>765</v>
      </c>
      <c r="P671" s="281" t="s">
        <v>765</v>
      </c>
      <c r="Q671" s="281">
        <v>42000</v>
      </c>
      <c r="R671" s="281">
        <v>42000</v>
      </c>
      <c r="S671" s="281">
        <v>42000</v>
      </c>
      <c r="T671" s="284"/>
      <c r="U671" s="163" t="s">
        <v>748</v>
      </c>
    </row>
    <row r="672" spans="1:21" s="283" customFormat="1">
      <c r="A672" s="279" t="s">
        <v>3042</v>
      </c>
      <c r="B672" s="279"/>
      <c r="C672" s="279" t="s">
        <v>2060</v>
      </c>
      <c r="D672" s="279">
        <v>3</v>
      </c>
      <c r="E672" s="279" t="s">
        <v>1283</v>
      </c>
      <c r="F672" s="279" t="s">
        <v>765</v>
      </c>
      <c r="G672" s="280"/>
      <c r="H672" s="280"/>
      <c r="I672" s="280"/>
      <c r="J672" s="280"/>
      <c r="K672" s="280"/>
      <c r="L672" s="280"/>
      <c r="M672" s="280"/>
      <c r="N672" s="280">
        <f t="shared" si="14"/>
        <v>0</v>
      </c>
      <c r="O672" s="279" t="s">
        <v>3042</v>
      </c>
      <c r="P672" s="279" t="s">
        <v>3042</v>
      </c>
      <c r="Q672" s="279">
        <v>14175</v>
      </c>
      <c r="R672" s="279">
        <v>14175</v>
      </c>
      <c r="S672" s="279">
        <v>14175</v>
      </c>
      <c r="T672" s="280">
        <v>0</v>
      </c>
      <c r="U672" s="282" t="s">
        <v>245</v>
      </c>
    </row>
    <row r="673" spans="1:21" s="8" customFormat="1">
      <c r="A673" s="184" t="s">
        <v>765</v>
      </c>
      <c r="B673" s="304">
        <v>765</v>
      </c>
      <c r="C673" s="184" t="s">
        <v>2346</v>
      </c>
      <c r="D673" s="184"/>
      <c r="E673" s="184" t="s">
        <v>766</v>
      </c>
      <c r="F673" s="184" t="s">
        <v>767</v>
      </c>
      <c r="G673" s="184">
        <v>20000</v>
      </c>
      <c r="H673" s="184"/>
      <c r="I673" s="184"/>
      <c r="J673" s="184">
        <v>20000</v>
      </c>
      <c r="K673" s="184"/>
      <c r="L673" s="184"/>
      <c r="M673" s="184"/>
      <c r="N673" s="184">
        <f t="shared" si="14"/>
        <v>0</v>
      </c>
      <c r="O673" s="184" t="s">
        <v>765</v>
      </c>
      <c r="P673" s="184" t="s">
        <v>768</v>
      </c>
      <c r="Q673" s="184">
        <v>20000</v>
      </c>
      <c r="R673" s="184">
        <v>20000</v>
      </c>
      <c r="S673" s="184"/>
      <c r="T673" s="184"/>
      <c r="U673" s="8" t="s">
        <v>769</v>
      </c>
    </row>
    <row r="674" spans="1:21">
      <c r="A674" s="165" t="s">
        <v>767</v>
      </c>
      <c r="B674" s="94">
        <v>766</v>
      </c>
      <c r="C674" s="165" t="s">
        <v>606</v>
      </c>
      <c r="D674" s="165">
        <v>1</v>
      </c>
      <c r="E674" s="165" t="s">
        <v>770</v>
      </c>
      <c r="F674" s="165" t="s">
        <v>771</v>
      </c>
      <c r="G674" s="165">
        <v>13500</v>
      </c>
      <c r="H674" s="165"/>
      <c r="I674" s="165"/>
      <c r="J674" s="165">
        <v>13500</v>
      </c>
      <c r="K674" s="165"/>
      <c r="L674" s="165"/>
      <c r="M674" s="165"/>
      <c r="N674" s="165">
        <f t="shared" si="14"/>
        <v>0</v>
      </c>
      <c r="O674" s="165" t="s">
        <v>3159</v>
      </c>
      <c r="P674" s="165" t="s">
        <v>3160</v>
      </c>
      <c r="Q674" s="3">
        <v>13500</v>
      </c>
      <c r="R674">
        <v>13500</v>
      </c>
    </row>
    <row r="675" spans="1:21">
      <c r="A675" s="165" t="s">
        <v>767</v>
      </c>
      <c r="B675" s="94">
        <v>767</v>
      </c>
      <c r="C675" s="165" t="s">
        <v>606</v>
      </c>
      <c r="D675" s="165">
        <v>2</v>
      </c>
      <c r="E675" s="165" t="s">
        <v>772</v>
      </c>
      <c r="F675" s="165" t="s">
        <v>773</v>
      </c>
      <c r="G675" s="165">
        <v>13500</v>
      </c>
      <c r="H675" s="165"/>
      <c r="I675" s="165"/>
      <c r="J675" s="165">
        <v>13500</v>
      </c>
      <c r="K675" s="165"/>
      <c r="L675" s="165"/>
      <c r="M675" s="165"/>
      <c r="N675" s="165">
        <f t="shared" si="14"/>
        <v>0</v>
      </c>
      <c r="O675" s="165" t="s">
        <v>3164</v>
      </c>
      <c r="P675" s="165" t="s">
        <v>808</v>
      </c>
      <c r="Q675" s="3">
        <v>13500</v>
      </c>
      <c r="R675">
        <v>13500</v>
      </c>
    </row>
    <row r="676" spans="1:21">
      <c r="A676" s="165" t="s">
        <v>767</v>
      </c>
      <c r="B676" s="94">
        <v>768</v>
      </c>
      <c r="C676" s="165" t="s">
        <v>606</v>
      </c>
      <c r="D676" s="165">
        <v>3</v>
      </c>
      <c r="E676" s="165" t="s">
        <v>774</v>
      </c>
      <c r="F676" s="165" t="s">
        <v>775</v>
      </c>
      <c r="G676" s="165">
        <v>13500</v>
      </c>
      <c r="H676" s="165"/>
      <c r="I676" s="165"/>
      <c r="J676" s="165">
        <v>13500</v>
      </c>
      <c r="K676" s="165"/>
      <c r="L676" s="165"/>
      <c r="M676" s="165"/>
      <c r="N676" s="165">
        <f t="shared" si="14"/>
        <v>0</v>
      </c>
      <c r="O676" s="165" t="s">
        <v>3165</v>
      </c>
      <c r="P676" s="165" t="s">
        <v>3166</v>
      </c>
      <c r="Q676" s="3">
        <v>13500</v>
      </c>
      <c r="R676">
        <v>13500</v>
      </c>
    </row>
    <row r="677" spans="1:21">
      <c r="A677" s="165" t="s">
        <v>767</v>
      </c>
      <c r="B677" s="94">
        <v>769</v>
      </c>
      <c r="C677" s="165" t="s">
        <v>606</v>
      </c>
      <c r="D677" s="165">
        <v>4</v>
      </c>
      <c r="E677" s="165" t="s">
        <v>776</v>
      </c>
      <c r="F677" s="165" t="s">
        <v>777</v>
      </c>
      <c r="G677" s="165">
        <v>13500</v>
      </c>
      <c r="H677" s="165"/>
      <c r="I677" s="165"/>
      <c r="J677" s="165">
        <v>13500</v>
      </c>
      <c r="K677" s="165"/>
      <c r="L677" s="165"/>
      <c r="M677" s="165"/>
      <c r="N677" s="165">
        <f t="shared" si="14"/>
        <v>0</v>
      </c>
      <c r="O677" s="165" t="s">
        <v>3171</v>
      </c>
      <c r="P677" s="165" t="s">
        <v>3172</v>
      </c>
      <c r="Q677" s="3">
        <v>13500</v>
      </c>
      <c r="R677">
        <v>13500</v>
      </c>
    </row>
    <row r="678" spans="1:21">
      <c r="A678" s="165" t="s">
        <v>767</v>
      </c>
      <c r="B678" s="94">
        <v>770</v>
      </c>
      <c r="C678" s="165" t="s">
        <v>606</v>
      </c>
      <c r="D678" s="165">
        <v>5</v>
      </c>
      <c r="E678" s="165" t="s">
        <v>778</v>
      </c>
      <c r="F678" s="165" t="s">
        <v>779</v>
      </c>
      <c r="G678" s="165">
        <v>13500</v>
      </c>
      <c r="H678" s="165"/>
      <c r="I678" s="165"/>
      <c r="J678" s="165"/>
      <c r="K678" s="165">
        <v>13500</v>
      </c>
      <c r="L678" s="165"/>
      <c r="M678" s="165"/>
      <c r="N678" s="165">
        <f t="shared" si="14"/>
        <v>0</v>
      </c>
      <c r="O678" s="165" t="s">
        <v>3936</v>
      </c>
      <c r="P678" s="165" t="s">
        <v>3937</v>
      </c>
      <c r="Q678" s="3">
        <v>13500</v>
      </c>
      <c r="R678">
        <v>13500</v>
      </c>
    </row>
    <row r="679" spans="1:21">
      <c r="A679" s="165" t="s">
        <v>767</v>
      </c>
      <c r="B679" s="94">
        <v>771</v>
      </c>
      <c r="C679" s="165" t="s">
        <v>606</v>
      </c>
      <c r="D679" s="165">
        <v>6</v>
      </c>
      <c r="E679" s="165" t="s">
        <v>780</v>
      </c>
      <c r="F679" s="165" t="s">
        <v>781</v>
      </c>
      <c r="G679" s="165">
        <v>13500</v>
      </c>
      <c r="H679" s="165"/>
      <c r="I679" s="165"/>
      <c r="J679" s="165"/>
      <c r="K679" s="165">
        <v>13500</v>
      </c>
      <c r="L679" s="165"/>
      <c r="M679" s="165"/>
      <c r="N679" s="165">
        <f t="shared" si="14"/>
        <v>0</v>
      </c>
      <c r="O679" s="165" t="s">
        <v>3959</v>
      </c>
      <c r="P679" s="165" t="s">
        <v>3960</v>
      </c>
      <c r="Q679" s="3">
        <v>13500</v>
      </c>
      <c r="R679">
        <v>13500</v>
      </c>
    </row>
    <row r="680" spans="1:21">
      <c r="A680" s="165" t="s">
        <v>767</v>
      </c>
      <c r="B680" s="94">
        <v>772</v>
      </c>
      <c r="C680" s="165" t="s">
        <v>606</v>
      </c>
      <c r="D680" s="165">
        <v>7</v>
      </c>
      <c r="E680" s="165" t="s">
        <v>782</v>
      </c>
      <c r="F680" s="165" t="s">
        <v>783</v>
      </c>
      <c r="G680" s="165">
        <v>13500</v>
      </c>
      <c r="H680" s="165"/>
      <c r="I680" s="165"/>
      <c r="J680" s="165"/>
      <c r="K680" s="165">
        <v>13500</v>
      </c>
      <c r="L680" s="165"/>
      <c r="M680" s="165"/>
      <c r="N680" s="165">
        <f t="shared" si="14"/>
        <v>0</v>
      </c>
      <c r="O680" s="165" t="s">
        <v>3961</v>
      </c>
      <c r="P680" s="165" t="s">
        <v>3962</v>
      </c>
      <c r="Q680" s="3">
        <v>13500</v>
      </c>
      <c r="R680">
        <v>13500</v>
      </c>
    </row>
    <row r="681" spans="1:21">
      <c r="A681" s="165" t="s">
        <v>767</v>
      </c>
      <c r="B681" s="94">
        <v>773</v>
      </c>
      <c r="C681" s="165" t="s">
        <v>606</v>
      </c>
      <c r="D681" s="165">
        <v>8</v>
      </c>
      <c r="E681" s="165" t="s">
        <v>784</v>
      </c>
      <c r="F681" s="165" t="s">
        <v>785</v>
      </c>
      <c r="G681" s="165">
        <v>13500</v>
      </c>
      <c r="H681" s="165"/>
      <c r="I681" s="165"/>
      <c r="J681" s="165"/>
      <c r="K681" s="165">
        <v>13500</v>
      </c>
      <c r="L681" s="165"/>
      <c r="M681" s="165"/>
      <c r="N681" s="165">
        <f t="shared" si="14"/>
        <v>0</v>
      </c>
      <c r="O681" s="165" t="s">
        <v>3963</v>
      </c>
      <c r="P681" s="165" t="s">
        <v>3964</v>
      </c>
      <c r="Q681" s="3">
        <v>13500</v>
      </c>
      <c r="R681">
        <v>13500</v>
      </c>
    </row>
    <row r="682" spans="1:21" s="163" customFormat="1">
      <c r="A682" s="281" t="s">
        <v>2365</v>
      </c>
      <c r="B682" s="281"/>
      <c r="C682" s="281" t="s">
        <v>2421</v>
      </c>
      <c r="D682" s="281">
        <v>3</v>
      </c>
      <c r="E682" s="281" t="s">
        <v>1283</v>
      </c>
      <c r="F682" s="281" t="s">
        <v>2365</v>
      </c>
      <c r="G682" s="284"/>
      <c r="H682" s="284"/>
      <c r="I682" s="284"/>
      <c r="J682" s="281"/>
      <c r="K682" s="281"/>
      <c r="L682" s="281"/>
      <c r="M682" s="281"/>
      <c r="N682" s="281">
        <f t="shared" si="14"/>
        <v>0</v>
      </c>
      <c r="O682" s="281" t="s">
        <v>2365</v>
      </c>
      <c r="P682" s="281" t="s">
        <v>2365</v>
      </c>
      <c r="Q682" s="281">
        <v>13230</v>
      </c>
      <c r="R682" s="281">
        <v>13220</v>
      </c>
      <c r="S682" s="281">
        <v>13220</v>
      </c>
      <c r="T682" s="284">
        <v>10</v>
      </c>
    </row>
    <row r="683" spans="1:21">
      <c r="A683" s="165" t="s">
        <v>786</v>
      </c>
      <c r="B683" s="94">
        <v>774</v>
      </c>
      <c r="C683" s="165" t="s">
        <v>1302</v>
      </c>
      <c r="D683" s="165">
        <v>1</v>
      </c>
      <c r="E683" s="165" t="s">
        <v>787</v>
      </c>
      <c r="F683" s="165" t="s">
        <v>788</v>
      </c>
      <c r="G683" s="165">
        <v>11970</v>
      </c>
      <c r="H683" s="165"/>
      <c r="I683" s="165"/>
      <c r="J683" s="165">
        <v>11970</v>
      </c>
      <c r="K683" s="165"/>
      <c r="L683" s="165"/>
      <c r="M683" s="165"/>
      <c r="N683" s="165">
        <f t="shared" si="14"/>
        <v>0</v>
      </c>
      <c r="O683" s="165" t="s">
        <v>3161</v>
      </c>
      <c r="P683" s="165" t="s">
        <v>3162</v>
      </c>
      <c r="Q683" s="3">
        <v>11970</v>
      </c>
      <c r="R683">
        <v>11970</v>
      </c>
    </row>
    <row r="684" spans="1:21">
      <c r="A684" s="165" t="s">
        <v>786</v>
      </c>
      <c r="B684" s="94">
        <v>775</v>
      </c>
      <c r="C684" s="165" t="s">
        <v>1302</v>
      </c>
      <c r="D684" s="165">
        <v>2</v>
      </c>
      <c r="E684" s="165" t="s">
        <v>789</v>
      </c>
      <c r="F684" s="165" t="s">
        <v>790</v>
      </c>
      <c r="G684" s="165">
        <v>11970</v>
      </c>
      <c r="H684" s="165"/>
      <c r="I684" s="165"/>
      <c r="J684" s="165">
        <v>11970</v>
      </c>
      <c r="K684" s="165"/>
      <c r="L684" s="165"/>
      <c r="M684" s="165"/>
      <c r="N684" s="165">
        <f t="shared" si="14"/>
        <v>0</v>
      </c>
      <c r="O684" s="165" t="s">
        <v>3167</v>
      </c>
      <c r="P684" s="165" t="s">
        <v>3168</v>
      </c>
      <c r="Q684" s="3">
        <v>11970</v>
      </c>
      <c r="R684">
        <v>11970</v>
      </c>
    </row>
    <row r="685" spans="1:21">
      <c r="A685" s="165" t="s">
        <v>786</v>
      </c>
      <c r="B685" s="94">
        <v>776</v>
      </c>
      <c r="C685" s="165" t="s">
        <v>1302</v>
      </c>
      <c r="D685" s="165">
        <v>3</v>
      </c>
      <c r="E685" s="165" t="s">
        <v>791</v>
      </c>
      <c r="F685" s="165" t="s">
        <v>792</v>
      </c>
      <c r="G685" s="165">
        <v>11970</v>
      </c>
      <c r="H685" s="165"/>
      <c r="I685" s="165"/>
      <c r="J685" s="165">
        <v>11970</v>
      </c>
      <c r="K685" s="165"/>
      <c r="L685" s="165"/>
      <c r="M685" s="165"/>
      <c r="N685" s="165">
        <f t="shared" si="14"/>
        <v>0</v>
      </c>
      <c r="O685" s="165" t="s">
        <v>3165</v>
      </c>
      <c r="P685" s="165" t="s">
        <v>3166</v>
      </c>
      <c r="Q685" s="3">
        <v>11970</v>
      </c>
      <c r="R685">
        <v>11970</v>
      </c>
    </row>
    <row r="686" spans="1:21">
      <c r="A686" s="165" t="s">
        <v>786</v>
      </c>
      <c r="B686" s="94">
        <v>777</v>
      </c>
      <c r="C686" s="165" t="s">
        <v>1302</v>
      </c>
      <c r="D686" s="165">
        <v>4</v>
      </c>
      <c r="E686" s="165" t="s">
        <v>793</v>
      </c>
      <c r="F686" s="165" t="s">
        <v>794</v>
      </c>
      <c r="G686" s="165">
        <v>11970</v>
      </c>
      <c r="H686" s="165"/>
      <c r="I686" s="165"/>
      <c r="J686" s="165"/>
      <c r="K686" s="165">
        <v>11970</v>
      </c>
      <c r="L686" s="165"/>
      <c r="M686" s="165"/>
      <c r="N686" s="165">
        <f t="shared" si="14"/>
        <v>0</v>
      </c>
      <c r="O686" s="165" t="s">
        <v>3938</v>
      </c>
      <c r="P686" s="165" t="s">
        <v>3939</v>
      </c>
      <c r="Q686" s="3">
        <v>11970</v>
      </c>
      <c r="R686">
        <v>11970</v>
      </c>
    </row>
    <row r="687" spans="1:21">
      <c r="A687" s="165" t="s">
        <v>786</v>
      </c>
      <c r="B687" s="94">
        <v>778</v>
      </c>
      <c r="C687" s="165" t="s">
        <v>1302</v>
      </c>
      <c r="D687" s="165">
        <v>5</v>
      </c>
      <c r="E687" s="165" t="s">
        <v>795</v>
      </c>
      <c r="F687" s="165" t="s">
        <v>796</v>
      </c>
      <c r="G687" s="165">
        <v>11970</v>
      </c>
      <c r="H687" s="165"/>
      <c r="I687" s="165"/>
      <c r="J687" s="165"/>
      <c r="K687" s="165">
        <v>11970</v>
      </c>
      <c r="L687" s="165"/>
      <c r="M687" s="165"/>
      <c r="N687" s="165">
        <f t="shared" si="14"/>
        <v>0</v>
      </c>
      <c r="O687" s="165" t="s">
        <v>3944</v>
      </c>
      <c r="P687" s="165" t="s">
        <v>3945</v>
      </c>
      <c r="Q687" s="3">
        <v>11970</v>
      </c>
      <c r="R687">
        <v>11970</v>
      </c>
    </row>
    <row r="688" spans="1:21">
      <c r="A688" s="165" t="s">
        <v>786</v>
      </c>
      <c r="B688" s="94">
        <v>779</v>
      </c>
      <c r="C688" s="165" t="s">
        <v>1302</v>
      </c>
      <c r="D688" s="165">
        <v>6</v>
      </c>
      <c r="E688" s="165" t="s">
        <v>797</v>
      </c>
      <c r="F688" s="165" t="s">
        <v>798</v>
      </c>
      <c r="G688" s="165">
        <v>11970</v>
      </c>
      <c r="H688" s="165"/>
      <c r="I688" s="165"/>
      <c r="J688" s="165"/>
      <c r="K688" s="165">
        <v>11970</v>
      </c>
      <c r="L688" s="165"/>
      <c r="M688" s="165"/>
      <c r="N688" s="165">
        <f t="shared" si="14"/>
        <v>0</v>
      </c>
      <c r="O688" s="165" t="s">
        <v>3952</v>
      </c>
      <c r="P688" s="165" t="s">
        <v>3953</v>
      </c>
      <c r="Q688" s="3">
        <v>11970</v>
      </c>
      <c r="R688">
        <v>11970</v>
      </c>
    </row>
    <row r="689" spans="1:21">
      <c r="A689" s="165" t="s">
        <v>786</v>
      </c>
      <c r="B689" s="94">
        <v>780</v>
      </c>
      <c r="C689" s="165" t="s">
        <v>1302</v>
      </c>
      <c r="D689" s="165">
        <v>7</v>
      </c>
      <c r="E689" s="165" t="s">
        <v>799</v>
      </c>
      <c r="F689" s="165" t="s">
        <v>800</v>
      </c>
      <c r="G689" s="165">
        <v>11970</v>
      </c>
      <c r="H689" s="165"/>
      <c r="I689" s="165"/>
      <c r="J689" s="165"/>
      <c r="K689" s="165">
        <v>11970</v>
      </c>
      <c r="L689" s="165"/>
      <c r="M689" s="165"/>
      <c r="N689" s="165">
        <f t="shared" si="14"/>
        <v>0</v>
      </c>
      <c r="O689" s="165" t="s">
        <v>3965</v>
      </c>
      <c r="P689" s="165" t="s">
        <v>3966</v>
      </c>
      <c r="Q689" s="3">
        <v>11970</v>
      </c>
      <c r="R689">
        <v>11970</v>
      </c>
    </row>
    <row r="690" spans="1:21">
      <c r="A690" s="165" t="s">
        <v>786</v>
      </c>
      <c r="B690" s="94">
        <v>781</v>
      </c>
      <c r="C690" s="165" t="s">
        <v>1302</v>
      </c>
      <c r="D690" s="165">
        <v>8</v>
      </c>
      <c r="E690" s="165" t="s">
        <v>801</v>
      </c>
      <c r="F690" s="165" t="s">
        <v>802</v>
      </c>
      <c r="G690" s="165">
        <v>11970</v>
      </c>
      <c r="H690" s="165"/>
      <c r="I690" s="165"/>
      <c r="J690" s="165"/>
      <c r="K690" s="165"/>
      <c r="L690" s="165">
        <v>11970</v>
      </c>
      <c r="M690" s="165"/>
      <c r="N690" s="165">
        <f>G690+H690+I690-J690-K690-L690</f>
        <v>0</v>
      </c>
      <c r="O690" s="165" t="s">
        <v>4236</v>
      </c>
      <c r="P690" s="165" t="s">
        <v>4752</v>
      </c>
      <c r="Q690" s="3">
        <v>11970</v>
      </c>
      <c r="R690">
        <v>11970</v>
      </c>
    </row>
    <row r="691" spans="1:21" s="163" customFormat="1">
      <c r="A691" s="281" t="s">
        <v>3046</v>
      </c>
      <c r="B691" s="281"/>
      <c r="C691" s="281" t="s">
        <v>3825</v>
      </c>
      <c r="D691" s="281">
        <v>5</v>
      </c>
      <c r="E691" s="281" t="s">
        <v>1283</v>
      </c>
      <c r="F691" s="281" t="s">
        <v>3046</v>
      </c>
      <c r="G691" s="284"/>
      <c r="H691" s="284"/>
      <c r="I691" s="284"/>
      <c r="J691" s="281"/>
      <c r="K691" s="281"/>
      <c r="L691" s="281"/>
      <c r="M691" s="281"/>
      <c r="N691" s="281">
        <f t="shared" si="14"/>
        <v>0</v>
      </c>
      <c r="O691" s="281" t="s">
        <v>3046</v>
      </c>
      <c r="P691" s="281" t="s">
        <v>3046</v>
      </c>
      <c r="Q691" s="281">
        <v>14175</v>
      </c>
      <c r="R691" s="281">
        <v>14145</v>
      </c>
      <c r="S691" s="281">
        <v>14145</v>
      </c>
      <c r="T691" s="284">
        <v>30</v>
      </c>
    </row>
    <row r="692" spans="1:21" s="5" customFormat="1">
      <c r="A692" s="94" t="s">
        <v>803</v>
      </c>
      <c r="B692" s="94">
        <v>782</v>
      </c>
      <c r="C692" s="94" t="s">
        <v>1232</v>
      </c>
      <c r="D692" s="94">
        <v>12</v>
      </c>
      <c r="E692" s="94" t="s">
        <v>804</v>
      </c>
      <c r="F692" s="94" t="s">
        <v>719</v>
      </c>
      <c r="G692" s="94">
        <v>16380</v>
      </c>
      <c r="H692" s="94"/>
      <c r="I692" s="94"/>
      <c r="J692" s="94">
        <v>16380</v>
      </c>
      <c r="K692" s="94"/>
      <c r="L692" s="94"/>
      <c r="M692" s="94"/>
      <c r="N692" s="94">
        <f t="shared" si="14"/>
        <v>0</v>
      </c>
      <c r="O692" s="94" t="s">
        <v>3161</v>
      </c>
      <c r="P692" s="94" t="s">
        <v>3162</v>
      </c>
      <c r="Q692" s="93">
        <v>16380</v>
      </c>
      <c r="R692" s="5">
        <v>16380</v>
      </c>
      <c r="T692" s="93"/>
    </row>
    <row r="693" spans="1:21" s="114" customFormat="1">
      <c r="A693" s="214" t="s">
        <v>1010</v>
      </c>
      <c r="B693" s="305" t="s">
        <v>3175</v>
      </c>
      <c r="C693" s="305" t="s">
        <v>3176</v>
      </c>
      <c r="D693" s="214">
        <v>1</v>
      </c>
      <c r="E693" s="214" t="s">
        <v>1283</v>
      </c>
      <c r="F693" s="214" t="s">
        <v>1010</v>
      </c>
      <c r="G693" s="211"/>
      <c r="H693" s="211"/>
      <c r="I693" s="211"/>
      <c r="J693" s="214"/>
      <c r="K693" s="214"/>
      <c r="L693" s="214"/>
      <c r="M693" s="214"/>
      <c r="N693" s="214">
        <f t="shared" si="14"/>
        <v>0</v>
      </c>
      <c r="O693" s="214" t="s">
        <v>1010</v>
      </c>
      <c r="P693" s="214" t="s">
        <v>1010</v>
      </c>
      <c r="Q693" s="214">
        <v>37800</v>
      </c>
      <c r="R693" s="214">
        <v>37800</v>
      </c>
      <c r="S693" s="214">
        <v>37800</v>
      </c>
      <c r="T693" s="211"/>
    </row>
    <row r="694" spans="1:21" s="163" customFormat="1">
      <c r="A694" s="281" t="s">
        <v>3177</v>
      </c>
      <c r="B694" s="281"/>
      <c r="C694" s="281" t="s">
        <v>1013</v>
      </c>
      <c r="D694" s="281">
        <v>1</v>
      </c>
      <c r="E694" s="281" t="s">
        <v>1283</v>
      </c>
      <c r="F694" s="281" t="s">
        <v>3177</v>
      </c>
      <c r="G694" s="284"/>
      <c r="H694" s="284"/>
      <c r="I694" s="284"/>
      <c r="J694" s="281"/>
      <c r="K694" s="281"/>
      <c r="L694" s="281"/>
      <c r="M694" s="281"/>
      <c r="N694" s="281">
        <f t="shared" si="14"/>
        <v>0</v>
      </c>
      <c r="O694" s="281" t="s">
        <v>3177</v>
      </c>
      <c r="P694" s="281" t="s">
        <v>3177</v>
      </c>
      <c r="Q694" s="281">
        <v>105000</v>
      </c>
      <c r="R694" s="281">
        <v>105000</v>
      </c>
      <c r="S694" s="281">
        <v>105000</v>
      </c>
      <c r="T694" s="284"/>
      <c r="U694" s="163" t="s">
        <v>746</v>
      </c>
    </row>
    <row r="695" spans="1:21" s="163" customFormat="1">
      <c r="A695" s="281" t="s">
        <v>3733</v>
      </c>
      <c r="B695" s="281"/>
      <c r="C695" s="281" t="s">
        <v>1016</v>
      </c>
      <c r="D695" s="281">
        <v>1</v>
      </c>
      <c r="E695" s="281" t="s">
        <v>1283</v>
      </c>
      <c r="F695" s="281" t="s">
        <v>3733</v>
      </c>
      <c r="G695" s="284"/>
      <c r="H695" s="284"/>
      <c r="I695" s="284"/>
      <c r="J695" s="281"/>
      <c r="K695" s="281"/>
      <c r="L695" s="281"/>
      <c r="M695" s="281"/>
      <c r="N695" s="281">
        <f t="shared" si="14"/>
        <v>0</v>
      </c>
      <c r="O695" s="281" t="s">
        <v>3733</v>
      </c>
      <c r="P695" s="281" t="s">
        <v>3733</v>
      </c>
      <c r="Q695" s="281">
        <v>105000</v>
      </c>
      <c r="R695" s="281">
        <v>105000</v>
      </c>
      <c r="S695" s="281">
        <v>105000</v>
      </c>
      <c r="T695" s="284"/>
      <c r="U695" s="163" t="s">
        <v>746</v>
      </c>
    </row>
    <row r="696" spans="1:21" s="163" customFormat="1">
      <c r="A696" s="281" t="s">
        <v>3738</v>
      </c>
      <c r="B696" s="281"/>
      <c r="C696" s="281" t="s">
        <v>1016</v>
      </c>
      <c r="D696" s="281">
        <v>1</v>
      </c>
      <c r="E696" s="281" t="s">
        <v>1283</v>
      </c>
      <c r="F696" s="281" t="s">
        <v>3738</v>
      </c>
      <c r="G696" s="284"/>
      <c r="H696" s="284"/>
      <c r="I696" s="284"/>
      <c r="J696" s="281"/>
      <c r="K696" s="281"/>
      <c r="L696" s="281"/>
      <c r="M696" s="281"/>
      <c r="N696" s="281">
        <f t="shared" si="14"/>
        <v>0</v>
      </c>
      <c r="O696" s="281" t="s">
        <v>3738</v>
      </c>
      <c r="P696" s="281" t="s">
        <v>3738</v>
      </c>
      <c r="Q696" s="281">
        <v>20000</v>
      </c>
      <c r="R696" s="281">
        <v>20000</v>
      </c>
      <c r="S696" s="281">
        <v>20000</v>
      </c>
      <c r="T696" s="284"/>
      <c r="U696" s="163" t="s">
        <v>746</v>
      </c>
    </row>
    <row r="697" spans="1:21">
      <c r="A697" s="165" t="s">
        <v>805</v>
      </c>
      <c r="B697" s="94">
        <v>783</v>
      </c>
      <c r="C697" s="165" t="s">
        <v>1303</v>
      </c>
      <c r="D697" s="165">
        <v>1</v>
      </c>
      <c r="E697" s="165" t="s">
        <v>806</v>
      </c>
      <c r="F697" s="165" t="s">
        <v>1030</v>
      </c>
      <c r="G697" s="165">
        <v>13230</v>
      </c>
      <c r="H697" s="165"/>
      <c r="I697" s="165"/>
      <c r="J697" s="165">
        <v>13230</v>
      </c>
      <c r="K697" s="165"/>
      <c r="L697" s="165"/>
      <c r="M697" s="165"/>
      <c r="N697" s="165">
        <f t="shared" si="14"/>
        <v>0</v>
      </c>
      <c r="O697" s="165" t="s">
        <v>3161</v>
      </c>
      <c r="P697" s="165" t="s">
        <v>3162</v>
      </c>
      <c r="Q697" s="3">
        <v>13230</v>
      </c>
      <c r="R697">
        <v>13230</v>
      </c>
    </row>
    <row r="698" spans="1:21">
      <c r="A698" s="165" t="s">
        <v>805</v>
      </c>
      <c r="B698" s="94">
        <v>784</v>
      </c>
      <c r="C698" s="165" t="s">
        <v>1303</v>
      </c>
      <c r="D698" s="165">
        <v>2</v>
      </c>
      <c r="E698" s="165" t="s">
        <v>807</v>
      </c>
      <c r="F698" s="165" t="s">
        <v>808</v>
      </c>
      <c r="G698" s="165">
        <v>13230</v>
      </c>
      <c r="H698" s="165"/>
      <c r="I698" s="165"/>
      <c r="J698" s="165">
        <v>13230</v>
      </c>
      <c r="K698" s="165"/>
      <c r="L698" s="165"/>
      <c r="M698" s="165"/>
      <c r="N698" s="165">
        <f t="shared" si="14"/>
        <v>0</v>
      </c>
      <c r="O698" s="165" t="s">
        <v>3167</v>
      </c>
      <c r="P698" s="165" t="s">
        <v>3168</v>
      </c>
      <c r="Q698" s="3">
        <v>13230</v>
      </c>
      <c r="R698">
        <v>13230</v>
      </c>
    </row>
    <row r="699" spans="1:21">
      <c r="A699" s="165" t="s">
        <v>805</v>
      </c>
      <c r="B699" s="94">
        <v>785</v>
      </c>
      <c r="C699" s="165" t="s">
        <v>1303</v>
      </c>
      <c r="D699" s="165">
        <v>3</v>
      </c>
      <c r="E699" s="165" t="s">
        <v>809</v>
      </c>
      <c r="F699" s="165" t="s">
        <v>810</v>
      </c>
      <c r="G699" s="165">
        <v>13230</v>
      </c>
      <c r="H699" s="165"/>
      <c r="I699" s="165"/>
      <c r="J699" s="165">
        <v>13230</v>
      </c>
      <c r="K699" s="165"/>
      <c r="L699" s="165"/>
      <c r="M699" s="165"/>
      <c r="N699" s="165">
        <f t="shared" si="14"/>
        <v>0</v>
      </c>
      <c r="O699" s="165" t="s">
        <v>3169</v>
      </c>
      <c r="P699" s="165" t="s">
        <v>3170</v>
      </c>
      <c r="Q699" s="3">
        <v>13230</v>
      </c>
      <c r="R699">
        <v>13230</v>
      </c>
    </row>
    <row r="700" spans="1:21">
      <c r="A700" s="165" t="s">
        <v>805</v>
      </c>
      <c r="B700" s="94">
        <v>786</v>
      </c>
      <c r="C700" s="165" t="s">
        <v>1303</v>
      </c>
      <c r="D700" s="165">
        <v>4</v>
      </c>
      <c r="E700" s="165" t="s">
        <v>811</v>
      </c>
      <c r="F700" s="165" t="s">
        <v>812</v>
      </c>
      <c r="G700" s="165">
        <v>13230</v>
      </c>
      <c r="H700" s="165"/>
      <c r="I700" s="165"/>
      <c r="J700" s="165"/>
      <c r="K700" s="165">
        <v>13230</v>
      </c>
      <c r="L700" s="165"/>
      <c r="M700" s="165"/>
      <c r="N700" s="165">
        <f t="shared" si="14"/>
        <v>0</v>
      </c>
      <c r="O700" s="165" t="s">
        <v>3938</v>
      </c>
      <c r="P700" s="165" t="s">
        <v>3939</v>
      </c>
      <c r="Q700" s="3">
        <v>13230</v>
      </c>
      <c r="R700">
        <v>13230</v>
      </c>
    </row>
    <row r="701" spans="1:21">
      <c r="A701" s="165" t="s">
        <v>805</v>
      </c>
      <c r="B701" s="94">
        <v>787</v>
      </c>
      <c r="C701" s="165" t="s">
        <v>1303</v>
      </c>
      <c r="D701" s="165">
        <v>5</v>
      </c>
      <c r="E701" s="165" t="s">
        <v>3644</v>
      </c>
      <c r="F701" s="165" t="s">
        <v>676</v>
      </c>
      <c r="G701" s="165">
        <v>13230</v>
      </c>
      <c r="H701" s="165"/>
      <c r="I701" s="165"/>
      <c r="J701" s="165"/>
      <c r="K701" s="165">
        <v>13230</v>
      </c>
      <c r="L701" s="165"/>
      <c r="M701" s="165"/>
      <c r="N701" s="165">
        <f t="shared" si="14"/>
        <v>0</v>
      </c>
      <c r="O701" s="165" t="s">
        <v>3940</v>
      </c>
      <c r="P701" s="165" t="s">
        <v>3941</v>
      </c>
      <c r="Q701" s="3">
        <v>13230</v>
      </c>
      <c r="R701">
        <v>13230</v>
      </c>
    </row>
    <row r="702" spans="1:21">
      <c r="A702" s="165" t="s">
        <v>805</v>
      </c>
      <c r="B702" s="94">
        <v>788</v>
      </c>
      <c r="C702" s="165" t="s">
        <v>1303</v>
      </c>
      <c r="D702" s="165">
        <v>6</v>
      </c>
      <c r="E702" s="165" t="s">
        <v>3645</v>
      </c>
      <c r="F702" s="165" t="s">
        <v>3646</v>
      </c>
      <c r="G702" s="165">
        <v>13230</v>
      </c>
      <c r="H702" s="165"/>
      <c r="I702" s="165"/>
      <c r="J702" s="165"/>
      <c r="K702" s="165">
        <v>13230</v>
      </c>
      <c r="L702" s="165"/>
      <c r="M702" s="165"/>
      <c r="N702" s="165">
        <f t="shared" si="14"/>
        <v>0</v>
      </c>
      <c r="O702" s="165" t="s">
        <v>3948</v>
      </c>
      <c r="P702" s="165" t="s">
        <v>3949</v>
      </c>
      <c r="Q702" s="3">
        <v>13230</v>
      </c>
      <c r="R702">
        <v>13230</v>
      </c>
    </row>
    <row r="703" spans="1:21">
      <c r="A703" s="165" t="s">
        <v>805</v>
      </c>
      <c r="B703" s="94">
        <v>789</v>
      </c>
      <c r="C703" s="165" t="s">
        <v>1303</v>
      </c>
      <c r="D703" s="165">
        <v>7</v>
      </c>
      <c r="E703" s="165" t="s">
        <v>3647</v>
      </c>
      <c r="F703" s="165" t="s">
        <v>3648</v>
      </c>
      <c r="G703" s="165">
        <v>13230</v>
      </c>
      <c r="H703" s="165"/>
      <c r="I703" s="165"/>
      <c r="J703" s="165"/>
      <c r="K703" s="165">
        <v>13230</v>
      </c>
      <c r="L703" s="165"/>
      <c r="M703" s="165"/>
      <c r="N703" s="165">
        <f t="shared" si="14"/>
        <v>0</v>
      </c>
      <c r="O703" s="165" t="s">
        <v>3967</v>
      </c>
      <c r="P703" s="165" t="s">
        <v>3968</v>
      </c>
      <c r="Q703" s="3">
        <v>13230</v>
      </c>
      <c r="R703">
        <v>13230</v>
      </c>
    </row>
    <row r="704" spans="1:21">
      <c r="A704" s="165" t="s">
        <v>805</v>
      </c>
      <c r="B704" s="94">
        <v>790</v>
      </c>
      <c r="C704" s="165" t="s">
        <v>1303</v>
      </c>
      <c r="D704" s="165">
        <v>8</v>
      </c>
      <c r="E704" s="165" t="s">
        <v>3649</v>
      </c>
      <c r="F704" s="165" t="s">
        <v>3650</v>
      </c>
      <c r="G704" s="165">
        <v>13230</v>
      </c>
      <c r="H704" s="165"/>
      <c r="I704" s="165"/>
      <c r="J704" s="165"/>
      <c r="K704" s="165"/>
      <c r="L704" s="165">
        <v>13230</v>
      </c>
      <c r="M704" s="165"/>
      <c r="N704" s="165">
        <f>G704+H704+I704-J704-K704-L704</f>
        <v>0</v>
      </c>
      <c r="O704" s="165" t="s">
        <v>4236</v>
      </c>
      <c r="P704" s="165" t="s">
        <v>4580</v>
      </c>
      <c r="Q704" s="3">
        <v>13230</v>
      </c>
      <c r="R704">
        <v>13230</v>
      </c>
    </row>
    <row r="705" spans="1:21" s="283" customFormat="1">
      <c r="A705" s="279" t="s">
        <v>3074</v>
      </c>
      <c r="B705" s="279"/>
      <c r="C705" s="279" t="s">
        <v>2060</v>
      </c>
      <c r="D705" s="279">
        <v>4</v>
      </c>
      <c r="E705" s="279" t="s">
        <v>1283</v>
      </c>
      <c r="F705" s="279" t="s">
        <v>880</v>
      </c>
      <c r="G705" s="280"/>
      <c r="H705" s="280"/>
      <c r="I705" s="280"/>
      <c r="J705" s="280"/>
      <c r="K705" s="280"/>
      <c r="L705" s="280"/>
      <c r="M705" s="280"/>
      <c r="N705" s="280">
        <f t="shared" si="14"/>
        <v>0</v>
      </c>
      <c r="O705" s="279" t="s">
        <v>3074</v>
      </c>
      <c r="P705" s="279" t="s">
        <v>3074</v>
      </c>
      <c r="Q705" s="279">
        <v>14175</v>
      </c>
      <c r="R705" s="279">
        <v>14165</v>
      </c>
      <c r="S705" s="279">
        <v>14165</v>
      </c>
      <c r="T705" s="280">
        <v>10</v>
      </c>
      <c r="U705" s="282" t="s">
        <v>245</v>
      </c>
    </row>
    <row r="706" spans="1:21" s="163" customFormat="1">
      <c r="A706" s="281" t="s">
        <v>3178</v>
      </c>
      <c r="B706" s="281"/>
      <c r="C706" s="281" t="s">
        <v>1264</v>
      </c>
      <c r="D706" s="281">
        <v>1</v>
      </c>
      <c r="E706" s="281" t="s">
        <v>1283</v>
      </c>
      <c r="F706" s="281" t="s">
        <v>3178</v>
      </c>
      <c r="G706" s="284"/>
      <c r="H706" s="284"/>
      <c r="I706" s="284"/>
      <c r="J706" s="281"/>
      <c r="K706" s="281"/>
      <c r="L706" s="281"/>
      <c r="M706" s="281"/>
      <c r="N706" s="281">
        <f t="shared" si="14"/>
        <v>0</v>
      </c>
      <c r="O706" s="281" t="s">
        <v>3178</v>
      </c>
      <c r="P706" s="281" t="s">
        <v>3178</v>
      </c>
      <c r="Q706" s="281">
        <v>45360</v>
      </c>
      <c r="R706" s="281">
        <v>45360</v>
      </c>
      <c r="S706" s="281">
        <v>45360</v>
      </c>
      <c r="T706" s="284"/>
    </row>
    <row r="707" spans="1:21" s="163" customFormat="1">
      <c r="A707" s="281" t="s">
        <v>1063</v>
      </c>
      <c r="B707" s="281"/>
      <c r="C707" s="281" t="s">
        <v>1532</v>
      </c>
      <c r="D707" s="281">
        <v>5</v>
      </c>
      <c r="E707" s="281" t="s">
        <v>1283</v>
      </c>
      <c r="F707" s="281" t="s">
        <v>1063</v>
      </c>
      <c r="G707" s="284"/>
      <c r="H707" s="284"/>
      <c r="I707" s="284"/>
      <c r="J707" s="281"/>
      <c r="K707" s="281"/>
      <c r="L707" s="281"/>
      <c r="M707" s="281"/>
      <c r="N707" s="281">
        <f t="shared" si="14"/>
        <v>0</v>
      </c>
      <c r="O707" s="281" t="s">
        <v>1063</v>
      </c>
      <c r="P707" s="281" t="s">
        <v>1063</v>
      </c>
      <c r="Q707" s="281">
        <v>13500</v>
      </c>
      <c r="R707" s="281">
        <v>13485</v>
      </c>
      <c r="S707" s="281">
        <v>13485</v>
      </c>
      <c r="T707" s="284">
        <v>15</v>
      </c>
    </row>
    <row r="708" spans="1:21" s="114" customFormat="1">
      <c r="A708" s="214" t="s">
        <v>3179</v>
      </c>
      <c r="B708" s="305" t="s">
        <v>3175</v>
      </c>
      <c r="C708" s="305" t="s">
        <v>3176</v>
      </c>
      <c r="D708" s="214">
        <v>2</v>
      </c>
      <c r="E708" s="214" t="s">
        <v>1283</v>
      </c>
      <c r="F708" s="214" t="s">
        <v>3179</v>
      </c>
      <c r="G708" s="211"/>
      <c r="H708" s="211"/>
      <c r="I708" s="211"/>
      <c r="J708" s="214"/>
      <c r="K708" s="214"/>
      <c r="L708" s="214"/>
      <c r="M708" s="214"/>
      <c r="N708" s="214">
        <f t="shared" si="14"/>
        <v>0</v>
      </c>
      <c r="O708" s="214" t="s">
        <v>3179</v>
      </c>
      <c r="P708" s="214" t="s">
        <v>3179</v>
      </c>
      <c r="Q708" s="214">
        <v>75600</v>
      </c>
      <c r="R708" s="214">
        <v>75600</v>
      </c>
      <c r="S708" s="214">
        <v>75600</v>
      </c>
      <c r="T708" s="211"/>
    </row>
    <row r="709" spans="1:21">
      <c r="A709" s="165" t="s">
        <v>3180</v>
      </c>
      <c r="B709" s="94">
        <v>791</v>
      </c>
      <c r="C709" s="165" t="s">
        <v>2690</v>
      </c>
      <c r="D709" s="165">
        <v>1</v>
      </c>
      <c r="E709" s="165" t="s">
        <v>3181</v>
      </c>
      <c r="F709" s="165" t="s">
        <v>1030</v>
      </c>
      <c r="G709" s="165">
        <v>12600</v>
      </c>
      <c r="H709" s="165"/>
      <c r="I709" s="165"/>
      <c r="J709" s="165">
        <v>12600</v>
      </c>
      <c r="K709" s="165"/>
      <c r="L709" s="165"/>
      <c r="M709" s="165"/>
      <c r="N709" s="165">
        <f t="shared" si="14"/>
        <v>0</v>
      </c>
      <c r="O709" s="165" t="s">
        <v>683</v>
      </c>
      <c r="P709" s="165" t="s">
        <v>3163</v>
      </c>
      <c r="Q709" s="3">
        <v>12600</v>
      </c>
      <c r="R709">
        <v>12600</v>
      </c>
    </row>
    <row r="710" spans="1:21">
      <c r="A710" s="165" t="s">
        <v>3180</v>
      </c>
      <c r="B710" s="94">
        <v>792</v>
      </c>
      <c r="C710" s="165" t="s">
        <v>2690</v>
      </c>
      <c r="D710" s="165">
        <v>2</v>
      </c>
      <c r="E710" s="165" t="s">
        <v>3182</v>
      </c>
      <c r="F710" s="165" t="s">
        <v>1031</v>
      </c>
      <c r="G710" s="165">
        <v>12600</v>
      </c>
      <c r="H710" s="165"/>
      <c r="I710" s="165"/>
      <c r="J710" s="165">
        <v>12600</v>
      </c>
      <c r="K710" s="165"/>
      <c r="L710" s="165"/>
      <c r="M710" s="165"/>
      <c r="N710" s="165">
        <f t="shared" si="14"/>
        <v>0</v>
      </c>
      <c r="O710" s="165" t="s">
        <v>3167</v>
      </c>
      <c r="P710" s="165" t="s">
        <v>3168</v>
      </c>
      <c r="Q710" s="3">
        <v>12600</v>
      </c>
      <c r="R710">
        <v>12600</v>
      </c>
    </row>
    <row r="711" spans="1:21">
      <c r="A711" s="165" t="s">
        <v>3180</v>
      </c>
      <c r="B711" s="94">
        <v>793</v>
      </c>
      <c r="C711" s="165" t="s">
        <v>2690</v>
      </c>
      <c r="D711" s="165">
        <v>3</v>
      </c>
      <c r="E711" s="165" t="s">
        <v>3183</v>
      </c>
      <c r="F711" s="165" t="s">
        <v>1032</v>
      </c>
      <c r="G711" s="165">
        <v>12600</v>
      </c>
      <c r="H711" s="165"/>
      <c r="I711" s="165"/>
      <c r="J711" s="165">
        <v>12600</v>
      </c>
      <c r="K711" s="165"/>
      <c r="L711" s="165"/>
      <c r="M711" s="165"/>
      <c r="N711" s="165">
        <f t="shared" si="14"/>
        <v>0</v>
      </c>
      <c r="O711" s="165" t="s">
        <v>3169</v>
      </c>
      <c r="P711" s="165" t="s">
        <v>3170</v>
      </c>
      <c r="Q711" s="3">
        <v>12600</v>
      </c>
      <c r="R711">
        <v>12600</v>
      </c>
    </row>
    <row r="712" spans="1:21">
      <c r="A712" s="165" t="s">
        <v>3180</v>
      </c>
      <c r="B712" s="94">
        <v>794</v>
      </c>
      <c r="C712" s="165" t="s">
        <v>2690</v>
      </c>
      <c r="D712" s="165">
        <v>4</v>
      </c>
      <c r="E712" s="165" t="s">
        <v>3184</v>
      </c>
      <c r="F712" s="165" t="s">
        <v>674</v>
      </c>
      <c r="G712" s="165">
        <v>12600</v>
      </c>
      <c r="H712" s="165"/>
      <c r="I712" s="165"/>
      <c r="J712" s="165"/>
      <c r="K712" s="165">
        <v>12600</v>
      </c>
      <c r="L712" s="165"/>
      <c r="M712" s="165"/>
      <c r="N712" s="165">
        <f t="shared" si="14"/>
        <v>0</v>
      </c>
      <c r="O712" s="165" t="s">
        <v>3938</v>
      </c>
      <c r="P712" s="165" t="s">
        <v>3939</v>
      </c>
      <c r="Q712" s="3">
        <v>12600</v>
      </c>
      <c r="R712">
        <v>12600</v>
      </c>
    </row>
    <row r="713" spans="1:21">
      <c r="A713" s="165" t="s">
        <v>3180</v>
      </c>
      <c r="B713" s="94">
        <v>795</v>
      </c>
      <c r="C713" s="165" t="s">
        <v>2690</v>
      </c>
      <c r="D713" s="165">
        <v>5</v>
      </c>
      <c r="E713" s="165" t="s">
        <v>3185</v>
      </c>
      <c r="F713" s="165" t="s">
        <v>676</v>
      </c>
      <c r="G713" s="165">
        <v>12600</v>
      </c>
      <c r="H713" s="165"/>
      <c r="I713" s="165"/>
      <c r="J713" s="165"/>
      <c r="K713" s="165">
        <v>12600</v>
      </c>
      <c r="L713" s="165"/>
      <c r="M713" s="165"/>
      <c r="N713" s="165">
        <f t="shared" si="14"/>
        <v>0</v>
      </c>
      <c r="O713" s="165" t="s">
        <v>3940</v>
      </c>
      <c r="P713" s="165" t="s">
        <v>3941</v>
      </c>
      <c r="Q713" s="3">
        <v>12600</v>
      </c>
      <c r="R713">
        <v>12600</v>
      </c>
    </row>
    <row r="714" spans="1:21">
      <c r="A714" s="165" t="s">
        <v>3180</v>
      </c>
      <c r="B714" s="94">
        <v>796</v>
      </c>
      <c r="C714" s="165" t="s">
        <v>2690</v>
      </c>
      <c r="D714" s="165">
        <v>6</v>
      </c>
      <c r="E714" s="165" t="s">
        <v>3186</v>
      </c>
      <c r="F714" s="165" t="s">
        <v>3187</v>
      </c>
      <c r="G714" s="165">
        <v>12600</v>
      </c>
      <c r="H714" s="165"/>
      <c r="I714" s="165"/>
      <c r="J714" s="165"/>
      <c r="K714" s="165">
        <v>12600</v>
      </c>
      <c r="L714" s="165"/>
      <c r="M714" s="165"/>
      <c r="N714" s="165">
        <f t="shared" si="14"/>
        <v>0</v>
      </c>
      <c r="O714" s="165" t="s">
        <v>3948</v>
      </c>
      <c r="P714" s="165" t="s">
        <v>3949</v>
      </c>
      <c r="Q714" s="3">
        <v>12600</v>
      </c>
      <c r="R714">
        <v>12600</v>
      </c>
    </row>
    <row r="715" spans="1:21">
      <c r="A715" s="165" t="s">
        <v>3180</v>
      </c>
      <c r="B715" s="94">
        <v>797</v>
      </c>
      <c r="C715" s="165" t="s">
        <v>2690</v>
      </c>
      <c r="D715" s="165">
        <v>7</v>
      </c>
      <c r="E715" s="165" t="s">
        <v>3188</v>
      </c>
      <c r="F715" s="165" t="s">
        <v>3189</v>
      </c>
      <c r="G715" s="165">
        <v>12600</v>
      </c>
      <c r="H715" s="165"/>
      <c r="I715" s="165"/>
      <c r="J715" s="165"/>
      <c r="K715" s="165">
        <v>12600</v>
      </c>
      <c r="L715" s="165"/>
      <c r="M715" s="165"/>
      <c r="N715" s="165">
        <f t="shared" si="14"/>
        <v>0</v>
      </c>
      <c r="O715" s="165" t="s">
        <v>3967</v>
      </c>
      <c r="P715" s="165" t="s">
        <v>3968</v>
      </c>
      <c r="Q715" s="3">
        <v>12600</v>
      </c>
      <c r="R715">
        <v>12600</v>
      </c>
    </row>
    <row r="716" spans="1:21">
      <c r="A716" s="165" t="s">
        <v>3180</v>
      </c>
      <c r="B716" s="94">
        <v>798</v>
      </c>
      <c r="C716" s="165" t="s">
        <v>2690</v>
      </c>
      <c r="D716" s="165">
        <v>8</v>
      </c>
      <c r="E716" s="165" t="s">
        <v>3190</v>
      </c>
      <c r="F716" s="165" t="s">
        <v>3191</v>
      </c>
      <c r="G716" s="165">
        <v>12600</v>
      </c>
      <c r="H716" s="165"/>
      <c r="I716" s="165"/>
      <c r="J716" s="165"/>
      <c r="K716" s="165"/>
      <c r="L716" s="165">
        <v>12600</v>
      </c>
      <c r="M716" s="165"/>
      <c r="N716" s="165">
        <f>G716+H716+I716-J716-K716-L716</f>
        <v>0</v>
      </c>
      <c r="O716" s="165" t="s">
        <v>4433</v>
      </c>
      <c r="P716" s="165" t="s">
        <v>4779</v>
      </c>
      <c r="Q716" s="3">
        <v>12600</v>
      </c>
      <c r="R716">
        <v>12600</v>
      </c>
    </row>
    <row r="717" spans="1:21" s="163" customFormat="1">
      <c r="A717" s="281" t="s">
        <v>3192</v>
      </c>
      <c r="B717" s="281"/>
      <c r="C717" s="281" t="s">
        <v>2421</v>
      </c>
      <c r="D717" s="281">
        <v>4</v>
      </c>
      <c r="E717" s="281" t="s">
        <v>1283</v>
      </c>
      <c r="F717" s="281" t="s">
        <v>3192</v>
      </c>
      <c r="G717" s="284"/>
      <c r="H717" s="284"/>
      <c r="I717" s="284"/>
      <c r="J717" s="281"/>
      <c r="K717" s="281"/>
      <c r="L717" s="281"/>
      <c r="M717" s="281"/>
      <c r="N717" s="281">
        <f t="shared" si="14"/>
        <v>0</v>
      </c>
      <c r="O717" s="281" t="s">
        <v>3192</v>
      </c>
      <c r="P717" s="281" t="s">
        <v>3192</v>
      </c>
      <c r="Q717" s="281">
        <v>13230</v>
      </c>
      <c r="R717" s="281">
        <v>13220</v>
      </c>
      <c r="S717" s="281">
        <v>13220</v>
      </c>
      <c r="T717" s="284">
        <v>10</v>
      </c>
    </row>
    <row r="718" spans="1:21" s="163" customFormat="1">
      <c r="A718" s="281" t="s">
        <v>3078</v>
      </c>
      <c r="B718" s="281"/>
      <c r="C718" s="281" t="s">
        <v>3825</v>
      </c>
      <c r="D718" s="281">
        <v>6</v>
      </c>
      <c r="E718" s="281" t="s">
        <v>1283</v>
      </c>
      <c r="F718" s="281" t="s">
        <v>3078</v>
      </c>
      <c r="G718" s="284"/>
      <c r="H718" s="284"/>
      <c r="I718" s="284"/>
      <c r="J718" s="281"/>
      <c r="K718" s="281"/>
      <c r="L718" s="281"/>
      <c r="M718" s="281"/>
      <c r="N718" s="281">
        <f t="shared" si="14"/>
        <v>0</v>
      </c>
      <c r="O718" s="281" t="s">
        <v>3078</v>
      </c>
      <c r="P718" s="281" t="s">
        <v>3078</v>
      </c>
      <c r="Q718" s="281">
        <v>14175</v>
      </c>
      <c r="R718" s="281">
        <v>14145</v>
      </c>
      <c r="S718" s="281">
        <v>14145</v>
      </c>
      <c r="T718" s="284">
        <v>30</v>
      </c>
    </row>
    <row r="719" spans="1:21">
      <c r="A719" s="165" t="s">
        <v>3193</v>
      </c>
      <c r="B719" s="94">
        <v>799</v>
      </c>
      <c r="C719" s="165" t="s">
        <v>1781</v>
      </c>
      <c r="D719" s="165">
        <v>1</v>
      </c>
      <c r="E719" s="165" t="s">
        <v>3194</v>
      </c>
      <c r="F719" s="165" t="s">
        <v>3195</v>
      </c>
      <c r="G719" s="165">
        <v>14175</v>
      </c>
      <c r="H719" s="165"/>
      <c r="I719" s="165"/>
      <c r="J719" s="165">
        <v>14175</v>
      </c>
      <c r="K719" s="165"/>
      <c r="L719" s="165"/>
      <c r="M719" s="165"/>
      <c r="N719" s="165">
        <f t="shared" si="14"/>
        <v>0</v>
      </c>
      <c r="O719" s="165" t="s">
        <v>3164</v>
      </c>
      <c r="P719" s="165" t="s">
        <v>808</v>
      </c>
      <c r="Q719" s="3">
        <v>14175</v>
      </c>
      <c r="R719">
        <v>14175</v>
      </c>
    </row>
    <row r="720" spans="1:21">
      <c r="A720" s="165" t="s">
        <v>3193</v>
      </c>
      <c r="B720" s="94">
        <v>800</v>
      </c>
      <c r="C720" s="165" t="s">
        <v>1781</v>
      </c>
      <c r="D720" s="165">
        <v>2</v>
      </c>
      <c r="E720" s="165" t="s">
        <v>3196</v>
      </c>
      <c r="F720" s="165" t="s">
        <v>3197</v>
      </c>
      <c r="G720" s="165">
        <v>14175</v>
      </c>
      <c r="H720" s="165"/>
      <c r="I720" s="165"/>
      <c r="J720" s="165">
        <v>14175</v>
      </c>
      <c r="K720" s="165"/>
      <c r="L720" s="165"/>
      <c r="M720" s="165"/>
      <c r="N720" s="165">
        <f t="shared" si="14"/>
        <v>0</v>
      </c>
      <c r="O720" s="165" t="s">
        <v>3165</v>
      </c>
      <c r="P720" s="165" t="s">
        <v>3166</v>
      </c>
      <c r="Q720" s="3">
        <v>14175</v>
      </c>
      <c r="R720">
        <v>14175</v>
      </c>
    </row>
    <row r="721" spans="1:20">
      <c r="A721" s="165" t="s">
        <v>3193</v>
      </c>
      <c r="B721" s="94">
        <v>801</v>
      </c>
      <c r="C721" s="165" t="s">
        <v>1781</v>
      </c>
      <c r="D721" s="165">
        <v>3</v>
      </c>
      <c r="E721" s="165" t="s">
        <v>3198</v>
      </c>
      <c r="F721" s="165" t="s">
        <v>3199</v>
      </c>
      <c r="G721" s="165">
        <v>14175</v>
      </c>
      <c r="H721" s="165"/>
      <c r="I721" s="165"/>
      <c r="J721" s="165">
        <v>14175</v>
      </c>
      <c r="K721" s="165"/>
      <c r="L721" s="165"/>
      <c r="M721" s="165"/>
      <c r="N721" s="165">
        <f t="shared" si="14"/>
        <v>0</v>
      </c>
      <c r="O721" s="165" t="s">
        <v>3171</v>
      </c>
      <c r="P721" s="165" t="s">
        <v>3172</v>
      </c>
      <c r="Q721" s="3">
        <v>14175</v>
      </c>
      <c r="R721">
        <v>14175</v>
      </c>
    </row>
    <row r="722" spans="1:20">
      <c r="A722" s="165" t="s">
        <v>3193</v>
      </c>
      <c r="B722" s="94">
        <v>802</v>
      </c>
      <c r="C722" s="165" t="s">
        <v>1781</v>
      </c>
      <c r="D722" s="165">
        <v>4</v>
      </c>
      <c r="E722" s="165" t="s">
        <v>3200</v>
      </c>
      <c r="F722" s="165" t="s">
        <v>3201</v>
      </c>
      <c r="G722" s="165">
        <v>14175</v>
      </c>
      <c r="H722" s="165"/>
      <c r="I722" s="165"/>
      <c r="J722" s="165"/>
      <c r="K722" s="165">
        <v>14175</v>
      </c>
      <c r="L722" s="165"/>
      <c r="M722" s="165"/>
      <c r="N722" s="165">
        <f t="shared" si="14"/>
        <v>0</v>
      </c>
      <c r="O722" s="165" t="s">
        <v>3936</v>
      </c>
      <c r="P722" s="165" t="s">
        <v>3937</v>
      </c>
      <c r="Q722" s="3">
        <v>14175</v>
      </c>
      <c r="R722">
        <v>14175</v>
      </c>
      <c r="T722"/>
    </row>
    <row r="723" spans="1:20">
      <c r="A723" s="165" t="s">
        <v>3193</v>
      </c>
      <c r="B723" s="94">
        <v>803</v>
      </c>
      <c r="C723" s="165" t="s">
        <v>1781</v>
      </c>
      <c r="D723" s="165">
        <v>5</v>
      </c>
      <c r="E723" s="165" t="s">
        <v>3202</v>
      </c>
      <c r="F723" s="165" t="s">
        <v>3203</v>
      </c>
      <c r="G723" s="165">
        <v>14175</v>
      </c>
      <c r="H723" s="165"/>
      <c r="I723" s="165"/>
      <c r="J723" s="165"/>
      <c r="K723" s="165">
        <v>14175</v>
      </c>
      <c r="L723" s="165"/>
      <c r="M723" s="165"/>
      <c r="N723" s="165">
        <f t="shared" si="14"/>
        <v>0</v>
      </c>
      <c r="O723" s="165" t="s">
        <v>3969</v>
      </c>
      <c r="P723" s="165" t="s">
        <v>3960</v>
      </c>
      <c r="Q723" s="3">
        <v>14175</v>
      </c>
      <c r="R723">
        <v>14175</v>
      </c>
      <c r="T723"/>
    </row>
    <row r="724" spans="1:20">
      <c r="A724" s="165" t="s">
        <v>3193</v>
      </c>
      <c r="B724" s="94">
        <v>804</v>
      </c>
      <c r="C724" s="165" t="s">
        <v>1781</v>
      </c>
      <c r="D724" s="165">
        <v>6</v>
      </c>
      <c r="E724" s="165" t="s">
        <v>3204</v>
      </c>
      <c r="F724" s="165" t="s">
        <v>3205</v>
      </c>
      <c r="G724" s="165">
        <v>14175</v>
      </c>
      <c r="H724" s="165"/>
      <c r="I724" s="165"/>
      <c r="J724" s="165"/>
      <c r="K724" s="165">
        <v>14175</v>
      </c>
      <c r="L724" s="165"/>
      <c r="M724" s="165"/>
      <c r="N724" s="165">
        <f t="shared" si="14"/>
        <v>0</v>
      </c>
      <c r="O724" s="165" t="s">
        <v>3970</v>
      </c>
      <c r="P724" s="165" t="s">
        <v>3971</v>
      </c>
      <c r="Q724" s="3">
        <v>14175</v>
      </c>
      <c r="R724">
        <v>14175</v>
      </c>
      <c r="T724"/>
    </row>
    <row r="725" spans="1:20">
      <c r="A725" s="165" t="s">
        <v>3193</v>
      </c>
      <c r="B725" s="94">
        <v>805</v>
      </c>
      <c r="C725" s="165" t="s">
        <v>1781</v>
      </c>
      <c r="D725" s="165">
        <v>7</v>
      </c>
      <c r="E725" s="165" t="s">
        <v>3206</v>
      </c>
      <c r="F725" s="165" t="s">
        <v>3207</v>
      </c>
      <c r="G725" s="165">
        <v>14175</v>
      </c>
      <c r="H725" s="165"/>
      <c r="I725" s="165"/>
      <c r="J725" s="165"/>
      <c r="K725" s="165">
        <v>14175</v>
      </c>
      <c r="L725" s="165"/>
      <c r="M725" s="165"/>
      <c r="N725" s="165">
        <f t="shared" si="14"/>
        <v>0</v>
      </c>
      <c r="O725" s="165" t="s">
        <v>3972</v>
      </c>
      <c r="P725" s="165" t="s">
        <v>3973</v>
      </c>
      <c r="Q725" s="3">
        <v>14175</v>
      </c>
      <c r="R725">
        <v>14175</v>
      </c>
      <c r="T725"/>
    </row>
    <row r="726" spans="1:20">
      <c r="A726" s="165" t="s">
        <v>3193</v>
      </c>
      <c r="B726" s="94">
        <v>806</v>
      </c>
      <c r="C726" s="165" t="s">
        <v>1781</v>
      </c>
      <c r="D726" s="165">
        <v>8</v>
      </c>
      <c r="E726" s="165" t="s">
        <v>3208</v>
      </c>
      <c r="F726" s="165" t="s">
        <v>3209</v>
      </c>
      <c r="G726" s="165">
        <v>14175</v>
      </c>
      <c r="H726" s="165"/>
      <c r="I726" s="165"/>
      <c r="J726" s="165"/>
      <c r="K726" s="165"/>
      <c r="L726" s="165">
        <v>14175</v>
      </c>
      <c r="M726" s="165"/>
      <c r="N726" s="165">
        <f>G726+H726+I726-J726-K726-L726</f>
        <v>0</v>
      </c>
      <c r="O726" s="165" t="s">
        <v>4766</v>
      </c>
      <c r="P726" s="165" t="s">
        <v>4595</v>
      </c>
      <c r="Q726" s="3">
        <v>14175</v>
      </c>
      <c r="R726">
        <v>14175</v>
      </c>
      <c r="T726"/>
    </row>
    <row r="727" spans="1:20">
      <c r="A727" s="165" t="s">
        <v>3739</v>
      </c>
      <c r="B727" s="94">
        <v>807</v>
      </c>
      <c r="C727" s="165" t="s">
        <v>1232</v>
      </c>
      <c r="D727" s="165">
        <v>1</v>
      </c>
      <c r="E727" s="165" t="s">
        <v>3210</v>
      </c>
      <c r="F727" s="165" t="s">
        <v>3211</v>
      </c>
      <c r="G727" s="165">
        <v>16380</v>
      </c>
      <c r="H727" s="165"/>
      <c r="I727" s="165"/>
      <c r="J727" s="165">
        <v>16380</v>
      </c>
      <c r="K727" s="165"/>
      <c r="L727" s="165"/>
      <c r="M727" s="165"/>
      <c r="N727" s="165">
        <f t="shared" ref="N727:N790" si="15">G727+H727+I727-J727-K727</f>
        <v>0</v>
      </c>
      <c r="O727" s="165" t="s">
        <v>3164</v>
      </c>
      <c r="P727" s="165" t="s">
        <v>808</v>
      </c>
      <c r="Q727" s="3">
        <v>16380</v>
      </c>
      <c r="R727">
        <v>16380</v>
      </c>
      <c r="T727"/>
    </row>
    <row r="728" spans="1:20">
      <c r="A728" s="165" t="s">
        <v>721</v>
      </c>
      <c r="B728" s="94">
        <v>808</v>
      </c>
      <c r="C728" s="165" t="s">
        <v>2424</v>
      </c>
      <c r="D728" s="165">
        <v>1</v>
      </c>
      <c r="E728" s="165" t="s">
        <v>3212</v>
      </c>
      <c r="F728" s="165" t="s">
        <v>2366</v>
      </c>
      <c r="G728" s="165">
        <v>11340</v>
      </c>
      <c r="H728" s="165"/>
      <c r="I728" s="165"/>
      <c r="J728" s="165">
        <v>11340</v>
      </c>
      <c r="K728" s="165"/>
      <c r="L728" s="165"/>
      <c r="M728" s="165"/>
      <c r="N728" s="165">
        <f t="shared" si="15"/>
        <v>0</v>
      </c>
      <c r="O728" s="165" t="s">
        <v>3164</v>
      </c>
      <c r="P728" s="165" t="s">
        <v>808</v>
      </c>
      <c r="Q728" s="3">
        <v>11340</v>
      </c>
      <c r="R728">
        <v>11340</v>
      </c>
      <c r="T728"/>
    </row>
    <row r="729" spans="1:20">
      <c r="A729" s="165" t="s">
        <v>721</v>
      </c>
      <c r="B729" s="94">
        <v>809</v>
      </c>
      <c r="C729" s="165" t="s">
        <v>2424</v>
      </c>
      <c r="D729" s="165">
        <v>2</v>
      </c>
      <c r="E729" s="165" t="s">
        <v>3213</v>
      </c>
      <c r="F729" s="165" t="s">
        <v>2367</v>
      </c>
      <c r="G729" s="165">
        <v>11340</v>
      </c>
      <c r="H729" s="165"/>
      <c r="I729" s="165"/>
      <c r="J729" s="165">
        <v>11340</v>
      </c>
      <c r="K729" s="165"/>
      <c r="L729" s="165"/>
      <c r="M729" s="165"/>
      <c r="N729" s="165">
        <f t="shared" si="15"/>
        <v>0</v>
      </c>
      <c r="O729" s="165" t="s">
        <v>3167</v>
      </c>
      <c r="P729" s="165" t="s">
        <v>3168</v>
      </c>
      <c r="Q729" s="3">
        <v>11340</v>
      </c>
      <c r="R729">
        <v>11340</v>
      </c>
      <c r="T729"/>
    </row>
    <row r="730" spans="1:20">
      <c r="A730" s="165" t="s">
        <v>721</v>
      </c>
      <c r="B730" s="94">
        <v>810</v>
      </c>
      <c r="C730" s="165" t="s">
        <v>2424</v>
      </c>
      <c r="D730" s="165">
        <v>3</v>
      </c>
      <c r="E730" s="165" t="s">
        <v>3214</v>
      </c>
      <c r="F730" s="165" t="s">
        <v>708</v>
      </c>
      <c r="G730" s="165">
        <v>11340</v>
      </c>
      <c r="H730" s="165"/>
      <c r="I730" s="165"/>
      <c r="J730" s="165">
        <v>11340</v>
      </c>
      <c r="K730" s="165"/>
      <c r="L730" s="165"/>
      <c r="M730" s="165"/>
      <c r="N730" s="165">
        <f t="shared" si="15"/>
        <v>0</v>
      </c>
      <c r="O730" s="165" t="s">
        <v>3169</v>
      </c>
      <c r="P730" s="165" t="s">
        <v>3170</v>
      </c>
      <c r="Q730" s="3">
        <v>11340</v>
      </c>
      <c r="R730">
        <v>11340</v>
      </c>
      <c r="T730"/>
    </row>
    <row r="731" spans="1:20">
      <c r="A731" s="165" t="s">
        <v>721</v>
      </c>
      <c r="B731" s="94">
        <v>811</v>
      </c>
      <c r="C731" s="165" t="s">
        <v>2424</v>
      </c>
      <c r="D731" s="165">
        <v>4</v>
      </c>
      <c r="E731" s="165" t="s">
        <v>3215</v>
      </c>
      <c r="F731" s="165" t="s">
        <v>659</v>
      </c>
      <c r="G731" s="165">
        <v>11340</v>
      </c>
      <c r="H731" s="165"/>
      <c r="I731" s="165"/>
      <c r="J731" s="165"/>
      <c r="K731" s="165">
        <v>11340</v>
      </c>
      <c r="L731" s="165"/>
      <c r="M731" s="165"/>
      <c r="N731" s="165">
        <f t="shared" si="15"/>
        <v>0</v>
      </c>
      <c r="O731" s="165" t="s">
        <v>3934</v>
      </c>
      <c r="P731" s="165" t="s">
        <v>3935</v>
      </c>
      <c r="Q731" s="3">
        <v>11340</v>
      </c>
      <c r="R731">
        <v>11340</v>
      </c>
      <c r="T731"/>
    </row>
    <row r="732" spans="1:20">
      <c r="A732" s="165" t="s">
        <v>721</v>
      </c>
      <c r="B732" s="94">
        <v>812</v>
      </c>
      <c r="C732" s="165" t="s">
        <v>2424</v>
      </c>
      <c r="D732" s="165">
        <v>5</v>
      </c>
      <c r="E732" s="165" t="s">
        <v>3216</v>
      </c>
      <c r="F732" s="165" t="s">
        <v>711</v>
      </c>
      <c r="G732" s="165">
        <v>11340</v>
      </c>
      <c r="H732" s="165"/>
      <c r="I732" s="165"/>
      <c r="J732" s="165"/>
      <c r="K732" s="165">
        <v>11340</v>
      </c>
      <c r="L732" s="165"/>
      <c r="M732" s="165"/>
      <c r="N732" s="165">
        <f t="shared" si="15"/>
        <v>0</v>
      </c>
      <c r="O732" s="165" t="s">
        <v>3950</v>
      </c>
      <c r="P732" s="165" t="s">
        <v>3951</v>
      </c>
      <c r="Q732" s="3">
        <v>11340</v>
      </c>
      <c r="R732">
        <v>11340</v>
      </c>
      <c r="T732"/>
    </row>
    <row r="733" spans="1:20">
      <c r="A733" s="165" t="s">
        <v>721</v>
      </c>
      <c r="B733" s="94">
        <v>813</v>
      </c>
      <c r="C733" s="165" t="s">
        <v>2424</v>
      </c>
      <c r="D733" s="165">
        <v>6</v>
      </c>
      <c r="E733" s="165" t="s">
        <v>3217</v>
      </c>
      <c r="F733" s="165" t="s">
        <v>663</v>
      </c>
      <c r="G733" s="165">
        <v>11340</v>
      </c>
      <c r="H733" s="165"/>
      <c r="I733" s="165"/>
      <c r="J733" s="165"/>
      <c r="K733" s="165">
        <v>11340</v>
      </c>
      <c r="L733" s="165"/>
      <c r="M733" s="165"/>
      <c r="N733" s="165">
        <f t="shared" si="15"/>
        <v>0</v>
      </c>
      <c r="O733" s="165" t="s">
        <v>3955</v>
      </c>
      <c r="P733" s="165" t="s">
        <v>3956</v>
      </c>
      <c r="Q733" s="3">
        <v>11340</v>
      </c>
      <c r="R733">
        <v>11340</v>
      </c>
      <c r="T733"/>
    </row>
    <row r="734" spans="1:20">
      <c r="A734" s="165" t="s">
        <v>721</v>
      </c>
      <c r="B734" s="94">
        <v>814</v>
      </c>
      <c r="C734" s="165" t="s">
        <v>2424</v>
      </c>
      <c r="D734" s="165">
        <v>7</v>
      </c>
      <c r="E734" s="165" t="s">
        <v>3218</v>
      </c>
      <c r="F734" s="165" t="s">
        <v>3219</v>
      </c>
      <c r="G734" s="165">
        <v>11340</v>
      </c>
      <c r="H734" s="165"/>
      <c r="I734" s="165"/>
      <c r="J734" s="165"/>
      <c r="K734" s="165">
        <v>11340</v>
      </c>
      <c r="L734" s="165"/>
      <c r="M734" s="165"/>
      <c r="N734" s="165">
        <f t="shared" si="15"/>
        <v>0</v>
      </c>
      <c r="O734" s="165" t="s">
        <v>3957</v>
      </c>
      <c r="P734" s="165" t="s">
        <v>3958</v>
      </c>
      <c r="Q734" s="3">
        <v>11340</v>
      </c>
      <c r="R734">
        <v>11340</v>
      </c>
      <c r="T734"/>
    </row>
    <row r="735" spans="1:20">
      <c r="A735" s="165" t="s">
        <v>721</v>
      </c>
      <c r="B735" s="94">
        <v>815</v>
      </c>
      <c r="C735" s="165" t="s">
        <v>2424</v>
      </c>
      <c r="D735" s="165">
        <v>8</v>
      </c>
      <c r="E735" s="165" t="s">
        <v>3220</v>
      </c>
      <c r="F735" s="165" t="s">
        <v>3221</v>
      </c>
      <c r="G735" s="165">
        <v>11340</v>
      </c>
      <c r="H735" s="165"/>
      <c r="I735" s="165"/>
      <c r="J735" s="165"/>
      <c r="K735" s="165"/>
      <c r="L735" s="165">
        <v>11340</v>
      </c>
      <c r="M735" s="165"/>
      <c r="N735" s="165">
        <f>G735+H735+I735-J735-K735-L735</f>
        <v>0</v>
      </c>
      <c r="O735" s="165" t="s">
        <v>4434</v>
      </c>
      <c r="P735" s="165" t="s">
        <v>4102</v>
      </c>
      <c r="Q735" s="3">
        <v>11340</v>
      </c>
      <c r="R735">
        <v>11340</v>
      </c>
      <c r="T735"/>
    </row>
    <row r="736" spans="1:20">
      <c r="A736" s="165" t="s">
        <v>3222</v>
      </c>
      <c r="B736" s="94">
        <v>816</v>
      </c>
      <c r="C736" s="165" t="s">
        <v>2254</v>
      </c>
      <c r="D736" s="165">
        <v>1</v>
      </c>
      <c r="E736" s="165" t="s">
        <v>3223</v>
      </c>
      <c r="F736" s="165" t="s">
        <v>3224</v>
      </c>
      <c r="G736" s="165">
        <v>12600</v>
      </c>
      <c r="H736" s="165"/>
      <c r="I736" s="165"/>
      <c r="J736" s="165">
        <v>12600</v>
      </c>
      <c r="K736" s="165"/>
      <c r="L736" s="165"/>
      <c r="M736" s="165"/>
      <c r="N736" s="165">
        <f t="shared" si="15"/>
        <v>0</v>
      </c>
      <c r="O736" s="165" t="s">
        <v>3164</v>
      </c>
      <c r="P736" s="165" t="s">
        <v>808</v>
      </c>
      <c r="Q736" s="3">
        <v>12600</v>
      </c>
      <c r="R736">
        <v>12600</v>
      </c>
      <c r="T736"/>
    </row>
    <row r="737" spans="1:20">
      <c r="A737" s="165" t="s">
        <v>3222</v>
      </c>
      <c r="B737" s="94">
        <v>817</v>
      </c>
      <c r="C737" s="165" t="s">
        <v>2254</v>
      </c>
      <c r="D737" s="165">
        <v>2</v>
      </c>
      <c r="E737" s="165" t="s">
        <v>3225</v>
      </c>
      <c r="F737" s="165" t="s">
        <v>3226</v>
      </c>
      <c r="G737" s="165">
        <v>12600</v>
      </c>
      <c r="H737" s="165"/>
      <c r="I737" s="165"/>
      <c r="J737" s="165">
        <v>12600</v>
      </c>
      <c r="K737" s="165"/>
      <c r="L737" s="165"/>
      <c r="M737" s="165"/>
      <c r="N737" s="165">
        <f t="shared" si="15"/>
        <v>0</v>
      </c>
      <c r="O737" s="165" t="s">
        <v>3165</v>
      </c>
      <c r="P737" s="165" t="s">
        <v>3166</v>
      </c>
      <c r="Q737" s="3">
        <v>12600</v>
      </c>
      <c r="R737">
        <v>12600</v>
      </c>
      <c r="T737"/>
    </row>
    <row r="738" spans="1:20">
      <c r="A738" s="165" t="s">
        <v>3222</v>
      </c>
      <c r="B738" s="94">
        <v>818</v>
      </c>
      <c r="C738" s="165" t="s">
        <v>2254</v>
      </c>
      <c r="D738" s="165">
        <v>3</v>
      </c>
      <c r="E738" s="165" t="s">
        <v>3227</v>
      </c>
      <c r="F738" s="165" t="s">
        <v>3172</v>
      </c>
      <c r="G738" s="165">
        <v>12600</v>
      </c>
      <c r="H738" s="165"/>
      <c r="I738" s="165"/>
      <c r="J738" s="165"/>
      <c r="K738" s="165">
        <v>12600</v>
      </c>
      <c r="L738" s="165"/>
      <c r="M738" s="165"/>
      <c r="N738" s="165">
        <f t="shared" si="15"/>
        <v>0</v>
      </c>
      <c r="O738" s="165" t="s">
        <v>3942</v>
      </c>
      <c r="P738" s="165" t="s">
        <v>3943</v>
      </c>
      <c r="Q738" s="3">
        <v>12600</v>
      </c>
      <c r="R738">
        <v>12600</v>
      </c>
      <c r="T738"/>
    </row>
    <row r="739" spans="1:20">
      <c r="A739" s="165" t="s">
        <v>3222</v>
      </c>
      <c r="B739" s="94">
        <v>819</v>
      </c>
      <c r="C739" s="165" t="s">
        <v>2254</v>
      </c>
      <c r="D739" s="165">
        <v>4</v>
      </c>
      <c r="E739" s="165" t="s">
        <v>3228</v>
      </c>
      <c r="F739" s="165" t="s">
        <v>3229</v>
      </c>
      <c r="G739" s="165">
        <v>12600</v>
      </c>
      <c r="H739" s="165"/>
      <c r="I739" s="165"/>
      <c r="J739" s="165"/>
      <c r="K739" s="165">
        <v>12600</v>
      </c>
      <c r="L739" s="165"/>
      <c r="M739" s="165"/>
      <c r="N739" s="165">
        <f t="shared" si="15"/>
        <v>0</v>
      </c>
      <c r="O739" s="165" t="s">
        <v>3944</v>
      </c>
      <c r="P739" s="165" t="s">
        <v>3945</v>
      </c>
      <c r="Q739" s="3">
        <v>12600</v>
      </c>
      <c r="R739">
        <v>12600</v>
      </c>
      <c r="T739"/>
    </row>
    <row r="740" spans="1:20">
      <c r="A740" s="165" t="s">
        <v>3222</v>
      </c>
      <c r="B740" s="94">
        <v>820</v>
      </c>
      <c r="C740" s="165" t="s">
        <v>2254</v>
      </c>
      <c r="D740" s="165">
        <v>5</v>
      </c>
      <c r="E740" s="165" t="s">
        <v>3230</v>
      </c>
      <c r="F740" s="165" t="s">
        <v>3231</v>
      </c>
      <c r="G740" s="165">
        <v>12600</v>
      </c>
      <c r="H740" s="165"/>
      <c r="I740" s="165"/>
      <c r="J740" s="165"/>
      <c r="K740" s="165">
        <v>12600</v>
      </c>
      <c r="L740" s="165"/>
      <c r="M740" s="165"/>
      <c r="N740" s="165">
        <f t="shared" si="15"/>
        <v>0</v>
      </c>
      <c r="O740" s="165" t="s">
        <v>3952</v>
      </c>
      <c r="P740" s="165" t="s">
        <v>3953</v>
      </c>
      <c r="Q740" s="3">
        <v>12600</v>
      </c>
      <c r="R740">
        <v>12600</v>
      </c>
      <c r="T740"/>
    </row>
    <row r="741" spans="1:20">
      <c r="A741" s="165" t="s">
        <v>3222</v>
      </c>
      <c r="B741" s="94">
        <v>821</v>
      </c>
      <c r="C741" s="165" t="s">
        <v>2254</v>
      </c>
      <c r="D741" s="165">
        <v>6</v>
      </c>
      <c r="E741" s="165" t="s">
        <v>3232</v>
      </c>
      <c r="F741" s="165" t="s">
        <v>3233</v>
      </c>
      <c r="G741" s="165">
        <v>12600</v>
      </c>
      <c r="H741" s="165"/>
      <c r="I741" s="165"/>
      <c r="J741" s="165"/>
      <c r="K741" s="165">
        <v>12600</v>
      </c>
      <c r="L741" s="165"/>
      <c r="M741" s="165"/>
      <c r="N741" s="165">
        <f t="shared" si="15"/>
        <v>0</v>
      </c>
      <c r="O741" s="165" t="s">
        <v>3965</v>
      </c>
      <c r="P741" s="165" t="s">
        <v>3966</v>
      </c>
      <c r="Q741" s="3">
        <v>12600</v>
      </c>
      <c r="R741">
        <v>12600</v>
      </c>
      <c r="T741"/>
    </row>
    <row r="742" spans="1:20">
      <c r="A742" s="165" t="s">
        <v>3222</v>
      </c>
      <c r="B742" s="94">
        <v>822</v>
      </c>
      <c r="C742" s="165" t="s">
        <v>2254</v>
      </c>
      <c r="D742" s="165">
        <v>7</v>
      </c>
      <c r="E742" s="165" t="s">
        <v>3234</v>
      </c>
      <c r="F742" s="165" t="s">
        <v>3235</v>
      </c>
      <c r="G742" s="165">
        <v>12600</v>
      </c>
      <c r="H742" s="165"/>
      <c r="I742" s="165"/>
      <c r="J742" s="165"/>
      <c r="K742" s="165"/>
      <c r="L742" s="165">
        <v>12600</v>
      </c>
      <c r="M742" s="165"/>
      <c r="N742" s="165">
        <f>G742+H742+I742-J742-K742-L742</f>
        <v>0</v>
      </c>
      <c r="O742" s="165" t="s">
        <v>4236</v>
      </c>
      <c r="P742" s="165" t="s">
        <v>4752</v>
      </c>
      <c r="Q742" s="3">
        <v>12600</v>
      </c>
      <c r="R742">
        <v>12600</v>
      </c>
      <c r="T742"/>
    </row>
    <row r="743" spans="1:20">
      <c r="A743" s="165" t="s">
        <v>3222</v>
      </c>
      <c r="B743" s="94">
        <v>823</v>
      </c>
      <c r="C743" s="165" t="s">
        <v>2254</v>
      </c>
      <c r="D743" s="165">
        <v>8</v>
      </c>
      <c r="E743" s="165" t="s">
        <v>3236</v>
      </c>
      <c r="F743" s="165" t="s">
        <v>3237</v>
      </c>
      <c r="G743" s="165">
        <v>12600</v>
      </c>
      <c r="H743" s="165"/>
      <c r="I743" s="165"/>
      <c r="J743" s="165"/>
      <c r="K743" s="165"/>
      <c r="L743" s="165">
        <v>12600</v>
      </c>
      <c r="M743" s="165"/>
      <c r="N743" s="165">
        <f>G743+H743+I743-J743-K743-L743</f>
        <v>0</v>
      </c>
      <c r="O743" s="165" t="s">
        <v>4439</v>
      </c>
      <c r="P743" s="165" t="s">
        <v>4780</v>
      </c>
      <c r="Q743" s="3">
        <v>12600</v>
      </c>
      <c r="R743">
        <v>12600</v>
      </c>
      <c r="T743"/>
    </row>
    <row r="744" spans="1:20">
      <c r="A744" s="165" t="s">
        <v>3222</v>
      </c>
      <c r="B744" s="94">
        <v>824</v>
      </c>
      <c r="C744" s="165" t="s">
        <v>2270</v>
      </c>
      <c r="D744" s="165">
        <v>1</v>
      </c>
      <c r="E744" s="165" t="s">
        <v>3238</v>
      </c>
      <c r="F744" s="165" t="s">
        <v>3224</v>
      </c>
      <c r="G744" s="165">
        <v>17325</v>
      </c>
      <c r="H744" s="165"/>
      <c r="I744" s="165"/>
      <c r="J744" s="165">
        <v>17325</v>
      </c>
      <c r="K744" s="165"/>
      <c r="L744" s="165"/>
      <c r="M744" s="165"/>
      <c r="N744" s="165">
        <f t="shared" si="15"/>
        <v>0</v>
      </c>
      <c r="O744" s="165" t="s">
        <v>3164</v>
      </c>
      <c r="P744" s="165" t="s">
        <v>808</v>
      </c>
      <c r="Q744" s="3">
        <v>17325</v>
      </c>
      <c r="R744">
        <v>17325</v>
      </c>
      <c r="T744"/>
    </row>
    <row r="745" spans="1:20">
      <c r="A745" s="165" t="s">
        <v>3222</v>
      </c>
      <c r="B745" s="94">
        <v>825</v>
      </c>
      <c r="C745" s="165" t="s">
        <v>2270</v>
      </c>
      <c r="D745" s="165">
        <v>2</v>
      </c>
      <c r="E745" s="165" t="s">
        <v>3239</v>
      </c>
      <c r="F745" s="165" t="s">
        <v>3226</v>
      </c>
      <c r="G745" s="165">
        <v>17325</v>
      </c>
      <c r="H745" s="165"/>
      <c r="I745" s="165"/>
      <c r="J745" s="165">
        <v>17325</v>
      </c>
      <c r="K745" s="165"/>
      <c r="L745" s="165"/>
      <c r="M745" s="165"/>
      <c r="N745" s="165">
        <f t="shared" si="15"/>
        <v>0</v>
      </c>
      <c r="O745" s="165" t="s">
        <v>3165</v>
      </c>
      <c r="P745" s="165" t="s">
        <v>3166</v>
      </c>
      <c r="Q745" s="3">
        <v>17325</v>
      </c>
      <c r="R745">
        <v>17325</v>
      </c>
      <c r="T745"/>
    </row>
    <row r="746" spans="1:20">
      <c r="A746" s="165" t="s">
        <v>3222</v>
      </c>
      <c r="B746" s="94">
        <v>826</v>
      </c>
      <c r="C746" s="165" t="s">
        <v>2270</v>
      </c>
      <c r="D746" s="165">
        <v>3</v>
      </c>
      <c r="E746" s="165" t="s">
        <v>3240</v>
      </c>
      <c r="F746" s="165" t="s">
        <v>3172</v>
      </c>
      <c r="G746" s="165">
        <v>17325</v>
      </c>
      <c r="H746" s="165"/>
      <c r="I746" s="165"/>
      <c r="J746" s="165"/>
      <c r="K746" s="165">
        <v>17325</v>
      </c>
      <c r="L746" s="165"/>
      <c r="M746" s="165"/>
      <c r="N746" s="165">
        <f t="shared" si="15"/>
        <v>0</v>
      </c>
      <c r="O746" s="165" t="s">
        <v>3942</v>
      </c>
      <c r="P746" s="165" t="s">
        <v>3943</v>
      </c>
      <c r="Q746" s="3">
        <v>17325</v>
      </c>
      <c r="R746">
        <v>17325</v>
      </c>
      <c r="T746"/>
    </row>
    <row r="747" spans="1:20">
      <c r="A747" s="165" t="s">
        <v>3222</v>
      </c>
      <c r="B747" s="94">
        <v>827</v>
      </c>
      <c r="C747" s="165" t="s">
        <v>2270</v>
      </c>
      <c r="D747" s="165">
        <v>4</v>
      </c>
      <c r="E747" s="165" t="s">
        <v>3241</v>
      </c>
      <c r="F747" s="165" t="s">
        <v>3229</v>
      </c>
      <c r="G747" s="165">
        <v>17325</v>
      </c>
      <c r="H747" s="165"/>
      <c r="I747" s="165"/>
      <c r="J747" s="165"/>
      <c r="K747" s="165">
        <v>17325</v>
      </c>
      <c r="L747" s="165"/>
      <c r="M747" s="165"/>
      <c r="N747" s="165">
        <f t="shared" si="15"/>
        <v>0</v>
      </c>
      <c r="O747" s="165" t="s">
        <v>3944</v>
      </c>
      <c r="P747" s="165" t="s">
        <v>3945</v>
      </c>
      <c r="Q747" s="3">
        <v>17325</v>
      </c>
      <c r="R747">
        <v>17325</v>
      </c>
      <c r="T747"/>
    </row>
    <row r="748" spans="1:20">
      <c r="A748" s="165" t="s">
        <v>3222</v>
      </c>
      <c r="B748" s="94">
        <v>828</v>
      </c>
      <c r="C748" s="165" t="s">
        <v>2270</v>
      </c>
      <c r="D748" s="165">
        <v>5</v>
      </c>
      <c r="E748" s="165" t="s">
        <v>3242</v>
      </c>
      <c r="F748" s="165" t="s">
        <v>3231</v>
      </c>
      <c r="G748" s="165">
        <v>17325</v>
      </c>
      <c r="H748" s="165"/>
      <c r="I748" s="165"/>
      <c r="J748" s="165"/>
      <c r="K748" s="165">
        <v>17325</v>
      </c>
      <c r="L748" s="165"/>
      <c r="M748" s="165"/>
      <c r="N748" s="165">
        <f t="shared" si="15"/>
        <v>0</v>
      </c>
      <c r="O748" s="165" t="s">
        <v>3952</v>
      </c>
      <c r="P748" s="165" t="s">
        <v>3953</v>
      </c>
      <c r="Q748" s="3">
        <v>17325</v>
      </c>
      <c r="R748">
        <v>17325</v>
      </c>
      <c r="T748"/>
    </row>
    <row r="749" spans="1:20">
      <c r="A749" s="165" t="s">
        <v>3222</v>
      </c>
      <c r="B749" s="94">
        <v>829</v>
      </c>
      <c r="C749" s="165" t="s">
        <v>2270</v>
      </c>
      <c r="D749" s="165">
        <v>6</v>
      </c>
      <c r="E749" s="165" t="s">
        <v>3243</v>
      </c>
      <c r="F749" s="165" t="s">
        <v>3233</v>
      </c>
      <c r="G749" s="165">
        <v>17325</v>
      </c>
      <c r="H749" s="165"/>
      <c r="I749" s="165"/>
      <c r="J749" s="165"/>
      <c r="K749" s="165">
        <v>17325</v>
      </c>
      <c r="L749" s="165"/>
      <c r="M749" s="165"/>
      <c r="N749" s="165">
        <f t="shared" si="15"/>
        <v>0</v>
      </c>
      <c r="O749" s="165" t="s">
        <v>3965</v>
      </c>
      <c r="P749" s="165">
        <v>2015.1025999999999</v>
      </c>
      <c r="Q749" s="3">
        <v>17325</v>
      </c>
      <c r="R749">
        <v>17325</v>
      </c>
      <c r="T749"/>
    </row>
    <row r="750" spans="1:20">
      <c r="A750" s="165" t="s">
        <v>3222</v>
      </c>
      <c r="B750" s="94">
        <v>830</v>
      </c>
      <c r="C750" s="165" t="s">
        <v>2270</v>
      </c>
      <c r="D750" s="165">
        <v>7</v>
      </c>
      <c r="E750" s="165" t="s">
        <v>3244</v>
      </c>
      <c r="F750" s="165" t="s">
        <v>3235</v>
      </c>
      <c r="G750" s="165">
        <v>17325</v>
      </c>
      <c r="H750" s="165"/>
      <c r="I750" s="165"/>
      <c r="J750" s="165"/>
      <c r="K750" s="165"/>
      <c r="L750" s="165">
        <v>17325</v>
      </c>
      <c r="M750" s="165"/>
      <c r="N750" s="165">
        <f>G750+H750+I750-J750-K750-L750</f>
        <v>0</v>
      </c>
      <c r="O750" s="165" t="s">
        <v>4236</v>
      </c>
      <c r="P750" s="165" t="s">
        <v>4752</v>
      </c>
      <c r="Q750" s="3">
        <v>17325</v>
      </c>
      <c r="R750">
        <v>17325</v>
      </c>
      <c r="T750"/>
    </row>
    <row r="751" spans="1:20">
      <c r="A751" s="165" t="s">
        <v>3222</v>
      </c>
      <c r="B751" s="94">
        <v>831</v>
      </c>
      <c r="C751" s="165" t="s">
        <v>2270</v>
      </c>
      <c r="D751" s="165">
        <v>8</v>
      </c>
      <c r="E751" s="165" t="s">
        <v>3245</v>
      </c>
      <c r="F751" s="165" t="s">
        <v>3237</v>
      </c>
      <c r="G751" s="165">
        <v>17325</v>
      </c>
      <c r="H751" s="165"/>
      <c r="I751" s="165"/>
      <c r="J751" s="165"/>
      <c r="K751" s="165"/>
      <c r="L751" s="165">
        <v>17325</v>
      </c>
      <c r="M751" s="165"/>
      <c r="N751" s="165">
        <f>G751+H751+I751-J751-K751-L751</f>
        <v>0</v>
      </c>
      <c r="O751" s="165" t="s">
        <v>4439</v>
      </c>
      <c r="P751" s="165" t="s">
        <v>4780</v>
      </c>
      <c r="Q751" s="3">
        <v>17325</v>
      </c>
      <c r="R751">
        <v>17325</v>
      </c>
      <c r="T751"/>
    </row>
    <row r="752" spans="1:20">
      <c r="A752" s="165" t="s">
        <v>3246</v>
      </c>
      <c r="B752" s="94">
        <v>832</v>
      </c>
      <c r="C752" s="165" t="s">
        <v>8</v>
      </c>
      <c r="D752" s="165">
        <v>1</v>
      </c>
      <c r="E752" s="165" t="s">
        <v>3247</v>
      </c>
      <c r="F752" s="165" t="s">
        <v>3248</v>
      </c>
      <c r="G752" s="165">
        <v>14175</v>
      </c>
      <c r="H752" s="165"/>
      <c r="I752" s="165"/>
      <c r="J752" s="165">
        <v>14175</v>
      </c>
      <c r="K752" s="165"/>
      <c r="L752" s="165"/>
      <c r="M752" s="165"/>
      <c r="N752" s="165">
        <f t="shared" si="15"/>
        <v>0</v>
      </c>
      <c r="O752" s="165" t="s">
        <v>3167</v>
      </c>
      <c r="P752" s="165" t="s">
        <v>3168</v>
      </c>
      <c r="Q752" s="3">
        <v>14175</v>
      </c>
      <c r="R752">
        <v>14175</v>
      </c>
      <c r="T752"/>
    </row>
    <row r="753" spans="1:21">
      <c r="A753" s="165" t="s">
        <v>3246</v>
      </c>
      <c r="B753" s="94">
        <v>833</v>
      </c>
      <c r="C753" s="165" t="s">
        <v>8</v>
      </c>
      <c r="D753" s="165">
        <v>2</v>
      </c>
      <c r="E753" s="165" t="s">
        <v>3249</v>
      </c>
      <c r="F753" s="165" t="s">
        <v>3250</v>
      </c>
      <c r="G753" s="165">
        <v>14175</v>
      </c>
      <c r="H753" s="165"/>
      <c r="I753" s="165"/>
      <c r="J753" s="165">
        <v>14175</v>
      </c>
      <c r="K753" s="165"/>
      <c r="L753" s="165"/>
      <c r="M753" s="165"/>
      <c r="N753" s="165">
        <f t="shared" si="15"/>
        <v>0</v>
      </c>
      <c r="O753" s="165" t="s">
        <v>3169</v>
      </c>
      <c r="P753" s="165" t="s">
        <v>3170</v>
      </c>
      <c r="Q753" s="3">
        <v>14175</v>
      </c>
      <c r="R753">
        <v>14175</v>
      </c>
      <c r="T753"/>
    </row>
    <row r="754" spans="1:21">
      <c r="A754" s="165" t="s">
        <v>3246</v>
      </c>
      <c r="B754" s="94">
        <v>834</v>
      </c>
      <c r="C754" s="165" t="s">
        <v>8</v>
      </c>
      <c r="D754" s="165">
        <v>3</v>
      </c>
      <c r="E754" s="165" t="s">
        <v>3251</v>
      </c>
      <c r="F754" s="165" t="s">
        <v>3252</v>
      </c>
      <c r="G754" s="165">
        <v>14175</v>
      </c>
      <c r="H754" s="165"/>
      <c r="I754" s="165"/>
      <c r="J754" s="165"/>
      <c r="K754" s="165">
        <v>14175</v>
      </c>
      <c r="L754" s="165"/>
      <c r="M754" s="165"/>
      <c r="N754" s="165">
        <f t="shared" si="15"/>
        <v>0</v>
      </c>
      <c r="O754" s="165" t="s">
        <v>3934</v>
      </c>
      <c r="P754" s="165" t="s">
        <v>3935</v>
      </c>
      <c r="Q754" s="3">
        <v>14175</v>
      </c>
      <c r="R754">
        <v>14175</v>
      </c>
      <c r="T754"/>
    </row>
    <row r="755" spans="1:21">
      <c r="A755" s="165" t="s">
        <v>3246</v>
      </c>
      <c r="B755" s="94">
        <v>835</v>
      </c>
      <c r="C755" s="165" t="s">
        <v>8</v>
      </c>
      <c r="D755" s="165">
        <v>4</v>
      </c>
      <c r="E755" s="165" t="s">
        <v>3253</v>
      </c>
      <c r="F755" s="165" t="s">
        <v>3254</v>
      </c>
      <c r="G755" s="165">
        <v>14175</v>
      </c>
      <c r="H755" s="165"/>
      <c r="I755" s="165"/>
      <c r="J755" s="165"/>
      <c r="K755" s="165">
        <v>14175</v>
      </c>
      <c r="L755" s="165"/>
      <c r="M755" s="165"/>
      <c r="N755" s="165">
        <f t="shared" si="15"/>
        <v>0</v>
      </c>
      <c r="O755" s="165" t="s">
        <v>3946</v>
      </c>
      <c r="P755" s="165" t="s">
        <v>3947</v>
      </c>
      <c r="Q755" s="3">
        <v>14175</v>
      </c>
      <c r="R755">
        <v>14175</v>
      </c>
    </row>
    <row r="756" spans="1:21">
      <c r="A756" s="165" t="s">
        <v>3246</v>
      </c>
      <c r="B756" s="94">
        <v>836</v>
      </c>
      <c r="C756" s="165" t="s">
        <v>8</v>
      </c>
      <c r="D756" s="165">
        <v>5</v>
      </c>
      <c r="E756" s="165" t="s">
        <v>3255</v>
      </c>
      <c r="F756" s="165" t="s">
        <v>3256</v>
      </c>
      <c r="G756" s="165">
        <v>14175</v>
      </c>
      <c r="H756" s="165"/>
      <c r="I756" s="165"/>
      <c r="J756" s="165"/>
      <c r="K756" s="165">
        <v>14175</v>
      </c>
      <c r="L756" s="165"/>
      <c r="M756" s="165"/>
      <c r="N756" s="165">
        <f t="shared" si="15"/>
        <v>0</v>
      </c>
      <c r="O756" s="165" t="s">
        <v>3948</v>
      </c>
      <c r="P756" s="165" t="s">
        <v>3949</v>
      </c>
      <c r="Q756" s="3">
        <v>14175</v>
      </c>
      <c r="R756">
        <v>14175</v>
      </c>
    </row>
    <row r="757" spans="1:21">
      <c r="A757" s="165" t="s">
        <v>3246</v>
      </c>
      <c r="B757" s="94">
        <v>837</v>
      </c>
      <c r="C757" s="165" t="s">
        <v>8</v>
      </c>
      <c r="D757" s="165">
        <v>6</v>
      </c>
      <c r="E757" s="165" t="s">
        <v>3257</v>
      </c>
      <c r="F757" s="165" t="s">
        <v>3258</v>
      </c>
      <c r="G757" s="165">
        <v>14175</v>
      </c>
      <c r="H757" s="165"/>
      <c r="I757" s="165"/>
      <c r="J757" s="165"/>
      <c r="K757" s="165">
        <v>14175</v>
      </c>
      <c r="L757" s="165"/>
      <c r="M757" s="165"/>
      <c r="N757" s="165">
        <f t="shared" si="15"/>
        <v>0</v>
      </c>
      <c r="O757" s="165" t="s">
        <v>3957</v>
      </c>
      <c r="P757" s="165" t="s">
        <v>3958</v>
      </c>
      <c r="Q757" s="3">
        <v>14175</v>
      </c>
      <c r="R757">
        <v>14175</v>
      </c>
    </row>
    <row r="758" spans="1:21">
      <c r="A758" s="165" t="s">
        <v>3246</v>
      </c>
      <c r="B758" s="94">
        <v>838</v>
      </c>
      <c r="C758" s="165" t="s">
        <v>8</v>
      </c>
      <c r="D758" s="165">
        <v>7</v>
      </c>
      <c r="E758" s="165" t="s">
        <v>3259</v>
      </c>
      <c r="F758" s="165" t="s">
        <v>3260</v>
      </c>
      <c r="G758" s="165">
        <v>14175</v>
      </c>
      <c r="H758" s="165"/>
      <c r="I758" s="165"/>
      <c r="J758" s="165"/>
      <c r="K758" s="165"/>
      <c r="L758" s="165">
        <v>14175</v>
      </c>
      <c r="M758" s="165"/>
      <c r="N758" s="165">
        <f>G758+H758+I758-J758-K758-L758</f>
        <v>0</v>
      </c>
      <c r="O758" s="165" t="s">
        <v>4434</v>
      </c>
      <c r="P758" s="165" t="s">
        <v>4435</v>
      </c>
      <c r="Q758" s="3">
        <v>14175</v>
      </c>
      <c r="R758">
        <v>14175</v>
      </c>
    </row>
    <row r="759" spans="1:21">
      <c r="A759" s="165" t="s">
        <v>3246</v>
      </c>
      <c r="B759" s="94">
        <v>839</v>
      </c>
      <c r="C759" s="165" t="s">
        <v>8</v>
      </c>
      <c r="D759" s="165">
        <v>8</v>
      </c>
      <c r="E759" s="165" t="s">
        <v>3261</v>
      </c>
      <c r="F759" s="165" t="s">
        <v>3262</v>
      </c>
      <c r="G759" s="165">
        <v>14175</v>
      </c>
      <c r="H759" s="165"/>
      <c r="I759" s="165"/>
      <c r="J759" s="165"/>
      <c r="K759" s="165"/>
      <c r="L759" s="165">
        <v>14175</v>
      </c>
      <c r="M759" s="165"/>
      <c r="N759" s="165">
        <f>G759+H759+I759-J759-K759-L759</f>
        <v>0</v>
      </c>
      <c r="O759" s="165" t="s">
        <v>4588</v>
      </c>
      <c r="P759" s="165" t="s">
        <v>4781</v>
      </c>
      <c r="Q759" s="3">
        <v>14175</v>
      </c>
      <c r="R759">
        <v>14175</v>
      </c>
    </row>
    <row r="760" spans="1:21" s="283" customFormat="1">
      <c r="A760" s="279" t="s">
        <v>3112</v>
      </c>
      <c r="B760" s="279"/>
      <c r="C760" s="279" t="s">
        <v>2060</v>
      </c>
      <c r="D760" s="279">
        <v>5</v>
      </c>
      <c r="E760" s="279" t="s">
        <v>1283</v>
      </c>
      <c r="F760" s="279" t="s">
        <v>3112</v>
      </c>
      <c r="G760" s="280"/>
      <c r="H760" s="280"/>
      <c r="I760" s="280"/>
      <c r="J760" s="280"/>
      <c r="K760" s="280"/>
      <c r="L760" s="280"/>
      <c r="M760" s="280"/>
      <c r="N760" s="280">
        <f t="shared" si="15"/>
        <v>0</v>
      </c>
      <c r="O760" s="279" t="s">
        <v>3112</v>
      </c>
      <c r="P760" s="279" t="s">
        <v>3112</v>
      </c>
      <c r="Q760" s="279">
        <v>14175</v>
      </c>
      <c r="R760" s="279">
        <v>14165</v>
      </c>
      <c r="S760" s="279">
        <v>14165</v>
      </c>
      <c r="T760" s="280">
        <v>10</v>
      </c>
      <c r="U760" s="282" t="s">
        <v>245</v>
      </c>
    </row>
    <row r="761" spans="1:21">
      <c r="A761" s="165" t="s">
        <v>2341</v>
      </c>
      <c r="B761" s="94">
        <v>840</v>
      </c>
      <c r="C761" s="165" t="s">
        <v>1304</v>
      </c>
      <c r="D761" s="165">
        <v>1</v>
      </c>
      <c r="E761" s="165" t="s">
        <v>3263</v>
      </c>
      <c r="F761" s="165" t="s">
        <v>3264</v>
      </c>
      <c r="G761" s="165">
        <v>9450</v>
      </c>
      <c r="H761" s="165"/>
      <c r="I761" s="165"/>
      <c r="J761" s="165">
        <v>9450</v>
      </c>
      <c r="K761" s="165"/>
      <c r="L761" s="165"/>
      <c r="M761" s="165"/>
      <c r="N761" s="165">
        <f t="shared" si="15"/>
        <v>0</v>
      </c>
      <c r="O761" s="165" t="s">
        <v>3169</v>
      </c>
      <c r="P761" s="165" t="s">
        <v>3170</v>
      </c>
      <c r="Q761" s="3">
        <v>9450</v>
      </c>
      <c r="R761">
        <v>9450</v>
      </c>
    </row>
    <row r="762" spans="1:21">
      <c r="A762" s="165" t="s">
        <v>2341</v>
      </c>
      <c r="B762" s="94">
        <v>841</v>
      </c>
      <c r="C762" s="165" t="s">
        <v>1304</v>
      </c>
      <c r="D762" s="165">
        <v>2</v>
      </c>
      <c r="E762" s="165" t="s">
        <v>3265</v>
      </c>
      <c r="F762" s="165" t="s">
        <v>3266</v>
      </c>
      <c r="G762" s="165">
        <v>9450</v>
      </c>
      <c r="H762" s="165"/>
      <c r="I762" s="165"/>
      <c r="J762" s="165">
        <v>9450</v>
      </c>
      <c r="K762" s="165"/>
      <c r="L762" s="165"/>
      <c r="M762" s="165"/>
      <c r="N762" s="165">
        <f t="shared" si="15"/>
        <v>0</v>
      </c>
      <c r="O762" s="165" t="s">
        <v>3171</v>
      </c>
      <c r="P762" s="165" t="s">
        <v>3172</v>
      </c>
      <c r="Q762" s="3">
        <v>9450</v>
      </c>
      <c r="R762">
        <v>9450</v>
      </c>
    </row>
    <row r="763" spans="1:21">
      <c r="A763" s="165" t="s">
        <v>2341</v>
      </c>
      <c r="B763" s="94">
        <v>842</v>
      </c>
      <c r="C763" s="165" t="s">
        <v>4296</v>
      </c>
      <c r="D763" s="165">
        <v>3</v>
      </c>
      <c r="E763" s="165" t="s">
        <v>3267</v>
      </c>
      <c r="F763" s="165" t="s">
        <v>3268</v>
      </c>
      <c r="G763" s="165">
        <v>9450</v>
      </c>
      <c r="H763" s="165"/>
      <c r="I763" s="165"/>
      <c r="J763" s="165"/>
      <c r="K763" s="165">
        <v>9450</v>
      </c>
      <c r="L763" s="165"/>
      <c r="M763" s="165"/>
      <c r="N763" s="165">
        <f t="shared" si="15"/>
        <v>0</v>
      </c>
      <c r="O763" s="165" t="s">
        <v>3936</v>
      </c>
      <c r="P763" s="165" t="s">
        <v>3937</v>
      </c>
      <c r="Q763" s="3">
        <v>9450</v>
      </c>
      <c r="R763">
        <v>9450</v>
      </c>
    </row>
    <row r="764" spans="1:21">
      <c r="A764" s="165" t="s">
        <v>2341</v>
      </c>
      <c r="B764" s="94">
        <v>843</v>
      </c>
      <c r="C764" s="165" t="s">
        <v>1304</v>
      </c>
      <c r="D764" s="165">
        <v>4</v>
      </c>
      <c r="E764" s="165" t="s">
        <v>3269</v>
      </c>
      <c r="F764" s="165" t="s">
        <v>3270</v>
      </c>
      <c r="G764" s="165">
        <v>9450</v>
      </c>
      <c r="H764" s="165"/>
      <c r="I764" s="165"/>
      <c r="J764" s="165"/>
      <c r="K764" s="165">
        <v>9450</v>
      </c>
      <c r="L764" s="165"/>
      <c r="M764" s="165"/>
      <c r="N764" s="165">
        <f t="shared" si="15"/>
        <v>0</v>
      </c>
      <c r="O764" s="165" t="s">
        <v>3974</v>
      </c>
      <c r="P764" s="165" t="s">
        <v>3960</v>
      </c>
      <c r="Q764" s="3">
        <v>9450</v>
      </c>
      <c r="R764">
        <v>9450</v>
      </c>
    </row>
    <row r="765" spans="1:21">
      <c r="A765" s="165" t="s">
        <v>2341</v>
      </c>
      <c r="B765" s="94">
        <v>844</v>
      </c>
      <c r="C765" s="165" t="s">
        <v>1304</v>
      </c>
      <c r="D765" s="165">
        <v>5</v>
      </c>
      <c r="E765" s="165" t="s">
        <v>3271</v>
      </c>
      <c r="F765" s="165" t="s">
        <v>3272</v>
      </c>
      <c r="G765" s="165">
        <v>9450</v>
      </c>
      <c r="H765" s="165"/>
      <c r="I765" s="165"/>
      <c r="J765" s="165"/>
      <c r="K765" s="165">
        <v>9450</v>
      </c>
      <c r="L765" s="165"/>
      <c r="M765" s="165"/>
      <c r="N765" s="165">
        <f t="shared" si="15"/>
        <v>0</v>
      </c>
      <c r="O765" s="165" t="s">
        <v>3961</v>
      </c>
      <c r="P765" s="165" t="s">
        <v>3962</v>
      </c>
      <c r="Q765" s="3">
        <v>9450</v>
      </c>
      <c r="R765">
        <v>9450</v>
      </c>
    </row>
    <row r="766" spans="1:21">
      <c r="A766" s="165" t="s">
        <v>2341</v>
      </c>
      <c r="B766" s="94">
        <v>845</v>
      </c>
      <c r="C766" s="165" t="s">
        <v>1304</v>
      </c>
      <c r="D766" s="165">
        <v>6</v>
      </c>
      <c r="E766" s="165" t="s">
        <v>3273</v>
      </c>
      <c r="F766" s="165" t="s">
        <v>3274</v>
      </c>
      <c r="G766" s="165">
        <v>9450</v>
      </c>
      <c r="H766" s="165"/>
      <c r="I766" s="165"/>
      <c r="J766" s="165"/>
      <c r="K766" s="405">
        <v>9450</v>
      </c>
      <c r="L766" s="165"/>
      <c r="M766" s="165"/>
      <c r="N766" s="165">
        <f t="shared" si="15"/>
        <v>0</v>
      </c>
      <c r="O766" s="165"/>
      <c r="P766" s="165"/>
    </row>
    <row r="767" spans="1:21">
      <c r="A767" s="165" t="s">
        <v>2341</v>
      </c>
      <c r="B767" s="94">
        <v>846</v>
      </c>
      <c r="C767" s="165" t="s">
        <v>1304</v>
      </c>
      <c r="D767" s="165">
        <v>7</v>
      </c>
      <c r="E767" s="165" t="s">
        <v>3275</v>
      </c>
      <c r="F767" s="165" t="s">
        <v>3276</v>
      </c>
      <c r="G767" s="165">
        <v>9450</v>
      </c>
      <c r="H767" s="165"/>
      <c r="I767" s="165"/>
      <c r="J767" s="165"/>
      <c r="K767" s="405">
        <v>9450</v>
      </c>
      <c r="L767" s="165"/>
      <c r="M767" s="165"/>
      <c r="N767" s="165">
        <f t="shared" si="15"/>
        <v>0</v>
      </c>
      <c r="O767" s="165"/>
      <c r="P767" s="165"/>
    </row>
    <row r="768" spans="1:21">
      <c r="A768" s="165" t="s">
        <v>2341</v>
      </c>
      <c r="B768" s="94">
        <v>847</v>
      </c>
      <c r="C768" s="165" t="s">
        <v>1304</v>
      </c>
      <c r="D768" s="165">
        <v>8</v>
      </c>
      <c r="E768" s="165" t="s">
        <v>3277</v>
      </c>
      <c r="F768" s="165" t="s">
        <v>3278</v>
      </c>
      <c r="G768" s="165">
        <v>9450</v>
      </c>
      <c r="H768" s="165"/>
      <c r="I768" s="165"/>
      <c r="J768" s="165"/>
      <c r="K768" s="405">
        <v>9450</v>
      </c>
      <c r="L768" s="165"/>
      <c r="M768" s="165"/>
      <c r="N768" s="165">
        <f t="shared" si="15"/>
        <v>0</v>
      </c>
      <c r="O768" s="165"/>
      <c r="P768" s="165"/>
    </row>
    <row r="769" spans="1:20" s="163" customFormat="1">
      <c r="A769" s="281" t="s">
        <v>2356</v>
      </c>
      <c r="B769" s="281"/>
      <c r="C769" s="281" t="s">
        <v>1532</v>
      </c>
      <c r="D769" s="281">
        <v>6</v>
      </c>
      <c r="E769" s="281" t="s">
        <v>1283</v>
      </c>
      <c r="F769" s="281" t="s">
        <v>2356</v>
      </c>
      <c r="G769" s="284"/>
      <c r="H769" s="284"/>
      <c r="I769" s="284"/>
      <c r="J769" s="281"/>
      <c r="K769" s="281"/>
      <c r="L769" s="281"/>
      <c r="M769" s="281"/>
      <c r="N769" s="281">
        <f t="shared" si="15"/>
        <v>0</v>
      </c>
      <c r="O769" s="281" t="s">
        <v>2356</v>
      </c>
      <c r="P769" s="281" t="s">
        <v>2356</v>
      </c>
      <c r="Q769" s="281">
        <v>13500</v>
      </c>
      <c r="R769" s="281">
        <v>13485</v>
      </c>
      <c r="S769" s="281">
        <v>13485</v>
      </c>
      <c r="T769" s="284">
        <v>15</v>
      </c>
    </row>
    <row r="770" spans="1:20">
      <c r="A770" s="165" t="s">
        <v>3279</v>
      </c>
      <c r="B770" s="94">
        <v>848</v>
      </c>
      <c r="C770" s="165" t="s">
        <v>1232</v>
      </c>
      <c r="D770" s="165">
        <v>2</v>
      </c>
      <c r="E770" s="165" t="s">
        <v>3280</v>
      </c>
      <c r="F770" s="165" t="s">
        <v>3226</v>
      </c>
      <c r="G770" s="165">
        <v>16380</v>
      </c>
      <c r="H770" s="165"/>
      <c r="I770" s="165"/>
      <c r="J770" s="165">
        <v>16380</v>
      </c>
      <c r="K770" s="165"/>
      <c r="L770" s="165"/>
      <c r="M770" s="165"/>
      <c r="N770" s="165">
        <f t="shared" si="15"/>
        <v>0</v>
      </c>
      <c r="O770" s="165" t="s">
        <v>3169</v>
      </c>
      <c r="P770" s="165" t="s">
        <v>3170</v>
      </c>
      <c r="Q770" s="3">
        <v>16380</v>
      </c>
      <c r="R770">
        <v>16380</v>
      </c>
    </row>
    <row r="771" spans="1:20" s="163" customFormat="1">
      <c r="A771" s="281" t="s">
        <v>3281</v>
      </c>
      <c r="B771" s="281"/>
      <c r="C771" s="281" t="s">
        <v>2421</v>
      </c>
      <c r="D771" s="281">
        <v>5</v>
      </c>
      <c r="E771" s="281" t="s">
        <v>1283</v>
      </c>
      <c r="F771" s="281" t="s">
        <v>3281</v>
      </c>
      <c r="G771" s="284"/>
      <c r="H771" s="284"/>
      <c r="I771" s="284"/>
      <c r="J771" s="281"/>
      <c r="K771" s="281"/>
      <c r="L771" s="281"/>
      <c r="M771" s="281"/>
      <c r="N771" s="281">
        <f t="shared" si="15"/>
        <v>0</v>
      </c>
      <c r="O771" s="281" t="s">
        <v>3281</v>
      </c>
      <c r="P771" s="281" t="s">
        <v>3281</v>
      </c>
      <c r="Q771" s="281">
        <v>13230</v>
      </c>
      <c r="R771" s="281">
        <v>13220</v>
      </c>
      <c r="S771" s="281">
        <v>13220</v>
      </c>
      <c r="T771" s="284">
        <v>10</v>
      </c>
    </row>
    <row r="772" spans="1:20">
      <c r="A772" s="165" t="s">
        <v>3281</v>
      </c>
      <c r="B772" s="94">
        <v>849</v>
      </c>
      <c r="C772" s="165" t="s">
        <v>1301</v>
      </c>
      <c r="D772" s="165">
        <v>1</v>
      </c>
      <c r="E772" s="165" t="s">
        <v>3282</v>
      </c>
      <c r="F772" s="165" t="s">
        <v>792</v>
      </c>
      <c r="G772" s="165">
        <v>14175</v>
      </c>
      <c r="H772" s="165"/>
      <c r="I772" s="165"/>
      <c r="J772" s="165">
        <v>14175</v>
      </c>
      <c r="K772" s="165"/>
      <c r="L772" s="165"/>
      <c r="M772" s="165"/>
      <c r="N772" s="165">
        <f t="shared" si="15"/>
        <v>0</v>
      </c>
      <c r="O772" s="165" t="s">
        <v>3169</v>
      </c>
      <c r="P772" s="165" t="s">
        <v>3170</v>
      </c>
      <c r="Q772" s="3">
        <v>14175</v>
      </c>
      <c r="R772">
        <v>14175</v>
      </c>
    </row>
    <row r="773" spans="1:20">
      <c r="A773" s="165" t="s">
        <v>3281</v>
      </c>
      <c r="B773" s="94">
        <v>850</v>
      </c>
      <c r="C773" s="165" t="s">
        <v>1301</v>
      </c>
      <c r="D773" s="165">
        <v>2</v>
      </c>
      <c r="E773" s="165" t="s">
        <v>3283</v>
      </c>
      <c r="F773" s="165" t="s">
        <v>794</v>
      </c>
      <c r="G773" s="165">
        <v>14175</v>
      </c>
      <c r="H773" s="165"/>
      <c r="I773" s="165"/>
      <c r="J773" s="165">
        <v>14175</v>
      </c>
      <c r="K773" s="165"/>
      <c r="L773" s="165"/>
      <c r="M773" s="165"/>
      <c r="N773" s="165">
        <f t="shared" si="15"/>
        <v>0</v>
      </c>
      <c r="O773" s="165" t="s">
        <v>3938</v>
      </c>
      <c r="P773" s="165" t="s">
        <v>3939</v>
      </c>
      <c r="Q773" s="3">
        <v>14175</v>
      </c>
      <c r="R773" s="281">
        <v>14175</v>
      </c>
    </row>
    <row r="774" spans="1:20">
      <c r="A774" s="165" t="s">
        <v>3281</v>
      </c>
      <c r="B774" s="94">
        <v>851</v>
      </c>
      <c r="C774" s="165" t="s">
        <v>1301</v>
      </c>
      <c r="D774" s="165">
        <v>3</v>
      </c>
      <c r="E774" s="165" t="s">
        <v>3284</v>
      </c>
      <c r="F774" s="165" t="s">
        <v>796</v>
      </c>
      <c r="G774" s="165">
        <v>14175</v>
      </c>
      <c r="H774" s="165"/>
      <c r="I774" s="165"/>
      <c r="J774" s="165"/>
      <c r="K774" s="165">
        <v>14175</v>
      </c>
      <c r="L774" s="165"/>
      <c r="M774" s="165"/>
      <c r="N774" s="165">
        <f t="shared" si="15"/>
        <v>0</v>
      </c>
      <c r="O774" s="165" t="s">
        <v>3944</v>
      </c>
      <c r="P774" s="165" t="s">
        <v>3945</v>
      </c>
      <c r="Q774" s="3">
        <v>14175</v>
      </c>
      <c r="R774">
        <v>14175</v>
      </c>
    </row>
    <row r="775" spans="1:20">
      <c r="A775" s="165" t="s">
        <v>3281</v>
      </c>
      <c r="B775" s="94">
        <v>852</v>
      </c>
      <c r="C775" s="165" t="s">
        <v>1301</v>
      </c>
      <c r="D775" s="165">
        <v>4</v>
      </c>
      <c r="E775" s="165" t="s">
        <v>3285</v>
      </c>
      <c r="F775" s="165" t="s">
        <v>798</v>
      </c>
      <c r="G775" s="165">
        <v>14175</v>
      </c>
      <c r="H775" s="165"/>
      <c r="I775" s="165"/>
      <c r="J775" s="165"/>
      <c r="K775" s="165">
        <v>14175</v>
      </c>
      <c r="L775" s="165"/>
      <c r="M775" s="165"/>
      <c r="N775" s="165">
        <f t="shared" si="15"/>
        <v>0</v>
      </c>
      <c r="O775" s="165" t="s">
        <v>3952</v>
      </c>
      <c r="P775" s="165" t="s">
        <v>3953</v>
      </c>
      <c r="Q775" s="3">
        <v>14175</v>
      </c>
      <c r="R775" s="281">
        <v>14175</v>
      </c>
    </row>
    <row r="776" spans="1:20">
      <c r="A776" s="165" t="s">
        <v>3281</v>
      </c>
      <c r="B776" s="94">
        <v>853</v>
      </c>
      <c r="C776" s="165" t="s">
        <v>1301</v>
      </c>
      <c r="D776" s="165">
        <v>5</v>
      </c>
      <c r="E776" s="165" t="s">
        <v>3286</v>
      </c>
      <c r="F776" s="165" t="s">
        <v>800</v>
      </c>
      <c r="G776" s="165">
        <v>14175</v>
      </c>
      <c r="H776" s="165"/>
      <c r="I776" s="165"/>
      <c r="J776" s="165"/>
      <c r="K776" s="165">
        <v>14175</v>
      </c>
      <c r="L776" s="165"/>
      <c r="M776" s="165"/>
      <c r="N776" s="165">
        <f t="shared" si="15"/>
        <v>0</v>
      </c>
      <c r="O776" s="165" t="s">
        <v>3965</v>
      </c>
      <c r="P776" s="165" t="s">
        <v>3966</v>
      </c>
      <c r="Q776" s="3">
        <v>14175</v>
      </c>
      <c r="R776">
        <v>14175</v>
      </c>
    </row>
    <row r="777" spans="1:20">
      <c r="A777" s="165" t="s">
        <v>3281</v>
      </c>
      <c r="B777" s="94">
        <v>854</v>
      </c>
      <c r="C777" s="165" t="s">
        <v>1301</v>
      </c>
      <c r="D777" s="165">
        <v>6</v>
      </c>
      <c r="E777" s="165" t="s">
        <v>3287</v>
      </c>
      <c r="F777" s="165" t="s">
        <v>802</v>
      </c>
      <c r="G777" s="165">
        <v>14175</v>
      </c>
      <c r="H777" s="165"/>
      <c r="I777" s="165"/>
      <c r="J777" s="165"/>
      <c r="K777" s="165"/>
      <c r="L777" s="165">
        <v>14175</v>
      </c>
      <c r="M777" s="165"/>
      <c r="N777" s="165">
        <f>G777+H777+I777-J777-K777-L777</f>
        <v>0</v>
      </c>
      <c r="O777" s="165" t="s">
        <v>4236</v>
      </c>
      <c r="P777" s="165" t="s">
        <v>4752</v>
      </c>
      <c r="Q777" s="3">
        <v>14175</v>
      </c>
      <c r="R777" s="281">
        <v>14175</v>
      </c>
    </row>
    <row r="778" spans="1:20">
      <c r="A778" s="165" t="s">
        <v>3281</v>
      </c>
      <c r="B778" s="94">
        <v>855</v>
      </c>
      <c r="C778" s="165" t="s">
        <v>1301</v>
      </c>
      <c r="D778" s="165">
        <v>7</v>
      </c>
      <c r="E778" s="165" t="s">
        <v>3288</v>
      </c>
      <c r="F778" s="165" t="s">
        <v>3289</v>
      </c>
      <c r="G778" s="165">
        <v>14175</v>
      </c>
      <c r="H778" s="165"/>
      <c r="I778" s="165"/>
      <c r="J778" s="165"/>
      <c r="K778" s="165"/>
      <c r="L778" s="165">
        <v>14175</v>
      </c>
      <c r="M778" s="165"/>
      <c r="N778" s="165">
        <f>G778+H778+I778-J778-K778-L778</f>
        <v>0</v>
      </c>
      <c r="O778" s="165" t="s">
        <v>4439</v>
      </c>
      <c r="P778" s="165" t="s">
        <v>4780</v>
      </c>
      <c r="Q778" s="3">
        <v>14175</v>
      </c>
      <c r="R778">
        <v>14175</v>
      </c>
    </row>
    <row r="779" spans="1:20">
      <c r="A779" s="165" t="s">
        <v>3281</v>
      </c>
      <c r="B779" s="94">
        <v>856</v>
      </c>
      <c r="C779" s="165" t="s">
        <v>1301</v>
      </c>
      <c r="D779" s="165">
        <v>8</v>
      </c>
      <c r="E779" s="165" t="s">
        <v>3290</v>
      </c>
      <c r="F779" s="165" t="s">
        <v>3291</v>
      </c>
      <c r="G779" s="165">
        <v>14175</v>
      </c>
      <c r="H779" s="165"/>
      <c r="I779" s="165"/>
      <c r="J779" s="165"/>
      <c r="K779" s="165"/>
      <c r="L779" s="165">
        <v>14175</v>
      </c>
      <c r="M779" s="165"/>
      <c r="N779" s="165">
        <f>G779+H779+I779-J779-K779-L779</f>
        <v>0</v>
      </c>
      <c r="O779" s="165" t="s">
        <v>4769</v>
      </c>
      <c r="P779" s="165" t="s">
        <v>4783</v>
      </c>
      <c r="Q779" s="3">
        <v>14175</v>
      </c>
      <c r="R779" s="281">
        <v>14175</v>
      </c>
    </row>
    <row r="780" spans="1:20" s="163" customFormat="1">
      <c r="A780" s="281" t="s">
        <v>3108</v>
      </c>
      <c r="B780" s="281"/>
      <c r="C780" s="281" t="s">
        <v>3825</v>
      </c>
      <c r="D780" s="281">
        <v>7</v>
      </c>
      <c r="E780" s="281" t="s">
        <v>1283</v>
      </c>
      <c r="F780" s="281" t="s">
        <v>3108</v>
      </c>
      <c r="G780" s="284"/>
      <c r="H780" s="284"/>
      <c r="I780" s="284"/>
      <c r="J780" s="281"/>
      <c r="K780" s="281"/>
      <c r="L780" s="281"/>
      <c r="M780" s="281"/>
      <c r="N780" s="281">
        <f t="shared" si="15"/>
        <v>0</v>
      </c>
      <c r="O780" s="281" t="s">
        <v>3108</v>
      </c>
      <c r="P780" s="281" t="s">
        <v>3108</v>
      </c>
      <c r="Q780" s="281">
        <v>14175</v>
      </c>
      <c r="R780" s="281">
        <v>14145</v>
      </c>
      <c r="S780" s="281">
        <v>14145</v>
      </c>
      <c r="T780" s="284">
        <v>30</v>
      </c>
    </row>
    <row r="781" spans="1:20">
      <c r="A781" s="165" t="s">
        <v>810</v>
      </c>
      <c r="B781" s="94">
        <v>857</v>
      </c>
      <c r="C781" s="165" t="s">
        <v>264</v>
      </c>
      <c r="D781" s="165">
        <v>1</v>
      </c>
      <c r="E781" s="165" t="s">
        <v>3292</v>
      </c>
      <c r="F781" s="165" t="s">
        <v>3293</v>
      </c>
      <c r="G781" s="165">
        <v>11340</v>
      </c>
      <c r="H781" s="165"/>
      <c r="I781" s="165"/>
      <c r="J781" s="165">
        <v>11340</v>
      </c>
      <c r="K781" s="165"/>
      <c r="L781" s="165"/>
      <c r="M781" s="165"/>
      <c r="N781" s="165">
        <f t="shared" si="15"/>
        <v>0</v>
      </c>
      <c r="O781" s="165" t="s">
        <v>3169</v>
      </c>
      <c r="P781" s="165" t="s">
        <v>3170</v>
      </c>
      <c r="Q781" s="3">
        <v>11340</v>
      </c>
      <c r="R781">
        <v>11340</v>
      </c>
    </row>
    <row r="782" spans="1:20">
      <c r="A782" s="165" t="s">
        <v>810</v>
      </c>
      <c r="B782" s="94">
        <v>858</v>
      </c>
      <c r="C782" s="165" t="s">
        <v>264</v>
      </c>
      <c r="D782" s="165">
        <v>2</v>
      </c>
      <c r="E782" s="165" t="s">
        <v>3294</v>
      </c>
      <c r="F782" s="165" t="s">
        <v>1066</v>
      </c>
      <c r="G782" s="165">
        <v>11340</v>
      </c>
      <c r="H782" s="165"/>
      <c r="I782" s="165"/>
      <c r="J782" s="165"/>
      <c r="K782" s="165">
        <v>11340</v>
      </c>
      <c r="L782" s="165"/>
      <c r="M782" s="165"/>
      <c r="N782" s="165">
        <f t="shared" si="15"/>
        <v>0</v>
      </c>
      <c r="O782" s="165" t="s">
        <v>3934</v>
      </c>
      <c r="P782" s="165" t="s">
        <v>3935</v>
      </c>
      <c r="Q782" s="3">
        <v>11340</v>
      </c>
      <c r="R782">
        <v>11340</v>
      </c>
    </row>
    <row r="783" spans="1:20">
      <c r="A783" s="165" t="s">
        <v>810</v>
      </c>
      <c r="B783" s="94">
        <v>859</v>
      </c>
      <c r="C783" s="165" t="s">
        <v>264</v>
      </c>
      <c r="D783" s="165">
        <v>3</v>
      </c>
      <c r="E783" s="165" t="s">
        <v>3295</v>
      </c>
      <c r="F783" s="165" t="s">
        <v>698</v>
      </c>
      <c r="G783" s="165">
        <v>11340</v>
      </c>
      <c r="H783" s="165"/>
      <c r="I783" s="165"/>
      <c r="J783" s="165"/>
      <c r="K783" s="165">
        <v>11340</v>
      </c>
      <c r="L783" s="165"/>
      <c r="M783" s="165"/>
      <c r="N783" s="165">
        <f t="shared" si="15"/>
        <v>0</v>
      </c>
      <c r="O783" s="165" t="s">
        <v>3946</v>
      </c>
      <c r="P783" s="165" t="s">
        <v>3947</v>
      </c>
      <c r="Q783" s="3">
        <v>11340</v>
      </c>
      <c r="R783">
        <v>11340</v>
      </c>
    </row>
    <row r="784" spans="1:20">
      <c r="A784" s="165" t="s">
        <v>810</v>
      </c>
      <c r="B784" s="94">
        <v>860</v>
      </c>
      <c r="C784" s="165" t="s">
        <v>264</v>
      </c>
      <c r="D784" s="165">
        <v>4</v>
      </c>
      <c r="E784" s="165" t="s">
        <v>3296</v>
      </c>
      <c r="F784" s="165" t="s">
        <v>700</v>
      </c>
      <c r="G784" s="165">
        <v>11340</v>
      </c>
      <c r="H784" s="165"/>
      <c r="I784" s="165"/>
      <c r="J784" s="165"/>
      <c r="K784" s="165">
        <v>11340</v>
      </c>
      <c r="L784" s="165"/>
      <c r="M784" s="165"/>
      <c r="N784" s="165">
        <f t="shared" si="15"/>
        <v>0</v>
      </c>
      <c r="O784" s="165" t="s">
        <v>3948</v>
      </c>
      <c r="P784" s="165" t="s">
        <v>3949</v>
      </c>
      <c r="Q784" s="3">
        <v>11340</v>
      </c>
      <c r="R784">
        <v>11340</v>
      </c>
    </row>
    <row r="785" spans="1:20">
      <c r="A785" s="165" t="s">
        <v>810</v>
      </c>
      <c r="B785" s="94">
        <v>861</v>
      </c>
      <c r="C785" s="165" t="s">
        <v>264</v>
      </c>
      <c r="D785" s="165">
        <v>5</v>
      </c>
      <c r="E785" s="165" t="s">
        <v>3297</v>
      </c>
      <c r="F785" s="165" t="s">
        <v>3298</v>
      </c>
      <c r="G785" s="165">
        <v>11340</v>
      </c>
      <c r="H785" s="165"/>
      <c r="I785" s="165"/>
      <c r="J785" s="165"/>
      <c r="K785" s="165">
        <v>11340</v>
      </c>
      <c r="L785" s="165"/>
      <c r="M785" s="165"/>
      <c r="N785" s="165">
        <f t="shared" si="15"/>
        <v>0</v>
      </c>
      <c r="O785" s="165" t="s">
        <v>3975</v>
      </c>
      <c r="P785" s="165" t="s">
        <v>3958</v>
      </c>
      <c r="Q785" s="3">
        <v>11340</v>
      </c>
      <c r="R785">
        <v>11340</v>
      </c>
    </row>
    <row r="786" spans="1:20">
      <c r="A786" s="165" t="s">
        <v>810</v>
      </c>
      <c r="B786" s="94">
        <v>862</v>
      </c>
      <c r="C786" s="165" t="s">
        <v>264</v>
      </c>
      <c r="D786" s="165">
        <v>6</v>
      </c>
      <c r="E786" s="165" t="s">
        <v>3299</v>
      </c>
      <c r="F786" s="165" t="s">
        <v>3300</v>
      </c>
      <c r="G786" s="165">
        <v>11340</v>
      </c>
      <c r="H786" s="165"/>
      <c r="I786" s="165"/>
      <c r="J786" s="165"/>
      <c r="K786" s="165"/>
      <c r="L786" s="165">
        <v>11340</v>
      </c>
      <c r="M786" s="165"/>
      <c r="N786" s="165">
        <f>G786+H786+I786-J786-K786-L786</f>
        <v>0</v>
      </c>
      <c r="O786" s="165" t="s">
        <v>4434</v>
      </c>
      <c r="P786" s="165" t="s">
        <v>4435</v>
      </c>
      <c r="Q786" s="3">
        <v>11340</v>
      </c>
      <c r="R786">
        <v>11340</v>
      </c>
      <c r="T786"/>
    </row>
    <row r="787" spans="1:20">
      <c r="A787" s="165" t="s">
        <v>810</v>
      </c>
      <c r="B787" s="94">
        <v>863</v>
      </c>
      <c r="C787" s="165" t="s">
        <v>264</v>
      </c>
      <c r="D787" s="165">
        <v>7</v>
      </c>
      <c r="E787" s="165" t="s">
        <v>3301</v>
      </c>
      <c r="F787" s="165" t="s">
        <v>3302</v>
      </c>
      <c r="G787" s="165">
        <v>11340</v>
      </c>
      <c r="H787" s="165"/>
      <c r="I787" s="165"/>
      <c r="J787" s="165"/>
      <c r="K787" s="165"/>
      <c r="L787" s="165">
        <v>11340</v>
      </c>
      <c r="M787" s="165"/>
      <c r="N787" s="165">
        <f>G787+H787+I787-J787-K787-L787</f>
        <v>0</v>
      </c>
      <c r="O787" s="165" t="s">
        <v>4588</v>
      </c>
      <c r="P787" s="165" t="s">
        <v>4781</v>
      </c>
      <c r="Q787" s="3">
        <v>11340</v>
      </c>
      <c r="R787">
        <v>11340</v>
      </c>
      <c r="T787"/>
    </row>
    <row r="788" spans="1:20">
      <c r="A788" s="165" t="s">
        <v>810</v>
      </c>
      <c r="B788" s="94">
        <v>864</v>
      </c>
      <c r="C788" s="165" t="s">
        <v>264</v>
      </c>
      <c r="D788" s="165">
        <v>8</v>
      </c>
      <c r="E788" s="165" t="s">
        <v>3303</v>
      </c>
      <c r="F788" s="165" t="s">
        <v>3304</v>
      </c>
      <c r="G788" s="165">
        <v>11340</v>
      </c>
      <c r="H788" s="165"/>
      <c r="I788" s="165"/>
      <c r="J788" s="165"/>
      <c r="K788" s="165"/>
      <c r="L788" s="165">
        <v>11340</v>
      </c>
      <c r="M788" s="165"/>
      <c r="N788" s="165">
        <f>G788+H788+I788-J788-K788-L788</f>
        <v>0</v>
      </c>
      <c r="O788" s="165" t="s">
        <v>4771</v>
      </c>
      <c r="P788" s="165" t="s">
        <v>4785</v>
      </c>
      <c r="Q788" s="3">
        <v>11340</v>
      </c>
      <c r="R788">
        <v>11340</v>
      </c>
      <c r="T788"/>
    </row>
    <row r="789" spans="1:20">
      <c r="A789" s="165" t="s">
        <v>3305</v>
      </c>
      <c r="B789" s="94">
        <v>865</v>
      </c>
      <c r="C789" s="165" t="s">
        <v>1249</v>
      </c>
      <c r="D789" s="165">
        <v>1</v>
      </c>
      <c r="E789" s="165" t="s">
        <v>3306</v>
      </c>
      <c r="F789" s="165" t="s">
        <v>3305</v>
      </c>
      <c r="G789" s="165">
        <v>3780</v>
      </c>
      <c r="H789" s="165"/>
      <c r="I789" s="165"/>
      <c r="J789" s="165">
        <v>3780</v>
      </c>
      <c r="K789" s="165"/>
      <c r="L789" s="165"/>
      <c r="M789" s="165"/>
      <c r="N789" s="165">
        <f t="shared" si="15"/>
        <v>0</v>
      </c>
      <c r="O789" s="165" t="s">
        <v>3169</v>
      </c>
      <c r="P789" s="165" t="s">
        <v>3170</v>
      </c>
      <c r="Q789" s="3">
        <v>3780</v>
      </c>
      <c r="R789">
        <v>3780</v>
      </c>
      <c r="T789"/>
    </row>
    <row r="790" spans="1:20">
      <c r="A790" s="165" t="s">
        <v>3305</v>
      </c>
      <c r="B790" s="94">
        <v>866</v>
      </c>
      <c r="C790" s="165" t="s">
        <v>1249</v>
      </c>
      <c r="D790" s="165">
        <v>2</v>
      </c>
      <c r="E790" s="165" t="s">
        <v>3307</v>
      </c>
      <c r="F790" s="165" t="s">
        <v>3308</v>
      </c>
      <c r="G790" s="165">
        <v>3780</v>
      </c>
      <c r="H790" s="165"/>
      <c r="I790" s="165"/>
      <c r="J790" s="165">
        <v>3780</v>
      </c>
      <c r="K790" s="165"/>
      <c r="L790" s="165"/>
      <c r="M790" s="165"/>
      <c r="N790" s="165">
        <f t="shared" si="15"/>
        <v>0</v>
      </c>
      <c r="O790" s="165" t="s">
        <v>3171</v>
      </c>
      <c r="P790" s="165" t="s">
        <v>3172</v>
      </c>
      <c r="Q790" s="3">
        <v>3780</v>
      </c>
      <c r="R790">
        <v>3780</v>
      </c>
      <c r="T790"/>
    </row>
    <row r="791" spans="1:20">
      <c r="A791" s="165" t="s">
        <v>3305</v>
      </c>
      <c r="B791" s="94">
        <v>867</v>
      </c>
      <c r="C791" s="165" t="s">
        <v>1249</v>
      </c>
      <c r="D791" s="165">
        <v>3</v>
      </c>
      <c r="E791" s="165" t="s">
        <v>3309</v>
      </c>
      <c r="F791" s="165" t="s">
        <v>3310</v>
      </c>
      <c r="G791" s="165">
        <v>3780</v>
      </c>
      <c r="H791" s="165"/>
      <c r="I791" s="165"/>
      <c r="J791" s="165"/>
      <c r="K791" s="165">
        <v>3780</v>
      </c>
      <c r="L791" s="165"/>
      <c r="M791" s="165"/>
      <c r="N791" s="165">
        <f t="shared" ref="N791:N850" si="16">G791+H791+I791-J791-K791</f>
        <v>0</v>
      </c>
      <c r="O791" s="165" t="s">
        <v>3938</v>
      </c>
      <c r="P791" s="165" t="s">
        <v>3939</v>
      </c>
      <c r="Q791" s="3">
        <v>3780</v>
      </c>
      <c r="R791">
        <v>3780</v>
      </c>
      <c r="T791"/>
    </row>
    <row r="792" spans="1:20">
      <c r="A792" s="165" t="s">
        <v>3305</v>
      </c>
      <c r="B792" s="94">
        <v>868</v>
      </c>
      <c r="C792" s="165" t="s">
        <v>1249</v>
      </c>
      <c r="D792" s="165">
        <v>4</v>
      </c>
      <c r="E792" s="336" t="s">
        <v>3976</v>
      </c>
      <c r="F792" s="165" t="s">
        <v>3311</v>
      </c>
      <c r="G792" s="165">
        <v>3780</v>
      </c>
      <c r="H792" s="165"/>
      <c r="I792" s="165"/>
      <c r="J792" s="165"/>
      <c r="K792" s="165">
        <v>3780</v>
      </c>
      <c r="L792" s="165"/>
      <c r="M792" s="165"/>
      <c r="N792" s="165">
        <f t="shared" si="16"/>
        <v>0</v>
      </c>
      <c r="O792" s="165" t="s">
        <v>3934</v>
      </c>
      <c r="P792" s="165" t="s">
        <v>3935</v>
      </c>
      <c r="Q792" s="3">
        <v>3780</v>
      </c>
      <c r="R792">
        <v>3780</v>
      </c>
      <c r="T792"/>
    </row>
    <row r="793" spans="1:20">
      <c r="A793" s="165" t="s">
        <v>3305</v>
      </c>
      <c r="B793" s="94">
        <v>869</v>
      </c>
      <c r="C793" s="165" t="s">
        <v>1249</v>
      </c>
      <c r="D793" s="165">
        <v>5</v>
      </c>
      <c r="E793" s="336" t="s">
        <v>3977</v>
      </c>
      <c r="F793" s="165" t="s">
        <v>3312</v>
      </c>
      <c r="G793" s="165">
        <v>3780</v>
      </c>
      <c r="H793" s="165"/>
      <c r="I793" s="165"/>
      <c r="J793" s="165"/>
      <c r="K793" s="165">
        <v>3780</v>
      </c>
      <c r="L793" s="165"/>
      <c r="M793" s="165"/>
      <c r="N793" s="165">
        <f t="shared" si="16"/>
        <v>0</v>
      </c>
      <c r="O793" s="165" t="s">
        <v>3936</v>
      </c>
      <c r="P793" s="165" t="s">
        <v>3937</v>
      </c>
      <c r="Q793" s="3">
        <v>3780</v>
      </c>
      <c r="R793">
        <v>3780</v>
      </c>
      <c r="T793"/>
    </row>
    <row r="794" spans="1:20">
      <c r="A794" s="165" t="s">
        <v>3305</v>
      </c>
      <c r="B794" s="94">
        <v>870</v>
      </c>
      <c r="C794" s="165" t="s">
        <v>1249</v>
      </c>
      <c r="D794" s="165">
        <v>6</v>
      </c>
      <c r="E794" s="336" t="s">
        <v>3978</v>
      </c>
      <c r="F794" s="165" t="s">
        <v>3313</v>
      </c>
      <c r="G794" s="165">
        <v>3780</v>
      </c>
      <c r="H794" s="165"/>
      <c r="I794" s="165"/>
      <c r="J794" s="165"/>
      <c r="K794" s="165">
        <v>3780</v>
      </c>
      <c r="L794" s="165"/>
      <c r="M794" s="165"/>
      <c r="N794" s="165">
        <f t="shared" si="16"/>
        <v>0</v>
      </c>
      <c r="O794" s="165" t="s">
        <v>3944</v>
      </c>
      <c r="P794" s="165" t="s">
        <v>3945</v>
      </c>
      <c r="Q794" s="3">
        <v>3780</v>
      </c>
      <c r="R794">
        <v>3780</v>
      </c>
      <c r="T794"/>
    </row>
    <row r="795" spans="1:20">
      <c r="A795" s="165" t="s">
        <v>3305</v>
      </c>
      <c r="B795" s="94">
        <v>871</v>
      </c>
      <c r="C795" s="165" t="s">
        <v>1249</v>
      </c>
      <c r="D795" s="165">
        <v>7</v>
      </c>
      <c r="E795" s="165" t="s">
        <v>3979</v>
      </c>
      <c r="F795" s="165" t="s">
        <v>3314</v>
      </c>
      <c r="G795" s="165">
        <v>3780</v>
      </c>
      <c r="H795" s="165"/>
      <c r="I795" s="165"/>
      <c r="J795" s="165"/>
      <c r="K795" s="165">
        <v>3780</v>
      </c>
      <c r="L795" s="165"/>
      <c r="M795" s="165"/>
      <c r="N795" s="165">
        <f t="shared" si="16"/>
        <v>0</v>
      </c>
      <c r="O795" s="165" t="s">
        <v>3946</v>
      </c>
      <c r="P795" s="165" t="s">
        <v>3947</v>
      </c>
      <c r="Q795" s="3">
        <v>3780</v>
      </c>
      <c r="R795">
        <v>3780</v>
      </c>
      <c r="T795"/>
    </row>
    <row r="796" spans="1:20">
      <c r="A796" s="165" t="s">
        <v>3305</v>
      </c>
      <c r="B796" s="94">
        <v>872</v>
      </c>
      <c r="C796" s="165" t="s">
        <v>1249</v>
      </c>
      <c r="D796" s="165">
        <v>8</v>
      </c>
      <c r="E796" s="165" t="s">
        <v>3980</v>
      </c>
      <c r="F796" s="165" t="s">
        <v>3315</v>
      </c>
      <c r="G796" s="165">
        <v>3780</v>
      </c>
      <c r="H796" s="165"/>
      <c r="I796" s="165"/>
      <c r="J796" s="165"/>
      <c r="K796" s="165">
        <v>3780</v>
      </c>
      <c r="L796" s="165"/>
      <c r="M796" s="165"/>
      <c r="N796" s="165">
        <f t="shared" si="16"/>
        <v>0</v>
      </c>
      <c r="O796" s="165" t="s">
        <v>3981</v>
      </c>
      <c r="P796" s="165" t="s">
        <v>3960</v>
      </c>
      <c r="Q796" s="3">
        <v>3780</v>
      </c>
      <c r="R796">
        <v>3780</v>
      </c>
      <c r="T796"/>
    </row>
    <row r="797" spans="1:20">
      <c r="A797" s="165" t="s">
        <v>3305</v>
      </c>
      <c r="B797" s="94">
        <v>873</v>
      </c>
      <c r="C797" s="165" t="s">
        <v>1249</v>
      </c>
      <c r="D797" s="165">
        <v>9</v>
      </c>
      <c r="E797" s="165" t="s">
        <v>3982</v>
      </c>
      <c r="F797" s="165" t="s">
        <v>3316</v>
      </c>
      <c r="G797" s="165">
        <v>3780</v>
      </c>
      <c r="H797" s="165"/>
      <c r="I797" s="165"/>
      <c r="J797" s="165"/>
      <c r="K797" s="165">
        <v>3780</v>
      </c>
      <c r="L797" s="165"/>
      <c r="M797" s="165"/>
      <c r="N797" s="165">
        <f t="shared" si="16"/>
        <v>0</v>
      </c>
      <c r="O797" s="165" t="s">
        <v>3952</v>
      </c>
      <c r="P797" s="165" t="s">
        <v>3953</v>
      </c>
      <c r="Q797" s="3">
        <v>3780</v>
      </c>
      <c r="R797">
        <v>3780</v>
      </c>
      <c r="T797"/>
    </row>
    <row r="798" spans="1:20">
      <c r="A798" s="165" t="s">
        <v>3305</v>
      </c>
      <c r="B798" s="94">
        <v>874</v>
      </c>
      <c r="C798" s="165" t="s">
        <v>1249</v>
      </c>
      <c r="D798" s="165">
        <v>10</v>
      </c>
      <c r="E798" s="165" t="s">
        <v>3983</v>
      </c>
      <c r="F798" s="165" t="s">
        <v>3317</v>
      </c>
      <c r="G798" s="165">
        <v>3780</v>
      </c>
      <c r="H798" s="165"/>
      <c r="I798" s="165"/>
      <c r="J798" s="165"/>
      <c r="K798" s="165">
        <v>3780</v>
      </c>
      <c r="L798" s="165"/>
      <c r="M798" s="165"/>
      <c r="N798" s="165">
        <f t="shared" si="16"/>
        <v>0</v>
      </c>
      <c r="O798" s="165" t="s">
        <v>3948</v>
      </c>
      <c r="P798" s="165" t="s">
        <v>3949</v>
      </c>
      <c r="Q798" s="3">
        <v>3780</v>
      </c>
      <c r="R798">
        <v>3780</v>
      </c>
      <c r="T798"/>
    </row>
    <row r="799" spans="1:20">
      <c r="A799" s="165" t="s">
        <v>3305</v>
      </c>
      <c r="B799" s="94">
        <v>875</v>
      </c>
      <c r="C799" s="165" t="s">
        <v>1249</v>
      </c>
      <c r="D799" s="165">
        <v>11</v>
      </c>
      <c r="E799" s="165" t="s">
        <v>3984</v>
      </c>
      <c r="F799" s="165" t="s">
        <v>3318</v>
      </c>
      <c r="G799" s="165">
        <v>3780</v>
      </c>
      <c r="H799" s="165"/>
      <c r="I799" s="165"/>
      <c r="J799" s="165"/>
      <c r="K799" s="165">
        <v>3780</v>
      </c>
      <c r="L799" s="165"/>
      <c r="M799" s="165"/>
      <c r="N799" s="165">
        <f t="shared" si="16"/>
        <v>0</v>
      </c>
      <c r="O799" s="165" t="s">
        <v>3961</v>
      </c>
      <c r="P799" s="165" t="s">
        <v>3962</v>
      </c>
      <c r="Q799" s="3">
        <v>3780</v>
      </c>
      <c r="R799">
        <v>3780</v>
      </c>
      <c r="T799"/>
    </row>
    <row r="800" spans="1:20">
      <c r="A800" s="165" t="s">
        <v>3305</v>
      </c>
      <c r="B800" s="94">
        <v>876</v>
      </c>
      <c r="C800" s="165" t="s">
        <v>1249</v>
      </c>
      <c r="D800" s="165">
        <v>12</v>
      </c>
      <c r="E800" s="165" t="s">
        <v>3985</v>
      </c>
      <c r="F800" s="165" t="s">
        <v>3319</v>
      </c>
      <c r="G800" s="165">
        <v>3780</v>
      </c>
      <c r="H800" s="165"/>
      <c r="I800" s="165"/>
      <c r="J800" s="165"/>
      <c r="K800" s="165">
        <v>3780</v>
      </c>
      <c r="L800" s="165"/>
      <c r="M800" s="165"/>
      <c r="N800" s="165">
        <f t="shared" si="16"/>
        <v>0</v>
      </c>
      <c r="O800" s="165" t="s">
        <v>3965</v>
      </c>
      <c r="P800" s="165" t="s">
        <v>3966</v>
      </c>
      <c r="Q800" s="3">
        <v>3780</v>
      </c>
      <c r="R800">
        <v>3780</v>
      </c>
      <c r="T800"/>
    </row>
    <row r="801" spans="1:21">
      <c r="A801" s="165" t="s">
        <v>3320</v>
      </c>
      <c r="B801" s="94">
        <v>877</v>
      </c>
      <c r="C801" s="165" t="s">
        <v>1305</v>
      </c>
      <c r="D801" s="165">
        <v>1</v>
      </c>
      <c r="E801" s="165" t="s">
        <v>3321</v>
      </c>
      <c r="F801" s="165" t="s">
        <v>1042</v>
      </c>
      <c r="G801" s="165">
        <v>11340</v>
      </c>
      <c r="H801" s="165"/>
      <c r="I801" s="165"/>
      <c r="J801" s="165">
        <v>11340</v>
      </c>
      <c r="K801" s="165"/>
      <c r="L801" s="165"/>
      <c r="M801" s="165"/>
      <c r="N801" s="165">
        <f t="shared" si="16"/>
        <v>0</v>
      </c>
      <c r="O801" s="165" t="s">
        <v>3171</v>
      </c>
      <c r="P801" s="165" t="s">
        <v>3172</v>
      </c>
      <c r="Q801" s="3">
        <v>11340</v>
      </c>
      <c r="R801">
        <v>11340</v>
      </c>
      <c r="T801"/>
    </row>
    <row r="802" spans="1:21" s="163" customFormat="1">
      <c r="A802" s="281" t="s">
        <v>3137</v>
      </c>
      <c r="B802" s="281"/>
      <c r="C802" s="281" t="s">
        <v>701</v>
      </c>
      <c r="D802" s="281">
        <v>1</v>
      </c>
      <c r="E802" s="281" t="s">
        <v>1283</v>
      </c>
      <c r="F802" s="281" t="s">
        <v>3137</v>
      </c>
      <c r="G802" s="284"/>
      <c r="H802" s="284"/>
      <c r="I802" s="284"/>
      <c r="J802" s="281"/>
      <c r="K802" s="281"/>
      <c r="L802" s="281"/>
      <c r="M802" s="281"/>
      <c r="N802" s="281">
        <f t="shared" si="16"/>
        <v>0</v>
      </c>
      <c r="O802" s="281" t="s">
        <v>3137</v>
      </c>
      <c r="P802" s="281" t="s">
        <v>3137</v>
      </c>
      <c r="Q802" s="281">
        <v>84000</v>
      </c>
      <c r="R802" s="281">
        <v>84000</v>
      </c>
      <c r="S802" s="281">
        <v>84000</v>
      </c>
      <c r="T802" s="284"/>
    </row>
    <row r="803" spans="1:21" s="163" customFormat="1">
      <c r="A803" s="281" t="s">
        <v>3043</v>
      </c>
      <c r="B803" s="281"/>
      <c r="C803" s="281" t="s">
        <v>747</v>
      </c>
      <c r="D803" s="281">
        <v>3</v>
      </c>
      <c r="E803" s="281" t="s">
        <v>1283</v>
      </c>
      <c r="F803" s="281" t="s">
        <v>3043</v>
      </c>
      <c r="G803" s="284"/>
      <c r="H803" s="284"/>
      <c r="I803" s="284"/>
      <c r="J803" s="281"/>
      <c r="K803" s="281"/>
      <c r="L803" s="281"/>
      <c r="M803" s="281"/>
      <c r="N803" s="281">
        <f t="shared" si="16"/>
        <v>0</v>
      </c>
      <c r="O803" s="281" t="s">
        <v>3043</v>
      </c>
      <c r="P803" s="281" t="s">
        <v>3043</v>
      </c>
      <c r="Q803" s="281">
        <v>21000</v>
      </c>
      <c r="R803" s="281">
        <v>21000</v>
      </c>
      <c r="S803" s="281">
        <v>21000</v>
      </c>
      <c r="T803" s="284"/>
      <c r="U803" s="163" t="s">
        <v>748</v>
      </c>
    </row>
    <row r="804" spans="1:21" s="163" customFormat="1">
      <c r="A804" s="281" t="s">
        <v>3139</v>
      </c>
      <c r="B804" s="281"/>
      <c r="C804" s="281" t="s">
        <v>1013</v>
      </c>
      <c r="D804" s="281">
        <v>2</v>
      </c>
      <c r="E804" s="281" t="s">
        <v>1283</v>
      </c>
      <c r="F804" s="281" t="s">
        <v>3139</v>
      </c>
      <c r="G804" s="284"/>
      <c r="H804" s="284"/>
      <c r="I804" s="284"/>
      <c r="J804" s="281"/>
      <c r="K804" s="281"/>
      <c r="L804" s="281"/>
      <c r="M804" s="281"/>
      <c r="N804" s="281">
        <f t="shared" si="16"/>
        <v>0</v>
      </c>
      <c r="O804" s="281" t="s">
        <v>3139</v>
      </c>
      <c r="P804" s="281" t="s">
        <v>3139</v>
      </c>
      <c r="Q804" s="281">
        <v>105000</v>
      </c>
      <c r="R804" s="281">
        <v>105000</v>
      </c>
      <c r="S804" s="281">
        <v>105000</v>
      </c>
      <c r="T804" s="284"/>
      <c r="U804" s="163" t="s">
        <v>746</v>
      </c>
    </row>
    <row r="805" spans="1:21" s="163" customFormat="1">
      <c r="A805" s="281" t="s">
        <v>756</v>
      </c>
      <c r="B805" s="281"/>
      <c r="C805" s="281" t="s">
        <v>1016</v>
      </c>
      <c r="D805" s="281">
        <v>2</v>
      </c>
      <c r="E805" s="281" t="s">
        <v>1283</v>
      </c>
      <c r="F805" s="281" t="s">
        <v>756</v>
      </c>
      <c r="G805" s="284"/>
      <c r="H805" s="284"/>
      <c r="I805" s="284"/>
      <c r="J805" s="281"/>
      <c r="K805" s="281"/>
      <c r="L805" s="281"/>
      <c r="M805" s="281"/>
      <c r="N805" s="281">
        <f t="shared" si="16"/>
        <v>0</v>
      </c>
      <c r="O805" s="281" t="s">
        <v>756</v>
      </c>
      <c r="P805" s="281" t="s">
        <v>756</v>
      </c>
      <c r="Q805" s="281">
        <v>105000</v>
      </c>
      <c r="R805" s="281">
        <v>105000</v>
      </c>
      <c r="S805" s="281">
        <v>105000</v>
      </c>
      <c r="T805" s="284"/>
      <c r="U805" s="163" t="s">
        <v>746</v>
      </c>
    </row>
    <row r="806" spans="1:21">
      <c r="A806" s="165" t="s">
        <v>3322</v>
      </c>
      <c r="B806" s="94">
        <v>878</v>
      </c>
      <c r="C806" s="165" t="s">
        <v>2691</v>
      </c>
      <c r="D806" s="165">
        <v>1</v>
      </c>
      <c r="E806" s="165" t="s">
        <v>3323</v>
      </c>
      <c r="F806" s="165" t="s">
        <v>708</v>
      </c>
      <c r="G806" s="165">
        <v>14175</v>
      </c>
      <c r="H806" s="165"/>
      <c r="I806" s="165"/>
      <c r="J806" s="165">
        <v>14175</v>
      </c>
      <c r="K806" s="165"/>
      <c r="L806" s="165"/>
      <c r="M806" s="165"/>
      <c r="N806" s="165">
        <f t="shared" si="16"/>
        <v>0</v>
      </c>
      <c r="O806" s="165" t="s">
        <v>3171</v>
      </c>
      <c r="P806" s="165" t="s">
        <v>3172</v>
      </c>
      <c r="Q806" s="3">
        <v>14175</v>
      </c>
      <c r="R806">
        <v>14175</v>
      </c>
    </row>
    <row r="807" spans="1:21">
      <c r="A807" s="165" t="s">
        <v>3322</v>
      </c>
      <c r="B807" s="94">
        <v>879</v>
      </c>
      <c r="C807" s="165" t="s">
        <v>2691</v>
      </c>
      <c r="D807" s="165">
        <v>2</v>
      </c>
      <c r="E807" s="165" t="s">
        <v>3324</v>
      </c>
      <c r="F807" s="165" t="s">
        <v>659</v>
      </c>
      <c r="G807" s="165">
        <v>14175</v>
      </c>
      <c r="H807" s="165"/>
      <c r="I807" s="165"/>
      <c r="J807" s="165"/>
      <c r="K807" s="165">
        <v>14175</v>
      </c>
      <c r="L807" s="165"/>
      <c r="M807" s="165"/>
      <c r="N807" s="165">
        <f t="shared" si="16"/>
        <v>0</v>
      </c>
      <c r="O807" s="165" t="s">
        <v>3934</v>
      </c>
      <c r="P807" s="165" t="s">
        <v>3935</v>
      </c>
      <c r="Q807" s="3">
        <v>14175</v>
      </c>
      <c r="R807" s="281">
        <v>14175</v>
      </c>
    </row>
    <row r="808" spans="1:21">
      <c r="A808" s="165" t="s">
        <v>3322</v>
      </c>
      <c r="B808" s="94">
        <v>880</v>
      </c>
      <c r="C808" s="165" t="s">
        <v>2691</v>
      </c>
      <c r="D808" s="165">
        <v>3</v>
      </c>
      <c r="E808" s="165" t="s">
        <v>3325</v>
      </c>
      <c r="F808" s="165" t="s">
        <v>711</v>
      </c>
      <c r="G808" s="165">
        <v>14175</v>
      </c>
      <c r="H808" s="165"/>
      <c r="I808" s="165"/>
      <c r="J808" s="165"/>
      <c r="K808" s="165">
        <v>14175</v>
      </c>
      <c r="L808" s="165"/>
      <c r="M808" s="165"/>
      <c r="N808" s="165">
        <f t="shared" si="16"/>
        <v>0</v>
      </c>
      <c r="O808" s="165" t="s">
        <v>3946</v>
      </c>
      <c r="P808" s="165" t="s">
        <v>3947</v>
      </c>
      <c r="Q808" s="3">
        <v>14175</v>
      </c>
      <c r="R808" s="281">
        <v>14175</v>
      </c>
    </row>
    <row r="809" spans="1:21">
      <c r="A809" s="165" t="s">
        <v>3322</v>
      </c>
      <c r="B809" s="94">
        <v>881</v>
      </c>
      <c r="C809" s="165" t="s">
        <v>2691</v>
      </c>
      <c r="D809" s="165">
        <v>4</v>
      </c>
      <c r="E809" s="165" t="s">
        <v>3326</v>
      </c>
      <c r="F809" s="165" t="s">
        <v>663</v>
      </c>
      <c r="G809" s="165">
        <v>14175</v>
      </c>
      <c r="H809" s="165"/>
      <c r="I809" s="165"/>
      <c r="J809" s="165"/>
      <c r="K809" s="165">
        <v>14175</v>
      </c>
      <c r="L809" s="165"/>
      <c r="M809" s="165"/>
      <c r="N809" s="165">
        <f t="shared" si="16"/>
        <v>0</v>
      </c>
      <c r="O809" s="165" t="s">
        <v>3955</v>
      </c>
      <c r="P809" s="165" t="s">
        <v>3956</v>
      </c>
      <c r="Q809" s="3">
        <v>14175</v>
      </c>
      <c r="R809" s="281">
        <v>14175</v>
      </c>
    </row>
    <row r="810" spans="1:21">
      <c r="A810" s="165" t="s">
        <v>3322</v>
      </c>
      <c r="B810" s="94">
        <v>882</v>
      </c>
      <c r="C810" s="165" t="s">
        <v>2691</v>
      </c>
      <c r="D810" s="165">
        <v>5</v>
      </c>
      <c r="E810" s="165" t="s">
        <v>3327</v>
      </c>
      <c r="F810" s="165" t="s">
        <v>3219</v>
      </c>
      <c r="G810" s="165">
        <v>14175</v>
      </c>
      <c r="H810" s="165"/>
      <c r="I810" s="165"/>
      <c r="J810" s="165"/>
      <c r="K810" s="165">
        <v>14175</v>
      </c>
      <c r="L810" s="165"/>
      <c r="M810" s="165"/>
      <c r="N810" s="165">
        <f t="shared" si="16"/>
        <v>0</v>
      </c>
      <c r="O810" s="165" t="s">
        <v>3957</v>
      </c>
      <c r="P810" s="165" t="s">
        <v>3958</v>
      </c>
      <c r="Q810" s="3">
        <v>14175</v>
      </c>
      <c r="R810" s="281">
        <v>14175</v>
      </c>
    </row>
    <row r="811" spans="1:21">
      <c r="A811" s="165" t="s">
        <v>3322</v>
      </c>
      <c r="B811" s="94">
        <v>883</v>
      </c>
      <c r="C811" s="165" t="s">
        <v>2691</v>
      </c>
      <c r="D811" s="165">
        <v>6</v>
      </c>
      <c r="E811" s="165" t="s">
        <v>3328</v>
      </c>
      <c r="F811" s="165" t="s">
        <v>3221</v>
      </c>
      <c r="G811" s="165">
        <v>14175</v>
      </c>
      <c r="H811" s="165"/>
      <c r="I811" s="165"/>
      <c r="J811" s="165"/>
      <c r="K811" s="165"/>
      <c r="L811" s="165">
        <v>14175</v>
      </c>
      <c r="M811" s="165"/>
      <c r="N811" s="165">
        <f>G811+H811+I811-J811-K811-L811</f>
        <v>0</v>
      </c>
      <c r="O811" s="165" t="s">
        <v>4434</v>
      </c>
      <c r="P811" s="165" t="s">
        <v>4102</v>
      </c>
      <c r="Q811" s="3">
        <v>14175</v>
      </c>
      <c r="R811" s="281">
        <v>14175</v>
      </c>
    </row>
    <row r="812" spans="1:21">
      <c r="A812" s="165" t="s">
        <v>3322</v>
      </c>
      <c r="B812" s="94">
        <v>884</v>
      </c>
      <c r="C812" s="165" t="s">
        <v>2691</v>
      </c>
      <c r="D812" s="165">
        <v>7</v>
      </c>
      <c r="E812" s="165" t="s">
        <v>3329</v>
      </c>
      <c r="F812" s="165" t="s">
        <v>3330</v>
      </c>
      <c r="G812" s="165">
        <v>14175</v>
      </c>
      <c r="H812" s="165"/>
      <c r="I812" s="165"/>
      <c r="J812" s="165"/>
      <c r="K812" s="165"/>
      <c r="L812" s="165">
        <v>14175</v>
      </c>
      <c r="M812" s="165"/>
      <c r="N812" s="165">
        <f>G812+H812+I812-J812-K812-L812</f>
        <v>0</v>
      </c>
      <c r="O812" s="165" t="s">
        <v>4767</v>
      </c>
      <c r="P812" s="165" t="s">
        <v>4782</v>
      </c>
      <c r="Q812" s="3">
        <v>14175</v>
      </c>
      <c r="R812" s="281">
        <v>14175</v>
      </c>
    </row>
    <row r="813" spans="1:21">
      <c r="A813" s="165" t="s">
        <v>3322</v>
      </c>
      <c r="B813" s="94">
        <v>885</v>
      </c>
      <c r="C813" s="165" t="s">
        <v>2691</v>
      </c>
      <c r="D813" s="165">
        <v>8</v>
      </c>
      <c r="E813" s="165" t="s">
        <v>3331</v>
      </c>
      <c r="F813" s="165" t="s">
        <v>3332</v>
      </c>
      <c r="G813" s="165">
        <v>14175</v>
      </c>
      <c r="H813" s="165"/>
      <c r="I813" s="165"/>
      <c r="J813" s="165"/>
      <c r="K813" s="165"/>
      <c r="L813" s="165">
        <v>14175</v>
      </c>
      <c r="M813" s="165"/>
      <c r="N813" s="165">
        <f>G813+H813+I813-J813-K813-L813</f>
        <v>0</v>
      </c>
      <c r="O813" s="165" t="s">
        <v>4715</v>
      </c>
      <c r="P813" s="165" t="s">
        <v>4786</v>
      </c>
      <c r="Q813" s="3">
        <v>14175</v>
      </c>
      <c r="R813" s="281">
        <v>14175</v>
      </c>
    </row>
    <row r="814" spans="1:21">
      <c r="A814" s="165" t="s">
        <v>3333</v>
      </c>
      <c r="B814" s="94">
        <v>886</v>
      </c>
      <c r="C814" s="165" t="s">
        <v>1270</v>
      </c>
      <c r="D814" s="165">
        <v>1</v>
      </c>
      <c r="E814" s="165" t="s">
        <v>3334</v>
      </c>
      <c r="F814" s="165" t="s">
        <v>3199</v>
      </c>
      <c r="G814" s="165">
        <v>20475</v>
      </c>
      <c r="H814" s="165"/>
      <c r="I814" s="165"/>
      <c r="J814" s="165">
        <v>20475</v>
      </c>
      <c r="K814" s="165"/>
      <c r="L814" s="165"/>
      <c r="M814" s="165"/>
      <c r="N814" s="165">
        <f t="shared" si="16"/>
        <v>0</v>
      </c>
      <c r="O814" s="165" t="s">
        <v>3171</v>
      </c>
      <c r="P814" s="165" t="s">
        <v>3172</v>
      </c>
      <c r="Q814" s="3">
        <v>20475</v>
      </c>
      <c r="R814">
        <v>20475</v>
      </c>
    </row>
    <row r="815" spans="1:21">
      <c r="A815" s="165" t="s">
        <v>3333</v>
      </c>
      <c r="B815" s="94">
        <v>887</v>
      </c>
      <c r="C815" s="165" t="s">
        <v>1270</v>
      </c>
      <c r="D815" s="165">
        <v>2</v>
      </c>
      <c r="E815" s="165" t="s">
        <v>3335</v>
      </c>
      <c r="F815" s="165" t="s">
        <v>3201</v>
      </c>
      <c r="G815" s="165">
        <v>20475</v>
      </c>
      <c r="H815" s="165"/>
      <c r="I815" s="165"/>
      <c r="J815" s="165"/>
      <c r="K815" s="165">
        <v>20475</v>
      </c>
      <c r="L815" s="165"/>
      <c r="M815" s="165"/>
      <c r="N815" s="165">
        <f t="shared" si="16"/>
        <v>0</v>
      </c>
      <c r="O815" s="165" t="s">
        <v>3936</v>
      </c>
      <c r="P815" s="165" t="s">
        <v>3937</v>
      </c>
      <c r="Q815" s="3">
        <v>20475</v>
      </c>
      <c r="R815">
        <v>20475</v>
      </c>
    </row>
    <row r="816" spans="1:21">
      <c r="A816" s="165" t="s">
        <v>3333</v>
      </c>
      <c r="B816" s="94">
        <v>888</v>
      </c>
      <c r="C816" s="165" t="s">
        <v>1270</v>
      </c>
      <c r="D816" s="165">
        <v>3</v>
      </c>
      <c r="E816" s="165" t="s">
        <v>3336</v>
      </c>
      <c r="F816" s="165" t="s">
        <v>3203</v>
      </c>
      <c r="G816" s="165">
        <v>20475</v>
      </c>
      <c r="H816" s="165"/>
      <c r="I816" s="165"/>
      <c r="J816" s="165"/>
      <c r="K816" s="165">
        <v>20475</v>
      </c>
      <c r="L816" s="165"/>
      <c r="M816" s="165"/>
      <c r="N816" s="165">
        <f t="shared" si="16"/>
        <v>0</v>
      </c>
      <c r="O816" s="165" t="s">
        <v>3969</v>
      </c>
      <c r="P816" s="165" t="s">
        <v>3960</v>
      </c>
      <c r="Q816" s="3">
        <v>20475</v>
      </c>
      <c r="R816">
        <v>20475</v>
      </c>
    </row>
    <row r="817" spans="1:21">
      <c r="A817" s="165" t="s">
        <v>3333</v>
      </c>
      <c r="B817" s="94">
        <v>889</v>
      </c>
      <c r="C817" s="165" t="s">
        <v>1270</v>
      </c>
      <c r="D817" s="165">
        <v>4</v>
      </c>
      <c r="E817" s="165" t="s">
        <v>3337</v>
      </c>
      <c r="F817" s="165" t="s">
        <v>3205</v>
      </c>
      <c r="G817" s="165">
        <v>20475</v>
      </c>
      <c r="H817" s="165"/>
      <c r="I817" s="165"/>
      <c r="J817" s="165"/>
      <c r="K817" s="165">
        <v>20475</v>
      </c>
      <c r="L817" s="165"/>
      <c r="M817" s="165"/>
      <c r="N817" s="165">
        <f t="shared" si="16"/>
        <v>0</v>
      </c>
      <c r="O817" s="165" t="s">
        <v>3970</v>
      </c>
      <c r="P817" s="165" t="s">
        <v>3971</v>
      </c>
      <c r="Q817" s="3">
        <v>20475</v>
      </c>
      <c r="R817">
        <v>20475</v>
      </c>
    </row>
    <row r="818" spans="1:21" s="163" customFormat="1">
      <c r="A818" s="281" t="s">
        <v>1042</v>
      </c>
      <c r="B818" s="281"/>
      <c r="C818" s="281" t="s">
        <v>1532</v>
      </c>
      <c r="D818" s="281">
        <v>7</v>
      </c>
      <c r="E818" s="281" t="s">
        <v>1283</v>
      </c>
      <c r="F818" s="281" t="s">
        <v>1042</v>
      </c>
      <c r="G818" s="284"/>
      <c r="H818" s="284"/>
      <c r="I818" s="284"/>
      <c r="J818" s="281"/>
      <c r="K818" s="281"/>
      <c r="L818" s="281"/>
      <c r="M818" s="281"/>
      <c r="N818" s="281">
        <f t="shared" si="16"/>
        <v>0</v>
      </c>
      <c r="O818" s="281" t="s">
        <v>1042</v>
      </c>
      <c r="P818" s="281" t="s">
        <v>1042</v>
      </c>
      <c r="Q818" s="281">
        <v>13500</v>
      </c>
      <c r="R818" s="281">
        <v>13485</v>
      </c>
      <c r="S818" s="281">
        <v>13485</v>
      </c>
      <c r="T818" s="284">
        <v>15</v>
      </c>
    </row>
    <row r="819" spans="1:21">
      <c r="A819" s="165" t="s">
        <v>3338</v>
      </c>
      <c r="B819" s="94">
        <v>890</v>
      </c>
      <c r="C819" s="165" t="s">
        <v>2688</v>
      </c>
      <c r="D819" s="165">
        <v>1</v>
      </c>
      <c r="E819" s="165" t="s">
        <v>3339</v>
      </c>
      <c r="F819" s="165" t="s">
        <v>3171</v>
      </c>
      <c r="G819" s="165">
        <v>11340</v>
      </c>
      <c r="H819" s="165"/>
      <c r="I819" s="165"/>
      <c r="J819" s="165">
        <v>11340</v>
      </c>
      <c r="K819" s="165"/>
      <c r="L819" s="165"/>
      <c r="M819" s="165"/>
      <c r="N819" s="165">
        <f t="shared" si="16"/>
        <v>0</v>
      </c>
      <c r="O819" s="165" t="s">
        <v>3171</v>
      </c>
      <c r="P819" s="165" t="s">
        <v>3172</v>
      </c>
      <c r="Q819" s="3">
        <v>11340</v>
      </c>
      <c r="R819">
        <v>11340</v>
      </c>
    </row>
    <row r="820" spans="1:21">
      <c r="A820" s="165" t="s">
        <v>3338</v>
      </c>
      <c r="B820" s="94">
        <v>891</v>
      </c>
      <c r="C820" s="165" t="s">
        <v>2688</v>
      </c>
      <c r="D820" s="165">
        <v>2</v>
      </c>
      <c r="E820" s="165" t="s">
        <v>3340</v>
      </c>
      <c r="F820" s="165" t="s">
        <v>3341</v>
      </c>
      <c r="G820" s="165">
        <v>11340</v>
      </c>
      <c r="H820" s="165"/>
      <c r="I820" s="165"/>
      <c r="J820" s="165"/>
      <c r="K820" s="165">
        <v>11340</v>
      </c>
      <c r="L820" s="165"/>
      <c r="M820" s="165"/>
      <c r="N820" s="165">
        <f t="shared" si="16"/>
        <v>0</v>
      </c>
      <c r="O820" s="165" t="s">
        <v>3936</v>
      </c>
      <c r="P820" s="165" t="s">
        <v>3937</v>
      </c>
      <c r="Q820" s="3">
        <v>11340</v>
      </c>
      <c r="R820">
        <v>11340</v>
      </c>
    </row>
    <row r="821" spans="1:21">
      <c r="A821" s="165" t="s">
        <v>3338</v>
      </c>
      <c r="B821" s="94">
        <v>892</v>
      </c>
      <c r="C821" s="165" t="s">
        <v>2688</v>
      </c>
      <c r="D821" s="165">
        <v>3</v>
      </c>
      <c r="E821" s="165" t="s">
        <v>3342</v>
      </c>
      <c r="F821" s="165" t="s">
        <v>3343</v>
      </c>
      <c r="G821" s="165">
        <v>11340</v>
      </c>
      <c r="H821" s="165"/>
      <c r="I821" s="165"/>
      <c r="J821" s="165"/>
      <c r="K821" s="165">
        <v>11340</v>
      </c>
      <c r="L821" s="165"/>
      <c r="M821" s="165"/>
      <c r="N821" s="165">
        <f t="shared" si="16"/>
        <v>0</v>
      </c>
      <c r="O821" s="165" t="s">
        <v>3952</v>
      </c>
      <c r="P821" s="165" t="s">
        <v>3953</v>
      </c>
      <c r="Q821" s="3">
        <v>11340</v>
      </c>
      <c r="R821">
        <v>11340</v>
      </c>
    </row>
    <row r="822" spans="1:21">
      <c r="A822" s="165" t="s">
        <v>3338</v>
      </c>
      <c r="B822" s="94">
        <v>893</v>
      </c>
      <c r="C822" s="165" t="s">
        <v>2688</v>
      </c>
      <c r="D822" s="165">
        <v>4</v>
      </c>
      <c r="E822" s="165" t="s">
        <v>3344</v>
      </c>
      <c r="F822" s="165" t="s">
        <v>3345</v>
      </c>
      <c r="G822" s="165">
        <v>11340</v>
      </c>
      <c r="H822" s="165"/>
      <c r="I822" s="165"/>
      <c r="J822" s="165"/>
      <c r="K822" s="165">
        <v>11340</v>
      </c>
      <c r="L822" s="165"/>
      <c r="M822" s="165"/>
      <c r="N822" s="165">
        <f t="shared" si="16"/>
        <v>0</v>
      </c>
      <c r="O822" s="165" t="s">
        <v>3986</v>
      </c>
      <c r="P822" s="165" t="s">
        <v>3987</v>
      </c>
      <c r="Q822" s="3">
        <v>11340</v>
      </c>
      <c r="R822">
        <v>11340</v>
      </c>
    </row>
    <row r="823" spans="1:21">
      <c r="A823" s="165" t="s">
        <v>3338</v>
      </c>
      <c r="B823" s="94">
        <v>894</v>
      </c>
      <c r="C823" s="165" t="s">
        <v>2688</v>
      </c>
      <c r="D823" s="165">
        <v>5</v>
      </c>
      <c r="E823" s="165" t="s">
        <v>3346</v>
      </c>
      <c r="F823" s="165" t="s">
        <v>3347</v>
      </c>
      <c r="G823" s="165">
        <v>11340</v>
      </c>
      <c r="H823" s="165"/>
      <c r="I823" s="165"/>
      <c r="J823" s="165"/>
      <c r="K823" s="165">
        <v>11340</v>
      </c>
      <c r="L823" s="165"/>
      <c r="M823" s="165"/>
      <c r="N823" s="165">
        <f t="shared" si="16"/>
        <v>0</v>
      </c>
      <c r="O823" s="165" t="s">
        <v>3972</v>
      </c>
      <c r="P823" s="165" t="s">
        <v>3988</v>
      </c>
      <c r="Q823" s="3">
        <v>11340</v>
      </c>
      <c r="R823">
        <v>11340</v>
      </c>
    </row>
    <row r="824" spans="1:21">
      <c r="A824" s="165" t="s">
        <v>3338</v>
      </c>
      <c r="B824" s="94">
        <v>895</v>
      </c>
      <c r="C824" s="165" t="s">
        <v>2688</v>
      </c>
      <c r="D824" s="165">
        <v>6</v>
      </c>
      <c r="E824" s="165" t="s">
        <v>3348</v>
      </c>
      <c r="F824" s="165" t="s">
        <v>3349</v>
      </c>
      <c r="G824" s="165">
        <v>11340</v>
      </c>
      <c r="H824" s="165"/>
      <c r="I824" s="165"/>
      <c r="J824" s="165"/>
      <c r="K824" s="165"/>
      <c r="L824" s="165">
        <v>11340</v>
      </c>
      <c r="M824" s="165"/>
      <c r="N824" s="165">
        <f>G824+H824+I824-J824-K824-L824</f>
        <v>0</v>
      </c>
      <c r="O824" s="165" t="s">
        <v>4439</v>
      </c>
      <c r="P824" s="165" t="s">
        <v>4780</v>
      </c>
      <c r="Q824" s="3">
        <v>11340</v>
      </c>
      <c r="R824">
        <v>11340</v>
      </c>
    </row>
    <row r="825" spans="1:21">
      <c r="A825" s="165" t="s">
        <v>3338</v>
      </c>
      <c r="B825" s="94">
        <v>896</v>
      </c>
      <c r="C825" s="165" t="s">
        <v>2688</v>
      </c>
      <c r="D825" s="165">
        <v>7</v>
      </c>
      <c r="E825" s="165" t="s">
        <v>3350</v>
      </c>
      <c r="F825" s="165" t="s">
        <v>3351</v>
      </c>
      <c r="G825" s="165">
        <v>11340</v>
      </c>
      <c r="H825" s="165"/>
      <c r="I825" s="165"/>
      <c r="J825" s="165"/>
      <c r="K825" s="165"/>
      <c r="L825" s="165">
        <v>11340</v>
      </c>
      <c r="M825" s="165"/>
      <c r="N825" s="165">
        <f>G825+H825+I825-J825-K825-L825</f>
        <v>0</v>
      </c>
      <c r="O825" s="165" t="s">
        <v>4768</v>
      </c>
      <c r="P825" s="165" t="s">
        <v>4677</v>
      </c>
      <c r="Q825" s="3">
        <v>11340</v>
      </c>
      <c r="R825">
        <v>11340</v>
      </c>
    </row>
    <row r="826" spans="1:21">
      <c r="A826" s="165" t="s">
        <v>3338</v>
      </c>
      <c r="B826" s="94">
        <v>897</v>
      </c>
      <c r="C826" s="165" t="s">
        <v>2688</v>
      </c>
      <c r="D826" s="165">
        <v>8</v>
      </c>
      <c r="E826" s="165" t="s">
        <v>3352</v>
      </c>
      <c r="F826" s="165" t="s">
        <v>3353</v>
      </c>
      <c r="G826" s="165">
        <v>11340</v>
      </c>
      <c r="H826" s="165"/>
      <c r="I826" s="165"/>
      <c r="J826" s="165"/>
      <c r="K826" s="165"/>
      <c r="L826" s="165">
        <v>11340</v>
      </c>
      <c r="M826" s="165"/>
      <c r="N826" s="165">
        <f>G826+H826+I826-J826-K826-L826</f>
        <v>0</v>
      </c>
      <c r="O826" s="165" t="s">
        <v>4772</v>
      </c>
      <c r="P826" s="165" t="s">
        <v>4088</v>
      </c>
      <c r="Q826" s="3">
        <v>11340</v>
      </c>
      <c r="R826">
        <v>11340</v>
      </c>
    </row>
    <row r="827" spans="1:21" s="163" customFormat="1">
      <c r="A827" s="281" t="s">
        <v>1056</v>
      </c>
      <c r="B827" s="281"/>
      <c r="C827" s="281" t="s">
        <v>2421</v>
      </c>
      <c r="D827" s="281">
        <v>6</v>
      </c>
      <c r="E827" s="281" t="s">
        <v>1283</v>
      </c>
      <c r="F827" s="281" t="s">
        <v>1056</v>
      </c>
      <c r="G827" s="284"/>
      <c r="H827" s="284"/>
      <c r="I827" s="284"/>
      <c r="J827" s="281"/>
      <c r="K827" s="281"/>
      <c r="L827" s="281"/>
      <c r="M827" s="281"/>
      <c r="N827" s="281">
        <f t="shared" si="16"/>
        <v>0</v>
      </c>
      <c r="O827" s="281" t="s">
        <v>1056</v>
      </c>
      <c r="P827" s="281" t="s">
        <v>1056</v>
      </c>
      <c r="Q827" s="281">
        <v>13230</v>
      </c>
      <c r="R827" s="281">
        <v>13220</v>
      </c>
      <c r="S827" s="281">
        <v>13220</v>
      </c>
      <c r="T827" s="284">
        <v>10</v>
      </c>
    </row>
    <row r="828" spans="1:21">
      <c r="A828" s="165" t="s">
        <v>651</v>
      </c>
      <c r="B828" s="94">
        <v>898</v>
      </c>
      <c r="C828" s="165" t="s">
        <v>1016</v>
      </c>
      <c r="D828" s="165">
        <v>1</v>
      </c>
      <c r="E828" s="165" t="s">
        <v>3354</v>
      </c>
      <c r="F828" s="165" t="s">
        <v>3355</v>
      </c>
      <c r="G828" s="165">
        <v>113400</v>
      </c>
      <c r="H828" s="165"/>
      <c r="I828" s="165"/>
      <c r="J828" s="165">
        <v>113400</v>
      </c>
      <c r="K828" s="165"/>
      <c r="L828" s="165"/>
      <c r="M828" s="165"/>
      <c r="N828" s="165">
        <f t="shared" si="16"/>
        <v>0</v>
      </c>
      <c r="O828" s="165" t="s">
        <v>3171</v>
      </c>
      <c r="P828" s="165" t="s">
        <v>3172</v>
      </c>
      <c r="Q828" s="3">
        <v>113400</v>
      </c>
      <c r="R828">
        <v>113400</v>
      </c>
    </row>
    <row r="829" spans="1:21">
      <c r="A829" s="165" t="s">
        <v>651</v>
      </c>
      <c r="B829" s="94">
        <v>899</v>
      </c>
      <c r="C829" s="165" t="s">
        <v>1013</v>
      </c>
      <c r="D829" s="165">
        <v>1</v>
      </c>
      <c r="E829" s="165" t="s">
        <v>3356</v>
      </c>
      <c r="F829" s="165" t="s">
        <v>3357</v>
      </c>
      <c r="G829" s="165">
        <v>113400</v>
      </c>
      <c r="H829" s="165"/>
      <c r="I829" s="165"/>
      <c r="J829" s="165">
        <v>113400</v>
      </c>
      <c r="K829" s="165"/>
      <c r="L829" s="165"/>
      <c r="M829" s="165"/>
      <c r="N829" s="165">
        <f t="shared" si="16"/>
        <v>0</v>
      </c>
      <c r="O829" s="165" t="s">
        <v>3171</v>
      </c>
      <c r="P829" s="165" t="s">
        <v>3172</v>
      </c>
      <c r="Q829" s="3">
        <v>113400</v>
      </c>
      <c r="R829">
        <v>113400</v>
      </c>
    </row>
    <row r="830" spans="1:21">
      <c r="A830" s="165" t="s">
        <v>651</v>
      </c>
      <c r="B830" s="94">
        <v>900</v>
      </c>
      <c r="C830" s="165" t="s">
        <v>1016</v>
      </c>
      <c r="D830" s="165">
        <v>1</v>
      </c>
      <c r="E830" s="165" t="s">
        <v>3358</v>
      </c>
      <c r="F830" s="165" t="s">
        <v>3359</v>
      </c>
      <c r="G830" s="165">
        <v>20475</v>
      </c>
      <c r="H830" s="165"/>
      <c r="I830" s="165"/>
      <c r="J830" s="165">
        <v>20475</v>
      </c>
      <c r="K830" s="165"/>
      <c r="L830" s="165"/>
      <c r="M830" s="165"/>
      <c r="N830" s="165">
        <f t="shared" si="16"/>
        <v>0</v>
      </c>
      <c r="O830" s="165" t="s">
        <v>3171</v>
      </c>
      <c r="P830" s="165" t="s">
        <v>3172</v>
      </c>
      <c r="Q830" s="3">
        <v>20475</v>
      </c>
      <c r="R830">
        <v>20475</v>
      </c>
      <c r="U830" s="271" t="s">
        <v>2740</v>
      </c>
    </row>
    <row r="831" spans="1:21">
      <c r="A831" s="165" t="s">
        <v>651</v>
      </c>
      <c r="B831" s="94">
        <v>901</v>
      </c>
      <c r="C831" s="165" t="s">
        <v>1016</v>
      </c>
      <c r="D831" s="165">
        <v>2</v>
      </c>
      <c r="E831" s="165" t="s">
        <v>3360</v>
      </c>
      <c r="F831" s="165" t="s">
        <v>3361</v>
      </c>
      <c r="G831" s="165">
        <v>20475</v>
      </c>
      <c r="H831" s="165"/>
      <c r="I831" s="165"/>
      <c r="J831" s="165"/>
      <c r="K831" s="165">
        <v>20475</v>
      </c>
      <c r="L831" s="165"/>
      <c r="M831" s="165"/>
      <c r="N831" s="165">
        <f t="shared" si="16"/>
        <v>0</v>
      </c>
      <c r="O831" s="165" t="s">
        <v>3938</v>
      </c>
      <c r="P831" s="165" t="s">
        <v>3939</v>
      </c>
      <c r="Q831" s="3">
        <v>20475</v>
      </c>
      <c r="R831">
        <v>20475</v>
      </c>
      <c r="U831" s="271" t="s">
        <v>2740</v>
      </c>
    </row>
    <row r="832" spans="1:21">
      <c r="A832" s="165" t="s">
        <v>651</v>
      </c>
      <c r="B832" s="94">
        <v>902</v>
      </c>
      <c r="C832" s="165" t="s">
        <v>1016</v>
      </c>
      <c r="D832" s="165">
        <v>3</v>
      </c>
      <c r="E832" s="165" t="s">
        <v>3362</v>
      </c>
      <c r="F832" s="165" t="s">
        <v>3363</v>
      </c>
      <c r="G832" s="165">
        <v>20475</v>
      </c>
      <c r="H832" s="165"/>
      <c r="I832" s="165"/>
      <c r="J832" s="165"/>
      <c r="K832" s="165">
        <v>20475</v>
      </c>
      <c r="L832" s="165"/>
      <c r="M832" s="165"/>
      <c r="N832" s="165">
        <f t="shared" si="16"/>
        <v>0</v>
      </c>
      <c r="O832" s="165" t="s">
        <v>3940</v>
      </c>
      <c r="P832" s="165" t="s">
        <v>3941</v>
      </c>
      <c r="Q832" s="3">
        <v>20475</v>
      </c>
      <c r="R832">
        <v>20475</v>
      </c>
      <c r="U832" s="271" t="s">
        <v>2740</v>
      </c>
    </row>
    <row r="833" spans="1:21">
      <c r="A833" s="165" t="s">
        <v>651</v>
      </c>
      <c r="B833" s="94">
        <v>903</v>
      </c>
      <c r="C833" s="165" t="s">
        <v>1016</v>
      </c>
      <c r="D833" s="165">
        <v>4</v>
      </c>
      <c r="E833" s="165" t="s">
        <v>3364</v>
      </c>
      <c r="F833" s="165" t="s">
        <v>3365</v>
      </c>
      <c r="G833" s="165">
        <v>20475</v>
      </c>
      <c r="H833" s="165"/>
      <c r="I833" s="165"/>
      <c r="J833" s="165"/>
      <c r="K833" s="165">
        <v>20475</v>
      </c>
      <c r="L833" s="165"/>
      <c r="M833" s="165"/>
      <c r="N833" s="165">
        <f t="shared" si="16"/>
        <v>0</v>
      </c>
      <c r="O833" s="165" t="s">
        <v>3948</v>
      </c>
      <c r="P833" s="165" t="s">
        <v>3949</v>
      </c>
      <c r="Q833" s="3">
        <v>20475</v>
      </c>
      <c r="R833">
        <v>20475</v>
      </c>
      <c r="U833" s="271" t="s">
        <v>2740</v>
      </c>
    </row>
    <row r="834" spans="1:21">
      <c r="A834" s="165" t="s">
        <v>651</v>
      </c>
      <c r="B834" s="94">
        <v>904</v>
      </c>
      <c r="C834" s="165" t="s">
        <v>1016</v>
      </c>
      <c r="D834" s="165">
        <v>5</v>
      </c>
      <c r="E834" s="165" t="s">
        <v>3366</v>
      </c>
      <c r="F834" s="165" t="s">
        <v>3367</v>
      </c>
      <c r="G834" s="165">
        <v>20475</v>
      </c>
      <c r="H834" s="165"/>
      <c r="I834" s="165"/>
      <c r="J834" s="165"/>
      <c r="K834" s="165">
        <v>20475</v>
      </c>
      <c r="L834" s="165"/>
      <c r="M834" s="165"/>
      <c r="N834" s="165">
        <f t="shared" si="16"/>
        <v>0</v>
      </c>
      <c r="O834" s="165" t="s">
        <v>3967</v>
      </c>
      <c r="P834" s="165" t="s">
        <v>3968</v>
      </c>
      <c r="Q834" s="3">
        <v>20475</v>
      </c>
      <c r="R834">
        <v>20475</v>
      </c>
      <c r="U834" s="271" t="s">
        <v>2740</v>
      </c>
    </row>
    <row r="835" spans="1:21">
      <c r="A835" s="165" t="s">
        <v>651</v>
      </c>
      <c r="B835" s="94">
        <v>905</v>
      </c>
      <c r="C835" s="165" t="s">
        <v>1016</v>
      </c>
      <c r="D835" s="165">
        <v>6</v>
      </c>
      <c r="E835" s="165" t="s">
        <v>3368</v>
      </c>
      <c r="F835" s="165" t="s">
        <v>3369</v>
      </c>
      <c r="G835" s="565">
        <v>20475</v>
      </c>
      <c r="H835" s="165"/>
      <c r="I835" s="165"/>
      <c r="J835" s="165"/>
      <c r="K835" s="165"/>
      <c r="L835" s="165">
        <v>20475</v>
      </c>
      <c r="M835" s="165"/>
      <c r="N835" s="165">
        <f>G835+H835+I835-J835-K835-L835</f>
        <v>0</v>
      </c>
      <c r="O835" s="165" t="s">
        <v>4433</v>
      </c>
      <c r="P835" s="165" t="s">
        <v>4779</v>
      </c>
      <c r="Q835" s="3">
        <v>20475</v>
      </c>
      <c r="R835">
        <v>20475</v>
      </c>
      <c r="U835" s="271" t="s">
        <v>2740</v>
      </c>
    </row>
    <row r="836" spans="1:21">
      <c r="A836" s="165" t="s">
        <v>651</v>
      </c>
      <c r="B836" s="94">
        <v>906</v>
      </c>
      <c r="C836" s="165" t="s">
        <v>1016</v>
      </c>
      <c r="D836" s="165">
        <v>7</v>
      </c>
      <c r="E836" s="165" t="s">
        <v>3370</v>
      </c>
      <c r="F836" s="165" t="s">
        <v>3371</v>
      </c>
      <c r="G836" s="565">
        <v>20475</v>
      </c>
      <c r="H836" s="165"/>
      <c r="I836" s="165"/>
      <c r="J836" s="165"/>
      <c r="K836" s="165"/>
      <c r="L836" s="165">
        <v>20475</v>
      </c>
      <c r="M836" s="165"/>
      <c r="N836" s="165">
        <f>G836+H836+I836-J836-K836-L836</f>
        <v>0</v>
      </c>
      <c r="O836" s="165" t="s">
        <v>4588</v>
      </c>
      <c r="P836" s="165" t="s">
        <v>4781</v>
      </c>
      <c r="Q836" s="3">
        <v>20475</v>
      </c>
      <c r="R836">
        <v>20475</v>
      </c>
      <c r="U836" s="271" t="s">
        <v>2740</v>
      </c>
    </row>
    <row r="837" spans="1:21">
      <c r="A837" s="165" t="s">
        <v>651</v>
      </c>
      <c r="B837" s="94">
        <v>907</v>
      </c>
      <c r="C837" s="165" t="s">
        <v>1016</v>
      </c>
      <c r="D837" s="165">
        <v>8</v>
      </c>
      <c r="E837" s="165" t="s">
        <v>3372</v>
      </c>
      <c r="F837" s="165" t="s">
        <v>3373</v>
      </c>
      <c r="G837" s="565">
        <v>20475</v>
      </c>
      <c r="H837" s="165"/>
      <c r="I837" s="165"/>
      <c r="J837" s="165"/>
      <c r="K837" s="165"/>
      <c r="L837" s="165">
        <v>20475</v>
      </c>
      <c r="M837" s="165"/>
      <c r="N837" s="165">
        <f>G837+H837+I837-J837-K837-L837</f>
        <v>0</v>
      </c>
      <c r="O837" s="165" t="s">
        <v>4770</v>
      </c>
      <c r="P837" s="165" t="s">
        <v>4680</v>
      </c>
      <c r="Q837" s="3">
        <v>20475</v>
      </c>
      <c r="R837">
        <v>20475</v>
      </c>
      <c r="U837" s="271" t="s">
        <v>2740</v>
      </c>
    </row>
    <row r="838" spans="1:21">
      <c r="A838" s="165" t="s">
        <v>651</v>
      </c>
      <c r="B838" s="94">
        <v>908</v>
      </c>
      <c r="C838" s="165" t="s">
        <v>1013</v>
      </c>
      <c r="D838" s="165">
        <v>1</v>
      </c>
      <c r="E838" s="165" t="s">
        <v>3374</v>
      </c>
      <c r="F838" s="165" t="s">
        <v>3359</v>
      </c>
      <c r="G838" s="165">
        <v>20475</v>
      </c>
      <c r="H838" s="165"/>
      <c r="I838" s="165"/>
      <c r="J838" s="165">
        <v>20475</v>
      </c>
      <c r="K838" s="165"/>
      <c r="L838" s="165"/>
      <c r="M838" s="165"/>
      <c r="N838" s="165">
        <f t="shared" si="16"/>
        <v>0</v>
      </c>
      <c r="O838" s="165" t="s">
        <v>3171</v>
      </c>
      <c r="P838" s="165" t="s">
        <v>3172</v>
      </c>
      <c r="Q838" s="3">
        <v>20475</v>
      </c>
      <c r="R838">
        <v>20475</v>
      </c>
      <c r="U838" s="271" t="s">
        <v>2740</v>
      </c>
    </row>
    <row r="839" spans="1:21">
      <c r="A839" s="165" t="s">
        <v>651</v>
      </c>
      <c r="B839" s="94">
        <v>909</v>
      </c>
      <c r="C839" s="165" t="s">
        <v>1013</v>
      </c>
      <c r="D839" s="165">
        <v>2</v>
      </c>
      <c r="E839" s="165" t="s">
        <v>3375</v>
      </c>
      <c r="F839" s="165" t="s">
        <v>3361</v>
      </c>
      <c r="G839" s="165">
        <v>20475</v>
      </c>
      <c r="H839" s="165"/>
      <c r="I839" s="165"/>
      <c r="J839" s="165"/>
      <c r="K839" s="165">
        <v>20475</v>
      </c>
      <c r="L839" s="165"/>
      <c r="M839" s="165"/>
      <c r="N839" s="165">
        <f t="shared" si="16"/>
        <v>0</v>
      </c>
      <c r="O839" s="165" t="s">
        <v>3938</v>
      </c>
      <c r="P839" s="165" t="s">
        <v>3939</v>
      </c>
      <c r="Q839" s="3">
        <v>20475</v>
      </c>
      <c r="R839">
        <v>20475</v>
      </c>
      <c r="U839" s="271" t="s">
        <v>2740</v>
      </c>
    </row>
    <row r="840" spans="1:21">
      <c r="A840" s="165" t="s">
        <v>651</v>
      </c>
      <c r="B840" s="94">
        <v>910</v>
      </c>
      <c r="C840" s="165" t="s">
        <v>1013</v>
      </c>
      <c r="D840" s="165">
        <v>3</v>
      </c>
      <c r="E840" s="165" t="s">
        <v>3376</v>
      </c>
      <c r="F840" s="165" t="s">
        <v>3363</v>
      </c>
      <c r="G840" s="165">
        <v>20475</v>
      </c>
      <c r="H840" s="165"/>
      <c r="I840" s="165"/>
      <c r="J840" s="165"/>
      <c r="K840" s="165">
        <v>20475</v>
      </c>
      <c r="L840" s="165"/>
      <c r="M840" s="165"/>
      <c r="N840" s="165">
        <f t="shared" si="16"/>
        <v>0</v>
      </c>
      <c r="O840" s="165" t="s">
        <v>3940</v>
      </c>
      <c r="P840" s="165" t="s">
        <v>3941</v>
      </c>
      <c r="Q840" s="3">
        <v>20475</v>
      </c>
      <c r="R840">
        <v>20475</v>
      </c>
      <c r="U840" s="271" t="s">
        <v>2740</v>
      </c>
    </row>
    <row r="841" spans="1:21">
      <c r="A841" s="165" t="s">
        <v>651</v>
      </c>
      <c r="B841" s="94">
        <v>911</v>
      </c>
      <c r="C841" s="165" t="s">
        <v>1013</v>
      </c>
      <c r="D841" s="165">
        <v>4</v>
      </c>
      <c r="E841" s="165" t="s">
        <v>3377</v>
      </c>
      <c r="F841" s="165" t="s">
        <v>3365</v>
      </c>
      <c r="G841" s="165">
        <v>20475</v>
      </c>
      <c r="H841" s="165"/>
      <c r="I841" s="165"/>
      <c r="J841" s="165"/>
      <c r="K841" s="165">
        <v>20475</v>
      </c>
      <c r="L841" s="165"/>
      <c r="M841" s="165"/>
      <c r="N841" s="165">
        <f t="shared" si="16"/>
        <v>0</v>
      </c>
      <c r="O841" s="165" t="s">
        <v>3948</v>
      </c>
      <c r="P841" s="165" t="s">
        <v>3949</v>
      </c>
      <c r="Q841" s="3">
        <v>20475</v>
      </c>
      <c r="R841">
        <v>20475</v>
      </c>
      <c r="U841" s="271" t="s">
        <v>2740</v>
      </c>
    </row>
    <row r="842" spans="1:21">
      <c r="A842" s="165" t="s">
        <v>651</v>
      </c>
      <c r="B842" s="94">
        <v>912</v>
      </c>
      <c r="C842" s="165" t="s">
        <v>1013</v>
      </c>
      <c r="D842" s="165">
        <v>5</v>
      </c>
      <c r="E842" s="165" t="s">
        <v>3378</v>
      </c>
      <c r="F842" s="165" t="s">
        <v>3367</v>
      </c>
      <c r="G842" s="165">
        <v>20475</v>
      </c>
      <c r="H842" s="165"/>
      <c r="I842" s="165"/>
      <c r="J842" s="165"/>
      <c r="K842" s="165">
        <v>20475</v>
      </c>
      <c r="L842" s="165"/>
      <c r="M842" s="165"/>
      <c r="N842" s="165">
        <f t="shared" si="16"/>
        <v>0</v>
      </c>
      <c r="O842" s="165" t="s">
        <v>3967</v>
      </c>
      <c r="P842" s="165" t="s">
        <v>3968</v>
      </c>
      <c r="Q842" s="3">
        <v>20475</v>
      </c>
      <c r="R842">
        <v>20475</v>
      </c>
      <c r="U842" s="271" t="s">
        <v>2740</v>
      </c>
    </row>
    <row r="843" spans="1:21">
      <c r="A843" s="165" t="s">
        <v>651</v>
      </c>
      <c r="B843" s="94">
        <v>913</v>
      </c>
      <c r="C843" s="165" t="s">
        <v>1013</v>
      </c>
      <c r="D843" s="165">
        <v>6</v>
      </c>
      <c r="E843" s="165" t="s">
        <v>3379</v>
      </c>
      <c r="F843" s="165" t="s">
        <v>3369</v>
      </c>
      <c r="G843" s="565">
        <v>20475</v>
      </c>
      <c r="H843" s="165"/>
      <c r="I843" s="165"/>
      <c r="J843" s="165"/>
      <c r="K843" s="165"/>
      <c r="L843" s="165">
        <v>20475</v>
      </c>
      <c r="M843" s="165"/>
      <c r="N843" s="165">
        <f>G843+H843+I843-J843-K843-L843</f>
        <v>0</v>
      </c>
      <c r="O843" s="165" t="s">
        <v>4433</v>
      </c>
      <c r="P843" s="165" t="s">
        <v>4779</v>
      </c>
      <c r="Q843" s="3">
        <v>20475</v>
      </c>
      <c r="R843">
        <v>20475</v>
      </c>
      <c r="U843" s="271" t="s">
        <v>2740</v>
      </c>
    </row>
    <row r="844" spans="1:21">
      <c r="A844" s="165" t="s">
        <v>651</v>
      </c>
      <c r="B844" s="94">
        <v>914</v>
      </c>
      <c r="C844" s="165" t="s">
        <v>1013</v>
      </c>
      <c r="D844" s="165">
        <v>7</v>
      </c>
      <c r="E844" s="165" t="s">
        <v>3380</v>
      </c>
      <c r="F844" s="165" t="s">
        <v>3371</v>
      </c>
      <c r="G844" s="565">
        <v>20475</v>
      </c>
      <c r="H844" s="165"/>
      <c r="I844" s="165"/>
      <c r="J844" s="165"/>
      <c r="K844" s="165"/>
      <c r="L844" s="165">
        <v>20475</v>
      </c>
      <c r="M844" s="165"/>
      <c r="N844" s="165">
        <f>G844+H844+I844-J844-K844-L844</f>
        <v>0</v>
      </c>
      <c r="O844" s="165" t="s">
        <v>4588</v>
      </c>
      <c r="P844" s="165" t="s">
        <v>4781</v>
      </c>
      <c r="Q844" s="3">
        <v>20475</v>
      </c>
      <c r="R844">
        <v>20475</v>
      </c>
      <c r="U844" s="271" t="s">
        <v>2740</v>
      </c>
    </row>
    <row r="845" spans="1:21">
      <c r="A845" s="165" t="s">
        <v>651</v>
      </c>
      <c r="B845" s="94">
        <v>915</v>
      </c>
      <c r="C845" s="165" t="s">
        <v>1013</v>
      </c>
      <c r="D845" s="165">
        <v>8</v>
      </c>
      <c r="E845" s="165" t="s">
        <v>3381</v>
      </c>
      <c r="F845" s="165" t="s">
        <v>3373</v>
      </c>
      <c r="G845" s="565">
        <v>20475</v>
      </c>
      <c r="H845" s="165"/>
      <c r="I845" s="165"/>
      <c r="J845" s="165"/>
      <c r="K845" s="165"/>
      <c r="L845" s="165">
        <v>20475</v>
      </c>
      <c r="M845" s="165"/>
      <c r="N845" s="165">
        <f>G845+H845+I845-J845-K845-L845</f>
        <v>0</v>
      </c>
      <c r="O845" s="165" t="s">
        <v>4770</v>
      </c>
      <c r="P845" s="165" t="s">
        <v>4784</v>
      </c>
      <c r="Q845" s="3">
        <v>20475</v>
      </c>
      <c r="R845">
        <v>20475</v>
      </c>
      <c r="U845" s="271" t="s">
        <v>2740</v>
      </c>
    </row>
    <row r="846" spans="1:21">
      <c r="A846" s="165" t="s">
        <v>651</v>
      </c>
      <c r="B846" s="94">
        <v>916</v>
      </c>
      <c r="C846" s="165" t="s">
        <v>1016</v>
      </c>
      <c r="D846" s="165">
        <v>1</v>
      </c>
      <c r="E846" s="165" t="s">
        <v>3382</v>
      </c>
      <c r="F846" s="165" t="s">
        <v>3359</v>
      </c>
      <c r="G846" s="165">
        <v>16380</v>
      </c>
      <c r="H846" s="165"/>
      <c r="I846" s="165"/>
      <c r="J846" s="165">
        <v>16380</v>
      </c>
      <c r="K846" s="165"/>
      <c r="L846" s="165"/>
      <c r="M846" s="165"/>
      <c r="N846" s="165">
        <f t="shared" si="16"/>
        <v>0</v>
      </c>
      <c r="O846" s="165" t="s">
        <v>3171</v>
      </c>
      <c r="P846" s="165" t="s">
        <v>3172</v>
      </c>
      <c r="Q846" s="3">
        <v>16380</v>
      </c>
      <c r="R846">
        <v>16380</v>
      </c>
      <c r="U846" s="271" t="s">
        <v>2740</v>
      </c>
    </row>
    <row r="847" spans="1:21">
      <c r="A847" s="165" t="s">
        <v>651</v>
      </c>
      <c r="B847" s="94">
        <v>917</v>
      </c>
      <c r="C847" s="165" t="s">
        <v>1016</v>
      </c>
      <c r="D847" s="165">
        <v>2</v>
      </c>
      <c r="E847" s="165" t="s">
        <v>3383</v>
      </c>
      <c r="F847" s="165" t="s">
        <v>3384</v>
      </c>
      <c r="G847" s="165">
        <v>16380</v>
      </c>
      <c r="H847" s="165"/>
      <c r="I847" s="165"/>
      <c r="J847" s="165"/>
      <c r="K847" s="165">
        <v>16380</v>
      </c>
      <c r="L847" s="165"/>
      <c r="M847" s="165"/>
      <c r="N847" s="165">
        <f t="shared" si="16"/>
        <v>0</v>
      </c>
      <c r="O847" s="165" t="s">
        <v>3934</v>
      </c>
      <c r="P847" s="165" t="s">
        <v>3935</v>
      </c>
      <c r="Q847" s="3">
        <v>16380</v>
      </c>
      <c r="R847">
        <v>16380</v>
      </c>
      <c r="U847" s="271" t="s">
        <v>2740</v>
      </c>
    </row>
    <row r="848" spans="1:21">
      <c r="A848" s="165" t="s">
        <v>651</v>
      </c>
      <c r="B848" s="94">
        <v>918</v>
      </c>
      <c r="C848" s="165" t="s">
        <v>1016</v>
      </c>
      <c r="D848" s="165">
        <v>3</v>
      </c>
      <c r="E848" s="165" t="s">
        <v>3385</v>
      </c>
      <c r="F848" s="165" t="s">
        <v>3386</v>
      </c>
      <c r="G848" s="165">
        <v>16380</v>
      </c>
      <c r="H848" s="165"/>
      <c r="I848" s="165"/>
      <c r="J848" s="165"/>
      <c r="K848" s="165">
        <v>16380</v>
      </c>
      <c r="L848" s="165"/>
      <c r="M848" s="165"/>
      <c r="N848" s="165">
        <f t="shared" si="16"/>
        <v>0</v>
      </c>
      <c r="O848" s="165" t="s">
        <v>3946</v>
      </c>
      <c r="P848" s="165" t="s">
        <v>3947</v>
      </c>
      <c r="Q848" s="3">
        <v>16380</v>
      </c>
      <c r="R848">
        <v>16380</v>
      </c>
      <c r="U848" s="271" t="s">
        <v>2740</v>
      </c>
    </row>
    <row r="849" spans="1:22">
      <c r="A849" s="165" t="s">
        <v>651</v>
      </c>
      <c r="B849" s="94">
        <v>919</v>
      </c>
      <c r="C849" s="165" t="s">
        <v>1016</v>
      </c>
      <c r="D849" s="165">
        <v>4</v>
      </c>
      <c r="E849" s="165" t="s">
        <v>3387</v>
      </c>
      <c r="F849" s="165" t="s">
        <v>3388</v>
      </c>
      <c r="G849" s="165">
        <v>16380</v>
      </c>
      <c r="H849" s="165"/>
      <c r="I849" s="165"/>
      <c r="J849" s="165"/>
      <c r="K849" s="165">
        <v>16380</v>
      </c>
      <c r="L849" s="165"/>
      <c r="M849" s="165"/>
      <c r="N849" s="165">
        <f t="shared" si="16"/>
        <v>0</v>
      </c>
      <c r="O849" s="165" t="s">
        <v>3948</v>
      </c>
      <c r="P849" s="165" t="s">
        <v>3949</v>
      </c>
      <c r="Q849" s="3">
        <v>16380</v>
      </c>
      <c r="R849">
        <v>16380</v>
      </c>
      <c r="U849" s="271" t="s">
        <v>2740</v>
      </c>
    </row>
    <row r="850" spans="1:22">
      <c r="A850" s="165" t="s">
        <v>651</v>
      </c>
      <c r="B850" s="94">
        <v>920</v>
      </c>
      <c r="C850" s="165" t="s">
        <v>1016</v>
      </c>
      <c r="D850" s="165">
        <v>5</v>
      </c>
      <c r="E850" s="165" t="s">
        <v>3389</v>
      </c>
      <c r="F850" s="165" t="s">
        <v>3390</v>
      </c>
      <c r="G850" s="165">
        <v>16380</v>
      </c>
      <c r="H850" s="165"/>
      <c r="I850" s="165"/>
      <c r="J850" s="165"/>
      <c r="K850" s="165">
        <v>16380</v>
      </c>
      <c r="L850" s="165"/>
      <c r="M850" s="165"/>
      <c r="N850" s="165">
        <f t="shared" si="16"/>
        <v>0</v>
      </c>
      <c r="O850" s="165" t="s">
        <v>3989</v>
      </c>
      <c r="P850" s="165" t="s">
        <v>3958</v>
      </c>
      <c r="Q850" s="3">
        <v>16380</v>
      </c>
      <c r="R850">
        <v>16380</v>
      </c>
      <c r="U850" s="271" t="s">
        <v>2740</v>
      </c>
    </row>
    <row r="851" spans="1:22">
      <c r="A851" s="165" t="s">
        <v>651</v>
      </c>
      <c r="B851" s="94">
        <v>921</v>
      </c>
      <c r="C851" s="165" t="s">
        <v>1016</v>
      </c>
      <c r="D851" s="165">
        <v>6</v>
      </c>
      <c r="E851" s="165" t="s">
        <v>3391</v>
      </c>
      <c r="F851" s="165" t="s">
        <v>3392</v>
      </c>
      <c r="G851" s="565">
        <v>16380</v>
      </c>
      <c r="H851" s="165"/>
      <c r="I851" s="165"/>
      <c r="J851" s="165"/>
      <c r="K851" s="165"/>
      <c r="L851" s="165">
        <v>16380</v>
      </c>
      <c r="M851" s="165"/>
      <c r="N851" s="165">
        <f>G851+H851+I851-J851-K851-L851</f>
        <v>0</v>
      </c>
      <c r="O851" s="165" t="s">
        <v>4434</v>
      </c>
      <c r="P851" s="165" t="s">
        <v>4435</v>
      </c>
      <c r="Q851" s="3">
        <v>16380</v>
      </c>
      <c r="R851">
        <v>16380</v>
      </c>
      <c r="U851" s="271" t="s">
        <v>2740</v>
      </c>
    </row>
    <row r="852" spans="1:22">
      <c r="A852" s="165" t="s">
        <v>651</v>
      </c>
      <c r="B852" s="94">
        <v>922</v>
      </c>
      <c r="C852" s="165" t="s">
        <v>1016</v>
      </c>
      <c r="D852" s="165">
        <v>7</v>
      </c>
      <c r="E852" s="165" t="s">
        <v>3393</v>
      </c>
      <c r="F852" s="165" t="s">
        <v>3394</v>
      </c>
      <c r="G852" s="565">
        <v>16380</v>
      </c>
      <c r="H852" s="165"/>
      <c r="I852" s="165"/>
      <c r="J852" s="165"/>
      <c r="K852" s="165"/>
      <c r="L852" s="165">
        <v>16380</v>
      </c>
      <c r="M852" s="165"/>
      <c r="N852" s="165">
        <f>G852+H852+I852-J852-K852-L852</f>
        <v>0</v>
      </c>
      <c r="O852" s="165" t="s">
        <v>4588</v>
      </c>
      <c r="P852" s="165" t="s">
        <v>4781</v>
      </c>
      <c r="Q852" s="3">
        <v>16380</v>
      </c>
      <c r="R852">
        <v>16380</v>
      </c>
      <c r="U852" s="271" t="s">
        <v>2740</v>
      </c>
    </row>
    <row r="853" spans="1:22" s="3" customFormat="1">
      <c r="A853" s="165" t="s">
        <v>651</v>
      </c>
      <c r="B853" s="94">
        <v>923</v>
      </c>
      <c r="C853" s="165" t="s">
        <v>1016</v>
      </c>
      <c r="D853" s="165">
        <v>8</v>
      </c>
      <c r="E853" s="165" t="s">
        <v>3395</v>
      </c>
      <c r="F853" s="165" t="s">
        <v>3396</v>
      </c>
      <c r="G853" s="565">
        <v>16380</v>
      </c>
      <c r="H853" s="165"/>
      <c r="I853" s="165"/>
      <c r="J853" s="165"/>
      <c r="K853" s="165"/>
      <c r="L853" s="165">
        <v>16380</v>
      </c>
      <c r="M853" s="165"/>
      <c r="N853" s="165">
        <f>G853+H853+I853-J853-K853-L853</f>
        <v>0</v>
      </c>
      <c r="O853" s="165" t="s">
        <v>4771</v>
      </c>
      <c r="P853" s="165" t="s">
        <v>4785</v>
      </c>
      <c r="Q853" s="3">
        <v>16380</v>
      </c>
      <c r="R853">
        <v>16380</v>
      </c>
      <c r="S853"/>
      <c r="U853" s="271" t="s">
        <v>2740</v>
      </c>
      <c r="V853"/>
    </row>
    <row r="854" spans="1:22" s="3" customFormat="1">
      <c r="A854" s="165"/>
      <c r="B854" s="94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R854"/>
      <c r="S854"/>
      <c r="U854"/>
      <c r="V854"/>
    </row>
    <row r="855" spans="1:22" s="3" customFormat="1">
      <c r="A855" s="165"/>
      <c r="B855" s="94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R855"/>
      <c r="S855"/>
      <c r="U855"/>
      <c r="V855"/>
    </row>
    <row r="856" spans="1:22" s="3" customFormat="1">
      <c r="A856" s="7"/>
      <c r="B856" s="165"/>
      <c r="C856" s="165"/>
      <c r="D856" s="165"/>
      <c r="E856" s="165"/>
      <c r="F856" s="165"/>
      <c r="G856" s="165"/>
      <c r="H856" s="165">
        <v>220815</v>
      </c>
      <c r="I856" s="165"/>
      <c r="J856" s="165"/>
      <c r="K856" s="165"/>
      <c r="L856" s="165"/>
      <c r="M856" s="165"/>
      <c r="N856" s="165"/>
      <c r="O856" s="165"/>
      <c r="P856" s="165"/>
      <c r="R856"/>
      <c r="S856"/>
      <c r="U856"/>
      <c r="V856"/>
    </row>
    <row r="857" spans="1:22" s="176" customFormat="1" ht="20.25" customHeight="1">
      <c r="A857" s="203" t="s">
        <v>3990</v>
      </c>
      <c r="B857" s="200"/>
      <c r="C857" s="201"/>
      <c r="D857" s="202"/>
      <c r="E857" s="201"/>
      <c r="F857" s="185" t="s">
        <v>2378</v>
      </c>
      <c r="G857" s="185">
        <f t="shared" ref="G857:N857" si="17">SUM(G859:G1023)</f>
        <v>1757235</v>
      </c>
      <c r="H857" s="185">
        <f t="shared" si="17"/>
        <v>263190</v>
      </c>
      <c r="I857" s="185">
        <f t="shared" si="17"/>
        <v>20475</v>
      </c>
      <c r="J857" s="185">
        <f t="shared" si="17"/>
        <v>784080</v>
      </c>
      <c r="K857" s="185">
        <f t="shared" si="17"/>
        <v>940695</v>
      </c>
      <c r="L857" s="185">
        <f t="shared" si="17"/>
        <v>316125</v>
      </c>
      <c r="M857" s="185">
        <f t="shared" si="17"/>
        <v>0</v>
      </c>
      <c r="N857" s="185">
        <f t="shared" si="17"/>
        <v>0</v>
      </c>
      <c r="O857" s="185">
        <f>SUM(O859:O1023)</f>
        <v>0</v>
      </c>
      <c r="P857" s="185"/>
      <c r="Q857" s="185"/>
      <c r="R857" s="185">
        <f>SUM(R859:R1023)</f>
        <v>2558195</v>
      </c>
      <c r="S857" s="185">
        <f>SUM(S859:S1023)</f>
        <v>2558000</v>
      </c>
      <c r="T857" s="185">
        <f>SUM(T859:T1023)</f>
        <v>517100</v>
      </c>
      <c r="U857" s="185">
        <f>SUM(U859:U1023)</f>
        <v>205</v>
      </c>
    </row>
    <row r="858" spans="1:22" s="270" customFormat="1">
      <c r="A858" s="269" t="s">
        <v>1281</v>
      </c>
      <c r="B858" s="269" t="s">
        <v>2435</v>
      </c>
      <c r="C858" s="269" t="s">
        <v>1385</v>
      </c>
      <c r="D858" s="269" t="s">
        <v>1275</v>
      </c>
      <c r="E858" s="269" t="s">
        <v>265</v>
      </c>
      <c r="F858" s="269" t="s">
        <v>1280</v>
      </c>
      <c r="G858" s="269" t="s">
        <v>4416</v>
      </c>
      <c r="H858" s="269" t="s">
        <v>4468</v>
      </c>
      <c r="I858" s="269" t="s">
        <v>4447</v>
      </c>
      <c r="J858" s="269" t="s">
        <v>3991</v>
      </c>
      <c r="K858" s="269" t="s">
        <v>4470</v>
      </c>
      <c r="L858" s="269" t="s">
        <v>4471</v>
      </c>
      <c r="M858" s="269" t="s">
        <v>4841</v>
      </c>
      <c r="N858" s="269" t="s">
        <v>3728</v>
      </c>
      <c r="O858" s="269" t="s">
        <v>2438</v>
      </c>
      <c r="P858" s="269" t="s">
        <v>1282</v>
      </c>
      <c r="Q858" s="269" t="s">
        <v>1386</v>
      </c>
      <c r="R858" s="269" t="s">
        <v>576</v>
      </c>
      <c r="S858" s="269" t="s">
        <v>3593</v>
      </c>
      <c r="T858" s="269" t="s">
        <v>1283</v>
      </c>
      <c r="U858" s="269" t="s">
        <v>577</v>
      </c>
    </row>
    <row r="859" spans="1:22">
      <c r="A859" s="165" t="s">
        <v>3992</v>
      </c>
      <c r="B859" s="94">
        <v>924</v>
      </c>
      <c r="C859" s="165" t="s">
        <v>1232</v>
      </c>
      <c r="D859" s="165">
        <v>3</v>
      </c>
      <c r="E859" s="165" t="s">
        <v>3993</v>
      </c>
      <c r="F859" s="165" t="s">
        <v>3994</v>
      </c>
      <c r="G859" s="165"/>
      <c r="H859" s="165">
        <v>16380</v>
      </c>
      <c r="I859" s="165"/>
      <c r="J859" s="165">
        <v>16380</v>
      </c>
      <c r="K859" s="165"/>
      <c r="L859" s="165"/>
      <c r="M859" s="165"/>
      <c r="N859" s="165"/>
      <c r="O859" s="165">
        <f t="shared" ref="O859:O888" si="18">G859+H859+I859-J859-K859</f>
        <v>0</v>
      </c>
      <c r="P859" s="165" t="s">
        <v>3938</v>
      </c>
      <c r="Q859" s="165" t="s">
        <v>3939</v>
      </c>
      <c r="R859" s="3">
        <v>16380</v>
      </c>
      <c r="S859" s="407">
        <v>16380</v>
      </c>
      <c r="T859"/>
      <c r="U859" s="3"/>
    </row>
    <row r="860" spans="1:22" s="339" customFormat="1">
      <c r="A860" s="337" t="s">
        <v>3995</v>
      </c>
      <c r="B860" s="94">
        <v>925</v>
      </c>
      <c r="C860" s="337" t="s">
        <v>1013</v>
      </c>
      <c r="D860" s="337"/>
      <c r="E860" s="337" t="s">
        <v>3996</v>
      </c>
      <c r="F860" s="337" t="s">
        <v>3942</v>
      </c>
      <c r="G860" s="338"/>
      <c r="H860" s="338">
        <v>26250</v>
      </c>
      <c r="I860" s="338"/>
      <c r="J860" s="337">
        <v>26250</v>
      </c>
      <c r="K860" s="337"/>
      <c r="L860" s="337"/>
      <c r="M860" s="337"/>
      <c r="N860" s="337"/>
      <c r="O860" s="337">
        <f t="shared" si="18"/>
        <v>0</v>
      </c>
      <c r="P860" s="337" t="s">
        <v>3938</v>
      </c>
      <c r="Q860" s="337" t="s">
        <v>3939</v>
      </c>
      <c r="R860" s="337">
        <v>26250</v>
      </c>
      <c r="S860" s="409">
        <v>26250</v>
      </c>
      <c r="T860" s="337"/>
      <c r="U860" s="338"/>
      <c r="V860" s="339" t="s">
        <v>3997</v>
      </c>
    </row>
    <row r="861" spans="1:22" s="283" customFormat="1">
      <c r="A861" s="279" t="s">
        <v>3995</v>
      </c>
      <c r="B861" s="279"/>
      <c r="C861" s="279" t="s">
        <v>2060</v>
      </c>
      <c r="D861" s="279">
        <v>6</v>
      </c>
      <c r="E861" s="279" t="s">
        <v>1283</v>
      </c>
      <c r="F861" s="279" t="s">
        <v>3995</v>
      </c>
      <c r="G861" s="280"/>
      <c r="H861" s="280"/>
      <c r="I861" s="280"/>
      <c r="J861" s="280"/>
      <c r="K861" s="280"/>
      <c r="L861" s="280"/>
      <c r="M861" s="280"/>
      <c r="N861" s="280"/>
      <c r="O861" s="280">
        <f t="shared" si="18"/>
        <v>0</v>
      </c>
      <c r="P861" s="279" t="s">
        <v>3995</v>
      </c>
      <c r="Q861" s="279" t="s">
        <v>3995</v>
      </c>
      <c r="R861" s="279">
        <v>14175</v>
      </c>
      <c r="S861" s="408">
        <v>14175</v>
      </c>
      <c r="T861" s="279">
        <v>14175</v>
      </c>
      <c r="U861" s="280"/>
      <c r="V861" s="282" t="s">
        <v>245</v>
      </c>
    </row>
    <row r="862" spans="1:22" s="163" customFormat="1">
      <c r="A862" s="281" t="s">
        <v>3998</v>
      </c>
      <c r="B862" s="281"/>
      <c r="C862" s="281" t="s">
        <v>3825</v>
      </c>
      <c r="D862" s="281">
        <v>8</v>
      </c>
      <c r="E862" s="281" t="s">
        <v>1283</v>
      </c>
      <c r="F862" s="281" t="s">
        <v>3998</v>
      </c>
      <c r="G862" s="284"/>
      <c r="H862" s="284"/>
      <c r="I862" s="284"/>
      <c r="J862" s="281"/>
      <c r="K862" s="281"/>
      <c r="L862" s="281"/>
      <c r="M862" s="281"/>
      <c r="N862" s="281"/>
      <c r="O862" s="281">
        <f t="shared" si="18"/>
        <v>0</v>
      </c>
      <c r="P862" s="281" t="s">
        <v>3998</v>
      </c>
      <c r="Q862" s="281" t="s">
        <v>3998</v>
      </c>
      <c r="R862" s="281">
        <v>14175</v>
      </c>
      <c r="S862" s="406">
        <v>14145</v>
      </c>
      <c r="T862" s="406">
        <v>14145</v>
      </c>
      <c r="U862" s="284">
        <v>30</v>
      </c>
    </row>
    <row r="863" spans="1:22" s="339" customFormat="1">
      <c r="A863" s="337" t="s">
        <v>3999</v>
      </c>
      <c r="B863" s="337">
        <v>926</v>
      </c>
      <c r="C863" s="337" t="s">
        <v>4000</v>
      </c>
      <c r="D863" s="337"/>
      <c r="E863" s="337" t="s">
        <v>4001</v>
      </c>
      <c r="F863" s="337" t="s">
        <v>3995</v>
      </c>
      <c r="G863" s="338"/>
      <c r="H863" s="338">
        <v>26250</v>
      </c>
      <c r="I863" s="338"/>
      <c r="J863" s="337">
        <v>26250</v>
      </c>
      <c r="K863" s="337"/>
      <c r="L863" s="337"/>
      <c r="M863" s="337"/>
      <c r="N863" s="337"/>
      <c r="O863" s="337">
        <f t="shared" si="18"/>
        <v>0</v>
      </c>
      <c r="P863" s="337" t="s">
        <v>3938</v>
      </c>
      <c r="Q863" s="337" t="s">
        <v>3939</v>
      </c>
      <c r="R863" s="337">
        <v>26250</v>
      </c>
      <c r="S863" s="409">
        <v>26250</v>
      </c>
      <c r="T863" s="337"/>
      <c r="U863" s="338"/>
      <c r="V863" s="339" t="s">
        <v>3997</v>
      </c>
    </row>
    <row r="864" spans="1:22">
      <c r="A864" s="165" t="s">
        <v>4002</v>
      </c>
      <c r="B864" s="337">
        <v>927</v>
      </c>
      <c r="C864" s="165" t="s">
        <v>1775</v>
      </c>
      <c r="D864" s="165">
        <v>1</v>
      </c>
      <c r="E864" s="165" t="s">
        <v>4003</v>
      </c>
      <c r="F864" s="165" t="s">
        <v>4004</v>
      </c>
      <c r="G864" s="165"/>
      <c r="H864" s="165">
        <v>13500</v>
      </c>
      <c r="I864" s="165"/>
      <c r="J864" s="165">
        <v>13500</v>
      </c>
      <c r="K864" s="165"/>
      <c r="L864" s="165"/>
      <c r="M864" s="165"/>
      <c r="N864" s="165"/>
      <c r="O864" s="165">
        <f t="shared" si="18"/>
        <v>0</v>
      </c>
      <c r="P864" s="165" t="s">
        <v>3938</v>
      </c>
      <c r="Q864" s="165" t="s">
        <v>3939</v>
      </c>
      <c r="R864" s="3">
        <v>13500</v>
      </c>
      <c r="S864">
        <v>13500</v>
      </c>
      <c r="T864"/>
      <c r="U864" s="3"/>
    </row>
    <row r="865" spans="1:22">
      <c r="A865" s="165" t="s">
        <v>4002</v>
      </c>
      <c r="B865" s="337">
        <v>928</v>
      </c>
      <c r="C865" s="165" t="s">
        <v>1775</v>
      </c>
      <c r="D865" s="165">
        <v>2</v>
      </c>
      <c r="E865" s="165" t="s">
        <v>4005</v>
      </c>
      <c r="F865" s="165" t="s">
        <v>4006</v>
      </c>
      <c r="G865" s="165"/>
      <c r="H865" s="165">
        <v>13500</v>
      </c>
      <c r="I865" s="165"/>
      <c r="J865" s="165">
        <v>13500</v>
      </c>
      <c r="K865" s="165"/>
      <c r="L865" s="165"/>
      <c r="M865" s="165"/>
      <c r="N865" s="165"/>
      <c r="O865" s="165">
        <f t="shared" si="18"/>
        <v>0</v>
      </c>
      <c r="P865" s="165" t="s">
        <v>3934</v>
      </c>
      <c r="Q865" s="165" t="s">
        <v>3935</v>
      </c>
      <c r="R865" s="3">
        <v>13500</v>
      </c>
      <c r="S865">
        <v>13500</v>
      </c>
      <c r="T865"/>
      <c r="U865" s="3"/>
    </row>
    <row r="866" spans="1:22">
      <c r="A866" s="165" t="s">
        <v>4002</v>
      </c>
      <c r="B866" s="337">
        <v>929</v>
      </c>
      <c r="C866" s="165" t="s">
        <v>1775</v>
      </c>
      <c r="D866" s="165">
        <v>3</v>
      </c>
      <c r="E866" s="165" t="s">
        <v>4007</v>
      </c>
      <c r="F866" s="165" t="s">
        <v>4008</v>
      </c>
      <c r="G866" s="165"/>
      <c r="H866" s="165">
        <v>13500</v>
      </c>
      <c r="I866" s="165"/>
      <c r="J866" s="165">
        <v>13500</v>
      </c>
      <c r="K866" s="165"/>
      <c r="L866" s="165"/>
      <c r="M866" s="165"/>
      <c r="N866" s="165"/>
      <c r="O866" s="165">
        <f t="shared" si="18"/>
        <v>0</v>
      </c>
      <c r="P866" s="165" t="s">
        <v>3950</v>
      </c>
      <c r="Q866" s="165" t="s">
        <v>3951</v>
      </c>
      <c r="R866" s="3">
        <v>13500</v>
      </c>
      <c r="S866">
        <v>13500</v>
      </c>
      <c r="T866"/>
      <c r="U866" s="3"/>
    </row>
    <row r="867" spans="1:22">
      <c r="A867" s="165" t="s">
        <v>4002</v>
      </c>
      <c r="B867" s="337">
        <v>930</v>
      </c>
      <c r="C867" s="165" t="s">
        <v>1775</v>
      </c>
      <c r="D867" s="165">
        <v>4</v>
      </c>
      <c r="E867" s="165" t="s">
        <v>4009</v>
      </c>
      <c r="F867" s="165" t="s">
        <v>4010</v>
      </c>
      <c r="G867" s="165"/>
      <c r="H867" s="165">
        <v>13500</v>
      </c>
      <c r="I867" s="165"/>
      <c r="J867" s="165">
        <v>13500</v>
      </c>
      <c r="K867" s="165"/>
      <c r="L867" s="165"/>
      <c r="M867" s="165"/>
      <c r="N867" s="165"/>
      <c r="O867" s="165">
        <f t="shared" si="18"/>
        <v>0</v>
      </c>
      <c r="P867" s="165" t="s">
        <v>3955</v>
      </c>
      <c r="Q867" s="165" t="s">
        <v>3956</v>
      </c>
      <c r="R867" s="3">
        <v>13500</v>
      </c>
      <c r="S867">
        <v>13500</v>
      </c>
      <c r="T867"/>
      <c r="U867" s="3"/>
    </row>
    <row r="868" spans="1:22">
      <c r="A868" s="165" t="s">
        <v>4002</v>
      </c>
      <c r="B868" s="337">
        <v>931</v>
      </c>
      <c r="C868" s="165" t="s">
        <v>1775</v>
      </c>
      <c r="D868" s="165">
        <v>5</v>
      </c>
      <c r="E868" s="165" t="s">
        <v>4011</v>
      </c>
      <c r="F868" s="165" t="s">
        <v>4012</v>
      </c>
      <c r="G868" s="165"/>
      <c r="H868" s="165">
        <v>13500</v>
      </c>
      <c r="I868" s="165"/>
      <c r="J868" s="165">
        <v>13500</v>
      </c>
      <c r="K868" s="165"/>
      <c r="L868" s="165"/>
      <c r="M868" s="165"/>
      <c r="N868" s="165"/>
      <c r="O868" s="165">
        <f t="shared" si="18"/>
        <v>0</v>
      </c>
      <c r="P868" s="165" t="s">
        <v>3957</v>
      </c>
      <c r="Q868" s="165" t="s">
        <v>3958</v>
      </c>
      <c r="R868" s="3">
        <v>13500</v>
      </c>
      <c r="S868">
        <v>13500</v>
      </c>
      <c r="T868"/>
      <c r="U868" s="3"/>
    </row>
    <row r="869" spans="1:22">
      <c r="A869" s="165" t="s">
        <v>4002</v>
      </c>
      <c r="B869" s="337">
        <v>932</v>
      </c>
      <c r="C869" s="165" t="s">
        <v>1775</v>
      </c>
      <c r="D869" s="165">
        <v>6</v>
      </c>
      <c r="E869" s="165" t="s">
        <v>4013</v>
      </c>
      <c r="F869" s="165" t="s">
        <v>4014</v>
      </c>
      <c r="G869" s="165"/>
      <c r="H869" s="165">
        <v>13500</v>
      </c>
      <c r="I869" s="165"/>
      <c r="J869" s="165"/>
      <c r="K869" s="165">
        <v>13500</v>
      </c>
      <c r="L869" s="165"/>
      <c r="M869" s="165"/>
      <c r="N869" s="165"/>
      <c r="O869" s="165">
        <f t="shared" si="18"/>
        <v>0</v>
      </c>
      <c r="P869" s="165" t="s">
        <v>4766</v>
      </c>
      <c r="Q869" s="165" t="s">
        <v>4595</v>
      </c>
      <c r="R869" s="3">
        <v>13500</v>
      </c>
      <c r="S869">
        <v>13500</v>
      </c>
      <c r="T869"/>
      <c r="U869" s="3"/>
    </row>
    <row r="870" spans="1:22">
      <c r="A870" s="165" t="s">
        <v>4002</v>
      </c>
      <c r="B870" s="337">
        <v>933</v>
      </c>
      <c r="C870" s="165" t="s">
        <v>1775</v>
      </c>
      <c r="D870" s="165">
        <v>7</v>
      </c>
      <c r="E870" s="165" t="s">
        <v>4015</v>
      </c>
      <c r="F870" s="165" t="s">
        <v>4016</v>
      </c>
      <c r="G870" s="165"/>
      <c r="H870" s="165">
        <v>13500</v>
      </c>
      <c r="I870" s="165"/>
      <c r="J870" s="165"/>
      <c r="K870" s="165">
        <v>13500</v>
      </c>
      <c r="L870" s="165"/>
      <c r="M870" s="165"/>
      <c r="N870" s="165"/>
      <c r="O870" s="165">
        <f t="shared" si="18"/>
        <v>0</v>
      </c>
      <c r="P870" s="165" t="s">
        <v>4767</v>
      </c>
      <c r="Q870" s="165" t="s">
        <v>4782</v>
      </c>
      <c r="R870" s="3">
        <v>13500</v>
      </c>
      <c r="S870">
        <v>13500</v>
      </c>
      <c r="T870"/>
      <c r="U870" s="3"/>
    </row>
    <row r="871" spans="1:22">
      <c r="A871" s="165" t="s">
        <v>4002</v>
      </c>
      <c r="B871" s="337">
        <v>934</v>
      </c>
      <c r="C871" s="165" t="s">
        <v>1775</v>
      </c>
      <c r="D871" s="165">
        <v>8</v>
      </c>
      <c r="E871" s="165" t="s">
        <v>4017</v>
      </c>
      <c r="F871" s="165" t="s">
        <v>4018</v>
      </c>
      <c r="G871" s="165"/>
      <c r="H871" s="165">
        <v>13500</v>
      </c>
      <c r="I871" s="165"/>
      <c r="J871" s="165"/>
      <c r="K871" s="165">
        <v>13500</v>
      </c>
      <c r="L871" s="165"/>
      <c r="M871" s="165"/>
      <c r="N871" s="165"/>
      <c r="O871" s="165">
        <f t="shared" si="18"/>
        <v>0</v>
      </c>
      <c r="P871" s="165" t="s">
        <v>4715</v>
      </c>
      <c r="Q871" s="165" t="s">
        <v>4786</v>
      </c>
      <c r="R871" s="3">
        <v>13500</v>
      </c>
      <c r="S871">
        <v>13500</v>
      </c>
      <c r="T871"/>
      <c r="U871" s="3"/>
    </row>
    <row r="872" spans="1:22">
      <c r="A872" s="165" t="s">
        <v>4019</v>
      </c>
      <c r="B872" s="337">
        <v>935</v>
      </c>
      <c r="C872" s="165" t="s">
        <v>906</v>
      </c>
      <c r="D872" s="165">
        <v>1</v>
      </c>
      <c r="E872" s="165" t="s">
        <v>4020</v>
      </c>
      <c r="F872" s="165" t="s">
        <v>4021</v>
      </c>
      <c r="G872" s="165">
        <v>14175</v>
      </c>
      <c r="H872" s="165"/>
      <c r="I872" s="165"/>
      <c r="J872" s="165">
        <v>14175</v>
      </c>
      <c r="K872" s="165"/>
      <c r="L872" s="165"/>
      <c r="M872" s="165"/>
      <c r="N872" s="165"/>
      <c r="O872" s="165">
        <f t="shared" si="18"/>
        <v>0</v>
      </c>
      <c r="P872" s="165" t="s">
        <v>3936</v>
      </c>
      <c r="Q872" s="165" t="s">
        <v>3937</v>
      </c>
      <c r="R872" s="3">
        <v>14175</v>
      </c>
      <c r="S872">
        <v>14175</v>
      </c>
      <c r="T872"/>
      <c r="U872" s="3"/>
    </row>
    <row r="873" spans="1:22">
      <c r="A873" s="165" t="s">
        <v>4019</v>
      </c>
      <c r="B873" s="337">
        <v>936</v>
      </c>
      <c r="C873" s="165" t="s">
        <v>906</v>
      </c>
      <c r="D873" s="165">
        <v>2</v>
      </c>
      <c r="E873" s="165" t="s">
        <v>4022</v>
      </c>
      <c r="F873" s="165" t="s">
        <v>4023</v>
      </c>
      <c r="G873" s="165">
        <v>14175</v>
      </c>
      <c r="H873" s="165"/>
      <c r="I873" s="165"/>
      <c r="J873" s="165">
        <v>14175</v>
      </c>
      <c r="K873" s="165"/>
      <c r="L873" s="165"/>
      <c r="M873" s="165"/>
      <c r="N873" s="165"/>
      <c r="O873" s="165">
        <f t="shared" si="18"/>
        <v>0</v>
      </c>
      <c r="P873" s="165" t="s">
        <v>3950</v>
      </c>
      <c r="Q873" s="165" t="s">
        <v>3951</v>
      </c>
      <c r="R873" s="3">
        <v>14175</v>
      </c>
      <c r="S873">
        <v>14175</v>
      </c>
      <c r="T873"/>
      <c r="U873" s="3"/>
    </row>
    <row r="874" spans="1:22">
      <c r="A874" s="165" t="s">
        <v>4019</v>
      </c>
      <c r="B874" s="337">
        <v>937</v>
      </c>
      <c r="C874" s="165" t="s">
        <v>906</v>
      </c>
      <c r="D874" s="165">
        <v>3</v>
      </c>
      <c r="E874" s="165" t="s">
        <v>4024</v>
      </c>
      <c r="F874" s="165" t="s">
        <v>3955</v>
      </c>
      <c r="G874" s="165">
        <v>14175</v>
      </c>
      <c r="H874" s="165"/>
      <c r="I874" s="165"/>
      <c r="J874" s="165">
        <v>14175</v>
      </c>
      <c r="K874" s="165"/>
      <c r="L874" s="165"/>
      <c r="M874" s="165"/>
      <c r="N874" s="165"/>
      <c r="O874" s="165">
        <f t="shared" si="18"/>
        <v>0</v>
      </c>
      <c r="P874" s="165" t="s">
        <v>3955</v>
      </c>
      <c r="Q874" s="165" t="s">
        <v>3956</v>
      </c>
      <c r="R874" s="3">
        <v>14175</v>
      </c>
      <c r="S874">
        <v>14175</v>
      </c>
      <c r="T874"/>
      <c r="U874" s="3"/>
    </row>
    <row r="875" spans="1:22">
      <c r="A875" s="165" t="s">
        <v>4019</v>
      </c>
      <c r="B875" s="337">
        <v>938</v>
      </c>
      <c r="C875" s="165" t="s">
        <v>906</v>
      </c>
      <c r="D875" s="165">
        <v>4</v>
      </c>
      <c r="E875" s="165" t="s">
        <v>4025</v>
      </c>
      <c r="F875" s="165" t="s">
        <v>3957</v>
      </c>
      <c r="G875" s="165">
        <v>14175</v>
      </c>
      <c r="H875" s="165"/>
      <c r="I875" s="165"/>
      <c r="J875" s="165">
        <v>14175</v>
      </c>
      <c r="K875" s="165"/>
      <c r="L875" s="165"/>
      <c r="M875" s="165"/>
      <c r="N875" s="165"/>
      <c r="O875" s="165">
        <f t="shared" si="18"/>
        <v>0</v>
      </c>
      <c r="P875" s="165" t="s">
        <v>3963</v>
      </c>
      <c r="Q875" s="165" t="s">
        <v>3964</v>
      </c>
      <c r="R875" s="3">
        <v>14175</v>
      </c>
      <c r="S875">
        <v>14175</v>
      </c>
      <c r="T875"/>
      <c r="U875" s="3"/>
    </row>
    <row r="876" spans="1:22">
      <c r="A876" s="165" t="s">
        <v>4019</v>
      </c>
      <c r="B876" s="337">
        <v>939</v>
      </c>
      <c r="C876" s="165" t="s">
        <v>906</v>
      </c>
      <c r="D876" s="165">
        <v>5</v>
      </c>
      <c r="E876" s="165" t="s">
        <v>4026</v>
      </c>
      <c r="F876" s="165" t="s">
        <v>4027</v>
      </c>
      <c r="G876" s="165">
        <v>14175</v>
      </c>
      <c r="H876" s="165"/>
      <c r="I876" s="165"/>
      <c r="J876" s="165"/>
      <c r="K876" s="165">
        <v>14175</v>
      </c>
      <c r="L876" s="165"/>
      <c r="M876" s="165"/>
      <c r="N876" s="165"/>
      <c r="O876" s="165">
        <f t="shared" si="18"/>
        <v>0</v>
      </c>
      <c r="P876" s="165" t="s">
        <v>4766</v>
      </c>
      <c r="Q876" s="165" t="s">
        <v>4595</v>
      </c>
      <c r="R876" s="3">
        <v>14175</v>
      </c>
      <c r="S876">
        <v>14175</v>
      </c>
      <c r="T876"/>
      <c r="U876" s="3"/>
    </row>
    <row r="877" spans="1:22">
      <c r="A877" s="165" t="s">
        <v>4019</v>
      </c>
      <c r="B877" s="337">
        <v>940</v>
      </c>
      <c r="C877" s="165" t="s">
        <v>906</v>
      </c>
      <c r="D877" s="165">
        <v>6</v>
      </c>
      <c r="E877" s="165" t="s">
        <v>4028</v>
      </c>
      <c r="F877" s="165" t="s">
        <v>4029</v>
      </c>
      <c r="G877" s="165">
        <v>14175</v>
      </c>
      <c r="H877" s="165"/>
      <c r="I877" s="165"/>
      <c r="J877" s="165"/>
      <c r="K877" s="165">
        <v>14175</v>
      </c>
      <c r="L877" s="165"/>
      <c r="M877" s="165"/>
      <c r="N877" s="165"/>
      <c r="O877" s="165">
        <f t="shared" si="18"/>
        <v>0</v>
      </c>
      <c r="P877" s="165" t="s">
        <v>4767</v>
      </c>
      <c r="Q877" s="165" t="s">
        <v>4782</v>
      </c>
      <c r="R877" s="3">
        <v>14175</v>
      </c>
      <c r="S877">
        <v>14175</v>
      </c>
      <c r="T877"/>
      <c r="U877" s="3"/>
    </row>
    <row r="878" spans="1:22">
      <c r="A878" s="165" t="s">
        <v>4019</v>
      </c>
      <c r="B878" s="337">
        <v>941</v>
      </c>
      <c r="C878" s="165" t="s">
        <v>906</v>
      </c>
      <c r="D878" s="165">
        <v>7</v>
      </c>
      <c r="E878" s="165" t="s">
        <v>4030</v>
      </c>
      <c r="F878" s="165" t="s">
        <v>4031</v>
      </c>
      <c r="G878" s="165">
        <v>14175</v>
      </c>
      <c r="H878" s="165"/>
      <c r="I878" s="165"/>
      <c r="J878" s="165"/>
      <c r="K878" s="165">
        <v>14175</v>
      </c>
      <c r="L878" s="165"/>
      <c r="M878" s="165"/>
      <c r="N878" s="165"/>
      <c r="O878" s="165">
        <f t="shared" si="18"/>
        <v>0</v>
      </c>
      <c r="P878" s="165" t="s">
        <v>4715</v>
      </c>
      <c r="Q878" s="165" t="s">
        <v>4786</v>
      </c>
      <c r="R878" s="3">
        <v>14175</v>
      </c>
      <c r="S878">
        <v>14175</v>
      </c>
      <c r="T878"/>
      <c r="U878" s="3"/>
    </row>
    <row r="879" spans="1:22">
      <c r="A879" s="165" t="s">
        <v>4019</v>
      </c>
      <c r="B879" s="337">
        <v>942</v>
      </c>
      <c r="C879" s="165" t="s">
        <v>906</v>
      </c>
      <c r="D879" s="165">
        <v>8</v>
      </c>
      <c r="E879" s="165" t="s">
        <v>4032</v>
      </c>
      <c r="F879" s="165" t="s">
        <v>4033</v>
      </c>
      <c r="G879" s="165">
        <v>14175</v>
      </c>
      <c r="H879" s="165"/>
      <c r="I879" s="165"/>
      <c r="J879" s="165"/>
      <c r="K879" s="165">
        <v>14175</v>
      </c>
      <c r="L879" s="165"/>
      <c r="M879" s="165"/>
      <c r="N879" s="165"/>
      <c r="O879" s="165">
        <f t="shared" si="18"/>
        <v>0</v>
      </c>
      <c r="P879" s="165" t="s">
        <v>4190</v>
      </c>
      <c r="Q879" s="165" t="s">
        <v>4033</v>
      </c>
      <c r="R879" s="3">
        <v>14175</v>
      </c>
      <c r="S879">
        <v>14175</v>
      </c>
      <c r="T879"/>
      <c r="U879" s="3"/>
    </row>
    <row r="880" spans="1:22" s="283" customFormat="1">
      <c r="A880" s="279" t="s">
        <v>4034</v>
      </c>
      <c r="B880" s="279"/>
      <c r="C880" s="279" t="s">
        <v>2060</v>
      </c>
      <c r="D880" s="279">
        <v>7</v>
      </c>
      <c r="E880" s="279" t="s">
        <v>1283</v>
      </c>
      <c r="F880" s="279" t="s">
        <v>4034</v>
      </c>
      <c r="G880" s="280"/>
      <c r="H880" s="280"/>
      <c r="I880" s="280"/>
      <c r="J880" s="280"/>
      <c r="K880" s="280"/>
      <c r="L880" s="280"/>
      <c r="M880" s="280"/>
      <c r="N880" s="280"/>
      <c r="O880" s="280">
        <f t="shared" si="18"/>
        <v>0</v>
      </c>
      <c r="P880" s="279" t="s">
        <v>4034</v>
      </c>
      <c r="Q880" s="279" t="s">
        <v>4034</v>
      </c>
      <c r="R880" s="279">
        <v>14175</v>
      </c>
      <c r="S880" s="279">
        <v>14175</v>
      </c>
      <c r="T880" s="279">
        <v>14175</v>
      </c>
      <c r="U880" s="280"/>
      <c r="V880" s="282" t="s">
        <v>245</v>
      </c>
    </row>
    <row r="881" spans="1:22">
      <c r="A881" s="165" t="s">
        <v>3935</v>
      </c>
      <c r="B881" s="94">
        <v>943</v>
      </c>
      <c r="C881" s="165" t="s">
        <v>1305</v>
      </c>
      <c r="D881" s="165">
        <v>2</v>
      </c>
      <c r="E881" s="165" t="s">
        <v>4035</v>
      </c>
      <c r="F881" s="165" t="s">
        <v>4036</v>
      </c>
      <c r="G881" s="165"/>
      <c r="H881" s="165">
        <v>11340</v>
      </c>
      <c r="I881" s="165"/>
      <c r="J881" s="165">
        <v>11340</v>
      </c>
      <c r="K881" s="165"/>
      <c r="L881" s="165"/>
      <c r="M881" s="165"/>
      <c r="N881" s="165"/>
      <c r="O881" s="165">
        <f t="shared" si="18"/>
        <v>0</v>
      </c>
      <c r="P881" s="165" t="s">
        <v>3944</v>
      </c>
      <c r="Q881" s="165" t="s">
        <v>3945</v>
      </c>
      <c r="R881" s="3">
        <v>11340</v>
      </c>
      <c r="S881" s="405">
        <v>11340</v>
      </c>
      <c r="T881"/>
      <c r="U881" s="3"/>
    </row>
    <row r="882" spans="1:22">
      <c r="A882" s="165" t="s">
        <v>4037</v>
      </c>
      <c r="B882" s="94">
        <v>944</v>
      </c>
      <c r="C882" s="165" t="s">
        <v>4038</v>
      </c>
      <c r="D882" s="165">
        <v>1</v>
      </c>
      <c r="E882" s="165" t="s">
        <v>4039</v>
      </c>
      <c r="F882" s="165" t="s">
        <v>4040</v>
      </c>
      <c r="G882" s="165">
        <v>14175</v>
      </c>
      <c r="H882" s="165"/>
      <c r="I882" s="165"/>
      <c r="J882" s="165">
        <v>14175</v>
      </c>
      <c r="K882" s="165"/>
      <c r="L882" s="165"/>
      <c r="M882" s="165"/>
      <c r="N882" s="165"/>
      <c r="O882" s="165">
        <f t="shared" si="18"/>
        <v>0</v>
      </c>
      <c r="P882" s="165" t="s">
        <v>3944</v>
      </c>
      <c r="Q882" s="165" t="s">
        <v>3945</v>
      </c>
      <c r="R882" s="3">
        <v>14175</v>
      </c>
      <c r="S882" s="3">
        <v>14175</v>
      </c>
      <c r="T882"/>
      <c r="U882" s="3"/>
    </row>
    <row r="883" spans="1:22">
      <c r="A883" s="165" t="s">
        <v>4037</v>
      </c>
      <c r="B883" s="94">
        <v>945</v>
      </c>
      <c r="C883" s="165" t="s">
        <v>4038</v>
      </c>
      <c r="D883" s="165">
        <v>2</v>
      </c>
      <c r="E883" s="165" t="s">
        <v>4041</v>
      </c>
      <c r="F883" s="165" t="s">
        <v>4042</v>
      </c>
      <c r="G883" s="165">
        <v>14175</v>
      </c>
      <c r="H883" s="165"/>
      <c r="I883" s="165"/>
      <c r="J883" s="165">
        <v>14175</v>
      </c>
      <c r="K883" s="165"/>
      <c r="L883" s="165"/>
      <c r="M883" s="165"/>
      <c r="N883" s="165"/>
      <c r="O883" s="165">
        <f t="shared" si="18"/>
        <v>0</v>
      </c>
      <c r="P883" s="165" t="s">
        <v>3952</v>
      </c>
      <c r="Q883" s="165" t="s">
        <v>3953</v>
      </c>
      <c r="R883" s="3">
        <v>14175</v>
      </c>
      <c r="S883" s="3">
        <v>14175</v>
      </c>
      <c r="T883"/>
      <c r="U883" s="3"/>
    </row>
    <row r="884" spans="1:22">
      <c r="A884" s="165" t="s">
        <v>4037</v>
      </c>
      <c r="B884" s="94">
        <v>946</v>
      </c>
      <c r="C884" s="165" t="s">
        <v>4038</v>
      </c>
      <c r="D884" s="165">
        <v>3</v>
      </c>
      <c r="E884" s="165" t="s">
        <v>4043</v>
      </c>
      <c r="F884" s="165" t="s">
        <v>4044</v>
      </c>
      <c r="G884" s="165">
        <v>14175</v>
      </c>
      <c r="H884" s="165"/>
      <c r="I884" s="165"/>
      <c r="J884" s="165">
        <v>14175</v>
      </c>
      <c r="K884" s="165"/>
      <c r="L884" s="165"/>
      <c r="M884" s="165"/>
      <c r="N884" s="165"/>
      <c r="O884" s="165">
        <f t="shared" si="18"/>
        <v>0</v>
      </c>
      <c r="P884" s="165" t="s">
        <v>3965</v>
      </c>
      <c r="Q884" s="165" t="s">
        <v>3966</v>
      </c>
      <c r="R884" s="3">
        <v>14175</v>
      </c>
      <c r="S884" s="3">
        <v>14175</v>
      </c>
      <c r="T884"/>
      <c r="U884" s="3"/>
    </row>
    <row r="885" spans="1:22">
      <c r="A885" s="165" t="s">
        <v>4037</v>
      </c>
      <c r="B885" s="94">
        <v>947</v>
      </c>
      <c r="C885" s="165" t="s">
        <v>4038</v>
      </c>
      <c r="D885" s="165">
        <v>4</v>
      </c>
      <c r="E885" s="165" t="s">
        <v>4045</v>
      </c>
      <c r="F885" s="165" t="s">
        <v>4046</v>
      </c>
      <c r="G885" s="165">
        <v>14175</v>
      </c>
      <c r="H885" s="165"/>
      <c r="I885" s="165"/>
      <c r="J885" s="165"/>
      <c r="K885" s="165">
        <v>14175</v>
      </c>
      <c r="L885" s="165"/>
      <c r="M885" s="165"/>
      <c r="N885" s="165"/>
      <c r="O885" s="165">
        <f t="shared" si="18"/>
        <v>0</v>
      </c>
      <c r="P885" s="165" t="s">
        <v>4433</v>
      </c>
      <c r="Q885" s="165" t="s">
        <v>4580</v>
      </c>
      <c r="R885" s="3">
        <v>14175</v>
      </c>
      <c r="S885" s="3">
        <v>14175</v>
      </c>
      <c r="T885"/>
      <c r="U885" s="3"/>
    </row>
    <row r="886" spans="1:22">
      <c r="A886" s="165" t="s">
        <v>4037</v>
      </c>
      <c r="B886" s="94">
        <v>948</v>
      </c>
      <c r="C886" s="165" t="s">
        <v>4038</v>
      </c>
      <c r="D886" s="165">
        <v>5</v>
      </c>
      <c r="E886" s="165" t="s">
        <v>4047</v>
      </c>
      <c r="F886" s="165" t="s">
        <v>4048</v>
      </c>
      <c r="G886" s="165">
        <v>14175</v>
      </c>
      <c r="H886" s="165"/>
      <c r="I886" s="165"/>
      <c r="J886" s="165"/>
      <c r="K886" s="165">
        <v>14175</v>
      </c>
      <c r="L886" s="165"/>
      <c r="M886" s="165"/>
      <c r="N886" s="165"/>
      <c r="O886" s="165">
        <f t="shared" si="18"/>
        <v>0</v>
      </c>
      <c r="P886" s="165" t="s">
        <v>4439</v>
      </c>
      <c r="Q886" s="165" t="s">
        <v>4780</v>
      </c>
      <c r="R886" s="3">
        <v>14175</v>
      </c>
      <c r="S886" s="3">
        <v>14175</v>
      </c>
      <c r="T886"/>
      <c r="U886" s="3"/>
    </row>
    <row r="887" spans="1:22">
      <c r="A887" s="165" t="s">
        <v>4037</v>
      </c>
      <c r="B887" s="94">
        <v>949</v>
      </c>
      <c r="C887" s="165" t="s">
        <v>4038</v>
      </c>
      <c r="D887" s="165">
        <v>6</v>
      </c>
      <c r="E887" s="165" t="s">
        <v>4049</v>
      </c>
      <c r="F887" s="165" t="s">
        <v>4050</v>
      </c>
      <c r="G887" s="165">
        <v>14175</v>
      </c>
      <c r="H887" s="165"/>
      <c r="I887" s="165"/>
      <c r="J887" s="165"/>
      <c r="K887" s="165">
        <v>14175</v>
      </c>
      <c r="L887" s="165"/>
      <c r="M887" s="165"/>
      <c r="N887" s="165"/>
      <c r="O887" s="165">
        <f t="shared" si="18"/>
        <v>0</v>
      </c>
      <c r="P887" s="165" t="s">
        <v>4769</v>
      </c>
      <c r="Q887" s="165" t="s">
        <v>4783</v>
      </c>
      <c r="R887" s="3">
        <v>14175</v>
      </c>
      <c r="S887" s="3">
        <v>14175</v>
      </c>
      <c r="T887"/>
      <c r="U887" s="3"/>
    </row>
    <row r="888" spans="1:22">
      <c r="A888" s="165" t="s">
        <v>4037</v>
      </c>
      <c r="B888" s="94">
        <v>950</v>
      </c>
      <c r="C888" s="165" t="s">
        <v>4038</v>
      </c>
      <c r="D888" s="165">
        <v>7</v>
      </c>
      <c r="E888" s="165" t="s">
        <v>4051</v>
      </c>
      <c r="F888" s="165" t="s">
        <v>4052</v>
      </c>
      <c r="G888" s="165">
        <v>14175</v>
      </c>
      <c r="H888" s="165"/>
      <c r="I888" s="165"/>
      <c r="J888" s="165"/>
      <c r="K888" s="165">
        <v>14175</v>
      </c>
      <c r="L888" s="165"/>
      <c r="M888" s="165"/>
      <c r="N888" s="165"/>
      <c r="O888" s="165">
        <f t="shared" si="18"/>
        <v>0</v>
      </c>
      <c r="P888" s="165" t="s">
        <v>4777</v>
      </c>
      <c r="Q888" s="165" t="s">
        <v>4127</v>
      </c>
      <c r="R888" s="3">
        <v>14175</v>
      </c>
      <c r="S888" s="3">
        <v>14175</v>
      </c>
      <c r="T888"/>
      <c r="U888" s="3"/>
    </row>
    <row r="889" spans="1:22">
      <c r="A889" s="165" t="s">
        <v>4037</v>
      </c>
      <c r="B889" s="94">
        <v>951</v>
      </c>
      <c r="C889" s="165" t="s">
        <v>4038</v>
      </c>
      <c r="D889" s="165">
        <v>8</v>
      </c>
      <c r="E889" s="165" t="s">
        <v>4053</v>
      </c>
      <c r="F889" s="165" t="s">
        <v>4054</v>
      </c>
      <c r="G889" s="165">
        <v>14175</v>
      </c>
      <c r="H889" s="165"/>
      <c r="I889" s="165"/>
      <c r="J889" s="165"/>
      <c r="K889" s="165"/>
      <c r="L889" s="165">
        <v>14175</v>
      </c>
      <c r="M889" s="165"/>
      <c r="N889" s="165"/>
      <c r="O889" s="165">
        <f>G889+H889+I889-J889-K889-L889</f>
        <v>0</v>
      </c>
      <c r="P889" s="165" t="s">
        <v>5298</v>
      </c>
      <c r="Q889" s="165" t="s">
        <v>5299</v>
      </c>
      <c r="R889" s="3">
        <v>14175</v>
      </c>
      <c r="S889" s="3">
        <v>14175</v>
      </c>
      <c r="T889"/>
      <c r="U889" s="3"/>
    </row>
    <row r="890" spans="1:22">
      <c r="A890" s="165" t="s">
        <v>4055</v>
      </c>
      <c r="B890" s="94">
        <v>952</v>
      </c>
      <c r="C890" s="165" t="s">
        <v>4056</v>
      </c>
      <c r="D890" s="165">
        <v>1</v>
      </c>
      <c r="E890" s="165" t="s">
        <v>4057</v>
      </c>
      <c r="F890" s="165" t="s">
        <v>4058</v>
      </c>
      <c r="G890" s="165">
        <v>20475</v>
      </c>
      <c r="H890" s="165"/>
      <c r="I890" s="165"/>
      <c r="J890" s="165">
        <v>20475</v>
      </c>
      <c r="K890" s="165"/>
      <c r="L890" s="165"/>
      <c r="M890" s="165"/>
      <c r="N890" s="165"/>
      <c r="O890" s="165">
        <f t="shared" ref="O890:O896" si="19">G890+H890+I890-J890-K890</f>
        <v>0</v>
      </c>
      <c r="P890" s="165" t="s">
        <v>3940</v>
      </c>
      <c r="Q890" s="165" t="s">
        <v>3941</v>
      </c>
      <c r="R890" s="3">
        <v>20475</v>
      </c>
      <c r="S890" s="3">
        <v>20475</v>
      </c>
      <c r="T890"/>
      <c r="U890" s="3"/>
      <c r="V890" s="271" t="s">
        <v>2740</v>
      </c>
    </row>
    <row r="891" spans="1:22">
      <c r="A891" s="165" t="s">
        <v>4055</v>
      </c>
      <c r="B891" s="94">
        <v>953</v>
      </c>
      <c r="C891" s="165" t="s">
        <v>4056</v>
      </c>
      <c r="D891" s="165">
        <v>2</v>
      </c>
      <c r="E891" s="165" t="s">
        <v>4059</v>
      </c>
      <c r="F891" s="165" t="s">
        <v>4060</v>
      </c>
      <c r="G891" s="165">
        <v>20475</v>
      </c>
      <c r="H891" s="165"/>
      <c r="I891" s="165"/>
      <c r="J891" s="165">
        <v>20475</v>
      </c>
      <c r="K891" s="165"/>
      <c r="L891" s="165"/>
      <c r="M891" s="165"/>
      <c r="N891" s="165"/>
      <c r="O891" s="165">
        <f t="shared" si="19"/>
        <v>0</v>
      </c>
      <c r="P891" s="165" t="s">
        <v>3952</v>
      </c>
      <c r="Q891" s="165" t="s">
        <v>3953</v>
      </c>
      <c r="R891" s="3">
        <v>20475</v>
      </c>
      <c r="S891" s="3">
        <v>20475</v>
      </c>
      <c r="T891"/>
      <c r="U891" s="3"/>
      <c r="V891" s="271" t="s">
        <v>2740</v>
      </c>
    </row>
    <row r="892" spans="1:22">
      <c r="A892" s="165" t="s">
        <v>4055</v>
      </c>
      <c r="B892" s="94">
        <v>954</v>
      </c>
      <c r="C892" s="165" t="s">
        <v>4056</v>
      </c>
      <c r="D892" s="165">
        <v>3</v>
      </c>
      <c r="E892" s="165" t="s">
        <v>4061</v>
      </c>
      <c r="F892" s="165" t="s">
        <v>4062</v>
      </c>
      <c r="G892" s="165">
        <v>20475</v>
      </c>
      <c r="H892" s="165"/>
      <c r="I892" s="165"/>
      <c r="J892" s="165">
        <v>20475</v>
      </c>
      <c r="K892" s="165"/>
      <c r="L892" s="165"/>
      <c r="M892" s="165"/>
      <c r="N892" s="165"/>
      <c r="O892" s="165">
        <f t="shared" si="19"/>
        <v>0</v>
      </c>
      <c r="P892" s="165" t="s">
        <v>3965</v>
      </c>
      <c r="Q892" s="165" t="s">
        <v>3966</v>
      </c>
      <c r="R892" s="3">
        <v>20475</v>
      </c>
      <c r="S892" s="3">
        <v>20475</v>
      </c>
      <c r="T892"/>
      <c r="U892" s="3"/>
      <c r="V892" s="271" t="s">
        <v>2740</v>
      </c>
    </row>
    <row r="893" spans="1:22">
      <c r="A893" s="165" t="s">
        <v>4055</v>
      </c>
      <c r="B893" s="94">
        <v>955</v>
      </c>
      <c r="C893" s="165" t="s">
        <v>4056</v>
      </c>
      <c r="D893" s="165">
        <v>4</v>
      </c>
      <c r="E893" s="165" t="s">
        <v>4063</v>
      </c>
      <c r="F893" s="165" t="s">
        <v>4064</v>
      </c>
      <c r="G893" s="165">
        <v>20475</v>
      </c>
      <c r="H893" s="165"/>
      <c r="I893" s="165"/>
      <c r="J893" s="165"/>
      <c r="K893" s="165">
        <v>20475</v>
      </c>
      <c r="L893" s="165"/>
      <c r="M893" s="165"/>
      <c r="N893" s="165"/>
      <c r="O893" s="165">
        <f t="shared" si="19"/>
        <v>0</v>
      </c>
      <c r="P893" s="165" t="s">
        <v>4236</v>
      </c>
      <c r="Q893" s="165" t="s">
        <v>4752</v>
      </c>
      <c r="R893" s="3">
        <v>20475</v>
      </c>
      <c r="S893" s="3">
        <v>20475</v>
      </c>
      <c r="T893"/>
      <c r="U893" s="3"/>
      <c r="V893" s="271" t="s">
        <v>2740</v>
      </c>
    </row>
    <row r="894" spans="1:22">
      <c r="A894" s="165" t="s">
        <v>4055</v>
      </c>
      <c r="B894" s="94">
        <v>956</v>
      </c>
      <c r="C894" s="165" t="s">
        <v>4056</v>
      </c>
      <c r="D894" s="165">
        <v>5</v>
      </c>
      <c r="E894" s="165" t="s">
        <v>4065</v>
      </c>
      <c r="F894" s="165" t="s">
        <v>4066</v>
      </c>
      <c r="G894" s="165">
        <v>20475</v>
      </c>
      <c r="H894" s="165"/>
      <c r="I894" s="165"/>
      <c r="J894" s="165"/>
      <c r="K894" s="165">
        <v>20475</v>
      </c>
      <c r="L894" s="165"/>
      <c r="M894" s="165"/>
      <c r="N894" s="165"/>
      <c r="O894" s="165">
        <f t="shared" si="19"/>
        <v>0</v>
      </c>
      <c r="P894" s="165" t="s">
        <v>4439</v>
      </c>
      <c r="Q894" s="165" t="s">
        <v>4780</v>
      </c>
      <c r="R894" s="3">
        <v>20475</v>
      </c>
      <c r="S894" s="3">
        <v>20475</v>
      </c>
      <c r="T894"/>
      <c r="U894" s="3"/>
      <c r="V894" s="271" t="s">
        <v>2740</v>
      </c>
    </row>
    <row r="895" spans="1:22">
      <c r="A895" s="165" t="s">
        <v>4055</v>
      </c>
      <c r="B895" s="94">
        <v>957</v>
      </c>
      <c r="C895" s="165" t="s">
        <v>4056</v>
      </c>
      <c r="D895" s="165">
        <v>6</v>
      </c>
      <c r="E895" s="165" t="s">
        <v>4067</v>
      </c>
      <c r="F895" s="165" t="s">
        <v>4068</v>
      </c>
      <c r="G895" s="165">
        <v>20475</v>
      </c>
      <c r="H895" s="165"/>
      <c r="I895" s="165"/>
      <c r="J895" s="165"/>
      <c r="K895" s="165">
        <v>20475</v>
      </c>
      <c r="L895" s="165"/>
      <c r="M895" s="165"/>
      <c r="N895" s="165"/>
      <c r="O895" s="165">
        <f t="shared" si="19"/>
        <v>0</v>
      </c>
      <c r="P895" s="165" t="s">
        <v>4768</v>
      </c>
      <c r="Q895" s="165" t="s">
        <v>4677</v>
      </c>
      <c r="R895" s="3">
        <v>20475</v>
      </c>
      <c r="S895" s="3">
        <v>20475</v>
      </c>
      <c r="T895"/>
      <c r="U895" s="3"/>
      <c r="V895" s="271" t="s">
        <v>2740</v>
      </c>
    </row>
    <row r="896" spans="1:22">
      <c r="A896" s="165" t="s">
        <v>4055</v>
      </c>
      <c r="B896" s="94">
        <v>958</v>
      </c>
      <c r="C896" s="165" t="s">
        <v>4056</v>
      </c>
      <c r="D896" s="165">
        <v>7</v>
      </c>
      <c r="E896" s="165" t="s">
        <v>4069</v>
      </c>
      <c r="F896" s="165" t="s">
        <v>4070</v>
      </c>
      <c r="G896" s="165">
        <v>20475</v>
      </c>
      <c r="H896" s="165"/>
      <c r="I896" s="165"/>
      <c r="J896" s="165"/>
      <c r="K896" s="165">
        <v>20475</v>
      </c>
      <c r="L896" s="165"/>
      <c r="M896" s="165"/>
      <c r="N896" s="165"/>
      <c r="O896" s="165">
        <f t="shared" si="19"/>
        <v>0</v>
      </c>
      <c r="P896" s="165" t="s">
        <v>4777</v>
      </c>
      <c r="Q896" s="165" t="s">
        <v>4127</v>
      </c>
      <c r="R896" s="3">
        <v>20475</v>
      </c>
      <c r="S896" s="3">
        <v>20475</v>
      </c>
      <c r="T896"/>
      <c r="U896" s="3"/>
      <c r="V896" s="271" t="s">
        <v>2740</v>
      </c>
    </row>
    <row r="897" spans="1:22">
      <c r="A897" s="165" t="s">
        <v>4055</v>
      </c>
      <c r="B897" s="94">
        <v>959</v>
      </c>
      <c r="C897" s="165" t="s">
        <v>4056</v>
      </c>
      <c r="D897" s="165">
        <v>8</v>
      </c>
      <c r="E897" s="165" t="s">
        <v>4071</v>
      </c>
      <c r="F897" s="165" t="s">
        <v>4072</v>
      </c>
      <c r="G897" s="165"/>
      <c r="H897" s="165"/>
      <c r="I897" s="165">
        <v>20475</v>
      </c>
      <c r="J897" s="165"/>
      <c r="K897" s="165"/>
      <c r="L897" s="165">
        <v>20475</v>
      </c>
      <c r="M897" s="165"/>
      <c r="N897" s="165"/>
      <c r="O897" s="165">
        <f>G897+H897+I897-J897-K897-L897</f>
        <v>0</v>
      </c>
      <c r="P897" s="165" t="s">
        <v>5294</v>
      </c>
      <c r="Q897" s="165" t="s">
        <v>4072</v>
      </c>
      <c r="R897" s="3">
        <v>20475</v>
      </c>
      <c r="S897" s="3">
        <v>20475</v>
      </c>
      <c r="T897"/>
      <c r="U897" s="3"/>
      <c r="V897" s="271" t="s">
        <v>2740</v>
      </c>
    </row>
    <row r="898" spans="1:22" s="163" customFormat="1">
      <c r="A898" s="281" t="s">
        <v>4073</v>
      </c>
      <c r="B898" s="281"/>
      <c r="C898" s="281" t="s">
        <v>2421</v>
      </c>
      <c r="D898" s="281">
        <v>7</v>
      </c>
      <c r="E898" s="281" t="s">
        <v>1283</v>
      </c>
      <c r="F898" s="281" t="s">
        <v>4073</v>
      </c>
      <c r="G898" s="284"/>
      <c r="H898" s="284"/>
      <c r="I898" s="284"/>
      <c r="J898" s="281"/>
      <c r="K898" s="281"/>
      <c r="L898" s="281"/>
      <c r="M898" s="281"/>
      <c r="N898" s="281"/>
      <c r="O898" s="281">
        <f t="shared" ref="O898:O905" si="20">G898+H898+I898-J898-K898</f>
        <v>0</v>
      </c>
      <c r="P898" s="281" t="s">
        <v>4073</v>
      </c>
      <c r="Q898" s="281" t="s">
        <v>4073</v>
      </c>
      <c r="R898" s="281">
        <v>13230</v>
      </c>
      <c r="S898" s="281">
        <v>13220</v>
      </c>
      <c r="T898" s="406">
        <v>13220</v>
      </c>
      <c r="U898" s="284">
        <v>10</v>
      </c>
    </row>
    <row r="899" spans="1:22">
      <c r="A899" s="165" t="s">
        <v>4074</v>
      </c>
      <c r="B899" s="165">
        <v>960</v>
      </c>
      <c r="C899" s="165" t="s">
        <v>4075</v>
      </c>
      <c r="D899" s="165">
        <v>1</v>
      </c>
      <c r="E899" s="165" t="s">
        <v>4076</v>
      </c>
      <c r="F899" s="165" t="s">
        <v>3936</v>
      </c>
      <c r="G899" s="165">
        <v>14175</v>
      </c>
      <c r="H899" s="165"/>
      <c r="I899" s="165"/>
      <c r="J899" s="165">
        <v>14175</v>
      </c>
      <c r="K899" s="165"/>
      <c r="L899" s="165"/>
      <c r="M899" s="165"/>
      <c r="N899" s="165"/>
      <c r="O899" s="165">
        <f t="shared" si="20"/>
        <v>0</v>
      </c>
      <c r="P899" s="165" t="s">
        <v>3944</v>
      </c>
      <c r="Q899" s="165" t="s">
        <v>3945</v>
      </c>
      <c r="R899" s="3">
        <v>14175</v>
      </c>
      <c r="S899" s="3">
        <v>14175</v>
      </c>
      <c r="T899"/>
      <c r="U899" s="3"/>
    </row>
    <row r="900" spans="1:22">
      <c r="A900" s="165" t="s">
        <v>4074</v>
      </c>
      <c r="B900" s="165">
        <v>961</v>
      </c>
      <c r="C900" s="165" t="s">
        <v>4075</v>
      </c>
      <c r="D900" s="165">
        <v>2</v>
      </c>
      <c r="E900" s="165" t="s">
        <v>4077</v>
      </c>
      <c r="F900" s="165" t="s">
        <v>4078</v>
      </c>
      <c r="G900" s="165">
        <v>14175</v>
      </c>
      <c r="H900" s="165"/>
      <c r="I900" s="165"/>
      <c r="J900" s="165">
        <v>14175</v>
      </c>
      <c r="K900" s="165"/>
      <c r="L900" s="165"/>
      <c r="M900" s="165"/>
      <c r="N900" s="165"/>
      <c r="O900" s="165">
        <f t="shared" si="20"/>
        <v>0</v>
      </c>
      <c r="P900" s="165" t="s">
        <v>4079</v>
      </c>
      <c r="Q900" s="165" t="s">
        <v>3953</v>
      </c>
      <c r="R900" s="3">
        <v>14175</v>
      </c>
      <c r="S900" s="3">
        <v>14175</v>
      </c>
      <c r="T900"/>
      <c r="U900" s="3"/>
    </row>
    <row r="901" spans="1:22">
      <c r="A901" s="165" t="s">
        <v>4074</v>
      </c>
      <c r="B901" s="165">
        <v>962</v>
      </c>
      <c r="C901" s="165" t="s">
        <v>4075</v>
      </c>
      <c r="D901" s="165">
        <v>3</v>
      </c>
      <c r="E901" s="165" t="s">
        <v>4080</v>
      </c>
      <c r="F901" s="165" t="s">
        <v>4081</v>
      </c>
      <c r="G901" s="165">
        <v>14175</v>
      </c>
      <c r="H901" s="165"/>
      <c r="I901" s="165"/>
      <c r="J901" s="165">
        <v>14175</v>
      </c>
      <c r="K901" s="165"/>
      <c r="L901" s="165"/>
      <c r="M901" s="165"/>
      <c r="N901" s="165"/>
      <c r="O901" s="165">
        <f t="shared" si="20"/>
        <v>0</v>
      </c>
      <c r="P901" s="165" t="s">
        <v>3986</v>
      </c>
      <c r="Q901" s="165" t="s">
        <v>3987</v>
      </c>
      <c r="R901" s="3">
        <v>14175</v>
      </c>
      <c r="S901" s="3">
        <v>14175</v>
      </c>
      <c r="T901"/>
      <c r="U901" s="3"/>
    </row>
    <row r="902" spans="1:22">
      <c r="A902" s="165" t="s">
        <v>4074</v>
      </c>
      <c r="B902" s="165">
        <v>963</v>
      </c>
      <c r="C902" s="165" t="s">
        <v>4075</v>
      </c>
      <c r="D902" s="165">
        <v>4</v>
      </c>
      <c r="E902" s="165" t="s">
        <v>4082</v>
      </c>
      <c r="F902" s="165" t="s">
        <v>3973</v>
      </c>
      <c r="G902" s="165">
        <v>14175</v>
      </c>
      <c r="H902" s="165"/>
      <c r="I902" s="165"/>
      <c r="J902" s="165">
        <v>14175</v>
      </c>
      <c r="K902" s="165"/>
      <c r="L902" s="165"/>
      <c r="M902" s="165"/>
      <c r="N902" s="165"/>
      <c r="O902" s="165">
        <f t="shared" si="20"/>
        <v>0</v>
      </c>
      <c r="P902" s="165" t="s">
        <v>3972</v>
      </c>
      <c r="Q902" s="165" t="s">
        <v>3973</v>
      </c>
      <c r="R902" s="3">
        <v>14175</v>
      </c>
      <c r="S902" s="3">
        <v>14175</v>
      </c>
      <c r="T902"/>
      <c r="U902" s="3"/>
    </row>
    <row r="903" spans="1:22">
      <c r="A903" s="165" t="s">
        <v>4074</v>
      </c>
      <c r="B903" s="165">
        <v>964</v>
      </c>
      <c r="C903" s="165" t="s">
        <v>4075</v>
      </c>
      <c r="D903" s="165">
        <v>5</v>
      </c>
      <c r="E903" s="165" t="s">
        <v>4083</v>
      </c>
      <c r="F903" s="165" t="s">
        <v>4084</v>
      </c>
      <c r="G903" s="165">
        <v>14175</v>
      </c>
      <c r="H903" s="165"/>
      <c r="I903" s="165"/>
      <c r="J903" s="165"/>
      <c r="K903" s="165">
        <v>14175</v>
      </c>
      <c r="L903" s="165"/>
      <c r="M903" s="165"/>
      <c r="N903" s="165"/>
      <c r="O903" s="165">
        <f t="shared" si="20"/>
        <v>0</v>
      </c>
      <c r="P903" s="165" t="s">
        <v>4439</v>
      </c>
      <c r="Q903" s="165" t="s">
        <v>4780</v>
      </c>
      <c r="R903" s="3">
        <v>14175</v>
      </c>
      <c r="S903" s="3">
        <v>14175</v>
      </c>
      <c r="T903"/>
      <c r="U903" s="3"/>
    </row>
    <row r="904" spans="1:22">
      <c r="A904" s="165" t="s">
        <v>4074</v>
      </c>
      <c r="B904" s="165">
        <v>965</v>
      </c>
      <c r="C904" s="165" t="s">
        <v>4075</v>
      </c>
      <c r="D904" s="165">
        <v>6</v>
      </c>
      <c r="E904" s="165" t="s">
        <v>4085</v>
      </c>
      <c r="F904" s="165" t="s">
        <v>4086</v>
      </c>
      <c r="G904" s="165">
        <v>14175</v>
      </c>
      <c r="H904" s="165"/>
      <c r="I904" s="165"/>
      <c r="J904" s="165"/>
      <c r="K904" s="165">
        <v>14175</v>
      </c>
      <c r="L904" s="165"/>
      <c r="M904" s="165"/>
      <c r="N904" s="165"/>
      <c r="O904" s="165">
        <f t="shared" si="20"/>
        <v>0</v>
      </c>
      <c r="P904" s="165" t="s">
        <v>4768</v>
      </c>
      <c r="Q904" s="165" t="s">
        <v>4677</v>
      </c>
      <c r="R904" s="3">
        <v>14175</v>
      </c>
      <c r="S904" s="3">
        <v>14175</v>
      </c>
      <c r="T904"/>
      <c r="U904" s="3"/>
    </row>
    <row r="905" spans="1:22">
      <c r="A905" s="165" t="s">
        <v>4074</v>
      </c>
      <c r="B905" s="165">
        <v>966</v>
      </c>
      <c r="C905" s="165" t="s">
        <v>4075</v>
      </c>
      <c r="D905" s="165">
        <v>7</v>
      </c>
      <c r="E905" s="165" t="s">
        <v>4087</v>
      </c>
      <c r="F905" s="165" t="s">
        <v>4088</v>
      </c>
      <c r="G905" s="165">
        <v>14175</v>
      </c>
      <c r="H905" s="165"/>
      <c r="I905" s="165"/>
      <c r="J905" s="165"/>
      <c r="K905" s="165">
        <v>14175</v>
      </c>
      <c r="L905" s="165"/>
      <c r="M905" s="165"/>
      <c r="N905" s="165"/>
      <c r="O905" s="165">
        <f t="shared" si="20"/>
        <v>0</v>
      </c>
      <c r="P905" s="165" t="s">
        <v>4772</v>
      </c>
      <c r="Q905" s="165" t="s">
        <v>4088</v>
      </c>
      <c r="R905" s="3">
        <v>14175</v>
      </c>
      <c r="S905" s="3">
        <v>14175</v>
      </c>
      <c r="T905"/>
      <c r="U905" s="3"/>
    </row>
    <row r="906" spans="1:22">
      <c r="A906" s="165" t="s">
        <v>4074</v>
      </c>
      <c r="B906" s="165">
        <v>967</v>
      </c>
      <c r="C906" s="165" t="s">
        <v>4075</v>
      </c>
      <c r="D906" s="165">
        <v>8</v>
      </c>
      <c r="E906" s="165" t="s">
        <v>4089</v>
      </c>
      <c r="F906" s="165" t="s">
        <v>4090</v>
      </c>
      <c r="G906" s="165">
        <v>14175</v>
      </c>
      <c r="H906" s="165"/>
      <c r="I906" s="165"/>
      <c r="J906" s="165"/>
      <c r="K906" s="165"/>
      <c r="L906" s="165">
        <v>14175</v>
      </c>
      <c r="M906" s="165"/>
      <c r="N906" s="165"/>
      <c r="O906" s="165">
        <f>G906+H906+I906-J906-K906-L906</f>
        <v>0</v>
      </c>
      <c r="P906" s="165" t="s">
        <v>5294</v>
      </c>
      <c r="Q906" s="165" t="s">
        <v>4788</v>
      </c>
      <c r="R906" s="3">
        <v>14175</v>
      </c>
      <c r="S906" s="3">
        <v>14175</v>
      </c>
      <c r="T906"/>
      <c r="U906" s="3"/>
    </row>
    <row r="907" spans="1:22">
      <c r="A907" s="165" t="s">
        <v>4091</v>
      </c>
      <c r="B907" s="165">
        <v>968</v>
      </c>
      <c r="C907" s="165" t="s">
        <v>1232</v>
      </c>
      <c r="D907" s="165">
        <v>4</v>
      </c>
      <c r="E907" s="165" t="s">
        <v>4092</v>
      </c>
      <c r="F907" s="165" t="s">
        <v>4093</v>
      </c>
      <c r="G907" s="165">
        <v>16380</v>
      </c>
      <c r="H907" s="165"/>
      <c r="I907" s="165"/>
      <c r="J907" s="165">
        <v>16380</v>
      </c>
      <c r="K907" s="165"/>
      <c r="L907" s="165"/>
      <c r="M907" s="165"/>
      <c r="N907" s="165"/>
      <c r="O907" s="165">
        <f t="shared" ref="O907:O915" si="21">G907+H907+I907-J907-K907</f>
        <v>0</v>
      </c>
      <c r="P907" s="165" t="s">
        <v>3944</v>
      </c>
      <c r="Q907" s="165" t="s">
        <v>3945</v>
      </c>
      <c r="R907" s="3">
        <v>16380</v>
      </c>
      <c r="S907" s="3">
        <v>16380</v>
      </c>
      <c r="T907"/>
      <c r="U907" s="3"/>
    </row>
    <row r="908" spans="1:22" s="163" customFormat="1">
      <c r="A908" s="281" t="s">
        <v>4040</v>
      </c>
      <c r="B908" s="281"/>
      <c r="C908" s="281" t="s">
        <v>1532</v>
      </c>
      <c r="D908" s="281">
        <v>8</v>
      </c>
      <c r="E908" s="281" t="s">
        <v>1283</v>
      </c>
      <c r="F908" s="281" t="s">
        <v>4040</v>
      </c>
      <c r="G908" s="284"/>
      <c r="H908" s="284"/>
      <c r="I908" s="284"/>
      <c r="J908" s="281"/>
      <c r="K908" s="281"/>
      <c r="L908" s="281"/>
      <c r="M908" s="281"/>
      <c r="N908" s="281"/>
      <c r="O908" s="281">
        <f t="shared" si="21"/>
        <v>0</v>
      </c>
      <c r="P908" s="281" t="s">
        <v>4040</v>
      </c>
      <c r="Q908" s="281" t="s">
        <v>4040</v>
      </c>
      <c r="R908" s="281">
        <v>13500</v>
      </c>
      <c r="S908" s="281">
        <v>13485</v>
      </c>
      <c r="T908" s="406">
        <v>13485</v>
      </c>
      <c r="U908" s="284">
        <v>15</v>
      </c>
    </row>
    <row r="909" spans="1:22">
      <c r="A909" s="165" t="s">
        <v>4058</v>
      </c>
      <c r="B909" s="165">
        <v>969</v>
      </c>
      <c r="C909" s="165" t="s">
        <v>4094</v>
      </c>
      <c r="D909" s="165">
        <v>1</v>
      </c>
      <c r="E909" s="165" t="s">
        <v>4095</v>
      </c>
      <c r="F909" s="165" t="s">
        <v>4096</v>
      </c>
      <c r="G909" s="165">
        <v>13230</v>
      </c>
      <c r="H909" s="165"/>
      <c r="I909" s="165"/>
      <c r="J909" s="165">
        <v>13230</v>
      </c>
      <c r="K909" s="165"/>
      <c r="L909" s="165"/>
      <c r="M909" s="165"/>
      <c r="N909" s="165"/>
      <c r="O909" s="165">
        <f t="shared" si="21"/>
        <v>0</v>
      </c>
      <c r="P909" s="165" t="s">
        <v>3946</v>
      </c>
      <c r="Q909" s="165" t="s">
        <v>3947</v>
      </c>
      <c r="R909" s="3">
        <v>13230</v>
      </c>
      <c r="S909" s="3">
        <v>13230</v>
      </c>
      <c r="T909"/>
      <c r="U909" s="3"/>
    </row>
    <row r="910" spans="1:22">
      <c r="A910" s="165" t="s">
        <v>4058</v>
      </c>
      <c r="B910" s="165">
        <v>970</v>
      </c>
      <c r="C910" s="165" t="s">
        <v>4094</v>
      </c>
      <c r="D910" s="165">
        <v>2</v>
      </c>
      <c r="E910" s="165" t="s">
        <v>4097</v>
      </c>
      <c r="F910" s="165" t="s">
        <v>4098</v>
      </c>
      <c r="G910" s="165">
        <v>13230</v>
      </c>
      <c r="H910" s="165"/>
      <c r="I910" s="165"/>
      <c r="J910" s="165">
        <v>13230</v>
      </c>
      <c r="K910" s="165"/>
      <c r="L910" s="165"/>
      <c r="M910" s="165"/>
      <c r="N910" s="165"/>
      <c r="O910" s="165">
        <f t="shared" si="21"/>
        <v>0</v>
      </c>
      <c r="P910" s="165" t="s">
        <v>3955</v>
      </c>
      <c r="Q910" s="165" t="s">
        <v>3956</v>
      </c>
      <c r="R910" s="3">
        <v>13230</v>
      </c>
      <c r="S910" s="3">
        <v>13230</v>
      </c>
      <c r="T910"/>
      <c r="U910" s="3"/>
    </row>
    <row r="911" spans="1:22">
      <c r="A911" s="165" t="s">
        <v>4058</v>
      </c>
      <c r="B911" s="165">
        <v>971</v>
      </c>
      <c r="C911" s="165" t="s">
        <v>4094</v>
      </c>
      <c r="D911" s="165">
        <v>3</v>
      </c>
      <c r="E911" s="165" t="s">
        <v>4099</v>
      </c>
      <c r="F911" s="165" t="s">
        <v>4100</v>
      </c>
      <c r="G911" s="165">
        <v>13230</v>
      </c>
      <c r="H911" s="165"/>
      <c r="I911" s="165"/>
      <c r="J911" s="165">
        <v>13230</v>
      </c>
      <c r="K911" s="165"/>
      <c r="L911" s="165"/>
      <c r="M911" s="165"/>
      <c r="N911" s="165"/>
      <c r="O911" s="165">
        <f t="shared" si="21"/>
        <v>0</v>
      </c>
      <c r="P911" s="165" t="s">
        <v>3957</v>
      </c>
      <c r="Q911" s="165" t="s">
        <v>3958</v>
      </c>
      <c r="R911" s="3">
        <v>13230</v>
      </c>
      <c r="S911" s="3">
        <v>13230</v>
      </c>
      <c r="T911"/>
      <c r="U911" s="3"/>
    </row>
    <row r="912" spans="1:22">
      <c r="A912" s="165" t="s">
        <v>4058</v>
      </c>
      <c r="B912" s="165">
        <v>972</v>
      </c>
      <c r="C912" s="165" t="s">
        <v>4094</v>
      </c>
      <c r="D912" s="165">
        <v>4</v>
      </c>
      <c r="E912" s="165" t="s">
        <v>4101</v>
      </c>
      <c r="F912" s="165" t="s">
        <v>4102</v>
      </c>
      <c r="G912" s="165">
        <v>13230</v>
      </c>
      <c r="H912" s="165"/>
      <c r="I912" s="165"/>
      <c r="J912" s="165"/>
      <c r="K912" s="165">
        <v>13230</v>
      </c>
      <c r="L912" s="165"/>
      <c r="M912" s="165"/>
      <c r="N912" s="165"/>
      <c r="O912" s="165">
        <f t="shared" si="21"/>
        <v>0</v>
      </c>
      <c r="P912" s="165" t="s">
        <v>4434</v>
      </c>
      <c r="Q912" s="165" t="s">
        <v>4102</v>
      </c>
      <c r="R912" s="3">
        <v>13230</v>
      </c>
      <c r="S912" s="3">
        <v>13230</v>
      </c>
      <c r="T912"/>
      <c r="U912" s="3"/>
    </row>
    <row r="913" spans="1:21">
      <c r="A913" s="165" t="s">
        <v>4058</v>
      </c>
      <c r="B913" s="165">
        <v>973</v>
      </c>
      <c r="C913" s="165" t="s">
        <v>4094</v>
      </c>
      <c r="D913" s="165">
        <v>5</v>
      </c>
      <c r="E913" s="165" t="s">
        <v>4103</v>
      </c>
      <c r="F913" s="165" t="s">
        <v>4104</v>
      </c>
      <c r="G913" s="165">
        <v>13230</v>
      </c>
      <c r="H913" s="165"/>
      <c r="I913" s="165"/>
      <c r="J913" s="165"/>
      <c r="K913" s="165">
        <v>13230</v>
      </c>
      <c r="L913" s="165"/>
      <c r="M913" s="165"/>
      <c r="N913" s="165"/>
      <c r="O913" s="165">
        <f t="shared" si="21"/>
        <v>0</v>
      </c>
      <c r="P913" s="165" t="s">
        <v>4767</v>
      </c>
      <c r="Q913" s="165" t="s">
        <v>4782</v>
      </c>
      <c r="R913" s="3">
        <v>13230</v>
      </c>
      <c r="S913" s="3">
        <v>13230</v>
      </c>
      <c r="T913"/>
      <c r="U913" s="3"/>
    </row>
    <row r="914" spans="1:21">
      <c r="A914" s="165" t="s">
        <v>4058</v>
      </c>
      <c r="B914" s="165">
        <v>974</v>
      </c>
      <c r="C914" s="165" t="s">
        <v>4094</v>
      </c>
      <c r="D914" s="165">
        <v>6</v>
      </c>
      <c r="E914" s="165" t="s">
        <v>4105</v>
      </c>
      <c r="F914" s="165" t="s">
        <v>4106</v>
      </c>
      <c r="G914" s="165">
        <v>13230</v>
      </c>
      <c r="H914" s="165"/>
      <c r="I914" s="165"/>
      <c r="J914" s="165"/>
      <c r="K914" s="165">
        <v>13230</v>
      </c>
      <c r="L914" s="165"/>
      <c r="M914" s="165"/>
      <c r="N914" s="165"/>
      <c r="O914" s="165">
        <f t="shared" si="21"/>
        <v>0</v>
      </c>
      <c r="P914" s="165" t="s">
        <v>4715</v>
      </c>
      <c r="Q914" s="165" t="s">
        <v>4786</v>
      </c>
      <c r="R914" s="3">
        <v>13230</v>
      </c>
      <c r="S914" s="3">
        <v>13230</v>
      </c>
      <c r="T914"/>
      <c r="U914" s="3"/>
    </row>
    <row r="915" spans="1:21">
      <c r="A915" s="165" t="s">
        <v>4058</v>
      </c>
      <c r="B915" s="165">
        <v>975</v>
      </c>
      <c r="C915" s="165" t="s">
        <v>4094</v>
      </c>
      <c r="D915" s="165">
        <v>7</v>
      </c>
      <c r="E915" s="165" t="s">
        <v>4107</v>
      </c>
      <c r="F915" s="165" t="s">
        <v>4108</v>
      </c>
      <c r="G915" s="165">
        <v>13230</v>
      </c>
      <c r="H915" s="165"/>
      <c r="I915" s="165"/>
      <c r="J915" s="165"/>
      <c r="K915" s="165">
        <v>13230</v>
      </c>
      <c r="L915" s="165"/>
      <c r="M915" s="165"/>
      <c r="N915" s="165"/>
      <c r="O915" s="165">
        <f t="shared" si="21"/>
        <v>0</v>
      </c>
      <c r="P915" s="165" t="s">
        <v>4190</v>
      </c>
      <c r="Q915" s="165" t="s">
        <v>4033</v>
      </c>
      <c r="R915" s="3">
        <v>13230</v>
      </c>
      <c r="S915" s="3">
        <v>13230</v>
      </c>
      <c r="T915"/>
      <c r="U915" s="3"/>
    </row>
    <row r="916" spans="1:21">
      <c r="A916" s="165" t="s">
        <v>4058</v>
      </c>
      <c r="B916" s="165">
        <v>976</v>
      </c>
      <c r="C916" s="165" t="s">
        <v>4094</v>
      </c>
      <c r="D916" s="165">
        <v>8</v>
      </c>
      <c r="E916" s="165" t="s">
        <v>4109</v>
      </c>
      <c r="F916" s="165" t="s">
        <v>4110</v>
      </c>
      <c r="G916" s="165">
        <v>13230</v>
      </c>
      <c r="H916" s="165"/>
      <c r="I916" s="165"/>
      <c r="J916" s="165"/>
      <c r="K916" s="165"/>
      <c r="L916" s="165">
        <v>13230</v>
      </c>
      <c r="M916" s="165"/>
      <c r="N916" s="165"/>
      <c r="O916" s="165">
        <f>G916+H916+I916-J916-K916-L916</f>
        <v>0</v>
      </c>
      <c r="P916" s="165" t="s">
        <v>4651</v>
      </c>
      <c r="Q916" s="165" t="s">
        <v>4793</v>
      </c>
      <c r="R916" s="3">
        <v>13230</v>
      </c>
      <c r="S916" s="3">
        <v>13230</v>
      </c>
      <c r="T916"/>
      <c r="U916" s="3"/>
    </row>
    <row r="917" spans="1:21" s="163" customFormat="1">
      <c r="A917" s="281" t="s">
        <v>3940</v>
      </c>
      <c r="B917" s="281"/>
      <c r="C917" s="281" t="s">
        <v>1264</v>
      </c>
      <c r="D917" s="340" t="s">
        <v>4111</v>
      </c>
      <c r="E917" s="281" t="s">
        <v>1283</v>
      </c>
      <c r="F917" s="281" t="s">
        <v>3940</v>
      </c>
      <c r="G917" s="284"/>
      <c r="H917" s="284"/>
      <c r="I917" s="284"/>
      <c r="J917" s="281"/>
      <c r="K917" s="281"/>
      <c r="L917" s="281"/>
      <c r="M917" s="281"/>
      <c r="N917" s="281"/>
      <c r="O917" s="281">
        <f t="shared" ref="O917:O925" si="22">G917+H917+I917-J917-K917</f>
        <v>0</v>
      </c>
      <c r="P917" s="281" t="s">
        <v>3940</v>
      </c>
      <c r="Q917" s="281" t="s">
        <v>3940</v>
      </c>
      <c r="R917" s="281">
        <v>45360</v>
      </c>
      <c r="S917" s="406">
        <v>45360</v>
      </c>
      <c r="T917" s="405">
        <v>45360</v>
      </c>
      <c r="U917" s="284"/>
    </row>
    <row r="918" spans="1:21" s="163" customFormat="1">
      <c r="A918" s="281" t="s">
        <v>4112</v>
      </c>
      <c r="B918" s="281"/>
      <c r="C918" s="281" t="s">
        <v>3825</v>
      </c>
      <c r="D918" s="281">
        <v>1</v>
      </c>
      <c r="E918" s="281" t="s">
        <v>1283</v>
      </c>
      <c r="F918" s="281" t="s">
        <v>4112</v>
      </c>
      <c r="G918" s="284"/>
      <c r="H918" s="284"/>
      <c r="I918" s="284"/>
      <c r="J918" s="281"/>
      <c r="K918" s="281"/>
      <c r="L918" s="281"/>
      <c r="M918" s="281"/>
      <c r="N918" s="281"/>
      <c r="O918" s="281">
        <f t="shared" si="22"/>
        <v>0</v>
      </c>
      <c r="P918" s="281" t="s">
        <v>4112</v>
      </c>
      <c r="Q918" s="281" t="s">
        <v>4112</v>
      </c>
      <c r="R918" s="281">
        <v>14175</v>
      </c>
      <c r="S918" s="281">
        <v>14145</v>
      </c>
      <c r="T918" s="406">
        <v>14145</v>
      </c>
      <c r="U918" s="284">
        <v>30</v>
      </c>
    </row>
    <row r="919" spans="1:21">
      <c r="A919" s="165" t="s">
        <v>4112</v>
      </c>
      <c r="B919" s="165">
        <v>977</v>
      </c>
      <c r="C919" s="165" t="s">
        <v>4113</v>
      </c>
      <c r="D919" s="165">
        <v>1</v>
      </c>
      <c r="E919" s="165" t="s">
        <v>4114</v>
      </c>
      <c r="F919" s="165" t="s">
        <v>4115</v>
      </c>
      <c r="G919" s="165">
        <v>13230</v>
      </c>
      <c r="H919" s="165"/>
      <c r="I919" s="165"/>
      <c r="J919" s="165">
        <v>13230</v>
      </c>
      <c r="K919" s="165"/>
      <c r="L919" s="165"/>
      <c r="M919" s="165"/>
      <c r="N919" s="165"/>
      <c r="O919" s="165">
        <f t="shared" si="22"/>
        <v>0</v>
      </c>
      <c r="P919" s="165" t="s">
        <v>3946</v>
      </c>
      <c r="Q919" s="165" t="s">
        <v>3947</v>
      </c>
      <c r="R919" s="3">
        <v>13230</v>
      </c>
      <c r="S919" s="3">
        <v>13230</v>
      </c>
      <c r="T919"/>
      <c r="U919" s="3"/>
    </row>
    <row r="920" spans="1:21">
      <c r="A920" s="165" t="s">
        <v>4112</v>
      </c>
      <c r="B920" s="165">
        <v>978</v>
      </c>
      <c r="C920" s="165" t="s">
        <v>4113</v>
      </c>
      <c r="D920" s="165">
        <v>2</v>
      </c>
      <c r="E920" s="165" t="s">
        <v>4116</v>
      </c>
      <c r="F920" s="165" t="s">
        <v>4117</v>
      </c>
      <c r="G920" s="165">
        <v>13230</v>
      </c>
      <c r="H920" s="165"/>
      <c r="I920" s="165"/>
      <c r="J920" s="165">
        <v>13230</v>
      </c>
      <c r="K920" s="165"/>
      <c r="L920" s="165"/>
      <c r="M920" s="165"/>
      <c r="N920" s="165"/>
      <c r="O920" s="165">
        <f t="shared" si="22"/>
        <v>0</v>
      </c>
      <c r="P920" s="165" t="s">
        <v>3948</v>
      </c>
      <c r="Q920" s="165" t="s">
        <v>3949</v>
      </c>
      <c r="R920" s="3">
        <v>13230</v>
      </c>
      <c r="S920" s="3">
        <v>13230</v>
      </c>
      <c r="T920"/>
      <c r="U920" s="3"/>
    </row>
    <row r="921" spans="1:21">
      <c r="A921" s="165" t="s">
        <v>4112</v>
      </c>
      <c r="B921" s="165">
        <v>979</v>
      </c>
      <c r="C921" s="165" t="s">
        <v>4113</v>
      </c>
      <c r="D921" s="165">
        <v>3</v>
      </c>
      <c r="E921" s="165" t="s">
        <v>4118</v>
      </c>
      <c r="F921" s="165" t="s">
        <v>4119</v>
      </c>
      <c r="G921" s="165">
        <v>13230</v>
      </c>
      <c r="H921" s="165"/>
      <c r="I921" s="165"/>
      <c r="J921" s="165">
        <v>13230</v>
      </c>
      <c r="K921" s="165"/>
      <c r="L921" s="165"/>
      <c r="M921" s="165"/>
      <c r="N921" s="165"/>
      <c r="O921" s="165">
        <f t="shared" si="22"/>
        <v>0</v>
      </c>
      <c r="P921" s="165" t="s">
        <v>3967</v>
      </c>
      <c r="Q921" s="165" t="s">
        <v>3968</v>
      </c>
      <c r="R921" s="3">
        <v>13230</v>
      </c>
      <c r="S921" s="3">
        <v>13230</v>
      </c>
      <c r="T921"/>
      <c r="U921" s="3"/>
    </row>
    <row r="922" spans="1:21">
      <c r="A922" s="165" t="s">
        <v>4112</v>
      </c>
      <c r="B922" s="165">
        <v>980</v>
      </c>
      <c r="C922" s="165" t="s">
        <v>4113</v>
      </c>
      <c r="D922" s="165">
        <v>4</v>
      </c>
      <c r="E922" s="165" t="s">
        <v>4120</v>
      </c>
      <c r="F922" s="165" t="s">
        <v>4121</v>
      </c>
      <c r="G922" s="165">
        <v>13230</v>
      </c>
      <c r="H922" s="165"/>
      <c r="I922" s="165"/>
      <c r="J922" s="165"/>
      <c r="K922" s="165">
        <v>13230</v>
      </c>
      <c r="L922" s="165"/>
      <c r="M922" s="165"/>
      <c r="N922" s="165"/>
      <c r="O922" s="165">
        <f t="shared" si="22"/>
        <v>0</v>
      </c>
      <c r="P922" s="165" t="s">
        <v>4433</v>
      </c>
      <c r="Q922" s="165" t="s">
        <v>4779</v>
      </c>
      <c r="R922" s="3">
        <v>13230</v>
      </c>
      <c r="S922" s="3">
        <v>13230</v>
      </c>
      <c r="T922"/>
      <c r="U922" s="3"/>
    </row>
    <row r="923" spans="1:21">
      <c r="A923" s="165" t="s">
        <v>4112</v>
      </c>
      <c r="B923" s="165">
        <v>981</v>
      </c>
      <c r="C923" s="165" t="s">
        <v>4113</v>
      </c>
      <c r="D923" s="165">
        <v>5</v>
      </c>
      <c r="E923" s="165" t="s">
        <v>4122</v>
      </c>
      <c r="F923" s="165" t="s">
        <v>4123</v>
      </c>
      <c r="G923" s="165">
        <v>13230</v>
      </c>
      <c r="H923" s="165"/>
      <c r="I923" s="165"/>
      <c r="J923" s="165"/>
      <c r="K923" s="165">
        <v>13230</v>
      </c>
      <c r="L923" s="165"/>
      <c r="M923" s="165"/>
      <c r="N923" s="165"/>
      <c r="O923" s="165">
        <f t="shared" si="22"/>
        <v>0</v>
      </c>
      <c r="P923" s="165" t="s">
        <v>4588</v>
      </c>
      <c r="Q923" s="165" t="s">
        <v>4781</v>
      </c>
      <c r="R923" s="3">
        <v>13230</v>
      </c>
      <c r="S923" s="3">
        <v>13230</v>
      </c>
      <c r="T923"/>
      <c r="U923" s="3"/>
    </row>
    <row r="924" spans="1:21">
      <c r="A924" s="165" t="s">
        <v>4112</v>
      </c>
      <c r="B924" s="165">
        <v>982</v>
      </c>
      <c r="C924" s="165" t="s">
        <v>4113</v>
      </c>
      <c r="D924" s="165">
        <v>6</v>
      </c>
      <c r="E924" s="165" t="s">
        <v>4124</v>
      </c>
      <c r="F924" s="165" t="s">
        <v>4125</v>
      </c>
      <c r="G924" s="165">
        <v>13230</v>
      </c>
      <c r="H924" s="165"/>
      <c r="I924" s="165"/>
      <c r="J924" s="165"/>
      <c r="K924" s="165">
        <v>13230</v>
      </c>
      <c r="L924" s="165"/>
      <c r="M924" s="165"/>
      <c r="N924" s="165"/>
      <c r="O924" s="165">
        <f t="shared" si="22"/>
        <v>0</v>
      </c>
      <c r="P924" s="165" t="s">
        <v>4770</v>
      </c>
      <c r="Q924" s="165" t="s">
        <v>4784</v>
      </c>
      <c r="R924" s="3">
        <v>13230</v>
      </c>
      <c r="S924" s="3">
        <v>13230</v>
      </c>
      <c r="T924"/>
      <c r="U924" s="3"/>
    </row>
    <row r="925" spans="1:21">
      <c r="A925" s="165" t="s">
        <v>4112</v>
      </c>
      <c r="B925" s="165">
        <v>983</v>
      </c>
      <c r="C925" s="165" t="s">
        <v>4113</v>
      </c>
      <c r="D925" s="165">
        <v>7</v>
      </c>
      <c r="E925" s="165" t="s">
        <v>4126</v>
      </c>
      <c r="F925" s="165" t="s">
        <v>4127</v>
      </c>
      <c r="G925" s="165">
        <v>13230</v>
      </c>
      <c r="H925" s="165"/>
      <c r="I925" s="165"/>
      <c r="J925" s="165"/>
      <c r="K925" s="165">
        <v>13230</v>
      </c>
      <c r="L925" s="165"/>
      <c r="M925" s="165"/>
      <c r="N925" s="165"/>
      <c r="O925" s="165">
        <f t="shared" si="22"/>
        <v>0</v>
      </c>
      <c r="P925" s="165" t="s">
        <v>4777</v>
      </c>
      <c r="Q925" s="165" t="s">
        <v>4127</v>
      </c>
      <c r="R925" s="3">
        <v>13230</v>
      </c>
      <c r="S925" s="3">
        <v>13230</v>
      </c>
      <c r="T925"/>
      <c r="U925" s="3"/>
    </row>
    <row r="926" spans="1:21">
      <c r="A926" s="165" t="s">
        <v>4112</v>
      </c>
      <c r="B926" s="165">
        <v>984</v>
      </c>
      <c r="C926" s="165" t="s">
        <v>4113</v>
      </c>
      <c r="D926" s="165">
        <v>8</v>
      </c>
      <c r="E926" s="165" t="s">
        <v>4128</v>
      </c>
      <c r="F926" s="165" t="s">
        <v>4129</v>
      </c>
      <c r="G926" s="165">
        <v>13230</v>
      </c>
      <c r="H926" s="165"/>
      <c r="I926" s="165"/>
      <c r="J926" s="165"/>
      <c r="K926" s="165"/>
      <c r="L926" s="165">
        <v>13230</v>
      </c>
      <c r="M926" s="165"/>
      <c r="N926" s="165"/>
      <c r="O926" s="165">
        <f>G926+H926+I926-J926-K926-L926</f>
        <v>0</v>
      </c>
      <c r="P926" s="165" t="s">
        <v>4791</v>
      </c>
      <c r="Q926" s="165" t="s">
        <v>5317</v>
      </c>
      <c r="R926" s="3">
        <v>13230</v>
      </c>
      <c r="S926" s="3">
        <v>13230</v>
      </c>
      <c r="T926"/>
      <c r="U926" s="3"/>
    </row>
    <row r="927" spans="1:21">
      <c r="A927" s="165" t="s">
        <v>4130</v>
      </c>
      <c r="B927" s="165">
        <v>985</v>
      </c>
      <c r="C927" s="165" t="s">
        <v>4131</v>
      </c>
      <c r="D927" s="165">
        <v>1</v>
      </c>
      <c r="E927" s="165" t="s">
        <v>4132</v>
      </c>
      <c r="F927" s="165" t="s">
        <v>4133</v>
      </c>
      <c r="G927" s="165">
        <v>14175</v>
      </c>
      <c r="H927" s="165"/>
      <c r="I927" s="165"/>
      <c r="J927" s="165">
        <v>14175</v>
      </c>
      <c r="K927" s="165"/>
      <c r="L927" s="165"/>
      <c r="M927" s="165"/>
      <c r="N927" s="165"/>
      <c r="O927" s="165">
        <f t="shared" ref="O927:O932" si="23">G927+H927+I927-J927-K927</f>
        <v>0</v>
      </c>
      <c r="P927" s="165" t="s">
        <v>4134</v>
      </c>
      <c r="Q927" s="165" t="s">
        <v>3960</v>
      </c>
      <c r="R927" s="3">
        <v>14175</v>
      </c>
      <c r="S927" s="3">
        <v>14175</v>
      </c>
      <c r="T927"/>
      <c r="U927" s="3"/>
    </row>
    <row r="928" spans="1:21">
      <c r="A928" s="165" t="s">
        <v>4130</v>
      </c>
      <c r="B928" s="165">
        <v>986</v>
      </c>
      <c r="C928" s="165" t="s">
        <v>4131</v>
      </c>
      <c r="D928" s="165">
        <v>2</v>
      </c>
      <c r="E928" s="165" t="s">
        <v>4135</v>
      </c>
      <c r="F928" s="165" t="s">
        <v>4136</v>
      </c>
      <c r="G928" s="165">
        <v>14175</v>
      </c>
      <c r="H928" s="165"/>
      <c r="I928" s="165"/>
      <c r="J928" s="165">
        <v>14175</v>
      </c>
      <c r="K928" s="165"/>
      <c r="L928" s="165"/>
      <c r="M928" s="165"/>
      <c r="N928" s="165"/>
      <c r="O928" s="165">
        <f t="shared" si="23"/>
        <v>0</v>
      </c>
      <c r="P928" s="165" t="s">
        <v>3970</v>
      </c>
      <c r="Q928" s="165" t="s">
        <v>4136</v>
      </c>
      <c r="R928" s="3">
        <v>14175</v>
      </c>
      <c r="S928" s="3">
        <v>14175</v>
      </c>
      <c r="T928"/>
      <c r="U928" s="3"/>
    </row>
    <row r="929" spans="1:22">
      <c r="A929" s="165" t="s">
        <v>4130</v>
      </c>
      <c r="B929" s="165">
        <v>987</v>
      </c>
      <c r="C929" s="165" t="s">
        <v>4131</v>
      </c>
      <c r="D929" s="165">
        <v>3</v>
      </c>
      <c r="E929" s="165" t="s">
        <v>4137</v>
      </c>
      <c r="F929" s="165" t="s">
        <v>4138</v>
      </c>
      <c r="G929" s="165">
        <v>14175</v>
      </c>
      <c r="H929" s="165"/>
      <c r="I929" s="165"/>
      <c r="J929" s="165">
        <v>14175</v>
      </c>
      <c r="K929" s="165"/>
      <c r="L929" s="165"/>
      <c r="M929" s="165"/>
      <c r="N929" s="165"/>
      <c r="O929" s="165">
        <f t="shared" si="23"/>
        <v>0</v>
      </c>
      <c r="P929" s="165" t="s">
        <v>3972</v>
      </c>
      <c r="Q929" s="165" t="s">
        <v>3973</v>
      </c>
      <c r="R929" s="3">
        <v>14175</v>
      </c>
      <c r="S929" s="3">
        <v>14175</v>
      </c>
      <c r="T929"/>
      <c r="U929" s="3"/>
    </row>
    <row r="930" spans="1:22">
      <c r="A930" s="165" t="s">
        <v>4130</v>
      </c>
      <c r="B930" s="165">
        <v>988</v>
      </c>
      <c r="C930" s="165" t="s">
        <v>4131</v>
      </c>
      <c r="D930" s="165">
        <v>4</v>
      </c>
      <c r="E930" s="165" t="s">
        <v>4139</v>
      </c>
      <c r="F930" s="165" t="s">
        <v>4073</v>
      </c>
      <c r="G930" s="165">
        <v>14175</v>
      </c>
      <c r="H930" s="165"/>
      <c r="I930" s="165"/>
      <c r="J930" s="165"/>
      <c r="K930" s="165">
        <v>14175</v>
      </c>
      <c r="L930" s="165"/>
      <c r="M930" s="165"/>
      <c r="N930" s="165"/>
      <c r="O930" s="165">
        <f t="shared" si="23"/>
        <v>0</v>
      </c>
      <c r="P930" s="165" t="s">
        <v>4439</v>
      </c>
      <c r="Q930" s="165" t="s">
        <v>4780</v>
      </c>
      <c r="R930" s="3">
        <v>14175</v>
      </c>
      <c r="S930" s="3">
        <v>14175</v>
      </c>
      <c r="T930"/>
      <c r="U930" s="3"/>
    </row>
    <row r="931" spans="1:22">
      <c r="A931" s="165" t="s">
        <v>4130</v>
      </c>
      <c r="B931" s="165">
        <v>989</v>
      </c>
      <c r="C931" s="165" t="s">
        <v>4131</v>
      </c>
      <c r="D931" s="165">
        <v>5</v>
      </c>
      <c r="E931" s="165" t="s">
        <v>4140</v>
      </c>
      <c r="F931" s="165" t="s">
        <v>4141</v>
      </c>
      <c r="G931" s="165">
        <v>14175</v>
      </c>
      <c r="H931" s="165"/>
      <c r="I931" s="165"/>
      <c r="J931" s="165"/>
      <c r="K931" s="165">
        <v>14175</v>
      </c>
      <c r="L931" s="165"/>
      <c r="M931" s="165"/>
      <c r="N931" s="165"/>
      <c r="O931" s="165">
        <f t="shared" si="23"/>
        <v>0</v>
      </c>
      <c r="P931" s="165" t="s">
        <v>4768</v>
      </c>
      <c r="Q931" s="165" t="s">
        <v>4677</v>
      </c>
      <c r="R931" s="3">
        <v>14175</v>
      </c>
      <c r="S931" s="3">
        <v>14175</v>
      </c>
      <c r="T931"/>
      <c r="U931" s="3"/>
    </row>
    <row r="932" spans="1:22">
      <c r="A932" s="165" t="s">
        <v>4130</v>
      </c>
      <c r="B932" s="165">
        <v>990</v>
      </c>
      <c r="C932" s="165" t="s">
        <v>4131</v>
      </c>
      <c r="D932" s="165">
        <v>6</v>
      </c>
      <c r="E932" s="165" t="s">
        <v>4142</v>
      </c>
      <c r="F932" s="165" t="s">
        <v>4143</v>
      </c>
      <c r="G932" s="165">
        <v>14175</v>
      </c>
      <c r="H932" s="165"/>
      <c r="I932" s="165"/>
      <c r="J932" s="165"/>
      <c r="K932" s="165">
        <v>14175</v>
      </c>
      <c r="L932" s="165"/>
      <c r="M932" s="165"/>
      <c r="N932" s="165"/>
      <c r="O932" s="165">
        <f t="shared" si="23"/>
        <v>0</v>
      </c>
      <c r="P932" s="165" t="s">
        <v>4772</v>
      </c>
      <c r="Q932" s="165" t="s">
        <v>4088</v>
      </c>
      <c r="R932" s="3">
        <v>14175</v>
      </c>
      <c r="S932" s="3">
        <v>14175</v>
      </c>
      <c r="T932"/>
      <c r="U932" s="3"/>
    </row>
    <row r="933" spans="1:22">
      <c r="A933" s="165" t="s">
        <v>4130</v>
      </c>
      <c r="B933" s="165">
        <v>991</v>
      </c>
      <c r="C933" s="165" t="s">
        <v>4131</v>
      </c>
      <c r="D933" s="165">
        <v>7</v>
      </c>
      <c r="E933" s="165" t="s">
        <v>4144</v>
      </c>
      <c r="F933" s="165" t="s">
        <v>4145</v>
      </c>
      <c r="G933" s="165">
        <v>14175</v>
      </c>
      <c r="H933" s="165"/>
      <c r="I933" s="165"/>
      <c r="J933" s="165"/>
      <c r="K933" s="165"/>
      <c r="L933" s="165">
        <v>14175</v>
      </c>
      <c r="M933" s="165"/>
      <c r="N933" s="165"/>
      <c r="O933" s="165">
        <f>G933+H933+I933-J933-K933-L933</f>
        <v>0</v>
      </c>
      <c r="P933" s="165" t="s">
        <v>5294</v>
      </c>
      <c r="Q933" s="165" t="s">
        <v>4788</v>
      </c>
      <c r="R933" s="3">
        <v>14175</v>
      </c>
      <c r="S933" s="3">
        <v>14175</v>
      </c>
      <c r="T933"/>
      <c r="U933" s="3"/>
    </row>
    <row r="934" spans="1:22">
      <c r="A934" s="165" t="s">
        <v>4130</v>
      </c>
      <c r="B934" s="165">
        <v>992</v>
      </c>
      <c r="C934" s="165" t="s">
        <v>4131</v>
      </c>
      <c r="D934" s="165">
        <v>8</v>
      </c>
      <c r="E934" s="165" t="s">
        <v>4146</v>
      </c>
      <c r="F934" s="165" t="s">
        <v>4147</v>
      </c>
      <c r="G934" s="165">
        <v>14175</v>
      </c>
      <c r="H934" s="165"/>
      <c r="I934" s="165"/>
      <c r="J934" s="165"/>
      <c r="K934" s="165"/>
      <c r="L934" s="165">
        <v>14175</v>
      </c>
      <c r="M934" s="165"/>
      <c r="N934" s="165"/>
      <c r="O934" s="165">
        <f>G934+H934+I934-J934-K934-L934</f>
        <v>0</v>
      </c>
      <c r="P934" s="165" t="s">
        <v>5333</v>
      </c>
      <c r="Q934" s="165" t="s">
        <v>4795</v>
      </c>
      <c r="R934" s="3">
        <v>14175</v>
      </c>
      <c r="S934" s="3">
        <v>14175</v>
      </c>
      <c r="T934"/>
      <c r="U934" s="3"/>
    </row>
    <row r="935" spans="1:22" s="283" customFormat="1">
      <c r="A935" s="279" t="s">
        <v>4148</v>
      </c>
      <c r="B935" s="279"/>
      <c r="C935" s="279" t="s">
        <v>2060</v>
      </c>
      <c r="D935" s="279">
        <v>8</v>
      </c>
      <c r="E935" s="279" t="s">
        <v>1283</v>
      </c>
      <c r="F935" s="279" t="s">
        <v>4148</v>
      </c>
      <c r="G935" s="280"/>
      <c r="H935" s="280"/>
      <c r="I935" s="280"/>
      <c r="J935" s="280"/>
      <c r="K935" s="280"/>
      <c r="L935" s="280"/>
      <c r="M935" s="280"/>
      <c r="N935" s="280"/>
      <c r="O935" s="280">
        <f t="shared" ref="O935:O942" si="24">G935+H935+I935-J935-K935</f>
        <v>0</v>
      </c>
      <c r="P935" s="279" t="s">
        <v>4148</v>
      </c>
      <c r="Q935" s="279" t="s">
        <v>4148</v>
      </c>
      <c r="R935" s="279">
        <v>14175</v>
      </c>
      <c r="S935" s="279">
        <v>14175</v>
      </c>
      <c r="T935" s="279">
        <v>14175</v>
      </c>
      <c r="U935" s="280"/>
      <c r="V935" s="282" t="s">
        <v>245</v>
      </c>
    </row>
    <row r="936" spans="1:22">
      <c r="A936" s="165" t="s">
        <v>3946</v>
      </c>
      <c r="B936" s="165">
        <v>993</v>
      </c>
      <c r="C936" s="165" t="s">
        <v>4149</v>
      </c>
      <c r="D936" s="165">
        <v>1</v>
      </c>
      <c r="E936" s="165" t="s">
        <v>4150</v>
      </c>
      <c r="F936" s="165" t="s">
        <v>4008</v>
      </c>
      <c r="G936" s="165">
        <v>14175</v>
      </c>
      <c r="H936" s="165"/>
      <c r="I936" s="165"/>
      <c r="J936" s="165">
        <v>14175</v>
      </c>
      <c r="K936" s="165"/>
      <c r="L936" s="165"/>
      <c r="M936" s="165"/>
      <c r="N936" s="165"/>
      <c r="O936" s="165">
        <f t="shared" si="24"/>
        <v>0</v>
      </c>
      <c r="P936" s="165" t="s">
        <v>3950</v>
      </c>
      <c r="Q936" s="165" t="s">
        <v>3951</v>
      </c>
      <c r="R936" s="3">
        <v>14175</v>
      </c>
      <c r="S936" s="3">
        <v>14175</v>
      </c>
      <c r="T936"/>
      <c r="U936" s="3"/>
    </row>
    <row r="937" spans="1:22">
      <c r="A937" s="165" t="s">
        <v>3946</v>
      </c>
      <c r="B937" s="165">
        <v>994</v>
      </c>
      <c r="C937" s="165" t="s">
        <v>4149</v>
      </c>
      <c r="D937" s="165">
        <v>2</v>
      </c>
      <c r="E937" s="165" t="s">
        <v>4151</v>
      </c>
      <c r="F937" s="165" t="s">
        <v>4117</v>
      </c>
      <c r="G937" s="165">
        <v>14175</v>
      </c>
      <c r="H937" s="165"/>
      <c r="I937" s="165"/>
      <c r="J937" s="165">
        <v>14175</v>
      </c>
      <c r="K937" s="165"/>
      <c r="L937" s="165"/>
      <c r="M937" s="165"/>
      <c r="N937" s="165"/>
      <c r="O937" s="165">
        <f t="shared" si="24"/>
        <v>0</v>
      </c>
      <c r="P937" s="165" t="s">
        <v>3948</v>
      </c>
      <c r="Q937" s="165" t="s">
        <v>3949</v>
      </c>
      <c r="R937" s="3">
        <v>14175</v>
      </c>
      <c r="S937" s="3">
        <v>14175</v>
      </c>
      <c r="T937"/>
      <c r="U937" s="3"/>
    </row>
    <row r="938" spans="1:22">
      <c r="A938" s="165" t="s">
        <v>3946</v>
      </c>
      <c r="B938" s="165">
        <v>995</v>
      </c>
      <c r="C938" s="165" t="s">
        <v>4149</v>
      </c>
      <c r="D938" s="165">
        <v>3</v>
      </c>
      <c r="E938" s="165" t="s">
        <v>4152</v>
      </c>
      <c r="F938" s="165" t="s">
        <v>4153</v>
      </c>
      <c r="G938" s="165">
        <v>14175</v>
      </c>
      <c r="H938" s="165"/>
      <c r="I938" s="165"/>
      <c r="J938" s="165">
        <v>14175</v>
      </c>
      <c r="K938" s="165"/>
      <c r="L938" s="165"/>
      <c r="M938" s="165"/>
      <c r="N938" s="165"/>
      <c r="O938" s="165">
        <f t="shared" si="24"/>
        <v>0</v>
      </c>
      <c r="P938" s="165" t="s">
        <v>3967</v>
      </c>
      <c r="Q938" s="165" t="s">
        <v>3968</v>
      </c>
      <c r="R938" s="3">
        <v>14175</v>
      </c>
      <c r="S938" s="3">
        <v>14175</v>
      </c>
      <c r="T938"/>
      <c r="U938" s="3"/>
    </row>
    <row r="939" spans="1:22">
      <c r="A939" s="165" t="s">
        <v>3946</v>
      </c>
      <c r="B939" s="165">
        <v>996</v>
      </c>
      <c r="C939" s="165" t="s">
        <v>4149</v>
      </c>
      <c r="D939" s="165">
        <v>4</v>
      </c>
      <c r="E939" s="165" t="s">
        <v>4154</v>
      </c>
      <c r="F939" s="165" t="s">
        <v>4121</v>
      </c>
      <c r="G939" s="165">
        <v>14175</v>
      </c>
      <c r="H939" s="165"/>
      <c r="I939" s="165"/>
      <c r="J939" s="165"/>
      <c r="K939" s="165">
        <v>14175</v>
      </c>
      <c r="L939" s="165"/>
      <c r="M939" s="165"/>
      <c r="N939" s="165"/>
      <c r="O939" s="165">
        <f t="shared" si="24"/>
        <v>0</v>
      </c>
      <c r="P939" s="165" t="s">
        <v>4433</v>
      </c>
      <c r="Q939" s="165" t="s">
        <v>4779</v>
      </c>
      <c r="R939" s="3">
        <v>14175</v>
      </c>
      <c r="S939" s="3">
        <v>14175</v>
      </c>
      <c r="T939"/>
      <c r="U939" s="3"/>
    </row>
    <row r="940" spans="1:22">
      <c r="A940" s="165" t="s">
        <v>3946</v>
      </c>
      <c r="B940" s="165">
        <v>997</v>
      </c>
      <c r="C940" s="165" t="s">
        <v>4149</v>
      </c>
      <c r="D940" s="165">
        <v>5</v>
      </c>
      <c r="E940" s="165" t="s">
        <v>4155</v>
      </c>
      <c r="F940" s="165" t="s">
        <v>4123</v>
      </c>
      <c r="G940" s="165">
        <v>14175</v>
      </c>
      <c r="H940" s="165"/>
      <c r="I940" s="165"/>
      <c r="J940" s="165"/>
      <c r="K940" s="165">
        <v>14175</v>
      </c>
      <c r="L940" s="165"/>
      <c r="M940" s="165"/>
      <c r="N940" s="165"/>
      <c r="O940" s="165">
        <f t="shared" si="24"/>
        <v>0</v>
      </c>
      <c r="P940" s="165" t="s">
        <v>4588</v>
      </c>
      <c r="Q940" s="165" t="s">
        <v>4781</v>
      </c>
      <c r="R940" s="3">
        <v>14175</v>
      </c>
      <c r="S940" s="3">
        <v>14175</v>
      </c>
      <c r="T940"/>
      <c r="U940" s="3"/>
    </row>
    <row r="941" spans="1:22">
      <c r="A941" s="165" t="s">
        <v>3946</v>
      </c>
      <c r="B941" s="165">
        <v>998</v>
      </c>
      <c r="C941" s="165" t="s">
        <v>4149</v>
      </c>
      <c r="D941" s="165">
        <v>6</v>
      </c>
      <c r="E941" s="165" t="s">
        <v>4156</v>
      </c>
      <c r="F941" s="165" t="s">
        <v>4125</v>
      </c>
      <c r="G941" s="165">
        <v>14175</v>
      </c>
      <c r="H941" s="165"/>
      <c r="I941" s="165"/>
      <c r="J941" s="165"/>
      <c r="K941" s="165">
        <v>14175</v>
      </c>
      <c r="L941" s="165"/>
      <c r="M941" s="165"/>
      <c r="N941" s="165"/>
      <c r="O941" s="165">
        <f t="shared" si="24"/>
        <v>0</v>
      </c>
      <c r="P941" s="165" t="s">
        <v>4770</v>
      </c>
      <c r="Q941" s="165" t="s">
        <v>4784</v>
      </c>
      <c r="R941" s="3">
        <v>14175</v>
      </c>
      <c r="S941" s="3">
        <v>14175</v>
      </c>
      <c r="T941"/>
      <c r="U941" s="3"/>
    </row>
    <row r="942" spans="1:22">
      <c r="A942" s="165" t="s">
        <v>3946</v>
      </c>
      <c r="B942" s="165">
        <v>999</v>
      </c>
      <c r="C942" s="165" t="s">
        <v>4149</v>
      </c>
      <c r="D942" s="165">
        <v>7</v>
      </c>
      <c r="E942" s="165" t="s">
        <v>4157</v>
      </c>
      <c r="F942" s="165" t="s">
        <v>4127</v>
      </c>
      <c r="G942" s="165">
        <v>14175</v>
      </c>
      <c r="H942" s="165"/>
      <c r="I942" s="165"/>
      <c r="J942" s="165"/>
      <c r="K942" s="165">
        <v>14175</v>
      </c>
      <c r="L942" s="165"/>
      <c r="M942" s="165"/>
      <c r="N942" s="165"/>
      <c r="O942" s="165">
        <f t="shared" si="24"/>
        <v>0</v>
      </c>
      <c r="P942" s="165" t="s">
        <v>4777</v>
      </c>
      <c r="Q942" s="165" t="s">
        <v>4127</v>
      </c>
      <c r="R942" s="3">
        <v>14175</v>
      </c>
      <c r="S942" s="3">
        <v>14175</v>
      </c>
      <c r="T942"/>
      <c r="U942" s="3"/>
    </row>
    <row r="943" spans="1:22">
      <c r="A943" s="165" t="s">
        <v>3946</v>
      </c>
      <c r="B943" s="165">
        <v>1000</v>
      </c>
      <c r="C943" s="165" t="s">
        <v>4149</v>
      </c>
      <c r="D943" s="165">
        <v>8</v>
      </c>
      <c r="E943" s="165" t="s">
        <v>4158</v>
      </c>
      <c r="F943" s="165" t="s">
        <v>4129</v>
      </c>
      <c r="G943" s="165">
        <v>14175</v>
      </c>
      <c r="H943" s="165"/>
      <c r="I943" s="165"/>
      <c r="J943" s="165"/>
      <c r="K943" s="165"/>
      <c r="L943" s="165">
        <v>14175</v>
      </c>
      <c r="M943" s="165"/>
      <c r="N943" s="165"/>
      <c r="O943" s="165">
        <f>G943+H943+I943-J943-K943-L943</f>
        <v>0</v>
      </c>
      <c r="P943" s="165" t="s">
        <v>4791</v>
      </c>
      <c r="Q943" s="165" t="s">
        <v>5317</v>
      </c>
      <c r="R943" s="3">
        <v>14175</v>
      </c>
      <c r="S943" s="3">
        <v>14175</v>
      </c>
      <c r="T943"/>
      <c r="U943" s="3"/>
    </row>
    <row r="944" spans="1:22">
      <c r="A944" s="165" t="s">
        <v>4159</v>
      </c>
      <c r="B944" s="165">
        <v>1001</v>
      </c>
      <c r="C944" s="165" t="s">
        <v>1305</v>
      </c>
      <c r="D944" s="165">
        <v>3</v>
      </c>
      <c r="E944" s="165" t="s">
        <v>4160</v>
      </c>
      <c r="F944" s="165" t="s">
        <v>4161</v>
      </c>
      <c r="G944" s="165"/>
      <c r="H944" s="165">
        <v>11340</v>
      </c>
      <c r="I944" s="165"/>
      <c r="J944" s="165">
        <v>11340</v>
      </c>
      <c r="K944" s="165"/>
      <c r="L944" s="165"/>
      <c r="M944" s="165"/>
      <c r="N944" s="165"/>
      <c r="O944" s="165">
        <f t="shared" ref="O944:O961" si="25">G944+H944+I944-J944-K944</f>
        <v>0</v>
      </c>
      <c r="P944" s="165" t="s">
        <v>3952</v>
      </c>
      <c r="Q944" s="165" t="s">
        <v>3953</v>
      </c>
      <c r="R944" s="3">
        <v>11340</v>
      </c>
      <c r="S944" s="405">
        <v>11340</v>
      </c>
      <c r="T944"/>
      <c r="U944" s="3"/>
    </row>
    <row r="945" spans="1:22">
      <c r="A945" s="165" t="s">
        <v>3981</v>
      </c>
      <c r="B945" s="165">
        <v>1002</v>
      </c>
      <c r="C945" s="165" t="s">
        <v>4162</v>
      </c>
      <c r="D945" s="165">
        <v>1</v>
      </c>
      <c r="E945" s="165" t="s">
        <v>4163</v>
      </c>
      <c r="F945" s="165" t="s">
        <v>4164</v>
      </c>
      <c r="G945" s="165">
        <v>13230</v>
      </c>
      <c r="H945" s="165"/>
      <c r="I945" s="165"/>
      <c r="J945" s="165">
        <v>13230</v>
      </c>
      <c r="K945" s="165"/>
      <c r="L945" s="165"/>
      <c r="M945" s="165"/>
      <c r="N945" s="165"/>
      <c r="O945" s="165">
        <f t="shared" si="25"/>
        <v>0</v>
      </c>
      <c r="P945" s="165" t="s">
        <v>4134</v>
      </c>
      <c r="Q945" s="165" t="s">
        <v>3960</v>
      </c>
      <c r="R945" s="3">
        <v>13230</v>
      </c>
      <c r="S945" s="3">
        <v>13230</v>
      </c>
      <c r="T945"/>
      <c r="U945" s="3"/>
    </row>
    <row r="946" spans="1:22">
      <c r="A946" s="165" t="s">
        <v>3981</v>
      </c>
      <c r="B946" s="165">
        <v>1003</v>
      </c>
      <c r="C946" s="165" t="s">
        <v>4162</v>
      </c>
      <c r="D946" s="165">
        <v>2</v>
      </c>
      <c r="E946" s="165" t="s">
        <v>4165</v>
      </c>
      <c r="F946" s="165" t="s">
        <v>3940</v>
      </c>
      <c r="G946" s="165">
        <v>13230</v>
      </c>
      <c r="H946" s="165"/>
      <c r="I946" s="165"/>
      <c r="J946" s="165">
        <v>13230</v>
      </c>
      <c r="K946" s="165"/>
      <c r="L946" s="165"/>
      <c r="M946" s="165"/>
      <c r="N946" s="165"/>
      <c r="O946" s="165">
        <f t="shared" si="25"/>
        <v>0</v>
      </c>
      <c r="P946" s="165" t="s">
        <v>4134</v>
      </c>
      <c r="Q946" s="165" t="s">
        <v>3960</v>
      </c>
      <c r="R946" s="3">
        <v>13230</v>
      </c>
      <c r="S946" s="3">
        <v>13230</v>
      </c>
      <c r="T946"/>
      <c r="U946" s="3"/>
    </row>
    <row r="947" spans="1:22">
      <c r="A947" s="165" t="s">
        <v>3981</v>
      </c>
      <c r="B947" s="165">
        <v>1004</v>
      </c>
      <c r="C947" s="165" t="s">
        <v>4162</v>
      </c>
      <c r="D947" s="165">
        <v>3</v>
      </c>
      <c r="E947" s="165" t="s">
        <v>4166</v>
      </c>
      <c r="F947" s="165" t="s">
        <v>4167</v>
      </c>
      <c r="G947" s="165">
        <v>13230</v>
      </c>
      <c r="H947" s="165"/>
      <c r="I947" s="165"/>
      <c r="J947" s="165">
        <v>13230</v>
      </c>
      <c r="K947" s="165"/>
      <c r="L947" s="165"/>
      <c r="M947" s="165"/>
      <c r="N947" s="165"/>
      <c r="O947" s="165">
        <f t="shared" si="25"/>
        <v>0</v>
      </c>
      <c r="P947" s="165" t="s">
        <v>3948</v>
      </c>
      <c r="Q947" s="165" t="s">
        <v>3949</v>
      </c>
      <c r="R947" s="3">
        <v>13230</v>
      </c>
      <c r="S947" s="3">
        <v>13230</v>
      </c>
      <c r="T947"/>
      <c r="U947" s="3"/>
    </row>
    <row r="948" spans="1:22">
      <c r="A948" s="165" t="s">
        <v>3981</v>
      </c>
      <c r="B948" s="165">
        <v>1005</v>
      </c>
      <c r="C948" s="165" t="s">
        <v>4162</v>
      </c>
      <c r="D948" s="165">
        <v>4</v>
      </c>
      <c r="E948" s="165" t="s">
        <v>4168</v>
      </c>
      <c r="F948" s="165" t="s">
        <v>4169</v>
      </c>
      <c r="G948" s="165">
        <v>13230</v>
      </c>
      <c r="H948" s="165"/>
      <c r="I948" s="165"/>
      <c r="J948" s="165">
        <v>13230</v>
      </c>
      <c r="K948" s="165"/>
      <c r="L948" s="165"/>
      <c r="M948" s="165"/>
      <c r="N948" s="165"/>
      <c r="O948" s="165">
        <f t="shared" si="25"/>
        <v>0</v>
      </c>
      <c r="P948" s="165" t="s">
        <v>3957</v>
      </c>
      <c r="Q948" s="165" t="s">
        <v>3958</v>
      </c>
      <c r="R948" s="3">
        <v>13230</v>
      </c>
      <c r="S948" s="3">
        <v>13230</v>
      </c>
      <c r="T948"/>
      <c r="U948" s="3"/>
    </row>
    <row r="949" spans="1:22">
      <c r="A949" s="165" t="s">
        <v>3981</v>
      </c>
      <c r="B949" s="165">
        <v>1006</v>
      </c>
      <c r="C949" s="165" t="s">
        <v>4162</v>
      </c>
      <c r="D949" s="165">
        <v>5</v>
      </c>
      <c r="E949" s="165" t="s">
        <v>4170</v>
      </c>
      <c r="F949" s="165" t="s">
        <v>4171</v>
      </c>
      <c r="G949" s="165">
        <v>13230</v>
      </c>
      <c r="H949" s="165"/>
      <c r="I949" s="165"/>
      <c r="J949" s="165"/>
      <c r="K949" s="165">
        <v>13230</v>
      </c>
      <c r="L949" s="165"/>
      <c r="M949" s="165"/>
      <c r="N949" s="165"/>
      <c r="O949" s="165">
        <f t="shared" si="25"/>
        <v>0</v>
      </c>
      <c r="P949" s="165" t="s">
        <v>4434</v>
      </c>
      <c r="Q949" s="165" t="s">
        <v>4435</v>
      </c>
      <c r="R949" s="3">
        <v>13230</v>
      </c>
      <c r="S949" s="3">
        <v>13230</v>
      </c>
      <c r="T949"/>
      <c r="U949" s="3"/>
    </row>
    <row r="950" spans="1:22">
      <c r="A950" s="165" t="s">
        <v>3981</v>
      </c>
      <c r="B950" s="165">
        <v>1007</v>
      </c>
      <c r="C950" s="165" t="s">
        <v>4162</v>
      </c>
      <c r="D950" s="165">
        <v>6</v>
      </c>
      <c r="E950" s="165" t="s">
        <v>4172</v>
      </c>
      <c r="F950" s="165" t="s">
        <v>4173</v>
      </c>
      <c r="G950" s="165">
        <v>13230</v>
      </c>
      <c r="H950" s="165"/>
      <c r="I950" s="165"/>
      <c r="J950" s="165"/>
      <c r="K950" s="165">
        <v>13230</v>
      </c>
      <c r="L950" s="165"/>
      <c r="M950" s="165"/>
      <c r="N950" s="165"/>
      <c r="O950" s="165">
        <f t="shared" si="25"/>
        <v>0</v>
      </c>
      <c r="P950" s="165" t="s">
        <v>4588</v>
      </c>
      <c r="Q950" s="165" t="s">
        <v>4781</v>
      </c>
      <c r="R950" s="3">
        <v>13230</v>
      </c>
      <c r="S950" s="3">
        <v>13230</v>
      </c>
      <c r="T950"/>
      <c r="U950" s="3"/>
    </row>
    <row r="951" spans="1:22">
      <c r="A951" s="165" t="s">
        <v>3981</v>
      </c>
      <c r="B951" s="165">
        <v>1008</v>
      </c>
      <c r="C951" s="165" t="s">
        <v>4162</v>
      </c>
      <c r="D951" s="165">
        <v>7</v>
      </c>
      <c r="E951" s="165" t="s">
        <v>4174</v>
      </c>
      <c r="F951" s="165" t="s">
        <v>4175</v>
      </c>
      <c r="G951" s="165">
        <v>13230</v>
      </c>
      <c r="H951" s="165"/>
      <c r="I951" s="165"/>
      <c r="J951" s="165"/>
      <c r="K951" s="165">
        <v>13230</v>
      </c>
      <c r="L951" s="165"/>
      <c r="M951" s="165"/>
      <c r="N951" s="165"/>
      <c r="O951" s="165">
        <f t="shared" si="25"/>
        <v>0</v>
      </c>
      <c r="P951" s="165" t="s">
        <v>4771</v>
      </c>
      <c r="Q951" s="165" t="s">
        <v>4785</v>
      </c>
      <c r="R951" s="3">
        <v>13230</v>
      </c>
      <c r="S951" s="3">
        <v>13230</v>
      </c>
      <c r="T951"/>
      <c r="U951" s="3"/>
    </row>
    <row r="952" spans="1:22">
      <c r="A952" s="165" t="s">
        <v>3981</v>
      </c>
      <c r="B952" s="165">
        <v>1009</v>
      </c>
      <c r="C952" s="165" t="s">
        <v>4162</v>
      </c>
      <c r="D952" s="165">
        <v>8</v>
      </c>
      <c r="E952" s="165" t="s">
        <v>4176</v>
      </c>
      <c r="F952" s="165" t="s">
        <v>4177</v>
      </c>
      <c r="G952" s="165">
        <v>13230</v>
      </c>
      <c r="H952" s="165"/>
      <c r="I952" s="165"/>
      <c r="J952" s="165"/>
      <c r="K952" s="165">
        <v>13230</v>
      </c>
      <c r="L952" s="165"/>
      <c r="M952" s="165"/>
      <c r="N952" s="165"/>
      <c r="O952" s="165">
        <f t="shared" si="25"/>
        <v>0</v>
      </c>
      <c r="P952" s="165" t="s">
        <v>4190</v>
      </c>
      <c r="Q952" s="165" t="s">
        <v>4033</v>
      </c>
      <c r="R952" s="3">
        <v>13230</v>
      </c>
      <c r="S952" s="3">
        <v>13230</v>
      </c>
      <c r="T952"/>
      <c r="U952" s="3"/>
    </row>
    <row r="953" spans="1:22">
      <c r="A953" s="165" t="s">
        <v>4178</v>
      </c>
      <c r="B953" s="165">
        <v>1010</v>
      </c>
      <c r="C953" s="165" t="s">
        <v>1232</v>
      </c>
      <c r="D953" s="165">
        <v>5</v>
      </c>
      <c r="E953" s="165" t="s">
        <v>4179</v>
      </c>
      <c r="F953" s="165" t="s">
        <v>4180</v>
      </c>
      <c r="G953" s="165">
        <v>16380</v>
      </c>
      <c r="H953" s="165"/>
      <c r="I953" s="165"/>
      <c r="J953" s="165">
        <v>16380</v>
      </c>
      <c r="K953" s="165"/>
      <c r="L953" s="165"/>
      <c r="M953" s="165"/>
      <c r="N953" s="165"/>
      <c r="O953" s="165">
        <f t="shared" si="25"/>
        <v>0</v>
      </c>
      <c r="P953" s="165" t="s">
        <v>3952</v>
      </c>
      <c r="Q953" s="165" t="s">
        <v>3953</v>
      </c>
      <c r="R953" s="3">
        <v>16380</v>
      </c>
      <c r="S953" s="3">
        <v>16380</v>
      </c>
      <c r="T953"/>
      <c r="U953" s="3"/>
    </row>
    <row r="954" spans="1:22" s="163" customFormat="1">
      <c r="A954" s="281" t="s">
        <v>4133</v>
      </c>
      <c r="B954" s="281"/>
      <c r="C954" s="281" t="s">
        <v>2421</v>
      </c>
      <c r="D954" s="281">
        <v>8</v>
      </c>
      <c r="E954" s="281" t="s">
        <v>1283</v>
      </c>
      <c r="F954" s="281" t="s">
        <v>4133</v>
      </c>
      <c r="G954" s="284"/>
      <c r="H954" s="284"/>
      <c r="I954" s="284"/>
      <c r="J954" s="281"/>
      <c r="K954" s="281"/>
      <c r="L954" s="281"/>
      <c r="M954" s="281"/>
      <c r="N954" s="281"/>
      <c r="O954" s="281">
        <f t="shared" si="25"/>
        <v>0</v>
      </c>
      <c r="P954" s="281" t="s">
        <v>4133</v>
      </c>
      <c r="Q954" s="281" t="s">
        <v>4133</v>
      </c>
      <c r="R954" s="281">
        <v>13230</v>
      </c>
      <c r="S954" s="281">
        <v>13220</v>
      </c>
      <c r="T954" s="406">
        <v>13220</v>
      </c>
      <c r="U954" s="284">
        <v>10</v>
      </c>
    </row>
    <row r="955" spans="1:22" s="283" customFormat="1">
      <c r="A955" s="279" t="s">
        <v>4117</v>
      </c>
      <c r="B955" s="279"/>
      <c r="C955" s="279" t="s">
        <v>2060</v>
      </c>
      <c r="D955" s="279">
        <v>1</v>
      </c>
      <c r="E955" s="279" t="s">
        <v>1283</v>
      </c>
      <c r="F955" s="279" t="s">
        <v>4117</v>
      </c>
      <c r="G955" s="280"/>
      <c r="H955" s="280"/>
      <c r="I955" s="280"/>
      <c r="J955" s="280"/>
      <c r="K955" s="280"/>
      <c r="L955" s="280"/>
      <c r="M955" s="280"/>
      <c r="N955" s="280"/>
      <c r="O955" s="280">
        <f t="shared" si="25"/>
        <v>0</v>
      </c>
      <c r="P955" s="279" t="s">
        <v>4117</v>
      </c>
      <c r="Q955" s="279" t="s">
        <v>4117</v>
      </c>
      <c r="R955" s="279">
        <v>13230</v>
      </c>
      <c r="S955" s="279">
        <v>13230</v>
      </c>
      <c r="T955" s="408">
        <v>13230</v>
      </c>
      <c r="U955" s="280"/>
      <c r="V955" s="282" t="s">
        <v>245</v>
      </c>
    </row>
    <row r="956" spans="1:22">
      <c r="A956" s="165" t="s">
        <v>4181</v>
      </c>
      <c r="B956" s="165">
        <v>1011</v>
      </c>
      <c r="C956" s="165" t="s">
        <v>4182</v>
      </c>
      <c r="D956" s="165">
        <v>1</v>
      </c>
      <c r="E956" s="165" t="s">
        <v>4183</v>
      </c>
      <c r="F956" s="165" t="s">
        <v>4010</v>
      </c>
      <c r="G956" s="165">
        <v>11970</v>
      </c>
      <c r="H956" s="165"/>
      <c r="I956" s="165"/>
      <c r="J956" s="165">
        <v>11970</v>
      </c>
      <c r="K956" s="165"/>
      <c r="L956" s="165"/>
      <c r="M956" s="165"/>
      <c r="N956" s="165"/>
      <c r="O956" s="165">
        <f t="shared" si="25"/>
        <v>0</v>
      </c>
      <c r="P956" s="165" t="s">
        <v>3955</v>
      </c>
      <c r="Q956" s="165" t="s">
        <v>3956</v>
      </c>
      <c r="R956" s="3">
        <v>11970</v>
      </c>
      <c r="S956" s="3">
        <v>11970</v>
      </c>
      <c r="T956"/>
      <c r="U956" s="3"/>
    </row>
    <row r="957" spans="1:22">
      <c r="A957" s="165" t="s">
        <v>4181</v>
      </c>
      <c r="B957" s="165">
        <v>1012</v>
      </c>
      <c r="C957" s="165" t="s">
        <v>4182</v>
      </c>
      <c r="D957" s="165">
        <v>2</v>
      </c>
      <c r="E957" s="165" t="s">
        <v>4184</v>
      </c>
      <c r="F957" s="165" t="s">
        <v>4185</v>
      </c>
      <c r="G957" s="165">
        <v>11970</v>
      </c>
      <c r="H957" s="165"/>
      <c r="I957" s="165"/>
      <c r="J957" s="165">
        <v>11970</v>
      </c>
      <c r="K957" s="165"/>
      <c r="L957" s="165"/>
      <c r="M957" s="165"/>
      <c r="N957" s="165"/>
      <c r="O957" s="165">
        <f t="shared" si="25"/>
        <v>0</v>
      </c>
      <c r="P957" s="165" t="s">
        <v>3957</v>
      </c>
      <c r="Q957" s="165" t="s">
        <v>3958</v>
      </c>
      <c r="R957" s="3">
        <v>11970</v>
      </c>
      <c r="S957" s="3">
        <v>11970</v>
      </c>
      <c r="T957"/>
      <c r="U957" s="3"/>
    </row>
    <row r="958" spans="1:22">
      <c r="A958" s="165" t="s">
        <v>4181</v>
      </c>
      <c r="B958" s="165">
        <v>1013</v>
      </c>
      <c r="C958" s="165" t="s">
        <v>4182</v>
      </c>
      <c r="D958" s="165">
        <v>3</v>
      </c>
      <c r="E958" s="165" t="s">
        <v>4186</v>
      </c>
      <c r="F958" s="165" t="s">
        <v>4014</v>
      </c>
      <c r="G958" s="165">
        <v>11970</v>
      </c>
      <c r="H958" s="165"/>
      <c r="I958" s="165"/>
      <c r="J958" s="165"/>
      <c r="K958" s="165">
        <v>11970</v>
      </c>
      <c r="L958" s="165"/>
      <c r="M958" s="165"/>
      <c r="N958" s="165"/>
      <c r="O958" s="165">
        <f t="shared" si="25"/>
        <v>0</v>
      </c>
      <c r="P958" s="165" t="s">
        <v>4766</v>
      </c>
      <c r="Q958" s="165" t="s">
        <v>4595</v>
      </c>
      <c r="R958" s="3">
        <v>11970</v>
      </c>
      <c r="S958" s="3">
        <v>11970</v>
      </c>
      <c r="T958"/>
      <c r="U958" s="3"/>
    </row>
    <row r="959" spans="1:22">
      <c r="A959" s="165" t="s">
        <v>4181</v>
      </c>
      <c r="B959" s="165">
        <v>1014</v>
      </c>
      <c r="C959" s="165" t="s">
        <v>4182</v>
      </c>
      <c r="D959" s="165">
        <v>4</v>
      </c>
      <c r="E959" s="165" t="s">
        <v>4187</v>
      </c>
      <c r="F959" s="165" t="s">
        <v>4016</v>
      </c>
      <c r="G959" s="165">
        <v>11970</v>
      </c>
      <c r="H959" s="165"/>
      <c r="I959" s="165"/>
      <c r="J959" s="165"/>
      <c r="K959" s="165">
        <v>11970</v>
      </c>
      <c r="L959" s="165"/>
      <c r="M959" s="165"/>
      <c r="N959" s="165"/>
      <c r="O959" s="165">
        <f t="shared" si="25"/>
        <v>0</v>
      </c>
      <c r="P959" s="165" t="s">
        <v>4767</v>
      </c>
      <c r="Q959" s="165" t="s">
        <v>4782</v>
      </c>
      <c r="R959" s="3">
        <v>11970</v>
      </c>
      <c r="S959" s="3">
        <v>11970</v>
      </c>
      <c r="T959"/>
      <c r="U959" s="3"/>
    </row>
    <row r="960" spans="1:22">
      <c r="A960" s="165" t="s">
        <v>4181</v>
      </c>
      <c r="B960" s="165">
        <v>1015</v>
      </c>
      <c r="C960" s="165" t="s">
        <v>4182</v>
      </c>
      <c r="D960" s="165">
        <v>5</v>
      </c>
      <c r="E960" s="165" t="s">
        <v>4188</v>
      </c>
      <c r="F960" s="165" t="s">
        <v>4018</v>
      </c>
      <c r="G960" s="165">
        <v>11970</v>
      </c>
      <c r="H960" s="165"/>
      <c r="I960" s="165"/>
      <c r="J960" s="165"/>
      <c r="K960" s="165">
        <v>11970</v>
      </c>
      <c r="L960" s="165"/>
      <c r="M960" s="165"/>
      <c r="N960" s="165"/>
      <c r="O960" s="165">
        <f t="shared" si="25"/>
        <v>0</v>
      </c>
      <c r="P960" s="165" t="s">
        <v>4715</v>
      </c>
      <c r="Q960" s="165" t="s">
        <v>4786</v>
      </c>
      <c r="R960" s="3">
        <v>11970</v>
      </c>
      <c r="S960" s="3">
        <v>11970</v>
      </c>
      <c r="T960"/>
      <c r="U960" s="3"/>
    </row>
    <row r="961" spans="1:22">
      <c r="A961" s="165" t="s">
        <v>4181</v>
      </c>
      <c r="B961" s="165">
        <v>1016</v>
      </c>
      <c r="C961" s="165" t="s">
        <v>4182</v>
      </c>
      <c r="D961" s="165">
        <v>6</v>
      </c>
      <c r="E961" s="165" t="s">
        <v>4189</v>
      </c>
      <c r="F961" s="165" t="s">
        <v>4190</v>
      </c>
      <c r="G961" s="165">
        <v>11970</v>
      </c>
      <c r="H961" s="165"/>
      <c r="I961" s="165"/>
      <c r="J961" s="165"/>
      <c r="K961" s="165">
        <v>11970</v>
      </c>
      <c r="L961" s="165"/>
      <c r="M961" s="165"/>
      <c r="N961" s="165"/>
      <c r="O961" s="165">
        <f t="shared" si="25"/>
        <v>0</v>
      </c>
      <c r="P961" s="165" t="s">
        <v>5318</v>
      </c>
      <c r="Q961" s="165" t="s">
        <v>4033</v>
      </c>
      <c r="R961" s="3">
        <v>11970</v>
      </c>
      <c r="S961" s="3">
        <v>11970</v>
      </c>
      <c r="T961"/>
      <c r="U961" s="3"/>
    </row>
    <row r="962" spans="1:22">
      <c r="A962" s="165" t="s">
        <v>4181</v>
      </c>
      <c r="B962" s="165">
        <v>1017</v>
      </c>
      <c r="C962" s="165" t="s">
        <v>4182</v>
      </c>
      <c r="D962" s="165">
        <v>7</v>
      </c>
      <c r="E962" s="165" t="s">
        <v>4191</v>
      </c>
      <c r="F962" s="165" t="s">
        <v>4192</v>
      </c>
      <c r="G962" s="165">
        <v>11970</v>
      </c>
      <c r="H962" s="165"/>
      <c r="I962" s="165"/>
      <c r="J962" s="165"/>
      <c r="K962" s="165"/>
      <c r="L962" s="165">
        <v>11970</v>
      </c>
      <c r="M962" s="165"/>
      <c r="N962" s="165"/>
      <c r="O962" s="165">
        <f>G962+H962+I962-J962-K962-L962</f>
        <v>0</v>
      </c>
      <c r="P962" s="165" t="s">
        <v>4651</v>
      </c>
      <c r="Q962" s="165" t="s">
        <v>4793</v>
      </c>
      <c r="R962" s="3">
        <v>11970</v>
      </c>
      <c r="S962" s="3">
        <v>11970</v>
      </c>
      <c r="T962"/>
      <c r="U962" s="3"/>
    </row>
    <row r="963" spans="1:22">
      <c r="A963" s="165" t="s">
        <v>4181</v>
      </c>
      <c r="B963" s="165">
        <v>1018</v>
      </c>
      <c r="C963" s="165" t="s">
        <v>4182</v>
      </c>
      <c r="D963" s="165">
        <v>8</v>
      </c>
      <c r="E963" s="165" t="s">
        <v>4193</v>
      </c>
      <c r="F963" s="165" t="s">
        <v>4194</v>
      </c>
      <c r="G963" s="165">
        <v>11970</v>
      </c>
      <c r="H963" s="165"/>
      <c r="I963" s="165"/>
      <c r="J963" s="165"/>
      <c r="K963" s="165"/>
      <c r="L963" s="165">
        <v>11970</v>
      </c>
      <c r="M963" s="165"/>
      <c r="N963" s="165"/>
      <c r="O963" s="165">
        <f>G963+H963+I963-J963-K963-L963</f>
        <v>0</v>
      </c>
      <c r="P963" s="165" t="s">
        <v>4806</v>
      </c>
      <c r="Q963" s="165" t="s">
        <v>4194</v>
      </c>
      <c r="R963" s="3">
        <v>11970</v>
      </c>
      <c r="S963" s="3">
        <v>11970</v>
      </c>
      <c r="T963"/>
      <c r="U963" s="3"/>
    </row>
    <row r="964" spans="1:22" s="163" customFormat="1">
      <c r="A964" s="281" t="s">
        <v>4195</v>
      </c>
      <c r="B964" s="281"/>
      <c r="C964" s="281" t="s">
        <v>3825</v>
      </c>
      <c r="D964" s="281">
        <v>2</v>
      </c>
      <c r="E964" s="281" t="s">
        <v>1283</v>
      </c>
      <c r="F964" s="281" t="s">
        <v>4195</v>
      </c>
      <c r="G964" s="284"/>
      <c r="H964" s="284"/>
      <c r="I964" s="284"/>
      <c r="J964" s="281"/>
      <c r="K964" s="281"/>
      <c r="L964" s="281"/>
      <c r="M964" s="281"/>
      <c r="N964" s="281"/>
      <c r="O964" s="281">
        <f t="shared" ref="O964:O976" si="26">G964+H964+I964-J964-K964</f>
        <v>0</v>
      </c>
      <c r="P964" s="281" t="s">
        <v>4195</v>
      </c>
      <c r="Q964" s="281" t="s">
        <v>4195</v>
      </c>
      <c r="R964" s="281">
        <v>14175</v>
      </c>
      <c r="S964" s="281">
        <v>14145</v>
      </c>
      <c r="T964" s="406">
        <v>14145</v>
      </c>
      <c r="U964" s="284">
        <v>30</v>
      </c>
    </row>
    <row r="965" spans="1:22">
      <c r="A965" s="165" t="s">
        <v>3955</v>
      </c>
      <c r="B965" s="94">
        <v>1019</v>
      </c>
      <c r="C965" s="165" t="s">
        <v>1305</v>
      </c>
      <c r="D965" s="165">
        <v>4</v>
      </c>
      <c r="E965" s="165" t="s">
        <v>4196</v>
      </c>
      <c r="F965" s="165" t="s">
        <v>4197</v>
      </c>
      <c r="G965" s="165"/>
      <c r="H965" s="165">
        <v>11340</v>
      </c>
      <c r="I965" s="165"/>
      <c r="J965" s="165">
        <v>11340</v>
      </c>
      <c r="K965" s="165"/>
      <c r="L965" s="165"/>
      <c r="M965" s="165"/>
      <c r="N965" s="165"/>
      <c r="O965" s="165">
        <f t="shared" si="26"/>
        <v>0</v>
      </c>
      <c r="P965" s="165" t="s">
        <v>3986</v>
      </c>
      <c r="Q965" s="165" t="s">
        <v>3987</v>
      </c>
      <c r="R965" s="3">
        <v>11340</v>
      </c>
      <c r="S965" s="405">
        <v>11340</v>
      </c>
      <c r="T965"/>
      <c r="U965" s="3"/>
    </row>
    <row r="966" spans="1:22" s="163" customFormat="1">
      <c r="A966" s="281" t="s">
        <v>4197</v>
      </c>
      <c r="B966" s="281"/>
      <c r="C966" s="281" t="s">
        <v>1532</v>
      </c>
      <c r="D966" s="281">
        <v>1</v>
      </c>
      <c r="E966" s="281" t="s">
        <v>1283</v>
      </c>
      <c r="F966" s="281" t="s">
        <v>4197</v>
      </c>
      <c r="G966" s="284"/>
      <c r="H966" s="284"/>
      <c r="I966" s="284"/>
      <c r="J966" s="281"/>
      <c r="K966" s="281"/>
      <c r="L966" s="281"/>
      <c r="M966" s="281"/>
      <c r="N966" s="281"/>
      <c r="O966" s="281">
        <f t="shared" si="26"/>
        <v>0</v>
      </c>
      <c r="P966" s="281" t="s">
        <v>4197</v>
      </c>
      <c r="Q966" s="281" t="s">
        <v>4197</v>
      </c>
      <c r="R966" s="281">
        <v>13500</v>
      </c>
      <c r="S966" s="281">
        <v>13485</v>
      </c>
      <c r="T966" s="406">
        <v>13485</v>
      </c>
      <c r="U966" s="284">
        <v>15</v>
      </c>
    </row>
    <row r="967" spans="1:22">
      <c r="A967" s="165" t="s">
        <v>3970</v>
      </c>
      <c r="B967" s="94">
        <v>1020</v>
      </c>
      <c r="C967" s="165" t="s">
        <v>1232</v>
      </c>
      <c r="D967" s="165">
        <v>6</v>
      </c>
      <c r="E967" s="165" t="s">
        <v>4198</v>
      </c>
      <c r="F967" s="165" t="s">
        <v>4081</v>
      </c>
      <c r="G967" s="165">
        <v>16380</v>
      </c>
      <c r="H967" s="165"/>
      <c r="I967" s="165"/>
      <c r="J967" s="165">
        <v>16380</v>
      </c>
      <c r="K967" s="165"/>
      <c r="L967" s="165"/>
      <c r="M967" s="165"/>
      <c r="N967" s="165"/>
      <c r="O967" s="165">
        <f t="shared" si="26"/>
        <v>0</v>
      </c>
      <c r="P967" s="165" t="s">
        <v>3986</v>
      </c>
      <c r="Q967" s="165" t="s">
        <v>3987</v>
      </c>
      <c r="R967" s="3">
        <v>16380</v>
      </c>
      <c r="S967" s="3">
        <v>16380</v>
      </c>
      <c r="T967"/>
      <c r="U967" s="3"/>
    </row>
    <row r="968" spans="1:22" s="163" customFormat="1">
      <c r="A968" s="281" t="s">
        <v>3965</v>
      </c>
      <c r="B968" s="281"/>
      <c r="C968" s="281" t="s">
        <v>4000</v>
      </c>
      <c r="D968" s="281"/>
      <c r="E968" s="281" t="s">
        <v>1283</v>
      </c>
      <c r="F968" s="281" t="s">
        <v>3965</v>
      </c>
      <c r="G968" s="284"/>
      <c r="H968" s="284"/>
      <c r="I968" s="284"/>
      <c r="J968" s="281"/>
      <c r="K968" s="281"/>
      <c r="L968" s="281"/>
      <c r="M968" s="281"/>
      <c r="N968" s="281"/>
      <c r="O968" s="281">
        <f t="shared" si="26"/>
        <v>0</v>
      </c>
      <c r="P968" s="281" t="s">
        <v>3965</v>
      </c>
      <c r="Q968" s="281" t="s">
        <v>3965</v>
      </c>
      <c r="R968" s="281">
        <v>113400</v>
      </c>
      <c r="S968" s="281">
        <v>113390</v>
      </c>
      <c r="T968" s="406">
        <v>113390</v>
      </c>
      <c r="U968" s="284">
        <v>10</v>
      </c>
      <c r="V968" s="163" t="s">
        <v>4199</v>
      </c>
    </row>
    <row r="969" spans="1:22" s="163" customFormat="1">
      <c r="A969" s="281" t="s">
        <v>4200</v>
      </c>
      <c r="B969" s="281"/>
      <c r="C969" s="281" t="s">
        <v>4201</v>
      </c>
      <c r="D969" s="281"/>
      <c r="E969" s="281" t="s">
        <v>1283</v>
      </c>
      <c r="F969" s="281" t="s">
        <v>4200</v>
      </c>
      <c r="G969" s="284"/>
      <c r="H969" s="284"/>
      <c r="I969" s="284"/>
      <c r="J969" s="281"/>
      <c r="K969" s="281"/>
      <c r="L969" s="281"/>
      <c r="M969" s="281"/>
      <c r="N969" s="281"/>
      <c r="O969" s="281">
        <f t="shared" si="26"/>
        <v>0</v>
      </c>
      <c r="P969" s="281" t="s">
        <v>4200</v>
      </c>
      <c r="Q969" s="281" t="s">
        <v>4200</v>
      </c>
      <c r="R969" s="281">
        <v>113400</v>
      </c>
      <c r="S969" s="281">
        <v>113400</v>
      </c>
      <c r="T969" s="406">
        <v>113400</v>
      </c>
      <c r="U969" s="284"/>
      <c r="V969" s="163" t="s">
        <v>4202</v>
      </c>
    </row>
    <row r="970" spans="1:22" s="283" customFormat="1">
      <c r="A970" s="279" t="s">
        <v>4203</v>
      </c>
      <c r="B970" s="279"/>
      <c r="C970" s="279" t="s">
        <v>2060</v>
      </c>
      <c r="D970" s="279">
        <v>2</v>
      </c>
      <c r="E970" s="279" t="s">
        <v>1283</v>
      </c>
      <c r="F970" s="279" t="s">
        <v>4203</v>
      </c>
      <c r="G970" s="280"/>
      <c r="H970" s="280"/>
      <c r="I970" s="280"/>
      <c r="J970" s="280"/>
      <c r="K970" s="280"/>
      <c r="L970" s="280"/>
      <c r="M970" s="280"/>
      <c r="N970" s="280"/>
      <c r="O970" s="280">
        <f t="shared" si="26"/>
        <v>0</v>
      </c>
      <c r="P970" s="279" t="s">
        <v>4203</v>
      </c>
      <c r="Q970" s="279" t="s">
        <v>4203</v>
      </c>
      <c r="R970" s="279">
        <v>13230</v>
      </c>
      <c r="S970" s="279">
        <v>13230</v>
      </c>
      <c r="T970" s="408">
        <v>13230</v>
      </c>
      <c r="U970" s="280"/>
      <c r="V970" s="282" t="s">
        <v>245</v>
      </c>
    </row>
    <row r="971" spans="1:22">
      <c r="A971" s="165" t="s">
        <v>3967</v>
      </c>
      <c r="B971" s="165">
        <v>1021</v>
      </c>
      <c r="C971" s="165" t="s">
        <v>4204</v>
      </c>
      <c r="D971" s="165">
        <v>1</v>
      </c>
      <c r="E971" s="165" t="s">
        <v>4205</v>
      </c>
      <c r="F971" s="165" t="s">
        <v>4200</v>
      </c>
      <c r="G971" s="165">
        <v>20475</v>
      </c>
      <c r="H971" s="165"/>
      <c r="I971" s="165"/>
      <c r="J971" s="165">
        <v>20475</v>
      </c>
      <c r="K971" s="165"/>
      <c r="L971" s="165"/>
      <c r="M971" s="165"/>
      <c r="N971" s="165"/>
      <c r="O971" s="165">
        <f t="shared" si="26"/>
        <v>0</v>
      </c>
      <c r="P971" s="165" t="s">
        <v>3957</v>
      </c>
      <c r="Q971" s="165" t="s">
        <v>3958</v>
      </c>
      <c r="R971" s="3">
        <v>20475</v>
      </c>
      <c r="S971" s="209">
        <v>20475</v>
      </c>
      <c r="T971"/>
      <c r="U971" s="3"/>
      <c r="V971" s="271" t="s">
        <v>2740</v>
      </c>
    </row>
    <row r="972" spans="1:22">
      <c r="A972" s="165" t="s">
        <v>3967</v>
      </c>
      <c r="B972" s="165">
        <v>1022</v>
      </c>
      <c r="C972" s="165" t="s">
        <v>4204</v>
      </c>
      <c r="D972" s="165">
        <v>2</v>
      </c>
      <c r="E972" s="165" t="s">
        <v>4206</v>
      </c>
      <c r="F972" s="165" t="s">
        <v>4100</v>
      </c>
      <c r="G972" s="165">
        <v>20475</v>
      </c>
      <c r="H972" s="165"/>
      <c r="I972" s="165"/>
      <c r="J972" s="165">
        <v>20475</v>
      </c>
      <c r="K972" s="165"/>
      <c r="L972" s="165"/>
      <c r="M972" s="165"/>
      <c r="N972" s="165"/>
      <c r="O972" s="165">
        <f t="shared" si="26"/>
        <v>0</v>
      </c>
      <c r="P972" s="165" t="s">
        <v>3957</v>
      </c>
      <c r="Q972" s="165" t="s">
        <v>3958</v>
      </c>
      <c r="R972" s="3">
        <v>20475</v>
      </c>
      <c r="S972" s="209">
        <v>20475</v>
      </c>
      <c r="T972"/>
      <c r="U972" s="3"/>
      <c r="V972" s="271" t="s">
        <v>2740</v>
      </c>
    </row>
    <row r="973" spans="1:22">
      <c r="A973" s="165" t="s">
        <v>3967</v>
      </c>
      <c r="B973" s="165">
        <v>1023</v>
      </c>
      <c r="C973" s="165" t="s">
        <v>4204</v>
      </c>
      <c r="D973" s="165">
        <v>3</v>
      </c>
      <c r="E973" s="165" t="s">
        <v>4207</v>
      </c>
      <c r="F973" s="165" t="s">
        <v>4102</v>
      </c>
      <c r="G973" s="565">
        <v>20475</v>
      </c>
      <c r="H973" s="165"/>
      <c r="I973" s="165"/>
      <c r="J973" s="165"/>
      <c r="K973" s="165">
        <v>20475</v>
      </c>
      <c r="L973" s="165"/>
      <c r="M973" s="165"/>
      <c r="N973" s="165"/>
      <c r="O973" s="165">
        <f t="shared" si="26"/>
        <v>0</v>
      </c>
      <c r="P973" s="165" t="s">
        <v>4434</v>
      </c>
      <c r="Q973" s="165" t="s">
        <v>4102</v>
      </c>
      <c r="R973" s="3">
        <v>20475</v>
      </c>
      <c r="S973" s="625">
        <v>20475</v>
      </c>
      <c r="T973"/>
      <c r="U973" s="3"/>
      <c r="V973" s="271" t="s">
        <v>2740</v>
      </c>
    </row>
    <row r="974" spans="1:22">
      <c r="A974" s="165" t="s">
        <v>3967</v>
      </c>
      <c r="B974" s="165">
        <v>1024</v>
      </c>
      <c r="C974" s="165" t="s">
        <v>4204</v>
      </c>
      <c r="D974" s="165">
        <v>4</v>
      </c>
      <c r="E974" s="165" t="s">
        <v>4208</v>
      </c>
      <c r="F974" s="165" t="s">
        <v>4104</v>
      </c>
      <c r="G974" s="565">
        <v>20475</v>
      </c>
      <c r="H974" s="165"/>
      <c r="I974" s="165"/>
      <c r="J974" s="165"/>
      <c r="K974" s="165">
        <v>20475</v>
      </c>
      <c r="L974" s="165"/>
      <c r="M974" s="165"/>
      <c r="N974" s="165"/>
      <c r="O974" s="165">
        <f t="shared" si="26"/>
        <v>0</v>
      </c>
      <c r="P974" s="165" t="s">
        <v>4767</v>
      </c>
      <c r="Q974" s="165" t="s">
        <v>4782</v>
      </c>
      <c r="R974" s="3">
        <v>20475</v>
      </c>
      <c r="S974" s="625">
        <v>20475</v>
      </c>
      <c r="T974"/>
      <c r="U974" s="3"/>
      <c r="V974" s="271" t="s">
        <v>2740</v>
      </c>
    </row>
    <row r="975" spans="1:22">
      <c r="A975" s="165" t="s">
        <v>3967</v>
      </c>
      <c r="B975" s="165">
        <v>1025</v>
      </c>
      <c r="C975" s="165" t="s">
        <v>4204</v>
      </c>
      <c r="D975" s="165">
        <v>5</v>
      </c>
      <c r="E975" s="165" t="s">
        <v>4209</v>
      </c>
      <c r="F975" s="165" t="s">
        <v>4106</v>
      </c>
      <c r="G975" s="565">
        <v>20475</v>
      </c>
      <c r="H975" s="165"/>
      <c r="I975" s="165"/>
      <c r="J975" s="165"/>
      <c r="K975" s="165">
        <v>20475</v>
      </c>
      <c r="L975" s="165"/>
      <c r="M975" s="165"/>
      <c r="N975" s="165"/>
      <c r="O975" s="165">
        <f t="shared" si="26"/>
        <v>0</v>
      </c>
      <c r="P975" s="165" t="s">
        <v>4715</v>
      </c>
      <c r="Q975" s="165" t="s">
        <v>4786</v>
      </c>
      <c r="R975" s="3">
        <v>20475</v>
      </c>
      <c r="S975" s="625">
        <v>20475</v>
      </c>
      <c r="T975"/>
      <c r="U975" s="3"/>
      <c r="V975" s="271" t="s">
        <v>2740</v>
      </c>
    </row>
    <row r="976" spans="1:22">
      <c r="A976" s="165" t="s">
        <v>3967</v>
      </c>
      <c r="B976" s="165">
        <v>1026</v>
      </c>
      <c r="C976" s="165" t="s">
        <v>4204</v>
      </c>
      <c r="D976" s="165">
        <v>6</v>
      </c>
      <c r="E976" s="165" t="s">
        <v>4210</v>
      </c>
      <c r="F976" s="165" t="s">
        <v>4108</v>
      </c>
      <c r="G976" s="565">
        <v>20475</v>
      </c>
      <c r="H976" s="165"/>
      <c r="I976" s="165"/>
      <c r="J976" s="165"/>
      <c r="K976" s="165">
        <v>20475</v>
      </c>
      <c r="L976" s="165"/>
      <c r="M976" s="165"/>
      <c r="N976" s="165"/>
      <c r="O976" s="165">
        <f t="shared" si="26"/>
        <v>0</v>
      </c>
      <c r="P976" s="165" t="s">
        <v>4190</v>
      </c>
      <c r="Q976" s="165" t="s">
        <v>4033</v>
      </c>
      <c r="R976" s="3">
        <v>20475</v>
      </c>
      <c r="S976" s="625">
        <v>20475</v>
      </c>
      <c r="T976"/>
      <c r="U976" s="3"/>
      <c r="V976" s="271" t="s">
        <v>2740</v>
      </c>
    </row>
    <row r="977" spans="1:22">
      <c r="A977" s="165" t="s">
        <v>3967</v>
      </c>
      <c r="B977" s="165">
        <v>1027</v>
      </c>
      <c r="C977" s="165" t="s">
        <v>4204</v>
      </c>
      <c r="D977" s="165">
        <v>7</v>
      </c>
      <c r="E977" s="165" t="s">
        <v>4211</v>
      </c>
      <c r="F977" s="165" t="s">
        <v>4110</v>
      </c>
      <c r="G977" s="165"/>
      <c r="H977" s="165">
        <v>20475</v>
      </c>
      <c r="I977" s="165"/>
      <c r="J977" s="165"/>
      <c r="K977" s="165"/>
      <c r="L977" s="165">
        <v>20475</v>
      </c>
      <c r="M977" s="165"/>
      <c r="N977" s="165"/>
      <c r="O977" s="165">
        <f>G977+H977+I977-J977-K977-L977</f>
        <v>0</v>
      </c>
      <c r="P977" s="165" t="s">
        <v>4651</v>
      </c>
      <c r="Q977" s="165" t="s">
        <v>5323</v>
      </c>
      <c r="R977" s="3">
        <v>20475</v>
      </c>
      <c r="S977" s="625">
        <v>20475</v>
      </c>
      <c r="T977"/>
      <c r="U977" s="3"/>
      <c r="V977" s="271" t="s">
        <v>2740</v>
      </c>
    </row>
    <row r="978" spans="1:22">
      <c r="A978" s="165" t="s">
        <v>3967</v>
      </c>
      <c r="B978" s="165">
        <v>1028</v>
      </c>
      <c r="C978" s="165" t="s">
        <v>4204</v>
      </c>
      <c r="D978" s="165">
        <v>8</v>
      </c>
      <c r="E978" s="165" t="s">
        <v>4212</v>
      </c>
      <c r="F978" s="165" t="s">
        <v>4213</v>
      </c>
      <c r="G978" s="165"/>
      <c r="H978" s="165">
        <v>20475</v>
      </c>
      <c r="I978" s="165"/>
      <c r="J978" s="165"/>
      <c r="K978" s="165"/>
      <c r="L978" s="165">
        <v>20475</v>
      </c>
      <c r="M978" s="165"/>
      <c r="N978" s="165"/>
      <c r="O978" s="165">
        <f>G978+H978+I978-J978-K978-L978</f>
        <v>0</v>
      </c>
      <c r="P978" s="165" t="s">
        <v>4806</v>
      </c>
      <c r="Q978" s="165" t="s">
        <v>4213</v>
      </c>
      <c r="R978" s="3">
        <v>20475</v>
      </c>
      <c r="S978" s="625">
        <v>20475</v>
      </c>
      <c r="T978"/>
      <c r="U978" s="3"/>
      <c r="V978" s="271" t="s">
        <v>2740</v>
      </c>
    </row>
    <row r="979" spans="1:22" s="163" customFormat="1">
      <c r="A979" s="281" t="s">
        <v>4214</v>
      </c>
      <c r="B979" s="281"/>
      <c r="C979" s="281" t="s">
        <v>3825</v>
      </c>
      <c r="D979" s="281">
        <v>3</v>
      </c>
      <c r="E979" s="281" t="s">
        <v>1283</v>
      </c>
      <c r="F979" s="281" t="s">
        <v>4214</v>
      </c>
      <c r="G979" s="284"/>
      <c r="H979" s="284"/>
      <c r="I979" s="284"/>
      <c r="J979" s="281"/>
      <c r="K979" s="281"/>
      <c r="L979" s="281"/>
      <c r="M979" s="281"/>
      <c r="N979" s="281"/>
      <c r="O979" s="281">
        <f t="shared" ref="O979:O985" si="27">G979+H979+I979-J979-K979</f>
        <v>0</v>
      </c>
      <c r="P979" s="281" t="s">
        <v>4214</v>
      </c>
      <c r="Q979" s="281" t="s">
        <v>4214</v>
      </c>
      <c r="R979" s="281">
        <v>14175</v>
      </c>
      <c r="S979" s="281">
        <v>14145</v>
      </c>
      <c r="T979" s="406">
        <v>14145</v>
      </c>
      <c r="U979" s="284">
        <v>30</v>
      </c>
    </row>
    <row r="980" spans="1:22" s="163" customFormat="1">
      <c r="A980" s="281" t="s">
        <v>4215</v>
      </c>
      <c r="B980" s="281"/>
      <c r="C980" s="281" t="s">
        <v>1532</v>
      </c>
      <c r="D980" s="281">
        <v>2</v>
      </c>
      <c r="E980" s="281" t="s">
        <v>1283</v>
      </c>
      <c r="F980" s="281" t="s">
        <v>4215</v>
      </c>
      <c r="G980" s="284"/>
      <c r="H980" s="284"/>
      <c r="I980" s="284"/>
      <c r="J980" s="281"/>
      <c r="K980" s="281"/>
      <c r="L980" s="281"/>
      <c r="M980" s="281"/>
      <c r="N980" s="281"/>
      <c r="O980" s="281">
        <f t="shared" si="27"/>
        <v>0</v>
      </c>
      <c r="P980" s="281" t="s">
        <v>4215</v>
      </c>
      <c r="Q980" s="281" t="s">
        <v>4215</v>
      </c>
      <c r="R980" s="281">
        <v>13500</v>
      </c>
      <c r="S980" s="281">
        <v>13485</v>
      </c>
      <c r="T980" s="406">
        <v>13485</v>
      </c>
      <c r="U980" s="284">
        <v>15</v>
      </c>
    </row>
    <row r="981" spans="1:22">
      <c r="A981" s="165" t="s">
        <v>4216</v>
      </c>
      <c r="B981" s="165">
        <v>1029</v>
      </c>
      <c r="C981" s="165" t="s">
        <v>831</v>
      </c>
      <c r="D981" s="165">
        <v>1</v>
      </c>
      <c r="E981" s="165" t="s">
        <v>4217</v>
      </c>
      <c r="F981" s="165" t="s">
        <v>4185</v>
      </c>
      <c r="G981" s="165">
        <v>11400</v>
      </c>
      <c r="H981" s="165"/>
      <c r="I981" s="165"/>
      <c r="J981" s="165">
        <v>11400</v>
      </c>
      <c r="K981" s="165"/>
      <c r="L981" s="165"/>
      <c r="M981" s="165"/>
      <c r="N981" s="165"/>
      <c r="O981" s="165">
        <f t="shared" si="27"/>
        <v>0</v>
      </c>
      <c r="P981" s="165" t="s">
        <v>3957</v>
      </c>
      <c r="Q981" s="165" t="s">
        <v>3958</v>
      </c>
      <c r="R981" s="3">
        <v>11400</v>
      </c>
      <c r="S981" s="3">
        <v>11400</v>
      </c>
      <c r="T981"/>
      <c r="U981" s="3"/>
    </row>
    <row r="982" spans="1:22">
      <c r="A982" s="165" t="s">
        <v>4216</v>
      </c>
      <c r="B982" s="165">
        <v>1030</v>
      </c>
      <c r="C982" s="165" t="s">
        <v>831</v>
      </c>
      <c r="D982" s="165">
        <v>2</v>
      </c>
      <c r="E982" s="165" t="s">
        <v>4218</v>
      </c>
      <c r="F982" s="165" t="s">
        <v>4219</v>
      </c>
      <c r="G982" s="165">
        <v>11400</v>
      </c>
      <c r="H982" s="165"/>
      <c r="I982" s="165"/>
      <c r="J982" s="165"/>
      <c r="K982" s="165">
        <v>11400</v>
      </c>
      <c r="L982" s="165"/>
      <c r="M982" s="165"/>
      <c r="N982" s="165"/>
      <c r="O982" s="165">
        <f t="shared" si="27"/>
        <v>0</v>
      </c>
      <c r="P982" s="165" t="s">
        <v>4766</v>
      </c>
      <c r="Q982" s="165" t="s">
        <v>4595</v>
      </c>
      <c r="R982" s="3">
        <v>11400</v>
      </c>
      <c r="S982" s="3">
        <v>11400</v>
      </c>
      <c r="T982"/>
      <c r="U982" s="3"/>
    </row>
    <row r="983" spans="1:22">
      <c r="A983" s="165" t="s">
        <v>4216</v>
      </c>
      <c r="B983" s="165">
        <v>1031</v>
      </c>
      <c r="C983" s="165" t="s">
        <v>831</v>
      </c>
      <c r="D983" s="165">
        <v>3</v>
      </c>
      <c r="E983" s="165" t="s">
        <v>4220</v>
      </c>
      <c r="F983" s="165" t="s">
        <v>4016</v>
      </c>
      <c r="G983" s="165">
        <v>11400</v>
      </c>
      <c r="H983" s="165"/>
      <c r="I983" s="165"/>
      <c r="J983" s="165"/>
      <c r="K983" s="165">
        <v>11400</v>
      </c>
      <c r="L983" s="165"/>
      <c r="M983" s="165"/>
      <c r="N983" s="165"/>
      <c r="O983" s="165">
        <f t="shared" si="27"/>
        <v>0</v>
      </c>
      <c r="P983" s="165" t="s">
        <v>4767</v>
      </c>
      <c r="Q983" s="165" t="s">
        <v>4782</v>
      </c>
      <c r="R983" s="3">
        <v>11400</v>
      </c>
      <c r="S983" s="3">
        <v>11400</v>
      </c>
      <c r="T983"/>
      <c r="U983" s="3"/>
    </row>
    <row r="984" spans="1:22">
      <c r="A984" s="165" t="s">
        <v>4216</v>
      </c>
      <c r="B984" s="165">
        <v>1032</v>
      </c>
      <c r="C984" s="165" t="s">
        <v>831</v>
      </c>
      <c r="D984" s="165">
        <v>4</v>
      </c>
      <c r="E984" s="165" t="s">
        <v>4221</v>
      </c>
      <c r="F984" s="165" t="s">
        <v>4018</v>
      </c>
      <c r="G984" s="165">
        <v>11400</v>
      </c>
      <c r="H984" s="165"/>
      <c r="I984" s="165"/>
      <c r="J984" s="165"/>
      <c r="K984" s="165">
        <v>11400</v>
      </c>
      <c r="L984" s="165"/>
      <c r="M984" s="165"/>
      <c r="N984" s="165"/>
      <c r="O984" s="165">
        <f t="shared" si="27"/>
        <v>0</v>
      </c>
      <c r="P984" s="165" t="s">
        <v>4715</v>
      </c>
      <c r="Q984" s="165" t="s">
        <v>4786</v>
      </c>
      <c r="R984" s="3">
        <v>11400</v>
      </c>
      <c r="S984" s="3">
        <v>11400</v>
      </c>
      <c r="T984"/>
      <c r="U984" s="3"/>
    </row>
    <row r="985" spans="1:22">
      <c r="A985" s="165" t="s">
        <v>4216</v>
      </c>
      <c r="B985" s="165">
        <v>1033</v>
      </c>
      <c r="C985" s="165" t="s">
        <v>831</v>
      </c>
      <c r="D985" s="165">
        <v>5</v>
      </c>
      <c r="E985" s="165" t="s">
        <v>4222</v>
      </c>
      <c r="F985" s="165" t="s">
        <v>4190</v>
      </c>
      <c r="G985" s="165">
        <v>11400</v>
      </c>
      <c r="H985" s="165"/>
      <c r="I985" s="165"/>
      <c r="J985" s="165"/>
      <c r="K985" s="165">
        <v>11400</v>
      </c>
      <c r="L985" s="165"/>
      <c r="M985" s="165"/>
      <c r="N985" s="165"/>
      <c r="O985" s="165">
        <f t="shared" si="27"/>
        <v>0</v>
      </c>
      <c r="P985" s="165" t="s">
        <v>4190</v>
      </c>
      <c r="Q985" s="165" t="s">
        <v>4033</v>
      </c>
      <c r="R985" s="3">
        <v>11400</v>
      </c>
      <c r="S985" s="3">
        <v>11400</v>
      </c>
      <c r="T985"/>
      <c r="U985" s="3"/>
    </row>
    <row r="986" spans="1:22">
      <c r="A986" s="165" t="s">
        <v>4216</v>
      </c>
      <c r="B986" s="165">
        <v>1034</v>
      </c>
      <c r="C986" s="165" t="s">
        <v>831</v>
      </c>
      <c r="D986" s="165">
        <v>6</v>
      </c>
      <c r="E986" s="165" t="s">
        <v>4223</v>
      </c>
      <c r="F986" s="165" t="s">
        <v>4192</v>
      </c>
      <c r="G986" s="165">
        <v>11400</v>
      </c>
      <c r="H986" s="165"/>
      <c r="I986" s="165"/>
      <c r="J986" s="165"/>
      <c r="K986" s="165"/>
      <c r="L986" s="165">
        <v>11400</v>
      </c>
      <c r="M986" s="165"/>
      <c r="N986" s="165"/>
      <c r="O986" s="165">
        <f>G986+H986+I986-J986-K986-L986</f>
        <v>0</v>
      </c>
      <c r="P986" s="165" t="s">
        <v>4651</v>
      </c>
      <c r="Q986" s="165" t="s">
        <v>4793</v>
      </c>
      <c r="R986" s="3">
        <v>11400</v>
      </c>
      <c r="S986" s="3">
        <v>11400</v>
      </c>
      <c r="T986"/>
      <c r="U986" s="3"/>
    </row>
    <row r="987" spans="1:22">
      <c r="A987" s="165" t="s">
        <v>4216</v>
      </c>
      <c r="B987" s="165">
        <v>1035</v>
      </c>
      <c r="C987" s="165" t="s">
        <v>831</v>
      </c>
      <c r="D987" s="165">
        <v>7</v>
      </c>
      <c r="E987" s="165" t="s">
        <v>4224</v>
      </c>
      <c r="F987" s="165" t="s">
        <v>4194</v>
      </c>
      <c r="G987" s="165">
        <v>11400</v>
      </c>
      <c r="H987" s="165"/>
      <c r="I987" s="165"/>
      <c r="J987" s="165"/>
      <c r="K987" s="165"/>
      <c r="L987" s="165">
        <v>11400</v>
      </c>
      <c r="M987" s="165"/>
      <c r="N987" s="165"/>
      <c r="O987" s="165">
        <f>G987+H987+I987-J987-K987-L987</f>
        <v>0</v>
      </c>
      <c r="P987" s="165" t="s">
        <v>4806</v>
      </c>
      <c r="Q987" s="165" t="s">
        <v>4194</v>
      </c>
      <c r="R987" s="3">
        <v>11400</v>
      </c>
      <c r="S987" s="3">
        <v>11400</v>
      </c>
      <c r="T987"/>
      <c r="U987" s="3"/>
    </row>
    <row r="988" spans="1:22">
      <c r="A988" s="165" t="s">
        <v>4216</v>
      </c>
      <c r="B988" s="165">
        <v>1036</v>
      </c>
      <c r="C988" s="165" t="s">
        <v>831</v>
      </c>
      <c r="D988" s="165">
        <v>8</v>
      </c>
      <c r="E988" s="165" t="s">
        <v>4225</v>
      </c>
      <c r="F988" s="165" t="s">
        <v>4226</v>
      </c>
      <c r="G988" s="165">
        <v>11400</v>
      </c>
      <c r="H988" s="165"/>
      <c r="I988" s="165"/>
      <c r="J988" s="165"/>
      <c r="K988" s="165"/>
      <c r="L988" s="165">
        <v>11400</v>
      </c>
      <c r="M988" s="165"/>
      <c r="N988" s="165"/>
      <c r="O988" s="165">
        <f>G988+H988+I988-J988-K988-L988</f>
        <v>0</v>
      </c>
      <c r="P988" s="165" t="s">
        <v>5500</v>
      </c>
      <c r="Q988" s="165" t="s">
        <v>4226</v>
      </c>
      <c r="R988" s="3">
        <v>11400</v>
      </c>
      <c r="S988" s="3">
        <v>11400</v>
      </c>
      <c r="T988"/>
      <c r="U988" s="3"/>
    </row>
    <row r="989" spans="1:22">
      <c r="A989" s="165" t="s">
        <v>3958</v>
      </c>
      <c r="B989" s="165">
        <v>1037</v>
      </c>
      <c r="C989" s="165" t="s">
        <v>1305</v>
      </c>
      <c r="D989" s="165">
        <v>5</v>
      </c>
      <c r="E989" s="165" t="s">
        <v>4227</v>
      </c>
      <c r="F989" s="165" t="s">
        <v>4228</v>
      </c>
      <c r="G989" s="165"/>
      <c r="H989" s="165">
        <v>11340</v>
      </c>
      <c r="I989" s="165"/>
      <c r="J989" s="165">
        <v>11340</v>
      </c>
      <c r="K989" s="165"/>
      <c r="L989" s="165"/>
      <c r="M989" s="165"/>
      <c r="N989" s="165"/>
      <c r="O989" s="165">
        <f t="shared" ref="O989:O1006" si="28">G989+H989+I989-J989-K989</f>
        <v>0</v>
      </c>
      <c r="P989" s="165" t="s">
        <v>3972</v>
      </c>
      <c r="Q989" s="165" t="s">
        <v>3973</v>
      </c>
      <c r="R989" s="3">
        <v>11340</v>
      </c>
      <c r="S989" s="405">
        <v>11340</v>
      </c>
      <c r="T989"/>
      <c r="U989" s="3"/>
    </row>
    <row r="990" spans="1:22">
      <c r="A990" s="165" t="s">
        <v>4229</v>
      </c>
      <c r="B990" s="165">
        <v>1038</v>
      </c>
      <c r="C990" s="165" t="s">
        <v>4230</v>
      </c>
      <c r="D990" s="165">
        <v>13</v>
      </c>
      <c r="E990" s="165" t="s">
        <v>4231</v>
      </c>
      <c r="F990" s="165" t="s">
        <v>4232</v>
      </c>
      <c r="G990" s="165">
        <v>3780</v>
      </c>
      <c r="H990" s="165"/>
      <c r="I990" s="165"/>
      <c r="J990" s="165">
        <v>3780</v>
      </c>
      <c r="K990" s="165"/>
      <c r="L990" s="165"/>
      <c r="M990" s="165"/>
      <c r="N990" s="165"/>
      <c r="O990" s="165">
        <f t="shared" si="28"/>
        <v>0</v>
      </c>
      <c r="P990" s="165" t="s">
        <v>3963</v>
      </c>
      <c r="Q990" s="165" t="s">
        <v>3964</v>
      </c>
      <c r="R990" s="3">
        <v>3780</v>
      </c>
      <c r="S990" s="3">
        <v>3780</v>
      </c>
      <c r="T990"/>
      <c r="U990" s="3"/>
    </row>
    <row r="991" spans="1:22">
      <c r="A991" s="165" t="s">
        <v>4229</v>
      </c>
      <c r="B991" s="165">
        <v>1039</v>
      </c>
      <c r="C991" s="165" t="s">
        <v>4230</v>
      </c>
      <c r="D991" s="165">
        <v>14</v>
      </c>
      <c r="E991" s="165" t="s">
        <v>4233</v>
      </c>
      <c r="F991" s="165" t="s">
        <v>4234</v>
      </c>
      <c r="G991" s="165">
        <v>3780</v>
      </c>
      <c r="H991" s="165"/>
      <c r="I991" s="165"/>
      <c r="J991" s="165">
        <v>3780</v>
      </c>
      <c r="K991" s="165"/>
      <c r="L991" s="165"/>
      <c r="M991" s="165"/>
      <c r="N991" s="165"/>
      <c r="O991" s="165">
        <f t="shared" si="28"/>
        <v>0</v>
      </c>
      <c r="P991" s="165" t="s">
        <v>3963</v>
      </c>
      <c r="Q991" s="165" t="s">
        <v>3964</v>
      </c>
      <c r="R991" s="3">
        <v>3780</v>
      </c>
      <c r="S991" s="3">
        <v>3780</v>
      </c>
      <c r="T991"/>
      <c r="U991" s="3"/>
    </row>
    <row r="992" spans="1:22">
      <c r="A992" s="165" t="s">
        <v>4229</v>
      </c>
      <c r="B992" s="165">
        <v>1040</v>
      </c>
      <c r="C992" s="165" t="s">
        <v>4230</v>
      </c>
      <c r="D992" s="165">
        <v>15</v>
      </c>
      <c r="E992" s="165" t="s">
        <v>4235</v>
      </c>
      <c r="F992" s="165" t="s">
        <v>4236</v>
      </c>
      <c r="G992" s="165">
        <v>3780</v>
      </c>
      <c r="H992" s="165"/>
      <c r="I992" s="165"/>
      <c r="J992" s="165"/>
      <c r="K992" s="165">
        <v>3780</v>
      </c>
      <c r="L992" s="165"/>
      <c r="M992" s="165"/>
      <c r="N992" s="165"/>
      <c r="O992" s="165">
        <f t="shared" si="28"/>
        <v>0</v>
      </c>
      <c r="P992" s="165" t="s">
        <v>4236</v>
      </c>
      <c r="Q992" s="165" t="s">
        <v>4752</v>
      </c>
      <c r="R992" s="3">
        <v>3780</v>
      </c>
      <c r="S992" s="3">
        <v>3780</v>
      </c>
      <c r="T992"/>
      <c r="U992" s="3"/>
    </row>
    <row r="993" spans="1:21">
      <c r="A993" s="165" t="s">
        <v>4229</v>
      </c>
      <c r="B993" s="165">
        <v>1041</v>
      </c>
      <c r="C993" s="165" t="s">
        <v>4230</v>
      </c>
      <c r="D993" s="165">
        <v>16</v>
      </c>
      <c r="E993" s="165" t="s">
        <v>4237</v>
      </c>
      <c r="F993" s="165" t="s">
        <v>4238</v>
      </c>
      <c r="G993" s="165">
        <v>3780</v>
      </c>
      <c r="H993" s="165"/>
      <c r="I993" s="165"/>
      <c r="J993" s="165"/>
      <c r="K993" s="165">
        <v>3780</v>
      </c>
      <c r="L993" s="165"/>
      <c r="M993" s="165"/>
      <c r="N993" s="165"/>
      <c r="O993" s="165">
        <f t="shared" si="28"/>
        <v>0</v>
      </c>
      <c r="P993" s="165" t="s">
        <v>4434</v>
      </c>
      <c r="Q993" s="165" t="s">
        <v>4435</v>
      </c>
      <c r="R993" s="3">
        <v>3780</v>
      </c>
      <c r="S993" s="3">
        <v>3780</v>
      </c>
      <c r="T993"/>
      <c r="U993" s="3"/>
    </row>
    <row r="994" spans="1:21">
      <c r="A994" s="165" t="s">
        <v>4229</v>
      </c>
      <c r="B994" s="165">
        <v>1042</v>
      </c>
      <c r="C994" s="165" t="s">
        <v>4230</v>
      </c>
      <c r="D994" s="165">
        <v>17</v>
      </c>
      <c r="E994" s="165" t="s">
        <v>4239</v>
      </c>
      <c r="F994" s="165" t="s">
        <v>4027</v>
      </c>
      <c r="G994" s="165">
        <v>3780</v>
      </c>
      <c r="H994" s="165"/>
      <c r="I994" s="165"/>
      <c r="J994" s="165"/>
      <c r="K994" s="165">
        <v>3780</v>
      </c>
      <c r="L994" s="165"/>
      <c r="M994" s="165"/>
      <c r="N994" s="165"/>
      <c r="O994" s="165">
        <f t="shared" si="28"/>
        <v>0</v>
      </c>
      <c r="P994" s="165" t="s">
        <v>4766</v>
      </c>
      <c r="Q994" s="165" t="s">
        <v>4595</v>
      </c>
      <c r="R994" s="3">
        <v>3780</v>
      </c>
      <c r="S994" s="3">
        <v>3780</v>
      </c>
      <c r="T994"/>
    </row>
    <row r="995" spans="1:21">
      <c r="A995" s="165" t="s">
        <v>4229</v>
      </c>
      <c r="B995" s="165">
        <v>1043</v>
      </c>
      <c r="C995" s="165" t="s">
        <v>4230</v>
      </c>
      <c r="D995" s="165">
        <v>18</v>
      </c>
      <c r="E995" s="165" t="s">
        <v>4240</v>
      </c>
      <c r="F995" s="165" t="s">
        <v>4241</v>
      </c>
      <c r="G995" s="165">
        <v>3780</v>
      </c>
      <c r="H995" s="165"/>
      <c r="I995" s="165"/>
      <c r="J995" s="165"/>
      <c r="K995" s="165">
        <v>3780</v>
      </c>
      <c r="L995" s="165"/>
      <c r="M995" s="165"/>
      <c r="N995" s="165"/>
      <c r="O995" s="165">
        <f t="shared" si="28"/>
        <v>0</v>
      </c>
      <c r="P995" s="165" t="s">
        <v>4439</v>
      </c>
      <c r="Q995" s="165" t="s">
        <v>4780</v>
      </c>
      <c r="R995" s="3">
        <v>3780</v>
      </c>
      <c r="S995" s="3">
        <v>3780</v>
      </c>
      <c r="T995"/>
    </row>
    <row r="996" spans="1:21">
      <c r="A996" s="165" t="s">
        <v>4229</v>
      </c>
      <c r="B996" s="165">
        <v>1044</v>
      </c>
      <c r="C996" s="165" t="s">
        <v>4230</v>
      </c>
      <c r="D996" s="165">
        <v>19</v>
      </c>
      <c r="E996" s="165" t="s">
        <v>4242</v>
      </c>
      <c r="F996" s="165" t="s">
        <v>4243</v>
      </c>
      <c r="G996" s="165">
        <v>3780</v>
      </c>
      <c r="H996" s="165"/>
      <c r="I996" s="165"/>
      <c r="J996" s="165"/>
      <c r="K996" s="165">
        <v>3780</v>
      </c>
      <c r="L996" s="165"/>
      <c r="M996" s="165"/>
      <c r="N996" s="165"/>
      <c r="O996" s="165">
        <f t="shared" si="28"/>
        <v>0</v>
      </c>
      <c r="P996" s="165" t="s">
        <v>4588</v>
      </c>
      <c r="Q996" s="165" t="s">
        <v>4781</v>
      </c>
      <c r="R996" s="3">
        <v>3780</v>
      </c>
      <c r="S996" s="3">
        <v>3780</v>
      </c>
      <c r="T996"/>
    </row>
    <row r="997" spans="1:21">
      <c r="A997" s="165" t="s">
        <v>4229</v>
      </c>
      <c r="B997" s="165">
        <v>1045</v>
      </c>
      <c r="C997" s="165" t="s">
        <v>4230</v>
      </c>
      <c r="D997" s="165">
        <v>20</v>
      </c>
      <c r="E997" s="165" t="s">
        <v>4244</v>
      </c>
      <c r="F997" s="165" t="s">
        <v>4245</v>
      </c>
      <c r="G997" s="165">
        <v>3780</v>
      </c>
      <c r="H997" s="165"/>
      <c r="I997" s="165"/>
      <c r="J997" s="165"/>
      <c r="K997" s="165">
        <v>3780</v>
      </c>
      <c r="L997" s="165"/>
      <c r="M997" s="165"/>
      <c r="N997" s="165"/>
      <c r="O997" s="165">
        <f t="shared" si="28"/>
        <v>0</v>
      </c>
      <c r="P997" s="165" t="s">
        <v>4767</v>
      </c>
      <c r="Q997" s="165" t="s">
        <v>4782</v>
      </c>
      <c r="R997" s="3">
        <v>3780</v>
      </c>
      <c r="S997" s="3">
        <v>3780</v>
      </c>
      <c r="T997"/>
    </row>
    <row r="998" spans="1:21">
      <c r="A998" s="165" t="s">
        <v>4229</v>
      </c>
      <c r="B998" s="165">
        <v>1046</v>
      </c>
      <c r="C998" s="165" t="s">
        <v>4230</v>
      </c>
      <c r="D998" s="165">
        <v>21</v>
      </c>
      <c r="E998" s="165" t="s">
        <v>4246</v>
      </c>
      <c r="F998" s="165" t="s">
        <v>4247</v>
      </c>
      <c r="G998" s="165">
        <v>3780</v>
      </c>
      <c r="H998" s="165"/>
      <c r="I998" s="165"/>
      <c r="J998" s="165"/>
      <c r="K998" s="165">
        <v>3780</v>
      </c>
      <c r="L998" s="165"/>
      <c r="M998" s="165"/>
      <c r="N998" s="165"/>
      <c r="O998" s="165">
        <f t="shared" si="28"/>
        <v>0</v>
      </c>
      <c r="P998" s="165" t="s">
        <v>4769</v>
      </c>
      <c r="Q998" s="165" t="s">
        <v>4783</v>
      </c>
      <c r="R998" s="3">
        <v>3780</v>
      </c>
      <c r="S998" s="3">
        <v>3780</v>
      </c>
      <c r="T998"/>
    </row>
    <row r="999" spans="1:21">
      <c r="A999" s="165" t="s">
        <v>4229</v>
      </c>
      <c r="B999" s="165">
        <v>1047</v>
      </c>
      <c r="C999" s="165" t="s">
        <v>4230</v>
      </c>
      <c r="D999" s="165">
        <v>22</v>
      </c>
      <c r="E999" s="165" t="s">
        <v>4248</v>
      </c>
      <c r="F999" s="165" t="s">
        <v>4249</v>
      </c>
      <c r="G999" s="165">
        <v>3780</v>
      </c>
      <c r="H999" s="165"/>
      <c r="I999" s="165"/>
      <c r="J999" s="165"/>
      <c r="K999" s="165">
        <v>3780</v>
      </c>
      <c r="L999" s="165"/>
      <c r="M999" s="165"/>
      <c r="N999" s="165"/>
      <c r="O999" s="165">
        <f t="shared" si="28"/>
        <v>0</v>
      </c>
      <c r="P999" s="165" t="s">
        <v>4771</v>
      </c>
      <c r="Q999" s="165" t="s">
        <v>4785</v>
      </c>
      <c r="R999" s="3">
        <v>3780</v>
      </c>
      <c r="S999" s="3">
        <v>3780</v>
      </c>
      <c r="T999"/>
    </row>
    <row r="1000" spans="1:21">
      <c r="A1000" s="165" t="s">
        <v>4229</v>
      </c>
      <c r="B1000" s="165">
        <v>1048</v>
      </c>
      <c r="C1000" s="165" t="s">
        <v>4230</v>
      </c>
      <c r="D1000" s="165">
        <v>23</v>
      </c>
      <c r="E1000" s="165" t="s">
        <v>4250</v>
      </c>
      <c r="F1000" s="165" t="s">
        <v>4251</v>
      </c>
      <c r="G1000" s="165">
        <v>3780</v>
      </c>
      <c r="H1000" s="165"/>
      <c r="I1000" s="165"/>
      <c r="J1000" s="165"/>
      <c r="K1000" s="165">
        <v>3780</v>
      </c>
      <c r="L1000" s="165"/>
      <c r="M1000" s="165"/>
      <c r="N1000" s="165"/>
      <c r="O1000" s="165">
        <f t="shared" si="28"/>
        <v>0</v>
      </c>
      <c r="P1000" s="165" t="s">
        <v>4772</v>
      </c>
      <c r="Q1000" s="165" t="s">
        <v>4088</v>
      </c>
      <c r="R1000" s="3">
        <v>3780</v>
      </c>
      <c r="S1000" s="3">
        <v>3780</v>
      </c>
      <c r="T1000"/>
    </row>
    <row r="1001" spans="1:21">
      <c r="A1001" s="165" t="s">
        <v>4229</v>
      </c>
      <c r="B1001" s="165">
        <v>1049</v>
      </c>
      <c r="C1001" s="165" t="s">
        <v>4230</v>
      </c>
      <c r="D1001" s="165">
        <v>24</v>
      </c>
      <c r="E1001" s="165" t="s">
        <v>4252</v>
      </c>
      <c r="F1001" s="165" t="s">
        <v>4253</v>
      </c>
      <c r="G1001" s="165">
        <v>3780</v>
      </c>
      <c r="H1001" s="165"/>
      <c r="I1001" s="165"/>
      <c r="J1001" s="165"/>
      <c r="K1001" s="165">
        <v>3780</v>
      </c>
      <c r="L1001" s="165"/>
      <c r="M1001" s="165"/>
      <c r="N1001" s="165"/>
      <c r="O1001" s="165">
        <f t="shared" si="28"/>
        <v>0</v>
      </c>
      <c r="P1001" s="165" t="s">
        <v>4777</v>
      </c>
      <c r="Q1001" s="165" t="s">
        <v>4127</v>
      </c>
      <c r="R1001" s="3">
        <v>3780</v>
      </c>
      <c r="S1001" s="3">
        <v>3780</v>
      </c>
      <c r="T1001"/>
    </row>
    <row r="1002" spans="1:21">
      <c r="A1002" s="165" t="s">
        <v>4254</v>
      </c>
      <c r="B1002" s="165">
        <v>1050</v>
      </c>
      <c r="C1002" s="165" t="s">
        <v>4255</v>
      </c>
      <c r="D1002" s="165">
        <v>1</v>
      </c>
      <c r="E1002" s="165" t="s">
        <v>4256</v>
      </c>
      <c r="F1002" s="165" t="s">
        <v>3975</v>
      </c>
      <c r="G1002" s="165">
        <v>14175</v>
      </c>
      <c r="H1002" s="165"/>
      <c r="I1002" s="165"/>
      <c r="J1002" s="165">
        <v>14175</v>
      </c>
      <c r="K1002" s="165"/>
      <c r="L1002" s="165"/>
      <c r="M1002" s="165"/>
      <c r="N1002" s="165"/>
      <c r="O1002" s="165">
        <f t="shared" si="28"/>
        <v>0</v>
      </c>
      <c r="P1002" s="165" t="s">
        <v>3963</v>
      </c>
      <c r="Q1002" s="165" t="s">
        <v>3964</v>
      </c>
      <c r="R1002" s="3">
        <v>14175</v>
      </c>
      <c r="S1002" s="3">
        <v>14175</v>
      </c>
      <c r="T1002"/>
    </row>
    <row r="1003" spans="1:21">
      <c r="A1003" s="165" t="s">
        <v>4254</v>
      </c>
      <c r="B1003" s="165">
        <v>1051</v>
      </c>
      <c r="C1003" s="165" t="s">
        <v>4255</v>
      </c>
      <c r="D1003" s="165">
        <v>2</v>
      </c>
      <c r="E1003" s="165" t="s">
        <v>4257</v>
      </c>
      <c r="F1003" s="165" t="s">
        <v>4258</v>
      </c>
      <c r="G1003" s="165">
        <v>14175</v>
      </c>
      <c r="H1003" s="165"/>
      <c r="I1003" s="165"/>
      <c r="J1003" s="165"/>
      <c r="K1003" s="165">
        <v>14175</v>
      </c>
      <c r="L1003" s="165"/>
      <c r="M1003" s="165"/>
      <c r="N1003" s="165"/>
      <c r="O1003" s="165">
        <f t="shared" si="28"/>
        <v>0</v>
      </c>
      <c r="P1003" s="165" t="s">
        <v>4434</v>
      </c>
      <c r="Q1003" s="165" t="s">
        <v>4435</v>
      </c>
      <c r="R1003" s="3">
        <v>14175</v>
      </c>
      <c r="S1003" s="3">
        <v>14175</v>
      </c>
      <c r="T1003"/>
    </row>
    <row r="1004" spans="1:21">
      <c r="A1004" s="165" t="s">
        <v>4254</v>
      </c>
      <c r="B1004" s="165">
        <v>1052</v>
      </c>
      <c r="C1004" s="165" t="s">
        <v>4255</v>
      </c>
      <c r="D1004" s="165">
        <v>3</v>
      </c>
      <c r="E1004" s="165" t="s">
        <v>4259</v>
      </c>
      <c r="F1004" s="165" t="s">
        <v>4260</v>
      </c>
      <c r="G1004" s="165">
        <v>14175</v>
      </c>
      <c r="H1004" s="165"/>
      <c r="I1004" s="165"/>
      <c r="J1004" s="165"/>
      <c r="K1004" s="165">
        <v>14175</v>
      </c>
      <c r="L1004" s="165"/>
      <c r="M1004" s="165"/>
      <c r="N1004" s="165"/>
      <c r="O1004" s="165">
        <f t="shared" si="28"/>
        <v>0</v>
      </c>
      <c r="P1004" s="165" t="s">
        <v>4588</v>
      </c>
      <c r="Q1004" s="165" t="s">
        <v>4781</v>
      </c>
      <c r="R1004" s="3">
        <v>14175</v>
      </c>
      <c r="S1004" s="3">
        <v>14175</v>
      </c>
      <c r="T1004"/>
    </row>
    <row r="1005" spans="1:21">
      <c r="A1005" s="165" t="s">
        <v>4254</v>
      </c>
      <c r="B1005" s="165">
        <v>1053</v>
      </c>
      <c r="C1005" s="165" t="s">
        <v>4255</v>
      </c>
      <c r="D1005" s="165">
        <v>4</v>
      </c>
      <c r="E1005" s="165" t="s">
        <v>4261</v>
      </c>
      <c r="F1005" s="165" t="s">
        <v>4262</v>
      </c>
      <c r="G1005" s="165">
        <v>14175</v>
      </c>
      <c r="H1005" s="165"/>
      <c r="I1005" s="165"/>
      <c r="J1005" s="165"/>
      <c r="K1005" s="165">
        <v>14175</v>
      </c>
      <c r="L1005" s="165"/>
      <c r="M1005" s="165"/>
      <c r="N1005" s="165"/>
      <c r="O1005" s="165">
        <f t="shared" si="28"/>
        <v>0</v>
      </c>
      <c r="P1005" s="165" t="s">
        <v>4771</v>
      </c>
      <c r="Q1005" s="165" t="s">
        <v>4785</v>
      </c>
      <c r="R1005" s="3">
        <v>14175</v>
      </c>
      <c r="S1005" s="3">
        <v>14175</v>
      </c>
      <c r="T1005"/>
    </row>
    <row r="1006" spans="1:21">
      <c r="A1006" s="165" t="s">
        <v>4254</v>
      </c>
      <c r="B1006" s="165">
        <v>1054</v>
      </c>
      <c r="C1006" s="165" t="s">
        <v>4255</v>
      </c>
      <c r="D1006" s="165">
        <v>5</v>
      </c>
      <c r="E1006" s="165" t="s">
        <v>4263</v>
      </c>
      <c r="F1006" s="165" t="s">
        <v>4264</v>
      </c>
      <c r="G1006" s="165">
        <v>14175</v>
      </c>
      <c r="H1006" s="165"/>
      <c r="I1006" s="165"/>
      <c r="J1006" s="165"/>
      <c r="K1006" s="165">
        <v>14175</v>
      </c>
      <c r="L1006" s="165"/>
      <c r="M1006" s="165"/>
      <c r="N1006" s="165"/>
      <c r="O1006" s="165">
        <f t="shared" si="28"/>
        <v>0</v>
      </c>
      <c r="P1006" s="165" t="s">
        <v>4190</v>
      </c>
      <c r="Q1006" s="165" t="s">
        <v>4033</v>
      </c>
      <c r="R1006" s="3">
        <v>14175</v>
      </c>
      <c r="S1006" s="3">
        <v>14175</v>
      </c>
      <c r="T1006"/>
    </row>
    <row r="1007" spans="1:21">
      <c r="A1007" s="165" t="s">
        <v>4254</v>
      </c>
      <c r="B1007" s="165">
        <v>1055</v>
      </c>
      <c r="C1007" s="165" t="s">
        <v>4255</v>
      </c>
      <c r="D1007" s="165">
        <v>6</v>
      </c>
      <c r="E1007" s="165" t="s">
        <v>4265</v>
      </c>
      <c r="F1007" s="165" t="s">
        <v>4266</v>
      </c>
      <c r="G1007" s="165">
        <v>14175</v>
      </c>
      <c r="H1007" s="165"/>
      <c r="I1007" s="165"/>
      <c r="J1007" s="165"/>
      <c r="K1007" s="165"/>
      <c r="L1007" s="165">
        <v>14175</v>
      </c>
      <c r="M1007" s="165"/>
      <c r="N1007" s="165"/>
      <c r="O1007" s="165">
        <f>G1007+H1007+I1007-J1007-K1007-L1007</f>
        <v>0</v>
      </c>
      <c r="P1007" s="165" t="s">
        <v>4651</v>
      </c>
      <c r="Q1007" s="165" t="s">
        <v>4793</v>
      </c>
      <c r="R1007" s="3">
        <v>14175</v>
      </c>
      <c r="S1007" s="3">
        <v>14175</v>
      </c>
      <c r="T1007"/>
    </row>
    <row r="1008" spans="1:21">
      <c r="A1008" s="165" t="s">
        <v>4254</v>
      </c>
      <c r="B1008" s="165">
        <v>1056</v>
      </c>
      <c r="C1008" s="165" t="s">
        <v>4255</v>
      </c>
      <c r="D1008" s="165">
        <v>7</v>
      </c>
      <c r="E1008" s="165" t="s">
        <v>4267</v>
      </c>
      <c r="F1008" s="165" t="s">
        <v>4268</v>
      </c>
      <c r="G1008" s="165">
        <v>14175</v>
      </c>
      <c r="H1008" s="165"/>
      <c r="I1008" s="165"/>
      <c r="J1008" s="165"/>
      <c r="K1008" s="165"/>
      <c r="L1008" s="165">
        <v>14175</v>
      </c>
      <c r="M1008" s="165"/>
      <c r="N1008" s="165"/>
      <c r="O1008" s="165">
        <f>G1008+H1008+I1008-J1008-K1008-L1008</f>
        <v>0</v>
      </c>
      <c r="P1008" s="165" t="s">
        <v>4806</v>
      </c>
      <c r="Q1008" s="165" t="s">
        <v>4268</v>
      </c>
      <c r="R1008" s="3">
        <v>14175</v>
      </c>
      <c r="S1008" s="3">
        <v>14175</v>
      </c>
      <c r="T1008"/>
    </row>
    <row r="1009" spans="1:22">
      <c r="A1009" s="165" t="s">
        <v>4254</v>
      </c>
      <c r="B1009" s="165">
        <v>1057</v>
      </c>
      <c r="C1009" s="165" t="s">
        <v>4255</v>
      </c>
      <c r="D1009" s="165">
        <v>8</v>
      </c>
      <c r="E1009" s="165" t="s">
        <v>4269</v>
      </c>
      <c r="F1009" s="165" t="s">
        <v>4270</v>
      </c>
      <c r="G1009" s="165">
        <v>14175</v>
      </c>
      <c r="H1009" s="165"/>
      <c r="I1009" s="165"/>
      <c r="J1009" s="165"/>
      <c r="K1009" s="165"/>
      <c r="L1009" s="165">
        <v>14175</v>
      </c>
      <c r="M1009" s="165"/>
      <c r="N1009" s="165"/>
      <c r="O1009" s="165">
        <f>G1009+H1009+I1009-J1009-K1009-L1009</f>
        <v>0</v>
      </c>
      <c r="P1009" s="165" t="s">
        <v>5500</v>
      </c>
      <c r="Q1009" s="165" t="s">
        <v>4270</v>
      </c>
      <c r="R1009" s="3">
        <v>14175</v>
      </c>
      <c r="S1009" s="3">
        <v>14175</v>
      </c>
      <c r="T1009"/>
    </row>
    <row r="1010" spans="1:22">
      <c r="A1010" s="165" t="s">
        <v>4234</v>
      </c>
      <c r="B1010" s="165">
        <v>1058</v>
      </c>
      <c r="C1010" s="165" t="s">
        <v>4271</v>
      </c>
      <c r="D1010" s="165">
        <v>5</v>
      </c>
      <c r="E1010" s="165" t="s">
        <v>4272</v>
      </c>
      <c r="F1010" s="165" t="s">
        <v>4273</v>
      </c>
      <c r="G1010" s="165">
        <v>20475</v>
      </c>
      <c r="H1010" s="165"/>
      <c r="I1010" s="165"/>
      <c r="J1010" s="165">
        <v>20475</v>
      </c>
      <c r="K1010" s="165"/>
      <c r="L1010" s="165"/>
      <c r="M1010" s="165"/>
      <c r="N1010" s="165"/>
      <c r="O1010" s="165">
        <f t="shared" ref="O1010:O1017" si="29">G1010+H1010+I1010-J1010-K1010</f>
        <v>0</v>
      </c>
      <c r="P1010" s="165" t="s">
        <v>3963</v>
      </c>
      <c r="Q1010" s="165" t="s">
        <v>4274</v>
      </c>
      <c r="R1010" s="3">
        <v>20475</v>
      </c>
      <c r="S1010" s="3">
        <v>20475</v>
      </c>
      <c r="T1010"/>
    </row>
    <row r="1011" spans="1:22">
      <c r="A1011" s="165" t="s">
        <v>4234</v>
      </c>
      <c r="B1011" s="165">
        <v>1059</v>
      </c>
      <c r="C1011" s="165" t="s">
        <v>4271</v>
      </c>
      <c r="D1011" s="165">
        <v>6</v>
      </c>
      <c r="E1011" s="165" t="s">
        <v>4275</v>
      </c>
      <c r="F1011" s="165" t="s">
        <v>4276</v>
      </c>
      <c r="G1011" s="165">
        <v>20475</v>
      </c>
      <c r="H1011" s="165"/>
      <c r="I1011" s="165"/>
      <c r="J1011" s="165"/>
      <c r="K1011" s="165">
        <v>20475</v>
      </c>
      <c r="L1011" s="165"/>
      <c r="M1011" s="165"/>
      <c r="N1011" s="165"/>
      <c r="O1011" s="165">
        <f t="shared" si="29"/>
        <v>0</v>
      </c>
      <c r="P1011" s="165" t="s">
        <v>4766</v>
      </c>
      <c r="Q1011" s="165" t="s">
        <v>4595</v>
      </c>
      <c r="R1011" s="3">
        <v>20475</v>
      </c>
      <c r="S1011" s="3">
        <v>20475</v>
      </c>
      <c r="T1011"/>
      <c r="U1011" s="3"/>
    </row>
    <row r="1012" spans="1:22">
      <c r="A1012" s="165" t="s">
        <v>4234</v>
      </c>
      <c r="B1012" s="165">
        <v>1060</v>
      </c>
      <c r="C1012" s="165" t="s">
        <v>4271</v>
      </c>
      <c r="D1012" s="165">
        <v>7</v>
      </c>
      <c r="E1012" s="165" t="s">
        <v>4277</v>
      </c>
      <c r="F1012" s="165" t="s">
        <v>4278</v>
      </c>
      <c r="G1012" s="165">
        <v>20475</v>
      </c>
      <c r="H1012" s="165"/>
      <c r="I1012" s="165"/>
      <c r="J1012" s="165"/>
      <c r="K1012" s="165">
        <v>20475</v>
      </c>
      <c r="L1012" s="165"/>
      <c r="M1012" s="165"/>
      <c r="N1012" s="165"/>
      <c r="O1012" s="165">
        <f t="shared" si="29"/>
        <v>0</v>
      </c>
      <c r="P1012" s="165" t="s">
        <v>4767</v>
      </c>
      <c r="Q1012" s="165" t="s">
        <v>4782</v>
      </c>
      <c r="R1012" s="3">
        <v>20475</v>
      </c>
      <c r="S1012" s="3">
        <v>20475</v>
      </c>
      <c r="T1012"/>
      <c r="U1012" s="3"/>
    </row>
    <row r="1013" spans="1:22">
      <c r="A1013" s="165" t="s">
        <v>4234</v>
      </c>
      <c r="B1013" s="165">
        <v>1061</v>
      </c>
      <c r="C1013" s="165" t="s">
        <v>4271</v>
      </c>
      <c r="D1013" s="165">
        <v>8</v>
      </c>
      <c r="E1013" s="165" t="s">
        <v>4279</v>
      </c>
      <c r="F1013" s="165" t="s">
        <v>4280</v>
      </c>
      <c r="G1013" s="165">
        <v>20475</v>
      </c>
      <c r="H1013" s="165"/>
      <c r="I1013" s="165"/>
      <c r="J1013" s="165"/>
      <c r="K1013" s="165">
        <v>20475</v>
      </c>
      <c r="L1013" s="165"/>
      <c r="M1013" s="165"/>
      <c r="N1013" s="165"/>
      <c r="O1013" s="165">
        <f t="shared" si="29"/>
        <v>0</v>
      </c>
      <c r="P1013" s="165" t="s">
        <v>4772</v>
      </c>
      <c r="Q1013" s="165" t="s">
        <v>4088</v>
      </c>
      <c r="R1013" s="3">
        <v>20475</v>
      </c>
      <c r="S1013" s="3">
        <v>20475</v>
      </c>
      <c r="T1013"/>
      <c r="U1013" s="3"/>
    </row>
    <row r="1014" spans="1:22">
      <c r="A1014" s="165" t="s">
        <v>4281</v>
      </c>
      <c r="B1014" s="165">
        <v>1062</v>
      </c>
      <c r="C1014" s="165" t="s">
        <v>4282</v>
      </c>
      <c r="D1014" s="165">
        <v>1</v>
      </c>
      <c r="E1014" s="165" t="s">
        <v>4283</v>
      </c>
      <c r="F1014" s="165" t="s">
        <v>4121</v>
      </c>
      <c r="G1014" s="165">
        <v>14175</v>
      </c>
      <c r="H1014" s="165"/>
      <c r="I1014" s="165"/>
      <c r="J1014" s="165"/>
      <c r="K1014" s="165">
        <v>14175</v>
      </c>
      <c r="L1014" s="165"/>
      <c r="M1014" s="165"/>
      <c r="N1014" s="165"/>
      <c r="O1014" s="165">
        <f t="shared" si="29"/>
        <v>0</v>
      </c>
      <c r="P1014" s="165" t="s">
        <v>4433</v>
      </c>
      <c r="Q1014" s="165" t="s">
        <v>4779</v>
      </c>
      <c r="R1014" s="3">
        <v>14175</v>
      </c>
      <c r="S1014" s="3">
        <v>14175</v>
      </c>
      <c r="T1014"/>
      <c r="U1014" s="3"/>
    </row>
    <row r="1015" spans="1:22">
      <c r="A1015" s="165" t="s">
        <v>4281</v>
      </c>
      <c r="B1015" s="165">
        <v>1063</v>
      </c>
      <c r="C1015" s="165" t="s">
        <v>4282</v>
      </c>
      <c r="D1015" s="165">
        <v>2</v>
      </c>
      <c r="E1015" s="165" t="s">
        <v>4284</v>
      </c>
      <c r="F1015" s="165" t="s">
        <v>4123</v>
      </c>
      <c r="G1015" s="165">
        <v>14175</v>
      </c>
      <c r="H1015" s="165"/>
      <c r="I1015" s="165"/>
      <c r="J1015" s="165"/>
      <c r="K1015" s="165">
        <v>14175</v>
      </c>
      <c r="L1015" s="165"/>
      <c r="M1015" s="165"/>
      <c r="N1015" s="165"/>
      <c r="O1015" s="165">
        <f t="shared" si="29"/>
        <v>0</v>
      </c>
      <c r="P1015" s="165" t="s">
        <v>4588</v>
      </c>
      <c r="Q1015" s="165" t="s">
        <v>4781</v>
      </c>
      <c r="R1015" s="3">
        <v>14175</v>
      </c>
      <c r="S1015" s="3">
        <v>14175</v>
      </c>
      <c r="T1015"/>
      <c r="U1015" s="3"/>
    </row>
    <row r="1016" spans="1:22">
      <c r="A1016" s="165" t="s">
        <v>4281</v>
      </c>
      <c r="B1016" s="165">
        <v>1064</v>
      </c>
      <c r="C1016" s="165" t="s">
        <v>4282</v>
      </c>
      <c r="D1016" s="165">
        <v>3</v>
      </c>
      <c r="E1016" s="165" t="s">
        <v>4285</v>
      </c>
      <c r="F1016" s="165" t="s">
        <v>4125</v>
      </c>
      <c r="G1016" s="165">
        <v>14175</v>
      </c>
      <c r="H1016" s="165"/>
      <c r="I1016" s="165"/>
      <c r="J1016" s="165"/>
      <c r="K1016" s="165">
        <v>14175</v>
      </c>
      <c r="L1016" s="165"/>
      <c r="M1016" s="165"/>
      <c r="N1016" s="165"/>
      <c r="O1016" s="165">
        <f t="shared" si="29"/>
        <v>0</v>
      </c>
      <c r="P1016" s="165" t="s">
        <v>4770</v>
      </c>
      <c r="Q1016" s="165" t="s">
        <v>4784</v>
      </c>
      <c r="R1016" s="3">
        <v>14175</v>
      </c>
      <c r="S1016" s="3">
        <v>14175</v>
      </c>
      <c r="T1016"/>
      <c r="U1016" s="3"/>
    </row>
    <row r="1017" spans="1:22">
      <c r="A1017" s="165" t="s">
        <v>4281</v>
      </c>
      <c r="B1017" s="165">
        <v>1065</v>
      </c>
      <c r="C1017" s="165" t="s">
        <v>4282</v>
      </c>
      <c r="D1017" s="165">
        <v>4</v>
      </c>
      <c r="E1017" s="165" t="s">
        <v>4286</v>
      </c>
      <c r="F1017" s="165" t="s">
        <v>4127</v>
      </c>
      <c r="G1017" s="165">
        <v>14175</v>
      </c>
      <c r="H1017" s="165"/>
      <c r="I1017" s="165"/>
      <c r="J1017" s="165"/>
      <c r="K1017" s="165">
        <v>14175</v>
      </c>
      <c r="L1017" s="165"/>
      <c r="M1017" s="165"/>
      <c r="N1017" s="165"/>
      <c r="O1017" s="165">
        <f t="shared" si="29"/>
        <v>0</v>
      </c>
      <c r="P1017" s="165" t="s">
        <v>4777</v>
      </c>
      <c r="Q1017" s="165" t="s">
        <v>4127</v>
      </c>
      <c r="R1017" s="3">
        <v>14175</v>
      </c>
      <c r="S1017" s="3">
        <v>14175</v>
      </c>
      <c r="T1017"/>
      <c r="U1017" s="3"/>
    </row>
    <row r="1018" spans="1:22">
      <c r="A1018" s="165" t="s">
        <v>4281</v>
      </c>
      <c r="B1018" s="165">
        <v>1066</v>
      </c>
      <c r="C1018" s="165" t="s">
        <v>4282</v>
      </c>
      <c r="D1018" s="165">
        <v>5</v>
      </c>
      <c r="E1018" s="165" t="s">
        <v>4287</v>
      </c>
      <c r="F1018" s="165" t="s">
        <v>4129</v>
      </c>
      <c r="G1018" s="165">
        <v>14175</v>
      </c>
      <c r="H1018" s="165"/>
      <c r="I1018" s="165"/>
      <c r="J1018" s="165"/>
      <c r="K1018" s="165"/>
      <c r="L1018" s="165">
        <v>14175</v>
      </c>
      <c r="M1018" s="165"/>
      <c r="N1018" s="165"/>
      <c r="O1018" s="165">
        <f>G1018+H1018+I1018-J1018-K1018-L1018</f>
        <v>0</v>
      </c>
      <c r="P1018" s="165" t="s">
        <v>4791</v>
      </c>
      <c r="Q1018" s="165" t="s">
        <v>5317</v>
      </c>
      <c r="R1018" s="3">
        <v>14175</v>
      </c>
      <c r="S1018" s="3">
        <v>14175</v>
      </c>
      <c r="T1018"/>
      <c r="U1018" s="3"/>
    </row>
    <row r="1019" spans="1:22">
      <c r="A1019" s="165" t="s">
        <v>4281</v>
      </c>
      <c r="B1019" s="165">
        <v>1067</v>
      </c>
      <c r="C1019" s="165" t="s">
        <v>4282</v>
      </c>
      <c r="D1019" s="165">
        <v>6</v>
      </c>
      <c r="E1019" s="165" t="s">
        <v>4288</v>
      </c>
      <c r="F1019" s="165" t="s">
        <v>4289</v>
      </c>
      <c r="G1019" s="165">
        <v>14175</v>
      </c>
      <c r="H1019" s="165"/>
      <c r="I1019" s="165"/>
      <c r="J1019" s="165"/>
      <c r="K1019" s="165"/>
      <c r="L1019" s="165">
        <v>14175</v>
      </c>
      <c r="M1019" s="165"/>
      <c r="N1019" s="165"/>
      <c r="O1019" s="165">
        <f>G1019+H1019+I1019-J1019-K1019-L1019</f>
        <v>0</v>
      </c>
      <c r="P1019" s="165" t="s">
        <v>4802</v>
      </c>
      <c r="Q1019" s="165" t="s">
        <v>4804</v>
      </c>
      <c r="R1019" s="3">
        <v>14175</v>
      </c>
      <c r="S1019" s="3">
        <v>14175</v>
      </c>
      <c r="T1019"/>
      <c r="U1019" s="3"/>
    </row>
    <row r="1020" spans="1:22">
      <c r="A1020" s="165" t="s">
        <v>4281</v>
      </c>
      <c r="B1020" s="165">
        <v>1068</v>
      </c>
      <c r="C1020" s="165" t="s">
        <v>4282</v>
      </c>
      <c r="D1020" s="165">
        <v>7</v>
      </c>
      <c r="E1020" s="165" t="s">
        <v>4290</v>
      </c>
      <c r="F1020" s="165" t="s">
        <v>4291</v>
      </c>
      <c r="G1020" s="165">
        <v>14175</v>
      </c>
      <c r="H1020" s="165"/>
      <c r="I1020" s="165"/>
      <c r="J1020" s="165"/>
      <c r="K1020" s="165"/>
      <c r="L1020" s="165">
        <v>14175</v>
      </c>
      <c r="M1020" s="165"/>
      <c r="N1020" s="165"/>
      <c r="O1020" s="165">
        <f>G1020+H1020+I1020-J1020-K1020-L1020</f>
        <v>0</v>
      </c>
      <c r="P1020" s="165" t="s">
        <v>5488</v>
      </c>
      <c r="Q1020" s="165" t="s">
        <v>4291</v>
      </c>
      <c r="R1020" s="3">
        <v>14175</v>
      </c>
      <c r="S1020" s="3">
        <v>14175</v>
      </c>
      <c r="T1020"/>
      <c r="U1020" s="3"/>
    </row>
    <row r="1021" spans="1:22">
      <c r="A1021" s="165" t="s">
        <v>4281</v>
      </c>
      <c r="B1021" s="165">
        <v>1069</v>
      </c>
      <c r="C1021" s="165" t="s">
        <v>4282</v>
      </c>
      <c r="D1021" s="165">
        <v>8</v>
      </c>
      <c r="E1021" s="165" t="s">
        <v>4292</v>
      </c>
      <c r="F1021" s="165" t="s">
        <v>4293</v>
      </c>
      <c r="G1021" s="165">
        <v>14175</v>
      </c>
      <c r="H1021" s="165"/>
      <c r="I1021" s="165"/>
      <c r="J1021" s="165"/>
      <c r="K1021" s="165"/>
      <c r="L1021" s="165">
        <v>14175</v>
      </c>
      <c r="M1021" s="165"/>
      <c r="N1021" s="165"/>
      <c r="O1021" s="165">
        <f>G1021+H1021+I1021-J1021-K1021-L1021</f>
        <v>0</v>
      </c>
      <c r="P1021" s="165" t="s">
        <v>5263</v>
      </c>
      <c r="Q1021" s="165" t="s">
        <v>4293</v>
      </c>
      <c r="R1021" s="3">
        <v>14175</v>
      </c>
      <c r="S1021" s="3">
        <v>14175</v>
      </c>
      <c r="T1021"/>
      <c r="U1021" s="3"/>
    </row>
    <row r="1022" spans="1:22">
      <c r="A1022" s="165" t="s">
        <v>4274</v>
      </c>
      <c r="B1022" s="165">
        <v>1070</v>
      </c>
      <c r="C1022" s="165" t="s">
        <v>1232</v>
      </c>
      <c r="D1022" s="165">
        <v>7</v>
      </c>
      <c r="E1022" s="165" t="s">
        <v>4294</v>
      </c>
      <c r="F1022" s="405" t="s">
        <v>4472</v>
      </c>
      <c r="G1022" s="165">
        <v>16380</v>
      </c>
      <c r="H1022" s="165"/>
      <c r="I1022" s="165"/>
      <c r="J1022" s="165"/>
      <c r="K1022" s="165">
        <v>16380</v>
      </c>
      <c r="L1022" s="165"/>
      <c r="M1022" s="165"/>
      <c r="N1022" s="165"/>
      <c r="O1022" s="165">
        <f>G1022+H1022+I1022-J1022-K1022</f>
        <v>0</v>
      </c>
      <c r="P1022" s="165" t="s">
        <v>4236</v>
      </c>
      <c r="Q1022" s="165" t="s">
        <v>4752</v>
      </c>
      <c r="R1022" s="3">
        <v>16380</v>
      </c>
      <c r="S1022" s="3">
        <v>16380</v>
      </c>
      <c r="T1022"/>
      <c r="U1022" s="3"/>
    </row>
    <row r="1023" spans="1:22" s="163" customFormat="1">
      <c r="A1023" s="281" t="s">
        <v>3973</v>
      </c>
      <c r="B1023" s="281"/>
      <c r="C1023" s="281" t="s">
        <v>4201</v>
      </c>
      <c r="D1023" s="281"/>
      <c r="E1023" s="281" t="s">
        <v>1283</v>
      </c>
      <c r="F1023" s="281" t="s">
        <v>3973</v>
      </c>
      <c r="G1023" s="284"/>
      <c r="H1023" s="284"/>
      <c r="I1023" s="284"/>
      <c r="J1023" s="281"/>
      <c r="K1023" s="281"/>
      <c r="L1023" s="281"/>
      <c r="M1023" s="281"/>
      <c r="N1023" s="281"/>
      <c r="O1023" s="281">
        <f>G1023+H1023+I1023-J1023-K1023</f>
        <v>0</v>
      </c>
      <c r="P1023" s="281" t="s">
        <v>3973</v>
      </c>
      <c r="Q1023" s="281" t="s">
        <v>3973</v>
      </c>
      <c r="R1023" s="281">
        <v>52490</v>
      </c>
      <c r="S1023" s="281">
        <v>52490</v>
      </c>
      <c r="T1023" s="406">
        <v>52490</v>
      </c>
      <c r="U1023" s="556">
        <v>10</v>
      </c>
      <c r="V1023" s="163" t="s">
        <v>4295</v>
      </c>
    </row>
    <row r="1024" spans="1:22">
      <c r="A1024" s="165"/>
      <c r="B1024" s="94"/>
      <c r="C1024" s="165"/>
      <c r="D1024" s="165"/>
      <c r="E1024" s="165"/>
      <c r="F1024" s="165"/>
      <c r="G1024" s="165"/>
      <c r="H1024" s="165"/>
      <c r="I1024" s="165"/>
      <c r="J1024" s="165"/>
      <c r="K1024" s="165"/>
      <c r="L1024" s="165"/>
      <c r="M1024" s="165"/>
      <c r="N1024" s="165"/>
      <c r="O1024" s="165"/>
      <c r="P1024" s="165"/>
      <c r="T1024" s="3" t="s">
        <v>4462</v>
      </c>
    </row>
    <row r="1025" spans="1:22">
      <c r="A1025" s="165"/>
      <c r="B1025" s="94"/>
      <c r="C1025" s="165"/>
      <c r="D1025" s="165"/>
      <c r="E1025" s="165"/>
      <c r="F1025" s="165"/>
      <c r="G1025" s="165"/>
      <c r="H1025" s="165"/>
      <c r="I1025" s="165"/>
      <c r="J1025" s="165"/>
      <c r="K1025" s="165"/>
      <c r="L1025" s="165"/>
      <c r="M1025" s="165"/>
      <c r="N1025" s="165"/>
      <c r="O1025" s="165"/>
      <c r="P1025" s="165"/>
    </row>
    <row r="1026" spans="1:22">
      <c r="A1026" s="165"/>
      <c r="B1026" s="94"/>
      <c r="C1026" s="165"/>
      <c r="D1026" s="165"/>
      <c r="E1026" s="165"/>
      <c r="F1026" s="165"/>
      <c r="G1026" s="165"/>
      <c r="H1026" s="165"/>
      <c r="I1026" s="165"/>
      <c r="J1026" s="165"/>
      <c r="K1026" s="165"/>
      <c r="L1026" s="165"/>
      <c r="M1026" s="165"/>
      <c r="N1026" s="165"/>
      <c r="O1026" s="165"/>
      <c r="P1026" s="165"/>
    </row>
    <row r="1027" spans="1:22">
      <c r="A1027" s="165"/>
      <c r="B1027" s="94"/>
      <c r="C1027" s="165"/>
      <c r="D1027" s="165"/>
      <c r="E1027" s="165"/>
      <c r="F1027" s="165"/>
      <c r="G1027" s="165"/>
      <c r="H1027" s="165"/>
      <c r="I1027" s="165"/>
      <c r="J1027" s="165"/>
      <c r="K1027" s="165"/>
      <c r="L1027" s="165"/>
      <c r="M1027" s="165"/>
      <c r="N1027" s="165"/>
      <c r="O1027" s="165"/>
      <c r="P1027" s="165"/>
    </row>
    <row r="1028" spans="1:22">
      <c r="A1028" s="165"/>
      <c r="B1028" s="165"/>
      <c r="C1028" s="165"/>
      <c r="D1028" s="165"/>
      <c r="E1028" s="165"/>
      <c r="F1028" s="165"/>
      <c r="G1028" s="165"/>
      <c r="H1028" s="165"/>
      <c r="I1028" s="165"/>
      <c r="J1028" s="165"/>
      <c r="K1028" s="165"/>
      <c r="L1028" s="165"/>
      <c r="M1028" s="165"/>
      <c r="N1028" s="165"/>
      <c r="O1028" s="165"/>
      <c r="P1028" s="165"/>
    </row>
    <row r="1029" spans="1:22" s="176" customFormat="1" ht="20.25" customHeight="1">
      <c r="A1029" s="203" t="s">
        <v>4501</v>
      </c>
      <c r="B1029" s="200"/>
      <c r="C1029" s="201"/>
      <c r="D1029" s="202"/>
      <c r="E1029" s="201"/>
      <c r="F1029" s="185" t="s">
        <v>2378</v>
      </c>
      <c r="G1029" s="185">
        <f t="shared" ref="G1029:O1029" si="30">SUM(G1034:G1157)</f>
        <v>1086120</v>
      </c>
      <c r="H1029" s="185">
        <f t="shared" si="30"/>
        <v>463365</v>
      </c>
      <c r="I1029" s="185">
        <f t="shared" si="30"/>
        <v>110565</v>
      </c>
      <c r="J1029" s="185">
        <f t="shared" si="30"/>
        <v>547470</v>
      </c>
      <c r="K1029" s="185">
        <f t="shared" si="30"/>
        <v>767655</v>
      </c>
      <c r="L1029" s="185">
        <f t="shared" si="30"/>
        <v>344925</v>
      </c>
      <c r="M1029" s="185">
        <f t="shared" si="30"/>
        <v>0</v>
      </c>
      <c r="N1029" s="185">
        <f t="shared" si="30"/>
        <v>0</v>
      </c>
      <c r="O1029" s="185">
        <f t="shared" si="30"/>
        <v>0</v>
      </c>
      <c r="P1029" s="185"/>
      <c r="Q1029" s="185"/>
      <c r="R1029" s="185">
        <f>SUM(R1034:R1157)</f>
        <v>2171700</v>
      </c>
      <c r="S1029" s="185">
        <f>SUM(S1034:S1157)</f>
        <v>2171510</v>
      </c>
      <c r="T1029" s="185">
        <f>SUM(T1034:T1157)</f>
        <v>511460</v>
      </c>
      <c r="U1029" s="185">
        <f>SUM(U1034:U1157)</f>
        <v>190</v>
      </c>
    </row>
    <row r="1030" spans="1:22" s="270" customFormat="1">
      <c r="A1030" s="269" t="s">
        <v>1281</v>
      </c>
      <c r="B1030" s="269" t="s">
        <v>2435</v>
      </c>
      <c r="C1030" s="269" t="s">
        <v>1385</v>
      </c>
      <c r="D1030" s="269" t="s">
        <v>1275</v>
      </c>
      <c r="E1030" s="269" t="s">
        <v>265</v>
      </c>
      <c r="F1030" s="269" t="s">
        <v>1280</v>
      </c>
      <c r="G1030" s="269" t="s">
        <v>4502</v>
      </c>
      <c r="H1030" s="269" t="s">
        <v>4468</v>
      </c>
      <c r="I1030" s="269" t="s">
        <v>4447</v>
      </c>
      <c r="J1030" s="269" t="s">
        <v>4470</v>
      </c>
      <c r="K1030" s="269" t="s">
        <v>9629</v>
      </c>
      <c r="L1030" s="269" t="s">
        <v>9630</v>
      </c>
      <c r="M1030" s="269" t="s">
        <v>4841</v>
      </c>
      <c r="N1030" s="269" t="s">
        <v>3728</v>
      </c>
      <c r="O1030" s="269" t="s">
        <v>2438</v>
      </c>
      <c r="P1030" s="269" t="s">
        <v>1282</v>
      </c>
      <c r="Q1030" s="269" t="s">
        <v>1386</v>
      </c>
      <c r="R1030" s="269" t="s">
        <v>576</v>
      </c>
      <c r="S1030" s="269" t="s">
        <v>3593</v>
      </c>
      <c r="T1030" s="269" t="s">
        <v>1283</v>
      </c>
      <c r="U1030" s="269" t="s">
        <v>577</v>
      </c>
    </row>
    <row r="1031" spans="1:22" s="163" customFormat="1">
      <c r="A1031" s="281" t="s">
        <v>4752</v>
      </c>
      <c r="B1031" s="281"/>
      <c r="C1031" s="281" t="s">
        <v>3825</v>
      </c>
      <c r="D1031" s="281">
        <v>4</v>
      </c>
      <c r="E1031" s="281" t="s">
        <v>1283</v>
      </c>
      <c r="F1031" s="281" t="s">
        <v>4752</v>
      </c>
      <c r="G1031" s="284"/>
      <c r="H1031" s="284"/>
      <c r="I1031" s="284"/>
      <c r="J1031" s="281"/>
      <c r="K1031" s="281"/>
      <c r="L1031" s="281"/>
      <c r="M1031" s="281"/>
      <c r="N1031" s="281"/>
      <c r="O1031" s="281">
        <f>G1031+H1031+I1031-J1031-K1031-L1031</f>
        <v>0</v>
      </c>
      <c r="P1031" s="281" t="s">
        <v>4752</v>
      </c>
      <c r="Q1031" s="281" t="s">
        <v>4752</v>
      </c>
      <c r="R1031" s="281">
        <v>14175</v>
      </c>
      <c r="S1031" s="281">
        <v>14145</v>
      </c>
      <c r="T1031" s="406">
        <v>14145</v>
      </c>
      <c r="U1031" s="556">
        <v>30</v>
      </c>
    </row>
    <row r="1032" spans="1:22" s="163" customFormat="1">
      <c r="A1032" s="281" t="s">
        <v>4753</v>
      </c>
      <c r="B1032" s="281"/>
      <c r="C1032" s="281" t="s">
        <v>4000</v>
      </c>
      <c r="D1032" s="281"/>
      <c r="E1032" s="281" t="s">
        <v>1283</v>
      </c>
      <c r="F1032" s="281" t="s">
        <v>4753</v>
      </c>
      <c r="G1032" s="284"/>
      <c r="H1032" s="284"/>
      <c r="I1032" s="284"/>
      <c r="J1032" s="281"/>
      <c r="K1032" s="281"/>
      <c r="L1032" s="281"/>
      <c r="M1032" s="281"/>
      <c r="N1032" s="281"/>
      <c r="O1032" s="281">
        <f t="shared" ref="O1032:O1095" si="31">G1032+H1032+I1032-J1032-K1032-L1032</f>
        <v>0</v>
      </c>
      <c r="P1032" s="281" t="s">
        <v>4753</v>
      </c>
      <c r="Q1032" s="281" t="s">
        <v>4753</v>
      </c>
      <c r="R1032" s="281">
        <v>52500</v>
      </c>
      <c r="S1032" s="281">
        <v>52490</v>
      </c>
      <c r="T1032" s="406">
        <v>52490</v>
      </c>
      <c r="U1032" s="556">
        <v>10</v>
      </c>
      <c r="V1032" s="163" t="s">
        <v>4754</v>
      </c>
    </row>
    <row r="1033" spans="1:22" s="163" customFormat="1">
      <c r="A1033" s="281" t="s">
        <v>4433</v>
      </c>
      <c r="B1033" s="281"/>
      <c r="C1033" s="281" t="s">
        <v>4204</v>
      </c>
      <c r="D1033" s="281"/>
      <c r="E1033" s="281" t="s">
        <v>1283</v>
      </c>
      <c r="F1033" s="281" t="s">
        <v>4433</v>
      </c>
      <c r="G1033" s="284"/>
      <c r="H1033" s="284"/>
      <c r="I1033" s="284"/>
      <c r="J1033" s="281"/>
      <c r="K1033" s="281"/>
      <c r="L1033" s="281"/>
      <c r="M1033" s="281"/>
      <c r="N1033" s="281"/>
      <c r="O1033" s="281">
        <f t="shared" si="31"/>
        <v>0</v>
      </c>
      <c r="P1033" s="281" t="s">
        <v>4433</v>
      </c>
      <c r="Q1033" s="281" t="s">
        <v>4433</v>
      </c>
      <c r="R1033" s="281">
        <v>42000</v>
      </c>
      <c r="S1033" s="281">
        <v>42000</v>
      </c>
      <c r="T1033" s="406">
        <v>42000</v>
      </c>
      <c r="U1033" s="281"/>
      <c r="V1033" s="163" t="s">
        <v>4755</v>
      </c>
    </row>
    <row r="1034" spans="1:22">
      <c r="A1034" s="165" t="s">
        <v>4580</v>
      </c>
      <c r="B1034" s="94">
        <v>1071</v>
      </c>
      <c r="C1034" s="165" t="s">
        <v>3954</v>
      </c>
      <c r="D1034" s="165">
        <v>1</v>
      </c>
      <c r="E1034" s="165" t="s">
        <v>4578</v>
      </c>
      <c r="F1034" s="165" t="s">
        <v>4579</v>
      </c>
      <c r="G1034" s="165"/>
      <c r="H1034" s="165">
        <v>17325</v>
      </c>
      <c r="I1034" s="165"/>
      <c r="J1034" s="165">
        <v>17325</v>
      </c>
      <c r="K1034" s="165"/>
      <c r="L1034" s="165"/>
      <c r="M1034" s="165"/>
      <c r="N1034" s="165"/>
      <c r="O1034" s="337">
        <f t="shared" si="31"/>
        <v>0</v>
      </c>
      <c r="P1034" s="165" t="s">
        <v>4434</v>
      </c>
      <c r="Q1034" s="165" t="s">
        <v>4435</v>
      </c>
      <c r="R1034" s="3">
        <f t="shared" ref="R1034:R1041" si="32">H1034</f>
        <v>17325</v>
      </c>
      <c r="S1034" s="337">
        <v>17325</v>
      </c>
      <c r="T1034"/>
      <c r="U1034" s="3"/>
    </row>
    <row r="1035" spans="1:22">
      <c r="A1035" s="165" t="s">
        <v>4580</v>
      </c>
      <c r="B1035" s="94">
        <v>1072</v>
      </c>
      <c r="C1035" s="165" t="s">
        <v>3954</v>
      </c>
      <c r="D1035" s="165">
        <v>2</v>
      </c>
      <c r="E1035" s="165" t="s">
        <v>4581</v>
      </c>
      <c r="F1035" s="165" t="s">
        <v>4588</v>
      </c>
      <c r="G1035" s="165"/>
      <c r="H1035" s="165">
        <v>17325</v>
      </c>
      <c r="I1035" s="165"/>
      <c r="J1035" s="165">
        <v>17325</v>
      </c>
      <c r="K1035" s="165"/>
      <c r="L1035" s="165"/>
      <c r="M1035" s="165"/>
      <c r="N1035" s="165"/>
      <c r="O1035" s="337">
        <f t="shared" si="31"/>
        <v>0</v>
      </c>
      <c r="P1035" s="165" t="s">
        <v>4588</v>
      </c>
      <c r="Q1035" s="165" t="s">
        <v>4781</v>
      </c>
      <c r="R1035" s="3">
        <f t="shared" si="32"/>
        <v>17325</v>
      </c>
      <c r="S1035" s="337">
        <v>17325</v>
      </c>
      <c r="T1035"/>
      <c r="U1035" s="3"/>
    </row>
    <row r="1036" spans="1:22">
      <c r="A1036" s="165" t="s">
        <v>4580</v>
      </c>
      <c r="B1036" s="94">
        <v>1073</v>
      </c>
      <c r="C1036" s="165" t="s">
        <v>3954</v>
      </c>
      <c r="D1036" s="165">
        <v>3</v>
      </c>
      <c r="E1036" s="165" t="s">
        <v>4582</v>
      </c>
      <c r="F1036" s="165" t="s">
        <v>4589</v>
      </c>
      <c r="G1036" s="165"/>
      <c r="H1036" s="165">
        <v>17325</v>
      </c>
      <c r="I1036" s="165"/>
      <c r="J1036" s="165">
        <v>17325</v>
      </c>
      <c r="K1036" s="165"/>
      <c r="L1036" s="165"/>
      <c r="M1036" s="165"/>
      <c r="N1036" s="165"/>
      <c r="O1036" s="337">
        <f t="shared" si="31"/>
        <v>0</v>
      </c>
      <c r="P1036" s="165" t="s">
        <v>4771</v>
      </c>
      <c r="Q1036" s="165" t="s">
        <v>4785</v>
      </c>
      <c r="R1036" s="3">
        <f t="shared" si="32"/>
        <v>17325</v>
      </c>
      <c r="S1036" s="337">
        <v>17325</v>
      </c>
      <c r="T1036"/>
      <c r="U1036" s="3"/>
    </row>
    <row r="1037" spans="1:22">
      <c r="A1037" s="165" t="s">
        <v>4580</v>
      </c>
      <c r="B1037" s="94">
        <v>1074</v>
      </c>
      <c r="C1037" s="165" t="s">
        <v>3954</v>
      </c>
      <c r="D1037" s="165">
        <v>4</v>
      </c>
      <c r="E1037" s="165" t="s">
        <v>4583</v>
      </c>
      <c r="F1037" s="165" t="s">
        <v>4590</v>
      </c>
      <c r="G1037" s="165"/>
      <c r="H1037" s="165">
        <v>17325</v>
      </c>
      <c r="I1037" s="165"/>
      <c r="J1037" s="165">
        <v>17325</v>
      </c>
      <c r="K1037" s="165"/>
      <c r="L1037" s="165"/>
      <c r="M1037" s="165"/>
      <c r="N1037" s="165"/>
      <c r="O1037" s="337">
        <f t="shared" si="31"/>
        <v>0</v>
      </c>
      <c r="P1037" s="165" t="s">
        <v>4190</v>
      </c>
      <c r="Q1037" s="165" t="s">
        <v>4033</v>
      </c>
      <c r="R1037" s="3">
        <f t="shared" si="32"/>
        <v>17325</v>
      </c>
      <c r="S1037" s="337">
        <v>17325</v>
      </c>
      <c r="T1037"/>
      <c r="U1037" s="3"/>
    </row>
    <row r="1038" spans="1:22">
      <c r="A1038" s="165" t="s">
        <v>4580</v>
      </c>
      <c r="B1038" s="94">
        <v>1075</v>
      </c>
      <c r="C1038" s="165" t="s">
        <v>3954</v>
      </c>
      <c r="D1038" s="165">
        <v>5</v>
      </c>
      <c r="E1038" s="165" t="s">
        <v>4584</v>
      </c>
      <c r="F1038" s="165" t="s">
        <v>4591</v>
      </c>
      <c r="G1038" s="165"/>
      <c r="H1038" s="165">
        <v>17325</v>
      </c>
      <c r="I1038" s="165"/>
      <c r="J1038" s="165"/>
      <c r="K1038" s="165">
        <v>17325</v>
      </c>
      <c r="L1038" s="165"/>
      <c r="M1038" s="165"/>
      <c r="N1038" s="165"/>
      <c r="O1038" s="337">
        <f t="shared" si="31"/>
        <v>0</v>
      </c>
      <c r="P1038" s="165" t="s">
        <v>4651</v>
      </c>
      <c r="Q1038" s="165" t="s">
        <v>4793</v>
      </c>
      <c r="R1038" s="3">
        <f t="shared" si="32"/>
        <v>17325</v>
      </c>
      <c r="S1038" s="337">
        <v>17325</v>
      </c>
      <c r="T1038"/>
      <c r="U1038" s="3"/>
    </row>
    <row r="1039" spans="1:22">
      <c r="A1039" s="165" t="s">
        <v>4580</v>
      </c>
      <c r="B1039" s="94">
        <v>1076</v>
      </c>
      <c r="C1039" s="165" t="s">
        <v>3954</v>
      </c>
      <c r="D1039" s="165">
        <v>6</v>
      </c>
      <c r="E1039" s="165" t="s">
        <v>4585</v>
      </c>
      <c r="F1039" s="165" t="s">
        <v>4592</v>
      </c>
      <c r="G1039" s="165"/>
      <c r="H1039" s="165">
        <v>17325</v>
      </c>
      <c r="I1039" s="165"/>
      <c r="J1039" s="165"/>
      <c r="K1039" s="165">
        <v>17325</v>
      </c>
      <c r="L1039" s="165"/>
      <c r="M1039" s="165"/>
      <c r="N1039" s="165"/>
      <c r="O1039" s="337">
        <f t="shared" si="31"/>
        <v>0</v>
      </c>
      <c r="P1039" s="165" t="s">
        <v>4806</v>
      </c>
      <c r="Q1039" s="165" t="s">
        <v>5436</v>
      </c>
      <c r="R1039" s="3">
        <f t="shared" si="32"/>
        <v>17325</v>
      </c>
      <c r="S1039" s="337">
        <v>17325</v>
      </c>
      <c r="T1039"/>
      <c r="U1039" s="3"/>
    </row>
    <row r="1040" spans="1:22">
      <c r="A1040" s="165" t="s">
        <v>4580</v>
      </c>
      <c r="B1040" s="94">
        <v>1077</v>
      </c>
      <c r="C1040" s="165" t="s">
        <v>3954</v>
      </c>
      <c r="D1040" s="165">
        <v>7</v>
      </c>
      <c r="E1040" s="165" t="s">
        <v>4586</v>
      </c>
      <c r="F1040" s="165" t="s">
        <v>4593</v>
      </c>
      <c r="G1040" s="165"/>
      <c r="H1040" s="165">
        <v>17325</v>
      </c>
      <c r="I1040" s="165"/>
      <c r="J1040" s="165"/>
      <c r="K1040" s="165">
        <v>17325</v>
      </c>
      <c r="L1040" s="165"/>
      <c r="M1040" s="165"/>
      <c r="N1040" s="165"/>
      <c r="O1040" s="337">
        <f t="shared" si="31"/>
        <v>0</v>
      </c>
      <c r="P1040" s="165" t="s">
        <v>5500</v>
      </c>
      <c r="Q1040" s="165" t="s">
        <v>5501</v>
      </c>
      <c r="R1040" s="3">
        <f t="shared" si="32"/>
        <v>17325</v>
      </c>
      <c r="S1040" s="337">
        <v>17325</v>
      </c>
      <c r="T1040"/>
      <c r="U1040" s="3"/>
    </row>
    <row r="1041" spans="1:22">
      <c r="A1041" s="165" t="s">
        <v>4580</v>
      </c>
      <c r="B1041" s="94">
        <v>1078</v>
      </c>
      <c r="C1041" s="165" t="s">
        <v>3954</v>
      </c>
      <c r="D1041" s="165">
        <v>8</v>
      </c>
      <c r="E1041" s="165" t="s">
        <v>4587</v>
      </c>
      <c r="F1041" s="165" t="s">
        <v>4594</v>
      </c>
      <c r="G1041" s="165"/>
      <c r="H1041" s="165">
        <v>17325</v>
      </c>
      <c r="I1041" s="165"/>
      <c r="J1041" s="165"/>
      <c r="K1041" s="165">
        <v>17325</v>
      </c>
      <c r="L1041" s="165"/>
      <c r="M1041" s="165"/>
      <c r="N1041" s="165"/>
      <c r="O1041" s="337">
        <f t="shared" si="31"/>
        <v>0</v>
      </c>
      <c r="P1041" s="165" t="s">
        <v>5551</v>
      </c>
      <c r="Q1041" s="165" t="s">
        <v>4594</v>
      </c>
      <c r="R1041" s="3">
        <f t="shared" si="32"/>
        <v>17325</v>
      </c>
      <c r="S1041" s="337">
        <v>17325</v>
      </c>
      <c r="T1041"/>
      <c r="U1041" s="3"/>
    </row>
    <row r="1042" spans="1:22" s="163" customFormat="1">
      <c r="A1042" s="281" t="s">
        <v>4258</v>
      </c>
      <c r="B1042" s="281"/>
      <c r="C1042" s="281" t="s">
        <v>1532</v>
      </c>
      <c r="D1042" s="281">
        <v>3</v>
      </c>
      <c r="E1042" s="281" t="s">
        <v>1283</v>
      </c>
      <c r="F1042" s="281" t="s">
        <v>4258</v>
      </c>
      <c r="G1042" s="284"/>
      <c r="H1042" s="284"/>
      <c r="I1042" s="284"/>
      <c r="J1042" s="281"/>
      <c r="K1042" s="281"/>
      <c r="L1042" s="281"/>
      <c r="M1042" s="281"/>
      <c r="N1042" s="281"/>
      <c r="O1042" s="664">
        <f t="shared" si="31"/>
        <v>0</v>
      </c>
      <c r="P1042" s="281" t="s">
        <v>4258</v>
      </c>
      <c r="Q1042" s="281" t="s">
        <v>4258</v>
      </c>
      <c r="R1042" s="281">
        <v>13500</v>
      </c>
      <c r="S1042" s="281">
        <v>13485</v>
      </c>
      <c r="T1042" s="406">
        <v>13485</v>
      </c>
      <c r="U1042" s="556">
        <v>15</v>
      </c>
    </row>
    <row r="1043" spans="1:22">
      <c r="A1043" s="165" t="s">
        <v>4595</v>
      </c>
      <c r="B1043" s="165">
        <v>1079</v>
      </c>
      <c r="C1043" s="165" t="s">
        <v>1232</v>
      </c>
      <c r="D1043" s="165">
        <v>8</v>
      </c>
      <c r="E1043" s="165" t="s">
        <v>4596</v>
      </c>
      <c r="F1043" s="165" t="s">
        <v>4437</v>
      </c>
      <c r="G1043" s="165">
        <v>16380</v>
      </c>
      <c r="H1043" s="165"/>
      <c r="I1043" s="165"/>
      <c r="J1043" s="165">
        <v>16380</v>
      </c>
      <c r="K1043" s="165"/>
      <c r="L1043" s="165"/>
      <c r="M1043" s="165"/>
      <c r="N1043" s="165"/>
      <c r="O1043" s="337">
        <f t="shared" si="31"/>
        <v>0</v>
      </c>
      <c r="P1043" s="165" t="s">
        <v>4439</v>
      </c>
      <c r="Q1043" s="165" t="s">
        <v>4780</v>
      </c>
      <c r="R1043" s="3">
        <f>G1043</f>
        <v>16380</v>
      </c>
      <c r="S1043" s="165">
        <v>16380</v>
      </c>
      <c r="T1043"/>
      <c r="U1043" s="3"/>
    </row>
    <row r="1044" spans="1:22" s="163" customFormat="1">
      <c r="A1044" s="281" t="s">
        <v>4756</v>
      </c>
      <c r="B1044" s="281"/>
      <c r="C1044" s="281" t="s">
        <v>4517</v>
      </c>
      <c r="D1044" s="340" t="s">
        <v>4302</v>
      </c>
      <c r="E1044" s="281" t="s">
        <v>1283</v>
      </c>
      <c r="F1044" s="281" t="s">
        <v>4756</v>
      </c>
      <c r="G1044" s="284"/>
      <c r="H1044" s="284"/>
      <c r="I1044" s="284"/>
      <c r="J1044" s="281"/>
      <c r="K1044" s="281"/>
      <c r="L1044" s="281"/>
      <c r="M1044" s="281"/>
      <c r="N1044" s="281"/>
      <c r="O1044" s="664">
        <f t="shared" si="31"/>
        <v>0</v>
      </c>
      <c r="P1044" s="281" t="s">
        <v>4756</v>
      </c>
      <c r="Q1044" s="281" t="s">
        <v>4756</v>
      </c>
      <c r="R1044" s="281">
        <v>108000</v>
      </c>
      <c r="S1044" s="281">
        <v>108000</v>
      </c>
      <c r="T1044" s="406">
        <v>108000</v>
      </c>
      <c r="U1044" s="284"/>
    </row>
    <row r="1045" spans="1:22" s="163" customFormat="1">
      <c r="A1045" s="165" t="s">
        <v>4436</v>
      </c>
      <c r="B1045" s="281"/>
      <c r="C1045" s="281" t="s">
        <v>456</v>
      </c>
      <c r="D1045" s="281">
        <v>3</v>
      </c>
      <c r="E1045" s="281" t="s">
        <v>1283</v>
      </c>
      <c r="F1045" s="281" t="s">
        <v>4436</v>
      </c>
      <c r="G1045" s="284"/>
      <c r="H1045" s="284"/>
      <c r="I1045" s="284"/>
      <c r="J1045" s="281"/>
      <c r="K1045" s="281"/>
      <c r="L1045" s="281"/>
      <c r="M1045" s="281"/>
      <c r="N1045" s="281"/>
      <c r="O1045" s="664">
        <f t="shared" si="31"/>
        <v>0</v>
      </c>
      <c r="P1045" s="281" t="s">
        <v>4436</v>
      </c>
      <c r="Q1045" s="281" t="s">
        <v>4436</v>
      </c>
      <c r="R1045" s="281">
        <v>13230</v>
      </c>
      <c r="S1045" s="281">
        <v>13230</v>
      </c>
      <c r="T1045" s="406">
        <v>13230</v>
      </c>
      <c r="U1045" s="284"/>
      <c r="V1045" s="282" t="s">
        <v>245</v>
      </c>
    </row>
    <row r="1046" spans="1:22">
      <c r="A1046" s="165" t="s">
        <v>4241</v>
      </c>
      <c r="B1046" s="165">
        <v>1080</v>
      </c>
      <c r="C1046" s="165" t="s">
        <v>4418</v>
      </c>
      <c r="D1046" s="165">
        <v>6</v>
      </c>
      <c r="E1046" s="165" t="s">
        <v>4597</v>
      </c>
      <c r="F1046" s="165" t="s">
        <v>4598</v>
      </c>
      <c r="G1046" s="165"/>
      <c r="H1046" s="165">
        <v>11340</v>
      </c>
      <c r="I1046" s="165"/>
      <c r="J1046" s="165">
        <v>11340</v>
      </c>
      <c r="K1046" s="165"/>
      <c r="L1046" s="165"/>
      <c r="M1046" s="165"/>
      <c r="N1046" s="165"/>
      <c r="O1046" s="337">
        <f t="shared" si="31"/>
        <v>0</v>
      </c>
      <c r="P1046" s="165" t="s">
        <v>4439</v>
      </c>
      <c r="Q1046" s="165" t="s">
        <v>4780</v>
      </c>
      <c r="R1046" s="3">
        <f>H1046</f>
        <v>11340</v>
      </c>
      <c r="S1046" s="337">
        <v>11340</v>
      </c>
      <c r="T1046"/>
      <c r="U1046" s="3"/>
    </row>
    <row r="1047" spans="1:22" s="163" customFormat="1">
      <c r="A1047" s="281" t="s">
        <v>4438</v>
      </c>
      <c r="B1047" s="281"/>
      <c r="C1047" s="281" t="s">
        <v>2421</v>
      </c>
      <c r="D1047" s="281">
        <v>1</v>
      </c>
      <c r="E1047" s="281" t="s">
        <v>1283</v>
      </c>
      <c r="F1047" s="281" t="s">
        <v>4438</v>
      </c>
      <c r="G1047" s="284"/>
      <c r="H1047" s="284"/>
      <c r="I1047" s="284"/>
      <c r="J1047" s="281"/>
      <c r="K1047" s="281"/>
      <c r="L1047" s="281"/>
      <c r="M1047" s="281"/>
      <c r="N1047" s="281"/>
      <c r="O1047" s="664">
        <f t="shared" si="31"/>
        <v>0</v>
      </c>
      <c r="P1047" s="281" t="s">
        <v>4438</v>
      </c>
      <c r="Q1047" s="281" t="s">
        <v>4438</v>
      </c>
      <c r="R1047" s="281">
        <v>14175</v>
      </c>
      <c r="S1047" s="281">
        <v>14165</v>
      </c>
      <c r="T1047" s="406">
        <v>14165</v>
      </c>
      <c r="U1047" s="556">
        <v>10</v>
      </c>
    </row>
    <row r="1048" spans="1:22">
      <c r="A1048" s="165" t="s">
        <v>4439</v>
      </c>
      <c r="B1048" s="94">
        <v>1081</v>
      </c>
      <c r="C1048" s="165" t="s">
        <v>4513</v>
      </c>
      <c r="D1048" s="165">
        <v>1</v>
      </c>
      <c r="E1048" s="165" t="s">
        <v>4599</v>
      </c>
      <c r="F1048" s="165" t="s">
        <v>4600</v>
      </c>
      <c r="G1048" s="165">
        <v>11970</v>
      </c>
      <c r="H1048" s="165"/>
      <c r="I1048" s="165"/>
      <c r="J1048" s="165">
        <v>11970</v>
      </c>
      <c r="K1048" s="165"/>
      <c r="L1048" s="165"/>
      <c r="M1048" s="165"/>
      <c r="N1048" s="165"/>
      <c r="O1048" s="337">
        <f t="shared" si="31"/>
        <v>0</v>
      </c>
      <c r="P1048" s="165" t="s">
        <v>4767</v>
      </c>
      <c r="Q1048" s="165" t="s">
        <v>4782</v>
      </c>
      <c r="R1048" s="3">
        <f t="shared" ref="R1048:R1056" si="33">G1048</f>
        <v>11970</v>
      </c>
      <c r="S1048" s="337">
        <v>11970</v>
      </c>
      <c r="T1048"/>
      <c r="U1048" s="3"/>
    </row>
    <row r="1049" spans="1:22">
      <c r="A1049" s="165" t="s">
        <v>4439</v>
      </c>
      <c r="B1049" s="94">
        <v>1082</v>
      </c>
      <c r="C1049" s="165" t="s">
        <v>4513</v>
      </c>
      <c r="D1049" s="165">
        <v>2</v>
      </c>
      <c r="E1049" s="165" t="s">
        <v>4601</v>
      </c>
      <c r="F1049" s="165" t="s">
        <v>4602</v>
      </c>
      <c r="G1049" s="165">
        <v>11970</v>
      </c>
      <c r="H1049" s="165"/>
      <c r="I1049" s="165"/>
      <c r="J1049" s="165">
        <v>11970</v>
      </c>
      <c r="K1049" s="165"/>
      <c r="L1049" s="165"/>
      <c r="M1049" s="165"/>
      <c r="N1049" s="165"/>
      <c r="O1049" s="337">
        <f t="shared" si="31"/>
        <v>0</v>
      </c>
      <c r="P1049" s="165" t="s">
        <v>4772</v>
      </c>
      <c r="Q1049" s="165" t="s">
        <v>4088</v>
      </c>
      <c r="R1049" s="3">
        <f t="shared" si="33"/>
        <v>11970</v>
      </c>
      <c r="S1049" s="337">
        <v>11970</v>
      </c>
      <c r="T1049"/>
      <c r="U1049" s="3"/>
    </row>
    <row r="1050" spans="1:22">
      <c r="A1050" s="165" t="s">
        <v>4439</v>
      </c>
      <c r="B1050" s="94">
        <v>1083</v>
      </c>
      <c r="C1050" s="165" t="s">
        <v>4513</v>
      </c>
      <c r="D1050" s="165">
        <v>3</v>
      </c>
      <c r="E1050" s="165" t="s">
        <v>4603</v>
      </c>
      <c r="F1050" s="165" t="s">
        <v>4609</v>
      </c>
      <c r="G1050" s="165">
        <v>11970</v>
      </c>
      <c r="H1050" s="165"/>
      <c r="I1050" s="165"/>
      <c r="J1050" s="165"/>
      <c r="K1050" s="165">
        <v>11970</v>
      </c>
      <c r="L1050" s="165"/>
      <c r="M1050" s="165"/>
      <c r="N1050" s="165"/>
      <c r="O1050" s="337">
        <f t="shared" si="31"/>
        <v>0</v>
      </c>
      <c r="P1050" s="165" t="s">
        <v>5294</v>
      </c>
      <c r="Q1050" s="165" t="s">
        <v>4788</v>
      </c>
      <c r="R1050" s="3">
        <f t="shared" si="33"/>
        <v>11970</v>
      </c>
      <c r="S1050" s="337">
        <v>11970</v>
      </c>
      <c r="T1050"/>
      <c r="U1050" s="3"/>
    </row>
    <row r="1051" spans="1:22">
      <c r="A1051" s="165" t="s">
        <v>4439</v>
      </c>
      <c r="B1051" s="94">
        <v>1084</v>
      </c>
      <c r="C1051" s="165" t="s">
        <v>4513</v>
      </c>
      <c r="D1051" s="165">
        <v>4</v>
      </c>
      <c r="E1051" s="165" t="s">
        <v>4604</v>
      </c>
      <c r="F1051" s="165" t="s">
        <v>4610</v>
      </c>
      <c r="G1051" s="165">
        <v>11970</v>
      </c>
      <c r="H1051" s="165"/>
      <c r="I1051" s="165"/>
      <c r="J1051" s="165"/>
      <c r="K1051" s="165">
        <v>11970</v>
      </c>
      <c r="L1051" s="165"/>
      <c r="M1051" s="165"/>
      <c r="N1051" s="165"/>
      <c r="O1051" s="337">
        <f t="shared" si="31"/>
        <v>0</v>
      </c>
      <c r="P1051" s="165" t="s">
        <v>5333</v>
      </c>
      <c r="Q1051" s="165" t="s">
        <v>4795</v>
      </c>
      <c r="R1051" s="3">
        <f t="shared" si="33"/>
        <v>11970</v>
      </c>
      <c r="S1051" s="337">
        <v>11970</v>
      </c>
      <c r="T1051"/>
      <c r="U1051" s="3"/>
    </row>
    <row r="1052" spans="1:22">
      <c r="A1052" s="165" t="s">
        <v>4439</v>
      </c>
      <c r="B1052" s="94">
        <v>1085</v>
      </c>
      <c r="C1052" s="165" t="s">
        <v>4513</v>
      </c>
      <c r="D1052" s="165">
        <v>5</v>
      </c>
      <c r="E1052" s="165" t="s">
        <v>4605</v>
      </c>
      <c r="F1052" s="165" t="s">
        <v>4611</v>
      </c>
      <c r="G1052" s="165">
        <v>11970</v>
      </c>
      <c r="H1052" s="165"/>
      <c r="I1052" s="165"/>
      <c r="J1052" s="165"/>
      <c r="K1052" s="165">
        <v>11970</v>
      </c>
      <c r="L1052" s="165"/>
      <c r="M1052" s="165"/>
      <c r="N1052" s="165"/>
      <c r="O1052" s="337">
        <f t="shared" si="31"/>
        <v>0</v>
      </c>
      <c r="P1052" s="165" t="s">
        <v>5453</v>
      </c>
      <c r="Q1052" s="165" t="s">
        <v>5465</v>
      </c>
      <c r="R1052" s="3">
        <f t="shared" si="33"/>
        <v>11970</v>
      </c>
      <c r="S1052" s="337">
        <v>11970</v>
      </c>
      <c r="T1052"/>
      <c r="U1052" s="3"/>
    </row>
    <row r="1053" spans="1:22">
      <c r="A1053" s="165" t="s">
        <v>4439</v>
      </c>
      <c r="B1053" s="94">
        <v>1086</v>
      </c>
      <c r="C1053" s="165" t="s">
        <v>4513</v>
      </c>
      <c r="D1053" s="165">
        <v>6</v>
      </c>
      <c r="E1053" s="165" t="s">
        <v>4606</v>
      </c>
      <c r="F1053" s="165" t="s">
        <v>4612</v>
      </c>
      <c r="G1053" s="165">
        <v>11970</v>
      </c>
      <c r="H1053" s="165"/>
      <c r="I1053" s="165"/>
      <c r="J1053" s="165"/>
      <c r="K1053" s="165">
        <v>11970</v>
      </c>
      <c r="L1053" s="165"/>
      <c r="M1053" s="165"/>
      <c r="N1053" s="165"/>
      <c r="O1053" s="337">
        <f t="shared" si="31"/>
        <v>0</v>
      </c>
      <c r="P1053" s="165" t="s">
        <v>5504</v>
      </c>
      <c r="Q1053" s="165" t="s">
        <v>5531</v>
      </c>
      <c r="R1053" s="3">
        <f t="shared" si="33"/>
        <v>11970</v>
      </c>
      <c r="S1053" s="337">
        <v>11970</v>
      </c>
      <c r="T1053"/>
      <c r="U1053" s="3"/>
    </row>
    <row r="1054" spans="1:22">
      <c r="A1054" s="165" t="s">
        <v>4439</v>
      </c>
      <c r="B1054" s="94">
        <v>1087</v>
      </c>
      <c r="C1054" s="165" t="s">
        <v>4513</v>
      </c>
      <c r="D1054" s="165">
        <v>7</v>
      </c>
      <c r="E1054" s="165" t="s">
        <v>4607</v>
      </c>
      <c r="F1054" s="165" t="s">
        <v>4613</v>
      </c>
      <c r="G1054" s="165">
        <v>11970</v>
      </c>
      <c r="H1054" s="165"/>
      <c r="I1054" s="165"/>
      <c r="J1054" s="165"/>
      <c r="K1054" s="165">
        <v>11970</v>
      </c>
      <c r="L1054" s="165"/>
      <c r="M1054" s="165"/>
      <c r="N1054" s="165"/>
      <c r="O1054" s="337">
        <f t="shared" si="31"/>
        <v>0</v>
      </c>
      <c r="P1054" s="165" t="s">
        <v>5289</v>
      </c>
      <c r="Q1054" s="165" t="s">
        <v>5290</v>
      </c>
      <c r="R1054" s="3">
        <f t="shared" si="33"/>
        <v>11970</v>
      </c>
      <c r="S1054" s="337">
        <v>11970</v>
      </c>
      <c r="T1054"/>
      <c r="U1054" s="3"/>
    </row>
    <row r="1055" spans="1:22">
      <c r="A1055" s="165" t="s">
        <v>4439</v>
      </c>
      <c r="B1055" s="94">
        <v>1088</v>
      </c>
      <c r="C1055" s="165" t="s">
        <v>4513</v>
      </c>
      <c r="D1055" s="165">
        <v>8</v>
      </c>
      <c r="E1055" s="165" t="s">
        <v>4608</v>
      </c>
      <c r="F1055" s="165" t="s">
        <v>4614</v>
      </c>
      <c r="G1055" s="165">
        <v>11970</v>
      </c>
      <c r="H1055" s="165"/>
      <c r="I1055" s="165"/>
      <c r="J1055" s="165"/>
      <c r="K1055" s="165"/>
      <c r="L1055" s="165">
        <v>11970</v>
      </c>
      <c r="M1055" s="165"/>
      <c r="N1055" s="165"/>
      <c r="O1055" s="337">
        <f t="shared" si="31"/>
        <v>0</v>
      </c>
      <c r="P1055" s="165" t="s">
        <v>9828</v>
      </c>
      <c r="Q1055" s="165" t="s">
        <v>9828</v>
      </c>
      <c r="R1055" s="3">
        <f t="shared" si="33"/>
        <v>11970</v>
      </c>
      <c r="S1055" s="337">
        <v>11970</v>
      </c>
      <c r="T1055"/>
      <c r="U1055" s="3"/>
    </row>
    <row r="1056" spans="1:22">
      <c r="A1056" s="165" t="s">
        <v>4615</v>
      </c>
      <c r="B1056" s="94">
        <v>1089</v>
      </c>
      <c r="C1056" s="165" t="s">
        <v>4528</v>
      </c>
      <c r="D1056" s="165">
        <v>1</v>
      </c>
      <c r="E1056" s="165" t="s">
        <v>4616</v>
      </c>
      <c r="F1056" s="165" t="s">
        <v>4016</v>
      </c>
      <c r="G1056" s="165">
        <v>12600</v>
      </c>
      <c r="H1056" s="165"/>
      <c r="I1056" s="165"/>
      <c r="J1056" s="165">
        <v>12600</v>
      </c>
      <c r="K1056" s="165"/>
      <c r="L1056" s="165"/>
      <c r="M1056" s="165"/>
      <c r="N1056" s="165"/>
      <c r="O1056" s="337">
        <f t="shared" si="31"/>
        <v>0</v>
      </c>
      <c r="P1056" s="165" t="s">
        <v>4767</v>
      </c>
      <c r="Q1056" s="165" t="s">
        <v>4782</v>
      </c>
      <c r="R1056" s="3">
        <f t="shared" si="33"/>
        <v>12600</v>
      </c>
      <c r="S1056" s="165">
        <v>12600</v>
      </c>
      <c r="T1056"/>
      <c r="U1056" s="3"/>
    </row>
    <row r="1057" spans="1:22" s="163" customFormat="1">
      <c r="A1057" s="281" t="s">
        <v>4750</v>
      </c>
      <c r="B1057" s="281"/>
      <c r="C1057" s="281" t="s">
        <v>456</v>
      </c>
      <c r="D1057" s="281">
        <v>4</v>
      </c>
      <c r="E1057" s="281" t="s">
        <v>1283</v>
      </c>
      <c r="F1057" s="281" t="s">
        <v>4750</v>
      </c>
      <c r="G1057" s="284"/>
      <c r="H1057" s="284"/>
      <c r="I1057" s="284"/>
      <c r="J1057" s="281"/>
      <c r="K1057" s="281"/>
      <c r="L1057" s="281"/>
      <c r="M1057" s="281"/>
      <c r="N1057" s="281"/>
      <c r="O1057" s="664">
        <f t="shared" si="31"/>
        <v>0</v>
      </c>
      <c r="P1057" s="281" t="s">
        <v>4750</v>
      </c>
      <c r="Q1057" s="281" t="s">
        <v>4750</v>
      </c>
      <c r="R1057" s="281">
        <v>13230</v>
      </c>
      <c r="S1057" s="281">
        <v>13230</v>
      </c>
      <c r="T1057" s="406">
        <v>13230</v>
      </c>
      <c r="U1057" s="284"/>
      <c r="V1057" s="282" t="s">
        <v>245</v>
      </c>
    </row>
    <row r="1058" spans="1:22" s="163" customFormat="1">
      <c r="A1058" s="281" t="s">
        <v>4757</v>
      </c>
      <c r="B1058" s="281"/>
      <c r="C1058" s="281" t="s">
        <v>3825</v>
      </c>
      <c r="D1058" s="281">
        <v>5</v>
      </c>
      <c r="E1058" s="281" t="s">
        <v>1283</v>
      </c>
      <c r="F1058" s="281" t="s">
        <v>4757</v>
      </c>
      <c r="G1058" s="284"/>
      <c r="H1058" s="284"/>
      <c r="I1058" s="284"/>
      <c r="J1058" s="281"/>
      <c r="K1058" s="281"/>
      <c r="L1058" s="281"/>
      <c r="M1058" s="281"/>
      <c r="N1058" s="281"/>
      <c r="O1058" s="664">
        <f t="shared" si="31"/>
        <v>0</v>
      </c>
      <c r="P1058" s="281" t="s">
        <v>4757</v>
      </c>
      <c r="Q1058" s="281" t="s">
        <v>4757</v>
      </c>
      <c r="R1058" s="281">
        <v>14175</v>
      </c>
      <c r="S1058" s="281">
        <v>14145</v>
      </c>
      <c r="T1058" s="406">
        <v>14145</v>
      </c>
      <c r="U1058" s="556">
        <v>30</v>
      </c>
    </row>
    <row r="1059" spans="1:22" s="163" customFormat="1">
      <c r="A1059" s="281" t="s">
        <v>4758</v>
      </c>
      <c r="B1059" s="281"/>
      <c r="C1059" s="281" t="s">
        <v>1532</v>
      </c>
      <c r="D1059" s="281">
        <v>4</v>
      </c>
      <c r="E1059" s="281" t="s">
        <v>1283</v>
      </c>
      <c r="F1059" s="281" t="s">
        <v>4758</v>
      </c>
      <c r="G1059" s="284"/>
      <c r="H1059" s="284"/>
      <c r="I1059" s="284"/>
      <c r="J1059" s="281"/>
      <c r="K1059" s="281"/>
      <c r="L1059" s="281"/>
      <c r="M1059" s="281"/>
      <c r="N1059" s="281"/>
      <c r="O1059" s="664">
        <f t="shared" si="31"/>
        <v>0</v>
      </c>
      <c r="P1059" s="281" t="s">
        <v>4758</v>
      </c>
      <c r="Q1059" s="281" t="s">
        <v>4758</v>
      </c>
      <c r="R1059" s="281">
        <v>13500</v>
      </c>
      <c r="S1059" s="281">
        <v>13485</v>
      </c>
      <c r="T1059" s="406">
        <v>13485</v>
      </c>
      <c r="U1059" s="556">
        <v>15</v>
      </c>
    </row>
    <row r="1060" spans="1:22">
      <c r="A1060" s="165" t="s">
        <v>4615</v>
      </c>
      <c r="B1060" s="94">
        <v>1090</v>
      </c>
      <c r="C1060" s="165" t="s">
        <v>4528</v>
      </c>
      <c r="D1060" s="165">
        <v>2</v>
      </c>
      <c r="E1060" s="165" t="s">
        <v>4617</v>
      </c>
      <c r="F1060" s="165" t="s">
        <v>4018</v>
      </c>
      <c r="G1060" s="165">
        <v>12600</v>
      </c>
      <c r="H1060" s="165"/>
      <c r="I1060" s="165"/>
      <c r="J1060" s="165">
        <v>12600</v>
      </c>
      <c r="K1060" s="165"/>
      <c r="L1060" s="165"/>
      <c r="M1060" s="165"/>
      <c r="N1060" s="165"/>
      <c r="O1060" s="337">
        <f t="shared" si="31"/>
        <v>0</v>
      </c>
      <c r="P1060" s="165" t="s">
        <v>4715</v>
      </c>
      <c r="Q1060" s="165" t="s">
        <v>4786</v>
      </c>
      <c r="R1060" s="3">
        <f t="shared" ref="R1060:R1090" si="34">G1060</f>
        <v>12600</v>
      </c>
      <c r="S1060" s="337">
        <v>12600</v>
      </c>
      <c r="T1060"/>
      <c r="U1060" s="3"/>
    </row>
    <row r="1061" spans="1:22">
      <c r="A1061" s="165" t="s">
        <v>4615</v>
      </c>
      <c r="B1061" s="94">
        <v>1091</v>
      </c>
      <c r="C1061" s="165" t="s">
        <v>4528</v>
      </c>
      <c r="D1061" s="165">
        <v>3</v>
      </c>
      <c r="E1061" s="165" t="s">
        <v>4618</v>
      </c>
      <c r="F1061" s="165" t="s">
        <v>4190</v>
      </c>
      <c r="G1061" s="165">
        <v>12600</v>
      </c>
      <c r="H1061" s="165"/>
      <c r="I1061" s="165"/>
      <c r="J1061" s="165">
        <v>12600</v>
      </c>
      <c r="K1061" s="165"/>
      <c r="L1061" s="165"/>
      <c r="M1061" s="165"/>
      <c r="N1061" s="165"/>
      <c r="O1061" s="337">
        <f t="shared" si="31"/>
        <v>0</v>
      </c>
      <c r="P1061" s="165" t="s">
        <v>4190</v>
      </c>
      <c r="Q1061" s="165" t="s">
        <v>4033</v>
      </c>
      <c r="R1061" s="3">
        <f t="shared" si="34"/>
        <v>12600</v>
      </c>
      <c r="S1061" s="337">
        <v>12600</v>
      </c>
      <c r="T1061"/>
      <c r="U1061" s="3"/>
    </row>
    <row r="1062" spans="1:22">
      <c r="A1062" s="165" t="s">
        <v>4615</v>
      </c>
      <c r="B1062" s="94">
        <v>1092</v>
      </c>
      <c r="C1062" s="165" t="s">
        <v>4528</v>
      </c>
      <c r="D1062" s="165">
        <v>4</v>
      </c>
      <c r="E1062" s="165" t="s">
        <v>4619</v>
      </c>
      <c r="F1062" s="165" t="s">
        <v>4192</v>
      </c>
      <c r="G1062" s="165">
        <v>12600</v>
      </c>
      <c r="H1062" s="165"/>
      <c r="I1062" s="165"/>
      <c r="J1062" s="165"/>
      <c r="K1062" s="165">
        <v>12600</v>
      </c>
      <c r="L1062" s="165"/>
      <c r="M1062" s="165"/>
      <c r="N1062" s="165"/>
      <c r="O1062" s="337">
        <f t="shared" si="31"/>
        <v>0</v>
      </c>
      <c r="P1062" s="165" t="s">
        <v>4651</v>
      </c>
      <c r="Q1062" s="165" t="s">
        <v>4793</v>
      </c>
      <c r="R1062" s="3">
        <f t="shared" si="34"/>
        <v>12600</v>
      </c>
      <c r="S1062" s="337">
        <v>12600</v>
      </c>
      <c r="T1062"/>
      <c r="U1062" s="3"/>
    </row>
    <row r="1063" spans="1:22">
      <c r="A1063" s="165" t="s">
        <v>4615</v>
      </c>
      <c r="B1063" s="94">
        <v>1093</v>
      </c>
      <c r="C1063" s="165" t="s">
        <v>4528</v>
      </c>
      <c r="D1063" s="165">
        <v>5</v>
      </c>
      <c r="E1063" s="165" t="s">
        <v>4620</v>
      </c>
      <c r="F1063" s="165" t="s">
        <v>4194</v>
      </c>
      <c r="G1063" s="165">
        <v>12600</v>
      </c>
      <c r="H1063" s="165"/>
      <c r="I1063" s="165"/>
      <c r="J1063" s="165"/>
      <c r="K1063" s="165">
        <v>12600</v>
      </c>
      <c r="L1063" s="165"/>
      <c r="M1063" s="165"/>
      <c r="N1063" s="165"/>
      <c r="O1063" s="337">
        <f t="shared" si="31"/>
        <v>0</v>
      </c>
      <c r="P1063" s="165" t="s">
        <v>4806</v>
      </c>
      <c r="Q1063" s="165" t="s">
        <v>4194</v>
      </c>
      <c r="R1063" s="3">
        <f t="shared" si="34"/>
        <v>12600</v>
      </c>
      <c r="S1063" s="337">
        <v>12600</v>
      </c>
      <c r="T1063"/>
      <c r="U1063" s="3"/>
    </row>
    <row r="1064" spans="1:22">
      <c r="A1064" s="165" t="s">
        <v>4615</v>
      </c>
      <c r="B1064" s="94">
        <v>1094</v>
      </c>
      <c r="C1064" s="165" t="s">
        <v>4528</v>
      </c>
      <c r="D1064" s="165">
        <v>6</v>
      </c>
      <c r="E1064" s="165" t="s">
        <v>4621</v>
      </c>
      <c r="F1064" s="165" t="s">
        <v>4226</v>
      </c>
      <c r="G1064" s="165">
        <v>12600</v>
      </c>
      <c r="H1064" s="165"/>
      <c r="I1064" s="165"/>
      <c r="J1064" s="165"/>
      <c r="K1064" s="165">
        <v>12600</v>
      </c>
      <c r="L1064" s="165"/>
      <c r="M1064" s="165"/>
      <c r="N1064" s="165"/>
      <c r="O1064" s="337">
        <f t="shared" si="31"/>
        <v>0</v>
      </c>
      <c r="P1064" s="165" t="s">
        <v>5500</v>
      </c>
      <c r="Q1064" s="165" t="s">
        <v>4226</v>
      </c>
      <c r="R1064" s="3">
        <f t="shared" si="34"/>
        <v>12600</v>
      </c>
      <c r="S1064" s="165">
        <v>12600</v>
      </c>
      <c r="T1064"/>
      <c r="U1064" s="3"/>
    </row>
    <row r="1065" spans="1:22">
      <c r="A1065" s="165" t="s">
        <v>4615</v>
      </c>
      <c r="B1065" s="94">
        <v>1095</v>
      </c>
      <c r="C1065" s="165" t="s">
        <v>4528</v>
      </c>
      <c r="D1065" s="165">
        <v>7</v>
      </c>
      <c r="E1065" s="165" t="s">
        <v>4622</v>
      </c>
      <c r="F1065" s="165" t="s">
        <v>4624</v>
      </c>
      <c r="G1065" s="165">
        <v>12600</v>
      </c>
      <c r="H1065" s="165"/>
      <c r="I1065" s="165"/>
      <c r="J1065" s="165"/>
      <c r="K1065" s="165">
        <v>12600</v>
      </c>
      <c r="L1065" s="165"/>
      <c r="M1065" s="165"/>
      <c r="N1065" s="165"/>
      <c r="O1065" s="337">
        <f t="shared" si="31"/>
        <v>0</v>
      </c>
      <c r="P1065" s="165" t="s">
        <v>5551</v>
      </c>
      <c r="Q1065" s="165" t="s">
        <v>4624</v>
      </c>
      <c r="R1065" s="3">
        <f t="shared" si="34"/>
        <v>12600</v>
      </c>
      <c r="S1065" s="165">
        <v>12600</v>
      </c>
      <c r="T1065"/>
      <c r="U1065" s="3"/>
    </row>
    <row r="1066" spans="1:22">
      <c r="A1066" s="165" t="s">
        <v>4615</v>
      </c>
      <c r="B1066" s="94">
        <v>1096</v>
      </c>
      <c r="C1066" s="165" t="s">
        <v>4528</v>
      </c>
      <c r="D1066" s="165">
        <v>8</v>
      </c>
      <c r="E1066" s="165" t="s">
        <v>4623</v>
      </c>
      <c r="F1066" s="165" t="s">
        <v>4625</v>
      </c>
      <c r="G1066" s="165">
        <v>12600</v>
      </c>
      <c r="H1066" s="165"/>
      <c r="I1066" s="165"/>
      <c r="J1066" s="165"/>
      <c r="K1066" s="165"/>
      <c r="L1066" s="165">
        <v>12600</v>
      </c>
      <c r="M1066" s="165"/>
      <c r="N1066" s="165"/>
      <c r="O1066" s="337">
        <f t="shared" si="31"/>
        <v>0</v>
      </c>
      <c r="P1066" s="165" t="s">
        <v>9632</v>
      </c>
      <c r="Q1066" s="165" t="s">
        <v>9632</v>
      </c>
      <c r="R1066" s="3">
        <f t="shared" si="34"/>
        <v>12600</v>
      </c>
      <c r="S1066" s="165">
        <v>12600</v>
      </c>
      <c r="T1066"/>
      <c r="U1066" s="3"/>
    </row>
    <row r="1067" spans="1:22">
      <c r="A1067" s="165" t="s">
        <v>4626</v>
      </c>
      <c r="B1067" s="94">
        <v>1097</v>
      </c>
      <c r="C1067" s="165" t="s">
        <v>4539</v>
      </c>
      <c r="D1067" s="165">
        <v>1</v>
      </c>
      <c r="E1067" s="165" t="s">
        <v>4627</v>
      </c>
      <c r="F1067" s="165" t="s">
        <v>4628</v>
      </c>
      <c r="G1067" s="165">
        <v>13230</v>
      </c>
      <c r="H1067" s="165"/>
      <c r="I1067" s="165"/>
      <c r="J1067" s="165">
        <v>13230</v>
      </c>
      <c r="K1067" s="165"/>
      <c r="L1067" s="165"/>
      <c r="M1067" s="165"/>
      <c r="N1067" s="165"/>
      <c r="O1067" s="337">
        <f t="shared" si="31"/>
        <v>0</v>
      </c>
      <c r="P1067" s="165" t="s">
        <v>4770</v>
      </c>
      <c r="Q1067" s="165" t="s">
        <v>4784</v>
      </c>
      <c r="R1067" s="3">
        <f t="shared" si="34"/>
        <v>13230</v>
      </c>
      <c r="S1067" s="165">
        <v>13230</v>
      </c>
      <c r="T1067"/>
      <c r="U1067" s="3"/>
    </row>
    <row r="1068" spans="1:22">
      <c r="A1068" s="165" t="s">
        <v>4626</v>
      </c>
      <c r="B1068" s="94">
        <v>1098</v>
      </c>
      <c r="C1068" s="165" t="s">
        <v>4539</v>
      </c>
      <c r="D1068" s="165">
        <v>2</v>
      </c>
      <c r="E1068" s="165" t="s">
        <v>4629</v>
      </c>
      <c r="F1068" s="165" t="s">
        <v>4636</v>
      </c>
      <c r="G1068" s="165">
        <v>13230</v>
      </c>
      <c r="H1068" s="165"/>
      <c r="I1068" s="165"/>
      <c r="J1068" s="165">
        <v>13230</v>
      </c>
      <c r="K1068" s="165"/>
      <c r="L1068" s="165"/>
      <c r="M1068" s="165"/>
      <c r="N1068" s="165"/>
      <c r="O1068" s="337">
        <f t="shared" si="31"/>
        <v>0</v>
      </c>
      <c r="P1068" s="165" t="s">
        <v>4777</v>
      </c>
      <c r="Q1068" s="165" t="s">
        <v>4127</v>
      </c>
      <c r="R1068" s="3">
        <f t="shared" si="34"/>
        <v>13230</v>
      </c>
      <c r="S1068" s="165">
        <v>13230</v>
      </c>
      <c r="T1068"/>
      <c r="U1068" s="3"/>
    </row>
    <row r="1069" spans="1:22">
      <c r="A1069" s="165" t="s">
        <v>4626</v>
      </c>
      <c r="B1069" s="94">
        <v>1099</v>
      </c>
      <c r="C1069" s="165" t="s">
        <v>4539</v>
      </c>
      <c r="D1069" s="165">
        <v>3</v>
      </c>
      <c r="E1069" s="165" t="s">
        <v>4630</v>
      </c>
      <c r="F1069" s="165" t="s">
        <v>4637</v>
      </c>
      <c r="G1069" s="165">
        <v>13230</v>
      </c>
      <c r="H1069" s="165"/>
      <c r="I1069" s="165"/>
      <c r="J1069" s="165"/>
      <c r="K1069" s="165">
        <v>13230</v>
      </c>
      <c r="L1069" s="165"/>
      <c r="M1069" s="165"/>
      <c r="N1069" s="165"/>
      <c r="O1069" s="337">
        <f t="shared" si="31"/>
        <v>0</v>
      </c>
      <c r="P1069" s="165" t="s">
        <v>4791</v>
      </c>
      <c r="Q1069" s="165" t="s">
        <v>5317</v>
      </c>
      <c r="R1069" s="3">
        <f t="shared" si="34"/>
        <v>13230</v>
      </c>
      <c r="S1069" s="165">
        <v>13230</v>
      </c>
      <c r="T1069"/>
      <c r="U1069" s="3"/>
    </row>
    <row r="1070" spans="1:22">
      <c r="A1070" s="165" t="s">
        <v>4626</v>
      </c>
      <c r="B1070" s="94">
        <v>1100</v>
      </c>
      <c r="C1070" s="165" t="s">
        <v>4539</v>
      </c>
      <c r="D1070" s="165">
        <v>4</v>
      </c>
      <c r="E1070" s="165" t="s">
        <v>4631</v>
      </c>
      <c r="F1070" s="165" t="s">
        <v>4289</v>
      </c>
      <c r="G1070" s="165">
        <v>13230</v>
      </c>
      <c r="H1070" s="165"/>
      <c r="I1070" s="165"/>
      <c r="J1070" s="165"/>
      <c r="K1070" s="165">
        <v>13230</v>
      </c>
      <c r="L1070" s="165"/>
      <c r="M1070" s="165"/>
      <c r="N1070" s="165"/>
      <c r="O1070" s="337">
        <f t="shared" si="31"/>
        <v>0</v>
      </c>
      <c r="P1070" s="165" t="s">
        <v>4802</v>
      </c>
      <c r="Q1070" s="165" t="s">
        <v>4804</v>
      </c>
      <c r="R1070" s="3">
        <f t="shared" si="34"/>
        <v>13230</v>
      </c>
      <c r="S1070" s="165">
        <v>13230</v>
      </c>
      <c r="T1070"/>
      <c r="U1070" s="3"/>
    </row>
    <row r="1071" spans="1:22">
      <c r="A1071" s="165" t="s">
        <v>4626</v>
      </c>
      <c r="B1071" s="94">
        <v>1101</v>
      </c>
      <c r="C1071" s="165" t="s">
        <v>4539</v>
      </c>
      <c r="D1071" s="165">
        <v>5</v>
      </c>
      <c r="E1071" s="165" t="s">
        <v>4632</v>
      </c>
      <c r="F1071" s="165" t="s">
        <v>4638</v>
      </c>
      <c r="G1071" s="165">
        <v>13230</v>
      </c>
      <c r="H1071" s="165"/>
      <c r="I1071" s="165"/>
      <c r="J1071" s="165"/>
      <c r="K1071" s="165">
        <v>13230</v>
      </c>
      <c r="L1071" s="165"/>
      <c r="M1071" s="165"/>
      <c r="N1071" s="165"/>
      <c r="O1071" s="337">
        <f t="shared" si="31"/>
        <v>0</v>
      </c>
      <c r="P1071" s="165" t="s">
        <v>5488</v>
      </c>
      <c r="Q1071" s="165" t="s">
        <v>4291</v>
      </c>
      <c r="R1071" s="3">
        <f t="shared" si="34"/>
        <v>13230</v>
      </c>
      <c r="S1071" s="165">
        <v>13230</v>
      </c>
      <c r="T1071"/>
      <c r="U1071" s="3"/>
    </row>
    <row r="1072" spans="1:22">
      <c r="A1072" s="165" t="s">
        <v>4626</v>
      </c>
      <c r="B1072" s="94">
        <v>1102</v>
      </c>
      <c r="C1072" s="165" t="s">
        <v>4539</v>
      </c>
      <c r="D1072" s="165">
        <v>6</v>
      </c>
      <c r="E1072" s="165" t="s">
        <v>4633</v>
      </c>
      <c r="F1072" s="165" t="s">
        <v>4639</v>
      </c>
      <c r="G1072" s="165">
        <v>13230</v>
      </c>
      <c r="H1072" s="165"/>
      <c r="I1072" s="165"/>
      <c r="J1072" s="165"/>
      <c r="K1072" s="165">
        <v>13230</v>
      </c>
      <c r="L1072" s="165"/>
      <c r="M1072" s="165"/>
      <c r="N1072" s="165"/>
      <c r="O1072" s="337">
        <f t="shared" si="31"/>
        <v>0</v>
      </c>
      <c r="P1072" s="165" t="s">
        <v>5263</v>
      </c>
      <c r="Q1072" s="165" t="s">
        <v>4639</v>
      </c>
      <c r="R1072" s="3">
        <f t="shared" si="34"/>
        <v>13230</v>
      </c>
      <c r="S1072" s="165">
        <v>13230</v>
      </c>
      <c r="T1072"/>
      <c r="U1072" s="3"/>
    </row>
    <row r="1073" spans="1:21">
      <c r="A1073" s="165" t="s">
        <v>4626</v>
      </c>
      <c r="B1073" s="94">
        <v>1103</v>
      </c>
      <c r="C1073" s="165" t="s">
        <v>4539</v>
      </c>
      <c r="D1073" s="165">
        <v>7</v>
      </c>
      <c r="E1073" s="165" t="s">
        <v>4634</v>
      </c>
      <c r="F1073" s="165" t="s">
        <v>4640</v>
      </c>
      <c r="G1073" s="165">
        <v>13230</v>
      </c>
      <c r="H1073" s="165"/>
      <c r="I1073" s="165"/>
      <c r="J1073" s="165"/>
      <c r="K1073" s="165"/>
      <c r="L1073" s="165">
        <v>13230</v>
      </c>
      <c r="M1073" s="165"/>
      <c r="N1073" s="165"/>
      <c r="O1073" s="337">
        <f t="shared" si="31"/>
        <v>0</v>
      </c>
      <c r="P1073" s="165" t="s">
        <v>9631</v>
      </c>
      <c r="Q1073" s="165" t="s">
        <v>9631</v>
      </c>
      <c r="R1073" s="3">
        <f t="shared" si="34"/>
        <v>13230</v>
      </c>
      <c r="S1073" s="165">
        <v>13230</v>
      </c>
      <c r="T1073"/>
      <c r="U1073" s="3"/>
    </row>
    <row r="1074" spans="1:21">
      <c r="A1074" s="165" t="s">
        <v>4626</v>
      </c>
      <c r="B1074" s="94">
        <v>1104</v>
      </c>
      <c r="C1074" s="165" t="s">
        <v>4539</v>
      </c>
      <c r="D1074" s="165">
        <v>8</v>
      </c>
      <c r="E1074" s="165" t="s">
        <v>4635</v>
      </c>
      <c r="F1074" s="165" t="s">
        <v>4641</v>
      </c>
      <c r="G1074" s="165">
        <v>13230</v>
      </c>
      <c r="H1074" s="165"/>
      <c r="I1074" s="165"/>
      <c r="J1074" s="165"/>
      <c r="K1074" s="165"/>
      <c r="L1074" s="165">
        <v>13230</v>
      </c>
      <c r="M1074" s="165"/>
      <c r="N1074" s="165"/>
      <c r="O1074" s="337">
        <f t="shared" si="31"/>
        <v>0</v>
      </c>
      <c r="P1074" s="165" t="s">
        <v>9686</v>
      </c>
      <c r="Q1074" s="165" t="s">
        <v>9686</v>
      </c>
      <c r="R1074" s="3">
        <f t="shared" si="34"/>
        <v>13230</v>
      </c>
      <c r="S1074" s="165">
        <v>13230</v>
      </c>
      <c r="T1074"/>
      <c r="U1074" s="3"/>
    </row>
    <row r="1075" spans="1:21">
      <c r="A1075" s="165" t="s">
        <v>4642</v>
      </c>
      <c r="B1075" s="94">
        <v>1105</v>
      </c>
      <c r="C1075" s="165" t="s">
        <v>4537</v>
      </c>
      <c r="D1075" s="165">
        <v>1</v>
      </c>
      <c r="E1075" s="165" t="s">
        <v>4643</v>
      </c>
      <c r="F1075" s="165" t="s">
        <v>4031</v>
      </c>
      <c r="G1075" s="165">
        <v>12600</v>
      </c>
      <c r="H1075" s="165"/>
      <c r="I1075" s="165"/>
      <c r="J1075" s="165">
        <v>12600</v>
      </c>
      <c r="K1075" s="165"/>
      <c r="L1075" s="165"/>
      <c r="M1075" s="165"/>
      <c r="N1075" s="165"/>
      <c r="O1075" s="337">
        <f t="shared" si="31"/>
        <v>0</v>
      </c>
      <c r="P1075" s="165" t="s">
        <v>4715</v>
      </c>
      <c r="Q1075" s="165" t="s">
        <v>4786</v>
      </c>
      <c r="R1075" s="3">
        <f t="shared" si="34"/>
        <v>12600</v>
      </c>
      <c r="S1075" s="165">
        <v>12600</v>
      </c>
      <c r="T1075"/>
      <c r="U1075" s="3"/>
    </row>
    <row r="1076" spans="1:21">
      <c r="A1076" s="165" t="s">
        <v>4642</v>
      </c>
      <c r="B1076" s="94">
        <v>1106</v>
      </c>
      <c r="C1076" s="165" t="s">
        <v>4537</v>
      </c>
      <c r="D1076" s="165">
        <v>2</v>
      </c>
      <c r="E1076" s="165" t="s">
        <v>4644</v>
      </c>
      <c r="F1076" s="165" t="s">
        <v>4033</v>
      </c>
      <c r="G1076" s="165">
        <v>12600</v>
      </c>
      <c r="H1076" s="165"/>
      <c r="I1076" s="165"/>
      <c r="J1076" s="165">
        <v>12600</v>
      </c>
      <c r="K1076" s="165"/>
      <c r="L1076" s="165"/>
      <c r="M1076" s="165"/>
      <c r="N1076" s="165"/>
      <c r="O1076" s="337">
        <f t="shared" si="31"/>
        <v>0</v>
      </c>
      <c r="P1076" s="165" t="s">
        <v>4190</v>
      </c>
      <c r="Q1076" s="165" t="s">
        <v>4033</v>
      </c>
      <c r="R1076" s="3">
        <f t="shared" si="34"/>
        <v>12600</v>
      </c>
      <c r="S1076" s="165">
        <v>12600</v>
      </c>
      <c r="T1076"/>
      <c r="U1076" s="3"/>
    </row>
    <row r="1077" spans="1:21">
      <c r="A1077" s="165" t="s">
        <v>4642</v>
      </c>
      <c r="B1077" s="94">
        <v>1107</v>
      </c>
      <c r="C1077" s="165" t="s">
        <v>4537</v>
      </c>
      <c r="D1077" s="165">
        <v>3</v>
      </c>
      <c r="E1077" s="165" t="s">
        <v>4645</v>
      </c>
      <c r="F1077" s="165" t="s">
        <v>4651</v>
      </c>
      <c r="G1077" s="165">
        <v>12600</v>
      </c>
      <c r="H1077" s="165"/>
      <c r="I1077" s="165"/>
      <c r="J1077" s="165"/>
      <c r="K1077" s="165">
        <v>12600</v>
      </c>
      <c r="L1077" s="165"/>
      <c r="M1077" s="165"/>
      <c r="N1077" s="165"/>
      <c r="O1077" s="337">
        <f t="shared" si="31"/>
        <v>0</v>
      </c>
      <c r="P1077" s="165" t="s">
        <v>4651</v>
      </c>
      <c r="Q1077" s="165" t="s">
        <v>4793</v>
      </c>
      <c r="R1077" s="3">
        <f t="shared" si="34"/>
        <v>12600</v>
      </c>
      <c r="S1077" s="165">
        <v>12600</v>
      </c>
      <c r="T1077"/>
      <c r="U1077" s="3"/>
    </row>
    <row r="1078" spans="1:21">
      <c r="A1078" s="165" t="s">
        <v>4642</v>
      </c>
      <c r="B1078" s="94">
        <v>1108</v>
      </c>
      <c r="C1078" s="165" t="s">
        <v>4537</v>
      </c>
      <c r="D1078" s="165">
        <v>4</v>
      </c>
      <c r="E1078" s="165" t="s">
        <v>4646</v>
      </c>
      <c r="F1078" s="165" t="s">
        <v>4652</v>
      </c>
      <c r="G1078" s="165">
        <v>12600</v>
      </c>
      <c r="H1078" s="165"/>
      <c r="I1078" s="165"/>
      <c r="J1078" s="165"/>
      <c r="K1078" s="165">
        <v>12600</v>
      </c>
      <c r="L1078" s="165"/>
      <c r="M1078" s="165"/>
      <c r="N1078" s="165"/>
      <c r="O1078" s="337">
        <f t="shared" si="31"/>
        <v>0</v>
      </c>
      <c r="P1078" s="165" t="s">
        <v>4806</v>
      </c>
      <c r="Q1078" s="165" t="s">
        <v>4652</v>
      </c>
      <c r="R1078" s="3">
        <f t="shared" si="34"/>
        <v>12600</v>
      </c>
      <c r="S1078" s="165">
        <v>12600</v>
      </c>
      <c r="T1078"/>
      <c r="U1078" s="3"/>
    </row>
    <row r="1079" spans="1:21">
      <c r="A1079" s="165" t="s">
        <v>4642</v>
      </c>
      <c r="B1079" s="94">
        <v>1109</v>
      </c>
      <c r="C1079" s="165" t="s">
        <v>4537</v>
      </c>
      <c r="D1079" s="165">
        <v>5</v>
      </c>
      <c r="E1079" s="165" t="s">
        <v>4647</v>
      </c>
      <c r="F1079" s="165" t="s">
        <v>4653</v>
      </c>
      <c r="G1079" s="165">
        <v>12600</v>
      </c>
      <c r="H1079" s="165"/>
      <c r="I1079" s="165"/>
      <c r="J1079" s="165"/>
      <c r="K1079" s="165">
        <v>12600</v>
      </c>
      <c r="L1079" s="165"/>
      <c r="M1079" s="165"/>
      <c r="N1079" s="165"/>
      <c r="O1079" s="337">
        <f t="shared" si="31"/>
        <v>0</v>
      </c>
      <c r="P1079" s="165" t="s">
        <v>5500</v>
      </c>
      <c r="Q1079" s="165" t="s">
        <v>4653</v>
      </c>
      <c r="R1079" s="3">
        <f t="shared" si="34"/>
        <v>12600</v>
      </c>
      <c r="S1079" s="165">
        <v>12600</v>
      </c>
      <c r="T1079"/>
      <c r="U1079" s="3"/>
    </row>
    <row r="1080" spans="1:21">
      <c r="A1080" s="165" t="s">
        <v>4642</v>
      </c>
      <c r="B1080" s="94">
        <v>1110</v>
      </c>
      <c r="C1080" s="165" t="s">
        <v>4537</v>
      </c>
      <c r="D1080" s="165">
        <v>6</v>
      </c>
      <c r="E1080" s="165" t="s">
        <v>4648</v>
      </c>
      <c r="F1080" s="165" t="s">
        <v>4654</v>
      </c>
      <c r="G1080" s="165">
        <v>12600</v>
      </c>
      <c r="H1080" s="165"/>
      <c r="I1080" s="165"/>
      <c r="J1080" s="165"/>
      <c r="K1080" s="165">
        <v>12600</v>
      </c>
      <c r="L1080" s="165"/>
      <c r="M1080" s="165"/>
      <c r="N1080" s="165"/>
      <c r="O1080" s="337">
        <f t="shared" si="31"/>
        <v>0</v>
      </c>
      <c r="P1080" s="165" t="s">
        <v>5551</v>
      </c>
      <c r="Q1080" s="165" t="s">
        <v>4654</v>
      </c>
      <c r="R1080" s="3">
        <f t="shared" si="34"/>
        <v>12600</v>
      </c>
      <c r="S1080" s="165">
        <v>12600</v>
      </c>
      <c r="T1080"/>
      <c r="U1080" s="3"/>
    </row>
    <row r="1081" spans="1:21">
      <c r="A1081" s="165" t="s">
        <v>4642</v>
      </c>
      <c r="B1081" s="94">
        <v>1111</v>
      </c>
      <c r="C1081" s="165" t="s">
        <v>4537</v>
      </c>
      <c r="D1081" s="165">
        <v>7</v>
      </c>
      <c r="E1081" s="165" t="s">
        <v>4649</v>
      </c>
      <c r="F1081" s="165" t="s">
        <v>4655</v>
      </c>
      <c r="G1081" s="165">
        <v>12600</v>
      </c>
      <c r="H1081" s="165"/>
      <c r="I1081" s="165"/>
      <c r="J1081" s="165"/>
      <c r="K1081" s="165"/>
      <c r="L1081" s="165">
        <v>12600</v>
      </c>
      <c r="M1081" s="165"/>
      <c r="N1081" s="165"/>
      <c r="O1081" s="337">
        <f t="shared" si="31"/>
        <v>0</v>
      </c>
      <c r="P1081" s="165" t="s">
        <v>9632</v>
      </c>
      <c r="Q1081" s="165" t="s">
        <v>9632</v>
      </c>
      <c r="R1081" s="3">
        <f t="shared" si="34"/>
        <v>12600</v>
      </c>
      <c r="S1081" s="165">
        <v>12600</v>
      </c>
      <c r="T1081"/>
      <c r="U1081" s="3"/>
    </row>
    <row r="1082" spans="1:21">
      <c r="A1082" s="165" t="s">
        <v>4642</v>
      </c>
      <c r="B1082" s="94">
        <v>1112</v>
      </c>
      <c r="C1082" s="165" t="s">
        <v>4537</v>
      </c>
      <c r="D1082" s="165">
        <v>8</v>
      </c>
      <c r="E1082" s="165" t="s">
        <v>4650</v>
      </c>
      <c r="F1082" s="165" t="s">
        <v>4656</v>
      </c>
      <c r="G1082" s="165">
        <v>12600</v>
      </c>
      <c r="H1082" s="165"/>
      <c r="I1082" s="165"/>
      <c r="J1082" s="165"/>
      <c r="K1082" s="165"/>
      <c r="L1082" s="165">
        <v>12600</v>
      </c>
      <c r="M1082" s="165"/>
      <c r="N1082" s="165"/>
      <c r="O1082" s="337">
        <f t="shared" si="31"/>
        <v>0</v>
      </c>
      <c r="P1082" s="165" t="s">
        <v>9635</v>
      </c>
      <c r="Q1082" s="165" t="s">
        <v>9635</v>
      </c>
      <c r="R1082" s="3">
        <f t="shared" si="34"/>
        <v>12600</v>
      </c>
      <c r="S1082" s="165">
        <v>12600</v>
      </c>
      <c r="T1082"/>
      <c r="U1082" s="3"/>
    </row>
    <row r="1083" spans="1:21">
      <c r="A1083" s="165" t="s">
        <v>4657</v>
      </c>
      <c r="B1083" s="94">
        <v>1113</v>
      </c>
      <c r="C1083" s="165" t="s">
        <v>4530</v>
      </c>
      <c r="D1083" s="165">
        <v>1</v>
      </c>
      <c r="E1083" s="165" t="s">
        <v>4658</v>
      </c>
      <c r="F1083" s="165" t="s">
        <v>4278</v>
      </c>
      <c r="G1083" s="165">
        <v>14175</v>
      </c>
      <c r="H1083" s="165"/>
      <c r="I1083" s="165"/>
      <c r="J1083" s="165">
        <v>14175</v>
      </c>
      <c r="K1083" s="165"/>
      <c r="L1083" s="165"/>
      <c r="M1083" s="165"/>
      <c r="N1083" s="165"/>
      <c r="O1083" s="337">
        <f t="shared" si="31"/>
        <v>0</v>
      </c>
      <c r="P1083" s="165" t="s">
        <v>4767</v>
      </c>
      <c r="Q1083" s="165" t="s">
        <v>4782</v>
      </c>
      <c r="R1083" s="3">
        <f t="shared" si="34"/>
        <v>14175</v>
      </c>
      <c r="S1083" s="165">
        <v>14175</v>
      </c>
      <c r="T1083"/>
      <c r="U1083" s="3"/>
    </row>
    <row r="1084" spans="1:21">
      <c r="A1084" s="165" t="s">
        <v>4657</v>
      </c>
      <c r="B1084" s="94">
        <v>1114</v>
      </c>
      <c r="C1084" s="165" t="s">
        <v>4530</v>
      </c>
      <c r="D1084" s="165">
        <v>2</v>
      </c>
      <c r="E1084" s="165" t="s">
        <v>4659</v>
      </c>
      <c r="F1084" s="165" t="s">
        <v>4280</v>
      </c>
      <c r="G1084" s="165">
        <v>14175</v>
      </c>
      <c r="H1084" s="165"/>
      <c r="I1084" s="165"/>
      <c r="J1084" s="165">
        <v>14175</v>
      </c>
      <c r="K1084" s="165"/>
      <c r="L1084" s="165"/>
      <c r="M1084" s="165"/>
      <c r="N1084" s="165"/>
      <c r="O1084" s="337">
        <f t="shared" si="31"/>
        <v>0</v>
      </c>
      <c r="P1084" s="165" t="s">
        <v>4772</v>
      </c>
      <c r="Q1084" s="165" t="s">
        <v>4088</v>
      </c>
      <c r="R1084" s="3">
        <f t="shared" si="34"/>
        <v>14175</v>
      </c>
      <c r="S1084" s="165">
        <v>14175</v>
      </c>
      <c r="T1084"/>
      <c r="U1084" s="3"/>
    </row>
    <row r="1085" spans="1:21">
      <c r="A1085" s="165" t="s">
        <v>4657</v>
      </c>
      <c r="B1085" s="94">
        <v>1115</v>
      </c>
      <c r="C1085" s="165" t="s">
        <v>4530</v>
      </c>
      <c r="D1085" s="165">
        <v>3</v>
      </c>
      <c r="E1085" s="165" t="s">
        <v>4660</v>
      </c>
      <c r="F1085" s="165" t="s">
        <v>4666</v>
      </c>
      <c r="G1085" s="165">
        <v>14175</v>
      </c>
      <c r="H1085" s="165"/>
      <c r="I1085" s="165"/>
      <c r="J1085" s="165"/>
      <c r="K1085" s="165">
        <v>14175</v>
      </c>
      <c r="L1085" s="165"/>
      <c r="M1085" s="165"/>
      <c r="N1085" s="165"/>
      <c r="O1085" s="337">
        <f t="shared" si="31"/>
        <v>0</v>
      </c>
      <c r="P1085" s="165" t="s">
        <v>5294</v>
      </c>
      <c r="Q1085" s="165" t="s">
        <v>4788</v>
      </c>
      <c r="R1085" s="3">
        <f t="shared" si="34"/>
        <v>14175</v>
      </c>
      <c r="S1085" s="165">
        <v>14175</v>
      </c>
      <c r="T1085"/>
      <c r="U1085" s="3"/>
    </row>
    <row r="1086" spans="1:21">
      <c r="A1086" s="165" t="s">
        <v>4657</v>
      </c>
      <c r="B1086" s="94">
        <v>1116</v>
      </c>
      <c r="C1086" s="165" t="s">
        <v>4530</v>
      </c>
      <c r="D1086" s="165">
        <v>4</v>
      </c>
      <c r="E1086" s="165" t="s">
        <v>4661</v>
      </c>
      <c r="F1086" s="165" t="s">
        <v>4667</v>
      </c>
      <c r="G1086" s="165">
        <v>14175</v>
      </c>
      <c r="H1086" s="165"/>
      <c r="I1086" s="165"/>
      <c r="J1086" s="165"/>
      <c r="K1086" s="165">
        <v>14175</v>
      </c>
      <c r="L1086" s="165"/>
      <c r="M1086" s="165"/>
      <c r="N1086" s="165"/>
      <c r="O1086" s="337">
        <f t="shared" si="31"/>
        <v>0</v>
      </c>
      <c r="P1086" s="165" t="s">
        <v>5333</v>
      </c>
      <c r="Q1086" s="165" t="s">
        <v>4795</v>
      </c>
      <c r="R1086" s="3">
        <f t="shared" si="34"/>
        <v>14175</v>
      </c>
      <c r="S1086" s="165">
        <v>14175</v>
      </c>
      <c r="T1086"/>
      <c r="U1086" s="3"/>
    </row>
    <row r="1087" spans="1:21">
      <c r="A1087" s="165" t="s">
        <v>4657</v>
      </c>
      <c r="B1087" s="94">
        <v>1117</v>
      </c>
      <c r="C1087" s="165" t="s">
        <v>4530</v>
      </c>
      <c r="D1087" s="165">
        <v>5</v>
      </c>
      <c r="E1087" s="165" t="s">
        <v>4662</v>
      </c>
      <c r="F1087" s="165" t="s">
        <v>4668</v>
      </c>
      <c r="G1087" s="165">
        <v>14175</v>
      </c>
      <c r="H1087" s="165"/>
      <c r="I1087" s="165"/>
      <c r="J1087" s="165"/>
      <c r="K1087" s="165">
        <v>14175</v>
      </c>
      <c r="L1087" s="165"/>
      <c r="M1087" s="165"/>
      <c r="N1087" s="165"/>
      <c r="O1087" s="337">
        <f t="shared" si="31"/>
        <v>0</v>
      </c>
      <c r="P1087" s="165" t="s">
        <v>5453</v>
      </c>
      <c r="Q1087" s="165" t="s">
        <v>4668</v>
      </c>
      <c r="R1087" s="3">
        <f t="shared" si="34"/>
        <v>14175</v>
      </c>
      <c r="S1087" s="165">
        <v>14175</v>
      </c>
      <c r="T1087"/>
      <c r="U1087" s="3"/>
    </row>
    <row r="1088" spans="1:21">
      <c r="A1088" s="165" t="s">
        <v>4657</v>
      </c>
      <c r="B1088" s="94">
        <v>1118</v>
      </c>
      <c r="C1088" s="165" t="s">
        <v>4530</v>
      </c>
      <c r="D1088" s="165">
        <v>6</v>
      </c>
      <c r="E1088" s="165" t="s">
        <v>4663</v>
      </c>
      <c r="F1088" s="165" t="s">
        <v>4669</v>
      </c>
      <c r="G1088" s="165">
        <v>14175</v>
      </c>
      <c r="H1088" s="165"/>
      <c r="I1088" s="165"/>
      <c r="J1088" s="165"/>
      <c r="K1088" s="165">
        <v>14175</v>
      </c>
      <c r="L1088" s="165"/>
      <c r="M1088" s="165"/>
      <c r="N1088" s="165"/>
      <c r="O1088" s="337">
        <f t="shared" si="31"/>
        <v>0</v>
      </c>
      <c r="P1088" s="165" t="s">
        <v>5504</v>
      </c>
      <c r="Q1088" s="165" t="s">
        <v>4669</v>
      </c>
      <c r="R1088" s="3">
        <f t="shared" si="34"/>
        <v>14175</v>
      </c>
      <c r="S1088" s="165">
        <v>14175</v>
      </c>
      <c r="T1088"/>
      <c r="U1088" s="3"/>
    </row>
    <row r="1089" spans="1:21">
      <c r="A1089" s="165" t="s">
        <v>4657</v>
      </c>
      <c r="B1089" s="94">
        <v>1119</v>
      </c>
      <c r="C1089" s="165" t="s">
        <v>4530</v>
      </c>
      <c r="D1089" s="165">
        <v>7</v>
      </c>
      <c r="E1089" s="165" t="s">
        <v>4664</v>
      </c>
      <c r="F1089" s="165" t="s">
        <v>4670</v>
      </c>
      <c r="G1089" s="165">
        <v>14175</v>
      </c>
      <c r="H1089" s="165"/>
      <c r="I1089" s="165"/>
      <c r="J1089" s="165"/>
      <c r="K1089" s="165">
        <v>14175</v>
      </c>
      <c r="L1089" s="165"/>
      <c r="M1089" s="165"/>
      <c r="N1089" s="165"/>
      <c r="O1089" s="337">
        <f t="shared" si="31"/>
        <v>0</v>
      </c>
      <c r="P1089" s="165" t="s">
        <v>5289</v>
      </c>
      <c r="Q1089" s="165" t="s">
        <v>4670</v>
      </c>
      <c r="R1089" s="3">
        <f t="shared" si="34"/>
        <v>14175</v>
      </c>
      <c r="S1089" s="165">
        <v>14175</v>
      </c>
      <c r="T1089"/>
      <c r="U1089" s="3"/>
    </row>
    <row r="1090" spans="1:21">
      <c r="A1090" s="165" t="s">
        <v>4657</v>
      </c>
      <c r="B1090" s="94">
        <v>1120</v>
      </c>
      <c r="C1090" s="165" t="s">
        <v>4530</v>
      </c>
      <c r="D1090" s="165">
        <v>8</v>
      </c>
      <c r="E1090" s="165" t="s">
        <v>4665</v>
      </c>
      <c r="F1090" s="165" t="s">
        <v>4671</v>
      </c>
      <c r="G1090" s="165">
        <v>14175</v>
      </c>
      <c r="H1090" s="165"/>
      <c r="I1090" s="165"/>
      <c r="J1090" s="165"/>
      <c r="K1090" s="165"/>
      <c r="L1090" s="165">
        <v>14175</v>
      </c>
      <c r="M1090" s="165"/>
      <c r="N1090" s="165"/>
      <c r="O1090" s="337">
        <f t="shared" si="31"/>
        <v>0</v>
      </c>
      <c r="P1090" s="165" t="s">
        <v>9860</v>
      </c>
      <c r="Q1090" s="165" t="s">
        <v>9860</v>
      </c>
      <c r="R1090" s="3">
        <f t="shared" si="34"/>
        <v>14175</v>
      </c>
      <c r="S1090" s="165">
        <v>14175</v>
      </c>
      <c r="T1090"/>
      <c r="U1090" s="3"/>
    </row>
    <row r="1091" spans="1:21">
      <c r="A1091" s="165" t="s">
        <v>4278</v>
      </c>
      <c r="B1091" s="94">
        <v>1121</v>
      </c>
      <c r="C1091" s="165" t="s">
        <v>4418</v>
      </c>
      <c r="D1091" s="165">
        <v>7</v>
      </c>
      <c r="E1091" s="165" t="s">
        <v>4672</v>
      </c>
      <c r="F1091" s="165" t="s">
        <v>4673</v>
      </c>
      <c r="G1091" s="165"/>
      <c r="H1091" s="165">
        <v>11340</v>
      </c>
      <c r="I1091" s="165"/>
      <c r="J1091" s="165">
        <v>11340</v>
      </c>
      <c r="K1091" s="165"/>
      <c r="L1091" s="165"/>
      <c r="M1091" s="165"/>
      <c r="N1091" s="165"/>
      <c r="O1091" s="337">
        <f t="shared" si="31"/>
        <v>0</v>
      </c>
      <c r="P1091" s="165" t="s">
        <v>4767</v>
      </c>
      <c r="Q1091" s="165" t="s">
        <v>4782</v>
      </c>
      <c r="R1091" s="3">
        <f>H1091</f>
        <v>11340</v>
      </c>
      <c r="S1091" s="7">
        <v>11340</v>
      </c>
      <c r="T1091"/>
      <c r="U1091" s="3"/>
    </row>
    <row r="1092" spans="1:21">
      <c r="A1092" s="165" t="s">
        <v>4674</v>
      </c>
      <c r="B1092" s="94">
        <v>1122</v>
      </c>
      <c r="C1092" s="165" t="s">
        <v>1232</v>
      </c>
      <c r="D1092" s="165">
        <v>9</v>
      </c>
      <c r="E1092" s="165" t="s">
        <v>4675</v>
      </c>
      <c r="F1092" s="165" t="s">
        <v>4676</v>
      </c>
      <c r="G1092" s="165">
        <v>16380</v>
      </c>
      <c r="H1092" s="165"/>
      <c r="I1092" s="165"/>
      <c r="J1092" s="165">
        <v>16380</v>
      </c>
      <c r="K1092" s="165"/>
      <c r="L1092" s="165"/>
      <c r="M1092" s="165"/>
      <c r="N1092" s="165"/>
      <c r="O1092" s="337">
        <f t="shared" si="31"/>
        <v>0</v>
      </c>
      <c r="P1092" s="165" t="s">
        <v>4769</v>
      </c>
      <c r="Q1092" s="165" t="s">
        <v>4783</v>
      </c>
      <c r="R1092" s="3">
        <f t="shared" ref="R1092:R1108" si="35">G1092</f>
        <v>16380</v>
      </c>
      <c r="S1092" s="7">
        <v>16380</v>
      </c>
      <c r="T1092"/>
      <c r="U1092" s="3"/>
    </row>
    <row r="1093" spans="1:21">
      <c r="A1093" s="165" t="s">
        <v>4677</v>
      </c>
      <c r="B1093" s="94">
        <v>1123</v>
      </c>
      <c r="C1093" s="165" t="s">
        <v>4678</v>
      </c>
      <c r="D1093" s="165">
        <v>1</v>
      </c>
      <c r="E1093" s="165" t="s">
        <v>4679</v>
      </c>
      <c r="F1093" s="165" t="s">
        <v>4680</v>
      </c>
      <c r="G1093" s="165">
        <v>17325</v>
      </c>
      <c r="H1093" s="165"/>
      <c r="I1093" s="165"/>
      <c r="J1093" s="165">
        <v>17325</v>
      </c>
      <c r="K1093" s="165"/>
      <c r="L1093" s="165"/>
      <c r="M1093" s="165"/>
      <c r="N1093" s="165"/>
      <c r="O1093" s="337">
        <f t="shared" si="31"/>
        <v>0</v>
      </c>
      <c r="P1093" s="165" t="s">
        <v>4771</v>
      </c>
      <c r="Q1093" s="165" t="s">
        <v>4785</v>
      </c>
      <c r="R1093" s="3">
        <f t="shared" si="35"/>
        <v>17325</v>
      </c>
      <c r="S1093" s="7">
        <v>17325</v>
      </c>
      <c r="T1093"/>
      <c r="U1093" s="3"/>
    </row>
    <row r="1094" spans="1:21">
      <c r="A1094" s="165" t="s">
        <v>4677</v>
      </c>
      <c r="B1094" s="94">
        <v>1124</v>
      </c>
      <c r="C1094" s="165" t="s">
        <v>4678</v>
      </c>
      <c r="D1094" s="165">
        <v>2</v>
      </c>
      <c r="E1094" s="165" t="s">
        <v>4681</v>
      </c>
      <c r="F1094" s="165" t="s">
        <v>4688</v>
      </c>
      <c r="G1094" s="165">
        <v>17325</v>
      </c>
      <c r="H1094" s="165"/>
      <c r="I1094" s="165"/>
      <c r="J1094" s="165">
        <v>17325</v>
      </c>
      <c r="K1094" s="165"/>
      <c r="L1094" s="165"/>
      <c r="M1094" s="165"/>
      <c r="N1094" s="165"/>
      <c r="O1094" s="337">
        <f t="shared" si="31"/>
        <v>0</v>
      </c>
      <c r="P1094" s="165" t="s">
        <v>4190</v>
      </c>
      <c r="Q1094" s="165" t="s">
        <v>4033</v>
      </c>
      <c r="R1094" s="3">
        <f t="shared" si="35"/>
        <v>17325</v>
      </c>
      <c r="S1094" s="7">
        <v>17325</v>
      </c>
      <c r="T1094"/>
      <c r="U1094" s="3"/>
    </row>
    <row r="1095" spans="1:21">
      <c r="A1095" s="165" t="s">
        <v>4677</v>
      </c>
      <c r="B1095" s="94">
        <v>1125</v>
      </c>
      <c r="C1095" s="165" t="s">
        <v>4678</v>
      </c>
      <c r="D1095" s="165">
        <v>3</v>
      </c>
      <c r="E1095" s="165" t="s">
        <v>4682</v>
      </c>
      <c r="F1095" s="165" t="s">
        <v>4692</v>
      </c>
      <c r="G1095" s="165">
        <v>17325</v>
      </c>
      <c r="H1095" s="165"/>
      <c r="I1095" s="165"/>
      <c r="J1095" s="165"/>
      <c r="K1095" s="165">
        <v>17325</v>
      </c>
      <c r="L1095" s="165"/>
      <c r="M1095" s="165"/>
      <c r="N1095" s="165"/>
      <c r="O1095" s="337">
        <f t="shared" si="31"/>
        <v>0</v>
      </c>
      <c r="P1095" s="165" t="s">
        <v>4791</v>
      </c>
      <c r="Q1095" s="165" t="s">
        <v>4789</v>
      </c>
      <c r="R1095" s="3">
        <f t="shared" si="35"/>
        <v>17325</v>
      </c>
      <c r="S1095" s="7">
        <v>17325</v>
      </c>
      <c r="T1095"/>
      <c r="U1095" s="3"/>
    </row>
    <row r="1096" spans="1:21">
      <c r="A1096" s="165" t="s">
        <v>4677</v>
      </c>
      <c r="B1096" s="94">
        <v>1126</v>
      </c>
      <c r="C1096" s="165" t="s">
        <v>4678</v>
      </c>
      <c r="D1096" s="165">
        <v>4</v>
      </c>
      <c r="E1096" s="165" t="s">
        <v>4683</v>
      </c>
      <c r="F1096" s="165" t="s">
        <v>4689</v>
      </c>
      <c r="G1096" s="165">
        <v>17325</v>
      </c>
      <c r="H1096" s="165"/>
      <c r="I1096" s="165"/>
      <c r="J1096" s="165"/>
      <c r="K1096" s="165">
        <v>17325</v>
      </c>
      <c r="L1096" s="165"/>
      <c r="M1096" s="165"/>
      <c r="N1096" s="165"/>
      <c r="O1096" s="337">
        <f t="shared" ref="O1096:O1157" si="36">G1096+H1096+I1096-J1096-K1096-L1096</f>
        <v>0</v>
      </c>
      <c r="P1096" s="165" t="s">
        <v>4804</v>
      </c>
      <c r="Q1096" s="165" t="s">
        <v>4689</v>
      </c>
      <c r="R1096" s="3">
        <f t="shared" si="35"/>
        <v>17325</v>
      </c>
      <c r="S1096" s="7">
        <v>17325</v>
      </c>
      <c r="T1096"/>
      <c r="U1096" s="3"/>
    </row>
    <row r="1097" spans="1:21">
      <c r="A1097" s="165" t="s">
        <v>4677</v>
      </c>
      <c r="B1097" s="94">
        <v>1127</v>
      </c>
      <c r="C1097" s="165" t="s">
        <v>4678</v>
      </c>
      <c r="D1097" s="165">
        <v>5</v>
      </c>
      <c r="E1097" s="165" t="s">
        <v>4684</v>
      </c>
      <c r="F1097" s="165" t="s">
        <v>4690</v>
      </c>
      <c r="G1097" s="165">
        <v>17325</v>
      </c>
      <c r="H1097" s="165"/>
      <c r="I1097" s="165"/>
      <c r="J1097" s="165"/>
      <c r="K1097" s="165">
        <v>17325</v>
      </c>
      <c r="L1097" s="165"/>
      <c r="M1097" s="165"/>
      <c r="N1097" s="165"/>
      <c r="O1097" s="337">
        <f t="shared" si="36"/>
        <v>0</v>
      </c>
      <c r="P1097" s="165" t="s">
        <v>5488</v>
      </c>
      <c r="Q1097" s="165" t="s">
        <v>5499</v>
      </c>
      <c r="R1097" s="3">
        <f t="shared" si="35"/>
        <v>17325</v>
      </c>
      <c r="S1097" s="7">
        <v>17325</v>
      </c>
      <c r="T1097"/>
      <c r="U1097" s="3"/>
    </row>
    <row r="1098" spans="1:21">
      <c r="A1098" s="165" t="s">
        <v>4677</v>
      </c>
      <c r="B1098" s="94">
        <v>1128</v>
      </c>
      <c r="C1098" s="165" t="s">
        <v>4678</v>
      </c>
      <c r="D1098" s="165">
        <v>6</v>
      </c>
      <c r="E1098" s="165" t="s">
        <v>4685</v>
      </c>
      <c r="F1098" s="165" t="s">
        <v>4691</v>
      </c>
      <c r="G1098" s="165">
        <v>17325</v>
      </c>
      <c r="H1098" s="165"/>
      <c r="I1098" s="165"/>
      <c r="J1098" s="165"/>
      <c r="K1098" s="165">
        <v>17325</v>
      </c>
      <c r="L1098" s="165"/>
      <c r="M1098" s="165"/>
      <c r="N1098" s="165"/>
      <c r="O1098" s="337">
        <f t="shared" si="36"/>
        <v>0</v>
      </c>
      <c r="P1098" s="165" t="s">
        <v>5263</v>
      </c>
      <c r="Q1098" s="165" t="s">
        <v>5550</v>
      </c>
      <c r="R1098" s="3">
        <f t="shared" si="35"/>
        <v>17325</v>
      </c>
      <c r="S1098" s="7">
        <v>17325</v>
      </c>
      <c r="T1098"/>
      <c r="U1098" s="3"/>
    </row>
    <row r="1099" spans="1:21">
      <c r="A1099" s="165" t="s">
        <v>4677</v>
      </c>
      <c r="B1099" s="94">
        <v>1129</v>
      </c>
      <c r="C1099" s="165" t="s">
        <v>4678</v>
      </c>
      <c r="D1099" s="165">
        <v>7</v>
      </c>
      <c r="E1099" s="165" t="s">
        <v>4686</v>
      </c>
      <c r="F1099" s="165" t="s">
        <v>4694</v>
      </c>
      <c r="G1099" s="165">
        <v>17325</v>
      </c>
      <c r="H1099" s="165"/>
      <c r="I1099" s="165"/>
      <c r="J1099" s="165"/>
      <c r="K1099" s="165"/>
      <c r="L1099" s="165">
        <v>17325</v>
      </c>
      <c r="M1099" s="165"/>
      <c r="N1099" s="165"/>
      <c r="O1099" s="337">
        <f t="shared" si="36"/>
        <v>0</v>
      </c>
      <c r="P1099" s="165" t="s">
        <v>9690</v>
      </c>
      <c r="Q1099" s="165" t="s">
        <v>9690</v>
      </c>
      <c r="R1099" s="3">
        <f t="shared" si="35"/>
        <v>17325</v>
      </c>
      <c r="S1099" s="7">
        <v>17325</v>
      </c>
      <c r="T1099"/>
      <c r="U1099" s="3"/>
    </row>
    <row r="1100" spans="1:21">
      <c r="A1100" s="165" t="s">
        <v>4677</v>
      </c>
      <c r="B1100" s="94">
        <v>1130</v>
      </c>
      <c r="C1100" s="165" t="s">
        <v>4678</v>
      </c>
      <c r="D1100" s="165">
        <v>8</v>
      </c>
      <c r="E1100" s="165" t="s">
        <v>4687</v>
      </c>
      <c r="F1100" s="165" t="s">
        <v>4693</v>
      </c>
      <c r="G1100" s="165">
        <v>17325</v>
      </c>
      <c r="H1100" s="165"/>
      <c r="I1100" s="165"/>
      <c r="J1100" s="165"/>
      <c r="K1100" s="165"/>
      <c r="L1100" s="165">
        <v>17325</v>
      </c>
      <c r="M1100" s="165"/>
      <c r="N1100" s="165"/>
      <c r="O1100" s="337">
        <f t="shared" si="36"/>
        <v>0</v>
      </c>
      <c r="P1100" s="165" t="s">
        <v>9691</v>
      </c>
      <c r="Q1100" s="165" t="s">
        <v>9691</v>
      </c>
      <c r="R1100" s="3">
        <f t="shared" si="35"/>
        <v>17325</v>
      </c>
      <c r="S1100" s="7">
        <v>17325</v>
      </c>
      <c r="T1100"/>
      <c r="U1100" s="3"/>
    </row>
    <row r="1101" spans="1:21">
      <c r="A1101" s="165" t="s">
        <v>4677</v>
      </c>
      <c r="B1101" s="94">
        <v>1131</v>
      </c>
      <c r="C1101" s="165" t="s">
        <v>4695</v>
      </c>
      <c r="D1101" s="165">
        <v>1</v>
      </c>
      <c r="E1101" s="165" t="s">
        <v>4696</v>
      </c>
      <c r="F1101" s="165" t="s">
        <v>4680</v>
      </c>
      <c r="G1101" s="165">
        <v>12600</v>
      </c>
      <c r="H1101" s="165"/>
      <c r="I1101" s="165"/>
      <c r="J1101" s="165">
        <v>12600</v>
      </c>
      <c r="K1101" s="165"/>
      <c r="L1101" s="165"/>
      <c r="M1101" s="165"/>
      <c r="N1101" s="165"/>
      <c r="O1101" s="337">
        <f t="shared" si="36"/>
        <v>0</v>
      </c>
      <c r="P1101" s="165" t="s">
        <v>4771</v>
      </c>
      <c r="Q1101" s="165" t="s">
        <v>4785</v>
      </c>
      <c r="R1101" s="3">
        <f t="shared" si="35"/>
        <v>12600</v>
      </c>
      <c r="S1101" s="7">
        <v>12600</v>
      </c>
      <c r="T1101"/>
      <c r="U1101" s="3"/>
    </row>
    <row r="1102" spans="1:21">
      <c r="A1102" s="165" t="s">
        <v>4677</v>
      </c>
      <c r="B1102" s="94">
        <v>1132</v>
      </c>
      <c r="C1102" s="165" t="s">
        <v>4695</v>
      </c>
      <c r="D1102" s="165">
        <v>2</v>
      </c>
      <c r="E1102" s="165" t="s">
        <v>4697</v>
      </c>
      <c r="F1102" s="165" t="s">
        <v>4688</v>
      </c>
      <c r="G1102" s="165">
        <v>12600</v>
      </c>
      <c r="H1102" s="165"/>
      <c r="I1102" s="165"/>
      <c r="J1102" s="165">
        <v>12600</v>
      </c>
      <c r="K1102" s="165"/>
      <c r="L1102" s="165"/>
      <c r="M1102" s="165"/>
      <c r="N1102" s="165"/>
      <c r="O1102" s="337">
        <f t="shared" si="36"/>
        <v>0</v>
      </c>
      <c r="P1102" s="165" t="s">
        <v>4190</v>
      </c>
      <c r="Q1102" s="165" t="s">
        <v>4033</v>
      </c>
      <c r="R1102" s="3">
        <f t="shared" si="35"/>
        <v>12600</v>
      </c>
      <c r="S1102" s="7">
        <v>12600</v>
      </c>
      <c r="T1102"/>
      <c r="U1102" s="3"/>
    </row>
    <row r="1103" spans="1:21">
      <c r="A1103" s="165" t="s">
        <v>4677</v>
      </c>
      <c r="B1103" s="94">
        <v>1133</v>
      </c>
      <c r="C1103" s="165" t="s">
        <v>4695</v>
      </c>
      <c r="D1103" s="165">
        <v>3</v>
      </c>
      <c r="E1103" s="165" t="s">
        <v>4698</v>
      </c>
      <c r="F1103" s="165" t="s">
        <v>4692</v>
      </c>
      <c r="G1103" s="165">
        <v>12600</v>
      </c>
      <c r="H1103" s="165"/>
      <c r="I1103" s="165"/>
      <c r="J1103" s="165"/>
      <c r="K1103" s="165">
        <v>12600</v>
      </c>
      <c r="L1103" s="165"/>
      <c r="M1103" s="165"/>
      <c r="N1103" s="165"/>
      <c r="O1103" s="337">
        <f t="shared" si="36"/>
        <v>0</v>
      </c>
      <c r="P1103" s="165" t="s">
        <v>4791</v>
      </c>
      <c r="Q1103" s="165" t="s">
        <v>4789</v>
      </c>
      <c r="R1103" s="3">
        <f t="shared" si="35"/>
        <v>12600</v>
      </c>
      <c r="S1103" s="7">
        <v>12600</v>
      </c>
      <c r="T1103"/>
      <c r="U1103" s="3"/>
    </row>
    <row r="1104" spans="1:21">
      <c r="A1104" s="165" t="s">
        <v>4677</v>
      </c>
      <c r="B1104" s="94">
        <v>1134</v>
      </c>
      <c r="C1104" s="165" t="s">
        <v>4695</v>
      </c>
      <c r="D1104" s="165">
        <v>4</v>
      </c>
      <c r="E1104" s="165" t="s">
        <v>4699</v>
      </c>
      <c r="F1104" s="165" t="s">
        <v>4689</v>
      </c>
      <c r="G1104" s="165">
        <v>12600</v>
      </c>
      <c r="H1104" s="165"/>
      <c r="I1104" s="165"/>
      <c r="J1104" s="165"/>
      <c r="K1104" s="165">
        <v>12600</v>
      </c>
      <c r="L1104" s="165"/>
      <c r="M1104" s="165"/>
      <c r="N1104" s="165"/>
      <c r="O1104" s="337">
        <f t="shared" si="36"/>
        <v>0</v>
      </c>
      <c r="P1104" s="165" t="s">
        <v>4804</v>
      </c>
      <c r="Q1104" s="165" t="s">
        <v>4689</v>
      </c>
      <c r="R1104" s="3">
        <f t="shared" si="35"/>
        <v>12600</v>
      </c>
      <c r="S1104" s="7">
        <v>12600</v>
      </c>
      <c r="T1104"/>
      <c r="U1104" s="3"/>
    </row>
    <row r="1105" spans="1:22">
      <c r="A1105" s="165" t="s">
        <v>4677</v>
      </c>
      <c r="B1105" s="94">
        <v>1135</v>
      </c>
      <c r="C1105" s="165" t="s">
        <v>4695</v>
      </c>
      <c r="D1105" s="165">
        <v>5</v>
      </c>
      <c r="E1105" s="165" t="s">
        <v>4700</v>
      </c>
      <c r="F1105" s="165" t="s">
        <v>4690</v>
      </c>
      <c r="G1105" s="165">
        <v>12600</v>
      </c>
      <c r="H1105" s="165"/>
      <c r="I1105" s="165"/>
      <c r="J1105" s="165"/>
      <c r="K1105" s="165">
        <v>12600</v>
      </c>
      <c r="L1105" s="165"/>
      <c r="M1105" s="165"/>
      <c r="N1105" s="165"/>
      <c r="O1105" s="337">
        <f t="shared" si="36"/>
        <v>0</v>
      </c>
      <c r="P1105" s="165" t="s">
        <v>5488</v>
      </c>
      <c r="Q1105" s="165" t="s">
        <v>5499</v>
      </c>
      <c r="R1105" s="3">
        <f t="shared" si="35"/>
        <v>12600</v>
      </c>
      <c r="S1105" s="7">
        <v>12600</v>
      </c>
      <c r="T1105"/>
      <c r="U1105" s="3"/>
    </row>
    <row r="1106" spans="1:22">
      <c r="A1106" s="165" t="s">
        <v>4677</v>
      </c>
      <c r="B1106" s="94">
        <v>1136</v>
      </c>
      <c r="C1106" s="165" t="s">
        <v>4695</v>
      </c>
      <c r="D1106" s="165">
        <v>6</v>
      </c>
      <c r="E1106" s="165" t="s">
        <v>4701</v>
      </c>
      <c r="F1106" s="165" t="s">
        <v>4691</v>
      </c>
      <c r="G1106" s="165">
        <v>12600</v>
      </c>
      <c r="H1106" s="165"/>
      <c r="I1106" s="165"/>
      <c r="J1106" s="165"/>
      <c r="K1106" s="165">
        <v>12600</v>
      </c>
      <c r="L1106" s="165"/>
      <c r="M1106" s="165"/>
      <c r="N1106" s="165"/>
      <c r="O1106" s="337">
        <f t="shared" si="36"/>
        <v>0</v>
      </c>
      <c r="P1106" s="165" t="s">
        <v>5263</v>
      </c>
      <c r="Q1106" s="165" t="s">
        <v>5550</v>
      </c>
      <c r="R1106" s="3">
        <f t="shared" si="35"/>
        <v>12600</v>
      </c>
      <c r="S1106" s="7">
        <v>12600</v>
      </c>
      <c r="T1106"/>
      <c r="U1106" s="3"/>
    </row>
    <row r="1107" spans="1:22">
      <c r="A1107" s="165" t="s">
        <v>4677</v>
      </c>
      <c r="B1107" s="94">
        <v>1137</v>
      </c>
      <c r="C1107" s="165" t="s">
        <v>4695</v>
      </c>
      <c r="D1107" s="165">
        <v>7</v>
      </c>
      <c r="E1107" s="165" t="s">
        <v>4702</v>
      </c>
      <c r="F1107" s="165" t="s">
        <v>4694</v>
      </c>
      <c r="G1107" s="165">
        <v>12600</v>
      </c>
      <c r="H1107" s="165"/>
      <c r="I1107" s="165"/>
      <c r="J1107" s="165"/>
      <c r="K1107" s="165"/>
      <c r="L1107" s="165">
        <v>12600</v>
      </c>
      <c r="M1107" s="165"/>
      <c r="N1107" s="165"/>
      <c r="O1107" s="337">
        <f t="shared" si="36"/>
        <v>0</v>
      </c>
      <c r="P1107" s="165" t="s">
        <v>9690</v>
      </c>
      <c r="Q1107" s="165" t="s">
        <v>9690</v>
      </c>
      <c r="R1107" s="3">
        <f t="shared" si="35"/>
        <v>12600</v>
      </c>
      <c r="S1107" s="7">
        <v>12600</v>
      </c>
      <c r="T1107"/>
      <c r="U1107" s="3"/>
    </row>
    <row r="1108" spans="1:22">
      <c r="A1108" s="165" t="s">
        <v>4677</v>
      </c>
      <c r="B1108" s="94">
        <v>1138</v>
      </c>
      <c r="C1108" s="165" t="s">
        <v>4695</v>
      </c>
      <c r="D1108" s="165">
        <v>8</v>
      </c>
      <c r="E1108" s="165" t="s">
        <v>4703</v>
      </c>
      <c r="F1108" s="165" t="s">
        <v>4693</v>
      </c>
      <c r="G1108" s="165">
        <v>12600</v>
      </c>
      <c r="H1108" s="165"/>
      <c r="I1108" s="165"/>
      <c r="J1108" s="165"/>
      <c r="K1108" s="165"/>
      <c r="L1108" s="165">
        <v>12600</v>
      </c>
      <c r="M1108" s="165"/>
      <c r="N1108" s="165"/>
      <c r="O1108" s="337">
        <f t="shared" si="36"/>
        <v>0</v>
      </c>
      <c r="P1108" s="165" t="s">
        <v>9691</v>
      </c>
      <c r="Q1108" s="165" t="s">
        <v>9691</v>
      </c>
      <c r="R1108" s="3">
        <f t="shared" si="35"/>
        <v>12600</v>
      </c>
      <c r="S1108" s="7">
        <v>12600</v>
      </c>
      <c r="T1108"/>
      <c r="U1108" s="3"/>
    </row>
    <row r="1109" spans="1:22" s="163" customFormat="1">
      <c r="A1109" s="281" t="s">
        <v>4759</v>
      </c>
      <c r="B1109" s="281"/>
      <c r="C1109" s="281" t="s">
        <v>2421</v>
      </c>
      <c r="D1109" s="281">
        <v>2</v>
      </c>
      <c r="E1109" s="281" t="s">
        <v>1283</v>
      </c>
      <c r="F1109" s="281" t="s">
        <v>4759</v>
      </c>
      <c r="G1109" s="284"/>
      <c r="H1109" s="284"/>
      <c r="I1109" s="284"/>
      <c r="J1109" s="281"/>
      <c r="K1109" s="281"/>
      <c r="L1109" s="281"/>
      <c r="M1109" s="281"/>
      <c r="N1109" s="281"/>
      <c r="O1109" s="664">
        <f t="shared" si="36"/>
        <v>0</v>
      </c>
      <c r="P1109" s="281" t="s">
        <v>4759</v>
      </c>
      <c r="Q1109" s="281" t="s">
        <v>4759</v>
      </c>
      <c r="R1109" s="281">
        <v>14175</v>
      </c>
      <c r="S1109" s="281">
        <v>14165</v>
      </c>
      <c r="T1109" s="406">
        <v>14165</v>
      </c>
      <c r="U1109" s="556">
        <v>10</v>
      </c>
    </row>
    <row r="1110" spans="1:22" s="163" customFormat="1">
      <c r="A1110" s="281" t="s">
        <v>4249</v>
      </c>
      <c r="B1110" s="281"/>
      <c r="C1110" s="281" t="s">
        <v>3825</v>
      </c>
      <c r="D1110" s="281">
        <v>6</v>
      </c>
      <c r="E1110" s="281" t="s">
        <v>1283</v>
      </c>
      <c r="F1110" s="281" t="s">
        <v>4249</v>
      </c>
      <c r="G1110" s="284"/>
      <c r="H1110" s="284"/>
      <c r="I1110" s="284"/>
      <c r="J1110" s="281"/>
      <c r="K1110" s="281"/>
      <c r="L1110" s="281"/>
      <c r="M1110" s="281"/>
      <c r="N1110" s="281"/>
      <c r="O1110" s="664">
        <f t="shared" si="36"/>
        <v>0</v>
      </c>
      <c r="P1110" s="281" t="s">
        <v>4249</v>
      </c>
      <c r="Q1110" s="281" t="s">
        <v>4249</v>
      </c>
      <c r="R1110" s="281">
        <v>14175</v>
      </c>
      <c r="S1110" s="281">
        <v>14145</v>
      </c>
      <c r="T1110" s="406">
        <v>14145</v>
      </c>
      <c r="U1110" s="556">
        <v>30</v>
      </c>
    </row>
    <row r="1111" spans="1:22" s="163" customFormat="1">
      <c r="A1111" s="281" t="s">
        <v>4262</v>
      </c>
      <c r="B1111" s="281"/>
      <c r="C1111" s="281" t="s">
        <v>1532</v>
      </c>
      <c r="D1111" s="281">
        <v>5</v>
      </c>
      <c r="E1111" s="281" t="s">
        <v>1283</v>
      </c>
      <c r="F1111" s="281" t="s">
        <v>4262</v>
      </c>
      <c r="G1111" s="284"/>
      <c r="H1111" s="284"/>
      <c r="I1111" s="284"/>
      <c r="J1111" s="281"/>
      <c r="K1111" s="281"/>
      <c r="L1111" s="281"/>
      <c r="M1111" s="281"/>
      <c r="N1111" s="281"/>
      <c r="O1111" s="664">
        <f t="shared" si="36"/>
        <v>0</v>
      </c>
      <c r="P1111" s="281" t="s">
        <v>4262</v>
      </c>
      <c r="Q1111" s="281" t="s">
        <v>4262</v>
      </c>
      <c r="R1111" s="281">
        <v>13500</v>
      </c>
      <c r="S1111" s="281">
        <v>13485</v>
      </c>
      <c r="T1111" s="406">
        <v>13485</v>
      </c>
      <c r="U1111" s="556">
        <v>15</v>
      </c>
    </row>
    <row r="1112" spans="1:22" s="163" customFormat="1">
      <c r="A1112" s="281" t="s">
        <v>4262</v>
      </c>
      <c r="B1112" s="281"/>
      <c r="C1112" s="281" t="s">
        <v>1264</v>
      </c>
      <c r="D1112" s="340" t="s">
        <v>4330</v>
      </c>
      <c r="E1112" s="281" t="s">
        <v>1283</v>
      </c>
      <c r="F1112" s="281" t="s">
        <v>4262</v>
      </c>
      <c r="G1112" s="284"/>
      <c r="H1112" s="284"/>
      <c r="I1112" s="284"/>
      <c r="J1112" s="281"/>
      <c r="K1112" s="281"/>
      <c r="L1112" s="281"/>
      <c r="M1112" s="281"/>
      <c r="N1112" s="281"/>
      <c r="O1112" s="664">
        <f t="shared" si="36"/>
        <v>0</v>
      </c>
      <c r="P1112" s="281" t="s">
        <v>4262</v>
      </c>
      <c r="Q1112" s="281" t="s">
        <v>4262</v>
      </c>
      <c r="R1112" s="281">
        <v>11340</v>
      </c>
      <c r="S1112" s="281">
        <v>11340</v>
      </c>
      <c r="T1112" s="405">
        <v>11340</v>
      </c>
      <c r="U1112" s="284"/>
      <c r="V1112" s="163" t="s">
        <v>4760</v>
      </c>
    </row>
    <row r="1113" spans="1:22">
      <c r="A1113" s="165" t="s">
        <v>4773</v>
      </c>
      <c r="B1113" s="165">
        <v>1139</v>
      </c>
      <c r="C1113" s="165" t="s">
        <v>1232</v>
      </c>
      <c r="D1113" s="165">
        <v>10</v>
      </c>
      <c r="E1113" s="165" t="s">
        <v>4774</v>
      </c>
      <c r="F1113" s="165" t="s">
        <v>4602</v>
      </c>
      <c r="G1113" s="165">
        <v>16380</v>
      </c>
      <c r="H1113" s="165"/>
      <c r="I1113" s="165"/>
      <c r="J1113" s="165">
        <v>16380</v>
      </c>
      <c r="K1113" s="165"/>
      <c r="L1113" s="165"/>
      <c r="M1113" s="165"/>
      <c r="N1113" s="165"/>
      <c r="O1113" s="337">
        <f t="shared" si="36"/>
        <v>0</v>
      </c>
      <c r="P1113" s="165" t="s">
        <v>4772</v>
      </c>
      <c r="Q1113" s="165" t="s">
        <v>4088</v>
      </c>
      <c r="R1113" s="3">
        <f>G1113</f>
        <v>16380</v>
      </c>
      <c r="S1113" s="337">
        <v>16380</v>
      </c>
      <c r="T1113"/>
      <c r="U1113" s="3"/>
    </row>
    <row r="1114" spans="1:22" s="163" customFormat="1">
      <c r="A1114" s="281" t="s">
        <v>4761</v>
      </c>
      <c r="B1114" s="281"/>
      <c r="C1114" s="281" t="s">
        <v>4204</v>
      </c>
      <c r="D1114" s="281"/>
      <c r="E1114" s="281" t="s">
        <v>1283</v>
      </c>
      <c r="F1114" s="281" t="s">
        <v>4761</v>
      </c>
      <c r="G1114" s="284"/>
      <c r="H1114" s="284"/>
      <c r="I1114" s="284"/>
      <c r="J1114" s="281"/>
      <c r="K1114" s="281"/>
      <c r="L1114" s="281"/>
      <c r="M1114" s="281"/>
      <c r="N1114" s="281"/>
      <c r="O1114" s="337">
        <f t="shared" si="36"/>
        <v>0</v>
      </c>
      <c r="P1114" s="281" t="s">
        <v>4761</v>
      </c>
      <c r="Q1114" s="281" t="s">
        <v>4761</v>
      </c>
      <c r="R1114" s="281">
        <v>75600</v>
      </c>
      <c r="S1114" s="281">
        <v>75600</v>
      </c>
      <c r="T1114" s="406">
        <v>75600</v>
      </c>
      <c r="U1114" s="281"/>
      <c r="V1114" s="163" t="s">
        <v>4762</v>
      </c>
    </row>
    <row r="1115" spans="1:22">
      <c r="A1115" s="165" t="s">
        <v>4715</v>
      </c>
      <c r="B1115" s="165">
        <v>1140</v>
      </c>
      <c r="C1115" s="165" t="s">
        <v>4418</v>
      </c>
      <c r="D1115" s="165">
        <v>8</v>
      </c>
      <c r="E1115" s="165" t="s">
        <v>4775</v>
      </c>
      <c r="F1115" s="165" t="s">
        <v>4776</v>
      </c>
      <c r="G1115" s="165"/>
      <c r="H1115" s="165">
        <v>11340</v>
      </c>
      <c r="I1115" s="165"/>
      <c r="J1115" s="165">
        <v>11340</v>
      </c>
      <c r="K1115" s="165"/>
      <c r="L1115" s="165"/>
      <c r="M1115" s="165"/>
      <c r="N1115" s="165"/>
      <c r="O1115" s="337">
        <f t="shared" si="36"/>
        <v>0</v>
      </c>
      <c r="P1115" s="165" t="s">
        <v>4772</v>
      </c>
      <c r="Q1115" s="165" t="s">
        <v>4088</v>
      </c>
      <c r="R1115" s="3">
        <f>H1115</f>
        <v>11340</v>
      </c>
      <c r="S1115" s="337">
        <v>11340</v>
      </c>
      <c r="T1115"/>
      <c r="U1115" s="3"/>
    </row>
    <row r="1116" spans="1:22">
      <c r="A1116" s="165" t="s">
        <v>4704</v>
      </c>
      <c r="B1116" s="165">
        <v>1141</v>
      </c>
      <c r="C1116" s="165" t="s">
        <v>4555</v>
      </c>
      <c r="D1116" s="165">
        <v>1</v>
      </c>
      <c r="E1116" s="165" t="s">
        <v>4705</v>
      </c>
      <c r="F1116" s="165" t="s">
        <v>4031</v>
      </c>
      <c r="G1116" s="165">
        <v>11340</v>
      </c>
      <c r="H1116" s="165"/>
      <c r="I1116" s="165"/>
      <c r="J1116" s="165">
        <v>11340</v>
      </c>
      <c r="K1116" s="165"/>
      <c r="L1116" s="165"/>
      <c r="M1116" s="165"/>
      <c r="N1116" s="165"/>
      <c r="O1116" s="337">
        <f t="shared" si="36"/>
        <v>0</v>
      </c>
      <c r="P1116" s="165" t="s">
        <v>4772</v>
      </c>
      <c r="Q1116" s="165" t="s">
        <v>4088</v>
      </c>
      <c r="R1116" s="3">
        <f t="shared" ref="R1116:R1123" si="37">G1116</f>
        <v>11340</v>
      </c>
      <c r="S1116" s="337">
        <v>11340</v>
      </c>
      <c r="T1116"/>
      <c r="U1116" s="3"/>
    </row>
    <row r="1117" spans="1:22">
      <c r="A1117" s="165" t="s">
        <v>4704</v>
      </c>
      <c r="B1117" s="165">
        <v>1142</v>
      </c>
      <c r="C1117" s="165" t="s">
        <v>4555</v>
      </c>
      <c r="D1117" s="165">
        <v>2</v>
      </c>
      <c r="E1117" s="165" t="s">
        <v>4706</v>
      </c>
      <c r="F1117" s="165" t="s">
        <v>4033</v>
      </c>
      <c r="G1117" s="165">
        <v>11340</v>
      </c>
      <c r="H1117" s="165"/>
      <c r="I1117" s="165"/>
      <c r="J1117" s="165">
        <v>11340</v>
      </c>
      <c r="K1117" s="165"/>
      <c r="L1117" s="165"/>
      <c r="M1117" s="165"/>
      <c r="N1117" s="165"/>
      <c r="O1117" s="337">
        <f t="shared" si="36"/>
        <v>0</v>
      </c>
      <c r="P1117" s="165" t="s">
        <v>4190</v>
      </c>
      <c r="Q1117" s="165" t="s">
        <v>4033</v>
      </c>
      <c r="R1117" s="3">
        <f t="shared" si="37"/>
        <v>11340</v>
      </c>
      <c r="S1117" s="337">
        <v>11340</v>
      </c>
      <c r="T1117"/>
      <c r="U1117" s="3"/>
    </row>
    <row r="1118" spans="1:22">
      <c r="A1118" s="165" t="s">
        <v>4704</v>
      </c>
      <c r="B1118" s="165">
        <v>1143</v>
      </c>
      <c r="C1118" s="165" t="s">
        <v>4555</v>
      </c>
      <c r="D1118" s="165">
        <v>3</v>
      </c>
      <c r="E1118" s="165" t="s">
        <v>4707</v>
      </c>
      <c r="F1118" s="165" t="s">
        <v>4651</v>
      </c>
      <c r="G1118" s="165">
        <v>11340</v>
      </c>
      <c r="H1118" s="165"/>
      <c r="I1118" s="165"/>
      <c r="J1118" s="165"/>
      <c r="K1118" s="165">
        <v>11340</v>
      </c>
      <c r="L1118" s="165"/>
      <c r="M1118" s="165"/>
      <c r="N1118" s="165"/>
      <c r="O1118" s="337">
        <f t="shared" si="36"/>
        <v>0</v>
      </c>
      <c r="P1118" s="165" t="s">
        <v>4651</v>
      </c>
      <c r="Q1118" s="165" t="s">
        <v>4793</v>
      </c>
      <c r="R1118" s="3">
        <f t="shared" si="37"/>
        <v>11340</v>
      </c>
      <c r="S1118" s="337">
        <v>11340</v>
      </c>
      <c r="T1118"/>
      <c r="U1118" s="3"/>
    </row>
    <row r="1119" spans="1:22">
      <c r="A1119" s="165" t="s">
        <v>4704</v>
      </c>
      <c r="B1119" s="165">
        <v>1144</v>
      </c>
      <c r="C1119" s="165" t="s">
        <v>4555</v>
      </c>
      <c r="D1119" s="165">
        <v>4</v>
      </c>
      <c r="E1119" s="165" t="s">
        <v>4708</v>
      </c>
      <c r="F1119" s="165" t="s">
        <v>4652</v>
      </c>
      <c r="G1119" s="165">
        <v>11340</v>
      </c>
      <c r="H1119" s="165"/>
      <c r="I1119" s="165"/>
      <c r="J1119" s="165"/>
      <c r="K1119" s="165">
        <v>11340</v>
      </c>
      <c r="L1119" s="165"/>
      <c r="M1119" s="165"/>
      <c r="N1119" s="165"/>
      <c r="O1119" s="337">
        <f t="shared" si="36"/>
        <v>0</v>
      </c>
      <c r="P1119" s="165" t="s">
        <v>4806</v>
      </c>
      <c r="Q1119" s="165" t="s">
        <v>4652</v>
      </c>
      <c r="R1119" s="3">
        <f t="shared" si="37"/>
        <v>11340</v>
      </c>
      <c r="S1119" s="337">
        <v>11340</v>
      </c>
      <c r="T1119"/>
      <c r="U1119" s="3"/>
    </row>
    <row r="1120" spans="1:22">
      <c r="A1120" s="165" t="s">
        <v>4704</v>
      </c>
      <c r="B1120" s="165">
        <v>1145</v>
      </c>
      <c r="C1120" s="165" t="s">
        <v>4555</v>
      </c>
      <c r="D1120" s="165">
        <v>5</v>
      </c>
      <c r="E1120" s="165" t="s">
        <v>4709</v>
      </c>
      <c r="F1120" s="165" t="s">
        <v>4653</v>
      </c>
      <c r="G1120" s="165">
        <v>11340</v>
      </c>
      <c r="H1120" s="165"/>
      <c r="I1120" s="165"/>
      <c r="J1120" s="165"/>
      <c r="K1120" s="165">
        <v>11340</v>
      </c>
      <c r="L1120" s="165"/>
      <c r="M1120" s="165"/>
      <c r="N1120" s="165"/>
      <c r="O1120" s="337">
        <f t="shared" si="36"/>
        <v>0</v>
      </c>
      <c r="P1120" s="165" t="s">
        <v>5500</v>
      </c>
      <c r="Q1120" s="165" t="s">
        <v>4226</v>
      </c>
      <c r="R1120" s="3">
        <f t="shared" si="37"/>
        <v>11340</v>
      </c>
      <c r="S1120" s="337">
        <v>11340</v>
      </c>
      <c r="T1120"/>
      <c r="U1120" s="3"/>
    </row>
    <row r="1121" spans="1:22">
      <c r="A1121" s="165" t="s">
        <v>4704</v>
      </c>
      <c r="B1121" s="165">
        <v>1146</v>
      </c>
      <c r="C1121" s="165" t="s">
        <v>4555</v>
      </c>
      <c r="D1121" s="165">
        <v>6</v>
      </c>
      <c r="E1121" s="165" t="s">
        <v>4710</v>
      </c>
      <c r="F1121" s="165" t="s">
        <v>4654</v>
      </c>
      <c r="G1121" s="165">
        <v>11340</v>
      </c>
      <c r="H1121" s="165"/>
      <c r="I1121" s="165"/>
      <c r="J1121" s="165"/>
      <c r="K1121" s="165">
        <v>11340</v>
      </c>
      <c r="L1121" s="165"/>
      <c r="M1121" s="165"/>
      <c r="N1121" s="165"/>
      <c r="O1121" s="337">
        <f t="shared" si="36"/>
        <v>0</v>
      </c>
      <c r="P1121" s="165" t="s">
        <v>5551</v>
      </c>
      <c r="Q1121" s="165" t="s">
        <v>4654</v>
      </c>
      <c r="R1121" s="3">
        <f t="shared" si="37"/>
        <v>11340</v>
      </c>
      <c r="S1121" s="337">
        <v>11340</v>
      </c>
      <c r="T1121"/>
      <c r="U1121" s="3"/>
    </row>
    <row r="1122" spans="1:22">
      <c r="A1122" s="165" t="s">
        <v>4704</v>
      </c>
      <c r="B1122" s="165">
        <v>1147</v>
      </c>
      <c r="C1122" s="165" t="s">
        <v>4555</v>
      </c>
      <c r="D1122" s="165">
        <v>7</v>
      </c>
      <c r="E1122" s="165" t="s">
        <v>4711</v>
      </c>
      <c r="F1122" s="165" t="s">
        <v>4655</v>
      </c>
      <c r="G1122" s="165">
        <v>11340</v>
      </c>
      <c r="H1122" s="165"/>
      <c r="I1122" s="165"/>
      <c r="J1122" s="165"/>
      <c r="K1122" s="165"/>
      <c r="L1122" s="165">
        <v>11340</v>
      </c>
      <c r="M1122" s="165"/>
      <c r="N1122" s="165"/>
      <c r="O1122" s="337">
        <f t="shared" si="36"/>
        <v>0</v>
      </c>
      <c r="P1122" s="165" t="s">
        <v>9632</v>
      </c>
      <c r="Q1122" s="165" t="s">
        <v>9632</v>
      </c>
      <c r="R1122" s="3">
        <f t="shared" si="37"/>
        <v>11340</v>
      </c>
      <c r="S1122" s="337">
        <v>11340</v>
      </c>
      <c r="T1122"/>
      <c r="U1122" s="3"/>
    </row>
    <row r="1123" spans="1:22">
      <c r="A1123" s="165" t="s">
        <v>4704</v>
      </c>
      <c r="B1123" s="165">
        <v>1148</v>
      </c>
      <c r="C1123" s="165" t="s">
        <v>4555</v>
      </c>
      <c r="D1123" s="165">
        <v>8</v>
      </c>
      <c r="E1123" s="165" t="s">
        <v>4712</v>
      </c>
      <c r="F1123" s="165" t="s">
        <v>4656</v>
      </c>
      <c r="G1123" s="165">
        <v>11340</v>
      </c>
      <c r="H1123" s="165"/>
      <c r="I1123" s="165"/>
      <c r="J1123" s="165"/>
      <c r="K1123" s="165"/>
      <c r="L1123" s="165">
        <v>11340</v>
      </c>
      <c r="M1123" s="165"/>
      <c r="N1123" s="165"/>
      <c r="O1123" s="337">
        <f t="shared" si="36"/>
        <v>0</v>
      </c>
      <c r="P1123" s="165" t="s">
        <v>9635</v>
      </c>
      <c r="Q1123" s="165" t="s">
        <v>9635</v>
      </c>
      <c r="R1123" s="3">
        <f t="shared" si="37"/>
        <v>11340</v>
      </c>
      <c r="S1123" s="337">
        <v>11340</v>
      </c>
      <c r="T1123"/>
      <c r="U1123" s="3"/>
    </row>
    <row r="1124" spans="1:22" s="163" customFormat="1">
      <c r="A1124" s="281" t="s">
        <v>4764</v>
      </c>
      <c r="B1124" s="281"/>
      <c r="C1124" s="281" t="s">
        <v>2421</v>
      </c>
      <c r="D1124" s="281">
        <v>3</v>
      </c>
      <c r="E1124" s="281" t="s">
        <v>1283</v>
      </c>
      <c r="F1124" s="281" t="s">
        <v>4764</v>
      </c>
      <c r="G1124" s="284"/>
      <c r="H1124" s="284"/>
      <c r="I1124" s="284"/>
      <c r="J1124" s="281"/>
      <c r="K1124" s="281"/>
      <c r="L1124" s="281"/>
      <c r="M1124" s="281"/>
      <c r="N1124" s="281"/>
      <c r="O1124" s="664">
        <f t="shared" si="36"/>
        <v>0</v>
      </c>
      <c r="P1124" s="281" t="s">
        <v>4764</v>
      </c>
      <c r="Q1124" s="281" t="s">
        <v>4764</v>
      </c>
      <c r="R1124" s="281">
        <v>14175</v>
      </c>
      <c r="S1124" s="281">
        <v>14165</v>
      </c>
      <c r="T1124" s="406">
        <v>14165</v>
      </c>
      <c r="U1124" s="556">
        <v>10</v>
      </c>
    </row>
    <row r="1125" spans="1:22" s="163" customFormat="1">
      <c r="A1125" s="281" t="s">
        <v>4177</v>
      </c>
      <c r="B1125" s="281"/>
      <c r="C1125" s="281" t="s">
        <v>1264</v>
      </c>
      <c r="D1125" s="340" t="s">
        <v>4763</v>
      </c>
      <c r="E1125" s="281" t="s">
        <v>1283</v>
      </c>
      <c r="F1125" s="281" t="s">
        <v>4177</v>
      </c>
      <c r="G1125" s="284"/>
      <c r="H1125" s="284"/>
      <c r="I1125" s="284"/>
      <c r="J1125" s="281"/>
      <c r="K1125" s="281"/>
      <c r="L1125" s="281"/>
      <c r="M1125" s="281"/>
      <c r="N1125" s="281"/>
      <c r="O1125" s="664">
        <f t="shared" si="36"/>
        <v>0</v>
      </c>
      <c r="P1125" s="281" t="s">
        <v>4177</v>
      </c>
      <c r="Q1125" s="281" t="s">
        <v>4177</v>
      </c>
      <c r="R1125" s="281">
        <v>11340</v>
      </c>
      <c r="S1125" s="281">
        <v>11340</v>
      </c>
      <c r="T1125" s="405">
        <v>11340</v>
      </c>
      <c r="U1125" s="284"/>
      <c r="V1125" s="163" t="s">
        <v>4760</v>
      </c>
    </row>
    <row r="1126" spans="1:22" s="163" customFormat="1">
      <c r="A1126" s="281" t="s">
        <v>4765</v>
      </c>
      <c r="B1126" s="281"/>
      <c r="C1126" s="281" t="s">
        <v>3825</v>
      </c>
      <c r="D1126" s="281">
        <v>7</v>
      </c>
      <c r="E1126" s="281" t="s">
        <v>1283</v>
      </c>
      <c r="F1126" s="281" t="s">
        <v>4765</v>
      </c>
      <c r="G1126" s="284"/>
      <c r="H1126" s="284"/>
      <c r="I1126" s="284"/>
      <c r="J1126" s="281"/>
      <c r="K1126" s="281"/>
      <c r="L1126" s="281"/>
      <c r="M1126" s="281"/>
      <c r="N1126" s="281"/>
      <c r="O1126" s="664">
        <f t="shared" si="36"/>
        <v>0</v>
      </c>
      <c r="P1126" s="281" t="s">
        <v>4765</v>
      </c>
      <c r="Q1126" s="281" t="s">
        <v>4765</v>
      </c>
      <c r="R1126" s="281">
        <v>14175</v>
      </c>
      <c r="S1126" s="281">
        <v>14145</v>
      </c>
      <c r="T1126" s="406">
        <v>14145</v>
      </c>
      <c r="U1126" s="556">
        <v>30</v>
      </c>
    </row>
    <row r="1127" spans="1:22" s="163" customFormat="1">
      <c r="A1127" s="281" t="s">
        <v>4264</v>
      </c>
      <c r="B1127" s="281"/>
      <c r="C1127" s="281" t="s">
        <v>1532</v>
      </c>
      <c r="D1127" s="281">
        <v>6</v>
      </c>
      <c r="E1127" s="281" t="s">
        <v>1283</v>
      </c>
      <c r="F1127" s="281" t="s">
        <v>4264</v>
      </c>
      <c r="G1127" s="284"/>
      <c r="H1127" s="284"/>
      <c r="I1127" s="284"/>
      <c r="J1127" s="281"/>
      <c r="K1127" s="281"/>
      <c r="L1127" s="281"/>
      <c r="M1127" s="281"/>
      <c r="N1127" s="281"/>
      <c r="O1127" s="664">
        <f t="shared" si="36"/>
        <v>0</v>
      </c>
      <c r="P1127" s="281" t="s">
        <v>4264</v>
      </c>
      <c r="Q1127" s="281" t="s">
        <v>4264</v>
      </c>
      <c r="R1127" s="281">
        <v>13500</v>
      </c>
      <c r="S1127" s="281">
        <v>13485</v>
      </c>
      <c r="T1127" s="406">
        <v>13485</v>
      </c>
      <c r="U1127" s="556">
        <v>15</v>
      </c>
    </row>
    <row r="1128" spans="1:22" s="163" customFormat="1">
      <c r="A1128" s="281" t="s">
        <v>4751</v>
      </c>
      <c r="B1128" s="281"/>
      <c r="C1128" s="281" t="s">
        <v>456</v>
      </c>
      <c r="D1128" s="281">
        <v>5</v>
      </c>
      <c r="E1128" s="281" t="s">
        <v>1283</v>
      </c>
      <c r="F1128" s="281" t="s">
        <v>4751</v>
      </c>
      <c r="G1128" s="284"/>
      <c r="H1128" s="284"/>
      <c r="I1128" s="284"/>
      <c r="J1128" s="281"/>
      <c r="K1128" s="281"/>
      <c r="L1128" s="281"/>
      <c r="M1128" s="281"/>
      <c r="N1128" s="281"/>
      <c r="O1128" s="664">
        <f t="shared" si="36"/>
        <v>0</v>
      </c>
      <c r="P1128" s="281" t="s">
        <v>4751</v>
      </c>
      <c r="Q1128" s="281" t="s">
        <v>4751</v>
      </c>
      <c r="R1128" s="281">
        <v>13230</v>
      </c>
      <c r="S1128" s="281">
        <v>13230</v>
      </c>
      <c r="T1128" s="406">
        <v>13230</v>
      </c>
      <c r="U1128" s="284"/>
      <c r="V1128" s="282" t="s">
        <v>245</v>
      </c>
    </row>
    <row r="1129" spans="1:22" s="163" customFormat="1">
      <c r="A1129" s="281" t="s">
        <v>4751</v>
      </c>
      <c r="B1129" s="281"/>
      <c r="C1129" s="281" t="s">
        <v>456</v>
      </c>
      <c r="D1129" s="281">
        <v>6</v>
      </c>
      <c r="E1129" s="281" t="s">
        <v>1283</v>
      </c>
      <c r="F1129" s="281" t="s">
        <v>4751</v>
      </c>
      <c r="G1129" s="284"/>
      <c r="H1129" s="284"/>
      <c r="I1129" s="284"/>
      <c r="J1129" s="281"/>
      <c r="K1129" s="281"/>
      <c r="L1129" s="281"/>
      <c r="M1129" s="281"/>
      <c r="N1129" s="281"/>
      <c r="O1129" s="664">
        <f t="shared" si="36"/>
        <v>0</v>
      </c>
      <c r="P1129" s="281" t="s">
        <v>4751</v>
      </c>
      <c r="Q1129" s="281" t="s">
        <v>4751</v>
      </c>
      <c r="R1129" s="281">
        <v>13230</v>
      </c>
      <c r="S1129" s="281">
        <v>13230</v>
      </c>
      <c r="T1129" s="406">
        <v>13230</v>
      </c>
      <c r="U1129" s="284"/>
      <c r="V1129" s="282" t="s">
        <v>245</v>
      </c>
    </row>
    <row r="1130" spans="1:22">
      <c r="A1130" s="165" t="s">
        <v>4714</v>
      </c>
      <c r="B1130" s="165">
        <v>1149</v>
      </c>
      <c r="C1130" s="165" t="s">
        <v>1232</v>
      </c>
      <c r="D1130" s="165">
        <v>11</v>
      </c>
      <c r="E1130" s="165" t="s">
        <v>4713</v>
      </c>
      <c r="F1130" s="165" t="s">
        <v>4609</v>
      </c>
      <c r="G1130" s="165">
        <v>16380</v>
      </c>
      <c r="H1130" s="165"/>
      <c r="I1130" s="165"/>
      <c r="J1130" s="165"/>
      <c r="K1130" s="165">
        <v>16380</v>
      </c>
      <c r="L1130" s="165"/>
      <c r="M1130" s="165"/>
      <c r="N1130" s="165"/>
      <c r="O1130" s="337">
        <f t="shared" si="36"/>
        <v>0</v>
      </c>
      <c r="P1130" s="165" t="s">
        <v>5294</v>
      </c>
      <c r="Q1130" s="165" t="s">
        <v>4788</v>
      </c>
      <c r="R1130" s="3">
        <f>G1130</f>
        <v>16380</v>
      </c>
      <c r="S1130" s="337">
        <v>16380</v>
      </c>
      <c r="T1130" s="337"/>
      <c r="U1130" s="3"/>
    </row>
    <row r="1131" spans="1:22" s="163" customFormat="1">
      <c r="A1131" s="281" t="s">
        <v>4190</v>
      </c>
      <c r="B1131" s="281"/>
      <c r="C1131" s="281" t="s">
        <v>4201</v>
      </c>
      <c r="D1131" s="281"/>
      <c r="E1131" s="281" t="s">
        <v>1283</v>
      </c>
      <c r="F1131" s="281" t="s">
        <v>4190</v>
      </c>
      <c r="G1131" s="284"/>
      <c r="H1131" s="284"/>
      <c r="I1131" s="284"/>
      <c r="J1131" s="281"/>
      <c r="K1131" s="281"/>
      <c r="L1131" s="281"/>
      <c r="M1131" s="281"/>
      <c r="N1131" s="281"/>
      <c r="O1131" s="664">
        <f t="shared" si="36"/>
        <v>0</v>
      </c>
      <c r="P1131" s="281" t="s">
        <v>4190</v>
      </c>
      <c r="Q1131" s="281" t="s">
        <v>4190</v>
      </c>
      <c r="R1131" s="281">
        <v>113400</v>
      </c>
      <c r="S1131" s="281">
        <v>113390</v>
      </c>
      <c r="T1131" s="406">
        <v>113390</v>
      </c>
      <c r="U1131" s="556">
        <v>10</v>
      </c>
      <c r="V1131" s="163" t="s">
        <v>4778</v>
      </c>
    </row>
    <row r="1132" spans="1:22">
      <c r="A1132" s="165" t="s">
        <v>4716</v>
      </c>
      <c r="B1132" s="94">
        <v>1150</v>
      </c>
      <c r="C1132" s="165" t="s">
        <v>4201</v>
      </c>
      <c r="D1132" s="165">
        <v>1</v>
      </c>
      <c r="E1132" s="165" t="s">
        <v>4718</v>
      </c>
      <c r="F1132" s="165" t="s">
        <v>4717</v>
      </c>
      <c r="G1132" s="165">
        <v>20475</v>
      </c>
      <c r="H1132" s="165"/>
      <c r="I1132" s="165"/>
      <c r="J1132" s="165">
        <v>20475</v>
      </c>
      <c r="K1132" s="165"/>
      <c r="L1132" s="165"/>
      <c r="M1132" s="165"/>
      <c r="N1132" s="165"/>
      <c r="O1132" s="337">
        <f t="shared" si="36"/>
        <v>0</v>
      </c>
      <c r="P1132" s="165" t="s">
        <v>4716</v>
      </c>
      <c r="Q1132" s="165" t="s">
        <v>4787</v>
      </c>
      <c r="R1132" s="3">
        <f>G1132</f>
        <v>20475</v>
      </c>
      <c r="S1132" s="337">
        <v>20475</v>
      </c>
      <c r="T1132"/>
      <c r="U1132" s="3"/>
      <c r="V1132" s="271" t="s">
        <v>2740</v>
      </c>
    </row>
    <row r="1133" spans="1:22">
      <c r="A1133" s="165" t="s">
        <v>4716</v>
      </c>
      <c r="B1133" s="94">
        <v>1151</v>
      </c>
      <c r="C1133" s="165" t="s">
        <v>4201</v>
      </c>
      <c r="D1133" s="165">
        <v>2</v>
      </c>
      <c r="E1133" s="165" t="s">
        <v>4719</v>
      </c>
      <c r="F1133" s="165" t="s">
        <v>4692</v>
      </c>
      <c r="G1133" s="165"/>
      <c r="H1133" s="165">
        <v>20475</v>
      </c>
      <c r="I1133" s="165"/>
      <c r="J1133" s="165"/>
      <c r="K1133" s="165">
        <v>20475</v>
      </c>
      <c r="L1133" s="165"/>
      <c r="M1133" s="165"/>
      <c r="N1133" s="165"/>
      <c r="O1133" s="337">
        <f t="shared" si="36"/>
        <v>0</v>
      </c>
      <c r="P1133" s="165" t="s">
        <v>4791</v>
      </c>
      <c r="Q1133" s="165" t="s">
        <v>4789</v>
      </c>
      <c r="R1133" s="3">
        <f t="shared" ref="R1133:R1139" si="38">H1133</f>
        <v>20475</v>
      </c>
      <c r="S1133" s="337">
        <v>20475</v>
      </c>
      <c r="T1133"/>
      <c r="U1133" s="3"/>
      <c r="V1133" s="271" t="s">
        <v>2740</v>
      </c>
    </row>
    <row r="1134" spans="1:22">
      <c r="A1134" s="165" t="s">
        <v>4716</v>
      </c>
      <c r="B1134" s="94">
        <v>1152</v>
      </c>
      <c r="C1134" s="165" t="s">
        <v>4201</v>
      </c>
      <c r="D1134" s="165">
        <v>3</v>
      </c>
      <c r="E1134" s="165" t="s">
        <v>4720</v>
      </c>
      <c r="F1134" s="165" t="s">
        <v>4689</v>
      </c>
      <c r="G1134" s="165"/>
      <c r="H1134" s="165">
        <v>20475</v>
      </c>
      <c r="I1134" s="165"/>
      <c r="J1134" s="165"/>
      <c r="K1134" s="165">
        <v>20475</v>
      </c>
      <c r="L1134" s="165"/>
      <c r="M1134" s="165"/>
      <c r="N1134" s="165"/>
      <c r="O1134" s="337">
        <f t="shared" si="36"/>
        <v>0</v>
      </c>
      <c r="P1134" s="165" t="s">
        <v>4804</v>
      </c>
      <c r="Q1134" s="165" t="s">
        <v>4689</v>
      </c>
      <c r="R1134" s="3">
        <f t="shared" si="38"/>
        <v>20475</v>
      </c>
      <c r="S1134" s="337">
        <v>20475</v>
      </c>
      <c r="T1134"/>
      <c r="U1134" s="3"/>
      <c r="V1134" s="271" t="s">
        <v>2740</v>
      </c>
    </row>
    <row r="1135" spans="1:22">
      <c r="A1135" s="165" t="s">
        <v>4716</v>
      </c>
      <c r="B1135" s="94">
        <v>1153</v>
      </c>
      <c r="C1135" s="165" t="s">
        <v>4201</v>
      </c>
      <c r="D1135" s="165">
        <v>4</v>
      </c>
      <c r="E1135" s="165" t="s">
        <v>4721</v>
      </c>
      <c r="F1135" s="165" t="s">
        <v>4690</v>
      </c>
      <c r="G1135" s="165"/>
      <c r="H1135" s="165">
        <v>20475</v>
      </c>
      <c r="I1135" s="165"/>
      <c r="J1135" s="165"/>
      <c r="K1135" s="165">
        <v>20475</v>
      </c>
      <c r="L1135" s="165"/>
      <c r="M1135" s="165"/>
      <c r="N1135" s="165"/>
      <c r="O1135" s="337">
        <f t="shared" si="36"/>
        <v>0</v>
      </c>
      <c r="P1135" s="165" t="s">
        <v>5488</v>
      </c>
      <c r="Q1135" s="165" t="s">
        <v>5499</v>
      </c>
      <c r="R1135" s="3">
        <f t="shared" si="38"/>
        <v>20475</v>
      </c>
      <c r="S1135" s="337">
        <v>20475</v>
      </c>
      <c r="T1135"/>
      <c r="U1135" s="3"/>
      <c r="V1135" s="271" t="s">
        <v>2740</v>
      </c>
    </row>
    <row r="1136" spans="1:22">
      <c r="A1136" s="165" t="s">
        <v>4716</v>
      </c>
      <c r="B1136" s="94">
        <v>1154</v>
      </c>
      <c r="C1136" s="165" t="s">
        <v>4201</v>
      </c>
      <c r="D1136" s="165">
        <v>5</v>
      </c>
      <c r="E1136" s="165" t="s">
        <v>4722</v>
      </c>
      <c r="F1136" s="165" t="s">
        <v>4691</v>
      </c>
      <c r="G1136" s="165"/>
      <c r="H1136" s="165">
        <v>20475</v>
      </c>
      <c r="I1136" s="165"/>
      <c r="J1136" s="165"/>
      <c r="K1136" s="165">
        <v>20475</v>
      </c>
      <c r="L1136" s="165"/>
      <c r="M1136" s="165"/>
      <c r="N1136" s="165"/>
      <c r="O1136" s="337">
        <f t="shared" si="36"/>
        <v>0</v>
      </c>
      <c r="P1136" s="165" t="s">
        <v>5263</v>
      </c>
      <c r="Q1136" s="165" t="s">
        <v>5550</v>
      </c>
      <c r="R1136" s="3">
        <f t="shared" si="38"/>
        <v>20475</v>
      </c>
      <c r="S1136" s="337">
        <v>20475</v>
      </c>
      <c r="T1136"/>
      <c r="U1136" s="3"/>
      <c r="V1136" s="271" t="s">
        <v>2740</v>
      </c>
    </row>
    <row r="1137" spans="1:22">
      <c r="A1137" s="165" t="s">
        <v>4716</v>
      </c>
      <c r="B1137" s="94">
        <v>1155</v>
      </c>
      <c r="C1137" s="165" t="s">
        <v>4201</v>
      </c>
      <c r="D1137" s="165">
        <v>6</v>
      </c>
      <c r="E1137" s="165" t="s">
        <v>4723</v>
      </c>
      <c r="F1137" s="165">
        <v>201802.05</v>
      </c>
      <c r="G1137" s="165"/>
      <c r="H1137" s="165">
        <v>20475</v>
      </c>
      <c r="I1137" s="165"/>
      <c r="J1137" s="165"/>
      <c r="K1137" s="165"/>
      <c r="L1137" s="165">
        <v>20475</v>
      </c>
      <c r="M1137" s="165"/>
      <c r="N1137" s="165"/>
      <c r="O1137" s="337">
        <f t="shared" si="36"/>
        <v>0</v>
      </c>
      <c r="P1137" s="165" t="s">
        <v>9690</v>
      </c>
      <c r="Q1137" s="165" t="s">
        <v>9690</v>
      </c>
      <c r="R1137" s="3">
        <f t="shared" si="38"/>
        <v>20475</v>
      </c>
      <c r="S1137" s="337">
        <v>20475</v>
      </c>
      <c r="T1137"/>
      <c r="U1137" s="3"/>
      <c r="V1137" s="271" t="s">
        <v>2740</v>
      </c>
    </row>
    <row r="1138" spans="1:22">
      <c r="A1138" s="165" t="s">
        <v>4716</v>
      </c>
      <c r="B1138" s="94">
        <v>1156</v>
      </c>
      <c r="C1138" s="165" t="s">
        <v>4201</v>
      </c>
      <c r="D1138" s="165">
        <v>7</v>
      </c>
      <c r="E1138" s="165" t="s">
        <v>4724</v>
      </c>
      <c r="F1138" s="165" t="s">
        <v>4693</v>
      </c>
      <c r="G1138" s="165"/>
      <c r="H1138" s="165">
        <v>20475</v>
      </c>
      <c r="I1138" s="165"/>
      <c r="J1138" s="165"/>
      <c r="K1138" s="165"/>
      <c r="L1138" s="165">
        <v>20475</v>
      </c>
      <c r="M1138" s="165"/>
      <c r="N1138" s="165"/>
      <c r="O1138" s="337">
        <f t="shared" si="36"/>
        <v>0</v>
      </c>
      <c r="P1138" s="165" t="s">
        <v>9691</v>
      </c>
      <c r="Q1138" s="165" t="s">
        <v>9691</v>
      </c>
      <c r="R1138" s="3">
        <f t="shared" si="38"/>
        <v>20475</v>
      </c>
      <c r="S1138" s="337">
        <v>20475</v>
      </c>
      <c r="T1138"/>
      <c r="U1138" s="3"/>
      <c r="V1138" s="271" t="s">
        <v>2740</v>
      </c>
    </row>
    <row r="1139" spans="1:22">
      <c r="A1139" s="165" t="s">
        <v>4716</v>
      </c>
      <c r="B1139" s="94">
        <v>1157</v>
      </c>
      <c r="C1139" s="165" t="s">
        <v>4201</v>
      </c>
      <c r="D1139" s="165">
        <v>8</v>
      </c>
      <c r="E1139" s="165" t="s">
        <v>4725</v>
      </c>
      <c r="F1139" s="165" t="s">
        <v>4726</v>
      </c>
      <c r="G1139" s="165"/>
      <c r="H1139" s="165">
        <v>20475</v>
      </c>
      <c r="I1139" s="165"/>
      <c r="J1139" s="165"/>
      <c r="K1139" s="165"/>
      <c r="L1139" s="165">
        <v>20475</v>
      </c>
      <c r="M1139" s="165"/>
      <c r="N1139" s="165"/>
      <c r="O1139" s="337">
        <f t="shared" si="36"/>
        <v>0</v>
      </c>
      <c r="P1139" s="165" t="s">
        <v>9721</v>
      </c>
      <c r="Q1139" s="165" t="s">
        <v>9721</v>
      </c>
      <c r="R1139" s="3">
        <f t="shared" si="38"/>
        <v>20475</v>
      </c>
      <c r="S1139" s="337">
        <v>20475</v>
      </c>
      <c r="T1139"/>
      <c r="U1139" s="3"/>
      <c r="V1139" s="271" t="s">
        <v>2740</v>
      </c>
    </row>
    <row r="1140" spans="1:22">
      <c r="A1140" s="165" t="s">
        <v>4716</v>
      </c>
      <c r="B1140" s="94">
        <v>1158</v>
      </c>
      <c r="C1140" s="165" t="s">
        <v>4000</v>
      </c>
      <c r="D1140" s="165">
        <v>1</v>
      </c>
      <c r="E1140" s="165" t="s">
        <v>4727</v>
      </c>
      <c r="F1140" s="165" t="s">
        <v>4108</v>
      </c>
      <c r="G1140" s="165">
        <v>20475</v>
      </c>
      <c r="H1140" s="165"/>
      <c r="I1140" s="165"/>
      <c r="J1140" s="165">
        <v>20475</v>
      </c>
      <c r="K1140" s="165"/>
      <c r="L1140" s="165"/>
      <c r="M1140" s="165"/>
      <c r="N1140" s="165"/>
      <c r="O1140" s="337">
        <f t="shared" si="36"/>
        <v>0</v>
      </c>
      <c r="P1140" s="165" t="s">
        <v>4716</v>
      </c>
      <c r="Q1140" s="165" t="s">
        <v>4787</v>
      </c>
      <c r="R1140" s="3">
        <f>G1140</f>
        <v>20475</v>
      </c>
      <c r="S1140" s="7">
        <v>20475</v>
      </c>
      <c r="T1140"/>
      <c r="U1140" s="3"/>
      <c r="V1140" s="271" t="s">
        <v>2740</v>
      </c>
    </row>
    <row r="1141" spans="1:22">
      <c r="A1141" s="165" t="s">
        <v>4716</v>
      </c>
      <c r="B1141" s="94">
        <v>1159</v>
      </c>
      <c r="C1141" s="165" t="s">
        <v>4000</v>
      </c>
      <c r="D1141" s="165">
        <v>2</v>
      </c>
      <c r="E1141" s="165" t="s">
        <v>4728</v>
      </c>
      <c r="F1141" s="165" t="s">
        <v>4110</v>
      </c>
      <c r="G1141" s="165"/>
      <c r="H1141" s="165">
        <v>20475</v>
      </c>
      <c r="I1141" s="165"/>
      <c r="J1141" s="165"/>
      <c r="K1141" s="165">
        <v>20475</v>
      </c>
      <c r="L1141" s="165"/>
      <c r="M1141" s="165"/>
      <c r="N1141" s="165"/>
      <c r="O1141" s="337">
        <f t="shared" si="36"/>
        <v>0</v>
      </c>
      <c r="P1141" s="165" t="s">
        <v>4651</v>
      </c>
      <c r="Q1141" s="165" t="s">
        <v>4793</v>
      </c>
      <c r="R1141" s="3">
        <f>H1141</f>
        <v>20475</v>
      </c>
      <c r="S1141" s="7">
        <v>20475</v>
      </c>
      <c r="T1141"/>
      <c r="U1141" s="3"/>
      <c r="V1141" s="271" t="s">
        <v>2740</v>
      </c>
    </row>
    <row r="1142" spans="1:22">
      <c r="A1142" s="165" t="s">
        <v>4716</v>
      </c>
      <c r="B1142" s="94">
        <v>1160</v>
      </c>
      <c r="C1142" s="165" t="s">
        <v>4000</v>
      </c>
      <c r="D1142" s="165">
        <v>3</v>
      </c>
      <c r="E1142" s="165" t="s">
        <v>4729</v>
      </c>
      <c r="F1142" s="165" t="s">
        <v>4213</v>
      </c>
      <c r="G1142" s="165"/>
      <c r="H1142" s="165">
        <v>20475</v>
      </c>
      <c r="I1142" s="165"/>
      <c r="J1142" s="165"/>
      <c r="K1142" s="165">
        <v>20475</v>
      </c>
      <c r="L1142" s="165"/>
      <c r="M1142" s="165"/>
      <c r="N1142" s="165"/>
      <c r="O1142" s="337">
        <f t="shared" si="36"/>
        <v>0</v>
      </c>
      <c r="P1142" s="165" t="s">
        <v>4806</v>
      </c>
      <c r="Q1142" s="165" t="s">
        <v>4213</v>
      </c>
      <c r="R1142" s="3">
        <f>H1142</f>
        <v>20475</v>
      </c>
      <c r="S1142" s="7">
        <v>20475</v>
      </c>
      <c r="T1142"/>
      <c r="U1142" s="3"/>
      <c r="V1142" s="271" t="s">
        <v>2740</v>
      </c>
    </row>
    <row r="1143" spans="1:22">
      <c r="A1143" s="165" t="s">
        <v>4716</v>
      </c>
      <c r="B1143" s="94">
        <v>1161</v>
      </c>
      <c r="C1143" s="165" t="s">
        <v>4000</v>
      </c>
      <c r="D1143" s="165">
        <v>4</v>
      </c>
      <c r="E1143" s="165" t="s">
        <v>4730</v>
      </c>
      <c r="F1143" s="165" t="s">
        <v>4735</v>
      </c>
      <c r="G1143" s="165"/>
      <c r="H1143" s="165">
        <v>20475</v>
      </c>
      <c r="I1143" s="165"/>
      <c r="J1143" s="165"/>
      <c r="K1143" s="165">
        <v>20475</v>
      </c>
      <c r="L1143" s="165"/>
      <c r="M1143" s="165"/>
      <c r="N1143" s="165"/>
      <c r="O1143" s="337">
        <f t="shared" si="36"/>
        <v>0</v>
      </c>
      <c r="P1143" s="165" t="s">
        <v>5500</v>
      </c>
      <c r="Q1143" s="165" t="s">
        <v>4735</v>
      </c>
      <c r="R1143" s="3">
        <f>H1143</f>
        <v>20475</v>
      </c>
      <c r="S1143" s="7">
        <v>20475</v>
      </c>
      <c r="T1143"/>
      <c r="U1143" s="3"/>
      <c r="V1143" s="271" t="s">
        <v>2740</v>
      </c>
    </row>
    <row r="1144" spans="1:22">
      <c r="A1144" s="165" t="s">
        <v>4716</v>
      </c>
      <c r="B1144" s="94">
        <v>1162</v>
      </c>
      <c r="C1144" s="165" t="s">
        <v>4000</v>
      </c>
      <c r="D1144" s="165">
        <v>5</v>
      </c>
      <c r="E1144" s="165" t="s">
        <v>4731</v>
      </c>
      <c r="F1144" s="165" t="s">
        <v>4736</v>
      </c>
      <c r="G1144" s="165"/>
      <c r="H1144" s="165">
        <v>20475</v>
      </c>
      <c r="I1144" s="165"/>
      <c r="J1144" s="165"/>
      <c r="K1144" s="165">
        <v>20475</v>
      </c>
      <c r="L1144" s="165"/>
      <c r="M1144" s="165"/>
      <c r="N1144" s="165"/>
      <c r="O1144" s="337">
        <f t="shared" si="36"/>
        <v>0</v>
      </c>
      <c r="P1144" s="165" t="s">
        <v>5551</v>
      </c>
      <c r="Q1144" s="165" t="s">
        <v>5552</v>
      </c>
      <c r="R1144" s="3">
        <f>H1144</f>
        <v>20475</v>
      </c>
      <c r="S1144" s="7">
        <v>20475</v>
      </c>
      <c r="T1144"/>
      <c r="U1144" s="3"/>
      <c r="V1144" s="271" t="s">
        <v>2740</v>
      </c>
    </row>
    <row r="1145" spans="1:22">
      <c r="A1145" s="165" t="s">
        <v>4716</v>
      </c>
      <c r="B1145" s="94">
        <v>1163</v>
      </c>
      <c r="C1145" s="165" t="s">
        <v>4000</v>
      </c>
      <c r="D1145" s="165">
        <v>6</v>
      </c>
      <c r="E1145" s="165" t="s">
        <v>4732</v>
      </c>
      <c r="F1145" s="165">
        <v>201802.25</v>
      </c>
      <c r="G1145" s="165"/>
      <c r="H1145" s="165"/>
      <c r="I1145" s="165">
        <v>20475</v>
      </c>
      <c r="J1145" s="165"/>
      <c r="K1145" s="165"/>
      <c r="L1145" s="165">
        <v>20475</v>
      </c>
      <c r="M1145" s="165"/>
      <c r="N1145" s="165"/>
      <c r="O1145" s="337">
        <f t="shared" si="36"/>
        <v>0</v>
      </c>
      <c r="P1145" s="165" t="s">
        <v>9773</v>
      </c>
      <c r="Q1145" s="165" t="s">
        <v>9773</v>
      </c>
      <c r="R1145" s="3">
        <f>G1145+H1145+I1145</f>
        <v>20475</v>
      </c>
      <c r="S1145" s="7">
        <v>20475</v>
      </c>
      <c r="T1145"/>
      <c r="U1145" s="3"/>
      <c r="V1145" s="271" t="s">
        <v>2740</v>
      </c>
    </row>
    <row r="1146" spans="1:22">
      <c r="A1146" s="165" t="s">
        <v>4716</v>
      </c>
      <c r="B1146" s="94">
        <v>1164</v>
      </c>
      <c r="C1146" s="165" t="s">
        <v>4000</v>
      </c>
      <c r="D1146" s="165">
        <v>7</v>
      </c>
      <c r="E1146" s="165" t="s">
        <v>4733</v>
      </c>
      <c r="F1146" s="165" t="s">
        <v>4737</v>
      </c>
      <c r="G1146" s="165"/>
      <c r="H1146" s="165"/>
      <c r="I1146" s="165">
        <v>20475</v>
      </c>
      <c r="J1146" s="165"/>
      <c r="K1146" s="165"/>
      <c r="L1146" s="165">
        <v>20475</v>
      </c>
      <c r="M1146" s="165"/>
      <c r="N1146" s="165"/>
      <c r="O1146" s="337">
        <f t="shared" si="36"/>
        <v>0</v>
      </c>
      <c r="P1146" s="165" t="s">
        <v>9774</v>
      </c>
      <c r="Q1146" s="165" t="s">
        <v>9774</v>
      </c>
      <c r="R1146" s="3">
        <f>G1146+H1146+I1146</f>
        <v>20475</v>
      </c>
      <c r="S1146" s="7">
        <v>20475</v>
      </c>
      <c r="T1146"/>
      <c r="U1146" s="3"/>
      <c r="V1146" s="271" t="s">
        <v>2740</v>
      </c>
    </row>
    <row r="1147" spans="1:22">
      <c r="A1147" s="165" t="s">
        <v>4716</v>
      </c>
      <c r="B1147" s="94">
        <v>1165</v>
      </c>
      <c r="C1147" s="165" t="s">
        <v>4000</v>
      </c>
      <c r="D1147" s="165">
        <v>8</v>
      </c>
      <c r="E1147" s="165" t="s">
        <v>4734</v>
      </c>
      <c r="F1147" s="165" t="s">
        <v>4738</v>
      </c>
      <c r="G1147" s="165"/>
      <c r="H1147" s="165"/>
      <c r="I1147" s="165">
        <v>20475</v>
      </c>
      <c r="J1147" s="165"/>
      <c r="K1147" s="165"/>
      <c r="L1147" s="165">
        <v>20475</v>
      </c>
      <c r="M1147" s="165"/>
      <c r="N1147" s="165"/>
      <c r="O1147" s="337">
        <f t="shared" si="36"/>
        <v>0</v>
      </c>
      <c r="P1147" s="165" t="s">
        <v>9775</v>
      </c>
      <c r="Q1147" s="165" t="s">
        <v>9775</v>
      </c>
      <c r="R1147" s="3">
        <f>G1147+H1147+I1147</f>
        <v>20475</v>
      </c>
      <c r="S1147" s="7">
        <v>20475</v>
      </c>
      <c r="T1147"/>
      <c r="U1147" s="3"/>
      <c r="V1147" s="271" t="s">
        <v>2740</v>
      </c>
    </row>
    <row r="1148" spans="1:22">
      <c r="A1148" s="165" t="s">
        <v>4716</v>
      </c>
      <c r="B1148" s="94">
        <v>1166</v>
      </c>
      <c r="C1148" s="165" t="s">
        <v>4739</v>
      </c>
      <c r="D1148" s="165">
        <v>1</v>
      </c>
      <c r="E1148" s="165" t="s">
        <v>4740</v>
      </c>
      <c r="F1148" s="165" t="s">
        <v>4108</v>
      </c>
      <c r="G1148" s="165">
        <v>16380</v>
      </c>
      <c r="H1148" s="165"/>
      <c r="I1148" s="165"/>
      <c r="J1148" s="165">
        <v>16380</v>
      </c>
      <c r="K1148" s="165"/>
      <c r="L1148" s="165"/>
      <c r="M1148" s="165"/>
      <c r="N1148" s="165"/>
      <c r="O1148" s="337">
        <f t="shared" si="36"/>
        <v>0</v>
      </c>
      <c r="P1148" s="165" t="s">
        <v>4716</v>
      </c>
      <c r="Q1148" s="165" t="s">
        <v>4787</v>
      </c>
      <c r="R1148" s="3">
        <f>G1148</f>
        <v>16380</v>
      </c>
      <c r="S1148" s="7">
        <v>16380</v>
      </c>
      <c r="T1148"/>
      <c r="U1148" s="3"/>
      <c r="V1148" s="271" t="s">
        <v>2740</v>
      </c>
    </row>
    <row r="1149" spans="1:22">
      <c r="A1149" s="165" t="s">
        <v>4716</v>
      </c>
      <c r="B1149" s="94">
        <v>1167</v>
      </c>
      <c r="C1149" s="165" t="s">
        <v>4739</v>
      </c>
      <c r="D1149" s="165">
        <v>2</v>
      </c>
      <c r="E1149" s="165" t="s">
        <v>4741</v>
      </c>
      <c r="F1149" s="165" t="s">
        <v>4110</v>
      </c>
      <c r="G1149" s="165"/>
      <c r="H1149" s="165">
        <v>16380</v>
      </c>
      <c r="I1149" s="165"/>
      <c r="J1149" s="165"/>
      <c r="K1149" s="165">
        <v>16380</v>
      </c>
      <c r="L1149" s="165"/>
      <c r="M1149" s="165"/>
      <c r="N1149" s="165"/>
      <c r="O1149" s="337">
        <f t="shared" si="36"/>
        <v>0</v>
      </c>
      <c r="P1149" s="165" t="s">
        <v>4651</v>
      </c>
      <c r="Q1149" s="165" t="s">
        <v>4793</v>
      </c>
      <c r="R1149" s="3">
        <f>H1149</f>
        <v>16380</v>
      </c>
      <c r="S1149" s="7">
        <v>16380</v>
      </c>
      <c r="T1149"/>
      <c r="U1149" s="3"/>
      <c r="V1149" s="271" t="s">
        <v>2740</v>
      </c>
    </row>
    <row r="1150" spans="1:22">
      <c r="A1150" s="165" t="s">
        <v>4716</v>
      </c>
      <c r="B1150" s="94">
        <v>1168</v>
      </c>
      <c r="C1150" s="165" t="s">
        <v>4739</v>
      </c>
      <c r="D1150" s="165">
        <v>3</v>
      </c>
      <c r="E1150" s="165" t="s">
        <v>4742</v>
      </c>
      <c r="F1150" s="165" t="s">
        <v>4213</v>
      </c>
      <c r="G1150" s="165"/>
      <c r="H1150" s="165">
        <v>16380</v>
      </c>
      <c r="I1150" s="165"/>
      <c r="J1150" s="165"/>
      <c r="K1150" s="165">
        <v>16380</v>
      </c>
      <c r="L1150" s="165"/>
      <c r="M1150" s="165"/>
      <c r="N1150" s="165"/>
      <c r="O1150" s="337">
        <f t="shared" si="36"/>
        <v>0</v>
      </c>
      <c r="P1150" s="165" t="s">
        <v>4806</v>
      </c>
      <c r="Q1150" s="165" t="s">
        <v>4213</v>
      </c>
      <c r="R1150" s="3">
        <f>H1150</f>
        <v>16380</v>
      </c>
      <c r="S1150" s="7">
        <v>16380</v>
      </c>
      <c r="T1150"/>
      <c r="U1150" s="3"/>
      <c r="V1150" s="271" t="s">
        <v>2740</v>
      </c>
    </row>
    <row r="1151" spans="1:22">
      <c r="A1151" s="165" t="s">
        <v>4716</v>
      </c>
      <c r="B1151" s="94">
        <v>1169</v>
      </c>
      <c r="C1151" s="165" t="s">
        <v>4739</v>
      </c>
      <c r="D1151" s="165">
        <v>4</v>
      </c>
      <c r="E1151" s="165" t="s">
        <v>4743</v>
      </c>
      <c r="F1151" s="165" t="s">
        <v>4735</v>
      </c>
      <c r="G1151" s="165"/>
      <c r="H1151" s="165">
        <v>16380</v>
      </c>
      <c r="I1151" s="165"/>
      <c r="J1151" s="165"/>
      <c r="K1151" s="165">
        <v>16380</v>
      </c>
      <c r="L1151" s="165"/>
      <c r="M1151" s="165"/>
      <c r="N1151" s="165"/>
      <c r="O1151" s="337">
        <f t="shared" si="36"/>
        <v>0</v>
      </c>
      <c r="P1151" s="165" t="s">
        <v>5500</v>
      </c>
      <c r="Q1151" s="165" t="s">
        <v>4735</v>
      </c>
      <c r="R1151" s="3">
        <f>H1151</f>
        <v>16380</v>
      </c>
      <c r="S1151" s="7">
        <v>16380</v>
      </c>
      <c r="T1151"/>
      <c r="U1151" s="3"/>
      <c r="V1151" s="271" t="s">
        <v>2740</v>
      </c>
    </row>
    <row r="1152" spans="1:22">
      <c r="A1152" s="165" t="s">
        <v>4716</v>
      </c>
      <c r="B1152" s="94">
        <v>1170</v>
      </c>
      <c r="C1152" s="165" t="s">
        <v>4739</v>
      </c>
      <c r="D1152" s="165">
        <v>5</v>
      </c>
      <c r="E1152" s="165" t="s">
        <v>4744</v>
      </c>
      <c r="F1152" s="165" t="s">
        <v>4736</v>
      </c>
      <c r="G1152" s="165"/>
      <c r="H1152" s="165">
        <v>16380</v>
      </c>
      <c r="I1152" s="165"/>
      <c r="J1152" s="165"/>
      <c r="K1152" s="165">
        <v>16380</v>
      </c>
      <c r="L1152" s="165"/>
      <c r="M1152" s="165"/>
      <c r="N1152" s="165"/>
      <c r="O1152" s="337">
        <f t="shared" si="36"/>
        <v>0</v>
      </c>
      <c r="P1152" s="165" t="s">
        <v>5551</v>
      </c>
      <c r="Q1152" s="165" t="s">
        <v>5552</v>
      </c>
      <c r="R1152" s="3">
        <f>H1152</f>
        <v>16380</v>
      </c>
      <c r="S1152" s="7">
        <v>16380</v>
      </c>
      <c r="T1152"/>
      <c r="U1152" s="3"/>
      <c r="V1152" s="271" t="s">
        <v>2740</v>
      </c>
    </row>
    <row r="1153" spans="1:22">
      <c r="A1153" s="165" t="s">
        <v>4716</v>
      </c>
      <c r="B1153" s="94">
        <v>1171</v>
      </c>
      <c r="C1153" s="165" t="s">
        <v>4739</v>
      </c>
      <c r="D1153" s="165">
        <v>6</v>
      </c>
      <c r="E1153" s="165" t="s">
        <v>4745</v>
      </c>
      <c r="F1153" s="165">
        <v>201802.25</v>
      </c>
      <c r="G1153" s="165"/>
      <c r="H1153" s="165"/>
      <c r="I1153" s="165">
        <v>16380</v>
      </c>
      <c r="J1153" s="165"/>
      <c r="K1153" s="165"/>
      <c r="L1153" s="165">
        <v>16380</v>
      </c>
      <c r="M1153" s="165"/>
      <c r="N1153" s="165"/>
      <c r="O1153" s="337">
        <f t="shared" si="36"/>
        <v>0</v>
      </c>
      <c r="P1153" s="165" t="s">
        <v>9773</v>
      </c>
      <c r="Q1153" s="165" t="s">
        <v>9773</v>
      </c>
      <c r="R1153" s="3">
        <f>G1153+H1153+I1153</f>
        <v>16380</v>
      </c>
      <c r="S1153" s="7">
        <v>16380</v>
      </c>
      <c r="T1153"/>
      <c r="U1153" s="3"/>
      <c r="V1153" s="271" t="s">
        <v>2740</v>
      </c>
    </row>
    <row r="1154" spans="1:22">
      <c r="A1154" s="165" t="s">
        <v>4716</v>
      </c>
      <c r="B1154" s="94">
        <v>1172</v>
      </c>
      <c r="C1154" s="165" t="s">
        <v>4739</v>
      </c>
      <c r="D1154" s="165">
        <v>7</v>
      </c>
      <c r="E1154" s="165" t="s">
        <v>4746</v>
      </c>
      <c r="F1154" s="165" t="s">
        <v>4737</v>
      </c>
      <c r="G1154" s="165"/>
      <c r="H1154" s="165"/>
      <c r="I1154" s="165">
        <v>16380</v>
      </c>
      <c r="J1154" s="165"/>
      <c r="K1154" s="165"/>
      <c r="L1154" s="165">
        <v>16380</v>
      </c>
      <c r="M1154" s="165"/>
      <c r="N1154" s="165"/>
      <c r="O1154" s="337">
        <f t="shared" si="36"/>
        <v>0</v>
      </c>
      <c r="P1154" s="165" t="s">
        <v>9774</v>
      </c>
      <c r="Q1154" s="165" t="s">
        <v>9774</v>
      </c>
      <c r="R1154" s="3">
        <f>G1154+H1154+I1154</f>
        <v>16380</v>
      </c>
      <c r="S1154" s="7">
        <v>16380</v>
      </c>
      <c r="T1154"/>
      <c r="U1154" s="3"/>
      <c r="V1154" s="271" t="s">
        <v>2740</v>
      </c>
    </row>
    <row r="1155" spans="1:22">
      <c r="A1155" s="165" t="s">
        <v>4716</v>
      </c>
      <c r="B1155" s="94">
        <v>1173</v>
      </c>
      <c r="C1155" s="165" t="s">
        <v>4739</v>
      </c>
      <c r="D1155" s="165">
        <v>8</v>
      </c>
      <c r="E1155" s="165" t="s">
        <v>4747</v>
      </c>
      <c r="F1155" s="165" t="s">
        <v>4738</v>
      </c>
      <c r="G1155" s="165"/>
      <c r="H1155" s="165"/>
      <c r="I1155" s="165">
        <v>16380</v>
      </c>
      <c r="J1155" s="165"/>
      <c r="K1155" s="165"/>
      <c r="L1155" s="165">
        <v>16380</v>
      </c>
      <c r="M1155" s="165"/>
      <c r="N1155" s="165"/>
      <c r="O1155" s="337">
        <f t="shared" si="36"/>
        <v>0</v>
      </c>
      <c r="P1155" s="165" t="s">
        <v>9775</v>
      </c>
      <c r="Q1155" s="165" t="s">
        <v>9775</v>
      </c>
      <c r="R1155" s="3">
        <f>G1155+H1155+I1155</f>
        <v>16380</v>
      </c>
      <c r="S1155" s="7">
        <v>16380</v>
      </c>
      <c r="T1155"/>
      <c r="U1155" s="3"/>
      <c r="V1155" s="271" t="s">
        <v>2740</v>
      </c>
    </row>
    <row r="1156" spans="1:22">
      <c r="A1156" s="165" t="s">
        <v>4716</v>
      </c>
      <c r="B1156" s="94">
        <v>1174</v>
      </c>
      <c r="C1156" s="165" t="s">
        <v>4000</v>
      </c>
      <c r="D1156" s="165"/>
      <c r="E1156" s="165" t="s">
        <v>4748</v>
      </c>
      <c r="F1156" s="165" t="s">
        <v>4190</v>
      </c>
      <c r="G1156" s="165">
        <v>113400</v>
      </c>
      <c r="H1156" s="165"/>
      <c r="I1156" s="165"/>
      <c r="J1156" s="165">
        <v>113400</v>
      </c>
      <c r="K1156" s="165"/>
      <c r="L1156" s="165"/>
      <c r="M1156" s="165"/>
      <c r="N1156" s="165"/>
      <c r="O1156" s="337">
        <f t="shared" si="36"/>
        <v>0</v>
      </c>
      <c r="P1156" s="165" t="s">
        <v>4716</v>
      </c>
      <c r="Q1156" s="165" t="s">
        <v>4787</v>
      </c>
      <c r="R1156" s="3">
        <f>G1156</f>
        <v>113400</v>
      </c>
      <c r="S1156" s="7">
        <v>113400</v>
      </c>
      <c r="T1156"/>
      <c r="U1156" s="3"/>
    </row>
    <row r="1157" spans="1:22">
      <c r="A1157" s="165" t="s">
        <v>4666</v>
      </c>
      <c r="B1157" s="94">
        <v>1175</v>
      </c>
      <c r="C1157" s="165" t="s">
        <v>4567</v>
      </c>
      <c r="D1157" s="165"/>
      <c r="E1157" s="165" t="s">
        <v>4749</v>
      </c>
      <c r="F1157" s="165" t="s">
        <v>4666</v>
      </c>
      <c r="G1157" s="165">
        <v>3150</v>
      </c>
      <c r="H1157" s="165"/>
      <c r="I1157" s="165"/>
      <c r="J1157" s="165"/>
      <c r="K1157" s="165">
        <v>3150</v>
      </c>
      <c r="L1157" s="165"/>
      <c r="M1157" s="165"/>
      <c r="N1157" s="165"/>
      <c r="O1157" s="337">
        <f t="shared" si="36"/>
        <v>0</v>
      </c>
      <c r="P1157" s="165" t="s">
        <v>5294</v>
      </c>
      <c r="Q1157" s="165" t="s">
        <v>4788</v>
      </c>
      <c r="R1157" s="3">
        <f>G1157</f>
        <v>3150</v>
      </c>
      <c r="S1157" s="7">
        <v>3150</v>
      </c>
      <c r="T1157"/>
      <c r="U1157" s="3"/>
      <c r="V1157" s="338" t="s">
        <v>5295</v>
      </c>
    </row>
    <row r="1158" spans="1:22">
      <c r="A1158" s="165"/>
      <c r="B1158" s="165"/>
      <c r="C1158" s="165"/>
      <c r="D1158" s="165"/>
      <c r="E1158" s="165"/>
      <c r="F1158" s="165"/>
      <c r="G1158" s="165"/>
      <c r="H1158" s="165"/>
      <c r="I1158" s="165"/>
      <c r="J1158" s="165"/>
      <c r="K1158" s="165"/>
      <c r="L1158" s="165"/>
      <c r="M1158" s="165"/>
      <c r="N1158" s="165"/>
      <c r="O1158" s="165"/>
      <c r="P1158" s="165"/>
    </row>
    <row r="1159" spans="1:22">
      <c r="A1159" s="165"/>
      <c r="B1159" s="165"/>
      <c r="C1159" s="165"/>
      <c r="D1159" s="165"/>
      <c r="E1159" s="165"/>
      <c r="F1159" s="165"/>
      <c r="G1159" s="165"/>
      <c r="H1159" s="165"/>
      <c r="I1159" s="165"/>
      <c r="J1159" s="165"/>
      <c r="K1159" s="165"/>
      <c r="L1159" s="165"/>
      <c r="M1159" s="165"/>
      <c r="N1159" s="165"/>
      <c r="O1159" s="165"/>
      <c r="P1159" s="165"/>
    </row>
    <row r="1160" spans="1:22">
      <c r="A1160" s="165"/>
      <c r="B1160" s="165"/>
      <c r="C1160" s="165"/>
      <c r="D1160" s="165"/>
      <c r="E1160" s="165"/>
      <c r="F1160" s="165"/>
      <c r="G1160" s="165"/>
      <c r="H1160" s="165"/>
      <c r="I1160" s="165"/>
      <c r="J1160" s="165"/>
      <c r="K1160" s="165"/>
      <c r="L1160" s="165"/>
      <c r="M1160" s="165"/>
      <c r="N1160" s="165"/>
      <c r="O1160" s="165"/>
      <c r="P1160" s="165"/>
    </row>
    <row r="1161" spans="1:22" s="176" customFormat="1" ht="20.25" customHeight="1">
      <c r="A1161" s="203" t="s">
        <v>5170</v>
      </c>
      <c r="B1161" s="200"/>
      <c r="C1161" s="201"/>
      <c r="D1161" s="202"/>
      <c r="E1161" s="201"/>
      <c r="F1161" s="185" t="s">
        <v>2378</v>
      </c>
      <c r="G1161" s="185">
        <f t="shared" ref="G1161:O1161" si="39">SUM(G1163:G1349)</f>
        <v>28350</v>
      </c>
      <c r="H1161" s="185">
        <f t="shared" si="39"/>
        <v>2203455</v>
      </c>
      <c r="I1161" s="185">
        <f t="shared" si="39"/>
        <v>307125</v>
      </c>
      <c r="J1161" s="185">
        <f t="shared" si="39"/>
        <v>20475</v>
      </c>
      <c r="K1161" s="185">
        <f t="shared" si="39"/>
        <v>1189680</v>
      </c>
      <c r="L1161" s="185">
        <f t="shared" si="39"/>
        <v>1030170</v>
      </c>
      <c r="M1161" s="185">
        <f t="shared" si="39"/>
        <v>298605</v>
      </c>
      <c r="N1161" s="185">
        <f t="shared" si="39"/>
        <v>0</v>
      </c>
      <c r="O1161" s="185">
        <f t="shared" si="39"/>
        <v>298605</v>
      </c>
      <c r="P1161" s="185"/>
      <c r="Q1161" s="185"/>
      <c r="R1161" s="185">
        <f>SUM(R1163:R1349)</f>
        <v>3087840</v>
      </c>
      <c r="S1161" s="185">
        <f>SUM(S1163:S1349)</f>
        <v>2817380</v>
      </c>
      <c r="T1161" s="185">
        <f>SUM(T1163:T1349)</f>
        <v>577055</v>
      </c>
      <c r="U1161" s="185">
        <f>SUM(U1163:U1349)</f>
        <v>205</v>
      </c>
    </row>
    <row r="1162" spans="1:22" s="270" customFormat="1">
      <c r="A1162" s="269" t="s">
        <v>1281</v>
      </c>
      <c r="B1162" s="269" t="s">
        <v>2435</v>
      </c>
      <c r="C1162" s="269" t="s">
        <v>1385</v>
      </c>
      <c r="D1162" s="269" t="s">
        <v>1275</v>
      </c>
      <c r="E1162" s="269" t="s">
        <v>265</v>
      </c>
      <c r="F1162" s="269" t="s">
        <v>1280</v>
      </c>
      <c r="G1162" s="269" t="s">
        <v>4502</v>
      </c>
      <c r="H1162" s="269" t="s">
        <v>4468</v>
      </c>
      <c r="I1162" s="269" t="s">
        <v>4447</v>
      </c>
      <c r="J1162" s="269" t="s">
        <v>4470</v>
      </c>
      <c r="K1162" s="269" t="s">
        <v>9629</v>
      </c>
      <c r="L1162" s="269" t="s">
        <v>9630</v>
      </c>
      <c r="M1162" s="269" t="s">
        <v>4841</v>
      </c>
      <c r="N1162" s="269" t="s">
        <v>3728</v>
      </c>
      <c r="O1162" s="269" t="s">
        <v>2438</v>
      </c>
      <c r="P1162" s="269" t="s">
        <v>1282</v>
      </c>
      <c r="Q1162" s="269" t="s">
        <v>1386</v>
      </c>
      <c r="R1162" s="269" t="s">
        <v>576</v>
      </c>
      <c r="S1162" s="269" t="s">
        <v>3593</v>
      </c>
      <c r="T1162" s="269" t="s">
        <v>1283</v>
      </c>
      <c r="U1162" s="269" t="s">
        <v>577</v>
      </c>
    </row>
    <row r="1163" spans="1:22" s="163" customFormat="1">
      <c r="A1163" s="281" t="s">
        <v>4788</v>
      </c>
      <c r="B1163" s="281"/>
      <c r="C1163" s="281" t="s">
        <v>1264</v>
      </c>
      <c r="D1163" s="340" t="s">
        <v>4824</v>
      </c>
      <c r="E1163" s="281" t="s">
        <v>1283</v>
      </c>
      <c r="F1163" s="281" t="s">
        <v>4788</v>
      </c>
      <c r="G1163" s="284"/>
      <c r="H1163" s="284"/>
      <c r="I1163" s="284"/>
      <c r="J1163" s="281"/>
      <c r="K1163" s="281"/>
      <c r="L1163" s="281"/>
      <c r="M1163" s="281"/>
      <c r="N1163" s="281"/>
      <c r="O1163" s="281">
        <f>G1163+H1163+I1163-J1163-K1163-L1163</f>
        <v>0</v>
      </c>
      <c r="P1163" s="281" t="s">
        <v>4788</v>
      </c>
      <c r="Q1163" s="281" t="s">
        <v>4788</v>
      </c>
      <c r="R1163" s="281">
        <v>11340</v>
      </c>
      <c r="S1163" s="281">
        <v>11340</v>
      </c>
      <c r="T1163" s="405">
        <v>11340</v>
      </c>
      <c r="U1163" s="284"/>
      <c r="V1163" s="163" t="s">
        <v>4760</v>
      </c>
    </row>
    <row r="1164" spans="1:22" s="163" customFormat="1">
      <c r="A1164" s="281" t="s">
        <v>4790</v>
      </c>
      <c r="B1164" s="281"/>
      <c r="C1164" s="281" t="s">
        <v>2421</v>
      </c>
      <c r="D1164" s="281">
        <v>4</v>
      </c>
      <c r="E1164" s="281" t="s">
        <v>1283</v>
      </c>
      <c r="F1164" s="281" t="s">
        <v>4790</v>
      </c>
      <c r="G1164" s="284"/>
      <c r="H1164" s="284"/>
      <c r="I1164" s="284"/>
      <c r="J1164" s="281"/>
      <c r="K1164" s="281"/>
      <c r="L1164" s="281"/>
      <c r="M1164" s="281"/>
      <c r="N1164" s="281"/>
      <c r="O1164" s="281">
        <f t="shared" ref="O1164:O1227" si="40">G1164+H1164+I1164-J1164-K1164-L1164</f>
        <v>0</v>
      </c>
      <c r="P1164" s="281" t="s">
        <v>4790</v>
      </c>
      <c r="Q1164" s="281" t="s">
        <v>4790</v>
      </c>
      <c r="R1164" s="281">
        <v>14175</v>
      </c>
      <c r="S1164" s="281">
        <v>14165</v>
      </c>
      <c r="T1164" s="406">
        <v>14165</v>
      </c>
      <c r="U1164" s="556">
        <v>10</v>
      </c>
      <c r="V1164" s="281"/>
    </row>
    <row r="1165" spans="1:22" s="163" customFormat="1">
      <c r="A1165" s="281" t="s">
        <v>5261</v>
      </c>
      <c r="B1165" s="281"/>
      <c r="C1165" s="281" t="s">
        <v>456</v>
      </c>
      <c r="D1165" s="281">
        <v>7</v>
      </c>
      <c r="E1165" s="281" t="s">
        <v>1283</v>
      </c>
      <c r="F1165" s="281" t="s">
        <v>5261</v>
      </c>
      <c r="G1165" s="284"/>
      <c r="H1165" s="284"/>
      <c r="I1165" s="284"/>
      <c r="J1165" s="281"/>
      <c r="K1165" s="281"/>
      <c r="L1165" s="281"/>
      <c r="M1165" s="281"/>
      <c r="N1165" s="281"/>
      <c r="O1165" s="281">
        <f t="shared" si="40"/>
        <v>0</v>
      </c>
      <c r="P1165" s="281" t="s">
        <v>5261</v>
      </c>
      <c r="Q1165" s="281" t="s">
        <v>5261</v>
      </c>
      <c r="R1165" s="281">
        <v>13230</v>
      </c>
      <c r="S1165" s="281">
        <v>13230</v>
      </c>
      <c r="T1165" s="406">
        <v>13230</v>
      </c>
      <c r="U1165" s="338"/>
    </row>
    <row r="1166" spans="1:22" s="163" customFormat="1">
      <c r="A1166" s="281" t="s">
        <v>5261</v>
      </c>
      <c r="B1166" s="281"/>
      <c r="C1166" s="281" t="s">
        <v>3825</v>
      </c>
      <c r="D1166" s="281">
        <v>8</v>
      </c>
      <c r="E1166" s="281" t="s">
        <v>1283</v>
      </c>
      <c r="F1166" s="281" t="s">
        <v>5261</v>
      </c>
      <c r="G1166" s="284"/>
      <c r="H1166" s="284"/>
      <c r="I1166" s="284"/>
      <c r="J1166" s="281"/>
      <c r="K1166" s="281"/>
      <c r="L1166" s="281"/>
      <c r="M1166" s="281"/>
      <c r="N1166" s="281"/>
      <c r="O1166" s="281">
        <f t="shared" si="40"/>
        <v>0</v>
      </c>
      <c r="P1166" s="281" t="s">
        <v>5261</v>
      </c>
      <c r="Q1166" s="281" t="s">
        <v>5261</v>
      </c>
      <c r="R1166" s="281">
        <v>14175</v>
      </c>
      <c r="S1166" s="281">
        <v>14145</v>
      </c>
      <c r="T1166" s="406">
        <v>14145</v>
      </c>
      <c r="U1166" s="556">
        <v>30</v>
      </c>
    </row>
    <row r="1167" spans="1:22" s="163" customFormat="1">
      <c r="A1167" s="281" t="s">
        <v>4266</v>
      </c>
      <c r="B1167" s="281"/>
      <c r="C1167" s="281" t="s">
        <v>1532</v>
      </c>
      <c r="D1167" s="281">
        <v>7</v>
      </c>
      <c r="E1167" s="281" t="s">
        <v>1283</v>
      </c>
      <c r="F1167" s="281" t="s">
        <v>4266</v>
      </c>
      <c r="G1167" s="284"/>
      <c r="H1167" s="284"/>
      <c r="I1167" s="284"/>
      <c r="J1167" s="281"/>
      <c r="K1167" s="281"/>
      <c r="L1167" s="281"/>
      <c r="M1167" s="281"/>
      <c r="N1167" s="281"/>
      <c r="O1167" s="281">
        <f t="shared" si="40"/>
        <v>0</v>
      </c>
      <c r="P1167" s="281" t="s">
        <v>4266</v>
      </c>
      <c r="Q1167" s="281" t="s">
        <v>4266</v>
      </c>
      <c r="R1167" s="281">
        <v>13500</v>
      </c>
      <c r="S1167" s="281">
        <v>13485</v>
      </c>
      <c r="T1167" s="406">
        <v>13485</v>
      </c>
      <c r="U1167" s="556">
        <v>15</v>
      </c>
    </row>
    <row r="1168" spans="1:22" s="163" customFormat="1">
      <c r="A1168" s="281" t="s">
        <v>4610</v>
      </c>
      <c r="B1168" s="281"/>
      <c r="C1168" s="281" t="s">
        <v>1264</v>
      </c>
      <c r="D1168" s="340" t="s">
        <v>4810</v>
      </c>
      <c r="E1168" s="281" t="s">
        <v>1283</v>
      </c>
      <c r="F1168" s="281" t="s">
        <v>4610</v>
      </c>
      <c r="G1168" s="284"/>
      <c r="H1168" s="284"/>
      <c r="I1168" s="284"/>
      <c r="J1168" s="281"/>
      <c r="K1168" s="281"/>
      <c r="L1168" s="281"/>
      <c r="M1168" s="281"/>
      <c r="N1168" s="281"/>
      <c r="O1168" s="281">
        <f t="shared" si="40"/>
        <v>0</v>
      </c>
      <c r="P1168" s="281" t="s">
        <v>4610</v>
      </c>
      <c r="Q1168" s="281" t="s">
        <v>4610</v>
      </c>
      <c r="R1168" s="281">
        <v>11340</v>
      </c>
      <c r="S1168" s="281">
        <v>11340</v>
      </c>
      <c r="T1168" s="405">
        <v>11340</v>
      </c>
      <c r="U1168" s="284"/>
      <c r="V1168" s="163" t="s">
        <v>4760</v>
      </c>
    </row>
    <row r="1169" spans="1:22" s="163" customFormat="1">
      <c r="A1169" s="281" t="s">
        <v>5266</v>
      </c>
      <c r="B1169" s="281"/>
      <c r="C1169" s="281" t="s">
        <v>1532</v>
      </c>
      <c r="D1169" s="281">
        <v>8</v>
      </c>
      <c r="E1169" s="281" t="s">
        <v>1283</v>
      </c>
      <c r="F1169" s="281" t="s">
        <v>5266</v>
      </c>
      <c r="G1169" s="284"/>
      <c r="H1169" s="284"/>
      <c r="I1169" s="284"/>
      <c r="J1169" s="281"/>
      <c r="K1169" s="281"/>
      <c r="L1169" s="281"/>
      <c r="M1169" s="281"/>
      <c r="N1169" s="281"/>
      <c r="O1169" s="281">
        <f t="shared" si="40"/>
        <v>0</v>
      </c>
      <c r="P1169" s="281" t="s">
        <v>5266</v>
      </c>
      <c r="Q1169" s="281" t="s">
        <v>5266</v>
      </c>
      <c r="R1169" s="281">
        <v>13500</v>
      </c>
      <c r="S1169" s="281">
        <v>13485</v>
      </c>
      <c r="T1169" s="406">
        <v>13485</v>
      </c>
      <c r="U1169" s="556">
        <v>15</v>
      </c>
    </row>
    <row r="1170" spans="1:22" s="163" customFormat="1">
      <c r="A1170" s="281" t="s">
        <v>4802</v>
      </c>
      <c r="B1170" s="281"/>
      <c r="C1170" s="281" t="s">
        <v>2421</v>
      </c>
      <c r="D1170" s="281">
        <v>5</v>
      </c>
      <c r="E1170" s="281" t="s">
        <v>1283</v>
      </c>
      <c r="F1170" s="281" t="s">
        <v>4802</v>
      </c>
      <c r="G1170" s="284"/>
      <c r="H1170" s="284"/>
      <c r="I1170" s="284"/>
      <c r="J1170" s="281"/>
      <c r="K1170" s="281"/>
      <c r="L1170" s="281"/>
      <c r="M1170" s="281"/>
      <c r="N1170" s="281"/>
      <c r="O1170" s="281">
        <f t="shared" si="40"/>
        <v>0</v>
      </c>
      <c r="P1170" s="281" t="s">
        <v>4802</v>
      </c>
      <c r="Q1170" s="281" t="s">
        <v>4802</v>
      </c>
      <c r="R1170" s="281">
        <v>14175</v>
      </c>
      <c r="S1170" s="281">
        <v>14165</v>
      </c>
      <c r="T1170" s="406">
        <v>14165</v>
      </c>
      <c r="U1170" s="556">
        <v>10</v>
      </c>
      <c r="V1170" s="281"/>
    </row>
    <row r="1171" spans="1:22" s="163" customFormat="1">
      <c r="A1171" s="281" t="s">
        <v>5262</v>
      </c>
      <c r="B1171" s="281"/>
      <c r="C1171" s="281" t="s">
        <v>456</v>
      </c>
      <c r="D1171" s="281">
        <v>8</v>
      </c>
      <c r="E1171" s="281" t="s">
        <v>1283</v>
      </c>
      <c r="F1171" s="281" t="s">
        <v>5262</v>
      </c>
      <c r="G1171" s="284"/>
      <c r="H1171" s="284"/>
      <c r="I1171" s="284"/>
      <c r="J1171" s="281"/>
      <c r="K1171" s="281"/>
      <c r="L1171" s="281"/>
      <c r="M1171" s="281"/>
      <c r="N1171" s="281"/>
      <c r="O1171" s="281">
        <f t="shared" si="40"/>
        <v>0</v>
      </c>
      <c r="P1171" s="281" t="s">
        <v>5262</v>
      </c>
      <c r="Q1171" s="281" t="s">
        <v>5262</v>
      </c>
      <c r="R1171" s="281">
        <v>13230</v>
      </c>
      <c r="S1171" s="281">
        <v>13230</v>
      </c>
      <c r="T1171" s="406">
        <v>13230</v>
      </c>
      <c r="U1171" s="338"/>
    </row>
    <row r="1172" spans="1:22" s="163" customFormat="1">
      <c r="A1172" s="281" t="s">
        <v>5267</v>
      </c>
      <c r="B1172" s="281"/>
      <c r="C1172" s="281" t="s">
        <v>2421</v>
      </c>
      <c r="D1172" s="281">
        <v>6</v>
      </c>
      <c r="E1172" s="281" t="s">
        <v>1283</v>
      </c>
      <c r="F1172" s="281" t="s">
        <v>5267</v>
      </c>
      <c r="G1172" s="284"/>
      <c r="H1172" s="284"/>
      <c r="I1172" s="284"/>
      <c r="J1172" s="281"/>
      <c r="K1172" s="281"/>
      <c r="L1172" s="281"/>
      <c r="M1172" s="281"/>
      <c r="N1172" s="281"/>
      <c r="O1172" s="281">
        <f t="shared" si="40"/>
        <v>0</v>
      </c>
      <c r="P1172" s="281" t="s">
        <v>5267</v>
      </c>
      <c r="Q1172" s="281" t="s">
        <v>5267</v>
      </c>
      <c r="R1172" s="281">
        <v>14175</v>
      </c>
      <c r="S1172" s="281">
        <v>14165</v>
      </c>
      <c r="T1172" s="406">
        <v>14165</v>
      </c>
      <c r="U1172" s="556">
        <v>10</v>
      </c>
      <c r="V1172" s="281"/>
    </row>
    <row r="1173" spans="1:22" s="163" customFormat="1">
      <c r="A1173" s="281" t="s">
        <v>5268</v>
      </c>
      <c r="B1173" s="281"/>
      <c r="C1173" s="281" t="s">
        <v>3825</v>
      </c>
      <c r="D1173" s="281">
        <v>1</v>
      </c>
      <c r="E1173" s="281" t="s">
        <v>1283</v>
      </c>
      <c r="F1173" s="281" t="s">
        <v>5268</v>
      </c>
      <c r="G1173" s="284"/>
      <c r="H1173" s="284"/>
      <c r="I1173" s="284"/>
      <c r="J1173" s="281"/>
      <c r="K1173" s="281"/>
      <c r="L1173" s="281"/>
      <c r="M1173" s="281"/>
      <c r="N1173" s="281"/>
      <c r="O1173" s="281">
        <f t="shared" si="40"/>
        <v>0</v>
      </c>
      <c r="P1173" s="281" t="s">
        <v>5268</v>
      </c>
      <c r="Q1173" s="281" t="s">
        <v>5268</v>
      </c>
      <c r="R1173" s="281">
        <v>14175</v>
      </c>
      <c r="S1173" s="281">
        <v>14145</v>
      </c>
      <c r="T1173" s="406">
        <v>14145</v>
      </c>
      <c r="U1173" s="556">
        <v>30</v>
      </c>
    </row>
    <row r="1174" spans="1:22" s="163" customFormat="1">
      <c r="A1174" s="281" t="s">
        <v>5270</v>
      </c>
      <c r="B1174" s="281"/>
      <c r="C1174" s="281" t="s">
        <v>1264</v>
      </c>
      <c r="D1174" s="340" t="s">
        <v>4111</v>
      </c>
      <c r="E1174" s="281" t="s">
        <v>1283</v>
      </c>
      <c r="F1174" s="281" t="s">
        <v>5270</v>
      </c>
      <c r="G1174" s="284"/>
      <c r="H1174" s="284"/>
      <c r="I1174" s="284"/>
      <c r="J1174" s="281"/>
      <c r="K1174" s="281"/>
      <c r="L1174" s="281"/>
      <c r="M1174" s="281"/>
      <c r="N1174" s="281"/>
      <c r="O1174" s="281">
        <f t="shared" si="40"/>
        <v>0</v>
      </c>
      <c r="P1174" s="281" t="s">
        <v>5270</v>
      </c>
      <c r="Q1174" s="281" t="s">
        <v>5270</v>
      </c>
      <c r="R1174" s="281">
        <v>45360</v>
      </c>
      <c r="S1174" s="281">
        <v>45360</v>
      </c>
      <c r="T1174" s="405">
        <v>45360</v>
      </c>
      <c r="U1174" s="284"/>
      <c r="V1174" s="163" t="s">
        <v>4760</v>
      </c>
    </row>
    <row r="1175" spans="1:22" s="163" customFormat="1">
      <c r="A1175" s="281" t="s">
        <v>5281</v>
      </c>
      <c r="B1175" s="281"/>
      <c r="C1175" s="281" t="s">
        <v>4204</v>
      </c>
      <c r="D1175" s="281"/>
      <c r="E1175" s="281" t="s">
        <v>1283</v>
      </c>
      <c r="F1175" s="281" t="s">
        <v>5281</v>
      </c>
      <c r="G1175" s="284"/>
      <c r="H1175" s="284"/>
      <c r="I1175" s="284"/>
      <c r="J1175" s="281"/>
      <c r="K1175" s="281"/>
      <c r="L1175" s="281"/>
      <c r="M1175" s="281"/>
      <c r="N1175" s="281"/>
      <c r="O1175" s="281">
        <f t="shared" si="40"/>
        <v>0</v>
      </c>
      <c r="P1175" s="281" t="s">
        <v>5281</v>
      </c>
      <c r="Q1175" s="281" t="s">
        <v>5281</v>
      </c>
      <c r="R1175" s="281">
        <v>75600</v>
      </c>
      <c r="S1175" s="281">
        <v>75600</v>
      </c>
      <c r="T1175" s="406">
        <v>75600</v>
      </c>
      <c r="U1175" s="281"/>
      <c r="V1175" s="163" t="s">
        <v>4762</v>
      </c>
    </row>
    <row r="1176" spans="1:22" s="163" customFormat="1">
      <c r="A1176" s="281" t="s">
        <v>5284</v>
      </c>
      <c r="B1176" s="281"/>
      <c r="C1176" s="281" t="s">
        <v>3825</v>
      </c>
      <c r="D1176" s="281">
        <v>2</v>
      </c>
      <c r="E1176" s="281" t="s">
        <v>1283</v>
      </c>
      <c r="F1176" s="281" t="s">
        <v>5284</v>
      </c>
      <c r="G1176" s="284"/>
      <c r="H1176" s="284"/>
      <c r="I1176" s="284"/>
      <c r="J1176" s="281"/>
      <c r="K1176" s="281"/>
      <c r="L1176" s="281"/>
      <c r="M1176" s="281"/>
      <c r="N1176" s="281"/>
      <c r="O1176" s="281">
        <f t="shared" si="40"/>
        <v>0</v>
      </c>
      <c r="P1176" s="281" t="s">
        <v>5284</v>
      </c>
      <c r="Q1176" s="281" t="s">
        <v>5284</v>
      </c>
      <c r="R1176" s="281">
        <v>14175</v>
      </c>
      <c r="S1176" s="281">
        <v>14145</v>
      </c>
      <c r="T1176" s="406">
        <v>14145</v>
      </c>
      <c r="U1176" s="556">
        <v>30</v>
      </c>
    </row>
    <row r="1177" spans="1:22" s="163" customFormat="1">
      <c r="A1177" s="281" t="s">
        <v>5263</v>
      </c>
      <c r="B1177" s="281"/>
      <c r="C1177" s="281" t="s">
        <v>456</v>
      </c>
      <c r="D1177" s="281">
        <v>1</v>
      </c>
      <c r="E1177" s="281" t="s">
        <v>1283</v>
      </c>
      <c r="F1177" s="281" t="s">
        <v>5263</v>
      </c>
      <c r="G1177" s="284"/>
      <c r="H1177" s="284"/>
      <c r="I1177" s="284"/>
      <c r="J1177" s="281"/>
      <c r="K1177" s="281"/>
      <c r="L1177" s="281"/>
      <c r="M1177" s="281"/>
      <c r="N1177" s="281"/>
      <c r="O1177" s="281">
        <f t="shared" si="40"/>
        <v>0</v>
      </c>
      <c r="P1177" s="281" t="s">
        <v>5263</v>
      </c>
      <c r="Q1177" s="281" t="s">
        <v>5263</v>
      </c>
      <c r="R1177" s="281">
        <v>13230</v>
      </c>
      <c r="S1177" s="281">
        <v>13230</v>
      </c>
      <c r="T1177" s="406">
        <v>13230</v>
      </c>
      <c r="U1177" s="338"/>
    </row>
    <row r="1178" spans="1:22" s="163" customFormat="1">
      <c r="A1178" s="281" t="s">
        <v>5285</v>
      </c>
      <c r="B1178" s="281"/>
      <c r="C1178" s="281" t="s">
        <v>4094</v>
      </c>
      <c r="D1178" s="281">
        <v>7</v>
      </c>
      <c r="E1178" s="281" t="s">
        <v>1283</v>
      </c>
      <c r="F1178" s="281" t="s">
        <v>5285</v>
      </c>
      <c r="G1178" s="284"/>
      <c r="H1178" s="284"/>
      <c r="I1178" s="284"/>
      <c r="J1178" s="281"/>
      <c r="K1178" s="281"/>
      <c r="L1178" s="281"/>
      <c r="M1178" s="281"/>
      <c r="N1178" s="281"/>
      <c r="O1178" s="281">
        <f t="shared" si="40"/>
        <v>0</v>
      </c>
      <c r="P1178" s="281" t="s">
        <v>5285</v>
      </c>
      <c r="Q1178" s="281" t="s">
        <v>5285</v>
      </c>
      <c r="R1178" s="281">
        <v>4410</v>
      </c>
      <c r="S1178" s="281">
        <v>4410</v>
      </c>
      <c r="T1178" s="406">
        <v>4410</v>
      </c>
      <c r="U1178" s="338"/>
      <c r="V1178" s="163" t="s">
        <v>5286</v>
      </c>
    </row>
    <row r="1179" spans="1:22" s="163" customFormat="1">
      <c r="A1179" s="281" t="s">
        <v>5287</v>
      </c>
      <c r="B1179" s="281"/>
      <c r="C1179" s="281" t="s">
        <v>2421</v>
      </c>
      <c r="D1179" s="281">
        <v>7</v>
      </c>
      <c r="E1179" s="281" t="s">
        <v>1283</v>
      </c>
      <c r="F1179" s="281" t="s">
        <v>5287</v>
      </c>
      <c r="G1179" s="284"/>
      <c r="H1179" s="284"/>
      <c r="I1179" s="284"/>
      <c r="J1179" s="281"/>
      <c r="K1179" s="281"/>
      <c r="L1179" s="281"/>
      <c r="M1179" s="281"/>
      <c r="N1179" s="281"/>
      <c r="O1179" s="281">
        <f t="shared" si="40"/>
        <v>0</v>
      </c>
      <c r="P1179" s="281" t="s">
        <v>5287</v>
      </c>
      <c r="Q1179" s="281" t="s">
        <v>5287</v>
      </c>
      <c r="R1179" s="281">
        <v>14175</v>
      </c>
      <c r="S1179" s="281">
        <v>14165</v>
      </c>
      <c r="T1179" s="406">
        <v>14165</v>
      </c>
      <c r="U1179" s="556">
        <v>10</v>
      </c>
      <c r="V1179" s="281"/>
    </row>
    <row r="1180" spans="1:22" s="163" customFormat="1">
      <c r="A1180" s="281" t="s">
        <v>4293</v>
      </c>
      <c r="B1180" s="281"/>
      <c r="C1180" s="281" t="s">
        <v>1532</v>
      </c>
      <c r="D1180" s="281">
        <v>1</v>
      </c>
      <c r="E1180" s="281" t="s">
        <v>1283</v>
      </c>
      <c r="F1180" s="281" t="s">
        <v>4293</v>
      </c>
      <c r="G1180" s="284"/>
      <c r="H1180" s="284"/>
      <c r="I1180" s="284"/>
      <c r="J1180" s="281"/>
      <c r="K1180" s="281"/>
      <c r="L1180" s="281"/>
      <c r="M1180" s="281"/>
      <c r="N1180" s="281"/>
      <c r="O1180" s="281">
        <f t="shared" si="40"/>
        <v>0</v>
      </c>
      <c r="P1180" s="281" t="s">
        <v>4293</v>
      </c>
      <c r="Q1180" s="281" t="s">
        <v>4293</v>
      </c>
      <c r="R1180" s="281">
        <v>13500</v>
      </c>
      <c r="S1180" s="281">
        <v>13485</v>
      </c>
      <c r="T1180" s="406">
        <v>13485</v>
      </c>
      <c r="U1180" s="556">
        <v>15</v>
      </c>
    </row>
    <row r="1181" spans="1:22" s="163" customFormat="1">
      <c r="A1181" s="281" t="s">
        <v>5288</v>
      </c>
      <c r="B1181" s="281"/>
      <c r="C1181" s="281" t="s">
        <v>4094</v>
      </c>
      <c r="D1181" s="281">
        <v>8</v>
      </c>
      <c r="E1181" s="281" t="s">
        <v>1283</v>
      </c>
      <c r="F1181" s="281" t="s">
        <v>5288</v>
      </c>
      <c r="G1181" s="284"/>
      <c r="H1181" s="284"/>
      <c r="I1181" s="284"/>
      <c r="J1181" s="281"/>
      <c r="K1181" s="281"/>
      <c r="L1181" s="281"/>
      <c r="M1181" s="281"/>
      <c r="N1181" s="281"/>
      <c r="O1181" s="281">
        <f t="shared" si="40"/>
        <v>0</v>
      </c>
      <c r="P1181" s="281" t="s">
        <v>5288</v>
      </c>
      <c r="Q1181" s="281" t="s">
        <v>5288</v>
      </c>
      <c r="R1181" s="281">
        <v>4410</v>
      </c>
      <c r="S1181" s="281">
        <v>4410</v>
      </c>
      <c r="T1181" s="406">
        <v>4410</v>
      </c>
      <c r="U1181" s="338"/>
      <c r="V1181" s="163" t="s">
        <v>5286</v>
      </c>
    </row>
    <row r="1182" spans="1:22" s="163" customFormat="1">
      <c r="A1182" s="281" t="s">
        <v>5289</v>
      </c>
      <c r="B1182" s="281"/>
      <c r="C1182" s="281" t="s">
        <v>4201</v>
      </c>
      <c r="D1182" s="281"/>
      <c r="E1182" s="281" t="s">
        <v>1283</v>
      </c>
      <c r="F1182" s="281" t="s">
        <v>5289</v>
      </c>
      <c r="G1182" s="284"/>
      <c r="H1182" s="284"/>
      <c r="I1182" s="284"/>
      <c r="J1182" s="281"/>
      <c r="K1182" s="281"/>
      <c r="L1182" s="281"/>
      <c r="M1182" s="281"/>
      <c r="N1182" s="281"/>
      <c r="O1182" s="281">
        <f t="shared" si="40"/>
        <v>0</v>
      </c>
      <c r="P1182" s="281" t="s">
        <v>5289</v>
      </c>
      <c r="Q1182" s="281" t="s">
        <v>5289</v>
      </c>
      <c r="R1182" s="281">
        <v>113400</v>
      </c>
      <c r="S1182" s="281">
        <v>113390</v>
      </c>
      <c r="T1182" s="406">
        <v>113390</v>
      </c>
      <c r="U1182" s="624">
        <v>10</v>
      </c>
      <c r="V1182" s="163" t="s">
        <v>4778</v>
      </c>
    </row>
    <row r="1183" spans="1:22" s="163" customFormat="1">
      <c r="A1183" s="281" t="s">
        <v>5292</v>
      </c>
      <c r="B1183" s="281"/>
      <c r="C1183" s="281" t="s">
        <v>4094</v>
      </c>
      <c r="D1183" s="281">
        <v>9</v>
      </c>
      <c r="E1183" s="281" t="s">
        <v>1283</v>
      </c>
      <c r="F1183" s="281" t="s">
        <v>5292</v>
      </c>
      <c r="G1183" s="284"/>
      <c r="H1183" s="284"/>
      <c r="I1183" s="284"/>
      <c r="J1183" s="281"/>
      <c r="K1183" s="281"/>
      <c r="L1183" s="281"/>
      <c r="M1183" s="281"/>
      <c r="N1183" s="281"/>
      <c r="O1183" s="281">
        <f t="shared" si="40"/>
        <v>0</v>
      </c>
      <c r="P1183" s="281" t="s">
        <v>5292</v>
      </c>
      <c r="Q1183" s="281" t="s">
        <v>5292</v>
      </c>
      <c r="R1183" s="281">
        <v>4410</v>
      </c>
      <c r="S1183" s="281">
        <v>4410</v>
      </c>
      <c r="T1183" s="406">
        <v>4410</v>
      </c>
      <c r="U1183" s="338"/>
      <c r="V1183" s="163" t="s">
        <v>5286</v>
      </c>
    </row>
    <row r="1184" spans="1:22" s="163" customFormat="1">
      <c r="A1184" s="281" t="s">
        <v>5290</v>
      </c>
      <c r="B1184" s="281"/>
      <c r="C1184" s="281" t="s">
        <v>4000</v>
      </c>
      <c r="D1184" s="281"/>
      <c r="E1184" s="281" t="s">
        <v>1283</v>
      </c>
      <c r="F1184" s="281" t="s">
        <v>5290</v>
      </c>
      <c r="G1184" s="284"/>
      <c r="H1184" s="284"/>
      <c r="I1184" s="284"/>
      <c r="J1184" s="281"/>
      <c r="K1184" s="281"/>
      <c r="L1184" s="281"/>
      <c r="M1184" s="281"/>
      <c r="N1184" s="281"/>
      <c r="O1184" s="281">
        <f t="shared" si="40"/>
        <v>0</v>
      </c>
      <c r="P1184" s="281" t="s">
        <v>5290</v>
      </c>
      <c r="Q1184" s="281" t="s">
        <v>5290</v>
      </c>
      <c r="R1184" s="281">
        <v>113400</v>
      </c>
      <c r="S1184" s="281">
        <v>113390</v>
      </c>
      <c r="T1184" s="406">
        <v>113390</v>
      </c>
      <c r="U1184" s="624">
        <v>10</v>
      </c>
      <c r="V1184" s="163" t="s">
        <v>5291</v>
      </c>
    </row>
    <row r="1185" spans="1:22" s="163" customFormat="1">
      <c r="A1185" s="281" t="s">
        <v>5293</v>
      </c>
      <c r="B1185" s="281"/>
      <c r="C1185" s="281" t="s">
        <v>3825</v>
      </c>
      <c r="D1185" s="281">
        <v>3</v>
      </c>
      <c r="E1185" s="281" t="s">
        <v>1283</v>
      </c>
      <c r="F1185" s="281" t="s">
        <v>5293</v>
      </c>
      <c r="G1185" s="284"/>
      <c r="H1185" s="284"/>
      <c r="I1185" s="284"/>
      <c r="J1185" s="281"/>
      <c r="K1185" s="281"/>
      <c r="L1185" s="281"/>
      <c r="M1185" s="281"/>
      <c r="N1185" s="281"/>
      <c r="O1185" s="281">
        <f t="shared" si="40"/>
        <v>0</v>
      </c>
      <c r="P1185" s="281" t="s">
        <v>5293</v>
      </c>
      <c r="Q1185" s="281" t="s">
        <v>5293</v>
      </c>
      <c r="R1185" s="281">
        <v>14175</v>
      </c>
      <c r="S1185" s="281">
        <v>14165</v>
      </c>
      <c r="T1185" s="406">
        <v>14165</v>
      </c>
      <c r="U1185" s="556">
        <v>10</v>
      </c>
    </row>
    <row r="1186" spans="1:22">
      <c r="A1186" s="165" t="s">
        <v>5296</v>
      </c>
      <c r="B1186" s="94">
        <v>1176</v>
      </c>
      <c r="C1186" s="165" t="s">
        <v>4271</v>
      </c>
      <c r="D1186" s="165">
        <v>1</v>
      </c>
      <c r="E1186" s="165" t="s">
        <v>5297</v>
      </c>
      <c r="F1186" s="165" t="s">
        <v>5296</v>
      </c>
      <c r="G1186" s="165"/>
      <c r="H1186" s="165">
        <v>20475</v>
      </c>
      <c r="I1186" s="165"/>
      <c r="J1186" s="165"/>
      <c r="K1186" s="165">
        <v>20475</v>
      </c>
      <c r="L1186" s="165"/>
      <c r="M1186" s="165"/>
      <c r="N1186" s="165"/>
      <c r="O1186" s="337">
        <f t="shared" si="40"/>
        <v>0</v>
      </c>
      <c r="P1186" s="165" t="s">
        <v>5298</v>
      </c>
      <c r="Q1186" s="165" t="s">
        <v>5299</v>
      </c>
      <c r="R1186" s="3">
        <f t="shared" ref="R1186:R1197" si="41">H1186</f>
        <v>20475</v>
      </c>
      <c r="S1186" s="337">
        <v>20475</v>
      </c>
      <c r="T1186"/>
      <c r="U1186" s="3"/>
    </row>
    <row r="1187" spans="1:22">
      <c r="A1187" s="165" t="s">
        <v>5296</v>
      </c>
      <c r="B1187" s="94">
        <v>1177</v>
      </c>
      <c r="C1187" s="165" t="s">
        <v>4271</v>
      </c>
      <c r="D1187" s="165">
        <v>2</v>
      </c>
      <c r="E1187" s="165" t="s">
        <v>5300</v>
      </c>
      <c r="F1187" s="165" t="s">
        <v>4797</v>
      </c>
      <c r="G1187" s="165"/>
      <c r="H1187" s="165">
        <v>20475</v>
      </c>
      <c r="I1187" s="165"/>
      <c r="J1187" s="165"/>
      <c r="K1187" s="165">
        <v>20475</v>
      </c>
      <c r="L1187" s="165"/>
      <c r="M1187" s="165"/>
      <c r="N1187" s="165"/>
      <c r="O1187" s="337">
        <f t="shared" si="40"/>
        <v>0</v>
      </c>
      <c r="P1187" s="165" t="s">
        <v>4797</v>
      </c>
      <c r="Q1187" s="165" t="s">
        <v>4798</v>
      </c>
      <c r="R1187" s="3">
        <f t="shared" si="41"/>
        <v>20475</v>
      </c>
      <c r="S1187" s="337">
        <v>20475</v>
      </c>
      <c r="T1187"/>
      <c r="U1187" s="3"/>
    </row>
    <row r="1188" spans="1:22">
      <c r="A1188" s="165" t="s">
        <v>5296</v>
      </c>
      <c r="B1188" s="94">
        <v>1178</v>
      </c>
      <c r="C1188" s="165" t="s">
        <v>4271</v>
      </c>
      <c r="D1188" s="165">
        <v>3</v>
      </c>
      <c r="E1188" s="165" t="s">
        <v>5301</v>
      </c>
      <c r="F1188" s="165" t="s">
        <v>5303</v>
      </c>
      <c r="G1188" s="165"/>
      <c r="H1188" s="165">
        <v>20475</v>
      </c>
      <c r="I1188" s="165"/>
      <c r="J1188" s="165"/>
      <c r="K1188" s="165">
        <v>20475</v>
      </c>
      <c r="L1188" s="165"/>
      <c r="M1188" s="165"/>
      <c r="N1188" s="165"/>
      <c r="O1188" s="337">
        <f t="shared" si="40"/>
        <v>0</v>
      </c>
      <c r="P1188" s="165" t="s">
        <v>5488</v>
      </c>
      <c r="Q1188" s="165" t="s">
        <v>5303</v>
      </c>
      <c r="R1188" s="3">
        <f t="shared" si="41"/>
        <v>20475</v>
      </c>
      <c r="S1188" s="337">
        <v>20475</v>
      </c>
      <c r="T1188"/>
      <c r="U1188" s="3"/>
    </row>
    <row r="1189" spans="1:22">
      <c r="A1189" s="165" t="s">
        <v>5296</v>
      </c>
      <c r="B1189" s="94">
        <v>1179</v>
      </c>
      <c r="C1189" s="165" t="s">
        <v>4271</v>
      </c>
      <c r="D1189" s="165">
        <v>4</v>
      </c>
      <c r="E1189" s="165" t="s">
        <v>5302</v>
      </c>
      <c r="F1189" s="165" t="s">
        <v>5304</v>
      </c>
      <c r="G1189" s="165"/>
      <c r="H1189" s="165">
        <v>20475</v>
      </c>
      <c r="I1189" s="165"/>
      <c r="J1189" s="165"/>
      <c r="K1189" s="165">
        <v>20475</v>
      </c>
      <c r="L1189" s="165"/>
      <c r="M1189" s="165"/>
      <c r="N1189" s="165"/>
      <c r="O1189" s="337">
        <f t="shared" si="40"/>
        <v>0</v>
      </c>
      <c r="P1189" s="165" t="s">
        <v>5263</v>
      </c>
      <c r="Q1189" s="165" t="s">
        <v>5549</v>
      </c>
      <c r="R1189" s="3">
        <f t="shared" si="41"/>
        <v>20475</v>
      </c>
      <c r="S1189" s="337">
        <v>20475</v>
      </c>
      <c r="T1189"/>
      <c r="U1189" s="3"/>
    </row>
    <row r="1190" spans="1:22">
      <c r="A1190" s="165" t="s">
        <v>4072</v>
      </c>
      <c r="B1190" s="94">
        <v>1180</v>
      </c>
      <c r="C1190" s="165" t="s">
        <v>5184</v>
      </c>
      <c r="D1190" s="165">
        <v>1</v>
      </c>
      <c r="E1190" s="165" t="s">
        <v>5305</v>
      </c>
      <c r="F1190" s="165" t="s">
        <v>5296</v>
      </c>
      <c r="G1190" s="165"/>
      <c r="H1190" s="165">
        <v>14175</v>
      </c>
      <c r="I1190" s="165"/>
      <c r="J1190" s="165"/>
      <c r="K1190" s="165">
        <v>14175</v>
      </c>
      <c r="L1190" s="165"/>
      <c r="M1190" s="165"/>
      <c r="N1190" s="165"/>
      <c r="O1190" s="337">
        <f t="shared" si="40"/>
        <v>0</v>
      </c>
      <c r="P1190" s="165" t="s">
        <v>5298</v>
      </c>
      <c r="Q1190" s="165" t="s">
        <v>5299</v>
      </c>
      <c r="R1190" s="3">
        <f t="shared" si="41"/>
        <v>14175</v>
      </c>
      <c r="S1190" s="337">
        <v>14175</v>
      </c>
      <c r="T1190"/>
      <c r="U1190" s="3"/>
    </row>
    <row r="1191" spans="1:22">
      <c r="A1191" s="165" t="s">
        <v>4072</v>
      </c>
      <c r="B1191" s="94">
        <v>1181</v>
      </c>
      <c r="C1191" s="165" t="s">
        <v>5184</v>
      </c>
      <c r="D1191" s="165">
        <v>2</v>
      </c>
      <c r="E1191" s="165" t="s">
        <v>5306</v>
      </c>
      <c r="F1191" s="165" t="s">
        <v>4797</v>
      </c>
      <c r="G1191" s="165"/>
      <c r="H1191" s="165">
        <v>14175</v>
      </c>
      <c r="I1191" s="165"/>
      <c r="J1191" s="165"/>
      <c r="K1191" s="165">
        <v>14175</v>
      </c>
      <c r="L1191" s="165"/>
      <c r="M1191" s="165"/>
      <c r="N1191" s="165"/>
      <c r="O1191" s="337">
        <f t="shared" si="40"/>
        <v>0</v>
      </c>
      <c r="P1191" s="165" t="s">
        <v>4797</v>
      </c>
      <c r="Q1191" s="165" t="s">
        <v>4798</v>
      </c>
      <c r="R1191" s="3">
        <f t="shared" si="41"/>
        <v>14175</v>
      </c>
      <c r="S1191" s="337">
        <v>14175</v>
      </c>
      <c r="T1191"/>
      <c r="U1191" s="3"/>
    </row>
    <row r="1192" spans="1:22">
      <c r="A1192" s="165" t="s">
        <v>4072</v>
      </c>
      <c r="B1192" s="94">
        <v>1182</v>
      </c>
      <c r="C1192" s="165" t="s">
        <v>5184</v>
      </c>
      <c r="D1192" s="165">
        <v>3</v>
      </c>
      <c r="E1192" s="165" t="s">
        <v>5307</v>
      </c>
      <c r="F1192" s="165" t="s">
        <v>5303</v>
      </c>
      <c r="G1192" s="165"/>
      <c r="H1192" s="165">
        <v>14175</v>
      </c>
      <c r="I1192" s="165"/>
      <c r="J1192" s="165"/>
      <c r="K1192" s="165">
        <v>14175</v>
      </c>
      <c r="L1192" s="165"/>
      <c r="M1192" s="165"/>
      <c r="N1192" s="165"/>
      <c r="O1192" s="337">
        <f t="shared" si="40"/>
        <v>0</v>
      </c>
      <c r="P1192" s="165" t="s">
        <v>5488</v>
      </c>
      <c r="Q1192" s="165" t="s">
        <v>5303</v>
      </c>
      <c r="R1192" s="3">
        <f t="shared" si="41"/>
        <v>14175</v>
      </c>
      <c r="S1192" s="337">
        <v>14175</v>
      </c>
      <c r="T1192"/>
      <c r="U1192" s="3"/>
    </row>
    <row r="1193" spans="1:22">
      <c r="A1193" s="165" t="s">
        <v>4072</v>
      </c>
      <c r="B1193" s="94">
        <v>1183</v>
      </c>
      <c r="C1193" s="165" t="s">
        <v>5184</v>
      </c>
      <c r="D1193" s="165">
        <v>4</v>
      </c>
      <c r="E1193" s="165" t="s">
        <v>5308</v>
      </c>
      <c r="F1193" s="165" t="s">
        <v>5304</v>
      </c>
      <c r="G1193" s="165"/>
      <c r="H1193" s="165">
        <v>14175</v>
      </c>
      <c r="I1193" s="165"/>
      <c r="J1193" s="165"/>
      <c r="K1193" s="165">
        <v>14175</v>
      </c>
      <c r="L1193" s="165"/>
      <c r="M1193" s="165"/>
      <c r="N1193" s="165"/>
      <c r="O1193" s="337">
        <f t="shared" si="40"/>
        <v>0</v>
      </c>
      <c r="P1193" s="165" t="s">
        <v>5263</v>
      </c>
      <c r="Q1193" s="165" t="s">
        <v>5549</v>
      </c>
      <c r="R1193" s="3">
        <f t="shared" si="41"/>
        <v>14175</v>
      </c>
      <c r="S1193" s="337">
        <v>14175</v>
      </c>
      <c r="T1193"/>
      <c r="U1193" s="3"/>
    </row>
    <row r="1194" spans="1:22">
      <c r="A1194" s="165" t="s">
        <v>4072</v>
      </c>
      <c r="B1194" s="94">
        <v>1184</v>
      </c>
      <c r="C1194" s="165" t="s">
        <v>5184</v>
      </c>
      <c r="D1194" s="165">
        <v>5</v>
      </c>
      <c r="E1194" s="165" t="s">
        <v>5309</v>
      </c>
      <c r="F1194" s="165" t="s">
        <v>5316</v>
      </c>
      <c r="G1194" s="165"/>
      <c r="H1194" s="165">
        <v>14175</v>
      </c>
      <c r="I1194" s="165"/>
      <c r="J1194" s="165"/>
      <c r="K1194" s="165"/>
      <c r="L1194" s="165">
        <v>14175</v>
      </c>
      <c r="M1194" s="165"/>
      <c r="N1194" s="165"/>
      <c r="O1194" s="337">
        <f t="shared" si="40"/>
        <v>0</v>
      </c>
      <c r="P1194" s="165" t="s">
        <v>9670</v>
      </c>
      <c r="Q1194" s="165" t="s">
        <v>9670</v>
      </c>
      <c r="R1194" s="3">
        <f t="shared" si="41"/>
        <v>14175</v>
      </c>
      <c r="S1194" s="337">
        <v>14175</v>
      </c>
      <c r="T1194"/>
      <c r="U1194" s="3"/>
    </row>
    <row r="1195" spans="1:22">
      <c r="A1195" s="165" t="s">
        <v>4072</v>
      </c>
      <c r="B1195" s="94">
        <v>1185</v>
      </c>
      <c r="C1195" s="165" t="s">
        <v>5184</v>
      </c>
      <c r="D1195" s="165">
        <v>6</v>
      </c>
      <c r="E1195" s="165" t="s">
        <v>5310</v>
      </c>
      <c r="F1195" s="165" t="s">
        <v>5315</v>
      </c>
      <c r="G1195" s="165"/>
      <c r="H1195" s="165">
        <v>14175</v>
      </c>
      <c r="I1195" s="165"/>
      <c r="J1195" s="165"/>
      <c r="K1195" s="165"/>
      <c r="L1195" s="165">
        <v>14175</v>
      </c>
      <c r="M1195" s="165"/>
      <c r="N1195" s="165"/>
      <c r="O1195" s="337">
        <f t="shared" si="40"/>
        <v>0</v>
      </c>
      <c r="P1195" s="165" t="s">
        <v>9673</v>
      </c>
      <c r="Q1195" s="165" t="s">
        <v>9673</v>
      </c>
      <c r="R1195" s="3">
        <f t="shared" si="41"/>
        <v>14175</v>
      </c>
      <c r="S1195" s="337">
        <v>14175</v>
      </c>
      <c r="T1195"/>
      <c r="U1195" s="3"/>
    </row>
    <row r="1196" spans="1:22">
      <c r="A1196" s="165" t="s">
        <v>4072</v>
      </c>
      <c r="B1196" s="94">
        <v>1186</v>
      </c>
      <c r="C1196" s="165" t="s">
        <v>5184</v>
      </c>
      <c r="D1196" s="165">
        <v>7</v>
      </c>
      <c r="E1196" s="165" t="s">
        <v>5311</v>
      </c>
      <c r="F1196" s="165" t="s">
        <v>5314</v>
      </c>
      <c r="G1196" s="165"/>
      <c r="H1196" s="165">
        <v>14175</v>
      </c>
      <c r="I1196" s="165"/>
      <c r="J1196" s="165"/>
      <c r="K1196" s="165"/>
      <c r="L1196" s="165">
        <v>14175</v>
      </c>
      <c r="M1196" s="165"/>
      <c r="N1196" s="165"/>
      <c r="O1196" s="337">
        <f t="shared" si="40"/>
        <v>0</v>
      </c>
      <c r="P1196" s="165" t="s">
        <v>9677</v>
      </c>
      <c r="Q1196" s="165" t="s">
        <v>9677</v>
      </c>
      <c r="R1196" s="3">
        <f t="shared" si="41"/>
        <v>14175</v>
      </c>
      <c r="S1196" s="337">
        <v>14175</v>
      </c>
      <c r="T1196"/>
      <c r="U1196" s="3"/>
    </row>
    <row r="1197" spans="1:22">
      <c r="A1197" s="165" t="s">
        <v>4072</v>
      </c>
      <c r="B1197" s="94">
        <v>1187</v>
      </c>
      <c r="C1197" s="165" t="s">
        <v>5184</v>
      </c>
      <c r="D1197" s="165">
        <v>8</v>
      </c>
      <c r="E1197" s="165" t="s">
        <v>5312</v>
      </c>
      <c r="F1197" s="165" t="s">
        <v>5313</v>
      </c>
      <c r="G1197" s="165"/>
      <c r="H1197" s="165">
        <v>14175</v>
      </c>
      <c r="I1197" s="165"/>
      <c r="J1197" s="165"/>
      <c r="K1197" s="165"/>
      <c r="L1197" s="165">
        <v>14175</v>
      </c>
      <c r="M1197" s="165"/>
      <c r="N1197" s="165"/>
      <c r="O1197" s="337">
        <f t="shared" si="40"/>
        <v>0</v>
      </c>
      <c r="P1197" s="165" t="s">
        <v>9681</v>
      </c>
      <c r="Q1197" s="165" t="s">
        <v>9681</v>
      </c>
      <c r="R1197" s="3">
        <f t="shared" si="41"/>
        <v>14175</v>
      </c>
      <c r="S1197" s="337">
        <v>14175</v>
      </c>
      <c r="T1197"/>
      <c r="U1197" s="3"/>
    </row>
    <row r="1198" spans="1:22">
      <c r="A1198" s="165" t="s">
        <v>4266</v>
      </c>
      <c r="B1198" s="94">
        <v>1188</v>
      </c>
      <c r="C1198" s="165" t="s">
        <v>4056</v>
      </c>
      <c r="D1198" s="165">
        <v>1</v>
      </c>
      <c r="E1198" s="165" t="s">
        <v>5324</v>
      </c>
      <c r="F1198" s="165" t="s">
        <v>4110</v>
      </c>
      <c r="G1198" s="165"/>
      <c r="H1198" s="165">
        <v>20475</v>
      </c>
      <c r="I1198" s="165"/>
      <c r="J1198" s="165">
        <v>20475</v>
      </c>
      <c r="K1198" s="165"/>
      <c r="L1198" s="165"/>
      <c r="M1198" s="165"/>
      <c r="N1198" s="165"/>
      <c r="O1198" s="337">
        <f t="shared" si="40"/>
        <v>0</v>
      </c>
      <c r="P1198" s="165" t="s">
        <v>4651</v>
      </c>
      <c r="Q1198" s="165" t="s">
        <v>4793</v>
      </c>
      <c r="R1198" s="3">
        <f t="shared" ref="R1198:R1205" si="42">G1198+H1198+I1198</f>
        <v>20475</v>
      </c>
      <c r="S1198" s="165">
        <v>20475</v>
      </c>
      <c r="T1198"/>
      <c r="U1198" s="3"/>
      <c r="V1198" s="271" t="s">
        <v>2740</v>
      </c>
    </row>
    <row r="1199" spans="1:22">
      <c r="A1199" s="165" t="s">
        <v>4266</v>
      </c>
      <c r="B1199" s="94">
        <v>1189</v>
      </c>
      <c r="C1199" s="165" t="s">
        <v>4056</v>
      </c>
      <c r="D1199" s="165">
        <v>2</v>
      </c>
      <c r="E1199" s="165" t="s">
        <v>5326</v>
      </c>
      <c r="F1199" s="165" t="s">
        <v>4213</v>
      </c>
      <c r="G1199" s="165"/>
      <c r="H1199" s="165">
        <v>20475</v>
      </c>
      <c r="I1199" s="165"/>
      <c r="J1199" s="165"/>
      <c r="K1199" s="165">
        <v>20475</v>
      </c>
      <c r="L1199" s="165"/>
      <c r="M1199" s="165"/>
      <c r="N1199" s="165"/>
      <c r="O1199" s="337">
        <f t="shared" si="40"/>
        <v>0</v>
      </c>
      <c r="P1199" s="165" t="s">
        <v>4806</v>
      </c>
      <c r="Q1199" s="165" t="s">
        <v>4213</v>
      </c>
      <c r="R1199" s="3">
        <f t="shared" si="42"/>
        <v>20475</v>
      </c>
      <c r="S1199" s="165">
        <v>20475</v>
      </c>
      <c r="T1199"/>
      <c r="U1199" s="3"/>
      <c r="V1199" s="271" t="s">
        <v>2740</v>
      </c>
    </row>
    <row r="1200" spans="1:22">
      <c r="A1200" s="165" t="s">
        <v>4266</v>
      </c>
      <c r="B1200" s="94">
        <v>1190</v>
      </c>
      <c r="C1200" s="165" t="s">
        <v>4056</v>
      </c>
      <c r="D1200" s="165">
        <v>3</v>
      </c>
      <c r="E1200" s="165" t="s">
        <v>5327</v>
      </c>
      <c r="F1200" s="165" t="s">
        <v>4735</v>
      </c>
      <c r="G1200" s="165"/>
      <c r="H1200" s="165">
        <v>20475</v>
      </c>
      <c r="I1200" s="165"/>
      <c r="J1200" s="165"/>
      <c r="K1200" s="165">
        <v>20475</v>
      </c>
      <c r="L1200" s="165"/>
      <c r="M1200" s="165"/>
      <c r="N1200" s="165"/>
      <c r="O1200" s="337">
        <f t="shared" si="40"/>
        <v>0</v>
      </c>
      <c r="P1200" s="165" t="s">
        <v>5500</v>
      </c>
      <c r="Q1200" s="165" t="s">
        <v>4735</v>
      </c>
      <c r="R1200" s="3">
        <f t="shared" si="42"/>
        <v>20475</v>
      </c>
      <c r="S1200" s="165">
        <v>20475</v>
      </c>
      <c r="T1200"/>
      <c r="U1200" s="3"/>
      <c r="V1200" s="271" t="s">
        <v>2740</v>
      </c>
    </row>
    <row r="1201" spans="1:22">
      <c r="A1201" s="165" t="s">
        <v>4266</v>
      </c>
      <c r="B1201" s="94">
        <v>1191</v>
      </c>
      <c r="C1201" s="165" t="s">
        <v>4056</v>
      </c>
      <c r="D1201" s="165">
        <v>4</v>
      </c>
      <c r="E1201" s="165" t="s">
        <v>5328</v>
      </c>
      <c r="F1201" s="165" t="s">
        <v>4736</v>
      </c>
      <c r="G1201" s="165"/>
      <c r="H1201" s="165">
        <v>20475</v>
      </c>
      <c r="I1201" s="165"/>
      <c r="J1201" s="165"/>
      <c r="K1201" s="165">
        <v>20475</v>
      </c>
      <c r="L1201" s="165"/>
      <c r="M1201" s="165"/>
      <c r="N1201" s="165"/>
      <c r="O1201" s="337">
        <f t="shared" si="40"/>
        <v>0</v>
      </c>
      <c r="P1201" s="165" t="s">
        <v>5551</v>
      </c>
      <c r="Q1201" s="165" t="s">
        <v>5552</v>
      </c>
      <c r="R1201" s="3">
        <f t="shared" si="42"/>
        <v>20475</v>
      </c>
      <c r="S1201" s="165">
        <v>20475</v>
      </c>
      <c r="T1201"/>
      <c r="U1201" s="3"/>
      <c r="V1201" s="271" t="s">
        <v>2740</v>
      </c>
    </row>
    <row r="1202" spans="1:22">
      <c r="A1202" s="165" t="s">
        <v>4266</v>
      </c>
      <c r="B1202" s="94">
        <v>1192</v>
      </c>
      <c r="C1202" s="165" t="s">
        <v>4056</v>
      </c>
      <c r="D1202" s="165">
        <v>5</v>
      </c>
      <c r="E1202" s="165" t="s">
        <v>5329</v>
      </c>
      <c r="F1202" s="165" t="s">
        <v>5541</v>
      </c>
      <c r="G1202" s="165"/>
      <c r="H1202" s="165"/>
      <c r="I1202" s="165">
        <v>20475</v>
      </c>
      <c r="J1202" s="165"/>
      <c r="K1202" s="165"/>
      <c r="L1202" s="165">
        <v>20475</v>
      </c>
      <c r="M1202" s="165"/>
      <c r="N1202" s="165"/>
      <c r="O1202" s="337">
        <f t="shared" si="40"/>
        <v>0</v>
      </c>
      <c r="P1202" s="165" t="s">
        <v>9773</v>
      </c>
      <c r="Q1202" s="165" t="s">
        <v>9773</v>
      </c>
      <c r="R1202" s="3">
        <f t="shared" si="42"/>
        <v>20475</v>
      </c>
      <c r="S1202" s="165">
        <v>20475</v>
      </c>
      <c r="T1202"/>
      <c r="U1202" s="3"/>
      <c r="V1202" s="271" t="s">
        <v>2740</v>
      </c>
    </row>
    <row r="1203" spans="1:22">
      <c r="A1203" s="165" t="s">
        <v>4266</v>
      </c>
      <c r="B1203" s="94">
        <v>1193</v>
      </c>
      <c r="C1203" s="165" t="s">
        <v>4056</v>
      </c>
      <c r="D1203" s="165">
        <v>6</v>
      </c>
      <c r="E1203" s="165" t="s">
        <v>5330</v>
      </c>
      <c r="F1203" s="165" t="s">
        <v>4737</v>
      </c>
      <c r="G1203" s="165"/>
      <c r="H1203" s="165"/>
      <c r="I1203" s="165">
        <v>20475</v>
      </c>
      <c r="J1203" s="165"/>
      <c r="K1203" s="165"/>
      <c r="L1203" s="165">
        <v>20475</v>
      </c>
      <c r="M1203" s="165"/>
      <c r="N1203" s="165"/>
      <c r="O1203" s="337">
        <f t="shared" si="40"/>
        <v>0</v>
      </c>
      <c r="P1203" s="165" t="s">
        <v>9774</v>
      </c>
      <c r="Q1203" s="165" t="s">
        <v>9774</v>
      </c>
      <c r="R1203" s="3">
        <f t="shared" si="42"/>
        <v>20475</v>
      </c>
      <c r="S1203" s="165">
        <v>20475</v>
      </c>
      <c r="T1203"/>
      <c r="U1203" s="3"/>
      <c r="V1203" s="271" t="s">
        <v>2740</v>
      </c>
    </row>
    <row r="1204" spans="1:22">
      <c r="A1204" s="165" t="s">
        <v>4266</v>
      </c>
      <c r="B1204" s="94">
        <v>1194</v>
      </c>
      <c r="C1204" s="165" t="s">
        <v>4056</v>
      </c>
      <c r="D1204" s="165">
        <v>7</v>
      </c>
      <c r="E1204" s="165" t="s">
        <v>5331</v>
      </c>
      <c r="F1204" s="165" t="s">
        <v>4738</v>
      </c>
      <c r="G1204" s="165"/>
      <c r="H1204" s="165"/>
      <c r="I1204" s="165">
        <v>20475</v>
      </c>
      <c r="J1204" s="165"/>
      <c r="K1204" s="165"/>
      <c r="L1204" s="165">
        <v>20475</v>
      </c>
      <c r="M1204" s="165"/>
      <c r="N1204" s="165"/>
      <c r="O1204" s="337">
        <f t="shared" si="40"/>
        <v>0</v>
      </c>
      <c r="P1204" s="165" t="s">
        <v>9775</v>
      </c>
      <c r="Q1204" s="165" t="s">
        <v>9775</v>
      </c>
      <c r="R1204" s="3">
        <f t="shared" si="42"/>
        <v>20475</v>
      </c>
      <c r="S1204" s="165">
        <v>20475</v>
      </c>
      <c r="T1204"/>
      <c r="U1204" s="3"/>
      <c r="V1204" s="271" t="s">
        <v>2740</v>
      </c>
    </row>
    <row r="1205" spans="1:22">
      <c r="A1205" s="165" t="s">
        <v>4266</v>
      </c>
      <c r="B1205" s="94">
        <v>1195</v>
      </c>
      <c r="C1205" s="165" t="s">
        <v>4056</v>
      </c>
      <c r="D1205" s="165">
        <v>8</v>
      </c>
      <c r="E1205" s="165" t="s">
        <v>5332</v>
      </c>
      <c r="F1205" s="165" t="s">
        <v>5325</v>
      </c>
      <c r="G1205" s="165"/>
      <c r="H1205" s="165"/>
      <c r="I1205" s="165">
        <v>20475</v>
      </c>
      <c r="J1205" s="165"/>
      <c r="K1205" s="165"/>
      <c r="L1205" s="165">
        <v>20475</v>
      </c>
      <c r="M1205" s="165"/>
      <c r="N1205" s="165"/>
      <c r="O1205" s="337">
        <f t="shared" si="40"/>
        <v>0</v>
      </c>
      <c r="P1205" s="165" t="s">
        <v>9777</v>
      </c>
      <c r="Q1205" s="165" t="s">
        <v>9777</v>
      </c>
      <c r="R1205" s="3">
        <f t="shared" si="42"/>
        <v>20475</v>
      </c>
      <c r="S1205" s="165">
        <v>20475</v>
      </c>
      <c r="T1205"/>
      <c r="U1205" s="3"/>
      <c r="V1205" s="271" t="s">
        <v>2740</v>
      </c>
    </row>
    <row r="1206" spans="1:22">
      <c r="A1206" s="165" t="s">
        <v>5319</v>
      </c>
      <c r="B1206" s="94">
        <v>1196</v>
      </c>
      <c r="C1206" s="165" t="s">
        <v>5320</v>
      </c>
      <c r="D1206" s="165">
        <v>1</v>
      </c>
      <c r="E1206" s="165" t="s">
        <v>5321</v>
      </c>
      <c r="F1206" s="165" t="s">
        <v>4108</v>
      </c>
      <c r="G1206" s="165">
        <v>14175</v>
      </c>
      <c r="H1206" s="165"/>
      <c r="I1206" s="165"/>
      <c r="J1206" s="165"/>
      <c r="K1206" s="165">
        <v>14175</v>
      </c>
      <c r="L1206" s="165"/>
      <c r="M1206" s="165"/>
      <c r="N1206" s="165"/>
      <c r="O1206" s="337">
        <f t="shared" si="40"/>
        <v>0</v>
      </c>
      <c r="P1206" s="165" t="s">
        <v>4651</v>
      </c>
      <c r="Q1206" s="165" t="s">
        <v>4793</v>
      </c>
      <c r="R1206" s="3">
        <f t="shared" ref="R1206:R1237" si="43">H1206</f>
        <v>0</v>
      </c>
      <c r="S1206" s="337">
        <v>14175</v>
      </c>
      <c r="T1206"/>
      <c r="U1206" s="3"/>
    </row>
    <row r="1207" spans="1:22">
      <c r="A1207" s="165" t="s">
        <v>5319</v>
      </c>
      <c r="B1207" s="94">
        <v>1197</v>
      </c>
      <c r="C1207" s="165" t="s">
        <v>5320</v>
      </c>
      <c r="D1207" s="165">
        <v>2</v>
      </c>
      <c r="E1207" s="165" t="s">
        <v>5322</v>
      </c>
      <c r="F1207" s="165" t="s">
        <v>4110</v>
      </c>
      <c r="G1207" s="165">
        <v>14175</v>
      </c>
      <c r="H1207" s="165"/>
      <c r="I1207" s="165"/>
      <c r="J1207" s="165"/>
      <c r="K1207" s="165">
        <v>14175</v>
      </c>
      <c r="L1207" s="165"/>
      <c r="M1207" s="165"/>
      <c r="N1207" s="165"/>
      <c r="O1207" s="337">
        <f t="shared" si="40"/>
        <v>0</v>
      </c>
      <c r="P1207" s="165" t="s">
        <v>4651</v>
      </c>
      <c r="Q1207" s="165" t="s">
        <v>4793</v>
      </c>
      <c r="R1207" s="3">
        <f t="shared" si="43"/>
        <v>0</v>
      </c>
      <c r="S1207" s="337">
        <v>14175</v>
      </c>
      <c r="T1207"/>
      <c r="U1207" s="3"/>
    </row>
    <row r="1208" spans="1:22">
      <c r="A1208" s="165" t="s">
        <v>5350</v>
      </c>
      <c r="B1208" s="94">
        <v>1198</v>
      </c>
      <c r="C1208" s="165" t="s">
        <v>1232</v>
      </c>
      <c r="D1208" s="165">
        <v>12</v>
      </c>
      <c r="E1208" s="165" t="s">
        <v>5351</v>
      </c>
      <c r="F1208" s="165" t="s">
        <v>4797</v>
      </c>
      <c r="G1208" s="165"/>
      <c r="H1208" s="165">
        <v>16380</v>
      </c>
      <c r="I1208" s="165"/>
      <c r="J1208" s="165"/>
      <c r="K1208" s="165">
        <v>16380</v>
      </c>
      <c r="L1208" s="165"/>
      <c r="M1208" s="165"/>
      <c r="N1208" s="165"/>
      <c r="O1208" s="337">
        <f t="shared" si="40"/>
        <v>0</v>
      </c>
      <c r="P1208" s="165" t="s">
        <v>5352</v>
      </c>
      <c r="Q1208" s="165" t="s">
        <v>4798</v>
      </c>
      <c r="R1208" s="3">
        <f t="shared" si="43"/>
        <v>16380</v>
      </c>
      <c r="S1208" s="337">
        <v>16380</v>
      </c>
      <c r="T1208" s="337"/>
      <c r="U1208" s="3"/>
    </row>
    <row r="1209" spans="1:22">
      <c r="A1209" s="165" t="s">
        <v>4795</v>
      </c>
      <c r="B1209" s="94">
        <v>1199</v>
      </c>
      <c r="C1209" s="165" t="s">
        <v>5189</v>
      </c>
      <c r="D1209" s="165">
        <v>1</v>
      </c>
      <c r="E1209" s="165" t="s">
        <v>5334</v>
      </c>
      <c r="F1209" s="165" t="s">
        <v>5335</v>
      </c>
      <c r="G1209" s="165"/>
      <c r="H1209" s="165">
        <v>13500</v>
      </c>
      <c r="I1209" s="165"/>
      <c r="J1209" s="165"/>
      <c r="K1209" s="165">
        <v>13500</v>
      </c>
      <c r="L1209" s="165"/>
      <c r="M1209" s="165"/>
      <c r="N1209" s="165"/>
      <c r="O1209" s="337">
        <f t="shared" si="40"/>
        <v>0</v>
      </c>
      <c r="P1209" s="165" t="s">
        <v>4797</v>
      </c>
      <c r="Q1209" s="165" t="s">
        <v>4798</v>
      </c>
      <c r="R1209" s="3">
        <f t="shared" si="43"/>
        <v>13500</v>
      </c>
      <c r="S1209" s="337">
        <v>13500</v>
      </c>
      <c r="T1209"/>
      <c r="U1209" s="3"/>
    </row>
    <row r="1210" spans="1:22">
      <c r="A1210" s="165" t="s">
        <v>4795</v>
      </c>
      <c r="B1210" s="94">
        <v>1200</v>
      </c>
      <c r="C1210" s="165" t="s">
        <v>5189</v>
      </c>
      <c r="D1210" s="165">
        <v>2</v>
      </c>
      <c r="E1210" s="165" t="s">
        <v>5336</v>
      </c>
      <c r="F1210" s="165" t="s">
        <v>4194</v>
      </c>
      <c r="G1210" s="165"/>
      <c r="H1210" s="165">
        <v>13500</v>
      </c>
      <c r="I1210" s="165"/>
      <c r="J1210" s="165"/>
      <c r="K1210" s="338">
        <v>13500</v>
      </c>
      <c r="L1210" s="338"/>
      <c r="M1210" s="165"/>
      <c r="N1210" s="165"/>
      <c r="O1210" s="337">
        <f t="shared" si="40"/>
        <v>0</v>
      </c>
      <c r="P1210" s="165" t="s">
        <v>4806</v>
      </c>
      <c r="Q1210" s="165" t="s">
        <v>4194</v>
      </c>
      <c r="R1210" s="3">
        <f t="shared" si="43"/>
        <v>13500</v>
      </c>
      <c r="S1210" s="337">
        <v>13500</v>
      </c>
      <c r="T1210"/>
      <c r="U1210" s="3"/>
    </row>
    <row r="1211" spans="1:22">
      <c r="A1211" s="165" t="s">
        <v>4795</v>
      </c>
      <c r="B1211" s="94">
        <v>1201</v>
      </c>
      <c r="C1211" s="165" t="s">
        <v>5189</v>
      </c>
      <c r="D1211" s="165">
        <v>3</v>
      </c>
      <c r="E1211" s="165" t="s">
        <v>5337</v>
      </c>
      <c r="F1211" s="165" t="s">
        <v>4226</v>
      </c>
      <c r="G1211" s="165"/>
      <c r="H1211" s="165">
        <v>13500</v>
      </c>
      <c r="I1211" s="165"/>
      <c r="J1211" s="165"/>
      <c r="K1211" s="338">
        <v>13500</v>
      </c>
      <c r="L1211" s="338"/>
      <c r="M1211" s="165"/>
      <c r="N1211" s="165"/>
      <c r="O1211" s="337">
        <f t="shared" si="40"/>
        <v>0</v>
      </c>
      <c r="P1211" s="165" t="s">
        <v>5500</v>
      </c>
      <c r="Q1211" s="165" t="s">
        <v>4226</v>
      </c>
      <c r="R1211" s="3">
        <f t="shared" si="43"/>
        <v>13500</v>
      </c>
      <c r="S1211" s="337">
        <v>13500</v>
      </c>
      <c r="T1211"/>
      <c r="U1211" s="3"/>
    </row>
    <row r="1212" spans="1:22">
      <c r="A1212" s="165" t="s">
        <v>4795</v>
      </c>
      <c r="B1212" s="94">
        <v>1202</v>
      </c>
      <c r="C1212" s="165" t="s">
        <v>5189</v>
      </c>
      <c r="D1212" s="165">
        <v>4</v>
      </c>
      <c r="E1212" s="165" t="s">
        <v>5338</v>
      </c>
      <c r="F1212" s="165" t="s">
        <v>4624</v>
      </c>
      <c r="G1212" s="165"/>
      <c r="H1212" s="165">
        <v>13500</v>
      </c>
      <c r="I1212" s="165"/>
      <c r="J1212" s="165"/>
      <c r="K1212" s="338">
        <v>13500</v>
      </c>
      <c r="L1212" s="338"/>
      <c r="M1212" s="165"/>
      <c r="N1212" s="165"/>
      <c r="O1212" s="337">
        <f t="shared" si="40"/>
        <v>0</v>
      </c>
      <c r="P1212" s="165" t="s">
        <v>5551</v>
      </c>
      <c r="Q1212" s="165" t="s">
        <v>4624</v>
      </c>
      <c r="R1212" s="3">
        <f t="shared" si="43"/>
        <v>13500</v>
      </c>
      <c r="S1212" s="337">
        <v>13500</v>
      </c>
      <c r="T1212"/>
      <c r="U1212" s="3"/>
    </row>
    <row r="1213" spans="1:22">
      <c r="A1213" s="165" t="s">
        <v>4795</v>
      </c>
      <c r="B1213" s="94">
        <v>1203</v>
      </c>
      <c r="C1213" s="165" t="s">
        <v>5189</v>
      </c>
      <c r="D1213" s="165">
        <v>5</v>
      </c>
      <c r="E1213" s="165" t="s">
        <v>5339</v>
      </c>
      <c r="F1213" s="165" t="s">
        <v>4625</v>
      </c>
      <c r="G1213" s="165"/>
      <c r="H1213" s="165">
        <v>13500</v>
      </c>
      <c r="I1213" s="165"/>
      <c r="J1213" s="165"/>
      <c r="K1213" s="338"/>
      <c r="L1213" s="338">
        <v>13500</v>
      </c>
      <c r="M1213" s="165"/>
      <c r="N1213" s="165"/>
      <c r="O1213" s="337">
        <f t="shared" si="40"/>
        <v>0</v>
      </c>
      <c r="P1213" s="165" t="s">
        <v>9632</v>
      </c>
      <c r="Q1213" s="165" t="s">
        <v>9632</v>
      </c>
      <c r="R1213" s="3">
        <f t="shared" si="43"/>
        <v>13500</v>
      </c>
      <c r="S1213" s="337">
        <v>13500</v>
      </c>
      <c r="T1213"/>
      <c r="U1213" s="3"/>
    </row>
    <row r="1214" spans="1:22">
      <c r="A1214" s="165" t="s">
        <v>4795</v>
      </c>
      <c r="B1214" s="94">
        <v>1204</v>
      </c>
      <c r="C1214" s="165" t="s">
        <v>5189</v>
      </c>
      <c r="D1214" s="165">
        <v>6</v>
      </c>
      <c r="E1214" s="165" t="s">
        <v>5340</v>
      </c>
      <c r="F1214" s="165" t="s">
        <v>5347</v>
      </c>
      <c r="G1214" s="165"/>
      <c r="H1214" s="165">
        <v>13500</v>
      </c>
      <c r="I1214" s="165"/>
      <c r="J1214" s="165"/>
      <c r="K1214" s="338"/>
      <c r="L1214" s="338">
        <v>13500</v>
      </c>
      <c r="M1214" s="165"/>
      <c r="N1214" s="165"/>
      <c r="O1214" s="337">
        <f t="shared" si="40"/>
        <v>0</v>
      </c>
      <c r="P1214" s="165" t="s">
        <v>9811</v>
      </c>
      <c r="Q1214" s="165" t="s">
        <v>9811</v>
      </c>
      <c r="R1214" s="3">
        <f t="shared" si="43"/>
        <v>13500</v>
      </c>
      <c r="S1214" s="337">
        <v>13500</v>
      </c>
      <c r="T1214"/>
      <c r="U1214" s="3"/>
    </row>
    <row r="1215" spans="1:22">
      <c r="A1215" s="165" t="s">
        <v>4795</v>
      </c>
      <c r="B1215" s="94">
        <v>1205</v>
      </c>
      <c r="C1215" s="165" t="s">
        <v>5189</v>
      </c>
      <c r="D1215" s="165">
        <v>7</v>
      </c>
      <c r="E1215" s="165" t="s">
        <v>5341</v>
      </c>
      <c r="F1215" s="165" t="s">
        <v>5348</v>
      </c>
      <c r="G1215" s="165"/>
      <c r="H1215" s="165">
        <v>13500</v>
      </c>
      <c r="I1215" s="165"/>
      <c r="J1215" s="165"/>
      <c r="K1215" s="338"/>
      <c r="L1215" s="338">
        <v>13500</v>
      </c>
      <c r="M1215" s="165"/>
      <c r="N1215" s="165"/>
      <c r="O1215" s="337">
        <f t="shared" si="40"/>
        <v>0</v>
      </c>
      <c r="P1215" s="165" t="s">
        <v>9812</v>
      </c>
      <c r="Q1215" s="165" t="s">
        <v>9812</v>
      </c>
      <c r="R1215" s="3">
        <f t="shared" si="43"/>
        <v>13500</v>
      </c>
      <c r="S1215" s="337">
        <v>13500</v>
      </c>
      <c r="T1215"/>
      <c r="U1215" s="3"/>
    </row>
    <row r="1216" spans="1:22">
      <c r="A1216" s="165" t="s">
        <v>4795</v>
      </c>
      <c r="B1216" s="94">
        <v>1206</v>
      </c>
      <c r="C1216" s="165" t="s">
        <v>5189</v>
      </c>
      <c r="D1216" s="165">
        <v>8</v>
      </c>
      <c r="E1216" s="165" t="s">
        <v>5342</v>
      </c>
      <c r="F1216" s="165" t="s">
        <v>5349</v>
      </c>
      <c r="G1216" s="165"/>
      <c r="H1216" s="165">
        <v>13500</v>
      </c>
      <c r="I1216" s="165"/>
      <c r="J1216" s="165"/>
      <c r="K1216" s="338"/>
      <c r="L1216" s="338">
        <v>13500</v>
      </c>
      <c r="M1216" s="165"/>
      <c r="N1216" s="165"/>
      <c r="O1216" s="337">
        <f t="shared" si="40"/>
        <v>0</v>
      </c>
      <c r="P1216" s="165" t="s">
        <v>9780</v>
      </c>
      <c r="Q1216" s="165" t="s">
        <v>9780</v>
      </c>
      <c r="R1216" s="3">
        <f t="shared" si="43"/>
        <v>13500</v>
      </c>
      <c r="S1216" s="337">
        <v>13500</v>
      </c>
      <c r="T1216"/>
      <c r="U1216" s="3"/>
    </row>
    <row r="1217" spans="1:23">
      <c r="A1217" s="165" t="s">
        <v>4795</v>
      </c>
      <c r="B1217" s="94">
        <v>1207</v>
      </c>
      <c r="C1217" s="165" t="s">
        <v>4567</v>
      </c>
      <c r="D1217" s="165">
        <v>1</v>
      </c>
      <c r="E1217" s="165" t="s">
        <v>5353</v>
      </c>
      <c r="F1217" s="165" t="s">
        <v>4801</v>
      </c>
      <c r="G1217" s="165"/>
      <c r="H1217" s="165">
        <v>12000</v>
      </c>
      <c r="I1217" s="165"/>
      <c r="J1217" s="165"/>
      <c r="K1217" s="165">
        <v>12000</v>
      </c>
      <c r="L1217" s="165"/>
      <c r="M1217" s="165"/>
      <c r="N1217" s="165"/>
      <c r="O1217" s="337">
        <f t="shared" si="40"/>
        <v>0</v>
      </c>
      <c r="P1217" s="165" t="s">
        <v>4802</v>
      </c>
      <c r="Q1217" s="165" t="s">
        <v>4803</v>
      </c>
      <c r="R1217" s="3">
        <f t="shared" si="43"/>
        <v>12000</v>
      </c>
      <c r="S1217" s="337">
        <v>12000</v>
      </c>
      <c r="T1217"/>
      <c r="U1217" s="3"/>
    </row>
    <row r="1218" spans="1:23">
      <c r="A1218" s="165" t="s">
        <v>4795</v>
      </c>
      <c r="B1218" s="94">
        <v>1208</v>
      </c>
      <c r="C1218" s="165" t="s">
        <v>4567</v>
      </c>
      <c r="D1218" s="165">
        <v>2</v>
      </c>
      <c r="E1218" s="165" t="s">
        <v>5354</v>
      </c>
      <c r="F1218" s="165" t="s">
        <v>5361</v>
      </c>
      <c r="G1218" s="165"/>
      <c r="H1218" s="165">
        <v>12000</v>
      </c>
      <c r="I1218" s="165"/>
      <c r="J1218" s="165"/>
      <c r="K1218" s="338">
        <v>12000</v>
      </c>
      <c r="L1218" s="338"/>
      <c r="M1218" s="165"/>
      <c r="N1218" s="165"/>
      <c r="O1218" s="337">
        <f t="shared" si="40"/>
        <v>0</v>
      </c>
      <c r="P1218" s="165" t="s">
        <v>5488</v>
      </c>
      <c r="Q1218" s="165" t="s">
        <v>5361</v>
      </c>
      <c r="R1218" s="3">
        <f t="shared" si="43"/>
        <v>12000</v>
      </c>
      <c r="S1218" s="337">
        <v>12000</v>
      </c>
      <c r="T1218"/>
      <c r="U1218" s="3"/>
    </row>
    <row r="1219" spans="1:23">
      <c r="A1219" s="165" t="s">
        <v>4795</v>
      </c>
      <c r="B1219" s="94">
        <v>1209</v>
      </c>
      <c r="C1219" s="165" t="s">
        <v>4567</v>
      </c>
      <c r="D1219" s="165">
        <v>3</v>
      </c>
      <c r="E1219" s="165" t="s">
        <v>5355</v>
      </c>
      <c r="F1219" s="165" t="s">
        <v>5362</v>
      </c>
      <c r="G1219" s="165"/>
      <c r="H1219" s="165">
        <v>12000</v>
      </c>
      <c r="I1219" s="165"/>
      <c r="J1219" s="165"/>
      <c r="K1219" s="338">
        <v>12000</v>
      </c>
      <c r="L1219" s="338"/>
      <c r="M1219" s="165"/>
      <c r="N1219" s="165"/>
      <c r="O1219" s="337">
        <f t="shared" si="40"/>
        <v>0</v>
      </c>
      <c r="P1219" s="165" t="s">
        <v>5263</v>
      </c>
      <c r="Q1219" s="165" t="s">
        <v>5362</v>
      </c>
      <c r="R1219" s="3">
        <f t="shared" si="43"/>
        <v>12000</v>
      </c>
      <c r="S1219" s="337">
        <v>12000</v>
      </c>
      <c r="T1219"/>
      <c r="U1219" s="3"/>
    </row>
    <row r="1220" spans="1:23">
      <c r="A1220" s="165" t="s">
        <v>4795</v>
      </c>
      <c r="B1220" s="94">
        <v>1210</v>
      </c>
      <c r="C1220" s="165" t="s">
        <v>4567</v>
      </c>
      <c r="D1220" s="165">
        <v>4</v>
      </c>
      <c r="E1220" s="165" t="s">
        <v>5356</v>
      </c>
      <c r="F1220" s="165" t="s">
        <v>5363</v>
      </c>
      <c r="G1220" s="165"/>
      <c r="H1220" s="165">
        <v>12000</v>
      </c>
      <c r="I1220" s="165"/>
      <c r="J1220" s="165"/>
      <c r="K1220" s="338"/>
      <c r="L1220" s="338">
        <v>12000</v>
      </c>
      <c r="M1220" s="165"/>
      <c r="N1220" s="165"/>
      <c r="O1220" s="337">
        <f t="shared" si="40"/>
        <v>0</v>
      </c>
      <c r="P1220" s="165" t="s">
        <v>9682</v>
      </c>
      <c r="Q1220" s="165" t="s">
        <v>9682</v>
      </c>
      <c r="R1220" s="3">
        <f t="shared" si="43"/>
        <v>12000</v>
      </c>
      <c r="S1220" s="337">
        <v>12000</v>
      </c>
      <c r="T1220"/>
      <c r="U1220" s="3"/>
    </row>
    <row r="1221" spans="1:23">
      <c r="A1221" s="165" t="s">
        <v>4795</v>
      </c>
      <c r="B1221" s="94">
        <v>1211</v>
      </c>
      <c r="C1221" s="165" t="s">
        <v>4567</v>
      </c>
      <c r="D1221" s="165">
        <v>5</v>
      </c>
      <c r="E1221" s="165" t="s">
        <v>5357</v>
      </c>
      <c r="F1221" s="165" t="s">
        <v>5364</v>
      </c>
      <c r="G1221" s="165"/>
      <c r="H1221" s="165">
        <v>12000</v>
      </c>
      <c r="I1221" s="165"/>
      <c r="J1221" s="165"/>
      <c r="K1221" s="338"/>
      <c r="L1221" s="338">
        <v>12000</v>
      </c>
      <c r="M1221" s="165"/>
      <c r="N1221" s="165"/>
      <c r="O1221" s="337">
        <f t="shared" si="40"/>
        <v>0</v>
      </c>
      <c r="P1221" s="165" t="s">
        <v>9683</v>
      </c>
      <c r="Q1221" s="165" t="s">
        <v>9683</v>
      </c>
      <c r="R1221" s="3">
        <f t="shared" si="43"/>
        <v>12000</v>
      </c>
      <c r="S1221" s="337">
        <v>12000</v>
      </c>
      <c r="T1221"/>
      <c r="U1221" s="3"/>
    </row>
    <row r="1222" spans="1:23">
      <c r="A1222" s="165" t="s">
        <v>4795</v>
      </c>
      <c r="B1222" s="94">
        <v>1212</v>
      </c>
      <c r="C1222" s="165" t="s">
        <v>4567</v>
      </c>
      <c r="D1222" s="165">
        <v>6</v>
      </c>
      <c r="E1222" s="165" t="s">
        <v>5358</v>
      </c>
      <c r="F1222" s="165" t="s">
        <v>5365</v>
      </c>
      <c r="G1222" s="165"/>
      <c r="H1222" s="165">
        <v>12000</v>
      </c>
      <c r="I1222" s="165"/>
      <c r="J1222" s="165"/>
      <c r="K1222" s="338"/>
      <c r="L1222" s="338">
        <v>12000</v>
      </c>
      <c r="M1222" s="165"/>
      <c r="N1222" s="165"/>
      <c r="O1222" s="337">
        <f t="shared" si="40"/>
        <v>0</v>
      </c>
      <c r="P1222" s="165" t="s">
        <v>9684</v>
      </c>
      <c r="Q1222" s="165" t="s">
        <v>9684</v>
      </c>
      <c r="R1222" s="3">
        <f t="shared" si="43"/>
        <v>12000</v>
      </c>
      <c r="S1222" s="337">
        <v>12000</v>
      </c>
      <c r="T1222"/>
      <c r="U1222" s="3"/>
    </row>
    <row r="1223" spans="1:23">
      <c r="A1223" s="165" t="s">
        <v>4795</v>
      </c>
      <c r="B1223" s="94">
        <v>1213</v>
      </c>
      <c r="C1223" s="165" t="s">
        <v>4567</v>
      </c>
      <c r="D1223" s="165">
        <v>7</v>
      </c>
      <c r="E1223" s="165" t="s">
        <v>5359</v>
      </c>
      <c r="F1223" s="165" t="s">
        <v>5366</v>
      </c>
      <c r="G1223" s="165"/>
      <c r="H1223" s="165">
        <v>12000</v>
      </c>
      <c r="I1223" s="165"/>
      <c r="J1223" s="165"/>
      <c r="K1223" s="338"/>
      <c r="L1223" s="338">
        <v>12000</v>
      </c>
      <c r="M1223" s="165"/>
      <c r="N1223" s="165"/>
      <c r="O1223" s="337">
        <f t="shared" si="40"/>
        <v>0</v>
      </c>
      <c r="P1223" s="165" t="s">
        <v>9685</v>
      </c>
      <c r="Q1223" s="165" t="s">
        <v>9685</v>
      </c>
      <c r="R1223" s="3">
        <f t="shared" si="43"/>
        <v>12000</v>
      </c>
      <c r="S1223" s="337">
        <v>12000</v>
      </c>
      <c r="T1223"/>
      <c r="U1223" s="3"/>
    </row>
    <row r="1224" spans="1:23">
      <c r="A1224" s="165" t="s">
        <v>4795</v>
      </c>
      <c r="B1224" s="94">
        <v>1214</v>
      </c>
      <c r="C1224" s="165" t="s">
        <v>4567</v>
      </c>
      <c r="D1224" s="165">
        <v>8</v>
      </c>
      <c r="E1224" s="165" t="s">
        <v>5360</v>
      </c>
      <c r="F1224" s="165" t="s">
        <v>5367</v>
      </c>
      <c r="G1224" s="165"/>
      <c r="H1224" s="165">
        <v>12000</v>
      </c>
      <c r="I1224" s="165"/>
      <c r="J1224" s="165"/>
      <c r="K1224" s="338"/>
      <c r="L1224" s="338"/>
      <c r="M1224" s="165">
        <v>12000</v>
      </c>
      <c r="N1224" s="165"/>
      <c r="O1224" s="337">
        <f t="shared" si="40"/>
        <v>12000</v>
      </c>
      <c r="P1224" s="165"/>
      <c r="Q1224" s="165"/>
      <c r="R1224" s="3">
        <f t="shared" si="43"/>
        <v>12000</v>
      </c>
      <c r="S1224" s="337"/>
      <c r="T1224"/>
      <c r="U1224" s="3"/>
    </row>
    <row r="1225" spans="1:23">
      <c r="A1225" s="165" t="s">
        <v>4796</v>
      </c>
      <c r="B1225" s="94">
        <v>1215</v>
      </c>
      <c r="C1225" s="165" t="s">
        <v>5377</v>
      </c>
      <c r="D1225" s="165">
        <v>1</v>
      </c>
      <c r="E1225" s="165" t="s">
        <v>5378</v>
      </c>
      <c r="F1225" s="165" t="s">
        <v>4289</v>
      </c>
      <c r="G1225" s="165"/>
      <c r="H1225" s="165">
        <v>10800</v>
      </c>
      <c r="I1225" s="165"/>
      <c r="J1225" s="165"/>
      <c r="K1225" s="165">
        <v>10800</v>
      </c>
      <c r="L1225" s="165"/>
      <c r="M1225" s="165"/>
      <c r="N1225" s="165"/>
      <c r="O1225" s="337">
        <f t="shared" si="40"/>
        <v>0</v>
      </c>
      <c r="P1225" s="165" t="s">
        <v>4802</v>
      </c>
      <c r="Q1225" s="165" t="s">
        <v>4804</v>
      </c>
      <c r="R1225" s="3">
        <f t="shared" si="43"/>
        <v>10800</v>
      </c>
      <c r="S1225" s="337">
        <v>10800</v>
      </c>
      <c r="T1225"/>
      <c r="U1225" s="3"/>
      <c r="W1225" s="627" t="s">
        <v>5435</v>
      </c>
    </row>
    <row r="1226" spans="1:23">
      <c r="A1226" s="165" t="s">
        <v>4796</v>
      </c>
      <c r="B1226" s="94">
        <v>1216</v>
      </c>
      <c r="C1226" s="165" t="s">
        <v>5377</v>
      </c>
      <c r="D1226" s="165">
        <v>2</v>
      </c>
      <c r="E1226" s="165" t="s">
        <v>5379</v>
      </c>
      <c r="F1226" s="165" t="s">
        <v>4638</v>
      </c>
      <c r="G1226" s="165"/>
      <c r="H1226" s="165">
        <v>10800</v>
      </c>
      <c r="I1226" s="165"/>
      <c r="J1226" s="165"/>
      <c r="K1226" s="338">
        <v>10800</v>
      </c>
      <c r="L1226" s="338"/>
      <c r="M1226" s="165"/>
      <c r="N1226" s="165"/>
      <c r="O1226" s="337">
        <f t="shared" si="40"/>
        <v>0</v>
      </c>
      <c r="P1226" s="165" t="s">
        <v>5488</v>
      </c>
      <c r="Q1226" s="165" t="s">
        <v>4291</v>
      </c>
      <c r="R1226" s="3">
        <f t="shared" si="43"/>
        <v>10800</v>
      </c>
      <c r="S1226" s="337">
        <v>10800</v>
      </c>
      <c r="T1226"/>
      <c r="U1226" s="3"/>
    </row>
    <row r="1227" spans="1:23">
      <c r="A1227" s="165" t="s">
        <v>4796</v>
      </c>
      <c r="B1227" s="94">
        <v>1217</v>
      </c>
      <c r="C1227" s="165" t="s">
        <v>5377</v>
      </c>
      <c r="D1227" s="165">
        <v>3</v>
      </c>
      <c r="E1227" s="165" t="s">
        <v>5380</v>
      </c>
      <c r="F1227" s="165" t="s">
        <v>4293</v>
      </c>
      <c r="G1227" s="165"/>
      <c r="H1227" s="165">
        <v>10800</v>
      </c>
      <c r="I1227" s="165"/>
      <c r="J1227" s="165"/>
      <c r="K1227" s="338">
        <v>10800</v>
      </c>
      <c r="L1227" s="338"/>
      <c r="M1227" s="165"/>
      <c r="N1227" s="165"/>
      <c r="O1227" s="337">
        <f t="shared" si="40"/>
        <v>0</v>
      </c>
      <c r="P1227" s="165" t="s">
        <v>5263</v>
      </c>
      <c r="Q1227" s="165" t="s">
        <v>4293</v>
      </c>
      <c r="R1227" s="3">
        <f t="shared" si="43"/>
        <v>10800</v>
      </c>
      <c r="S1227" s="337">
        <v>10800</v>
      </c>
      <c r="T1227"/>
      <c r="U1227" s="3"/>
    </row>
    <row r="1228" spans="1:23">
      <c r="A1228" s="165" t="s">
        <v>4796</v>
      </c>
      <c r="B1228" s="94">
        <v>1218</v>
      </c>
      <c r="C1228" s="165" t="s">
        <v>5377</v>
      </c>
      <c r="D1228" s="165">
        <v>4</v>
      </c>
      <c r="E1228" s="165" t="s">
        <v>5381</v>
      </c>
      <c r="F1228" s="165" t="s">
        <v>5386</v>
      </c>
      <c r="G1228" s="165"/>
      <c r="H1228" s="165">
        <v>10800</v>
      </c>
      <c r="I1228" s="165"/>
      <c r="J1228" s="165"/>
      <c r="K1228" s="338"/>
      <c r="L1228" s="338">
        <v>10800</v>
      </c>
      <c r="M1228" s="165"/>
      <c r="N1228" s="165"/>
      <c r="O1228" s="337">
        <f t="shared" ref="O1228:O1291" si="44">G1228+H1228+I1228-J1228-K1228-L1228</f>
        <v>0</v>
      </c>
      <c r="P1228" s="165" t="s">
        <v>9631</v>
      </c>
      <c r="Q1228" s="165" t="s">
        <v>9631</v>
      </c>
      <c r="R1228" s="3">
        <f t="shared" si="43"/>
        <v>10800</v>
      </c>
      <c r="S1228" s="337">
        <v>10800</v>
      </c>
      <c r="T1228"/>
      <c r="U1228" s="3"/>
    </row>
    <row r="1229" spans="1:23">
      <c r="A1229" s="165" t="s">
        <v>4796</v>
      </c>
      <c r="B1229" s="94">
        <v>1219</v>
      </c>
      <c r="C1229" s="165" t="s">
        <v>5377</v>
      </c>
      <c r="D1229" s="165">
        <v>5</v>
      </c>
      <c r="E1229" s="165" t="s">
        <v>5382</v>
      </c>
      <c r="F1229" s="165" t="s">
        <v>4641</v>
      </c>
      <c r="G1229" s="165"/>
      <c r="H1229" s="165">
        <v>10800</v>
      </c>
      <c r="I1229" s="165"/>
      <c r="J1229" s="165"/>
      <c r="K1229" s="338"/>
      <c r="L1229" s="338">
        <v>10800</v>
      </c>
      <c r="M1229" s="165"/>
      <c r="N1229" s="165"/>
      <c r="O1229" s="337">
        <f t="shared" si="44"/>
        <v>0</v>
      </c>
      <c r="P1229" s="165" t="s">
        <v>9686</v>
      </c>
      <c r="Q1229" s="165" t="s">
        <v>9686</v>
      </c>
      <c r="R1229" s="3">
        <f t="shared" si="43"/>
        <v>10800</v>
      </c>
      <c r="S1229" s="337">
        <v>10800</v>
      </c>
      <c r="T1229"/>
      <c r="U1229" s="3"/>
    </row>
    <row r="1230" spans="1:23">
      <c r="A1230" s="165" t="s">
        <v>4796</v>
      </c>
      <c r="B1230" s="94">
        <v>1220</v>
      </c>
      <c r="C1230" s="165" t="s">
        <v>5377</v>
      </c>
      <c r="D1230" s="165">
        <v>6</v>
      </c>
      <c r="E1230" s="165" t="s">
        <v>5383</v>
      </c>
      <c r="F1230" s="165" t="s">
        <v>5387</v>
      </c>
      <c r="G1230" s="165"/>
      <c r="H1230" s="165">
        <v>10800</v>
      </c>
      <c r="I1230" s="165"/>
      <c r="J1230" s="165"/>
      <c r="K1230" s="338"/>
      <c r="L1230" s="338">
        <v>10800</v>
      </c>
      <c r="M1230" s="165"/>
      <c r="N1230" s="165"/>
      <c r="O1230" s="337">
        <f t="shared" si="44"/>
        <v>0</v>
      </c>
      <c r="P1230" s="165" t="s">
        <v>9687</v>
      </c>
      <c r="Q1230" s="165" t="s">
        <v>9687</v>
      </c>
      <c r="R1230" s="3">
        <f t="shared" si="43"/>
        <v>10800</v>
      </c>
      <c r="S1230" s="337">
        <v>10800</v>
      </c>
      <c r="T1230"/>
      <c r="U1230" s="3"/>
    </row>
    <row r="1231" spans="1:23">
      <c r="A1231" s="165" t="s">
        <v>4796</v>
      </c>
      <c r="B1231" s="94">
        <v>1221</v>
      </c>
      <c r="C1231" s="165" t="s">
        <v>5377</v>
      </c>
      <c r="D1231" s="165">
        <v>7</v>
      </c>
      <c r="E1231" s="165" t="s">
        <v>5384</v>
      </c>
      <c r="F1231" s="165" t="s">
        <v>5388</v>
      </c>
      <c r="G1231" s="165"/>
      <c r="H1231" s="165">
        <v>10800</v>
      </c>
      <c r="I1231" s="165"/>
      <c r="J1231" s="165"/>
      <c r="K1231" s="338"/>
      <c r="L1231" s="338">
        <v>10800</v>
      </c>
      <c r="M1231" s="165"/>
      <c r="N1231" s="165"/>
      <c r="O1231" s="337">
        <f t="shared" si="44"/>
        <v>0</v>
      </c>
      <c r="P1231" s="165" t="s">
        <v>9689</v>
      </c>
      <c r="Q1231" s="165" t="s">
        <v>9689</v>
      </c>
      <c r="R1231" s="3">
        <f t="shared" si="43"/>
        <v>10800</v>
      </c>
      <c r="S1231" s="337">
        <v>10800</v>
      </c>
      <c r="T1231"/>
      <c r="U1231" s="3"/>
    </row>
    <row r="1232" spans="1:23">
      <c r="A1232" s="165" t="s">
        <v>4796</v>
      </c>
      <c r="B1232" s="94">
        <v>1222</v>
      </c>
      <c r="C1232" s="165" t="s">
        <v>5377</v>
      </c>
      <c r="D1232" s="165">
        <v>8</v>
      </c>
      <c r="E1232" s="165" t="s">
        <v>5385</v>
      </c>
      <c r="F1232" s="165" t="s">
        <v>5389</v>
      </c>
      <c r="G1232" s="165"/>
      <c r="H1232" s="165">
        <v>10800</v>
      </c>
      <c r="I1232" s="165"/>
      <c r="J1232" s="165"/>
      <c r="K1232" s="338"/>
      <c r="L1232" s="338"/>
      <c r="M1232" s="165">
        <v>10800</v>
      </c>
      <c r="N1232" s="165"/>
      <c r="O1232" s="337">
        <f t="shared" si="44"/>
        <v>10800</v>
      </c>
      <c r="P1232" s="165"/>
      <c r="Q1232" s="165"/>
      <c r="R1232" s="3">
        <f t="shared" si="43"/>
        <v>10800</v>
      </c>
      <c r="S1232" s="337"/>
      <c r="T1232"/>
      <c r="U1232" s="3"/>
    </row>
    <row r="1233" spans="1:21">
      <c r="A1233" s="165" t="s">
        <v>4798</v>
      </c>
      <c r="B1233" s="94">
        <v>1223</v>
      </c>
      <c r="C1233" s="165" t="s">
        <v>4038</v>
      </c>
      <c r="D1233" s="165">
        <v>1</v>
      </c>
      <c r="E1233" s="165" t="s">
        <v>5437</v>
      </c>
      <c r="F1233" s="165" t="s">
        <v>4268</v>
      </c>
      <c r="G1233" s="165"/>
      <c r="H1233" s="165">
        <v>14175</v>
      </c>
      <c r="I1233" s="165"/>
      <c r="J1233" s="165"/>
      <c r="K1233" s="165">
        <v>14175</v>
      </c>
      <c r="L1233" s="165"/>
      <c r="M1233" s="165"/>
      <c r="N1233" s="165"/>
      <c r="O1233" s="337">
        <f t="shared" si="44"/>
        <v>0</v>
      </c>
      <c r="P1233" s="165" t="s">
        <v>4806</v>
      </c>
      <c r="Q1233" s="165" t="s">
        <v>4268</v>
      </c>
      <c r="R1233" s="3">
        <f t="shared" si="43"/>
        <v>14175</v>
      </c>
      <c r="S1233" s="337">
        <v>14175</v>
      </c>
      <c r="T1233"/>
      <c r="U1233" s="3"/>
    </row>
    <row r="1234" spans="1:21">
      <c r="A1234" s="165" t="s">
        <v>4798</v>
      </c>
      <c r="B1234" s="94">
        <v>1224</v>
      </c>
      <c r="C1234" s="165" t="s">
        <v>4038</v>
      </c>
      <c r="D1234" s="165">
        <v>2</v>
      </c>
      <c r="E1234" s="165" t="s">
        <v>5438</v>
      </c>
      <c r="F1234" s="165" t="s">
        <v>4270</v>
      </c>
      <c r="G1234" s="165"/>
      <c r="H1234" s="165">
        <v>14175</v>
      </c>
      <c r="I1234" s="165"/>
      <c r="J1234" s="165"/>
      <c r="K1234" s="338">
        <v>14175</v>
      </c>
      <c r="L1234" s="338"/>
      <c r="M1234" s="165"/>
      <c r="N1234" s="165"/>
      <c r="O1234" s="337">
        <f t="shared" si="44"/>
        <v>0</v>
      </c>
      <c r="P1234" s="165" t="s">
        <v>5500</v>
      </c>
      <c r="Q1234" s="165" t="s">
        <v>4270</v>
      </c>
      <c r="R1234" s="3">
        <f t="shared" si="43"/>
        <v>14175</v>
      </c>
      <c r="S1234" s="337">
        <v>14175</v>
      </c>
      <c r="T1234"/>
      <c r="U1234" s="3"/>
    </row>
    <row r="1235" spans="1:21">
      <c r="A1235" s="165" t="s">
        <v>4798</v>
      </c>
      <c r="B1235" s="94">
        <v>1225</v>
      </c>
      <c r="C1235" s="165" t="s">
        <v>4038</v>
      </c>
      <c r="D1235" s="165">
        <v>3</v>
      </c>
      <c r="E1235" s="165" t="s">
        <v>5439</v>
      </c>
      <c r="F1235" s="165" t="s">
        <v>5440</v>
      </c>
      <c r="G1235" s="165"/>
      <c r="H1235" s="165">
        <v>14175</v>
      </c>
      <c r="I1235" s="165"/>
      <c r="J1235" s="165"/>
      <c r="K1235" s="338">
        <v>14175</v>
      </c>
      <c r="L1235" s="338"/>
      <c r="M1235" s="165"/>
      <c r="N1235" s="165"/>
      <c r="O1235" s="337">
        <f t="shared" si="44"/>
        <v>0</v>
      </c>
      <c r="P1235" s="165" t="s">
        <v>5551</v>
      </c>
      <c r="Q1235" s="165" t="s">
        <v>5440</v>
      </c>
      <c r="R1235" s="3">
        <f t="shared" si="43"/>
        <v>14175</v>
      </c>
      <c r="S1235" s="337">
        <v>14175</v>
      </c>
      <c r="T1235"/>
      <c r="U1235" s="3"/>
    </row>
    <row r="1236" spans="1:21">
      <c r="A1236" s="165" t="s">
        <v>4798</v>
      </c>
      <c r="B1236" s="94">
        <v>1226</v>
      </c>
      <c r="C1236" s="165" t="s">
        <v>4038</v>
      </c>
      <c r="D1236" s="165">
        <v>4</v>
      </c>
      <c r="E1236" s="165" t="s">
        <v>5441</v>
      </c>
      <c r="F1236" s="165" t="s">
        <v>5446</v>
      </c>
      <c r="G1236" s="165"/>
      <c r="H1236" s="165">
        <v>14175</v>
      </c>
      <c r="I1236" s="165"/>
      <c r="J1236" s="165"/>
      <c r="K1236" s="338"/>
      <c r="L1236" s="338">
        <v>14175</v>
      </c>
      <c r="M1236" s="165"/>
      <c r="N1236" s="165"/>
      <c r="O1236" s="337">
        <f t="shared" si="44"/>
        <v>0</v>
      </c>
      <c r="P1236" s="165" t="s">
        <v>9760</v>
      </c>
      <c r="Q1236" s="165" t="s">
        <v>9760</v>
      </c>
      <c r="R1236" s="3">
        <f t="shared" si="43"/>
        <v>14175</v>
      </c>
      <c r="S1236" s="337">
        <v>14175</v>
      </c>
      <c r="T1236"/>
      <c r="U1236" s="3"/>
    </row>
    <row r="1237" spans="1:21">
      <c r="A1237" s="165" t="s">
        <v>4798</v>
      </c>
      <c r="B1237" s="94">
        <v>1227</v>
      </c>
      <c r="C1237" s="165" t="s">
        <v>4038</v>
      </c>
      <c r="D1237" s="165">
        <v>5</v>
      </c>
      <c r="E1237" s="165" t="s">
        <v>5442</v>
      </c>
      <c r="F1237" s="165" t="s">
        <v>5447</v>
      </c>
      <c r="G1237" s="165"/>
      <c r="H1237" s="165">
        <v>14175</v>
      </c>
      <c r="I1237" s="165"/>
      <c r="J1237" s="165"/>
      <c r="K1237" s="338"/>
      <c r="L1237" s="338">
        <v>14175</v>
      </c>
      <c r="M1237" s="165"/>
      <c r="N1237" s="165"/>
      <c r="O1237" s="337">
        <f t="shared" si="44"/>
        <v>0</v>
      </c>
      <c r="P1237" s="165" t="s">
        <v>9761</v>
      </c>
      <c r="Q1237" s="165" t="s">
        <v>9761</v>
      </c>
      <c r="R1237" s="3">
        <f t="shared" si="43"/>
        <v>14175</v>
      </c>
      <c r="S1237" s="337">
        <v>14175</v>
      </c>
      <c r="T1237"/>
      <c r="U1237" s="3"/>
    </row>
    <row r="1238" spans="1:21">
      <c r="A1238" s="165" t="s">
        <v>4798</v>
      </c>
      <c r="B1238" s="94">
        <v>1228</v>
      </c>
      <c r="C1238" s="165" t="s">
        <v>4038</v>
      </c>
      <c r="D1238" s="165">
        <v>6</v>
      </c>
      <c r="E1238" s="165" t="s">
        <v>5443</v>
      </c>
      <c r="F1238" s="165" t="s">
        <v>5448</v>
      </c>
      <c r="G1238" s="165"/>
      <c r="H1238" s="165">
        <v>14175</v>
      </c>
      <c r="I1238" s="165"/>
      <c r="J1238" s="165"/>
      <c r="K1238" s="338"/>
      <c r="L1238" s="338">
        <v>14175</v>
      </c>
      <c r="M1238" s="165"/>
      <c r="N1238" s="165"/>
      <c r="O1238" s="337">
        <f t="shared" si="44"/>
        <v>0</v>
      </c>
      <c r="P1238" s="165" t="s">
        <v>9692</v>
      </c>
      <c r="Q1238" s="165" t="s">
        <v>9692</v>
      </c>
      <c r="R1238" s="3">
        <f t="shared" ref="R1238:R1269" si="45">H1238</f>
        <v>14175</v>
      </c>
      <c r="S1238" s="337">
        <v>14175</v>
      </c>
      <c r="T1238"/>
      <c r="U1238" s="3"/>
    </row>
    <row r="1239" spans="1:21">
      <c r="A1239" s="165" t="s">
        <v>4798</v>
      </c>
      <c r="B1239" s="94">
        <v>1229</v>
      </c>
      <c r="C1239" s="165" t="s">
        <v>4038</v>
      </c>
      <c r="D1239" s="165">
        <v>7</v>
      </c>
      <c r="E1239" s="165" t="s">
        <v>5444</v>
      </c>
      <c r="F1239" s="165" t="s">
        <v>5449</v>
      </c>
      <c r="G1239" s="165"/>
      <c r="H1239" s="165">
        <v>14175</v>
      </c>
      <c r="I1239" s="165"/>
      <c r="J1239" s="165"/>
      <c r="K1239" s="338"/>
      <c r="L1239" s="338">
        <v>14175</v>
      </c>
      <c r="M1239" s="165"/>
      <c r="N1239" s="165"/>
      <c r="O1239" s="337">
        <f t="shared" si="44"/>
        <v>0</v>
      </c>
      <c r="P1239" s="165" t="s">
        <v>9762</v>
      </c>
      <c r="Q1239" s="165" t="s">
        <v>9762</v>
      </c>
      <c r="R1239" s="3">
        <f t="shared" si="45"/>
        <v>14175</v>
      </c>
      <c r="S1239" s="337">
        <v>14175</v>
      </c>
      <c r="T1239"/>
      <c r="U1239" s="3"/>
    </row>
    <row r="1240" spans="1:21">
      <c r="A1240" s="165" t="s">
        <v>4798</v>
      </c>
      <c r="B1240" s="94">
        <v>1230</v>
      </c>
      <c r="C1240" s="165" t="s">
        <v>4038</v>
      </c>
      <c r="D1240" s="165">
        <v>8</v>
      </c>
      <c r="E1240" s="165" t="s">
        <v>5445</v>
      </c>
      <c r="F1240" s="165" t="s">
        <v>5450</v>
      </c>
      <c r="G1240" s="165"/>
      <c r="H1240" s="165">
        <v>14175</v>
      </c>
      <c r="I1240" s="165"/>
      <c r="J1240" s="165"/>
      <c r="K1240" s="338"/>
      <c r="L1240" s="338"/>
      <c r="M1240" s="165">
        <v>14175</v>
      </c>
      <c r="N1240" s="165"/>
      <c r="O1240" s="337">
        <f t="shared" si="44"/>
        <v>14175</v>
      </c>
      <c r="P1240" s="165"/>
      <c r="Q1240" s="165"/>
      <c r="R1240" s="3">
        <f t="shared" si="45"/>
        <v>14175</v>
      </c>
      <c r="S1240" s="337"/>
      <c r="T1240"/>
      <c r="U1240" s="3"/>
    </row>
    <row r="1241" spans="1:21">
      <c r="A1241" s="165" t="s">
        <v>5418</v>
      </c>
      <c r="B1241" s="94">
        <v>1231</v>
      </c>
      <c r="C1241" s="165" t="s">
        <v>5194</v>
      </c>
      <c r="D1241" s="165">
        <v>1</v>
      </c>
      <c r="E1241" s="165" t="s">
        <v>5419</v>
      </c>
      <c r="F1241" s="165" t="s">
        <v>5420</v>
      </c>
      <c r="G1241" s="165"/>
      <c r="H1241" s="165">
        <v>11340</v>
      </c>
      <c r="I1241" s="165"/>
      <c r="J1241" s="165"/>
      <c r="K1241" s="165">
        <v>11340</v>
      </c>
      <c r="L1241" s="165"/>
      <c r="M1241" s="165"/>
      <c r="N1241" s="165"/>
      <c r="O1241" s="337">
        <f t="shared" si="44"/>
        <v>0</v>
      </c>
      <c r="P1241" s="165" t="s">
        <v>4804</v>
      </c>
      <c r="Q1241" s="165" t="s">
        <v>4805</v>
      </c>
      <c r="R1241" s="3">
        <f t="shared" si="45"/>
        <v>11340</v>
      </c>
      <c r="S1241" s="337">
        <v>11340</v>
      </c>
      <c r="T1241"/>
      <c r="U1241" s="3"/>
    </row>
    <row r="1242" spans="1:21">
      <c r="A1242" s="165" t="s">
        <v>5418</v>
      </c>
      <c r="B1242" s="94">
        <v>1232</v>
      </c>
      <c r="C1242" s="165" t="s">
        <v>5194</v>
      </c>
      <c r="D1242" s="165">
        <v>2</v>
      </c>
      <c r="E1242" s="165" t="s">
        <v>5421</v>
      </c>
      <c r="F1242" s="165" t="s">
        <v>5428</v>
      </c>
      <c r="G1242" s="165"/>
      <c r="H1242" s="165">
        <v>11340</v>
      </c>
      <c r="I1242" s="165"/>
      <c r="J1242" s="165"/>
      <c r="K1242" s="338">
        <v>11340</v>
      </c>
      <c r="L1242" s="338"/>
      <c r="M1242" s="165"/>
      <c r="N1242" s="165"/>
      <c r="O1242" s="337">
        <f t="shared" si="44"/>
        <v>0</v>
      </c>
      <c r="P1242" s="165" t="s">
        <v>5488</v>
      </c>
      <c r="Q1242" s="165" t="s">
        <v>5428</v>
      </c>
      <c r="R1242" s="3">
        <f t="shared" si="45"/>
        <v>11340</v>
      </c>
      <c r="S1242" s="337">
        <v>11340</v>
      </c>
      <c r="T1242"/>
      <c r="U1242" s="3"/>
    </row>
    <row r="1243" spans="1:21">
      <c r="A1243" s="165" t="s">
        <v>5418</v>
      </c>
      <c r="B1243" s="94">
        <v>1233</v>
      </c>
      <c r="C1243" s="165" t="s">
        <v>5194</v>
      </c>
      <c r="D1243" s="165">
        <v>3</v>
      </c>
      <c r="E1243" s="165" t="s">
        <v>5422</v>
      </c>
      <c r="F1243" s="165" t="s">
        <v>5429</v>
      </c>
      <c r="G1243" s="165"/>
      <c r="H1243" s="165">
        <v>11340</v>
      </c>
      <c r="I1243" s="165"/>
      <c r="J1243" s="165"/>
      <c r="K1243" s="338">
        <v>11340</v>
      </c>
      <c r="L1243" s="338"/>
      <c r="M1243" s="165"/>
      <c r="N1243" s="165"/>
      <c r="O1243" s="337">
        <f t="shared" si="44"/>
        <v>0</v>
      </c>
      <c r="P1243" s="165" t="s">
        <v>5263</v>
      </c>
      <c r="Q1243" s="165" t="s">
        <v>5429</v>
      </c>
      <c r="R1243" s="3">
        <f t="shared" si="45"/>
        <v>11340</v>
      </c>
      <c r="S1243" s="337">
        <v>11340</v>
      </c>
      <c r="T1243"/>
      <c r="U1243" s="3"/>
    </row>
    <row r="1244" spans="1:21">
      <c r="A1244" s="165" t="s">
        <v>5418</v>
      </c>
      <c r="B1244" s="94">
        <v>1234</v>
      </c>
      <c r="C1244" s="165" t="s">
        <v>5194</v>
      </c>
      <c r="D1244" s="165">
        <v>4</v>
      </c>
      <c r="E1244" s="165" t="s">
        <v>5423</v>
      </c>
      <c r="F1244" s="165" t="s">
        <v>5430</v>
      </c>
      <c r="G1244" s="165"/>
      <c r="H1244" s="165">
        <v>11340</v>
      </c>
      <c r="I1244" s="165"/>
      <c r="J1244" s="165"/>
      <c r="K1244" s="338"/>
      <c r="L1244" s="338">
        <v>11340</v>
      </c>
      <c r="M1244" s="165"/>
      <c r="N1244" s="165"/>
      <c r="O1244" s="337">
        <f t="shared" si="44"/>
        <v>0</v>
      </c>
      <c r="P1244" s="165" t="s">
        <v>9631</v>
      </c>
      <c r="Q1244" s="165" t="s">
        <v>9631</v>
      </c>
      <c r="R1244" s="3">
        <f t="shared" si="45"/>
        <v>11340</v>
      </c>
      <c r="S1244" s="337">
        <v>11340</v>
      </c>
      <c r="T1244"/>
      <c r="U1244" s="3"/>
    </row>
    <row r="1245" spans="1:21">
      <c r="A1245" s="165" t="s">
        <v>5418</v>
      </c>
      <c r="B1245" s="94">
        <v>1235</v>
      </c>
      <c r="C1245" s="165" t="s">
        <v>5194</v>
      </c>
      <c r="D1245" s="165">
        <v>5</v>
      </c>
      <c r="E1245" s="165" t="s">
        <v>5424</v>
      </c>
      <c r="F1245" s="165" t="s">
        <v>5431</v>
      </c>
      <c r="G1245" s="165"/>
      <c r="H1245" s="165">
        <v>11340</v>
      </c>
      <c r="I1245" s="165"/>
      <c r="J1245" s="165"/>
      <c r="K1245" s="338"/>
      <c r="L1245" s="338">
        <v>11340</v>
      </c>
      <c r="M1245" s="165"/>
      <c r="N1245" s="165"/>
      <c r="O1245" s="337">
        <f t="shared" si="44"/>
        <v>0</v>
      </c>
      <c r="P1245" s="165" t="s">
        <v>9634</v>
      </c>
      <c r="Q1245" s="165" t="s">
        <v>9634</v>
      </c>
      <c r="R1245" s="3">
        <f t="shared" si="45"/>
        <v>11340</v>
      </c>
      <c r="S1245" s="337">
        <v>11340</v>
      </c>
      <c r="T1245"/>
      <c r="U1245" s="3"/>
    </row>
    <row r="1246" spans="1:21">
      <c r="A1246" s="165" t="s">
        <v>5418</v>
      </c>
      <c r="B1246" s="94">
        <v>1236</v>
      </c>
      <c r="C1246" s="165" t="s">
        <v>5194</v>
      </c>
      <c r="D1246" s="165">
        <v>6</v>
      </c>
      <c r="E1246" s="165" t="s">
        <v>5425</v>
      </c>
      <c r="F1246" s="165" t="s">
        <v>5432</v>
      </c>
      <c r="G1246" s="165"/>
      <c r="H1246" s="165">
        <v>11340</v>
      </c>
      <c r="I1246" s="165"/>
      <c r="J1246" s="165"/>
      <c r="K1246" s="338"/>
      <c r="L1246" s="338">
        <v>11340</v>
      </c>
      <c r="M1246" s="165"/>
      <c r="N1246" s="165"/>
      <c r="O1246" s="337">
        <f t="shared" si="44"/>
        <v>0</v>
      </c>
      <c r="P1246" s="165" t="s">
        <v>9652</v>
      </c>
      <c r="Q1246" s="165" t="s">
        <v>9652</v>
      </c>
      <c r="R1246" s="3">
        <f t="shared" si="45"/>
        <v>11340</v>
      </c>
      <c r="S1246" s="337">
        <v>11340</v>
      </c>
      <c r="T1246"/>
      <c r="U1246" s="3"/>
    </row>
    <row r="1247" spans="1:21">
      <c r="A1247" s="165" t="s">
        <v>5418</v>
      </c>
      <c r="B1247" s="94">
        <v>1237</v>
      </c>
      <c r="C1247" s="165" t="s">
        <v>5194</v>
      </c>
      <c r="D1247" s="165">
        <v>7</v>
      </c>
      <c r="E1247" s="165" t="s">
        <v>5426</v>
      </c>
      <c r="F1247" s="165" t="s">
        <v>5433</v>
      </c>
      <c r="G1247" s="165"/>
      <c r="H1247" s="165">
        <v>11340</v>
      </c>
      <c r="I1247" s="165"/>
      <c r="J1247" s="165"/>
      <c r="K1247" s="338"/>
      <c r="L1247" s="338">
        <v>11340</v>
      </c>
      <c r="M1247" s="165"/>
      <c r="N1247" s="165"/>
      <c r="O1247" s="337">
        <f t="shared" si="44"/>
        <v>0</v>
      </c>
      <c r="P1247" s="165" t="s">
        <v>9654</v>
      </c>
      <c r="Q1247" s="165" t="s">
        <v>9654</v>
      </c>
      <c r="R1247" s="3">
        <f t="shared" si="45"/>
        <v>11340</v>
      </c>
      <c r="S1247" s="337">
        <v>11340</v>
      </c>
      <c r="T1247"/>
      <c r="U1247" s="3"/>
    </row>
    <row r="1248" spans="1:21">
      <c r="A1248" s="165" t="s">
        <v>5418</v>
      </c>
      <c r="B1248" s="94">
        <v>1238</v>
      </c>
      <c r="C1248" s="165" t="s">
        <v>5194</v>
      </c>
      <c r="D1248" s="165">
        <v>8</v>
      </c>
      <c r="E1248" s="165" t="s">
        <v>5427</v>
      </c>
      <c r="F1248" s="165" t="s">
        <v>5434</v>
      </c>
      <c r="G1248" s="165"/>
      <c r="H1248" s="165">
        <v>11340</v>
      </c>
      <c r="I1248" s="165"/>
      <c r="J1248" s="165"/>
      <c r="K1248" s="338"/>
      <c r="L1248" s="338"/>
      <c r="M1248" s="165">
        <v>11340</v>
      </c>
      <c r="N1248" s="165"/>
      <c r="O1248" s="337">
        <f t="shared" si="44"/>
        <v>11340</v>
      </c>
      <c r="P1248" s="165"/>
      <c r="Q1248" s="165"/>
      <c r="R1248" s="3">
        <f t="shared" si="45"/>
        <v>11340</v>
      </c>
      <c r="S1248" s="337"/>
      <c r="T1248"/>
      <c r="U1248" s="3"/>
    </row>
    <row r="1249" spans="1:21">
      <c r="A1249" s="165" t="s">
        <v>5390</v>
      </c>
      <c r="B1249" s="94">
        <v>1239</v>
      </c>
      <c r="C1249" s="165" t="s">
        <v>4075</v>
      </c>
      <c r="D1249" s="165">
        <v>1</v>
      </c>
      <c r="E1249" s="165" t="s">
        <v>5391</v>
      </c>
      <c r="F1249" s="165" t="s">
        <v>4289</v>
      </c>
      <c r="G1249" s="165"/>
      <c r="H1249" s="165">
        <v>14175</v>
      </c>
      <c r="I1249" s="165"/>
      <c r="J1249" s="165"/>
      <c r="K1249" s="165">
        <v>14175</v>
      </c>
      <c r="L1249" s="165"/>
      <c r="M1249" s="165"/>
      <c r="N1249" s="165"/>
      <c r="O1249" s="337">
        <f t="shared" si="44"/>
        <v>0</v>
      </c>
      <c r="P1249" s="165" t="s">
        <v>4802</v>
      </c>
      <c r="Q1249" s="165" t="s">
        <v>4804</v>
      </c>
      <c r="R1249" s="3">
        <f t="shared" si="45"/>
        <v>14175</v>
      </c>
      <c r="S1249" s="337">
        <v>14175</v>
      </c>
      <c r="T1249"/>
      <c r="U1249" s="3"/>
    </row>
    <row r="1250" spans="1:21">
      <c r="A1250" s="165" t="s">
        <v>5390</v>
      </c>
      <c r="B1250" s="94">
        <v>1240</v>
      </c>
      <c r="C1250" s="165" t="s">
        <v>4075</v>
      </c>
      <c r="D1250" s="165">
        <v>2</v>
      </c>
      <c r="E1250" s="165" t="s">
        <v>5392</v>
      </c>
      <c r="F1250" s="165" t="s">
        <v>4638</v>
      </c>
      <c r="G1250" s="165"/>
      <c r="H1250" s="165">
        <v>14175</v>
      </c>
      <c r="I1250" s="165"/>
      <c r="J1250" s="165"/>
      <c r="K1250" s="338">
        <v>14175</v>
      </c>
      <c r="L1250" s="338"/>
      <c r="M1250" s="165"/>
      <c r="N1250" s="165"/>
      <c r="O1250" s="337">
        <f t="shared" si="44"/>
        <v>0</v>
      </c>
      <c r="P1250" s="165" t="s">
        <v>5488</v>
      </c>
      <c r="Q1250" s="165" t="s">
        <v>4291</v>
      </c>
      <c r="R1250" s="3">
        <f t="shared" si="45"/>
        <v>14175</v>
      </c>
      <c r="S1250" s="337">
        <v>14175</v>
      </c>
      <c r="T1250"/>
      <c r="U1250" s="3"/>
    </row>
    <row r="1251" spans="1:21">
      <c r="A1251" s="165" t="s">
        <v>5390</v>
      </c>
      <c r="B1251" s="94">
        <v>1241</v>
      </c>
      <c r="C1251" s="165" t="s">
        <v>4075</v>
      </c>
      <c r="D1251" s="165">
        <v>3</v>
      </c>
      <c r="E1251" s="165" t="s">
        <v>5393</v>
      </c>
      <c r="F1251" s="165" t="s">
        <v>4639</v>
      </c>
      <c r="G1251" s="165"/>
      <c r="H1251" s="165">
        <v>14175</v>
      </c>
      <c r="I1251" s="165"/>
      <c r="J1251" s="165"/>
      <c r="K1251" s="338">
        <v>14175</v>
      </c>
      <c r="L1251" s="338"/>
      <c r="M1251" s="165"/>
      <c r="N1251" s="165"/>
      <c r="O1251" s="337">
        <f t="shared" si="44"/>
        <v>0</v>
      </c>
      <c r="P1251" s="165" t="s">
        <v>5263</v>
      </c>
      <c r="Q1251" s="165" t="s">
        <v>4639</v>
      </c>
      <c r="R1251" s="3">
        <f t="shared" si="45"/>
        <v>14175</v>
      </c>
      <c r="S1251" s="337">
        <v>14175</v>
      </c>
      <c r="T1251"/>
      <c r="U1251" s="3"/>
    </row>
    <row r="1252" spans="1:21">
      <c r="A1252" s="165" t="s">
        <v>5390</v>
      </c>
      <c r="B1252" s="94">
        <v>1242</v>
      </c>
      <c r="C1252" s="165" t="s">
        <v>4075</v>
      </c>
      <c r="D1252" s="165">
        <v>4</v>
      </c>
      <c r="E1252" s="165" t="s">
        <v>5394</v>
      </c>
      <c r="F1252" s="165" t="s">
        <v>4640</v>
      </c>
      <c r="G1252" s="165"/>
      <c r="H1252" s="165">
        <v>14175</v>
      </c>
      <c r="I1252" s="165"/>
      <c r="J1252" s="165"/>
      <c r="K1252" s="338"/>
      <c r="L1252" s="338">
        <v>14175</v>
      </c>
      <c r="M1252" s="165"/>
      <c r="N1252" s="165"/>
      <c r="O1252" s="337">
        <f t="shared" si="44"/>
        <v>0</v>
      </c>
      <c r="P1252" s="165" t="s">
        <v>9631</v>
      </c>
      <c r="Q1252" s="165" t="s">
        <v>9631</v>
      </c>
      <c r="R1252" s="3">
        <f t="shared" si="45"/>
        <v>14175</v>
      </c>
      <c r="S1252" s="337">
        <v>14175</v>
      </c>
      <c r="T1252"/>
      <c r="U1252" s="3"/>
    </row>
    <row r="1253" spans="1:21">
      <c r="A1253" s="165" t="s">
        <v>5390</v>
      </c>
      <c r="B1253" s="94">
        <v>1243</v>
      </c>
      <c r="C1253" s="165" t="s">
        <v>4075</v>
      </c>
      <c r="D1253" s="165">
        <v>5</v>
      </c>
      <c r="E1253" s="165" t="s">
        <v>5395</v>
      </c>
      <c r="F1253" s="165" t="s">
        <v>4641</v>
      </c>
      <c r="G1253" s="165"/>
      <c r="H1253" s="165">
        <v>14175</v>
      </c>
      <c r="I1253" s="165"/>
      <c r="J1253" s="165"/>
      <c r="K1253" s="338"/>
      <c r="L1253" s="338">
        <v>14175</v>
      </c>
      <c r="M1253" s="165"/>
      <c r="N1253" s="165"/>
      <c r="O1253" s="337">
        <f t="shared" si="44"/>
        <v>0</v>
      </c>
      <c r="P1253" s="165" t="s">
        <v>9686</v>
      </c>
      <c r="Q1253" s="165" t="s">
        <v>9686</v>
      </c>
      <c r="R1253" s="3">
        <f t="shared" si="45"/>
        <v>14175</v>
      </c>
      <c r="S1253" s="337">
        <v>14175</v>
      </c>
      <c r="T1253"/>
      <c r="U1253" s="3"/>
    </row>
    <row r="1254" spans="1:21">
      <c r="A1254" s="165" t="s">
        <v>5390</v>
      </c>
      <c r="B1254" s="94">
        <v>1244</v>
      </c>
      <c r="C1254" s="165" t="s">
        <v>4075</v>
      </c>
      <c r="D1254" s="165">
        <v>6</v>
      </c>
      <c r="E1254" s="165" t="s">
        <v>5396</v>
      </c>
      <c r="F1254" s="165" t="s">
        <v>5399</v>
      </c>
      <c r="G1254" s="165"/>
      <c r="H1254" s="165">
        <v>14175</v>
      </c>
      <c r="I1254" s="165"/>
      <c r="J1254" s="165"/>
      <c r="K1254" s="338"/>
      <c r="L1254" s="338">
        <v>14175</v>
      </c>
      <c r="M1254" s="165"/>
      <c r="N1254" s="165"/>
      <c r="O1254" s="337">
        <f t="shared" si="44"/>
        <v>0</v>
      </c>
      <c r="P1254" s="165" t="s">
        <v>9687</v>
      </c>
      <c r="Q1254" s="165" t="s">
        <v>9687</v>
      </c>
      <c r="R1254" s="3">
        <f t="shared" si="45"/>
        <v>14175</v>
      </c>
      <c r="S1254" s="337">
        <v>14175</v>
      </c>
      <c r="T1254"/>
      <c r="U1254" s="3"/>
    </row>
    <row r="1255" spans="1:21">
      <c r="A1255" s="165" t="s">
        <v>5390</v>
      </c>
      <c r="B1255" s="94">
        <v>1245</v>
      </c>
      <c r="C1255" s="165" t="s">
        <v>4075</v>
      </c>
      <c r="D1255" s="165">
        <v>7</v>
      </c>
      <c r="E1255" s="165" t="s">
        <v>5397</v>
      </c>
      <c r="F1255" s="165" t="s">
        <v>5400</v>
      </c>
      <c r="G1255" s="165"/>
      <c r="H1255" s="165">
        <v>14175</v>
      </c>
      <c r="I1255" s="165"/>
      <c r="J1255" s="165"/>
      <c r="K1255" s="338"/>
      <c r="L1255" s="338">
        <v>14175</v>
      </c>
      <c r="M1255" s="165"/>
      <c r="N1255" s="165"/>
      <c r="O1255" s="337">
        <f t="shared" si="44"/>
        <v>0</v>
      </c>
      <c r="P1255" s="165" t="s">
        <v>9688</v>
      </c>
      <c r="Q1255" s="165" t="s">
        <v>9688</v>
      </c>
      <c r="R1255" s="3">
        <f t="shared" si="45"/>
        <v>14175</v>
      </c>
      <c r="S1255" s="337">
        <v>14175</v>
      </c>
      <c r="T1255"/>
      <c r="U1255" s="3"/>
    </row>
    <row r="1256" spans="1:21">
      <c r="A1256" s="165" t="s">
        <v>5390</v>
      </c>
      <c r="B1256" s="94">
        <v>1246</v>
      </c>
      <c r="C1256" s="165" t="s">
        <v>4075</v>
      </c>
      <c r="D1256" s="165">
        <v>8</v>
      </c>
      <c r="E1256" s="165" t="s">
        <v>5398</v>
      </c>
      <c r="F1256" s="165" t="s">
        <v>5401</v>
      </c>
      <c r="G1256" s="165"/>
      <c r="H1256" s="165">
        <v>14175</v>
      </c>
      <c r="I1256" s="165"/>
      <c r="J1256" s="165"/>
      <c r="K1256" s="338"/>
      <c r="L1256" s="338"/>
      <c r="M1256" s="165">
        <v>14175</v>
      </c>
      <c r="N1256" s="165"/>
      <c r="O1256" s="337">
        <f t="shared" si="44"/>
        <v>14175</v>
      </c>
      <c r="P1256" s="165"/>
      <c r="Q1256" s="165"/>
      <c r="R1256" s="3">
        <f t="shared" si="45"/>
        <v>14175</v>
      </c>
      <c r="S1256" s="337"/>
      <c r="T1256"/>
      <c r="U1256" s="3"/>
    </row>
    <row r="1257" spans="1:21">
      <c r="A1257" s="165" t="s">
        <v>4801</v>
      </c>
      <c r="B1257" s="94">
        <v>1247</v>
      </c>
      <c r="C1257" s="165" t="s">
        <v>4094</v>
      </c>
      <c r="D1257" s="165">
        <v>1</v>
      </c>
      <c r="E1257" s="165" t="s">
        <v>5368</v>
      </c>
      <c r="F1257" s="165" t="s">
        <v>5369</v>
      </c>
      <c r="G1257" s="165"/>
      <c r="H1257" s="165">
        <v>4410</v>
      </c>
      <c r="I1257" s="165"/>
      <c r="J1257" s="165"/>
      <c r="K1257" s="165">
        <v>4410</v>
      </c>
      <c r="L1257" s="165"/>
      <c r="M1257" s="165"/>
      <c r="N1257" s="165"/>
      <c r="O1257" s="337">
        <f t="shared" si="44"/>
        <v>0</v>
      </c>
      <c r="P1257" s="165" t="s">
        <v>4802</v>
      </c>
      <c r="Q1257" s="165" t="s">
        <v>4803</v>
      </c>
      <c r="R1257" s="3">
        <f t="shared" si="45"/>
        <v>4410</v>
      </c>
      <c r="S1257" s="337">
        <v>4410</v>
      </c>
      <c r="T1257"/>
      <c r="U1257" s="3"/>
    </row>
    <row r="1258" spans="1:21">
      <c r="A1258" s="165" t="s">
        <v>4801</v>
      </c>
      <c r="B1258" s="94">
        <v>1248</v>
      </c>
      <c r="C1258" s="165" t="s">
        <v>4094</v>
      </c>
      <c r="D1258" s="165">
        <v>2</v>
      </c>
      <c r="E1258" s="165" t="s">
        <v>5370</v>
      </c>
      <c r="F1258" s="165" t="s">
        <v>4807</v>
      </c>
      <c r="G1258" s="165"/>
      <c r="H1258" s="165">
        <v>4410</v>
      </c>
      <c r="I1258" s="165"/>
      <c r="J1258" s="165"/>
      <c r="K1258" s="338">
        <v>4410</v>
      </c>
      <c r="L1258" s="338"/>
      <c r="M1258" s="165"/>
      <c r="N1258" s="165"/>
      <c r="O1258" s="337">
        <f t="shared" si="44"/>
        <v>0</v>
      </c>
      <c r="P1258" s="165" t="s">
        <v>4802</v>
      </c>
      <c r="Q1258" s="165" t="s">
        <v>4807</v>
      </c>
      <c r="R1258" s="3">
        <f t="shared" si="45"/>
        <v>4410</v>
      </c>
      <c r="S1258" s="337">
        <v>4410</v>
      </c>
      <c r="T1258"/>
      <c r="U1258" s="3"/>
    </row>
    <row r="1259" spans="1:21">
      <c r="A1259" s="165" t="s">
        <v>4801</v>
      </c>
      <c r="B1259" s="94">
        <v>1249</v>
      </c>
      <c r="C1259" s="165" t="s">
        <v>4094</v>
      </c>
      <c r="D1259" s="165">
        <v>3</v>
      </c>
      <c r="E1259" s="165" t="s">
        <v>5371</v>
      </c>
      <c r="F1259" s="165" t="s">
        <v>4611</v>
      </c>
      <c r="G1259" s="165"/>
      <c r="H1259" s="165">
        <v>4410</v>
      </c>
      <c r="I1259" s="165"/>
      <c r="J1259" s="165"/>
      <c r="K1259" s="338">
        <v>4410</v>
      </c>
      <c r="L1259" s="338"/>
      <c r="M1259" s="165"/>
      <c r="N1259" s="165"/>
      <c r="O1259" s="337">
        <f t="shared" si="44"/>
        <v>0</v>
      </c>
      <c r="P1259" s="165" t="s">
        <v>5453</v>
      </c>
      <c r="Q1259" s="165" t="s">
        <v>5465</v>
      </c>
      <c r="R1259" s="3">
        <f t="shared" si="45"/>
        <v>4410</v>
      </c>
      <c r="S1259" s="337">
        <v>4410</v>
      </c>
      <c r="T1259"/>
      <c r="U1259" s="3"/>
    </row>
    <row r="1260" spans="1:21">
      <c r="A1260" s="165" t="s">
        <v>4801</v>
      </c>
      <c r="B1260" s="94">
        <v>1250</v>
      </c>
      <c r="C1260" s="165" t="s">
        <v>4094</v>
      </c>
      <c r="D1260" s="165">
        <v>4</v>
      </c>
      <c r="E1260" s="165" t="s">
        <v>5372</v>
      </c>
      <c r="F1260" s="165" t="s">
        <v>5303</v>
      </c>
      <c r="G1260" s="165"/>
      <c r="H1260" s="165">
        <v>4410</v>
      </c>
      <c r="I1260" s="165"/>
      <c r="J1260" s="165"/>
      <c r="K1260" s="338">
        <v>4410</v>
      </c>
      <c r="L1260" s="338"/>
      <c r="M1260" s="165"/>
      <c r="N1260" s="165"/>
      <c r="O1260" s="337">
        <f t="shared" si="44"/>
        <v>0</v>
      </c>
      <c r="P1260" s="165" t="s">
        <v>5488</v>
      </c>
      <c r="Q1260" s="165" t="s">
        <v>5303</v>
      </c>
      <c r="R1260" s="3">
        <f t="shared" si="45"/>
        <v>4410</v>
      </c>
      <c r="S1260" s="337">
        <v>4410</v>
      </c>
      <c r="T1260"/>
      <c r="U1260" s="3"/>
    </row>
    <row r="1261" spans="1:21">
      <c r="A1261" s="165" t="s">
        <v>4801</v>
      </c>
      <c r="B1261" s="94">
        <v>1251</v>
      </c>
      <c r="C1261" s="165" t="s">
        <v>4094</v>
      </c>
      <c r="D1261" s="165">
        <v>5</v>
      </c>
      <c r="E1261" s="165" t="s">
        <v>5373</v>
      </c>
      <c r="F1261" s="165" t="s">
        <v>5375</v>
      </c>
      <c r="G1261" s="165"/>
      <c r="H1261" s="165">
        <v>4410</v>
      </c>
      <c r="I1261" s="165"/>
      <c r="J1261" s="165"/>
      <c r="K1261" s="338">
        <v>4410</v>
      </c>
      <c r="L1261" s="338"/>
      <c r="M1261" s="165"/>
      <c r="N1261" s="165"/>
      <c r="O1261" s="337">
        <f t="shared" si="44"/>
        <v>0</v>
      </c>
      <c r="P1261" s="165" t="s">
        <v>5500</v>
      </c>
      <c r="Q1261" s="165" t="s">
        <v>5375</v>
      </c>
      <c r="R1261" s="3">
        <f t="shared" si="45"/>
        <v>4410</v>
      </c>
      <c r="S1261" s="337">
        <v>4410</v>
      </c>
      <c r="T1261"/>
      <c r="U1261" s="3"/>
    </row>
    <row r="1262" spans="1:21">
      <c r="A1262" s="165" t="s">
        <v>4801</v>
      </c>
      <c r="B1262" s="94">
        <v>1252</v>
      </c>
      <c r="C1262" s="165" t="s">
        <v>4094</v>
      </c>
      <c r="D1262" s="165">
        <v>6</v>
      </c>
      <c r="E1262" s="165" t="s">
        <v>5374</v>
      </c>
      <c r="F1262" s="165" t="s">
        <v>4612</v>
      </c>
      <c r="G1262" s="165"/>
      <c r="H1262" s="165">
        <v>4410</v>
      </c>
      <c r="I1262" s="165"/>
      <c r="J1262" s="165"/>
      <c r="K1262" s="338">
        <v>4410</v>
      </c>
      <c r="L1262" s="338"/>
      <c r="M1262" s="165"/>
      <c r="N1262" s="165"/>
      <c r="O1262" s="337">
        <f t="shared" si="44"/>
        <v>0</v>
      </c>
      <c r="P1262" s="165" t="s">
        <v>5504</v>
      </c>
      <c r="Q1262" s="165" t="s">
        <v>5531</v>
      </c>
      <c r="R1262" s="3">
        <f t="shared" si="45"/>
        <v>4410</v>
      </c>
      <c r="S1262" s="337">
        <v>4410</v>
      </c>
      <c r="T1262"/>
      <c r="U1262" s="3"/>
    </row>
    <row r="1263" spans="1:21">
      <c r="A1263" s="165" t="s">
        <v>5402</v>
      </c>
      <c r="B1263" s="94">
        <v>1253</v>
      </c>
      <c r="C1263" s="165" t="s">
        <v>5191</v>
      </c>
      <c r="D1263" s="165">
        <v>1</v>
      </c>
      <c r="E1263" s="165" t="s">
        <v>5403</v>
      </c>
      <c r="F1263" s="165" t="s">
        <v>4802</v>
      </c>
      <c r="G1263" s="165"/>
      <c r="H1263" s="165">
        <v>14175</v>
      </c>
      <c r="I1263" s="165"/>
      <c r="J1263" s="165"/>
      <c r="K1263" s="165">
        <v>14175</v>
      </c>
      <c r="L1263" s="165"/>
      <c r="M1263" s="165"/>
      <c r="N1263" s="165"/>
      <c r="O1263" s="337">
        <f t="shared" si="44"/>
        <v>0</v>
      </c>
      <c r="P1263" s="165" t="s">
        <v>4804</v>
      </c>
      <c r="Q1263" s="165" t="s">
        <v>4805</v>
      </c>
      <c r="R1263" s="3">
        <f t="shared" si="45"/>
        <v>14175</v>
      </c>
      <c r="S1263" s="337">
        <v>14175</v>
      </c>
      <c r="T1263"/>
      <c r="U1263" s="3"/>
    </row>
    <row r="1264" spans="1:21">
      <c r="A1264" s="165" t="s">
        <v>5402</v>
      </c>
      <c r="B1264" s="94">
        <v>1254</v>
      </c>
      <c r="C1264" s="165" t="s">
        <v>5191</v>
      </c>
      <c r="D1264" s="165">
        <v>2</v>
      </c>
      <c r="E1264" s="165" t="s">
        <v>5405</v>
      </c>
      <c r="F1264" s="165" t="s">
        <v>5404</v>
      </c>
      <c r="G1264" s="165"/>
      <c r="H1264" s="165">
        <v>14175</v>
      </c>
      <c r="I1264" s="165"/>
      <c r="J1264" s="165"/>
      <c r="K1264" s="338">
        <v>14175</v>
      </c>
      <c r="L1264" s="338"/>
      <c r="M1264" s="165"/>
      <c r="N1264" s="165"/>
      <c r="O1264" s="337">
        <f t="shared" si="44"/>
        <v>0</v>
      </c>
      <c r="P1264" s="165" t="s">
        <v>4806</v>
      </c>
      <c r="Q1264" s="165" t="s">
        <v>5404</v>
      </c>
      <c r="R1264" s="3">
        <f t="shared" si="45"/>
        <v>14175</v>
      </c>
      <c r="S1264" s="337">
        <v>14175</v>
      </c>
      <c r="T1264"/>
      <c r="U1264" s="3"/>
    </row>
    <row r="1265" spans="1:23">
      <c r="A1265" s="165" t="s">
        <v>5402</v>
      </c>
      <c r="B1265" s="94">
        <v>1255</v>
      </c>
      <c r="C1265" s="165" t="s">
        <v>5191</v>
      </c>
      <c r="D1265" s="165">
        <v>3</v>
      </c>
      <c r="E1265" s="165" t="s">
        <v>5406</v>
      </c>
      <c r="F1265" s="165" t="s">
        <v>5407</v>
      </c>
      <c r="G1265" s="165"/>
      <c r="H1265" s="165">
        <v>14175</v>
      </c>
      <c r="I1265" s="165"/>
      <c r="J1265" s="165"/>
      <c r="K1265" s="338">
        <v>14175</v>
      </c>
      <c r="L1265" s="338"/>
      <c r="M1265" s="165"/>
      <c r="N1265" s="165"/>
      <c r="O1265" s="337">
        <f t="shared" si="44"/>
        <v>0</v>
      </c>
      <c r="P1265" s="165" t="s">
        <v>5500</v>
      </c>
      <c r="Q1265" s="165" t="s">
        <v>5407</v>
      </c>
      <c r="R1265" s="3">
        <f t="shared" si="45"/>
        <v>14175</v>
      </c>
      <c r="S1265" s="337">
        <v>14175</v>
      </c>
      <c r="T1265"/>
      <c r="U1265" s="3"/>
    </row>
    <row r="1266" spans="1:23">
      <c r="A1266" s="165" t="s">
        <v>5402</v>
      </c>
      <c r="B1266" s="94">
        <v>1256</v>
      </c>
      <c r="C1266" s="165" t="s">
        <v>5191</v>
      </c>
      <c r="D1266" s="165">
        <v>4</v>
      </c>
      <c r="E1266" s="165" t="s">
        <v>5409</v>
      </c>
      <c r="F1266" s="165" t="s">
        <v>5408</v>
      </c>
      <c r="G1266" s="165"/>
      <c r="H1266" s="165">
        <v>14175</v>
      </c>
      <c r="I1266" s="165"/>
      <c r="J1266" s="165"/>
      <c r="K1266" s="338">
        <v>14175</v>
      </c>
      <c r="L1266" s="338"/>
      <c r="M1266" s="165"/>
      <c r="N1266" s="165"/>
      <c r="O1266" s="337">
        <f t="shared" si="44"/>
        <v>0</v>
      </c>
      <c r="P1266" s="165" t="s">
        <v>5551</v>
      </c>
      <c r="Q1266" s="165" t="s">
        <v>4594</v>
      </c>
      <c r="R1266" s="3">
        <f t="shared" si="45"/>
        <v>14175</v>
      </c>
      <c r="S1266" s="337">
        <v>14175</v>
      </c>
      <c r="T1266"/>
      <c r="U1266" s="3"/>
    </row>
    <row r="1267" spans="1:23">
      <c r="A1267" s="165" t="s">
        <v>5402</v>
      </c>
      <c r="B1267" s="94">
        <v>1257</v>
      </c>
      <c r="C1267" s="165" t="s">
        <v>5191</v>
      </c>
      <c r="D1267" s="165">
        <v>5</v>
      </c>
      <c r="E1267" s="165" t="s">
        <v>5410</v>
      </c>
      <c r="F1267" s="165" t="s">
        <v>5414</v>
      </c>
      <c r="G1267" s="165"/>
      <c r="H1267" s="165">
        <v>14175</v>
      </c>
      <c r="I1267" s="165"/>
      <c r="J1267" s="165"/>
      <c r="K1267" s="338"/>
      <c r="L1267" s="338">
        <v>14175</v>
      </c>
      <c r="M1267" s="165"/>
      <c r="N1267" s="165"/>
      <c r="O1267" s="337">
        <f t="shared" si="44"/>
        <v>0</v>
      </c>
      <c r="P1267" s="165" t="s">
        <v>9760</v>
      </c>
      <c r="Q1267" s="165" t="s">
        <v>9760</v>
      </c>
      <c r="R1267" s="3">
        <f t="shared" si="45"/>
        <v>14175</v>
      </c>
      <c r="S1267" s="337">
        <v>14175</v>
      </c>
      <c r="T1267"/>
      <c r="U1267" s="3"/>
    </row>
    <row r="1268" spans="1:23">
      <c r="A1268" s="165" t="s">
        <v>5402</v>
      </c>
      <c r="B1268" s="94">
        <v>1258</v>
      </c>
      <c r="C1268" s="165" t="s">
        <v>5191</v>
      </c>
      <c r="D1268" s="165">
        <v>6</v>
      </c>
      <c r="E1268" s="165" t="s">
        <v>5411</v>
      </c>
      <c r="F1268" s="165" t="s">
        <v>5415</v>
      </c>
      <c r="G1268" s="165"/>
      <c r="H1268" s="165">
        <v>14175</v>
      </c>
      <c r="I1268" s="165"/>
      <c r="J1268" s="165"/>
      <c r="K1268" s="338"/>
      <c r="L1268" s="338">
        <v>14175</v>
      </c>
      <c r="M1268" s="165"/>
      <c r="N1268" s="165"/>
      <c r="O1268" s="337">
        <f t="shared" si="44"/>
        <v>0</v>
      </c>
      <c r="P1268" s="165" t="s">
        <v>9767</v>
      </c>
      <c r="Q1268" s="165" t="s">
        <v>9767</v>
      </c>
      <c r="R1268" s="3">
        <f t="shared" si="45"/>
        <v>14175</v>
      </c>
      <c r="S1268" s="337">
        <v>14175</v>
      </c>
      <c r="T1268"/>
      <c r="U1268" s="3"/>
    </row>
    <row r="1269" spans="1:23">
      <c r="A1269" s="165" t="s">
        <v>5402</v>
      </c>
      <c r="B1269" s="94">
        <v>1259</v>
      </c>
      <c r="C1269" s="165" t="s">
        <v>5191</v>
      </c>
      <c r="D1269" s="165">
        <v>7</v>
      </c>
      <c r="E1269" s="165" t="s">
        <v>5412</v>
      </c>
      <c r="F1269" s="165" t="s">
        <v>5416</v>
      </c>
      <c r="G1269" s="165"/>
      <c r="H1269" s="165">
        <v>14175</v>
      </c>
      <c r="I1269" s="165"/>
      <c r="J1269" s="165"/>
      <c r="K1269" s="338"/>
      <c r="L1269" s="338">
        <v>14175</v>
      </c>
      <c r="M1269" s="165"/>
      <c r="N1269" s="165"/>
      <c r="O1269" s="337">
        <f t="shared" si="44"/>
        <v>0</v>
      </c>
      <c r="P1269" s="165" t="s">
        <v>9768</v>
      </c>
      <c r="Q1269" s="165" t="s">
        <v>9768</v>
      </c>
      <c r="R1269" s="3">
        <f t="shared" si="45"/>
        <v>14175</v>
      </c>
      <c r="S1269" s="337">
        <v>14175</v>
      </c>
      <c r="T1269"/>
      <c r="U1269" s="3"/>
    </row>
    <row r="1270" spans="1:23">
      <c r="A1270" s="165" t="s">
        <v>5402</v>
      </c>
      <c r="B1270" s="94">
        <v>1260</v>
      </c>
      <c r="C1270" s="165" t="s">
        <v>5191</v>
      </c>
      <c r="D1270" s="165">
        <v>8</v>
      </c>
      <c r="E1270" s="165" t="s">
        <v>5413</v>
      </c>
      <c r="F1270" s="165" t="s">
        <v>5417</v>
      </c>
      <c r="G1270" s="165"/>
      <c r="H1270" s="165">
        <v>14175</v>
      </c>
      <c r="I1270" s="165"/>
      <c r="J1270" s="165"/>
      <c r="K1270" s="338"/>
      <c r="L1270" s="338">
        <v>14175</v>
      </c>
      <c r="M1270" s="165"/>
      <c r="N1270" s="165"/>
      <c r="O1270" s="337">
        <f t="shared" si="44"/>
        <v>0</v>
      </c>
      <c r="P1270" s="165" t="s">
        <v>9769</v>
      </c>
      <c r="Q1270" s="165" t="s">
        <v>9769</v>
      </c>
      <c r="R1270" s="3">
        <f t="shared" ref="R1270:R1279" si="46">H1270</f>
        <v>14175</v>
      </c>
      <c r="S1270" s="337">
        <v>14175</v>
      </c>
      <c r="T1270"/>
      <c r="U1270" s="3"/>
    </row>
    <row r="1271" spans="1:23">
      <c r="A1271" s="165" t="s">
        <v>4194</v>
      </c>
      <c r="B1271" s="94">
        <v>1261</v>
      </c>
      <c r="C1271" s="165" t="s">
        <v>4113</v>
      </c>
      <c r="D1271" s="165">
        <v>1</v>
      </c>
      <c r="E1271" s="165" t="s">
        <v>5452</v>
      </c>
      <c r="F1271" s="165" t="s">
        <v>4194</v>
      </c>
      <c r="G1271" s="165"/>
      <c r="H1271" s="165">
        <v>13230</v>
      </c>
      <c r="I1271" s="165"/>
      <c r="J1271" s="165"/>
      <c r="K1271" s="165">
        <v>13230</v>
      </c>
      <c r="L1271" s="165"/>
      <c r="M1271" s="165"/>
      <c r="N1271" s="165"/>
      <c r="O1271" s="337">
        <f t="shared" si="44"/>
        <v>0</v>
      </c>
      <c r="P1271" s="165" t="s">
        <v>5453</v>
      </c>
      <c r="Q1271" s="165" t="s">
        <v>5454</v>
      </c>
      <c r="R1271" s="3">
        <f t="shared" si="46"/>
        <v>13230</v>
      </c>
      <c r="S1271" s="337">
        <v>13230</v>
      </c>
      <c r="T1271"/>
      <c r="U1271" s="3"/>
    </row>
    <row r="1272" spans="1:23">
      <c r="A1272" s="165" t="s">
        <v>4194</v>
      </c>
      <c r="B1272" s="94">
        <v>1262</v>
      </c>
      <c r="C1272" s="165" t="s">
        <v>4113</v>
      </c>
      <c r="D1272" s="165">
        <v>2</v>
      </c>
      <c r="E1272" s="165" t="s">
        <v>5455</v>
      </c>
      <c r="F1272" s="165" t="s">
        <v>4226</v>
      </c>
      <c r="G1272" s="165"/>
      <c r="H1272" s="165">
        <v>13230</v>
      </c>
      <c r="I1272" s="165"/>
      <c r="J1272" s="165"/>
      <c r="K1272" s="338">
        <v>13230</v>
      </c>
      <c r="L1272" s="338"/>
      <c r="M1272" s="165"/>
      <c r="N1272" s="165"/>
      <c r="O1272" s="337">
        <f t="shared" si="44"/>
        <v>0</v>
      </c>
      <c r="P1272" s="165" t="s">
        <v>5500</v>
      </c>
      <c r="Q1272" s="165" t="s">
        <v>4226</v>
      </c>
      <c r="R1272" s="3">
        <f t="shared" si="46"/>
        <v>13230</v>
      </c>
      <c r="S1272" s="337">
        <v>13230</v>
      </c>
      <c r="T1272"/>
      <c r="U1272" s="3"/>
    </row>
    <row r="1273" spans="1:23">
      <c r="A1273" s="165" t="s">
        <v>4194</v>
      </c>
      <c r="B1273" s="94">
        <v>1263</v>
      </c>
      <c r="C1273" s="165" t="s">
        <v>4113</v>
      </c>
      <c r="D1273" s="165">
        <v>3</v>
      </c>
      <c r="E1273" s="165" t="s">
        <v>5456</v>
      </c>
      <c r="F1273" s="165" t="s">
        <v>5462</v>
      </c>
      <c r="G1273" s="165"/>
      <c r="H1273" s="165">
        <v>13230</v>
      </c>
      <c r="I1273" s="165"/>
      <c r="J1273" s="165"/>
      <c r="K1273" s="338">
        <v>13230</v>
      </c>
      <c r="L1273" s="338"/>
      <c r="M1273" s="165"/>
      <c r="N1273" s="165"/>
      <c r="O1273" s="337">
        <f t="shared" si="44"/>
        <v>0</v>
      </c>
      <c r="P1273" s="165" t="s">
        <v>5551</v>
      </c>
      <c r="Q1273" s="165" t="s">
        <v>4624</v>
      </c>
      <c r="R1273" s="3">
        <f t="shared" si="46"/>
        <v>13230</v>
      </c>
      <c r="S1273" s="337">
        <v>13230</v>
      </c>
      <c r="T1273"/>
      <c r="U1273" s="3"/>
    </row>
    <row r="1274" spans="1:23">
      <c r="A1274" s="165" t="s">
        <v>4194</v>
      </c>
      <c r="B1274" s="94">
        <v>1264</v>
      </c>
      <c r="C1274" s="165" t="s">
        <v>4113</v>
      </c>
      <c r="D1274" s="165">
        <v>4</v>
      </c>
      <c r="E1274" s="165" t="s">
        <v>5457</v>
      </c>
      <c r="F1274" s="165" t="s">
        <v>4625</v>
      </c>
      <c r="G1274" s="165"/>
      <c r="H1274" s="165">
        <v>13230</v>
      </c>
      <c r="I1274" s="165"/>
      <c r="J1274" s="165"/>
      <c r="K1274" s="338"/>
      <c r="L1274" s="338">
        <v>13230</v>
      </c>
      <c r="M1274" s="165"/>
      <c r="N1274" s="165"/>
      <c r="O1274" s="337">
        <f t="shared" si="44"/>
        <v>0</v>
      </c>
      <c r="P1274" s="165" t="s">
        <v>9632</v>
      </c>
      <c r="Q1274" s="165" t="s">
        <v>9632</v>
      </c>
      <c r="R1274" s="3">
        <f t="shared" si="46"/>
        <v>13230</v>
      </c>
      <c r="S1274" s="337">
        <v>13230</v>
      </c>
      <c r="T1274"/>
      <c r="U1274" s="3"/>
    </row>
    <row r="1275" spans="1:23">
      <c r="A1275" s="165" t="s">
        <v>4194</v>
      </c>
      <c r="B1275" s="94">
        <v>1265</v>
      </c>
      <c r="C1275" s="165" t="s">
        <v>4113</v>
      </c>
      <c r="D1275" s="165">
        <v>5</v>
      </c>
      <c r="E1275" s="165" t="s">
        <v>5458</v>
      </c>
      <c r="F1275" s="165" t="s">
        <v>5347</v>
      </c>
      <c r="G1275" s="165"/>
      <c r="H1275" s="165">
        <v>13230</v>
      </c>
      <c r="I1275" s="165"/>
      <c r="J1275" s="165"/>
      <c r="K1275" s="338"/>
      <c r="L1275" s="338">
        <v>13230</v>
      </c>
      <c r="M1275" s="165"/>
      <c r="N1275" s="165"/>
      <c r="O1275" s="337">
        <f t="shared" si="44"/>
        <v>0</v>
      </c>
      <c r="P1275" s="165" t="s">
        <v>9811</v>
      </c>
      <c r="Q1275" s="165" t="s">
        <v>9811</v>
      </c>
      <c r="R1275" s="3">
        <f t="shared" si="46"/>
        <v>13230</v>
      </c>
      <c r="S1275" s="337">
        <v>13230</v>
      </c>
      <c r="T1275"/>
      <c r="U1275" s="3"/>
    </row>
    <row r="1276" spans="1:23">
      <c r="A1276" s="165" t="s">
        <v>4194</v>
      </c>
      <c r="B1276" s="94">
        <v>1266</v>
      </c>
      <c r="C1276" s="165" t="s">
        <v>4113</v>
      </c>
      <c r="D1276" s="165">
        <v>6</v>
      </c>
      <c r="E1276" s="165" t="s">
        <v>5459</v>
      </c>
      <c r="F1276" s="165" t="s">
        <v>5348</v>
      </c>
      <c r="G1276" s="165"/>
      <c r="H1276" s="165">
        <v>13230</v>
      </c>
      <c r="I1276" s="165"/>
      <c r="J1276" s="165"/>
      <c r="K1276" s="338"/>
      <c r="L1276" s="338">
        <v>13230</v>
      </c>
      <c r="M1276" s="165"/>
      <c r="N1276" s="165"/>
      <c r="O1276" s="337">
        <f t="shared" si="44"/>
        <v>0</v>
      </c>
      <c r="P1276" s="165" t="s">
        <v>9812</v>
      </c>
      <c r="Q1276" s="165" t="s">
        <v>9812</v>
      </c>
      <c r="R1276" s="3">
        <f t="shared" si="46"/>
        <v>13230</v>
      </c>
      <c r="S1276" s="337">
        <v>13230</v>
      </c>
      <c r="T1276"/>
      <c r="U1276" s="3"/>
    </row>
    <row r="1277" spans="1:23">
      <c r="A1277" s="165" t="s">
        <v>4194</v>
      </c>
      <c r="B1277" s="94">
        <v>1267</v>
      </c>
      <c r="C1277" s="165" t="s">
        <v>4113</v>
      </c>
      <c r="D1277" s="165">
        <v>7</v>
      </c>
      <c r="E1277" s="165" t="s">
        <v>5460</v>
      </c>
      <c r="F1277" s="165" t="s">
        <v>5464</v>
      </c>
      <c r="G1277" s="165"/>
      <c r="H1277" s="165">
        <v>13230</v>
      </c>
      <c r="I1277" s="165"/>
      <c r="J1277" s="165"/>
      <c r="K1277" s="338"/>
      <c r="L1277" s="338">
        <v>13230</v>
      </c>
      <c r="M1277" s="165"/>
      <c r="N1277" s="165"/>
      <c r="O1277" s="337">
        <f t="shared" si="44"/>
        <v>0</v>
      </c>
      <c r="P1277" s="165" t="s">
        <v>9780</v>
      </c>
      <c r="Q1277" s="165" t="s">
        <v>9780</v>
      </c>
      <c r="R1277" s="3">
        <f t="shared" si="46"/>
        <v>13230</v>
      </c>
      <c r="S1277" s="337">
        <v>13230</v>
      </c>
      <c r="T1277"/>
      <c r="U1277" s="3"/>
    </row>
    <row r="1278" spans="1:23">
      <c r="A1278" s="165" t="s">
        <v>4194</v>
      </c>
      <c r="B1278" s="94">
        <v>1268</v>
      </c>
      <c r="C1278" s="165" t="s">
        <v>4113</v>
      </c>
      <c r="D1278" s="165">
        <v>8</v>
      </c>
      <c r="E1278" s="165" t="s">
        <v>5461</v>
      </c>
      <c r="F1278" s="165" t="s">
        <v>5463</v>
      </c>
      <c r="G1278" s="165"/>
      <c r="H1278" s="165">
        <v>13230</v>
      </c>
      <c r="I1278" s="165"/>
      <c r="J1278" s="165"/>
      <c r="K1278" s="338"/>
      <c r="L1278" s="338"/>
      <c r="M1278" s="165">
        <v>13230</v>
      </c>
      <c r="N1278" s="165"/>
      <c r="O1278" s="337">
        <f t="shared" si="44"/>
        <v>13230</v>
      </c>
      <c r="P1278" s="165"/>
      <c r="Q1278" s="165"/>
      <c r="R1278" s="3">
        <f t="shared" si="46"/>
        <v>13230</v>
      </c>
      <c r="S1278" s="337"/>
      <c r="T1278"/>
      <c r="U1278" s="3"/>
    </row>
    <row r="1279" spans="1:23">
      <c r="A1279" s="165" t="s">
        <v>5469</v>
      </c>
      <c r="B1279" s="94">
        <v>1269</v>
      </c>
      <c r="C1279" s="165" t="s">
        <v>5208</v>
      </c>
      <c r="D1279" s="165"/>
      <c r="E1279" s="165" t="s">
        <v>5470</v>
      </c>
      <c r="F1279" s="165" t="s">
        <v>5468</v>
      </c>
      <c r="G1279" s="165"/>
      <c r="H1279" s="165">
        <v>331800</v>
      </c>
      <c r="I1279" s="165"/>
      <c r="J1279" s="165"/>
      <c r="K1279" s="165">
        <v>331800</v>
      </c>
      <c r="L1279" s="165"/>
      <c r="M1279" s="165"/>
      <c r="N1279" s="165"/>
      <c r="O1279" s="337">
        <f t="shared" si="44"/>
        <v>0</v>
      </c>
      <c r="P1279" s="165" t="s">
        <v>5466</v>
      </c>
      <c r="Q1279" s="165" t="s">
        <v>5468</v>
      </c>
      <c r="R1279" s="3">
        <f t="shared" si="46"/>
        <v>331800</v>
      </c>
      <c r="S1279" s="165">
        <v>331800</v>
      </c>
      <c r="T1279"/>
      <c r="U1279" s="3"/>
      <c r="V1279" s="271" t="s">
        <v>2740</v>
      </c>
      <c r="W1279" t="s">
        <v>5471</v>
      </c>
    </row>
    <row r="1280" spans="1:23">
      <c r="A1280" s="165" t="s">
        <v>5469</v>
      </c>
      <c r="B1280" s="94">
        <v>1270</v>
      </c>
      <c r="C1280" s="165" t="s">
        <v>5208</v>
      </c>
      <c r="D1280" s="165">
        <v>1</v>
      </c>
      <c r="E1280" s="165" t="s">
        <v>5467</v>
      </c>
      <c r="F1280" s="165" t="s">
        <v>5468</v>
      </c>
      <c r="G1280" s="165"/>
      <c r="H1280" s="165">
        <v>20475</v>
      </c>
      <c r="I1280" s="165"/>
      <c r="J1280" s="165"/>
      <c r="K1280" s="165">
        <v>20475</v>
      </c>
      <c r="L1280" s="165"/>
      <c r="M1280" s="165"/>
      <c r="N1280" s="165"/>
      <c r="O1280" s="337">
        <f t="shared" si="44"/>
        <v>0</v>
      </c>
      <c r="P1280" s="165" t="s">
        <v>5466</v>
      </c>
      <c r="Q1280" s="165" t="s">
        <v>5468</v>
      </c>
      <c r="R1280" s="3">
        <f>H1280+G1280+I1280</f>
        <v>20475</v>
      </c>
      <c r="S1280" s="165">
        <v>20475</v>
      </c>
      <c r="T1280"/>
      <c r="U1280" s="3"/>
      <c r="V1280" s="271" t="s">
        <v>2740</v>
      </c>
    </row>
    <row r="1281" spans="1:22">
      <c r="A1281" s="165" t="s">
        <v>5469</v>
      </c>
      <c r="B1281" s="94">
        <v>1271</v>
      </c>
      <c r="C1281" s="165" t="s">
        <v>5208</v>
      </c>
      <c r="D1281" s="165">
        <v>2</v>
      </c>
      <c r="E1281" s="165" t="s">
        <v>5472</v>
      </c>
      <c r="F1281" s="165" t="s">
        <v>5479</v>
      </c>
      <c r="G1281" s="165"/>
      <c r="H1281" s="165">
        <v>20475</v>
      </c>
      <c r="I1281" s="165"/>
      <c r="J1281" s="165"/>
      <c r="K1281" s="165">
        <v>20475</v>
      </c>
      <c r="L1281" s="165"/>
      <c r="M1281" s="165"/>
      <c r="N1281" s="165"/>
      <c r="O1281" s="337">
        <f t="shared" si="44"/>
        <v>0</v>
      </c>
      <c r="P1281" s="165" t="s">
        <v>5504</v>
      </c>
      <c r="Q1281" s="165" t="s">
        <v>5479</v>
      </c>
      <c r="R1281" s="3">
        <f t="shared" ref="R1281:R1287" si="47">H1281+G1281+I1281</f>
        <v>20475</v>
      </c>
      <c r="S1281" s="165">
        <v>20475</v>
      </c>
      <c r="T1281"/>
      <c r="U1281" s="3"/>
      <c r="V1281" s="271" t="s">
        <v>2740</v>
      </c>
    </row>
    <row r="1282" spans="1:22">
      <c r="A1282" s="165" t="s">
        <v>5469</v>
      </c>
      <c r="B1282" s="94">
        <v>1272</v>
      </c>
      <c r="C1282" s="165" t="s">
        <v>5208</v>
      </c>
      <c r="D1282" s="165">
        <v>3</v>
      </c>
      <c r="E1282" s="165" t="s">
        <v>5473</v>
      </c>
      <c r="F1282" s="165" t="s">
        <v>5480</v>
      </c>
      <c r="G1282" s="165"/>
      <c r="H1282" s="165">
        <v>20475</v>
      </c>
      <c r="I1282" s="165"/>
      <c r="J1282" s="165"/>
      <c r="K1282" s="165">
        <v>20475</v>
      </c>
      <c r="L1282" s="165"/>
      <c r="M1282" s="165"/>
      <c r="N1282" s="165"/>
      <c r="O1282" s="337">
        <f t="shared" si="44"/>
        <v>0</v>
      </c>
      <c r="P1282" s="165" t="s">
        <v>5289</v>
      </c>
      <c r="Q1282" s="165" t="s">
        <v>5480</v>
      </c>
      <c r="R1282" s="3">
        <f t="shared" si="47"/>
        <v>20475</v>
      </c>
      <c r="S1282" s="165">
        <v>20475</v>
      </c>
      <c r="T1282"/>
      <c r="U1282" s="3"/>
      <c r="V1282" s="271" t="s">
        <v>2740</v>
      </c>
    </row>
    <row r="1283" spans="1:22">
      <c r="A1283" s="165" t="s">
        <v>5469</v>
      </c>
      <c r="B1283" s="94">
        <v>1273</v>
      </c>
      <c r="C1283" s="165" t="s">
        <v>5208</v>
      </c>
      <c r="D1283" s="165">
        <v>4</v>
      </c>
      <c r="E1283" s="165" t="s">
        <v>5474</v>
      </c>
      <c r="F1283" s="165" t="s">
        <v>5481</v>
      </c>
      <c r="G1283" s="165"/>
      <c r="H1283" s="165"/>
      <c r="I1283" s="165">
        <v>20475</v>
      </c>
      <c r="J1283" s="165"/>
      <c r="K1283" s="165"/>
      <c r="L1283" s="165">
        <v>20475</v>
      </c>
      <c r="M1283" s="165"/>
      <c r="N1283" s="165"/>
      <c r="O1283" s="337">
        <f t="shared" si="44"/>
        <v>0</v>
      </c>
      <c r="P1283" s="165" t="s">
        <v>9846</v>
      </c>
      <c r="Q1283" s="165" t="s">
        <v>9846</v>
      </c>
      <c r="R1283" s="3">
        <f t="shared" si="47"/>
        <v>20475</v>
      </c>
      <c r="S1283" s="165">
        <v>20475</v>
      </c>
      <c r="T1283"/>
      <c r="U1283" s="3"/>
      <c r="V1283" s="271" t="s">
        <v>2740</v>
      </c>
    </row>
    <row r="1284" spans="1:22">
      <c r="A1284" s="165" t="s">
        <v>5469</v>
      </c>
      <c r="B1284" s="94">
        <v>1274</v>
      </c>
      <c r="C1284" s="165" t="s">
        <v>5208</v>
      </c>
      <c r="D1284" s="165">
        <v>5</v>
      </c>
      <c r="E1284" s="165" t="s">
        <v>5475</v>
      </c>
      <c r="F1284" s="165" t="s">
        <v>5482</v>
      </c>
      <c r="G1284" s="165"/>
      <c r="H1284" s="165"/>
      <c r="I1284" s="165">
        <v>20475</v>
      </c>
      <c r="J1284" s="165"/>
      <c r="K1284" s="165"/>
      <c r="L1284" s="165">
        <v>20475</v>
      </c>
      <c r="M1284" s="165"/>
      <c r="N1284" s="165"/>
      <c r="O1284" s="337">
        <f t="shared" si="44"/>
        <v>0</v>
      </c>
      <c r="P1284" s="165" t="s">
        <v>9847</v>
      </c>
      <c r="Q1284" s="165" t="s">
        <v>9847</v>
      </c>
      <c r="R1284" s="3">
        <f t="shared" si="47"/>
        <v>20475</v>
      </c>
      <c r="S1284" s="165">
        <v>20475</v>
      </c>
      <c r="T1284"/>
      <c r="U1284" s="3"/>
      <c r="V1284" s="271" t="s">
        <v>2740</v>
      </c>
    </row>
    <row r="1285" spans="1:22">
      <c r="A1285" s="165" t="s">
        <v>5469</v>
      </c>
      <c r="B1285" s="94">
        <v>1275</v>
      </c>
      <c r="C1285" s="165" t="s">
        <v>5208</v>
      </c>
      <c r="D1285" s="165">
        <v>6</v>
      </c>
      <c r="E1285" s="165" t="s">
        <v>5476</v>
      </c>
      <c r="F1285" s="165" t="s">
        <v>5483</v>
      </c>
      <c r="G1285" s="165"/>
      <c r="H1285" s="165"/>
      <c r="I1285" s="165">
        <v>20475</v>
      </c>
      <c r="J1285" s="165"/>
      <c r="K1285" s="165"/>
      <c r="L1285" s="165">
        <v>20475</v>
      </c>
      <c r="M1285" s="165"/>
      <c r="N1285" s="165"/>
      <c r="O1285" s="337">
        <f t="shared" si="44"/>
        <v>0</v>
      </c>
      <c r="P1285" s="165" t="s">
        <v>9848</v>
      </c>
      <c r="Q1285" s="165" t="s">
        <v>9848</v>
      </c>
      <c r="R1285" s="3">
        <f t="shared" si="47"/>
        <v>20475</v>
      </c>
      <c r="S1285" s="165">
        <v>20475</v>
      </c>
      <c r="T1285"/>
      <c r="U1285" s="3"/>
      <c r="V1285" s="271" t="s">
        <v>2740</v>
      </c>
    </row>
    <row r="1286" spans="1:22">
      <c r="A1286" s="165" t="s">
        <v>5469</v>
      </c>
      <c r="B1286" s="94">
        <v>1276</v>
      </c>
      <c r="C1286" s="165" t="s">
        <v>5208</v>
      </c>
      <c r="D1286" s="165">
        <v>7</v>
      </c>
      <c r="E1286" s="165" t="s">
        <v>5477</v>
      </c>
      <c r="F1286" s="165" t="s">
        <v>5484</v>
      </c>
      <c r="G1286" s="165"/>
      <c r="H1286" s="165"/>
      <c r="I1286" s="165">
        <v>20475</v>
      </c>
      <c r="J1286" s="165"/>
      <c r="K1286" s="165"/>
      <c r="L1286" s="165">
        <v>20475</v>
      </c>
      <c r="M1286" s="165"/>
      <c r="N1286" s="165"/>
      <c r="O1286" s="337">
        <f t="shared" si="44"/>
        <v>0</v>
      </c>
      <c r="P1286" s="165" t="s">
        <v>9849</v>
      </c>
      <c r="Q1286" s="165" t="s">
        <v>9849</v>
      </c>
      <c r="R1286" s="3">
        <f t="shared" si="47"/>
        <v>20475</v>
      </c>
      <c r="S1286" s="165">
        <v>20475</v>
      </c>
      <c r="T1286"/>
      <c r="U1286" s="3"/>
      <c r="V1286" s="271" t="s">
        <v>2740</v>
      </c>
    </row>
    <row r="1287" spans="1:22">
      <c r="A1287" s="165" t="s">
        <v>5469</v>
      </c>
      <c r="B1287" s="94">
        <v>1277</v>
      </c>
      <c r="C1287" s="165" t="s">
        <v>5208</v>
      </c>
      <c r="D1287" s="165">
        <v>8</v>
      </c>
      <c r="E1287" s="165" t="s">
        <v>5478</v>
      </c>
      <c r="F1287" s="165" t="s">
        <v>5485</v>
      </c>
      <c r="G1287" s="165"/>
      <c r="H1287" s="165"/>
      <c r="I1287" s="165">
        <v>20475</v>
      </c>
      <c r="J1287" s="165"/>
      <c r="K1287" s="165"/>
      <c r="L1287" s="165"/>
      <c r="M1287" s="165">
        <v>20475</v>
      </c>
      <c r="N1287" s="165"/>
      <c r="O1287" s="337">
        <f t="shared" si="44"/>
        <v>20475</v>
      </c>
      <c r="P1287" s="165"/>
      <c r="Q1287" s="165"/>
      <c r="R1287" s="3">
        <f t="shared" si="47"/>
        <v>20475</v>
      </c>
      <c r="S1287" s="7"/>
      <c r="T1287"/>
      <c r="U1287" s="3"/>
      <c r="V1287" s="271" t="s">
        <v>2740</v>
      </c>
    </row>
    <row r="1288" spans="1:22">
      <c r="A1288" s="165" t="s">
        <v>5497</v>
      </c>
      <c r="B1288" s="94">
        <v>1278</v>
      </c>
      <c r="C1288" s="165" t="s">
        <v>1232</v>
      </c>
      <c r="D1288" s="165">
        <v>1</v>
      </c>
      <c r="E1288" s="165" t="s">
        <v>5498</v>
      </c>
      <c r="F1288" s="165" t="s">
        <v>5303</v>
      </c>
      <c r="G1288" s="165"/>
      <c r="H1288" s="165">
        <v>16380</v>
      </c>
      <c r="I1288" s="165"/>
      <c r="J1288" s="165"/>
      <c r="K1288" s="165">
        <v>16380</v>
      </c>
      <c r="L1288" s="165"/>
      <c r="M1288" s="165"/>
      <c r="N1288" s="165"/>
      <c r="O1288" s="337">
        <f t="shared" si="44"/>
        <v>0</v>
      </c>
      <c r="P1288" s="165" t="s">
        <v>5488</v>
      </c>
      <c r="Q1288" s="165" t="s">
        <v>5303</v>
      </c>
      <c r="R1288" s="3">
        <f t="shared" ref="R1288:R1304" si="48">H1288</f>
        <v>16380</v>
      </c>
      <c r="S1288" s="337">
        <v>16380</v>
      </c>
      <c r="T1288" s="337"/>
      <c r="U1288" s="3"/>
    </row>
    <row r="1289" spans="1:22">
      <c r="A1289" s="165" t="s">
        <v>5486</v>
      </c>
      <c r="B1289" s="94">
        <v>1279</v>
      </c>
      <c r="C1289" s="165" t="s">
        <v>906</v>
      </c>
      <c r="D1289" s="165">
        <v>1</v>
      </c>
      <c r="E1289" s="165" t="s">
        <v>5487</v>
      </c>
      <c r="F1289" s="165" t="s">
        <v>5468</v>
      </c>
      <c r="G1289" s="165"/>
      <c r="H1289" s="165">
        <v>14175</v>
      </c>
      <c r="I1289" s="165"/>
      <c r="J1289" s="165"/>
      <c r="K1289" s="165">
        <v>14175</v>
      </c>
      <c r="L1289" s="165"/>
      <c r="M1289" s="165"/>
      <c r="N1289" s="165"/>
      <c r="O1289" s="337">
        <f t="shared" si="44"/>
        <v>0</v>
      </c>
      <c r="P1289" s="165" t="s">
        <v>5488</v>
      </c>
      <c r="Q1289" s="165" t="s">
        <v>5489</v>
      </c>
      <c r="R1289" s="3">
        <f t="shared" si="48"/>
        <v>14175</v>
      </c>
      <c r="S1289" s="337">
        <v>14175</v>
      </c>
      <c r="T1289"/>
      <c r="U1289" s="3"/>
    </row>
    <row r="1290" spans="1:22">
      <c r="A1290" s="165" t="s">
        <v>5486</v>
      </c>
      <c r="B1290" s="94">
        <v>1280</v>
      </c>
      <c r="C1290" s="165" t="s">
        <v>906</v>
      </c>
      <c r="D1290" s="165">
        <v>2</v>
      </c>
      <c r="E1290" s="165" t="s">
        <v>5490</v>
      </c>
      <c r="F1290" s="165" t="s">
        <v>5479</v>
      </c>
      <c r="G1290" s="165"/>
      <c r="H1290" s="165">
        <v>14175</v>
      </c>
      <c r="I1290" s="165"/>
      <c r="J1290" s="165"/>
      <c r="K1290" s="338">
        <v>14175</v>
      </c>
      <c r="L1290" s="338"/>
      <c r="M1290" s="165"/>
      <c r="N1290" s="165"/>
      <c r="O1290" s="337">
        <f t="shared" si="44"/>
        <v>0</v>
      </c>
      <c r="P1290" s="165" t="s">
        <v>5504</v>
      </c>
      <c r="Q1290" s="165" t="s">
        <v>5479</v>
      </c>
      <c r="R1290" s="3">
        <f t="shared" si="48"/>
        <v>14175</v>
      </c>
      <c r="S1290" s="337">
        <v>14175</v>
      </c>
      <c r="T1290"/>
      <c r="U1290" s="3"/>
    </row>
    <row r="1291" spans="1:22">
      <c r="A1291" s="165" t="s">
        <v>5486</v>
      </c>
      <c r="B1291" s="94">
        <v>1281</v>
      </c>
      <c r="C1291" s="165" t="s">
        <v>906</v>
      </c>
      <c r="D1291" s="165">
        <v>3</v>
      </c>
      <c r="E1291" s="165" t="s">
        <v>5491</v>
      </c>
      <c r="F1291" s="165" t="s">
        <v>5480</v>
      </c>
      <c r="G1291" s="165"/>
      <c r="H1291" s="165">
        <v>14175</v>
      </c>
      <c r="I1291" s="165"/>
      <c r="J1291" s="165"/>
      <c r="K1291" s="338">
        <v>14175</v>
      </c>
      <c r="L1291" s="338"/>
      <c r="M1291" s="165"/>
      <c r="N1291" s="165"/>
      <c r="O1291" s="337">
        <f t="shared" si="44"/>
        <v>0</v>
      </c>
      <c r="P1291" s="165" t="s">
        <v>5289</v>
      </c>
      <c r="Q1291" s="165" t="s">
        <v>5480</v>
      </c>
      <c r="R1291" s="3">
        <f t="shared" si="48"/>
        <v>14175</v>
      </c>
      <c r="S1291" s="337">
        <v>14175</v>
      </c>
      <c r="T1291"/>
      <c r="U1291" s="3"/>
    </row>
    <row r="1292" spans="1:22">
      <c r="A1292" s="165" t="s">
        <v>5486</v>
      </c>
      <c r="B1292" s="94">
        <v>1282</v>
      </c>
      <c r="C1292" s="165" t="s">
        <v>906</v>
      </c>
      <c r="D1292" s="165">
        <v>4</v>
      </c>
      <c r="E1292" s="165" t="s">
        <v>5492</v>
      </c>
      <c r="F1292" s="165" t="s">
        <v>5481</v>
      </c>
      <c r="G1292" s="165"/>
      <c r="H1292" s="165">
        <v>14175</v>
      </c>
      <c r="I1292" s="165"/>
      <c r="J1292" s="165"/>
      <c r="K1292" s="338"/>
      <c r="L1292" s="338">
        <v>14175</v>
      </c>
      <c r="M1292" s="165"/>
      <c r="N1292" s="165"/>
      <c r="O1292" s="337">
        <f t="shared" ref="O1292:O1349" si="49">G1292+H1292+I1292-J1292-K1292-L1292</f>
        <v>0</v>
      </c>
      <c r="P1292" s="165" t="s">
        <v>9846</v>
      </c>
      <c r="Q1292" s="165" t="s">
        <v>9846</v>
      </c>
      <c r="R1292" s="3">
        <f t="shared" si="48"/>
        <v>14175</v>
      </c>
      <c r="S1292" s="337">
        <v>14175</v>
      </c>
      <c r="T1292"/>
      <c r="U1292" s="3"/>
    </row>
    <row r="1293" spans="1:22">
      <c r="A1293" s="165" t="s">
        <v>5486</v>
      </c>
      <c r="B1293" s="94">
        <v>1283</v>
      </c>
      <c r="C1293" s="165" t="s">
        <v>906</v>
      </c>
      <c r="D1293" s="165">
        <v>5</v>
      </c>
      <c r="E1293" s="165" t="s">
        <v>5493</v>
      </c>
      <c r="F1293" s="165" t="s">
        <v>5482</v>
      </c>
      <c r="G1293" s="165"/>
      <c r="H1293" s="165">
        <v>14175</v>
      </c>
      <c r="I1293" s="165"/>
      <c r="J1293" s="165"/>
      <c r="K1293" s="338"/>
      <c r="L1293" s="338">
        <v>14175</v>
      </c>
      <c r="M1293" s="165"/>
      <c r="N1293" s="165"/>
      <c r="O1293" s="337">
        <f t="shared" si="49"/>
        <v>0</v>
      </c>
      <c r="P1293" s="165" t="s">
        <v>9847</v>
      </c>
      <c r="Q1293" s="165" t="s">
        <v>9847</v>
      </c>
      <c r="R1293" s="3">
        <f t="shared" si="48"/>
        <v>14175</v>
      </c>
      <c r="S1293" s="337">
        <v>14175</v>
      </c>
      <c r="T1293"/>
      <c r="U1293" s="3"/>
    </row>
    <row r="1294" spans="1:22">
      <c r="A1294" s="165" t="s">
        <v>5486</v>
      </c>
      <c r="B1294" s="94">
        <v>1284</v>
      </c>
      <c r="C1294" s="165" t="s">
        <v>906</v>
      </c>
      <c r="D1294" s="165">
        <v>6</v>
      </c>
      <c r="E1294" s="165" t="s">
        <v>5494</v>
      </c>
      <c r="F1294" s="165" t="s">
        <v>5483</v>
      </c>
      <c r="G1294" s="165"/>
      <c r="H1294" s="165">
        <v>14175</v>
      </c>
      <c r="I1294" s="165"/>
      <c r="J1294" s="165"/>
      <c r="K1294" s="338"/>
      <c r="L1294" s="338">
        <v>14175</v>
      </c>
      <c r="M1294" s="165"/>
      <c r="N1294" s="165"/>
      <c r="O1294" s="337">
        <f t="shared" si="49"/>
        <v>0</v>
      </c>
      <c r="P1294" s="165" t="s">
        <v>9848</v>
      </c>
      <c r="Q1294" s="165" t="s">
        <v>9848</v>
      </c>
      <c r="R1294" s="3">
        <f t="shared" si="48"/>
        <v>14175</v>
      </c>
      <c r="S1294" s="337">
        <v>14175</v>
      </c>
      <c r="T1294"/>
      <c r="U1294" s="3"/>
    </row>
    <row r="1295" spans="1:22">
      <c r="A1295" s="165" t="s">
        <v>5486</v>
      </c>
      <c r="B1295" s="94">
        <v>1285</v>
      </c>
      <c r="C1295" s="165" t="s">
        <v>906</v>
      </c>
      <c r="D1295" s="165">
        <v>7</v>
      </c>
      <c r="E1295" s="165" t="s">
        <v>5495</v>
      </c>
      <c r="F1295" s="165" t="s">
        <v>5484</v>
      </c>
      <c r="G1295" s="165"/>
      <c r="H1295" s="165">
        <v>14175</v>
      </c>
      <c r="I1295" s="165"/>
      <c r="J1295" s="165"/>
      <c r="K1295" s="338"/>
      <c r="L1295" s="338">
        <v>14175</v>
      </c>
      <c r="M1295" s="165"/>
      <c r="N1295" s="165"/>
      <c r="O1295" s="337">
        <f t="shared" si="49"/>
        <v>0</v>
      </c>
      <c r="P1295" s="165" t="s">
        <v>9849</v>
      </c>
      <c r="Q1295" s="165" t="s">
        <v>9849</v>
      </c>
      <c r="R1295" s="3">
        <f t="shared" si="48"/>
        <v>14175</v>
      </c>
      <c r="S1295" s="337">
        <v>14175</v>
      </c>
      <c r="T1295"/>
      <c r="U1295" s="3"/>
    </row>
    <row r="1296" spans="1:22">
      <c r="A1296" s="165" t="s">
        <v>5486</v>
      </c>
      <c r="B1296" s="94">
        <v>1286</v>
      </c>
      <c r="C1296" s="165" t="s">
        <v>906</v>
      </c>
      <c r="D1296" s="165">
        <v>8</v>
      </c>
      <c r="E1296" s="165" t="s">
        <v>5496</v>
      </c>
      <c r="F1296" s="165" t="s">
        <v>5485</v>
      </c>
      <c r="G1296" s="165"/>
      <c r="H1296" s="165">
        <v>14175</v>
      </c>
      <c r="I1296" s="165"/>
      <c r="J1296" s="165"/>
      <c r="K1296" s="338"/>
      <c r="L1296" s="338"/>
      <c r="M1296" s="165">
        <v>14175</v>
      </c>
      <c r="N1296" s="165"/>
      <c r="O1296" s="337">
        <f t="shared" si="49"/>
        <v>14175</v>
      </c>
      <c r="P1296" s="165"/>
      <c r="Q1296" s="165"/>
      <c r="R1296" s="3">
        <f t="shared" si="48"/>
        <v>14175</v>
      </c>
      <c r="S1296" s="337"/>
      <c r="T1296"/>
      <c r="U1296" s="3"/>
    </row>
    <row r="1297" spans="1:22">
      <c r="A1297" s="165" t="s">
        <v>5375</v>
      </c>
      <c r="B1297" s="94">
        <v>1287</v>
      </c>
      <c r="C1297" s="165" t="s">
        <v>4149</v>
      </c>
      <c r="D1297" s="165">
        <v>1</v>
      </c>
      <c r="E1297" s="165" t="s">
        <v>5522</v>
      </c>
      <c r="F1297" s="165" t="s">
        <v>4226</v>
      </c>
      <c r="G1297" s="165"/>
      <c r="H1297" s="165">
        <v>14175</v>
      </c>
      <c r="I1297" s="165"/>
      <c r="J1297" s="165"/>
      <c r="K1297" s="165">
        <v>14175</v>
      </c>
      <c r="L1297" s="165"/>
      <c r="M1297" s="165"/>
      <c r="N1297" s="165"/>
      <c r="O1297" s="337">
        <f t="shared" si="49"/>
        <v>0</v>
      </c>
      <c r="P1297" s="165" t="s">
        <v>5504</v>
      </c>
      <c r="Q1297" s="165" t="s">
        <v>5505</v>
      </c>
      <c r="R1297" s="3">
        <f t="shared" si="48"/>
        <v>14175</v>
      </c>
      <c r="S1297" s="337">
        <v>14175</v>
      </c>
      <c r="T1297"/>
      <c r="U1297" s="3"/>
    </row>
    <row r="1298" spans="1:22">
      <c r="A1298" s="165" t="s">
        <v>5375</v>
      </c>
      <c r="B1298" s="94">
        <v>1288</v>
      </c>
      <c r="C1298" s="165" t="s">
        <v>4149</v>
      </c>
      <c r="D1298" s="165">
        <v>2</v>
      </c>
      <c r="E1298" s="165" t="s">
        <v>5523</v>
      </c>
      <c r="F1298" s="165" t="s">
        <v>4624</v>
      </c>
      <c r="G1298" s="165"/>
      <c r="H1298" s="165">
        <v>14175</v>
      </c>
      <c r="I1298" s="165"/>
      <c r="J1298" s="165"/>
      <c r="K1298" s="338">
        <v>14175</v>
      </c>
      <c r="L1298" s="338"/>
      <c r="M1298" s="165"/>
      <c r="N1298" s="165"/>
      <c r="O1298" s="337">
        <f t="shared" si="49"/>
        <v>0</v>
      </c>
      <c r="P1298" s="165" t="s">
        <v>5551</v>
      </c>
      <c r="Q1298" s="165" t="s">
        <v>4624</v>
      </c>
      <c r="R1298" s="3">
        <f t="shared" si="48"/>
        <v>14175</v>
      </c>
      <c r="S1298" s="337">
        <v>14175</v>
      </c>
      <c r="T1298"/>
      <c r="U1298" s="3"/>
    </row>
    <row r="1299" spans="1:22">
      <c r="A1299" s="165" t="s">
        <v>5375</v>
      </c>
      <c r="B1299" s="94">
        <v>1289</v>
      </c>
      <c r="C1299" s="165" t="s">
        <v>4149</v>
      </c>
      <c r="D1299" s="165">
        <v>3</v>
      </c>
      <c r="E1299" s="165" t="s">
        <v>5524</v>
      </c>
      <c r="F1299" s="165" t="s">
        <v>4625</v>
      </c>
      <c r="G1299" s="165"/>
      <c r="H1299" s="165">
        <v>14175</v>
      </c>
      <c r="I1299" s="165"/>
      <c r="J1299" s="165"/>
      <c r="K1299" s="338"/>
      <c r="L1299" s="338">
        <v>14175</v>
      </c>
      <c r="M1299" s="165"/>
      <c r="N1299" s="165"/>
      <c r="O1299" s="337">
        <f t="shared" si="49"/>
        <v>0</v>
      </c>
      <c r="P1299" s="165" t="s">
        <v>9632</v>
      </c>
      <c r="Q1299" s="165" t="s">
        <v>9632</v>
      </c>
      <c r="R1299" s="3">
        <f t="shared" si="48"/>
        <v>14175</v>
      </c>
      <c r="S1299" s="337">
        <v>14175</v>
      </c>
      <c r="T1299"/>
      <c r="U1299" s="3"/>
    </row>
    <row r="1300" spans="1:22">
      <c r="A1300" s="165" t="s">
        <v>5375</v>
      </c>
      <c r="B1300" s="94">
        <v>1290</v>
      </c>
      <c r="C1300" s="165" t="s">
        <v>4149</v>
      </c>
      <c r="D1300" s="165">
        <v>4</v>
      </c>
      <c r="E1300" s="165" t="s">
        <v>5525</v>
      </c>
      <c r="F1300" s="165" t="s">
        <v>5347</v>
      </c>
      <c r="G1300" s="165"/>
      <c r="H1300" s="165">
        <v>14175</v>
      </c>
      <c r="I1300" s="165"/>
      <c r="J1300" s="165"/>
      <c r="K1300" s="338"/>
      <c r="L1300" s="338">
        <v>14175</v>
      </c>
      <c r="M1300" s="165"/>
      <c r="N1300" s="165"/>
      <c r="O1300" s="337">
        <f t="shared" si="49"/>
        <v>0</v>
      </c>
      <c r="P1300" s="165" t="s">
        <v>9811</v>
      </c>
      <c r="Q1300" s="165" t="s">
        <v>9811</v>
      </c>
      <c r="R1300" s="3">
        <f t="shared" si="48"/>
        <v>14175</v>
      </c>
      <c r="S1300" s="337">
        <v>14175</v>
      </c>
      <c r="T1300"/>
      <c r="U1300" s="3"/>
    </row>
    <row r="1301" spans="1:22">
      <c r="A1301" s="165" t="s">
        <v>5375</v>
      </c>
      <c r="B1301" s="94">
        <v>1291</v>
      </c>
      <c r="C1301" s="165" t="s">
        <v>4149</v>
      </c>
      <c r="D1301" s="165">
        <v>5</v>
      </c>
      <c r="E1301" s="165" t="s">
        <v>5526</v>
      </c>
      <c r="F1301" s="165" t="s">
        <v>5348</v>
      </c>
      <c r="G1301" s="165"/>
      <c r="H1301" s="165">
        <v>14175</v>
      </c>
      <c r="I1301" s="165"/>
      <c r="J1301" s="165"/>
      <c r="K1301" s="338"/>
      <c r="L1301" s="338">
        <v>14175</v>
      </c>
      <c r="M1301" s="165"/>
      <c r="N1301" s="165"/>
      <c r="O1301" s="337">
        <f t="shared" si="49"/>
        <v>0</v>
      </c>
      <c r="P1301" s="165" t="s">
        <v>9812</v>
      </c>
      <c r="Q1301" s="165" t="s">
        <v>9812</v>
      </c>
      <c r="R1301" s="3">
        <f t="shared" si="48"/>
        <v>14175</v>
      </c>
      <c r="S1301" s="337">
        <v>14175</v>
      </c>
      <c r="T1301"/>
      <c r="U1301" s="3"/>
    </row>
    <row r="1302" spans="1:22">
      <c r="A1302" s="165" t="s">
        <v>5375</v>
      </c>
      <c r="B1302" s="94">
        <v>1292</v>
      </c>
      <c r="C1302" s="165" t="s">
        <v>4149</v>
      </c>
      <c r="D1302" s="165">
        <v>6</v>
      </c>
      <c r="E1302" s="165" t="s">
        <v>5527</v>
      </c>
      <c r="F1302" s="165" t="s">
        <v>5349</v>
      </c>
      <c r="G1302" s="165"/>
      <c r="H1302" s="165">
        <v>14175</v>
      </c>
      <c r="I1302" s="165"/>
      <c r="J1302" s="165"/>
      <c r="K1302" s="338"/>
      <c r="L1302" s="338">
        <v>14175</v>
      </c>
      <c r="M1302" s="165"/>
      <c r="N1302" s="165"/>
      <c r="O1302" s="337">
        <f t="shared" si="49"/>
        <v>0</v>
      </c>
      <c r="P1302" s="165" t="s">
        <v>9780</v>
      </c>
      <c r="Q1302" s="165" t="s">
        <v>9780</v>
      </c>
      <c r="R1302" s="3">
        <f t="shared" si="48"/>
        <v>14175</v>
      </c>
      <c r="S1302" s="337">
        <v>14175</v>
      </c>
      <c r="T1302"/>
      <c r="U1302" s="3"/>
    </row>
    <row r="1303" spans="1:22">
      <c r="A1303" s="165" t="s">
        <v>5375</v>
      </c>
      <c r="B1303" s="94">
        <v>1293</v>
      </c>
      <c r="C1303" s="165" t="s">
        <v>4149</v>
      </c>
      <c r="D1303" s="165">
        <v>7</v>
      </c>
      <c r="E1303" s="165" t="s">
        <v>5528</v>
      </c>
      <c r="F1303" s="165" t="s">
        <v>5463</v>
      </c>
      <c r="G1303" s="165"/>
      <c r="H1303" s="165">
        <v>14175</v>
      </c>
      <c r="I1303" s="165"/>
      <c r="J1303" s="165"/>
      <c r="K1303" s="338"/>
      <c r="L1303" s="338"/>
      <c r="M1303" s="165">
        <v>14175</v>
      </c>
      <c r="N1303" s="165"/>
      <c r="O1303" s="337">
        <f t="shared" si="49"/>
        <v>14175</v>
      </c>
      <c r="P1303" s="165"/>
      <c r="Q1303" s="165"/>
      <c r="R1303" s="3">
        <f t="shared" si="48"/>
        <v>14175</v>
      </c>
      <c r="S1303" s="337"/>
      <c r="T1303"/>
      <c r="U1303" s="3"/>
    </row>
    <row r="1304" spans="1:22">
      <c r="A1304" s="165" t="s">
        <v>5375</v>
      </c>
      <c r="B1304" s="94">
        <v>1294</v>
      </c>
      <c r="C1304" s="165" t="s">
        <v>4149</v>
      </c>
      <c r="D1304" s="165">
        <v>8</v>
      </c>
      <c r="E1304" s="165" t="s">
        <v>5529</v>
      </c>
      <c r="F1304" s="165" t="s">
        <v>5530</v>
      </c>
      <c r="G1304" s="165"/>
      <c r="H1304" s="165">
        <v>14175</v>
      </c>
      <c r="I1304" s="165"/>
      <c r="J1304" s="165"/>
      <c r="K1304" s="338"/>
      <c r="L1304" s="338"/>
      <c r="M1304" s="165">
        <v>14175</v>
      </c>
      <c r="N1304" s="165"/>
      <c r="O1304" s="337">
        <f t="shared" si="49"/>
        <v>14175</v>
      </c>
      <c r="P1304" s="165"/>
      <c r="Q1304" s="165"/>
      <c r="R1304" s="3">
        <f t="shared" si="48"/>
        <v>14175</v>
      </c>
      <c r="S1304" s="337"/>
      <c r="T1304"/>
      <c r="U1304" s="3"/>
    </row>
    <row r="1305" spans="1:22">
      <c r="A1305" s="565" t="s">
        <v>4735</v>
      </c>
      <c r="B1305" s="94">
        <v>1295</v>
      </c>
      <c r="C1305" s="565" t="s">
        <v>4182</v>
      </c>
      <c r="D1305" s="565">
        <v>1</v>
      </c>
      <c r="E1305" s="565" t="s">
        <v>5581</v>
      </c>
      <c r="F1305" s="565" t="s">
        <v>5343</v>
      </c>
      <c r="G1305" s="565"/>
      <c r="H1305" s="565">
        <v>11970</v>
      </c>
      <c r="I1305" s="565"/>
      <c r="J1305" s="565"/>
      <c r="K1305" s="565"/>
      <c r="L1305" s="565">
        <v>11970</v>
      </c>
      <c r="M1305" s="565"/>
      <c r="N1305" s="565"/>
      <c r="O1305" s="337">
        <f t="shared" si="49"/>
        <v>0</v>
      </c>
      <c r="P1305" s="565" t="s">
        <v>9667</v>
      </c>
      <c r="Q1305" s="565" t="s">
        <v>9667</v>
      </c>
      <c r="R1305" s="629">
        <v>11970</v>
      </c>
      <c r="S1305">
        <v>11970</v>
      </c>
      <c r="T1305"/>
      <c r="U1305" s="3"/>
      <c r="V1305" s="271" t="s">
        <v>5545</v>
      </c>
    </row>
    <row r="1306" spans="1:22">
      <c r="A1306" s="336" t="s">
        <v>4735</v>
      </c>
      <c r="B1306" s="94">
        <v>1296</v>
      </c>
      <c r="C1306" s="336" t="s">
        <v>4182</v>
      </c>
      <c r="D1306" s="336">
        <v>2</v>
      </c>
      <c r="E1306" s="336" t="s">
        <v>5582</v>
      </c>
      <c r="F1306" s="336" t="s">
        <v>5588</v>
      </c>
      <c r="G1306" s="336"/>
      <c r="H1306" s="336">
        <v>11970</v>
      </c>
      <c r="I1306" s="336"/>
      <c r="J1306" s="336"/>
      <c r="K1306" s="336"/>
      <c r="L1306" s="336">
        <v>11970</v>
      </c>
      <c r="M1306" s="336"/>
      <c r="N1306" s="336"/>
      <c r="O1306" s="337">
        <f t="shared" si="49"/>
        <v>0</v>
      </c>
      <c r="P1306" s="336" t="s">
        <v>9628</v>
      </c>
      <c r="Q1306" s="336" t="s">
        <v>9628</v>
      </c>
      <c r="R1306" s="583">
        <v>11970</v>
      </c>
      <c r="S1306">
        <v>11970</v>
      </c>
      <c r="T1306"/>
      <c r="U1306" s="3"/>
      <c r="V1306" s="271"/>
    </row>
    <row r="1307" spans="1:22">
      <c r="A1307" s="336" t="s">
        <v>4735</v>
      </c>
      <c r="B1307" s="94">
        <v>1297</v>
      </c>
      <c r="C1307" s="336" t="s">
        <v>4182</v>
      </c>
      <c r="D1307" s="336">
        <v>3</v>
      </c>
      <c r="E1307" s="336" t="s">
        <v>5583</v>
      </c>
      <c r="F1307" s="336" t="s">
        <v>5344</v>
      </c>
      <c r="G1307" s="336"/>
      <c r="H1307" s="336">
        <v>11970</v>
      </c>
      <c r="I1307" s="336"/>
      <c r="J1307" s="336"/>
      <c r="K1307" s="336"/>
      <c r="L1307" s="336">
        <v>11970</v>
      </c>
      <c r="M1307" s="336"/>
      <c r="N1307" s="336"/>
      <c r="O1307" s="337">
        <f t="shared" si="49"/>
        <v>0</v>
      </c>
      <c r="P1307" s="336" t="s">
        <v>9666</v>
      </c>
      <c r="Q1307" s="336" t="s">
        <v>9666</v>
      </c>
      <c r="R1307" s="583">
        <v>11970</v>
      </c>
      <c r="S1307">
        <v>11970</v>
      </c>
      <c r="T1307"/>
      <c r="U1307" s="3"/>
      <c r="V1307" s="271"/>
    </row>
    <row r="1308" spans="1:22">
      <c r="A1308" s="336" t="s">
        <v>4735</v>
      </c>
      <c r="B1308" s="94">
        <v>1298</v>
      </c>
      <c r="C1308" s="336" t="s">
        <v>4182</v>
      </c>
      <c r="D1308" s="336">
        <v>4</v>
      </c>
      <c r="E1308" s="336" t="s">
        <v>5584</v>
      </c>
      <c r="F1308" s="336" t="s">
        <v>5589</v>
      </c>
      <c r="G1308" s="336"/>
      <c r="H1308" s="336">
        <v>11970</v>
      </c>
      <c r="I1308" s="336"/>
      <c r="J1308" s="336"/>
      <c r="K1308" s="336"/>
      <c r="L1308" s="336">
        <v>11970</v>
      </c>
      <c r="M1308" s="336"/>
      <c r="N1308" s="336"/>
      <c r="O1308" s="337">
        <f t="shared" si="49"/>
        <v>0</v>
      </c>
      <c r="P1308" s="336" t="s">
        <v>9636</v>
      </c>
      <c r="Q1308" s="336" t="s">
        <v>9636</v>
      </c>
      <c r="R1308" s="583">
        <v>11970</v>
      </c>
      <c r="S1308">
        <v>11970</v>
      </c>
      <c r="T1308"/>
      <c r="U1308" s="3"/>
      <c r="V1308" s="271"/>
    </row>
    <row r="1309" spans="1:22">
      <c r="A1309" s="565" t="s">
        <v>4735</v>
      </c>
      <c r="B1309" s="94">
        <v>1299</v>
      </c>
      <c r="C1309" s="565" t="s">
        <v>4182</v>
      </c>
      <c r="D1309" s="565">
        <v>5</v>
      </c>
      <c r="E1309" s="565" t="s">
        <v>5544</v>
      </c>
      <c r="F1309" s="565" t="s">
        <v>5345</v>
      </c>
      <c r="G1309" s="565"/>
      <c r="H1309" s="565">
        <v>11970</v>
      </c>
      <c r="I1309" s="565"/>
      <c r="J1309" s="565"/>
      <c r="K1309" s="565"/>
      <c r="L1309" s="565">
        <v>11970</v>
      </c>
      <c r="M1309" s="565"/>
      <c r="N1309" s="565"/>
      <c r="O1309" s="337">
        <f t="shared" si="49"/>
        <v>0</v>
      </c>
      <c r="P1309" s="565" t="s">
        <v>5504</v>
      </c>
      <c r="Q1309" s="565" t="s">
        <v>9653</v>
      </c>
      <c r="R1309" s="629">
        <v>11970</v>
      </c>
      <c r="S1309">
        <v>11970</v>
      </c>
      <c r="T1309"/>
      <c r="U1309" s="3"/>
      <c r="V1309" s="271" t="s">
        <v>5545</v>
      </c>
    </row>
    <row r="1310" spans="1:22">
      <c r="A1310" s="336" t="s">
        <v>4735</v>
      </c>
      <c r="B1310" s="94">
        <v>1300</v>
      </c>
      <c r="C1310" s="336" t="s">
        <v>4182</v>
      </c>
      <c r="D1310" s="336">
        <v>6</v>
      </c>
      <c r="E1310" s="336" t="s">
        <v>5585</v>
      </c>
      <c r="F1310" s="336" t="s">
        <v>5346</v>
      </c>
      <c r="G1310" s="336"/>
      <c r="H1310" s="336">
        <v>11970</v>
      </c>
      <c r="I1310" s="336"/>
      <c r="J1310" s="336"/>
      <c r="K1310" s="336"/>
      <c r="L1310" s="336"/>
      <c r="M1310" s="336">
        <v>11970</v>
      </c>
      <c r="N1310" s="336"/>
      <c r="O1310" s="337">
        <f t="shared" si="49"/>
        <v>11970</v>
      </c>
      <c r="P1310" s="336"/>
      <c r="Q1310" s="336"/>
      <c r="R1310" s="583">
        <v>11970</v>
      </c>
      <c r="T1310"/>
      <c r="U1310" s="3"/>
      <c r="V1310" s="271"/>
    </row>
    <row r="1311" spans="1:22">
      <c r="A1311" s="336" t="s">
        <v>4735</v>
      </c>
      <c r="B1311" s="94">
        <v>1301</v>
      </c>
      <c r="C1311" s="336" t="s">
        <v>4182</v>
      </c>
      <c r="D1311" s="336">
        <v>7</v>
      </c>
      <c r="E1311" s="336" t="s">
        <v>5586</v>
      </c>
      <c r="F1311" s="336" t="s">
        <v>5590</v>
      </c>
      <c r="G1311" s="336"/>
      <c r="H1311" s="336">
        <v>11970</v>
      </c>
      <c r="I1311" s="336"/>
      <c r="J1311" s="336"/>
      <c r="K1311" s="336"/>
      <c r="L1311" s="336"/>
      <c r="M1311" s="336">
        <v>11970</v>
      </c>
      <c r="N1311" s="336"/>
      <c r="O1311" s="337">
        <f t="shared" si="49"/>
        <v>11970</v>
      </c>
      <c r="P1311" s="336"/>
      <c r="Q1311" s="336"/>
      <c r="R1311" s="583">
        <v>11970</v>
      </c>
      <c r="T1311"/>
      <c r="U1311" s="3"/>
      <c r="V1311" s="271"/>
    </row>
    <row r="1312" spans="1:22">
      <c r="A1312" s="336" t="s">
        <v>4735</v>
      </c>
      <c r="B1312" s="94">
        <v>1302</v>
      </c>
      <c r="C1312" s="336" t="s">
        <v>4182</v>
      </c>
      <c r="D1312" s="336">
        <v>8</v>
      </c>
      <c r="E1312" s="336" t="s">
        <v>5587</v>
      </c>
      <c r="F1312" s="336" t="s">
        <v>5591</v>
      </c>
      <c r="G1312" s="336"/>
      <c r="H1312" s="336">
        <v>11970</v>
      </c>
      <c r="I1312" s="336"/>
      <c r="J1312" s="336"/>
      <c r="K1312" s="336"/>
      <c r="L1312" s="336"/>
      <c r="M1312" s="336">
        <v>11970</v>
      </c>
      <c r="N1312" s="336"/>
      <c r="O1312" s="337">
        <f t="shared" si="49"/>
        <v>11970</v>
      </c>
      <c r="P1312" s="336"/>
      <c r="Q1312" s="336"/>
      <c r="R1312" s="583">
        <v>11970</v>
      </c>
      <c r="T1312"/>
      <c r="U1312" s="3"/>
      <c r="V1312" s="271"/>
    </row>
    <row r="1313" spans="1:22">
      <c r="A1313" s="165" t="s">
        <v>5502</v>
      </c>
      <c r="B1313" s="94">
        <v>1303</v>
      </c>
      <c r="C1313" s="165" t="s">
        <v>4230</v>
      </c>
      <c r="D1313" s="165">
        <v>1</v>
      </c>
      <c r="E1313" s="165" t="s">
        <v>5503</v>
      </c>
      <c r="F1313" s="165" t="s">
        <v>4653</v>
      </c>
      <c r="G1313" s="165"/>
      <c r="H1313" s="165">
        <v>3780</v>
      </c>
      <c r="I1313" s="165"/>
      <c r="J1313" s="165"/>
      <c r="K1313" s="165">
        <v>3780</v>
      </c>
      <c r="L1313" s="165"/>
      <c r="M1313" s="165"/>
      <c r="N1313" s="165"/>
      <c r="O1313" s="337">
        <f t="shared" si="49"/>
        <v>0</v>
      </c>
      <c r="P1313" s="165" t="s">
        <v>5504</v>
      </c>
      <c r="Q1313" s="165" t="s">
        <v>5505</v>
      </c>
      <c r="R1313" s="3">
        <f t="shared" ref="R1313:R1324" si="50">H1313</f>
        <v>3780</v>
      </c>
      <c r="S1313" s="337">
        <v>3780</v>
      </c>
      <c r="T1313"/>
      <c r="U1313" s="3"/>
    </row>
    <row r="1314" spans="1:22">
      <c r="A1314" s="165" t="s">
        <v>5502</v>
      </c>
      <c r="B1314" s="94">
        <v>1304</v>
      </c>
      <c r="C1314" s="165" t="s">
        <v>4230</v>
      </c>
      <c r="D1314" s="165">
        <v>2</v>
      </c>
      <c r="E1314" s="165" t="s">
        <v>5510</v>
      </c>
      <c r="F1314" s="165" t="s">
        <v>5506</v>
      </c>
      <c r="G1314" s="165"/>
      <c r="H1314" s="165">
        <v>3780</v>
      </c>
      <c r="I1314" s="165"/>
      <c r="J1314" s="165"/>
      <c r="K1314" s="338">
        <v>3780</v>
      </c>
      <c r="L1314" s="338"/>
      <c r="M1314" s="165"/>
      <c r="N1314" s="165"/>
      <c r="O1314" s="337">
        <f t="shared" si="49"/>
        <v>0</v>
      </c>
      <c r="P1314" s="165" t="s">
        <v>5504</v>
      </c>
      <c r="Q1314" s="165" t="s">
        <v>5546</v>
      </c>
      <c r="R1314" s="3">
        <f t="shared" si="50"/>
        <v>3780</v>
      </c>
      <c r="S1314" s="337">
        <v>3780</v>
      </c>
      <c r="T1314"/>
      <c r="U1314" s="3"/>
    </row>
    <row r="1315" spans="1:22">
      <c r="A1315" s="165" t="s">
        <v>5502</v>
      </c>
      <c r="B1315" s="94">
        <v>1305</v>
      </c>
      <c r="C1315" s="165" t="s">
        <v>4230</v>
      </c>
      <c r="D1315" s="165">
        <v>3</v>
      </c>
      <c r="E1315" s="165" t="s">
        <v>5511</v>
      </c>
      <c r="F1315" s="165" t="s">
        <v>5429</v>
      </c>
      <c r="G1315" s="165"/>
      <c r="H1315" s="165">
        <v>3780</v>
      </c>
      <c r="I1315" s="165"/>
      <c r="J1315" s="165"/>
      <c r="K1315" s="338">
        <v>3780</v>
      </c>
      <c r="L1315" s="338"/>
      <c r="M1315" s="165"/>
      <c r="N1315" s="165"/>
      <c r="O1315" s="337">
        <f t="shared" si="49"/>
        <v>0</v>
      </c>
      <c r="P1315" s="165" t="s">
        <v>5263</v>
      </c>
      <c r="Q1315" s="165" t="s">
        <v>5429</v>
      </c>
      <c r="R1315" s="3">
        <f t="shared" si="50"/>
        <v>3780</v>
      </c>
      <c r="S1315" s="337">
        <v>3780</v>
      </c>
      <c r="T1315"/>
      <c r="U1315" s="3"/>
    </row>
    <row r="1316" spans="1:22">
      <c r="A1316" s="165" t="s">
        <v>5502</v>
      </c>
      <c r="B1316" s="94">
        <v>1306</v>
      </c>
      <c r="C1316" s="165" t="s">
        <v>4230</v>
      </c>
      <c r="D1316" s="165">
        <v>4</v>
      </c>
      <c r="E1316" s="165" t="s">
        <v>5512</v>
      </c>
      <c r="F1316" s="165" t="s">
        <v>4654</v>
      </c>
      <c r="G1316" s="165"/>
      <c r="H1316" s="165">
        <v>3780</v>
      </c>
      <c r="I1316" s="165"/>
      <c r="J1316" s="165"/>
      <c r="K1316" s="338">
        <v>3780</v>
      </c>
      <c r="L1316" s="338"/>
      <c r="M1316" s="165"/>
      <c r="N1316" s="165"/>
      <c r="O1316" s="337">
        <f t="shared" si="49"/>
        <v>0</v>
      </c>
      <c r="P1316" s="165" t="s">
        <v>5551</v>
      </c>
      <c r="Q1316" s="165" t="s">
        <v>4654</v>
      </c>
      <c r="R1316" s="3">
        <f t="shared" si="50"/>
        <v>3780</v>
      </c>
      <c r="S1316" s="337">
        <v>3780</v>
      </c>
      <c r="T1316"/>
      <c r="U1316" s="3"/>
    </row>
    <row r="1317" spans="1:22">
      <c r="A1317" s="165" t="s">
        <v>5502</v>
      </c>
      <c r="B1317" s="94">
        <v>1307</v>
      </c>
      <c r="C1317" s="165" t="s">
        <v>4230</v>
      </c>
      <c r="D1317" s="165">
        <v>5</v>
      </c>
      <c r="E1317" s="165" t="s">
        <v>5513</v>
      </c>
      <c r="F1317" s="165" t="s">
        <v>5507</v>
      </c>
      <c r="G1317" s="165"/>
      <c r="H1317" s="165">
        <v>3780</v>
      </c>
      <c r="I1317" s="165"/>
      <c r="J1317" s="165"/>
      <c r="K1317" s="338"/>
      <c r="L1317" s="338">
        <v>3780</v>
      </c>
      <c r="M1317" s="165"/>
      <c r="N1317" s="165"/>
      <c r="O1317" s="337">
        <f t="shared" si="49"/>
        <v>0</v>
      </c>
      <c r="P1317" s="165" t="s">
        <v>9628</v>
      </c>
      <c r="Q1317" s="165" t="s">
        <v>9628</v>
      </c>
      <c r="R1317" s="3">
        <f t="shared" si="50"/>
        <v>3780</v>
      </c>
      <c r="S1317" s="337">
        <v>3780</v>
      </c>
      <c r="T1317"/>
      <c r="U1317" s="3"/>
    </row>
    <row r="1318" spans="1:22">
      <c r="A1318" s="165" t="s">
        <v>5502</v>
      </c>
      <c r="B1318" s="94">
        <v>1308</v>
      </c>
      <c r="C1318" s="165" t="s">
        <v>4230</v>
      </c>
      <c r="D1318" s="165">
        <v>6</v>
      </c>
      <c r="E1318" s="165" t="s">
        <v>5514</v>
      </c>
      <c r="F1318" s="165" t="s">
        <v>5430</v>
      </c>
      <c r="G1318" s="165"/>
      <c r="H1318" s="165">
        <v>3780</v>
      </c>
      <c r="I1318" s="165"/>
      <c r="J1318" s="165"/>
      <c r="K1318" s="338"/>
      <c r="L1318" s="338">
        <v>3780</v>
      </c>
      <c r="M1318" s="165"/>
      <c r="N1318" s="165"/>
      <c r="O1318" s="337">
        <f t="shared" si="49"/>
        <v>0</v>
      </c>
      <c r="P1318" s="165" t="s">
        <v>9631</v>
      </c>
      <c r="Q1318" s="165" t="s">
        <v>9631</v>
      </c>
      <c r="R1318" s="3">
        <f t="shared" si="50"/>
        <v>3780</v>
      </c>
      <c r="S1318" s="337">
        <v>3780</v>
      </c>
      <c r="T1318"/>
      <c r="U1318" s="3"/>
    </row>
    <row r="1319" spans="1:22">
      <c r="A1319" s="165" t="s">
        <v>5502</v>
      </c>
      <c r="B1319" s="94">
        <v>1309</v>
      </c>
      <c r="C1319" s="165" t="s">
        <v>4230</v>
      </c>
      <c r="D1319" s="165">
        <v>7</v>
      </c>
      <c r="E1319" s="165" t="s">
        <v>5515</v>
      </c>
      <c r="F1319" s="165" t="s">
        <v>4655</v>
      </c>
      <c r="G1319" s="165"/>
      <c r="H1319" s="165">
        <v>3780</v>
      </c>
      <c r="I1319" s="165"/>
      <c r="J1319" s="165"/>
      <c r="K1319" s="338"/>
      <c r="L1319" s="338">
        <v>3780</v>
      </c>
      <c r="M1319" s="165"/>
      <c r="N1319" s="165"/>
      <c r="O1319" s="337">
        <f t="shared" si="49"/>
        <v>0</v>
      </c>
      <c r="P1319" s="165" t="s">
        <v>9632</v>
      </c>
      <c r="Q1319" s="165" t="s">
        <v>9632</v>
      </c>
      <c r="R1319" s="3">
        <f t="shared" si="50"/>
        <v>3780</v>
      </c>
      <c r="S1319" s="337">
        <v>3780</v>
      </c>
      <c r="T1319"/>
      <c r="U1319" s="3"/>
    </row>
    <row r="1320" spans="1:22">
      <c r="A1320" s="165" t="s">
        <v>5502</v>
      </c>
      <c r="B1320" s="94">
        <v>1310</v>
      </c>
      <c r="C1320" s="165" t="s">
        <v>4230</v>
      </c>
      <c r="D1320" s="165">
        <v>8</v>
      </c>
      <c r="E1320" s="165" t="s">
        <v>5516</v>
      </c>
      <c r="F1320" s="165" t="s">
        <v>5508</v>
      </c>
      <c r="G1320" s="165"/>
      <c r="H1320" s="165">
        <v>3780</v>
      </c>
      <c r="I1320" s="165"/>
      <c r="J1320" s="165"/>
      <c r="K1320" s="338"/>
      <c r="L1320" s="338">
        <v>3780</v>
      </c>
      <c r="M1320" s="165"/>
      <c r="N1320" s="165"/>
      <c r="O1320" s="337">
        <f t="shared" si="49"/>
        <v>0</v>
      </c>
      <c r="P1320" s="165" t="s">
        <v>9633</v>
      </c>
      <c r="Q1320" s="165" t="s">
        <v>9633</v>
      </c>
      <c r="R1320" s="3">
        <f t="shared" si="50"/>
        <v>3780</v>
      </c>
      <c r="S1320" s="337">
        <v>3780</v>
      </c>
      <c r="T1320"/>
      <c r="U1320" s="3"/>
    </row>
    <row r="1321" spans="1:22">
      <c r="A1321" s="165" t="s">
        <v>5502</v>
      </c>
      <c r="B1321" s="94">
        <v>1311</v>
      </c>
      <c r="C1321" s="165" t="s">
        <v>4230</v>
      </c>
      <c r="D1321" s="165">
        <v>9</v>
      </c>
      <c r="E1321" s="165" t="s">
        <v>5517</v>
      </c>
      <c r="F1321" s="165" t="s">
        <v>5431</v>
      </c>
      <c r="G1321" s="165"/>
      <c r="H1321" s="165">
        <v>3780</v>
      </c>
      <c r="I1321" s="165"/>
      <c r="J1321" s="165"/>
      <c r="K1321" s="338"/>
      <c r="L1321" s="338">
        <v>3780</v>
      </c>
      <c r="M1321" s="165"/>
      <c r="N1321" s="165"/>
      <c r="O1321" s="337">
        <f t="shared" si="49"/>
        <v>0</v>
      </c>
      <c r="P1321" s="165" t="s">
        <v>9634</v>
      </c>
      <c r="Q1321" s="165" t="s">
        <v>9634</v>
      </c>
      <c r="R1321" s="3">
        <f t="shared" si="50"/>
        <v>3780</v>
      </c>
      <c r="S1321" s="337">
        <v>3780</v>
      </c>
      <c r="T1321"/>
      <c r="U1321" s="3"/>
    </row>
    <row r="1322" spans="1:22">
      <c r="A1322" s="165" t="s">
        <v>5502</v>
      </c>
      <c r="B1322" s="94">
        <v>1312</v>
      </c>
      <c r="C1322" s="165" t="s">
        <v>4230</v>
      </c>
      <c r="D1322" s="165">
        <v>10</v>
      </c>
      <c r="E1322" s="165" t="s">
        <v>5518</v>
      </c>
      <c r="F1322" s="165" t="s">
        <v>4656</v>
      </c>
      <c r="G1322" s="165"/>
      <c r="H1322" s="165">
        <v>3780</v>
      </c>
      <c r="I1322" s="165"/>
      <c r="J1322" s="165"/>
      <c r="K1322" s="338"/>
      <c r="L1322" s="338">
        <v>3780</v>
      </c>
      <c r="M1322" s="165"/>
      <c r="N1322" s="165"/>
      <c r="O1322" s="337">
        <f t="shared" si="49"/>
        <v>0</v>
      </c>
      <c r="P1322" s="165" t="s">
        <v>9635</v>
      </c>
      <c r="Q1322" s="165" t="s">
        <v>9635</v>
      </c>
      <c r="R1322" s="3">
        <f t="shared" si="50"/>
        <v>3780</v>
      </c>
      <c r="S1322" s="337">
        <v>3780</v>
      </c>
      <c r="T1322"/>
      <c r="U1322" s="3"/>
    </row>
    <row r="1323" spans="1:22">
      <c r="A1323" s="165" t="s">
        <v>5502</v>
      </c>
      <c r="B1323" s="94">
        <v>1313</v>
      </c>
      <c r="C1323" s="165" t="s">
        <v>4230</v>
      </c>
      <c r="D1323" s="165">
        <v>11</v>
      </c>
      <c r="E1323" s="165" t="s">
        <v>5519</v>
      </c>
      <c r="F1323" s="165" t="s">
        <v>5509</v>
      </c>
      <c r="G1323" s="165"/>
      <c r="H1323" s="165">
        <v>3780</v>
      </c>
      <c r="I1323" s="165"/>
      <c r="J1323" s="165"/>
      <c r="K1323" s="338"/>
      <c r="L1323" s="338">
        <v>3780</v>
      </c>
      <c r="M1323" s="165"/>
      <c r="N1323" s="165"/>
      <c r="O1323" s="337">
        <f t="shared" si="49"/>
        <v>0</v>
      </c>
      <c r="P1323" s="165" t="s">
        <v>9636</v>
      </c>
      <c r="Q1323" s="165" t="s">
        <v>9636</v>
      </c>
      <c r="R1323" s="3">
        <f t="shared" si="50"/>
        <v>3780</v>
      </c>
      <c r="S1323" s="337">
        <v>3780</v>
      </c>
      <c r="T1323"/>
      <c r="U1323" s="3"/>
    </row>
    <row r="1324" spans="1:22">
      <c r="A1324" s="165" t="s">
        <v>5502</v>
      </c>
      <c r="B1324" s="94">
        <v>1314</v>
      </c>
      <c r="C1324" s="165" t="s">
        <v>4230</v>
      </c>
      <c r="D1324" s="165">
        <v>12</v>
      </c>
      <c r="E1324" s="165" t="s">
        <v>5520</v>
      </c>
      <c r="F1324" s="165" t="s">
        <v>5432</v>
      </c>
      <c r="G1324" s="165"/>
      <c r="H1324" s="165">
        <v>3780</v>
      </c>
      <c r="I1324" s="165"/>
      <c r="J1324" s="165"/>
      <c r="K1324" s="338"/>
      <c r="L1324" s="338">
        <v>3780</v>
      </c>
      <c r="M1324" s="165"/>
      <c r="N1324" s="165"/>
      <c r="O1324" s="337">
        <f t="shared" si="49"/>
        <v>0</v>
      </c>
      <c r="P1324" s="165" t="s">
        <v>9636</v>
      </c>
      <c r="Q1324" s="165" t="s">
        <v>9636</v>
      </c>
      <c r="R1324" s="3">
        <f t="shared" si="50"/>
        <v>3780</v>
      </c>
      <c r="S1324" s="337">
        <v>3780</v>
      </c>
      <c r="T1324"/>
      <c r="U1324" s="3"/>
    </row>
    <row r="1325" spans="1:22">
      <c r="A1325" s="165" t="s">
        <v>5284</v>
      </c>
      <c r="B1325" s="94">
        <v>1315</v>
      </c>
      <c r="C1325" s="165" t="s">
        <v>4204</v>
      </c>
      <c r="D1325" s="165">
        <v>1</v>
      </c>
      <c r="E1325" s="165" t="s">
        <v>5532</v>
      </c>
      <c r="F1325" s="165" t="s">
        <v>4653</v>
      </c>
      <c r="G1325" s="165"/>
      <c r="H1325" s="165">
        <v>20475</v>
      </c>
      <c r="I1325" s="165"/>
      <c r="J1325" s="165"/>
      <c r="K1325" s="165">
        <v>20475</v>
      </c>
      <c r="L1325" s="165"/>
      <c r="M1325" s="165"/>
      <c r="N1325" s="165"/>
      <c r="O1325" s="337">
        <f t="shared" si="49"/>
        <v>0</v>
      </c>
      <c r="P1325" s="165" t="s">
        <v>5284</v>
      </c>
      <c r="Q1325" s="165" t="s">
        <v>5533</v>
      </c>
      <c r="R1325" s="3">
        <f t="shared" ref="R1325:R1332" si="51">G1325+H1325+I1325</f>
        <v>20475</v>
      </c>
      <c r="S1325" s="165">
        <v>20475</v>
      </c>
      <c r="T1325"/>
      <c r="U1325" s="3"/>
      <c r="V1325" s="271" t="s">
        <v>2740</v>
      </c>
    </row>
    <row r="1326" spans="1:22">
      <c r="A1326" s="165" t="s">
        <v>5284</v>
      </c>
      <c r="B1326" s="94">
        <v>1316</v>
      </c>
      <c r="C1326" s="165" t="s">
        <v>4204</v>
      </c>
      <c r="D1326" s="165">
        <v>2</v>
      </c>
      <c r="E1326" s="165" t="s">
        <v>5534</v>
      </c>
      <c r="F1326" s="165" t="s">
        <v>4736</v>
      </c>
      <c r="G1326" s="165"/>
      <c r="H1326" s="165">
        <v>20475</v>
      </c>
      <c r="I1326" s="165"/>
      <c r="J1326" s="165"/>
      <c r="K1326" s="165">
        <v>20475</v>
      </c>
      <c r="L1326" s="165"/>
      <c r="M1326" s="165"/>
      <c r="N1326" s="165"/>
      <c r="O1326" s="337">
        <f t="shared" si="49"/>
        <v>0</v>
      </c>
      <c r="P1326" s="165" t="s">
        <v>5551</v>
      </c>
      <c r="Q1326" s="165" t="s">
        <v>5552</v>
      </c>
      <c r="R1326" s="3">
        <f t="shared" si="51"/>
        <v>20475</v>
      </c>
      <c r="S1326" s="165">
        <v>20475</v>
      </c>
      <c r="T1326"/>
      <c r="U1326" s="3"/>
      <c r="V1326" s="271" t="s">
        <v>2740</v>
      </c>
    </row>
    <row r="1327" spans="1:22">
      <c r="A1327" s="165" t="s">
        <v>5284</v>
      </c>
      <c r="B1327" s="94">
        <v>1317</v>
      </c>
      <c r="C1327" s="165" t="s">
        <v>4204</v>
      </c>
      <c r="D1327" s="165">
        <v>3</v>
      </c>
      <c r="E1327" s="165" t="s">
        <v>5535</v>
      </c>
      <c r="F1327" s="165" t="s">
        <v>5541</v>
      </c>
      <c r="G1327" s="165"/>
      <c r="H1327" s="165"/>
      <c r="I1327" s="165">
        <v>20475</v>
      </c>
      <c r="J1327" s="165"/>
      <c r="K1327" s="165"/>
      <c r="L1327" s="165">
        <v>20475</v>
      </c>
      <c r="M1327" s="165"/>
      <c r="N1327" s="165"/>
      <c r="O1327" s="337">
        <f t="shared" si="49"/>
        <v>0</v>
      </c>
      <c r="P1327" s="165" t="s">
        <v>9772</v>
      </c>
      <c r="Q1327" s="165" t="s">
        <v>9773</v>
      </c>
      <c r="R1327" s="3">
        <f t="shared" si="51"/>
        <v>20475</v>
      </c>
      <c r="S1327" s="337">
        <v>20475</v>
      </c>
      <c r="T1327"/>
      <c r="U1327" s="3"/>
      <c r="V1327" s="271" t="s">
        <v>2740</v>
      </c>
    </row>
    <row r="1328" spans="1:22">
      <c r="A1328" s="165" t="s">
        <v>5284</v>
      </c>
      <c r="B1328" s="94">
        <v>1318</v>
      </c>
      <c r="C1328" s="165" t="s">
        <v>4204</v>
      </c>
      <c r="D1328" s="165">
        <v>4</v>
      </c>
      <c r="E1328" s="165" t="s">
        <v>5536</v>
      </c>
      <c r="F1328" s="165" t="s">
        <v>4737</v>
      </c>
      <c r="G1328" s="165"/>
      <c r="H1328" s="165"/>
      <c r="I1328" s="165">
        <v>20475</v>
      </c>
      <c r="J1328" s="165"/>
      <c r="K1328" s="165"/>
      <c r="L1328" s="165">
        <v>20475</v>
      </c>
      <c r="M1328" s="165"/>
      <c r="N1328" s="165"/>
      <c r="O1328" s="337">
        <f t="shared" si="49"/>
        <v>0</v>
      </c>
      <c r="P1328" s="165" t="s">
        <v>9774</v>
      </c>
      <c r="Q1328" s="165" t="s">
        <v>9774</v>
      </c>
      <c r="R1328" s="3">
        <f t="shared" si="51"/>
        <v>20475</v>
      </c>
      <c r="S1328" s="337">
        <v>20475</v>
      </c>
      <c r="T1328"/>
      <c r="U1328" s="3"/>
      <c r="V1328" s="271" t="s">
        <v>2740</v>
      </c>
    </row>
    <row r="1329" spans="1:22">
      <c r="A1329" s="165" t="s">
        <v>5284</v>
      </c>
      <c r="B1329" s="94">
        <v>1319</v>
      </c>
      <c r="C1329" s="165" t="s">
        <v>4204</v>
      </c>
      <c r="D1329" s="165">
        <v>5</v>
      </c>
      <c r="E1329" s="165" t="s">
        <v>5537</v>
      </c>
      <c r="F1329" s="165" t="s">
        <v>4738</v>
      </c>
      <c r="G1329" s="165"/>
      <c r="H1329" s="165"/>
      <c r="I1329" s="165">
        <v>20475</v>
      </c>
      <c r="J1329" s="165"/>
      <c r="K1329" s="165"/>
      <c r="L1329" s="165">
        <v>20475</v>
      </c>
      <c r="M1329" s="165"/>
      <c r="N1329" s="165"/>
      <c r="O1329" s="337">
        <f t="shared" si="49"/>
        <v>0</v>
      </c>
      <c r="P1329" s="165" t="s">
        <v>9775</v>
      </c>
      <c r="Q1329" s="165" t="s">
        <v>9775</v>
      </c>
      <c r="R1329" s="3">
        <f t="shared" si="51"/>
        <v>20475</v>
      </c>
      <c r="S1329" s="337">
        <v>20475</v>
      </c>
      <c r="T1329"/>
      <c r="U1329" s="3"/>
      <c r="V1329" s="271" t="s">
        <v>2740</v>
      </c>
    </row>
    <row r="1330" spans="1:22">
      <c r="A1330" s="165" t="s">
        <v>5284</v>
      </c>
      <c r="B1330" s="94">
        <v>1320</v>
      </c>
      <c r="C1330" s="165" t="s">
        <v>4204</v>
      </c>
      <c r="D1330" s="165">
        <v>6</v>
      </c>
      <c r="E1330" s="165" t="s">
        <v>5538</v>
      </c>
      <c r="F1330" s="165" t="s">
        <v>5325</v>
      </c>
      <c r="G1330" s="165"/>
      <c r="H1330" s="165"/>
      <c r="I1330" s="165">
        <v>20475</v>
      </c>
      <c r="J1330" s="165"/>
      <c r="K1330" s="165"/>
      <c r="L1330" s="165">
        <v>20475</v>
      </c>
      <c r="M1330" s="165"/>
      <c r="N1330" s="165"/>
      <c r="O1330" s="337">
        <f t="shared" si="49"/>
        <v>0</v>
      </c>
      <c r="P1330" s="165" t="s">
        <v>9777</v>
      </c>
      <c r="Q1330" s="165" t="s">
        <v>9777</v>
      </c>
      <c r="R1330" s="3">
        <f t="shared" si="51"/>
        <v>20475</v>
      </c>
      <c r="S1330" s="337">
        <v>20475</v>
      </c>
      <c r="T1330"/>
      <c r="U1330" s="3"/>
      <c r="V1330" s="271" t="s">
        <v>2740</v>
      </c>
    </row>
    <row r="1331" spans="1:22">
      <c r="A1331" s="165" t="s">
        <v>5284</v>
      </c>
      <c r="B1331" s="94">
        <v>1321</v>
      </c>
      <c r="C1331" s="165" t="s">
        <v>4204</v>
      </c>
      <c r="D1331" s="165">
        <v>7</v>
      </c>
      <c r="E1331" s="165" t="s">
        <v>5539</v>
      </c>
      <c r="F1331" s="165" t="s">
        <v>5542</v>
      </c>
      <c r="G1331" s="165"/>
      <c r="H1331" s="165"/>
      <c r="I1331" s="165">
        <v>20475</v>
      </c>
      <c r="J1331" s="165"/>
      <c r="K1331" s="165"/>
      <c r="L1331" s="165"/>
      <c r="M1331" s="165">
        <v>20475</v>
      </c>
      <c r="N1331" s="165"/>
      <c r="O1331" s="337">
        <f t="shared" si="49"/>
        <v>20475</v>
      </c>
      <c r="P1331" s="165"/>
      <c r="Q1331" s="165"/>
      <c r="R1331" s="3">
        <f t="shared" si="51"/>
        <v>20475</v>
      </c>
      <c r="S1331" s="7"/>
      <c r="T1331"/>
      <c r="U1331" s="3"/>
      <c r="V1331" s="271" t="s">
        <v>2740</v>
      </c>
    </row>
    <row r="1332" spans="1:22">
      <c r="A1332" s="165" t="s">
        <v>5284</v>
      </c>
      <c r="B1332" s="94">
        <v>1322</v>
      </c>
      <c r="C1332" s="165" t="s">
        <v>4204</v>
      </c>
      <c r="D1332" s="165">
        <v>8</v>
      </c>
      <c r="E1332" s="165" t="s">
        <v>5540</v>
      </c>
      <c r="F1332" s="165" t="s">
        <v>5543</v>
      </c>
      <c r="G1332" s="165"/>
      <c r="H1332" s="165"/>
      <c r="I1332" s="165">
        <v>20475</v>
      </c>
      <c r="J1332" s="165"/>
      <c r="K1332" s="165"/>
      <c r="L1332" s="165"/>
      <c r="M1332" s="165">
        <v>20475</v>
      </c>
      <c r="N1332" s="165"/>
      <c r="O1332" s="337">
        <f t="shared" si="49"/>
        <v>20475</v>
      </c>
      <c r="P1332" s="165"/>
      <c r="Q1332" s="165"/>
      <c r="R1332" s="3">
        <f t="shared" si="51"/>
        <v>20475</v>
      </c>
      <c r="S1332" s="7"/>
      <c r="T1332"/>
      <c r="U1332" s="3"/>
      <c r="V1332" s="271" t="s">
        <v>2740</v>
      </c>
    </row>
    <row r="1333" spans="1:22">
      <c r="A1333" s="165" t="s">
        <v>5547</v>
      </c>
      <c r="B1333" s="94">
        <v>1323</v>
      </c>
      <c r="C1333" s="165" t="s">
        <v>1232</v>
      </c>
      <c r="D1333" s="165">
        <v>2</v>
      </c>
      <c r="E1333" s="165" t="s">
        <v>5548</v>
      </c>
      <c r="F1333" s="165" t="s">
        <v>5304</v>
      </c>
      <c r="G1333" s="165"/>
      <c r="H1333" s="165">
        <v>16380</v>
      </c>
      <c r="I1333" s="165"/>
      <c r="J1333" s="165"/>
      <c r="K1333" s="165">
        <v>16380</v>
      </c>
      <c r="L1333" s="165"/>
      <c r="M1333" s="165"/>
      <c r="N1333" s="165"/>
      <c r="O1333" s="337">
        <f t="shared" si="49"/>
        <v>0</v>
      </c>
      <c r="P1333" s="165" t="s">
        <v>5263</v>
      </c>
      <c r="Q1333" s="165" t="s">
        <v>5549</v>
      </c>
      <c r="R1333" s="3">
        <f t="shared" ref="R1333:R1349" si="52">H1333</f>
        <v>16380</v>
      </c>
      <c r="S1333" s="337">
        <v>16380</v>
      </c>
      <c r="T1333" s="337"/>
      <c r="U1333" s="3"/>
    </row>
    <row r="1334" spans="1:22">
      <c r="A1334" s="165" t="s">
        <v>5287</v>
      </c>
      <c r="B1334" s="94">
        <v>1324</v>
      </c>
      <c r="C1334" s="165" t="s">
        <v>831</v>
      </c>
      <c r="D1334" s="165">
        <v>1</v>
      </c>
      <c r="E1334" s="165" t="s">
        <v>5553</v>
      </c>
      <c r="F1334" s="165" t="s">
        <v>4624</v>
      </c>
      <c r="G1334" s="165"/>
      <c r="H1334" s="165">
        <v>13500</v>
      </c>
      <c r="I1334" s="165"/>
      <c r="J1334" s="165"/>
      <c r="K1334" s="165">
        <v>13500</v>
      </c>
      <c r="L1334" s="165"/>
      <c r="M1334" s="165"/>
      <c r="N1334" s="165"/>
      <c r="O1334" s="337">
        <f t="shared" si="49"/>
        <v>0</v>
      </c>
      <c r="P1334" s="165" t="s">
        <v>5551</v>
      </c>
      <c r="Q1334" s="165" t="s">
        <v>4624</v>
      </c>
      <c r="R1334" s="3">
        <f t="shared" si="52"/>
        <v>13500</v>
      </c>
      <c r="S1334" s="337">
        <v>13500</v>
      </c>
      <c r="T1334"/>
      <c r="U1334" s="3"/>
    </row>
    <row r="1335" spans="1:22">
      <c r="A1335" s="165" t="s">
        <v>5287</v>
      </c>
      <c r="B1335" s="94">
        <v>1325</v>
      </c>
      <c r="C1335" s="165" t="s">
        <v>831</v>
      </c>
      <c r="D1335" s="165">
        <v>2</v>
      </c>
      <c r="E1335" s="165" t="s">
        <v>5554</v>
      </c>
      <c r="F1335" s="165" t="s">
        <v>4625</v>
      </c>
      <c r="G1335" s="165"/>
      <c r="H1335" s="165">
        <v>13500</v>
      </c>
      <c r="I1335" s="165"/>
      <c r="J1335" s="165"/>
      <c r="K1335" s="338"/>
      <c r="L1335" s="338">
        <v>13500</v>
      </c>
      <c r="M1335" s="165"/>
      <c r="N1335" s="165"/>
      <c r="O1335" s="337">
        <f t="shared" si="49"/>
        <v>0</v>
      </c>
      <c r="P1335" s="165" t="s">
        <v>9632</v>
      </c>
      <c r="Q1335" s="165" t="s">
        <v>9632</v>
      </c>
      <c r="R1335" s="3">
        <f t="shared" si="52"/>
        <v>13500</v>
      </c>
      <c r="S1335" s="337">
        <v>13500</v>
      </c>
      <c r="T1335"/>
      <c r="U1335" s="3"/>
    </row>
    <row r="1336" spans="1:22">
      <c r="A1336" s="165" t="s">
        <v>5287</v>
      </c>
      <c r="B1336" s="94">
        <v>1326</v>
      </c>
      <c r="C1336" s="165" t="s">
        <v>831</v>
      </c>
      <c r="D1336" s="165">
        <v>3</v>
      </c>
      <c r="E1336" s="165" t="s">
        <v>5555</v>
      </c>
      <c r="F1336" s="165" t="s">
        <v>5561</v>
      </c>
      <c r="G1336" s="165"/>
      <c r="H1336" s="165">
        <v>13500</v>
      </c>
      <c r="I1336" s="165"/>
      <c r="J1336" s="165"/>
      <c r="K1336" s="338"/>
      <c r="L1336" s="338">
        <v>13500</v>
      </c>
      <c r="M1336" s="165"/>
      <c r="N1336" s="165"/>
      <c r="O1336" s="337">
        <f t="shared" si="49"/>
        <v>0</v>
      </c>
      <c r="P1336" s="165" t="s">
        <v>9811</v>
      </c>
      <c r="Q1336" s="165" t="s">
        <v>9811</v>
      </c>
      <c r="R1336" s="3">
        <f t="shared" si="52"/>
        <v>13500</v>
      </c>
      <c r="S1336" s="337">
        <v>13500</v>
      </c>
      <c r="T1336"/>
      <c r="U1336" s="3"/>
    </row>
    <row r="1337" spans="1:22">
      <c r="A1337" s="165" t="s">
        <v>5287</v>
      </c>
      <c r="B1337" s="94">
        <v>1327</v>
      </c>
      <c r="C1337" s="165" t="s">
        <v>831</v>
      </c>
      <c r="D1337" s="165">
        <v>4</v>
      </c>
      <c r="E1337" s="165" t="s">
        <v>5556</v>
      </c>
      <c r="F1337" s="165" t="s">
        <v>5348</v>
      </c>
      <c r="G1337" s="165"/>
      <c r="H1337" s="165">
        <v>13500</v>
      </c>
      <c r="I1337" s="165"/>
      <c r="J1337" s="165"/>
      <c r="K1337" s="338"/>
      <c r="L1337" s="338">
        <v>13500</v>
      </c>
      <c r="M1337" s="165"/>
      <c r="N1337" s="165"/>
      <c r="O1337" s="337">
        <f t="shared" si="49"/>
        <v>0</v>
      </c>
      <c r="P1337" s="165" t="s">
        <v>9812</v>
      </c>
      <c r="Q1337" s="165" t="s">
        <v>9812</v>
      </c>
      <c r="R1337" s="3">
        <f t="shared" si="52"/>
        <v>13500</v>
      </c>
      <c r="S1337" s="337">
        <v>13500</v>
      </c>
      <c r="T1337"/>
      <c r="U1337" s="3"/>
    </row>
    <row r="1338" spans="1:22">
      <c r="A1338" s="165" t="s">
        <v>5287</v>
      </c>
      <c r="B1338" s="94">
        <v>1328</v>
      </c>
      <c r="C1338" s="165" t="s">
        <v>831</v>
      </c>
      <c r="D1338" s="165">
        <v>5</v>
      </c>
      <c r="E1338" s="165" t="s">
        <v>5557</v>
      </c>
      <c r="F1338" s="165" t="s">
        <v>5349</v>
      </c>
      <c r="G1338" s="165"/>
      <c r="H1338" s="165">
        <v>13500</v>
      </c>
      <c r="I1338" s="165"/>
      <c r="J1338" s="165"/>
      <c r="K1338" s="338"/>
      <c r="L1338" s="338">
        <v>13500</v>
      </c>
      <c r="M1338" s="165"/>
      <c r="N1338" s="165"/>
      <c r="O1338" s="337">
        <f t="shared" si="49"/>
        <v>0</v>
      </c>
      <c r="P1338" s="165" t="s">
        <v>9780</v>
      </c>
      <c r="Q1338" s="165" t="s">
        <v>9780</v>
      </c>
      <c r="R1338" s="3">
        <f t="shared" si="52"/>
        <v>13500</v>
      </c>
      <c r="S1338" s="337">
        <v>13500</v>
      </c>
      <c r="T1338"/>
      <c r="U1338" s="3"/>
    </row>
    <row r="1339" spans="1:22">
      <c r="A1339" s="165" t="s">
        <v>5287</v>
      </c>
      <c r="B1339" s="94">
        <v>1329</v>
      </c>
      <c r="C1339" s="165" t="s">
        <v>831</v>
      </c>
      <c r="D1339" s="165">
        <v>6</v>
      </c>
      <c r="E1339" s="165" t="s">
        <v>5558</v>
      </c>
      <c r="F1339" s="165" t="s">
        <v>5463</v>
      </c>
      <c r="G1339" s="165"/>
      <c r="H1339" s="165">
        <v>13500</v>
      </c>
      <c r="I1339" s="165"/>
      <c r="J1339" s="165"/>
      <c r="K1339" s="338"/>
      <c r="L1339" s="338"/>
      <c r="M1339" s="165">
        <v>13500</v>
      </c>
      <c r="N1339" s="165"/>
      <c r="O1339" s="337">
        <f t="shared" si="49"/>
        <v>13500</v>
      </c>
      <c r="P1339" s="165"/>
      <c r="Q1339" s="165"/>
      <c r="R1339" s="3">
        <f t="shared" si="52"/>
        <v>13500</v>
      </c>
      <c r="S1339" s="337"/>
      <c r="T1339"/>
      <c r="U1339" s="3"/>
    </row>
    <row r="1340" spans="1:22">
      <c r="A1340" s="165" t="s">
        <v>5287</v>
      </c>
      <c r="B1340" s="94">
        <v>1330</v>
      </c>
      <c r="C1340" s="165" t="s">
        <v>831</v>
      </c>
      <c r="D1340" s="165">
        <v>7</v>
      </c>
      <c r="E1340" s="165" t="s">
        <v>5559</v>
      </c>
      <c r="F1340" s="165" t="s">
        <v>5562</v>
      </c>
      <c r="G1340" s="165"/>
      <c r="H1340" s="165">
        <v>13500</v>
      </c>
      <c r="I1340" s="165"/>
      <c r="J1340" s="165"/>
      <c r="K1340" s="338"/>
      <c r="L1340" s="338"/>
      <c r="M1340" s="165">
        <v>13500</v>
      </c>
      <c r="N1340" s="165"/>
      <c r="O1340" s="337">
        <f t="shared" si="49"/>
        <v>13500</v>
      </c>
      <c r="P1340" s="165"/>
      <c r="Q1340" s="165"/>
      <c r="R1340" s="3">
        <f t="shared" si="52"/>
        <v>13500</v>
      </c>
      <c r="S1340" s="337"/>
      <c r="T1340"/>
      <c r="U1340" s="3"/>
    </row>
    <row r="1341" spans="1:22">
      <c r="A1341" s="165" t="s">
        <v>5287</v>
      </c>
      <c r="B1341" s="94">
        <v>1331</v>
      </c>
      <c r="C1341" s="165" t="s">
        <v>831</v>
      </c>
      <c r="D1341" s="165">
        <v>8</v>
      </c>
      <c r="E1341" s="165" t="s">
        <v>5560</v>
      </c>
      <c r="F1341" s="165" t="s">
        <v>5563</v>
      </c>
      <c r="G1341" s="165"/>
      <c r="H1341" s="165">
        <v>13500</v>
      </c>
      <c r="I1341" s="165"/>
      <c r="J1341" s="165"/>
      <c r="K1341" s="338"/>
      <c r="L1341" s="338"/>
      <c r="M1341" s="165">
        <v>13500</v>
      </c>
      <c r="N1341" s="165"/>
      <c r="O1341" s="337">
        <f t="shared" si="49"/>
        <v>13500</v>
      </c>
      <c r="P1341" s="165"/>
      <c r="Q1341" s="165"/>
      <c r="R1341" s="3">
        <f t="shared" si="52"/>
        <v>13500</v>
      </c>
      <c r="S1341" s="337"/>
      <c r="T1341"/>
      <c r="U1341" s="3"/>
    </row>
    <row r="1342" spans="1:22">
      <c r="A1342" s="165" t="s">
        <v>4624</v>
      </c>
      <c r="B1342" s="94">
        <v>1332</v>
      </c>
      <c r="C1342" s="165" t="s">
        <v>4131</v>
      </c>
      <c r="D1342" s="165">
        <v>1</v>
      </c>
      <c r="E1342" s="165" t="s">
        <v>5564</v>
      </c>
      <c r="F1342" s="165" t="s">
        <v>5565</v>
      </c>
      <c r="G1342" s="165"/>
      <c r="H1342" s="165">
        <v>14175</v>
      </c>
      <c r="I1342" s="165"/>
      <c r="J1342" s="165"/>
      <c r="K1342" s="165">
        <v>14175</v>
      </c>
      <c r="L1342" s="165"/>
      <c r="M1342" s="165"/>
      <c r="N1342" s="165"/>
      <c r="O1342" s="337">
        <f t="shared" si="49"/>
        <v>0</v>
      </c>
      <c r="P1342" s="165" t="s">
        <v>5289</v>
      </c>
      <c r="Q1342" s="165" t="s">
        <v>5565</v>
      </c>
      <c r="R1342" s="3">
        <f t="shared" si="52"/>
        <v>14175</v>
      </c>
      <c r="S1342" s="337">
        <v>14175</v>
      </c>
      <c r="T1342"/>
      <c r="U1342" s="3"/>
    </row>
    <row r="1343" spans="1:22">
      <c r="A1343" s="165" t="s">
        <v>4624</v>
      </c>
      <c r="B1343" s="94">
        <v>1333</v>
      </c>
      <c r="C1343" s="165" t="s">
        <v>4131</v>
      </c>
      <c r="D1343" s="165">
        <v>2</v>
      </c>
      <c r="E1343" s="165" t="s">
        <v>5566</v>
      </c>
      <c r="F1343" s="165" t="s">
        <v>5573</v>
      </c>
      <c r="G1343" s="165"/>
      <c r="H1343" s="165">
        <v>14175</v>
      </c>
      <c r="I1343" s="165"/>
      <c r="J1343" s="165"/>
      <c r="K1343" s="338"/>
      <c r="L1343" s="338">
        <v>14175</v>
      </c>
      <c r="M1343" s="165"/>
      <c r="N1343" s="165"/>
      <c r="O1343" s="337">
        <f t="shared" si="49"/>
        <v>0</v>
      </c>
      <c r="P1343" s="165" t="s">
        <v>9672</v>
      </c>
      <c r="Q1343" s="165" t="s">
        <v>9672</v>
      </c>
      <c r="R1343" s="3">
        <f t="shared" si="52"/>
        <v>14175</v>
      </c>
      <c r="S1343" s="337">
        <v>14175</v>
      </c>
      <c r="T1343"/>
      <c r="U1343" s="3"/>
    </row>
    <row r="1344" spans="1:22">
      <c r="A1344" s="165" t="s">
        <v>4624</v>
      </c>
      <c r="B1344" s="94">
        <v>1334</v>
      </c>
      <c r="C1344" s="165" t="s">
        <v>4131</v>
      </c>
      <c r="D1344" s="165">
        <v>3</v>
      </c>
      <c r="E1344" s="165" t="s">
        <v>5567</v>
      </c>
      <c r="F1344" s="165" t="s">
        <v>5574</v>
      </c>
      <c r="G1344" s="165"/>
      <c r="H1344" s="165">
        <v>14175</v>
      </c>
      <c r="I1344" s="165"/>
      <c r="J1344" s="165"/>
      <c r="K1344" s="338"/>
      <c r="L1344" s="338">
        <v>14175</v>
      </c>
      <c r="M1344" s="165"/>
      <c r="N1344" s="165"/>
      <c r="O1344" s="337">
        <f t="shared" si="49"/>
        <v>0</v>
      </c>
      <c r="P1344" s="165" t="s">
        <v>9676</v>
      </c>
      <c r="Q1344" s="165" t="s">
        <v>9676</v>
      </c>
      <c r="R1344" s="3">
        <f t="shared" si="52"/>
        <v>14175</v>
      </c>
      <c r="S1344" s="337">
        <v>14175</v>
      </c>
      <c r="T1344"/>
      <c r="U1344" s="3"/>
    </row>
    <row r="1345" spans="1:21">
      <c r="A1345" s="165" t="s">
        <v>4624</v>
      </c>
      <c r="B1345" s="94">
        <v>1335</v>
      </c>
      <c r="C1345" s="165" t="s">
        <v>4131</v>
      </c>
      <c r="D1345" s="165">
        <v>4</v>
      </c>
      <c r="E1345" s="165" t="s">
        <v>5568</v>
      </c>
      <c r="F1345" s="165" t="s">
        <v>5575</v>
      </c>
      <c r="G1345" s="165"/>
      <c r="H1345" s="165">
        <v>14175</v>
      </c>
      <c r="I1345" s="165"/>
      <c r="J1345" s="165"/>
      <c r="K1345" s="338"/>
      <c r="L1345" s="338">
        <v>14175</v>
      </c>
      <c r="M1345" s="165"/>
      <c r="N1345" s="165"/>
      <c r="O1345" s="337">
        <f t="shared" si="49"/>
        <v>0</v>
      </c>
      <c r="P1345" s="165" t="s">
        <v>9879</v>
      </c>
      <c r="Q1345" s="165" t="s">
        <v>9879</v>
      </c>
      <c r="R1345" s="3">
        <f t="shared" si="52"/>
        <v>14175</v>
      </c>
      <c r="S1345" s="337">
        <v>14175</v>
      </c>
      <c r="T1345"/>
      <c r="U1345" s="3"/>
    </row>
    <row r="1346" spans="1:21">
      <c r="A1346" s="165" t="s">
        <v>4624</v>
      </c>
      <c r="B1346" s="94">
        <v>1336</v>
      </c>
      <c r="C1346" s="165" t="s">
        <v>4131</v>
      </c>
      <c r="D1346" s="165">
        <v>5</v>
      </c>
      <c r="E1346" s="165" t="s">
        <v>5569</v>
      </c>
      <c r="F1346" s="165" t="s">
        <v>5576</v>
      </c>
      <c r="G1346" s="165"/>
      <c r="H1346" s="165">
        <v>14175</v>
      </c>
      <c r="I1346" s="165"/>
      <c r="J1346" s="165"/>
      <c r="K1346" s="338"/>
      <c r="L1346" s="338">
        <v>14175</v>
      </c>
      <c r="M1346" s="165"/>
      <c r="N1346" s="165"/>
      <c r="O1346" s="337">
        <f t="shared" si="49"/>
        <v>0</v>
      </c>
      <c r="P1346" s="165" t="s">
        <v>9880</v>
      </c>
      <c r="Q1346" s="165" t="s">
        <v>9880</v>
      </c>
      <c r="R1346" s="3">
        <f t="shared" si="52"/>
        <v>14175</v>
      </c>
      <c r="S1346" s="337">
        <v>14175</v>
      </c>
      <c r="T1346"/>
      <c r="U1346" s="3"/>
    </row>
    <row r="1347" spans="1:21">
      <c r="A1347" s="165" t="s">
        <v>4624</v>
      </c>
      <c r="B1347" s="94">
        <v>1337</v>
      </c>
      <c r="C1347" s="165" t="s">
        <v>4131</v>
      </c>
      <c r="D1347" s="165">
        <v>6</v>
      </c>
      <c r="E1347" s="165" t="s">
        <v>5570</v>
      </c>
      <c r="F1347" s="165" t="s">
        <v>5577</v>
      </c>
      <c r="G1347" s="165"/>
      <c r="H1347" s="165">
        <v>14175</v>
      </c>
      <c r="I1347" s="165"/>
      <c r="J1347" s="165"/>
      <c r="K1347" s="338"/>
      <c r="L1347" s="338"/>
      <c r="M1347" s="165">
        <v>14175</v>
      </c>
      <c r="N1347" s="165"/>
      <c r="O1347" s="337">
        <f t="shared" si="49"/>
        <v>14175</v>
      </c>
      <c r="P1347" s="165"/>
      <c r="Q1347" s="165"/>
      <c r="R1347" s="3">
        <f t="shared" si="52"/>
        <v>14175</v>
      </c>
      <c r="S1347" s="337"/>
      <c r="T1347"/>
      <c r="U1347" s="3"/>
    </row>
    <row r="1348" spans="1:21">
      <c r="A1348" s="165" t="s">
        <v>4624</v>
      </c>
      <c r="B1348" s="94">
        <v>1338</v>
      </c>
      <c r="C1348" s="165" t="s">
        <v>4131</v>
      </c>
      <c r="D1348" s="165">
        <v>7</v>
      </c>
      <c r="E1348" s="165" t="s">
        <v>5571</v>
      </c>
      <c r="F1348" s="165" t="s">
        <v>5578</v>
      </c>
      <c r="G1348" s="165"/>
      <c r="H1348" s="165">
        <v>14175</v>
      </c>
      <c r="I1348" s="165"/>
      <c r="J1348" s="165"/>
      <c r="K1348" s="338"/>
      <c r="L1348" s="338"/>
      <c r="M1348" s="165">
        <v>14175</v>
      </c>
      <c r="N1348" s="165"/>
      <c r="O1348" s="337">
        <f t="shared" si="49"/>
        <v>14175</v>
      </c>
      <c r="P1348" s="165"/>
      <c r="Q1348" s="165"/>
      <c r="R1348" s="3">
        <f t="shared" si="52"/>
        <v>14175</v>
      </c>
      <c r="S1348" s="337"/>
      <c r="T1348"/>
      <c r="U1348" s="3"/>
    </row>
    <row r="1349" spans="1:21">
      <c r="A1349" s="165" t="s">
        <v>4624</v>
      </c>
      <c r="B1349" s="94">
        <v>1339</v>
      </c>
      <c r="C1349" s="165" t="s">
        <v>4131</v>
      </c>
      <c r="D1349" s="165">
        <v>8</v>
      </c>
      <c r="E1349" s="165" t="s">
        <v>5572</v>
      </c>
      <c r="F1349" s="165" t="s">
        <v>5579</v>
      </c>
      <c r="G1349" s="165"/>
      <c r="H1349" s="165">
        <v>14175</v>
      </c>
      <c r="I1349" s="165"/>
      <c r="J1349" s="165"/>
      <c r="K1349" s="338"/>
      <c r="L1349" s="338"/>
      <c r="M1349" s="165">
        <v>14175</v>
      </c>
      <c r="N1349" s="165"/>
      <c r="O1349" s="337">
        <f t="shared" si="49"/>
        <v>14175</v>
      </c>
      <c r="P1349" s="165"/>
      <c r="Q1349" s="165"/>
      <c r="R1349" s="3">
        <f t="shared" si="52"/>
        <v>14175</v>
      </c>
      <c r="S1349" s="337"/>
      <c r="T1349"/>
      <c r="U1349" s="3"/>
    </row>
    <row r="1350" spans="1:21">
      <c r="A1350" s="165"/>
      <c r="B1350" s="165"/>
      <c r="C1350" s="165"/>
      <c r="D1350" s="165"/>
      <c r="E1350" s="165"/>
      <c r="F1350" s="165"/>
      <c r="G1350" s="165"/>
      <c r="H1350" s="165"/>
      <c r="I1350" s="165"/>
      <c r="J1350" s="165"/>
      <c r="K1350" s="165"/>
      <c r="L1350" s="165"/>
      <c r="M1350" s="165"/>
      <c r="N1350" s="165"/>
      <c r="O1350" s="165"/>
      <c r="P1350" s="165"/>
    </row>
    <row r="1351" spans="1:21">
      <c r="A1351" s="165"/>
      <c r="B1351" s="165"/>
      <c r="C1351" s="165"/>
      <c r="D1351" s="165"/>
      <c r="E1351" s="165"/>
      <c r="F1351" s="165"/>
      <c r="G1351" s="165"/>
      <c r="H1351" s="165"/>
      <c r="I1351" s="165"/>
      <c r="J1351" s="165"/>
      <c r="K1351" s="165"/>
      <c r="L1351" s="165"/>
      <c r="M1351" s="165"/>
      <c r="N1351" s="165"/>
      <c r="O1351" s="165"/>
      <c r="P1351" s="165"/>
    </row>
    <row r="1352" spans="1:21">
      <c r="A1352" s="165"/>
      <c r="B1352" s="165"/>
      <c r="C1352" s="165"/>
      <c r="D1352" s="165"/>
      <c r="E1352" s="165"/>
      <c r="F1352" s="165"/>
      <c r="G1352" s="165"/>
      <c r="H1352" s="165"/>
      <c r="I1352" s="165"/>
      <c r="J1352" s="165"/>
      <c r="K1352" s="165"/>
      <c r="L1352" s="165"/>
      <c r="M1352" s="165"/>
      <c r="N1352" s="165"/>
      <c r="O1352" s="165"/>
      <c r="P1352" s="165"/>
    </row>
    <row r="1353" spans="1:21" s="176" customFormat="1" ht="20.25" customHeight="1">
      <c r="A1353" s="203" t="s">
        <v>9595</v>
      </c>
      <c r="B1353" s="200"/>
      <c r="C1353" s="201"/>
      <c r="D1353" s="202"/>
      <c r="E1353" s="201"/>
      <c r="F1353" s="185" t="s">
        <v>2378</v>
      </c>
      <c r="G1353" s="185">
        <f t="shared" ref="G1353:O1353" si="53">SUM(G1355:G1517)</f>
        <v>348180</v>
      </c>
      <c r="H1353" s="185">
        <f t="shared" si="53"/>
        <v>1482030</v>
      </c>
      <c r="I1353" s="185">
        <f t="shared" si="53"/>
        <v>401310</v>
      </c>
      <c r="J1353" s="185">
        <f t="shared" si="53"/>
        <v>0</v>
      </c>
      <c r="K1353" s="185">
        <f t="shared" si="53"/>
        <v>0</v>
      </c>
      <c r="L1353" s="185">
        <f t="shared" si="53"/>
        <v>1060845</v>
      </c>
      <c r="M1353" s="185">
        <f t="shared" si="53"/>
        <v>1170675</v>
      </c>
      <c r="N1353" s="185">
        <f t="shared" si="53"/>
        <v>0</v>
      </c>
      <c r="O1353" s="185">
        <f t="shared" si="53"/>
        <v>1170675</v>
      </c>
      <c r="P1353" s="185"/>
      <c r="Q1353" s="185"/>
      <c r="R1353" s="185">
        <f>SUM(Q1355:Q1700)</f>
        <v>0</v>
      </c>
      <c r="S1353" s="185">
        <f>SUM(R1355:R1700)</f>
        <v>2721155</v>
      </c>
      <c r="T1353" s="185">
        <f>SUM(S1355:S1700)</f>
        <v>1550340</v>
      </c>
      <c r="U1353" s="185">
        <f>SUM(T1355:T1700)</f>
        <v>489495</v>
      </c>
    </row>
    <row r="1354" spans="1:21" s="270" customFormat="1">
      <c r="A1354" s="269" t="s">
        <v>1281</v>
      </c>
      <c r="B1354" s="269" t="s">
        <v>2435</v>
      </c>
      <c r="C1354" s="269" t="s">
        <v>1385</v>
      </c>
      <c r="D1354" s="269" t="s">
        <v>1275</v>
      </c>
      <c r="E1354" s="269" t="s">
        <v>265</v>
      </c>
      <c r="F1354" s="269" t="s">
        <v>1280</v>
      </c>
      <c r="G1354" s="269" t="s">
        <v>10039</v>
      </c>
      <c r="H1354" s="269" t="s">
        <v>4468</v>
      </c>
      <c r="I1354" s="269" t="s">
        <v>4447</v>
      </c>
      <c r="J1354" s="269" t="s">
        <v>4470</v>
      </c>
      <c r="K1354" s="269" t="s">
        <v>4471</v>
      </c>
      <c r="L1354" s="269" t="s">
        <v>9596</v>
      </c>
      <c r="M1354" s="269" t="s">
        <v>4841</v>
      </c>
      <c r="N1354" s="269" t="s">
        <v>3728</v>
      </c>
      <c r="O1354" s="269" t="s">
        <v>2438</v>
      </c>
      <c r="P1354" s="269" t="s">
        <v>1282</v>
      </c>
      <c r="Q1354" s="269" t="s">
        <v>1386</v>
      </c>
      <c r="R1354" s="269" t="s">
        <v>576</v>
      </c>
      <c r="S1354" s="269" t="s">
        <v>3593</v>
      </c>
      <c r="T1354" s="269" t="s">
        <v>1283</v>
      </c>
      <c r="U1354" s="269" t="s">
        <v>577</v>
      </c>
    </row>
    <row r="1355" spans="1:21" s="665" customFormat="1">
      <c r="A1355" s="665" t="s">
        <v>9602</v>
      </c>
      <c r="B1355" s="666"/>
      <c r="C1355" s="667" t="s">
        <v>9598</v>
      </c>
      <c r="D1355" s="668">
        <v>10</v>
      </c>
      <c r="E1355" s="667" t="s">
        <v>8988</v>
      </c>
      <c r="F1355" s="665" t="s">
        <v>9602</v>
      </c>
      <c r="O1355" s="664">
        <f>G1355+H1355+I1355-J1355-K1355-L1355</f>
        <v>0</v>
      </c>
      <c r="P1355" s="665" t="s">
        <v>9602</v>
      </c>
      <c r="Q1355" s="665" t="s">
        <v>9602</v>
      </c>
      <c r="R1355" s="665">
        <v>4410</v>
      </c>
      <c r="S1355" s="669">
        <v>4410</v>
      </c>
      <c r="T1355" s="669">
        <v>4410</v>
      </c>
    </row>
    <row r="1356" spans="1:21" s="665" customFormat="1">
      <c r="A1356" s="670" t="s">
        <v>9626</v>
      </c>
      <c r="B1356" s="666"/>
      <c r="C1356" s="667" t="s">
        <v>5969</v>
      </c>
      <c r="D1356" s="668">
        <v>2</v>
      </c>
      <c r="E1356" s="667" t="s">
        <v>8988</v>
      </c>
      <c r="F1356" s="665" t="s">
        <v>9759</v>
      </c>
      <c r="O1356" s="664">
        <f t="shared" ref="O1356:O1385" si="54">G1356+H1356+I1356+L1356-J1356-K1356</f>
        <v>0</v>
      </c>
      <c r="P1356" s="665" t="s">
        <v>9759</v>
      </c>
      <c r="Q1356" s="665" t="s">
        <v>9759</v>
      </c>
      <c r="R1356" s="665">
        <v>13230</v>
      </c>
      <c r="S1356" s="665">
        <v>13230</v>
      </c>
      <c r="T1356" s="665">
        <v>13230</v>
      </c>
    </row>
    <row r="1357" spans="1:21" s="665" customFormat="1">
      <c r="A1357" s="665" t="s">
        <v>5610</v>
      </c>
      <c r="B1357" s="666"/>
      <c r="C1357" s="667" t="s">
        <v>9598</v>
      </c>
      <c r="D1357" s="668">
        <v>11</v>
      </c>
      <c r="E1357" s="667" t="s">
        <v>8988</v>
      </c>
      <c r="F1357" s="665" t="s">
        <v>5610</v>
      </c>
      <c r="O1357" s="664">
        <f t="shared" si="54"/>
        <v>0</v>
      </c>
      <c r="P1357" s="665" t="s">
        <v>5610</v>
      </c>
      <c r="Q1357" s="665" t="s">
        <v>5610</v>
      </c>
      <c r="R1357" s="665">
        <v>4410</v>
      </c>
      <c r="S1357" s="669">
        <v>4410</v>
      </c>
      <c r="T1357" s="669">
        <v>4410</v>
      </c>
    </row>
    <row r="1358" spans="1:21" s="665" customFormat="1">
      <c r="A1358" s="665" t="s">
        <v>9603</v>
      </c>
      <c r="B1358" s="666"/>
      <c r="C1358" s="667" t="s">
        <v>5965</v>
      </c>
      <c r="D1358" s="668">
        <v>8</v>
      </c>
      <c r="E1358" s="667" t="s">
        <v>8988</v>
      </c>
      <c r="F1358" s="665" t="s">
        <v>9603</v>
      </c>
      <c r="O1358" s="664">
        <f t="shared" si="54"/>
        <v>0</v>
      </c>
      <c r="P1358" s="665" t="s">
        <v>9603</v>
      </c>
      <c r="Q1358" s="665" t="s">
        <v>9603</v>
      </c>
      <c r="R1358" s="665">
        <v>14175</v>
      </c>
      <c r="S1358" s="669">
        <v>14165</v>
      </c>
      <c r="T1358" s="669">
        <v>14165</v>
      </c>
      <c r="U1358" s="665">
        <v>10</v>
      </c>
    </row>
    <row r="1359" spans="1:21" s="665" customFormat="1">
      <c r="A1359" s="665" t="s">
        <v>9604</v>
      </c>
      <c r="B1359" s="666"/>
      <c r="C1359" s="667" t="s">
        <v>9956</v>
      </c>
      <c r="D1359" s="668"/>
      <c r="E1359" s="667" t="s">
        <v>5011</v>
      </c>
      <c r="F1359" s="665" t="s">
        <v>9604</v>
      </c>
      <c r="O1359" s="664">
        <f>G1359+H1359+I1359+L1359-J1359-K1359</f>
        <v>0</v>
      </c>
      <c r="P1359" s="665" t="s">
        <v>9604</v>
      </c>
      <c r="Q1359" s="665" t="s">
        <v>9604</v>
      </c>
      <c r="R1359" s="665">
        <v>3150</v>
      </c>
      <c r="S1359" s="669">
        <v>3150</v>
      </c>
      <c r="T1359" s="669">
        <v>3150</v>
      </c>
    </row>
    <row r="1360" spans="1:21" s="665" customFormat="1">
      <c r="A1360" s="665" t="s">
        <v>9604</v>
      </c>
      <c r="B1360" s="666"/>
      <c r="C1360" s="667" t="s">
        <v>9598</v>
      </c>
      <c r="D1360" s="668">
        <v>12</v>
      </c>
      <c r="E1360" s="667" t="s">
        <v>8988</v>
      </c>
      <c r="F1360" s="665" t="s">
        <v>9604</v>
      </c>
      <c r="O1360" s="664">
        <f t="shared" si="54"/>
        <v>0</v>
      </c>
      <c r="P1360" s="665" t="s">
        <v>9604</v>
      </c>
      <c r="Q1360" s="665" t="s">
        <v>9604</v>
      </c>
      <c r="R1360" s="665">
        <v>4410</v>
      </c>
      <c r="S1360" s="669">
        <v>4410</v>
      </c>
      <c r="T1360" s="669">
        <v>4410</v>
      </c>
    </row>
    <row r="1361" spans="1:22" s="665" customFormat="1">
      <c r="A1361" s="665" t="s">
        <v>9605</v>
      </c>
      <c r="B1361" s="666"/>
      <c r="C1361" s="667" t="s">
        <v>5967</v>
      </c>
      <c r="D1361" s="668">
        <v>2</v>
      </c>
      <c r="E1361" s="667" t="s">
        <v>8988</v>
      </c>
      <c r="F1361" s="665" t="s">
        <v>9605</v>
      </c>
      <c r="O1361" s="664">
        <f t="shared" si="54"/>
        <v>0</v>
      </c>
      <c r="P1361" s="665" t="s">
        <v>9605</v>
      </c>
      <c r="Q1361" s="665" t="s">
        <v>9605</v>
      </c>
      <c r="R1361" s="665">
        <v>13500</v>
      </c>
      <c r="S1361" s="669">
        <v>13485</v>
      </c>
      <c r="T1361" s="669">
        <v>13485</v>
      </c>
      <c r="U1361" s="665">
        <v>15</v>
      </c>
    </row>
    <row r="1362" spans="1:22" s="665" customFormat="1">
      <c r="A1362" s="665" t="s">
        <v>9606</v>
      </c>
      <c r="B1362" s="666"/>
      <c r="C1362" s="667" t="s">
        <v>9598</v>
      </c>
      <c r="D1362" s="668">
        <v>13</v>
      </c>
      <c r="E1362" s="667" t="s">
        <v>8988</v>
      </c>
      <c r="F1362" s="665" t="s">
        <v>9606</v>
      </c>
      <c r="O1362" s="664">
        <f t="shared" si="54"/>
        <v>0</v>
      </c>
      <c r="P1362" s="665" t="s">
        <v>9606</v>
      </c>
      <c r="Q1362" s="665" t="s">
        <v>9606</v>
      </c>
      <c r="R1362" s="665">
        <v>4410</v>
      </c>
      <c r="S1362" s="669">
        <v>4410</v>
      </c>
      <c r="T1362" s="669">
        <v>4410</v>
      </c>
    </row>
    <row r="1363" spans="1:22" s="665" customFormat="1">
      <c r="A1363" s="665" t="s">
        <v>9607</v>
      </c>
      <c r="B1363" s="666"/>
      <c r="C1363" s="667" t="s">
        <v>5963</v>
      </c>
      <c r="D1363" s="668">
        <v>4</v>
      </c>
      <c r="E1363" s="667" t="s">
        <v>8988</v>
      </c>
      <c r="F1363" s="665" t="s">
        <v>9607</v>
      </c>
      <c r="O1363" s="664">
        <f t="shared" si="54"/>
        <v>0</v>
      </c>
      <c r="P1363" s="665" t="s">
        <v>9607</v>
      </c>
      <c r="Q1363" s="665" t="s">
        <v>9607</v>
      </c>
      <c r="R1363" s="665">
        <v>14175</v>
      </c>
      <c r="S1363" s="669">
        <v>14165</v>
      </c>
      <c r="T1363" s="669">
        <v>14165</v>
      </c>
      <c r="U1363" s="665">
        <v>10</v>
      </c>
    </row>
    <row r="1364" spans="1:22" s="665" customFormat="1">
      <c r="A1364" s="665" t="s">
        <v>9608</v>
      </c>
      <c r="B1364" s="666"/>
      <c r="C1364" s="667" t="s">
        <v>9598</v>
      </c>
      <c r="D1364" s="668">
        <v>14</v>
      </c>
      <c r="E1364" s="667" t="s">
        <v>8988</v>
      </c>
      <c r="F1364" s="665" t="s">
        <v>9608</v>
      </c>
      <c r="O1364" s="664">
        <f t="shared" si="54"/>
        <v>0</v>
      </c>
      <c r="P1364" s="665" t="s">
        <v>9608</v>
      </c>
      <c r="Q1364" s="665" t="s">
        <v>9608</v>
      </c>
      <c r="R1364" s="665">
        <v>4410</v>
      </c>
      <c r="S1364" s="669">
        <v>4410</v>
      </c>
      <c r="T1364" s="669">
        <v>4410</v>
      </c>
    </row>
    <row r="1365" spans="1:22" s="665" customFormat="1">
      <c r="A1365" s="665" t="s">
        <v>9609</v>
      </c>
      <c r="B1365" s="666"/>
      <c r="C1365" s="667" t="s">
        <v>9598</v>
      </c>
      <c r="D1365" s="668">
        <v>15</v>
      </c>
      <c r="E1365" s="667" t="s">
        <v>8988</v>
      </c>
      <c r="F1365" s="665" t="s">
        <v>9609</v>
      </c>
      <c r="O1365" s="664">
        <f t="shared" si="54"/>
        <v>0</v>
      </c>
      <c r="P1365" s="665" t="s">
        <v>9609</v>
      </c>
      <c r="Q1365" s="665" t="s">
        <v>9609</v>
      </c>
      <c r="R1365" s="665">
        <v>4410</v>
      </c>
      <c r="S1365" s="669">
        <v>4410</v>
      </c>
      <c r="T1365" s="669">
        <v>4410</v>
      </c>
    </row>
    <row r="1366" spans="1:22" s="665" customFormat="1">
      <c r="A1366" s="665" t="s">
        <v>9610</v>
      </c>
      <c r="B1366" s="666"/>
      <c r="C1366" s="667" t="s">
        <v>5967</v>
      </c>
      <c r="D1366" s="668">
        <v>3</v>
      </c>
      <c r="E1366" s="667" t="s">
        <v>8988</v>
      </c>
      <c r="F1366" s="665" t="s">
        <v>9610</v>
      </c>
      <c r="O1366" s="664">
        <f t="shared" si="54"/>
        <v>0</v>
      </c>
      <c r="P1366" s="665" t="s">
        <v>9610</v>
      </c>
      <c r="Q1366" s="665" t="s">
        <v>9610</v>
      </c>
      <c r="R1366" s="665">
        <v>13500</v>
      </c>
      <c r="S1366" s="669">
        <v>13485</v>
      </c>
      <c r="T1366" s="669">
        <v>13485</v>
      </c>
      <c r="U1366" s="665">
        <v>15</v>
      </c>
    </row>
    <row r="1367" spans="1:22" s="665" customFormat="1">
      <c r="A1367" s="665" t="s">
        <v>9611</v>
      </c>
      <c r="B1367" s="666"/>
      <c r="C1367" s="667" t="s">
        <v>9598</v>
      </c>
      <c r="D1367" s="668">
        <v>16</v>
      </c>
      <c r="E1367" s="667" t="s">
        <v>8988</v>
      </c>
      <c r="F1367" s="665" t="s">
        <v>9611</v>
      </c>
      <c r="O1367" s="664">
        <f t="shared" si="54"/>
        <v>0</v>
      </c>
      <c r="P1367" s="665" t="s">
        <v>9611</v>
      </c>
      <c r="Q1367" s="665" t="s">
        <v>9611</v>
      </c>
      <c r="R1367" s="665">
        <v>4410</v>
      </c>
      <c r="S1367" s="669">
        <v>4410</v>
      </c>
      <c r="T1367" s="669">
        <v>4410</v>
      </c>
    </row>
    <row r="1368" spans="1:22" s="665" customFormat="1">
      <c r="A1368" s="670" t="s">
        <v>9627</v>
      </c>
      <c r="B1368" s="666"/>
      <c r="C1368" s="667" t="s">
        <v>5969</v>
      </c>
      <c r="D1368" s="668">
        <v>3</v>
      </c>
      <c r="E1368" s="667" t="s">
        <v>8988</v>
      </c>
      <c r="F1368" s="665" t="s">
        <v>9675</v>
      </c>
      <c r="O1368" s="664">
        <f t="shared" si="54"/>
        <v>0</v>
      </c>
      <c r="P1368" s="665" t="s">
        <v>9675</v>
      </c>
      <c r="Q1368" s="665" t="s">
        <v>9675</v>
      </c>
      <c r="R1368" s="665">
        <v>13230</v>
      </c>
      <c r="S1368" s="665">
        <v>13230</v>
      </c>
      <c r="T1368" s="665">
        <v>13230</v>
      </c>
    </row>
    <row r="1369" spans="1:22" s="665" customFormat="1">
      <c r="A1369" s="665" t="s">
        <v>9612</v>
      </c>
      <c r="B1369" s="666"/>
      <c r="C1369" s="667" t="s">
        <v>5963</v>
      </c>
      <c r="D1369" s="668">
        <v>5</v>
      </c>
      <c r="E1369" s="667" t="s">
        <v>8988</v>
      </c>
      <c r="F1369" s="665" t="s">
        <v>9612</v>
      </c>
      <c r="O1369" s="664">
        <f t="shared" si="54"/>
        <v>0</v>
      </c>
      <c r="P1369" s="665" t="s">
        <v>9612</v>
      </c>
      <c r="Q1369" s="665" t="s">
        <v>9612</v>
      </c>
      <c r="R1369" s="665">
        <v>14175</v>
      </c>
      <c r="S1369" s="669">
        <v>14165</v>
      </c>
      <c r="T1369" s="669">
        <v>14165</v>
      </c>
      <c r="U1369" s="665">
        <v>10</v>
      </c>
    </row>
    <row r="1370" spans="1:22" s="665" customFormat="1">
      <c r="A1370" s="665" t="s">
        <v>9613</v>
      </c>
      <c r="B1370" s="666"/>
      <c r="C1370" s="667" t="s">
        <v>9598</v>
      </c>
      <c r="D1370" s="668">
        <v>17</v>
      </c>
      <c r="E1370" s="667" t="s">
        <v>8988</v>
      </c>
      <c r="F1370" s="665" t="s">
        <v>9613</v>
      </c>
      <c r="O1370" s="664">
        <f t="shared" si="54"/>
        <v>0</v>
      </c>
      <c r="P1370" s="665" t="s">
        <v>9613</v>
      </c>
      <c r="Q1370" s="665" t="s">
        <v>9613</v>
      </c>
      <c r="R1370" s="665">
        <v>4410</v>
      </c>
      <c r="S1370" s="669">
        <v>4410</v>
      </c>
      <c r="T1370" s="669">
        <v>4410</v>
      </c>
    </row>
    <row r="1371" spans="1:22" s="665" customFormat="1">
      <c r="A1371" s="665" t="s">
        <v>9614</v>
      </c>
      <c r="B1371" s="666"/>
      <c r="C1371" s="667" t="s">
        <v>5967</v>
      </c>
      <c r="D1371" s="668">
        <v>4</v>
      </c>
      <c r="E1371" s="667" t="s">
        <v>8988</v>
      </c>
      <c r="F1371" s="665" t="s">
        <v>9614</v>
      </c>
      <c r="O1371" s="664">
        <f t="shared" si="54"/>
        <v>0</v>
      </c>
      <c r="P1371" s="665" t="s">
        <v>9614</v>
      </c>
      <c r="Q1371" s="665" t="s">
        <v>9614</v>
      </c>
      <c r="R1371" s="665">
        <v>13500</v>
      </c>
      <c r="S1371" s="669">
        <v>13485</v>
      </c>
      <c r="T1371" s="669">
        <v>13485</v>
      </c>
      <c r="U1371" s="665">
        <v>15</v>
      </c>
    </row>
    <row r="1372" spans="1:22" s="665" customFormat="1">
      <c r="A1372" s="665" t="s">
        <v>9615</v>
      </c>
      <c r="B1372" s="666"/>
      <c r="C1372" s="667" t="s">
        <v>9598</v>
      </c>
      <c r="D1372" s="668">
        <v>18</v>
      </c>
      <c r="E1372" s="667" t="s">
        <v>8988</v>
      </c>
      <c r="F1372" s="665" t="s">
        <v>9615</v>
      </c>
      <c r="O1372" s="664">
        <f t="shared" si="54"/>
        <v>0</v>
      </c>
      <c r="P1372" s="665" t="s">
        <v>9615</v>
      </c>
      <c r="Q1372" s="665" t="s">
        <v>9615</v>
      </c>
      <c r="R1372" s="665">
        <v>4410</v>
      </c>
      <c r="S1372" s="669">
        <v>4410</v>
      </c>
      <c r="T1372" s="669">
        <v>4410</v>
      </c>
    </row>
    <row r="1373" spans="1:22" s="665" customFormat="1">
      <c r="A1373" s="665" t="s">
        <v>9616</v>
      </c>
      <c r="B1373" s="666"/>
      <c r="C1373" s="667" t="s">
        <v>9599</v>
      </c>
      <c r="D1373" s="671" t="s">
        <v>9597</v>
      </c>
      <c r="E1373" s="667" t="s">
        <v>8988</v>
      </c>
      <c r="F1373" s="665" t="s">
        <v>9616</v>
      </c>
      <c r="O1373" s="664">
        <f t="shared" si="54"/>
        <v>0</v>
      </c>
      <c r="P1373" s="665" t="s">
        <v>9616</v>
      </c>
      <c r="Q1373" s="665" t="s">
        <v>9616</v>
      </c>
      <c r="R1373" s="665">
        <v>45360</v>
      </c>
      <c r="S1373" s="669">
        <v>45360</v>
      </c>
      <c r="T1373" s="669">
        <v>45360</v>
      </c>
      <c r="V1373" s="672" t="s">
        <v>4760</v>
      </c>
    </row>
    <row r="1374" spans="1:22" s="665" customFormat="1">
      <c r="A1374" s="670" t="s">
        <v>9617</v>
      </c>
      <c r="B1374" s="666"/>
      <c r="C1374" s="667" t="s">
        <v>5969</v>
      </c>
      <c r="D1374" s="668">
        <v>4</v>
      </c>
      <c r="E1374" s="667" t="s">
        <v>8988</v>
      </c>
      <c r="F1374" s="665" t="s">
        <v>9931</v>
      </c>
      <c r="O1374" s="664">
        <f t="shared" si="54"/>
        <v>0</v>
      </c>
      <c r="P1374" s="665" t="s">
        <v>9931</v>
      </c>
      <c r="Q1374" s="665" t="s">
        <v>9931</v>
      </c>
      <c r="R1374" s="665">
        <v>13230</v>
      </c>
      <c r="S1374" s="665">
        <v>13230</v>
      </c>
      <c r="T1374" s="665">
        <v>13230</v>
      </c>
    </row>
    <row r="1375" spans="1:22" s="665" customFormat="1">
      <c r="A1375" s="665" t="s">
        <v>9617</v>
      </c>
      <c r="B1375" s="666"/>
      <c r="C1375" s="667" t="s">
        <v>9598</v>
      </c>
      <c r="D1375" s="668">
        <v>19</v>
      </c>
      <c r="E1375" s="667" t="s">
        <v>8988</v>
      </c>
      <c r="F1375" s="665" t="s">
        <v>9617</v>
      </c>
      <c r="O1375" s="664">
        <f t="shared" si="54"/>
        <v>0</v>
      </c>
      <c r="P1375" s="665" t="s">
        <v>9617</v>
      </c>
      <c r="Q1375" s="665" t="s">
        <v>9617</v>
      </c>
      <c r="R1375" s="665">
        <v>4410</v>
      </c>
      <c r="S1375" s="669">
        <v>4410</v>
      </c>
      <c r="T1375" s="669">
        <v>4410</v>
      </c>
    </row>
    <row r="1376" spans="1:22" s="665" customFormat="1">
      <c r="A1376" s="665" t="s">
        <v>9618</v>
      </c>
      <c r="B1376" s="666"/>
      <c r="C1376" s="667" t="s">
        <v>5963</v>
      </c>
      <c r="D1376" s="668">
        <v>6</v>
      </c>
      <c r="E1376" s="667" t="s">
        <v>8988</v>
      </c>
      <c r="F1376" s="665" t="s">
        <v>9618</v>
      </c>
      <c r="O1376" s="664">
        <f t="shared" si="54"/>
        <v>0</v>
      </c>
      <c r="P1376" s="665" t="s">
        <v>9618</v>
      </c>
      <c r="Q1376" s="665" t="s">
        <v>9618</v>
      </c>
      <c r="R1376" s="665">
        <v>14175</v>
      </c>
      <c r="S1376" s="669">
        <v>14165</v>
      </c>
      <c r="T1376" s="669">
        <v>14165</v>
      </c>
      <c r="U1376" s="665">
        <v>10</v>
      </c>
    </row>
    <row r="1377" spans="1:22" s="665" customFormat="1">
      <c r="A1377" s="665" t="s">
        <v>9619</v>
      </c>
      <c r="B1377" s="666"/>
      <c r="C1377" s="667" t="s">
        <v>5965</v>
      </c>
      <c r="D1377" s="668">
        <v>1</v>
      </c>
      <c r="E1377" s="667" t="s">
        <v>8988</v>
      </c>
      <c r="F1377" s="665" t="s">
        <v>9619</v>
      </c>
      <c r="O1377" s="664">
        <f t="shared" si="54"/>
        <v>0</v>
      </c>
      <c r="P1377" s="665" t="s">
        <v>9619</v>
      </c>
      <c r="Q1377" s="665" t="s">
        <v>9619</v>
      </c>
      <c r="R1377" s="665">
        <v>14175</v>
      </c>
      <c r="S1377" s="669">
        <v>14165</v>
      </c>
      <c r="T1377" s="669">
        <v>14165</v>
      </c>
      <c r="U1377" s="665">
        <v>10</v>
      </c>
    </row>
    <row r="1378" spans="1:22" s="665" customFormat="1">
      <c r="A1378" s="665" t="s">
        <v>9620</v>
      </c>
      <c r="B1378" s="666"/>
      <c r="C1378" s="667" t="s">
        <v>9598</v>
      </c>
      <c r="D1378" s="668">
        <v>20</v>
      </c>
      <c r="E1378" s="667" t="s">
        <v>8988</v>
      </c>
      <c r="F1378" s="665" t="s">
        <v>9620</v>
      </c>
      <c r="O1378" s="664">
        <f t="shared" si="54"/>
        <v>0</v>
      </c>
      <c r="P1378" s="665" t="s">
        <v>9620</v>
      </c>
      <c r="Q1378" s="665" t="s">
        <v>9620</v>
      </c>
      <c r="R1378" s="665">
        <v>4410</v>
      </c>
      <c r="S1378" s="669">
        <v>4410</v>
      </c>
      <c r="T1378" s="669">
        <v>4410</v>
      </c>
    </row>
    <row r="1379" spans="1:22" s="665" customFormat="1">
      <c r="A1379" s="665" t="s">
        <v>9621</v>
      </c>
      <c r="B1379" s="666"/>
      <c r="C1379" s="667" t="s">
        <v>5967</v>
      </c>
      <c r="D1379" s="668">
        <v>5</v>
      </c>
      <c r="E1379" s="667" t="s">
        <v>8988</v>
      </c>
      <c r="F1379" s="665" t="s">
        <v>9621</v>
      </c>
      <c r="O1379" s="664">
        <f t="shared" si="54"/>
        <v>0</v>
      </c>
      <c r="P1379" s="665" t="s">
        <v>9621</v>
      </c>
      <c r="Q1379" s="665" t="s">
        <v>9621</v>
      </c>
      <c r="R1379" s="665">
        <v>13500</v>
      </c>
      <c r="S1379" s="669">
        <v>13485</v>
      </c>
      <c r="T1379" s="669">
        <v>13485</v>
      </c>
      <c r="U1379" s="665">
        <v>15</v>
      </c>
    </row>
    <row r="1380" spans="1:22" s="665" customFormat="1">
      <c r="A1380" s="665" t="s">
        <v>9622</v>
      </c>
      <c r="B1380" s="666"/>
      <c r="C1380" s="667" t="s">
        <v>5951</v>
      </c>
      <c r="D1380" s="668"/>
      <c r="E1380" s="667" t="s">
        <v>8988</v>
      </c>
      <c r="F1380" s="665" t="s">
        <v>9622</v>
      </c>
      <c r="O1380" s="664">
        <f t="shared" si="54"/>
        <v>0</v>
      </c>
      <c r="P1380" s="665" t="s">
        <v>9622</v>
      </c>
      <c r="Q1380" s="665" t="s">
        <v>9622</v>
      </c>
      <c r="R1380" s="665">
        <v>113400</v>
      </c>
      <c r="S1380" s="669">
        <v>113400</v>
      </c>
      <c r="T1380" s="669">
        <v>113400</v>
      </c>
      <c r="V1380" s="665" t="s">
        <v>9600</v>
      </c>
    </row>
    <row r="1381" spans="1:22" s="665" customFormat="1">
      <c r="A1381" s="665" t="s">
        <v>9623</v>
      </c>
      <c r="B1381" s="666"/>
      <c r="C1381" s="667" t="s">
        <v>5872</v>
      </c>
      <c r="D1381" s="668"/>
      <c r="E1381" s="667" t="s">
        <v>8988</v>
      </c>
      <c r="F1381" s="665" t="s">
        <v>9623</v>
      </c>
      <c r="O1381" s="664">
        <f t="shared" si="54"/>
        <v>0</v>
      </c>
      <c r="P1381" s="665" t="s">
        <v>9623</v>
      </c>
      <c r="Q1381" s="665" t="s">
        <v>9623</v>
      </c>
      <c r="R1381" s="665">
        <v>6300</v>
      </c>
      <c r="S1381" s="669">
        <v>6290</v>
      </c>
      <c r="T1381" s="669">
        <v>6290</v>
      </c>
      <c r="U1381" s="665">
        <v>10</v>
      </c>
      <c r="V1381" s="665" t="s">
        <v>9601</v>
      </c>
    </row>
    <row r="1382" spans="1:22" s="665" customFormat="1">
      <c r="A1382" s="665" t="s">
        <v>9623</v>
      </c>
      <c r="B1382" s="666"/>
      <c r="C1382" s="667" t="s">
        <v>5872</v>
      </c>
      <c r="D1382" s="668"/>
      <c r="E1382" s="667" t="s">
        <v>8988</v>
      </c>
      <c r="F1382" s="665" t="s">
        <v>9623</v>
      </c>
      <c r="O1382" s="664">
        <f t="shared" si="54"/>
        <v>0</v>
      </c>
      <c r="P1382" s="665" t="s">
        <v>9623</v>
      </c>
      <c r="Q1382" s="665" t="s">
        <v>9623</v>
      </c>
      <c r="R1382" s="665">
        <v>75590</v>
      </c>
      <c r="S1382" s="669">
        <v>75590</v>
      </c>
      <c r="T1382" s="669">
        <v>75590</v>
      </c>
      <c r="U1382" s="665">
        <v>10</v>
      </c>
      <c r="V1382" s="665" t="s">
        <v>9600</v>
      </c>
    </row>
    <row r="1383" spans="1:22" s="665" customFormat="1">
      <c r="A1383" s="665" t="s">
        <v>9624</v>
      </c>
      <c r="B1383" s="666"/>
      <c r="C1383" s="667" t="s">
        <v>5963</v>
      </c>
      <c r="D1383" s="668">
        <v>7</v>
      </c>
      <c r="E1383" s="667" t="s">
        <v>8988</v>
      </c>
      <c r="F1383" s="665" t="s">
        <v>9624</v>
      </c>
      <c r="O1383" s="664">
        <f t="shared" si="54"/>
        <v>0</v>
      </c>
      <c r="P1383" s="665" t="s">
        <v>9624</v>
      </c>
      <c r="Q1383" s="665" t="s">
        <v>9624</v>
      </c>
      <c r="R1383" s="665">
        <v>14175</v>
      </c>
      <c r="S1383" s="669">
        <v>14165</v>
      </c>
      <c r="T1383" s="669">
        <v>14165</v>
      </c>
      <c r="U1383" s="665">
        <v>10</v>
      </c>
    </row>
    <row r="1384" spans="1:22" s="665" customFormat="1">
      <c r="A1384" s="665" t="s">
        <v>9624</v>
      </c>
      <c r="B1384" s="666"/>
      <c r="C1384" s="667" t="s">
        <v>9598</v>
      </c>
      <c r="D1384" s="668">
        <v>21</v>
      </c>
      <c r="E1384" s="667" t="s">
        <v>8988</v>
      </c>
      <c r="F1384" s="665" t="s">
        <v>9624</v>
      </c>
      <c r="O1384" s="664">
        <f t="shared" si="54"/>
        <v>0</v>
      </c>
      <c r="P1384" s="665" t="s">
        <v>9624</v>
      </c>
      <c r="Q1384" s="665" t="s">
        <v>9624</v>
      </c>
      <c r="R1384" s="665">
        <v>4410</v>
      </c>
      <c r="S1384" s="669">
        <v>4410</v>
      </c>
      <c r="T1384" s="669">
        <v>4410</v>
      </c>
    </row>
    <row r="1385" spans="1:22" s="665" customFormat="1">
      <c r="A1385" s="665" t="s">
        <v>9625</v>
      </c>
      <c r="B1385" s="666"/>
      <c r="C1385" s="667" t="s">
        <v>5965</v>
      </c>
      <c r="D1385" s="668">
        <v>2</v>
      </c>
      <c r="E1385" s="667" t="s">
        <v>8988</v>
      </c>
      <c r="F1385" s="665" t="s">
        <v>9625</v>
      </c>
      <c r="O1385" s="664">
        <f t="shared" si="54"/>
        <v>0</v>
      </c>
      <c r="P1385" s="665" t="s">
        <v>9625</v>
      </c>
      <c r="Q1385" s="665" t="s">
        <v>9625</v>
      </c>
      <c r="R1385" s="665">
        <v>14175</v>
      </c>
      <c r="S1385" s="669">
        <v>14165</v>
      </c>
      <c r="T1385" s="669">
        <v>14165</v>
      </c>
      <c r="U1385" s="665">
        <v>10</v>
      </c>
    </row>
    <row r="1386" spans="1:22">
      <c r="A1386" s="165" t="s">
        <v>9668</v>
      </c>
      <c r="B1386" s="94">
        <v>1340</v>
      </c>
      <c r="C1386" s="165" t="s">
        <v>1232</v>
      </c>
      <c r="D1386" s="165">
        <v>3</v>
      </c>
      <c r="E1386" s="165" t="s">
        <v>10135</v>
      </c>
      <c r="F1386" s="165" t="s">
        <v>9669</v>
      </c>
      <c r="G1386" s="556">
        <v>16380</v>
      </c>
      <c r="H1386" s="680"/>
      <c r="I1386" s="165"/>
      <c r="J1386" s="165"/>
      <c r="K1386" s="165"/>
      <c r="L1386" s="165">
        <v>16380</v>
      </c>
      <c r="M1386" s="165"/>
      <c r="N1386" s="165"/>
      <c r="O1386" s="337">
        <f t="shared" ref="O1386:O1397" si="55">G1386+H1386+I1386-J1386-K1386-L1386</f>
        <v>0</v>
      </c>
      <c r="P1386" s="165" t="s">
        <v>9670</v>
      </c>
      <c r="Q1386" s="165" t="s">
        <v>9670</v>
      </c>
      <c r="R1386" s="3">
        <f t="shared" ref="R1386:R1397" si="56">G1386+H1386+I1386</f>
        <v>16380</v>
      </c>
      <c r="S1386" s="337">
        <v>16380</v>
      </c>
      <c r="T1386" s="337"/>
      <c r="U1386" s="3"/>
    </row>
    <row r="1387" spans="1:22">
      <c r="A1387" s="165" t="s">
        <v>9672</v>
      </c>
      <c r="B1387" s="94">
        <v>1341</v>
      </c>
      <c r="C1387" s="165" t="s">
        <v>1232</v>
      </c>
      <c r="D1387" s="165">
        <v>4</v>
      </c>
      <c r="E1387" s="165" t="s">
        <v>9671</v>
      </c>
      <c r="F1387" s="165" t="s">
        <v>9673</v>
      </c>
      <c r="G1387" s="165"/>
      <c r="H1387" s="680">
        <v>16380</v>
      </c>
      <c r="I1387" s="165"/>
      <c r="J1387" s="165"/>
      <c r="K1387" s="165"/>
      <c r="L1387" s="165">
        <v>16380</v>
      </c>
      <c r="M1387" s="165"/>
      <c r="N1387" s="165"/>
      <c r="O1387" s="337">
        <f t="shared" si="55"/>
        <v>0</v>
      </c>
      <c r="P1387" s="165" t="s">
        <v>9673</v>
      </c>
      <c r="Q1387" s="165" t="s">
        <v>9673</v>
      </c>
      <c r="R1387" s="3">
        <f t="shared" si="56"/>
        <v>16380</v>
      </c>
      <c r="S1387" s="337">
        <v>16380</v>
      </c>
      <c r="T1387" s="337"/>
      <c r="U1387" s="3"/>
    </row>
    <row r="1388" spans="1:22">
      <c r="A1388" s="165" t="s">
        <v>9676</v>
      </c>
      <c r="B1388" s="94">
        <v>1342</v>
      </c>
      <c r="C1388" s="165" t="s">
        <v>1232</v>
      </c>
      <c r="D1388" s="165">
        <v>5</v>
      </c>
      <c r="E1388" s="165" t="s">
        <v>9674</v>
      </c>
      <c r="F1388" s="165" t="s">
        <v>9675</v>
      </c>
      <c r="G1388" s="165"/>
      <c r="H1388" s="680">
        <v>16380</v>
      </c>
      <c r="I1388" s="165"/>
      <c r="J1388" s="165"/>
      <c r="K1388" s="165"/>
      <c r="L1388" s="165">
        <v>16380</v>
      </c>
      <c r="M1388" s="165"/>
      <c r="N1388" s="165"/>
      <c r="O1388" s="337">
        <f t="shared" si="55"/>
        <v>0</v>
      </c>
      <c r="P1388" s="165" t="s">
        <v>9677</v>
      </c>
      <c r="Q1388" s="165" t="s">
        <v>9677</v>
      </c>
      <c r="R1388" s="3">
        <f t="shared" si="56"/>
        <v>16380</v>
      </c>
      <c r="S1388" s="337">
        <v>16380</v>
      </c>
      <c r="T1388" s="337"/>
      <c r="U1388" s="3"/>
    </row>
    <row r="1389" spans="1:22">
      <c r="A1389" s="165" t="s">
        <v>9679</v>
      </c>
      <c r="B1389" s="94">
        <v>1343</v>
      </c>
      <c r="C1389" s="165" t="s">
        <v>1232</v>
      </c>
      <c r="D1389" s="165">
        <v>6</v>
      </c>
      <c r="E1389" s="165" t="s">
        <v>9678</v>
      </c>
      <c r="F1389" s="165" t="s">
        <v>9680</v>
      </c>
      <c r="G1389" s="165"/>
      <c r="H1389" s="680">
        <v>16380</v>
      </c>
      <c r="I1389" s="165"/>
      <c r="J1389" s="165"/>
      <c r="K1389" s="165"/>
      <c r="L1389" s="165">
        <v>16380</v>
      </c>
      <c r="M1389" s="165"/>
      <c r="N1389" s="165"/>
      <c r="O1389" s="337">
        <f t="shared" si="55"/>
        <v>0</v>
      </c>
      <c r="P1389" s="165" t="s">
        <v>9681</v>
      </c>
      <c r="Q1389" s="165" t="s">
        <v>9681</v>
      </c>
      <c r="R1389" s="3">
        <f t="shared" si="56"/>
        <v>16380</v>
      </c>
      <c r="S1389" s="337">
        <v>16380</v>
      </c>
      <c r="T1389" s="337"/>
      <c r="U1389" s="3"/>
    </row>
    <row r="1390" spans="1:22">
      <c r="A1390" s="165" t="s">
        <v>9745</v>
      </c>
      <c r="B1390" s="94">
        <v>1344</v>
      </c>
      <c r="C1390" s="165" t="s">
        <v>9746</v>
      </c>
      <c r="D1390" s="165">
        <v>1</v>
      </c>
      <c r="E1390" s="165" t="s">
        <v>9747</v>
      </c>
      <c r="F1390" s="165" t="s">
        <v>9748</v>
      </c>
      <c r="G1390" s="165"/>
      <c r="H1390" s="680">
        <v>14175</v>
      </c>
      <c r="I1390" s="165"/>
      <c r="J1390" s="165"/>
      <c r="K1390" s="165"/>
      <c r="L1390" s="165">
        <v>14175</v>
      </c>
      <c r="M1390" s="165"/>
      <c r="N1390" s="165"/>
      <c r="O1390" s="337">
        <f t="shared" si="55"/>
        <v>0</v>
      </c>
      <c r="P1390" s="165" t="s">
        <v>9759</v>
      </c>
      <c r="Q1390" s="165" t="s">
        <v>9759</v>
      </c>
      <c r="R1390" s="3">
        <f t="shared" si="56"/>
        <v>14175</v>
      </c>
      <c r="S1390" s="337">
        <v>14175</v>
      </c>
      <c r="T1390"/>
      <c r="U1390" s="3"/>
    </row>
    <row r="1391" spans="1:22">
      <c r="A1391" s="165" t="s">
        <v>9745</v>
      </c>
      <c r="B1391" s="94">
        <v>1345</v>
      </c>
      <c r="C1391" s="165" t="s">
        <v>9746</v>
      </c>
      <c r="D1391" s="165">
        <v>2</v>
      </c>
      <c r="E1391" s="165" t="s">
        <v>9749</v>
      </c>
      <c r="F1391" s="165" t="s">
        <v>9756</v>
      </c>
      <c r="G1391" s="165"/>
      <c r="H1391" s="680">
        <v>14175</v>
      </c>
      <c r="I1391" s="165"/>
      <c r="J1391" s="165"/>
      <c r="K1391" s="165"/>
      <c r="L1391" s="165">
        <v>14175</v>
      </c>
      <c r="M1391" s="165"/>
      <c r="N1391" s="165"/>
      <c r="O1391" s="337">
        <f t="shared" si="55"/>
        <v>0</v>
      </c>
      <c r="P1391" s="165" t="s">
        <v>9633</v>
      </c>
      <c r="Q1391" s="165" t="s">
        <v>9633</v>
      </c>
      <c r="R1391" s="3">
        <f t="shared" si="56"/>
        <v>14175</v>
      </c>
      <c r="S1391" s="337">
        <v>14175</v>
      </c>
      <c r="T1391"/>
      <c r="U1391" s="3"/>
    </row>
    <row r="1392" spans="1:22">
      <c r="A1392" s="165" t="s">
        <v>9745</v>
      </c>
      <c r="B1392" s="94">
        <v>1346</v>
      </c>
      <c r="C1392" s="165" t="s">
        <v>9746</v>
      </c>
      <c r="D1392" s="165">
        <v>3</v>
      </c>
      <c r="E1392" s="165" t="s">
        <v>9750</v>
      </c>
      <c r="F1392" s="165" t="s">
        <v>9758</v>
      </c>
      <c r="G1392" s="165"/>
      <c r="H1392" s="680">
        <v>14175</v>
      </c>
      <c r="I1392" s="165"/>
      <c r="J1392" s="165"/>
      <c r="K1392" s="165"/>
      <c r="L1392" s="165">
        <v>14175</v>
      </c>
      <c r="M1392" s="165"/>
      <c r="N1392" s="165"/>
      <c r="O1392" s="337">
        <f t="shared" si="55"/>
        <v>0</v>
      </c>
      <c r="P1392" s="165" t="s">
        <v>9636</v>
      </c>
      <c r="Q1392" s="165" t="s">
        <v>9636</v>
      </c>
      <c r="R1392" s="3">
        <f t="shared" si="56"/>
        <v>14175</v>
      </c>
      <c r="S1392" s="337">
        <v>14175</v>
      </c>
      <c r="T1392"/>
      <c r="U1392" s="3"/>
    </row>
    <row r="1393" spans="1:21">
      <c r="A1393" s="165" t="s">
        <v>9745</v>
      </c>
      <c r="B1393" s="94">
        <v>1347</v>
      </c>
      <c r="C1393" s="165" t="s">
        <v>9746</v>
      </c>
      <c r="D1393" s="165">
        <v>4</v>
      </c>
      <c r="E1393" s="165" t="s">
        <v>9751</v>
      </c>
      <c r="F1393" s="165" t="s">
        <v>9654</v>
      </c>
      <c r="G1393" s="165"/>
      <c r="H1393" s="680">
        <v>14175</v>
      </c>
      <c r="I1393" s="165"/>
      <c r="J1393" s="165"/>
      <c r="K1393" s="165"/>
      <c r="L1393" s="165">
        <v>14175</v>
      </c>
      <c r="M1393" s="165"/>
      <c r="N1393" s="165"/>
      <c r="O1393" s="337">
        <f t="shared" si="55"/>
        <v>0</v>
      </c>
      <c r="P1393" s="165" t="s">
        <v>9654</v>
      </c>
      <c r="Q1393" s="165" t="s">
        <v>9654</v>
      </c>
      <c r="R1393" s="3">
        <f t="shared" si="56"/>
        <v>14175</v>
      </c>
      <c r="S1393" s="337">
        <v>14175</v>
      </c>
      <c r="T1393"/>
      <c r="U1393" s="3"/>
    </row>
    <row r="1394" spans="1:21">
      <c r="A1394" s="165" t="s">
        <v>9745</v>
      </c>
      <c r="B1394" s="94">
        <v>1348</v>
      </c>
      <c r="C1394" s="165" t="s">
        <v>9746</v>
      </c>
      <c r="D1394" s="165">
        <v>5</v>
      </c>
      <c r="E1394" s="165" t="s">
        <v>9752</v>
      </c>
      <c r="F1394" s="165" t="s">
        <v>9656</v>
      </c>
      <c r="G1394" s="165"/>
      <c r="H1394" s="680">
        <v>14175</v>
      </c>
      <c r="I1394" s="165"/>
      <c r="J1394" s="165"/>
      <c r="K1394" s="165"/>
      <c r="L1394" s="165"/>
      <c r="M1394" s="165">
        <v>14175</v>
      </c>
      <c r="N1394" s="165"/>
      <c r="O1394" s="337">
        <f t="shared" si="55"/>
        <v>14175</v>
      </c>
      <c r="P1394" s="165"/>
      <c r="Q1394" s="165"/>
      <c r="R1394" s="3">
        <f t="shared" si="56"/>
        <v>14175</v>
      </c>
      <c r="S1394" s="337"/>
      <c r="T1394"/>
      <c r="U1394" s="3"/>
    </row>
    <row r="1395" spans="1:21">
      <c r="A1395" s="165" t="s">
        <v>9745</v>
      </c>
      <c r="B1395" s="94">
        <v>1349</v>
      </c>
      <c r="C1395" s="165" t="s">
        <v>9746</v>
      </c>
      <c r="D1395" s="165">
        <v>6</v>
      </c>
      <c r="E1395" s="165" t="s">
        <v>9753</v>
      </c>
      <c r="F1395" s="165" t="s">
        <v>9659</v>
      </c>
      <c r="G1395" s="165"/>
      <c r="H1395" s="680">
        <v>14175</v>
      </c>
      <c r="I1395" s="165"/>
      <c r="J1395" s="165"/>
      <c r="K1395" s="165"/>
      <c r="L1395" s="165"/>
      <c r="M1395" s="165">
        <v>14175</v>
      </c>
      <c r="N1395" s="165"/>
      <c r="O1395" s="337">
        <f t="shared" si="55"/>
        <v>14175</v>
      </c>
      <c r="P1395" s="165"/>
      <c r="Q1395" s="165"/>
      <c r="R1395" s="3">
        <f t="shared" si="56"/>
        <v>14175</v>
      </c>
      <c r="S1395" s="337"/>
      <c r="T1395"/>
      <c r="U1395" s="3"/>
    </row>
    <row r="1396" spans="1:21">
      <c r="A1396" s="165" t="s">
        <v>9745</v>
      </c>
      <c r="B1396" s="94">
        <v>1350</v>
      </c>
      <c r="C1396" s="165" t="s">
        <v>9746</v>
      </c>
      <c r="D1396" s="165">
        <v>7</v>
      </c>
      <c r="E1396" s="165" t="s">
        <v>9754</v>
      </c>
      <c r="F1396" s="165" t="s">
        <v>9662</v>
      </c>
      <c r="G1396" s="165"/>
      <c r="H1396" s="680">
        <v>14175</v>
      </c>
      <c r="I1396" s="165"/>
      <c r="J1396" s="165"/>
      <c r="K1396" s="165"/>
      <c r="L1396" s="165"/>
      <c r="M1396" s="165">
        <v>14175</v>
      </c>
      <c r="N1396" s="165"/>
      <c r="O1396" s="337">
        <f t="shared" si="55"/>
        <v>14175</v>
      </c>
      <c r="P1396" s="165"/>
      <c r="Q1396" s="165"/>
      <c r="R1396" s="3">
        <f t="shared" si="56"/>
        <v>14175</v>
      </c>
      <c r="S1396" s="337"/>
      <c r="T1396"/>
      <c r="U1396" s="3"/>
    </row>
    <row r="1397" spans="1:21">
      <c r="A1397" s="165" t="s">
        <v>9745</v>
      </c>
      <c r="B1397" s="94">
        <v>1351</v>
      </c>
      <c r="C1397" s="165" t="s">
        <v>9746</v>
      </c>
      <c r="D1397" s="165">
        <v>8</v>
      </c>
      <c r="E1397" s="165" t="s">
        <v>9755</v>
      </c>
      <c r="F1397" s="165" t="s">
        <v>9757</v>
      </c>
      <c r="G1397" s="165"/>
      <c r="H1397" s="680">
        <v>14175</v>
      </c>
      <c r="I1397" s="165"/>
      <c r="J1397" s="165"/>
      <c r="K1397" s="165"/>
      <c r="L1397" s="165"/>
      <c r="M1397" s="165">
        <v>14175</v>
      </c>
      <c r="N1397" s="165"/>
      <c r="O1397" s="337">
        <f t="shared" si="55"/>
        <v>14175</v>
      </c>
      <c r="P1397" s="165"/>
      <c r="Q1397" s="165"/>
      <c r="R1397" s="3">
        <f t="shared" si="56"/>
        <v>14175</v>
      </c>
      <c r="S1397" s="337"/>
      <c r="T1397"/>
      <c r="U1397" s="3"/>
    </row>
    <row r="1398" spans="1:21">
      <c r="A1398" s="165" t="s">
        <v>9763</v>
      </c>
      <c r="B1398" s="94">
        <v>1352</v>
      </c>
      <c r="C1398" s="165" t="s">
        <v>9764</v>
      </c>
      <c r="D1398" s="165"/>
      <c r="E1398" s="165" t="s">
        <v>9765</v>
      </c>
      <c r="F1398" s="165" t="s">
        <v>9766</v>
      </c>
      <c r="G1398" s="165">
        <v>331800</v>
      </c>
      <c r="H1398" s="165"/>
      <c r="I1398" s="165"/>
      <c r="J1398" s="165"/>
      <c r="K1398" s="165"/>
      <c r="L1398" s="165">
        <v>331800</v>
      </c>
      <c r="M1398" s="165"/>
      <c r="N1398" s="165"/>
      <c r="O1398" s="337">
        <f t="shared" ref="O1398:O1406" si="57">G1398+H1398+I1398-J1398-K1398-L1398</f>
        <v>0</v>
      </c>
      <c r="P1398" s="165" t="s">
        <v>9760</v>
      </c>
      <c r="Q1398" s="165" t="s">
        <v>9760</v>
      </c>
      <c r="R1398" s="3">
        <f t="shared" ref="R1398:R1406" si="58">G1398+H1398+I1398</f>
        <v>331800</v>
      </c>
      <c r="S1398" s="337">
        <v>331800</v>
      </c>
      <c r="T1398"/>
      <c r="U1398" s="3"/>
    </row>
    <row r="1399" spans="1:21">
      <c r="A1399" s="165" t="s">
        <v>9850</v>
      </c>
      <c r="B1399" s="94">
        <v>1353</v>
      </c>
      <c r="C1399" s="165" t="s">
        <v>9851</v>
      </c>
      <c r="D1399" s="165">
        <v>1</v>
      </c>
      <c r="E1399" s="165" t="s">
        <v>9852</v>
      </c>
      <c r="F1399" s="165" t="s">
        <v>9860</v>
      </c>
      <c r="G1399" s="165"/>
      <c r="H1399" s="680">
        <v>17325</v>
      </c>
      <c r="I1399" s="165"/>
      <c r="J1399" s="165"/>
      <c r="K1399" s="165"/>
      <c r="L1399" s="165">
        <v>17325</v>
      </c>
      <c r="M1399" s="165"/>
      <c r="N1399" s="165"/>
      <c r="O1399" s="337">
        <f t="shared" si="57"/>
        <v>0</v>
      </c>
      <c r="P1399" s="165" t="s">
        <v>9860</v>
      </c>
      <c r="Q1399" s="165" t="s">
        <v>9860</v>
      </c>
      <c r="R1399" s="3">
        <f t="shared" si="58"/>
        <v>17325</v>
      </c>
      <c r="S1399" s="337">
        <v>17325</v>
      </c>
      <c r="T1399"/>
      <c r="U1399" s="3"/>
    </row>
    <row r="1400" spans="1:21">
      <c r="A1400" s="165" t="s">
        <v>9850</v>
      </c>
      <c r="B1400" s="94">
        <v>1354</v>
      </c>
      <c r="C1400" s="165" t="s">
        <v>9851</v>
      </c>
      <c r="D1400" s="165">
        <v>2</v>
      </c>
      <c r="E1400" s="165" t="s">
        <v>9853</v>
      </c>
      <c r="F1400" s="165" t="s">
        <v>9861</v>
      </c>
      <c r="G1400" s="165"/>
      <c r="H1400" s="680">
        <v>17325</v>
      </c>
      <c r="I1400" s="165"/>
      <c r="J1400" s="165"/>
      <c r="K1400" s="165"/>
      <c r="L1400" s="165">
        <v>17325</v>
      </c>
      <c r="M1400" s="165"/>
      <c r="N1400" s="165"/>
      <c r="O1400" s="337">
        <f t="shared" si="57"/>
        <v>0</v>
      </c>
      <c r="P1400" s="165" t="s">
        <v>9861</v>
      </c>
      <c r="Q1400" s="165" t="s">
        <v>9861</v>
      </c>
      <c r="R1400" s="3">
        <f t="shared" si="58"/>
        <v>17325</v>
      </c>
      <c r="S1400" s="337">
        <v>17325</v>
      </c>
      <c r="T1400"/>
      <c r="U1400" s="3"/>
    </row>
    <row r="1401" spans="1:21">
      <c r="A1401" s="165" t="s">
        <v>9850</v>
      </c>
      <c r="B1401" s="94">
        <v>1355</v>
      </c>
      <c r="C1401" s="165" t="s">
        <v>9851</v>
      </c>
      <c r="D1401" s="165">
        <v>3</v>
      </c>
      <c r="E1401" s="165" t="s">
        <v>9854</v>
      </c>
      <c r="F1401" s="165" t="s">
        <v>9865</v>
      </c>
      <c r="G1401" s="165"/>
      <c r="H1401" s="680">
        <v>17325</v>
      </c>
      <c r="I1401" s="165"/>
      <c r="J1401" s="165"/>
      <c r="K1401" s="165"/>
      <c r="L1401" s="165">
        <v>17325</v>
      </c>
      <c r="M1401" s="165"/>
      <c r="N1401" s="165"/>
      <c r="O1401" s="337">
        <f t="shared" si="57"/>
        <v>0</v>
      </c>
      <c r="P1401" s="165" t="s">
        <v>9865</v>
      </c>
      <c r="Q1401" s="165" t="s">
        <v>9865</v>
      </c>
      <c r="R1401" s="3">
        <f t="shared" si="58"/>
        <v>17325</v>
      </c>
      <c r="S1401" s="337">
        <v>17325</v>
      </c>
      <c r="T1401"/>
      <c r="U1401" s="3"/>
    </row>
    <row r="1402" spans="1:21">
      <c r="A1402" s="165" t="s">
        <v>9850</v>
      </c>
      <c r="B1402" s="94">
        <v>1356</v>
      </c>
      <c r="C1402" s="165" t="s">
        <v>9851</v>
      </c>
      <c r="D1402" s="165">
        <v>4</v>
      </c>
      <c r="E1402" s="165" t="s">
        <v>9855</v>
      </c>
      <c r="F1402" s="165" t="s">
        <v>9866</v>
      </c>
      <c r="G1402" s="165"/>
      <c r="H1402" s="680">
        <v>17325</v>
      </c>
      <c r="I1402" s="165"/>
      <c r="J1402" s="165"/>
      <c r="K1402" s="165"/>
      <c r="L1402" s="165">
        <v>17325</v>
      </c>
      <c r="M1402" s="165"/>
      <c r="N1402" s="165"/>
      <c r="O1402" s="337">
        <f t="shared" si="57"/>
        <v>0</v>
      </c>
      <c r="P1402" s="165" t="s">
        <v>9866</v>
      </c>
      <c r="Q1402" s="165" t="s">
        <v>9866</v>
      </c>
      <c r="R1402" s="3">
        <f t="shared" si="58"/>
        <v>17325</v>
      </c>
      <c r="S1402" s="337">
        <v>17325</v>
      </c>
      <c r="T1402"/>
      <c r="U1402" s="3"/>
    </row>
    <row r="1403" spans="1:21">
      <c r="A1403" s="165" t="s">
        <v>9850</v>
      </c>
      <c r="B1403" s="94">
        <v>1357</v>
      </c>
      <c r="C1403" s="165" t="s">
        <v>9851</v>
      </c>
      <c r="D1403" s="165">
        <v>5</v>
      </c>
      <c r="E1403" s="165" t="s">
        <v>9856</v>
      </c>
      <c r="F1403" s="165" t="s">
        <v>9864</v>
      </c>
      <c r="G1403" s="165"/>
      <c r="H1403" s="680">
        <v>17325</v>
      </c>
      <c r="I1403" s="165"/>
      <c r="J1403" s="165"/>
      <c r="K1403" s="165"/>
      <c r="L1403" s="165"/>
      <c r="M1403" s="165">
        <v>17325</v>
      </c>
      <c r="N1403" s="165"/>
      <c r="O1403" s="337">
        <f t="shared" si="57"/>
        <v>17325</v>
      </c>
      <c r="P1403" s="165"/>
      <c r="Q1403" s="165"/>
      <c r="R1403" s="3">
        <f t="shared" si="58"/>
        <v>17325</v>
      </c>
      <c r="S1403" s="337"/>
      <c r="T1403"/>
      <c r="U1403" s="3"/>
    </row>
    <row r="1404" spans="1:21">
      <c r="A1404" s="165" t="s">
        <v>9850</v>
      </c>
      <c r="B1404" s="94">
        <v>1358</v>
      </c>
      <c r="C1404" s="165" t="s">
        <v>9851</v>
      </c>
      <c r="D1404" s="165">
        <v>6</v>
      </c>
      <c r="E1404" s="165" t="s">
        <v>9857</v>
      </c>
      <c r="F1404" s="165" t="s">
        <v>9867</v>
      </c>
      <c r="G1404" s="165"/>
      <c r="H1404" s="680">
        <v>17325</v>
      </c>
      <c r="I1404" s="165"/>
      <c r="J1404" s="165"/>
      <c r="K1404" s="165"/>
      <c r="L1404" s="165"/>
      <c r="M1404" s="165">
        <v>17325</v>
      </c>
      <c r="N1404" s="165"/>
      <c r="O1404" s="337">
        <f t="shared" si="57"/>
        <v>17325</v>
      </c>
      <c r="P1404" s="165"/>
      <c r="Q1404" s="165"/>
      <c r="R1404" s="3">
        <f t="shared" si="58"/>
        <v>17325</v>
      </c>
      <c r="S1404" s="337"/>
      <c r="T1404"/>
      <c r="U1404" s="3"/>
    </row>
    <row r="1405" spans="1:21">
      <c r="A1405" s="165" t="s">
        <v>9850</v>
      </c>
      <c r="B1405" s="94">
        <v>1359</v>
      </c>
      <c r="C1405" s="165" t="s">
        <v>9851</v>
      </c>
      <c r="D1405" s="165">
        <v>7</v>
      </c>
      <c r="E1405" s="165" t="s">
        <v>9858</v>
      </c>
      <c r="F1405" s="165" t="s">
        <v>9862</v>
      </c>
      <c r="G1405" s="165"/>
      <c r="H1405" s="680">
        <v>17325</v>
      </c>
      <c r="I1405" s="165"/>
      <c r="J1405" s="165"/>
      <c r="K1405" s="165"/>
      <c r="L1405" s="165"/>
      <c r="M1405" s="165">
        <v>17325</v>
      </c>
      <c r="N1405" s="165"/>
      <c r="O1405" s="337">
        <f t="shared" si="57"/>
        <v>17325</v>
      </c>
      <c r="P1405" s="165"/>
      <c r="Q1405" s="165"/>
      <c r="R1405" s="3">
        <f t="shared" si="58"/>
        <v>17325</v>
      </c>
      <c r="S1405" s="337"/>
      <c r="T1405"/>
      <c r="U1405" s="3"/>
    </row>
    <row r="1406" spans="1:21">
      <c r="A1406" s="165" t="s">
        <v>9850</v>
      </c>
      <c r="B1406" s="94">
        <v>1360</v>
      </c>
      <c r="C1406" s="165" t="s">
        <v>9851</v>
      </c>
      <c r="D1406" s="165">
        <v>8</v>
      </c>
      <c r="E1406" s="165" t="s">
        <v>9859</v>
      </c>
      <c r="F1406" s="165" t="s">
        <v>9863</v>
      </c>
      <c r="G1406" s="165"/>
      <c r="H1406" s="680">
        <v>17325</v>
      </c>
      <c r="I1406" s="165"/>
      <c r="J1406" s="165"/>
      <c r="K1406" s="165"/>
      <c r="L1406" s="165"/>
      <c r="M1406" s="165">
        <v>17325</v>
      </c>
      <c r="N1406" s="165"/>
      <c r="O1406" s="337">
        <f t="shared" si="57"/>
        <v>17325</v>
      </c>
      <c r="P1406" s="165"/>
      <c r="Q1406" s="165"/>
      <c r="R1406" s="3">
        <f t="shared" si="58"/>
        <v>17325</v>
      </c>
      <c r="S1406" s="337"/>
      <c r="T1406"/>
      <c r="U1406" s="3"/>
    </row>
    <row r="1407" spans="1:21">
      <c r="A1407" s="165" t="s">
        <v>9798</v>
      </c>
      <c r="B1407" s="94">
        <v>1361</v>
      </c>
      <c r="C1407" s="165" t="s">
        <v>9799</v>
      </c>
      <c r="D1407" s="165">
        <v>5</v>
      </c>
      <c r="E1407" s="165" t="s">
        <v>9800</v>
      </c>
      <c r="F1407" s="165" t="s">
        <v>9801</v>
      </c>
      <c r="G1407" s="165"/>
      <c r="H1407" s="680">
        <v>20475</v>
      </c>
      <c r="I1407" s="165"/>
      <c r="J1407" s="165"/>
      <c r="K1407" s="165"/>
      <c r="L1407" s="165">
        <v>20475</v>
      </c>
      <c r="M1407" s="165"/>
      <c r="N1407" s="165"/>
      <c r="O1407" s="337">
        <f>G1407+H1407+I1407-J1407-K1407-L1407</f>
        <v>0</v>
      </c>
      <c r="P1407" s="165" t="s">
        <v>9802</v>
      </c>
      <c r="Q1407" s="165" t="s">
        <v>9802</v>
      </c>
      <c r="R1407" s="3">
        <f>G1407+H1407+I1407</f>
        <v>20475</v>
      </c>
      <c r="S1407" s="337">
        <v>20475</v>
      </c>
      <c r="T1407"/>
      <c r="U1407" s="3"/>
    </row>
    <row r="1408" spans="1:21">
      <c r="A1408" s="165" t="s">
        <v>9798</v>
      </c>
      <c r="B1408" s="94">
        <v>1362</v>
      </c>
      <c r="C1408" s="165" t="s">
        <v>9799</v>
      </c>
      <c r="D1408" s="165">
        <v>6</v>
      </c>
      <c r="E1408" s="165" t="s">
        <v>9803</v>
      </c>
      <c r="F1408" s="165" t="s">
        <v>9806</v>
      </c>
      <c r="G1408" s="165"/>
      <c r="H1408" s="680">
        <v>20475</v>
      </c>
      <c r="I1408" s="165"/>
      <c r="J1408" s="165"/>
      <c r="K1408" s="165"/>
      <c r="L1408" s="165">
        <v>20475</v>
      </c>
      <c r="M1408" s="165"/>
      <c r="N1408" s="165"/>
      <c r="O1408" s="337">
        <f>G1408+H1408+I1408-J1408-K1408-L1408</f>
        <v>0</v>
      </c>
      <c r="P1408" s="165" t="s">
        <v>9806</v>
      </c>
      <c r="Q1408" s="165" t="s">
        <v>9806</v>
      </c>
      <c r="R1408" s="3">
        <f>G1408+H1408+I1408</f>
        <v>20475</v>
      </c>
      <c r="S1408" s="337">
        <v>20475</v>
      </c>
      <c r="T1408"/>
      <c r="U1408" s="3"/>
    </row>
    <row r="1409" spans="1:21">
      <c r="A1409" s="165" t="s">
        <v>9798</v>
      </c>
      <c r="B1409" s="94">
        <v>1363</v>
      </c>
      <c r="C1409" s="165" t="s">
        <v>9799</v>
      </c>
      <c r="D1409" s="165">
        <v>7</v>
      </c>
      <c r="E1409" s="165" t="s">
        <v>9804</v>
      </c>
      <c r="F1409" s="165" t="s">
        <v>9807</v>
      </c>
      <c r="G1409" s="165"/>
      <c r="H1409" s="680">
        <v>20475</v>
      </c>
      <c r="I1409" s="165"/>
      <c r="J1409" s="165"/>
      <c r="K1409" s="165"/>
      <c r="L1409" s="165">
        <v>20475</v>
      </c>
      <c r="M1409" s="165"/>
      <c r="N1409" s="165"/>
      <c r="O1409" s="337">
        <f>G1409+H1409+I1409-J1409-K1409-L1409</f>
        <v>0</v>
      </c>
      <c r="P1409" s="165" t="s">
        <v>9807</v>
      </c>
      <c r="Q1409" s="165" t="s">
        <v>9807</v>
      </c>
      <c r="R1409" s="3">
        <f>G1409+H1409+I1409</f>
        <v>20475</v>
      </c>
      <c r="S1409" s="337">
        <v>20475</v>
      </c>
      <c r="T1409"/>
      <c r="U1409" s="3"/>
    </row>
    <row r="1410" spans="1:21">
      <c r="A1410" s="165" t="s">
        <v>9798</v>
      </c>
      <c r="B1410" s="94">
        <v>1364</v>
      </c>
      <c r="C1410" s="165" t="s">
        <v>9799</v>
      </c>
      <c r="D1410" s="165">
        <v>8</v>
      </c>
      <c r="E1410" s="165" t="s">
        <v>9805</v>
      </c>
      <c r="F1410" s="165" t="s">
        <v>9808</v>
      </c>
      <c r="G1410" s="165"/>
      <c r="H1410" s="680">
        <v>20475</v>
      </c>
      <c r="I1410" s="165"/>
      <c r="J1410" s="165"/>
      <c r="K1410" s="165"/>
      <c r="L1410" s="165">
        <v>20475</v>
      </c>
      <c r="M1410" s="165"/>
      <c r="N1410" s="165"/>
      <c r="O1410" s="337">
        <f>G1410+H1410+I1410-J1410-K1410-L1410</f>
        <v>0</v>
      </c>
      <c r="P1410" s="165" t="s">
        <v>9809</v>
      </c>
      <c r="Q1410" s="165" t="s">
        <v>9809</v>
      </c>
      <c r="R1410" s="3">
        <f>G1410+H1410+I1410</f>
        <v>20475</v>
      </c>
      <c r="S1410" s="337">
        <v>20475</v>
      </c>
      <c r="T1410"/>
      <c r="U1410" s="3"/>
    </row>
    <row r="1411" spans="1:21">
      <c r="A1411" s="165" t="s">
        <v>9881</v>
      </c>
      <c r="B1411" s="94">
        <v>1365</v>
      </c>
      <c r="C1411" s="165" t="s">
        <v>9882</v>
      </c>
      <c r="D1411" s="165">
        <v>1</v>
      </c>
      <c r="E1411" s="165" t="s">
        <v>9883</v>
      </c>
      <c r="F1411" s="165" t="s">
        <v>9891</v>
      </c>
      <c r="G1411" s="165"/>
      <c r="H1411" s="680">
        <v>13500</v>
      </c>
      <c r="I1411" s="165"/>
      <c r="J1411" s="165"/>
      <c r="K1411" s="165"/>
      <c r="L1411" s="165">
        <v>13500</v>
      </c>
      <c r="M1411" s="165"/>
      <c r="N1411" s="165"/>
      <c r="O1411" s="337">
        <f t="shared" ref="O1411:O1418" si="59">G1411+H1411+I1411-J1411-K1411-L1411</f>
        <v>0</v>
      </c>
      <c r="P1411" s="165" t="s">
        <v>9893</v>
      </c>
      <c r="Q1411" s="165" t="s">
        <v>9893</v>
      </c>
      <c r="R1411" s="3">
        <f t="shared" ref="R1411:R1418" si="60">G1411+H1411+I1411</f>
        <v>13500</v>
      </c>
      <c r="S1411" s="337">
        <v>13500</v>
      </c>
      <c r="T1411"/>
      <c r="U1411" s="3"/>
    </row>
    <row r="1412" spans="1:21">
      <c r="A1412" s="165" t="s">
        <v>9881</v>
      </c>
      <c r="B1412" s="94">
        <v>1366</v>
      </c>
      <c r="C1412" s="165" t="s">
        <v>9882</v>
      </c>
      <c r="D1412" s="165">
        <v>2</v>
      </c>
      <c r="E1412" s="165" t="s">
        <v>9884</v>
      </c>
      <c r="F1412" s="165" t="s">
        <v>9892</v>
      </c>
      <c r="G1412" s="165"/>
      <c r="H1412" s="680">
        <v>13500</v>
      </c>
      <c r="I1412" s="165"/>
      <c r="J1412" s="165"/>
      <c r="K1412" s="165"/>
      <c r="L1412" s="165">
        <v>13500</v>
      </c>
      <c r="M1412" s="165"/>
      <c r="N1412" s="165"/>
      <c r="O1412" s="337">
        <f t="shared" si="59"/>
        <v>0</v>
      </c>
      <c r="P1412" s="165" t="s">
        <v>9894</v>
      </c>
      <c r="Q1412" s="165" t="s">
        <v>9894</v>
      </c>
      <c r="R1412" s="3">
        <f t="shared" si="60"/>
        <v>13500</v>
      </c>
      <c r="S1412" s="337">
        <v>13500</v>
      </c>
      <c r="T1412"/>
      <c r="U1412" s="3"/>
    </row>
    <row r="1413" spans="1:21">
      <c r="A1413" s="165" t="s">
        <v>9881</v>
      </c>
      <c r="B1413" s="94">
        <v>1367</v>
      </c>
      <c r="C1413" s="165" t="s">
        <v>9882</v>
      </c>
      <c r="D1413" s="165">
        <v>3</v>
      </c>
      <c r="E1413" s="165" t="s">
        <v>9885</v>
      </c>
      <c r="F1413" s="165" t="s">
        <v>9652</v>
      </c>
      <c r="G1413" s="165"/>
      <c r="H1413" s="680">
        <v>13500</v>
      </c>
      <c r="I1413" s="165"/>
      <c r="J1413" s="165"/>
      <c r="K1413" s="165"/>
      <c r="L1413" s="165">
        <v>13500</v>
      </c>
      <c r="M1413" s="165"/>
      <c r="N1413" s="165"/>
      <c r="O1413" s="337">
        <f t="shared" si="59"/>
        <v>0</v>
      </c>
      <c r="P1413" s="165" t="s">
        <v>9652</v>
      </c>
      <c r="Q1413" s="165" t="s">
        <v>9652</v>
      </c>
      <c r="R1413" s="3">
        <f t="shared" si="60"/>
        <v>13500</v>
      </c>
      <c r="S1413" s="337">
        <v>13500</v>
      </c>
      <c r="T1413"/>
      <c r="U1413" s="3"/>
    </row>
    <row r="1414" spans="1:21">
      <c r="A1414" s="165" t="s">
        <v>9881</v>
      </c>
      <c r="B1414" s="94">
        <v>1368</v>
      </c>
      <c r="C1414" s="165" t="s">
        <v>9882</v>
      </c>
      <c r="D1414" s="165">
        <v>4</v>
      </c>
      <c r="E1414" s="165" t="s">
        <v>9886</v>
      </c>
      <c r="F1414" s="165" t="s">
        <v>9654</v>
      </c>
      <c r="G1414" s="165"/>
      <c r="H1414" s="680">
        <v>13500</v>
      </c>
      <c r="I1414" s="165"/>
      <c r="J1414" s="165"/>
      <c r="K1414" s="165"/>
      <c r="L1414" s="165">
        <v>13500</v>
      </c>
      <c r="M1414" s="165"/>
      <c r="N1414" s="165"/>
      <c r="O1414" s="337">
        <f t="shared" si="59"/>
        <v>0</v>
      </c>
      <c r="P1414" s="165" t="s">
        <v>9654</v>
      </c>
      <c r="Q1414" s="165" t="s">
        <v>9654</v>
      </c>
      <c r="R1414" s="3">
        <f t="shared" si="60"/>
        <v>13500</v>
      </c>
      <c r="S1414" s="337">
        <v>13500</v>
      </c>
      <c r="T1414"/>
      <c r="U1414" s="3"/>
    </row>
    <row r="1415" spans="1:21">
      <c r="A1415" s="165" t="s">
        <v>9881</v>
      </c>
      <c r="B1415" s="94">
        <v>1369</v>
      </c>
      <c r="C1415" s="165" t="s">
        <v>9882</v>
      </c>
      <c r="D1415" s="165">
        <v>5</v>
      </c>
      <c r="E1415" s="165" t="s">
        <v>9887</v>
      </c>
      <c r="F1415" s="165" t="s">
        <v>9657</v>
      </c>
      <c r="G1415" s="165"/>
      <c r="H1415" s="680">
        <v>13500</v>
      </c>
      <c r="I1415" s="165"/>
      <c r="J1415" s="165"/>
      <c r="K1415" s="165"/>
      <c r="L1415" s="165"/>
      <c r="M1415" s="165">
        <v>13500</v>
      </c>
      <c r="N1415" s="165"/>
      <c r="O1415" s="337">
        <f t="shared" si="59"/>
        <v>13500</v>
      </c>
      <c r="P1415" s="165"/>
      <c r="Q1415" s="165"/>
      <c r="R1415" s="3">
        <f t="shared" si="60"/>
        <v>13500</v>
      </c>
      <c r="S1415" s="337"/>
      <c r="T1415"/>
      <c r="U1415" s="3"/>
    </row>
    <row r="1416" spans="1:21">
      <c r="A1416" s="165" t="s">
        <v>9881</v>
      </c>
      <c r="B1416" s="94">
        <v>1370</v>
      </c>
      <c r="C1416" s="165" t="s">
        <v>9882</v>
      </c>
      <c r="D1416" s="165">
        <v>6</v>
      </c>
      <c r="E1416" s="165" t="s">
        <v>9888</v>
      </c>
      <c r="F1416" s="165" t="s">
        <v>9660</v>
      </c>
      <c r="G1416" s="165"/>
      <c r="H1416" s="680">
        <v>13500</v>
      </c>
      <c r="I1416" s="165"/>
      <c r="J1416" s="165"/>
      <c r="K1416" s="165"/>
      <c r="L1416" s="165"/>
      <c r="M1416" s="165">
        <v>13500</v>
      </c>
      <c r="N1416" s="165"/>
      <c r="O1416" s="337">
        <f t="shared" si="59"/>
        <v>13500</v>
      </c>
      <c r="P1416" s="165"/>
      <c r="Q1416" s="165"/>
      <c r="R1416" s="3">
        <f t="shared" si="60"/>
        <v>13500</v>
      </c>
      <c r="S1416" s="337"/>
      <c r="T1416"/>
      <c r="U1416" s="3"/>
    </row>
    <row r="1417" spans="1:21">
      <c r="A1417" s="165" t="s">
        <v>9881</v>
      </c>
      <c r="B1417" s="94">
        <v>1371</v>
      </c>
      <c r="C1417" s="165" t="s">
        <v>9882</v>
      </c>
      <c r="D1417" s="165">
        <v>7</v>
      </c>
      <c r="E1417" s="165" t="s">
        <v>9889</v>
      </c>
      <c r="F1417" s="165" t="s">
        <v>9663</v>
      </c>
      <c r="G1417" s="165"/>
      <c r="H1417" s="680">
        <v>13500</v>
      </c>
      <c r="I1417" s="165"/>
      <c r="J1417" s="165"/>
      <c r="K1417" s="165"/>
      <c r="L1417" s="165"/>
      <c r="M1417" s="165">
        <v>13500</v>
      </c>
      <c r="N1417" s="165"/>
      <c r="O1417" s="337">
        <f t="shared" si="59"/>
        <v>13500</v>
      </c>
      <c r="P1417" s="165"/>
      <c r="Q1417" s="165"/>
      <c r="R1417" s="3">
        <f t="shared" si="60"/>
        <v>13500</v>
      </c>
      <c r="S1417" s="337"/>
      <c r="T1417"/>
      <c r="U1417" s="3"/>
    </row>
    <row r="1418" spans="1:21">
      <c r="A1418" s="165" t="s">
        <v>9881</v>
      </c>
      <c r="B1418" s="94">
        <v>1372</v>
      </c>
      <c r="C1418" s="165" t="s">
        <v>9882</v>
      </c>
      <c r="D1418" s="165">
        <v>8</v>
      </c>
      <c r="E1418" s="165" t="s">
        <v>9890</v>
      </c>
      <c r="F1418" s="165" t="s">
        <v>9757</v>
      </c>
      <c r="G1418" s="165"/>
      <c r="H1418" s="680">
        <v>13500</v>
      </c>
      <c r="I1418" s="165"/>
      <c r="J1418" s="165"/>
      <c r="K1418" s="165"/>
      <c r="L1418" s="165"/>
      <c r="M1418" s="165">
        <v>13500</v>
      </c>
      <c r="N1418" s="165"/>
      <c r="O1418" s="337">
        <f t="shared" si="59"/>
        <v>13500</v>
      </c>
      <c r="P1418" s="165"/>
      <c r="Q1418" s="165"/>
      <c r="R1418" s="3">
        <f t="shared" si="60"/>
        <v>13500</v>
      </c>
      <c r="S1418" s="337"/>
      <c r="T1418"/>
      <c r="U1418" s="3"/>
    </row>
    <row r="1419" spans="1:21">
      <c r="A1419" s="165" t="s">
        <v>9895</v>
      </c>
      <c r="B1419" s="94">
        <v>1373</v>
      </c>
      <c r="C1419" s="165" t="s">
        <v>9896</v>
      </c>
      <c r="D1419" s="165">
        <v>1</v>
      </c>
      <c r="E1419" s="165" t="s">
        <v>9897</v>
      </c>
      <c r="F1419" s="165" t="s">
        <v>9846</v>
      </c>
      <c r="G1419" s="165"/>
      <c r="H1419" s="680">
        <v>14175</v>
      </c>
      <c r="I1419" s="165"/>
      <c r="J1419" s="165"/>
      <c r="K1419" s="165"/>
      <c r="L1419" s="165">
        <v>14175</v>
      </c>
      <c r="M1419" s="165"/>
      <c r="N1419" s="165"/>
      <c r="O1419" s="337">
        <f t="shared" ref="O1419:O1426" si="61">G1419+H1419+I1419-J1419-K1419-L1419</f>
        <v>0</v>
      </c>
      <c r="P1419" s="165" t="s">
        <v>9893</v>
      </c>
      <c r="Q1419" s="165" t="s">
        <v>9893</v>
      </c>
      <c r="R1419" s="3">
        <f t="shared" ref="R1419:R1426" si="62">G1419+H1419+I1419</f>
        <v>14175</v>
      </c>
      <c r="S1419" s="337">
        <v>14175</v>
      </c>
      <c r="T1419"/>
      <c r="U1419" s="3"/>
    </row>
    <row r="1420" spans="1:21">
      <c r="A1420" s="165" t="s">
        <v>9895</v>
      </c>
      <c r="B1420" s="94">
        <v>1374</v>
      </c>
      <c r="C1420" s="165" t="s">
        <v>9896</v>
      </c>
      <c r="D1420" s="165">
        <v>2</v>
      </c>
      <c r="E1420" s="165" t="s">
        <v>9900</v>
      </c>
      <c r="F1420" s="165" t="s">
        <v>9847</v>
      </c>
      <c r="G1420" s="165"/>
      <c r="H1420" s="680">
        <v>14175</v>
      </c>
      <c r="I1420" s="165"/>
      <c r="J1420" s="165"/>
      <c r="K1420" s="165"/>
      <c r="L1420" s="165">
        <v>14175</v>
      </c>
      <c r="M1420" s="165"/>
      <c r="N1420" s="165"/>
      <c r="O1420" s="337">
        <f t="shared" si="61"/>
        <v>0</v>
      </c>
      <c r="P1420" s="165" t="s">
        <v>9847</v>
      </c>
      <c r="Q1420" s="165" t="s">
        <v>9847</v>
      </c>
      <c r="R1420" s="3">
        <f t="shared" si="62"/>
        <v>14175</v>
      </c>
      <c r="S1420" s="337">
        <v>14175</v>
      </c>
      <c r="T1420"/>
      <c r="U1420" s="3"/>
    </row>
    <row r="1421" spans="1:21">
      <c r="A1421" s="165" t="s">
        <v>9895</v>
      </c>
      <c r="B1421" s="94">
        <v>1375</v>
      </c>
      <c r="C1421" s="165" t="s">
        <v>9896</v>
      </c>
      <c r="D1421" s="165">
        <v>3</v>
      </c>
      <c r="E1421" s="165" t="s">
        <v>9901</v>
      </c>
      <c r="F1421" s="165" t="s">
        <v>9903</v>
      </c>
      <c r="G1421" s="165"/>
      <c r="H1421" s="680">
        <v>14175</v>
      </c>
      <c r="I1421" s="165"/>
      <c r="J1421" s="165"/>
      <c r="K1421" s="165"/>
      <c r="L1421" s="165">
        <v>14175</v>
      </c>
      <c r="M1421" s="165"/>
      <c r="N1421" s="165"/>
      <c r="O1421" s="337">
        <f t="shared" si="61"/>
        <v>0</v>
      </c>
      <c r="P1421" s="165" t="s">
        <v>9848</v>
      </c>
      <c r="Q1421" s="165" t="s">
        <v>9848</v>
      </c>
      <c r="R1421" s="3">
        <f t="shared" si="62"/>
        <v>14175</v>
      </c>
      <c r="S1421" s="337">
        <v>14175</v>
      </c>
      <c r="T1421"/>
      <c r="U1421" s="3"/>
    </row>
    <row r="1422" spans="1:21">
      <c r="A1422" s="165" t="s">
        <v>9895</v>
      </c>
      <c r="B1422" s="94">
        <v>1376</v>
      </c>
      <c r="C1422" s="165" t="s">
        <v>9896</v>
      </c>
      <c r="D1422" s="165">
        <v>4</v>
      </c>
      <c r="E1422" s="165" t="s">
        <v>9902</v>
      </c>
      <c r="F1422" s="165" t="s">
        <v>9904</v>
      </c>
      <c r="G1422" s="165"/>
      <c r="H1422" s="680">
        <v>14175</v>
      </c>
      <c r="I1422" s="165"/>
      <c r="J1422" s="165"/>
      <c r="K1422" s="165"/>
      <c r="L1422" s="165">
        <v>14175</v>
      </c>
      <c r="M1422" s="165"/>
      <c r="N1422" s="165"/>
      <c r="O1422" s="337">
        <f t="shared" si="61"/>
        <v>0</v>
      </c>
      <c r="P1422" s="165" t="s">
        <v>9849</v>
      </c>
      <c r="Q1422" s="165" t="s">
        <v>9849</v>
      </c>
      <c r="R1422" s="3">
        <f t="shared" si="62"/>
        <v>14175</v>
      </c>
      <c r="S1422" s="337">
        <v>14175</v>
      </c>
      <c r="T1422"/>
      <c r="U1422" s="3"/>
    </row>
    <row r="1423" spans="1:21">
      <c r="A1423" s="165" t="s">
        <v>9895</v>
      </c>
      <c r="B1423" s="94">
        <v>1377</v>
      </c>
      <c r="C1423" s="165" t="s">
        <v>9896</v>
      </c>
      <c r="D1423" s="165">
        <v>5</v>
      </c>
      <c r="E1423" s="165" t="s">
        <v>9905</v>
      </c>
      <c r="F1423" s="165" t="s">
        <v>9906</v>
      </c>
      <c r="G1423" s="165"/>
      <c r="H1423" s="680">
        <v>14175</v>
      </c>
      <c r="I1423" s="165"/>
      <c r="J1423" s="165"/>
      <c r="K1423" s="165"/>
      <c r="L1423" s="165"/>
      <c r="M1423" s="165">
        <v>14175</v>
      </c>
      <c r="N1423" s="165"/>
      <c r="O1423" s="337">
        <f t="shared" si="61"/>
        <v>14175</v>
      </c>
      <c r="P1423" s="165"/>
      <c r="Q1423" s="165"/>
      <c r="R1423" s="3">
        <f t="shared" si="62"/>
        <v>14175</v>
      </c>
      <c r="S1423" s="337"/>
      <c r="T1423"/>
      <c r="U1423" s="3"/>
    </row>
    <row r="1424" spans="1:21">
      <c r="A1424" s="165" t="s">
        <v>9895</v>
      </c>
      <c r="B1424" s="94">
        <v>1378</v>
      </c>
      <c r="C1424" s="165" t="s">
        <v>9896</v>
      </c>
      <c r="D1424" s="165">
        <v>6</v>
      </c>
      <c r="E1424" s="165" t="s">
        <v>9898</v>
      </c>
      <c r="F1424" s="165" t="s">
        <v>9907</v>
      </c>
      <c r="G1424" s="165"/>
      <c r="H1424" s="680">
        <v>14175</v>
      </c>
      <c r="I1424" s="165"/>
      <c r="J1424" s="165"/>
      <c r="K1424" s="165"/>
      <c r="L1424" s="165"/>
      <c r="M1424" s="165">
        <v>14175</v>
      </c>
      <c r="N1424" s="165"/>
      <c r="O1424" s="337">
        <f t="shared" si="61"/>
        <v>14175</v>
      </c>
      <c r="P1424" s="165"/>
      <c r="Q1424" s="165"/>
      <c r="R1424" s="3">
        <f t="shared" si="62"/>
        <v>14175</v>
      </c>
      <c r="S1424" s="337"/>
      <c r="T1424"/>
      <c r="U1424" s="3"/>
    </row>
    <row r="1425" spans="1:21">
      <c r="A1425" s="165" t="s">
        <v>9895</v>
      </c>
      <c r="B1425" s="94">
        <v>1379</v>
      </c>
      <c r="C1425" s="165" t="s">
        <v>9896</v>
      </c>
      <c r="D1425" s="165">
        <v>7</v>
      </c>
      <c r="E1425" s="165" t="s">
        <v>9899</v>
      </c>
      <c r="F1425" s="165" t="s">
        <v>9908</v>
      </c>
      <c r="G1425" s="165"/>
      <c r="H1425" s="680">
        <v>14175</v>
      </c>
      <c r="I1425" s="165"/>
      <c r="J1425" s="165"/>
      <c r="K1425" s="165"/>
      <c r="L1425" s="165"/>
      <c r="M1425" s="165">
        <v>14175</v>
      </c>
      <c r="N1425" s="165"/>
      <c r="O1425" s="337">
        <f t="shared" si="61"/>
        <v>14175</v>
      </c>
      <c r="P1425" s="165"/>
      <c r="Q1425" s="165"/>
      <c r="R1425" s="3">
        <f t="shared" si="62"/>
        <v>14175</v>
      </c>
      <c r="S1425" s="337"/>
      <c r="T1425"/>
      <c r="U1425" s="3"/>
    </row>
    <row r="1426" spans="1:21">
      <c r="A1426" s="165" t="s">
        <v>9895</v>
      </c>
      <c r="B1426" s="94">
        <v>1380</v>
      </c>
      <c r="C1426" s="165" t="s">
        <v>9896</v>
      </c>
      <c r="D1426" s="165">
        <v>8</v>
      </c>
      <c r="E1426" s="165" t="s">
        <v>9909</v>
      </c>
      <c r="F1426" s="165" t="s">
        <v>9910</v>
      </c>
      <c r="G1426" s="165"/>
      <c r="H1426" s="680">
        <v>14175</v>
      </c>
      <c r="I1426" s="165"/>
      <c r="J1426" s="165"/>
      <c r="K1426" s="165"/>
      <c r="L1426" s="165"/>
      <c r="M1426" s="165">
        <v>14175</v>
      </c>
      <c r="N1426" s="165"/>
      <c r="O1426" s="337">
        <f t="shared" si="61"/>
        <v>14175</v>
      </c>
      <c r="P1426" s="165"/>
      <c r="Q1426" s="165"/>
      <c r="R1426" s="3">
        <f t="shared" si="62"/>
        <v>14175</v>
      </c>
      <c r="S1426" s="337"/>
      <c r="T1426"/>
      <c r="U1426" s="3"/>
    </row>
    <row r="1427" spans="1:21">
      <c r="A1427" s="165" t="s">
        <v>9868</v>
      </c>
      <c r="B1427" s="94">
        <v>1381</v>
      </c>
      <c r="C1427" s="165" t="s">
        <v>9869</v>
      </c>
      <c r="D1427" s="165">
        <v>1</v>
      </c>
      <c r="E1427" s="165" t="s">
        <v>9870</v>
      </c>
      <c r="F1427" s="165" t="s">
        <v>9861</v>
      </c>
      <c r="G1427" s="165"/>
      <c r="H1427" s="680">
        <v>14175</v>
      </c>
      <c r="I1427" s="165"/>
      <c r="J1427" s="165"/>
      <c r="K1427" s="165"/>
      <c r="L1427" s="165">
        <v>14175</v>
      </c>
      <c r="M1427" s="165"/>
      <c r="N1427" s="165"/>
      <c r="O1427" s="337">
        <f t="shared" ref="O1427:O1434" si="63">G1427+H1427+I1427-J1427-K1427-L1427</f>
        <v>0</v>
      </c>
      <c r="P1427" s="165" t="s">
        <v>9677</v>
      </c>
      <c r="Q1427" s="165" t="s">
        <v>9677</v>
      </c>
      <c r="R1427" s="3">
        <f t="shared" ref="R1427:R1434" si="64">G1427+H1427+I1427</f>
        <v>14175</v>
      </c>
      <c r="S1427" s="337">
        <v>14175</v>
      </c>
      <c r="T1427"/>
      <c r="U1427" s="3"/>
    </row>
    <row r="1428" spans="1:21">
      <c r="A1428" s="165" t="s">
        <v>9868</v>
      </c>
      <c r="B1428" s="94">
        <v>1382</v>
      </c>
      <c r="C1428" s="165" t="s">
        <v>9869</v>
      </c>
      <c r="D1428" s="165">
        <v>2</v>
      </c>
      <c r="E1428" s="165" t="s">
        <v>9871</v>
      </c>
      <c r="F1428" s="165" t="s">
        <v>9865</v>
      </c>
      <c r="G1428" s="165"/>
      <c r="H1428" s="680">
        <v>14175</v>
      </c>
      <c r="I1428" s="165"/>
      <c r="J1428" s="165"/>
      <c r="K1428" s="165"/>
      <c r="L1428" s="165">
        <v>14175</v>
      </c>
      <c r="M1428" s="165"/>
      <c r="N1428" s="165"/>
      <c r="O1428" s="337">
        <f t="shared" si="63"/>
        <v>0</v>
      </c>
      <c r="P1428" s="165" t="s">
        <v>9865</v>
      </c>
      <c r="Q1428" s="165" t="s">
        <v>9865</v>
      </c>
      <c r="R1428" s="3">
        <f t="shared" si="64"/>
        <v>14175</v>
      </c>
      <c r="S1428" s="337">
        <v>14175</v>
      </c>
      <c r="T1428"/>
      <c r="U1428" s="3"/>
    </row>
    <row r="1429" spans="1:21">
      <c r="A1429" s="165" t="s">
        <v>9868</v>
      </c>
      <c r="B1429" s="94">
        <v>1383</v>
      </c>
      <c r="C1429" s="165" t="s">
        <v>9869</v>
      </c>
      <c r="D1429" s="165">
        <v>3</v>
      </c>
      <c r="E1429" s="165" t="s">
        <v>9872</v>
      </c>
      <c r="F1429" s="165" t="s">
        <v>9866</v>
      </c>
      <c r="G1429" s="165"/>
      <c r="H1429" s="680">
        <v>14175</v>
      </c>
      <c r="I1429" s="165"/>
      <c r="J1429" s="165"/>
      <c r="K1429" s="165"/>
      <c r="L1429" s="165">
        <v>14175</v>
      </c>
      <c r="M1429" s="165"/>
      <c r="N1429" s="165"/>
      <c r="O1429" s="337">
        <f t="shared" si="63"/>
        <v>0</v>
      </c>
      <c r="P1429" s="165" t="s">
        <v>9866</v>
      </c>
      <c r="Q1429" s="165" t="s">
        <v>9866</v>
      </c>
      <c r="R1429" s="3">
        <f t="shared" si="64"/>
        <v>14175</v>
      </c>
      <c r="S1429" s="337">
        <v>14175</v>
      </c>
      <c r="T1429"/>
      <c r="U1429" s="3"/>
    </row>
    <row r="1430" spans="1:21">
      <c r="A1430" s="165" t="s">
        <v>9868</v>
      </c>
      <c r="B1430" s="94">
        <v>1384</v>
      </c>
      <c r="C1430" s="165" t="s">
        <v>9869</v>
      </c>
      <c r="D1430" s="165">
        <v>4</v>
      </c>
      <c r="E1430" s="165" t="s">
        <v>9873</v>
      </c>
      <c r="F1430" s="165" t="s">
        <v>9864</v>
      </c>
      <c r="G1430" s="165"/>
      <c r="H1430" s="680">
        <v>14175</v>
      </c>
      <c r="I1430" s="165"/>
      <c r="J1430" s="165"/>
      <c r="K1430" s="165"/>
      <c r="L1430" s="165"/>
      <c r="M1430" s="165">
        <v>14175</v>
      </c>
      <c r="N1430" s="165"/>
      <c r="O1430" s="337">
        <f t="shared" si="63"/>
        <v>14175</v>
      </c>
      <c r="P1430" s="165"/>
      <c r="Q1430" s="165"/>
      <c r="R1430" s="3">
        <f t="shared" si="64"/>
        <v>14175</v>
      </c>
      <c r="S1430" s="337"/>
      <c r="T1430"/>
      <c r="U1430" s="3"/>
    </row>
    <row r="1431" spans="1:21">
      <c r="A1431" s="165" t="s">
        <v>9868</v>
      </c>
      <c r="B1431" s="94">
        <v>1385</v>
      </c>
      <c r="C1431" s="165" t="s">
        <v>9869</v>
      </c>
      <c r="D1431" s="165">
        <v>5</v>
      </c>
      <c r="E1431" s="165" t="s">
        <v>9874</v>
      </c>
      <c r="F1431" s="165" t="s">
        <v>9867</v>
      </c>
      <c r="G1431" s="165"/>
      <c r="H1431" s="680">
        <v>14175</v>
      </c>
      <c r="I1431" s="165"/>
      <c r="J1431" s="165"/>
      <c r="K1431" s="165"/>
      <c r="L1431" s="165"/>
      <c r="M1431" s="165">
        <v>14175</v>
      </c>
      <c r="N1431" s="165"/>
      <c r="O1431" s="337">
        <f t="shared" si="63"/>
        <v>14175</v>
      </c>
      <c r="P1431" s="165"/>
      <c r="Q1431" s="165"/>
      <c r="R1431" s="3">
        <f t="shared" si="64"/>
        <v>14175</v>
      </c>
      <c r="S1431" s="337"/>
      <c r="T1431"/>
      <c r="U1431" s="3"/>
    </row>
    <row r="1432" spans="1:21">
      <c r="A1432" s="165" t="s">
        <v>9868</v>
      </c>
      <c r="B1432" s="94">
        <v>1386</v>
      </c>
      <c r="C1432" s="165" t="s">
        <v>9869</v>
      </c>
      <c r="D1432" s="165">
        <v>6</v>
      </c>
      <c r="E1432" s="165" t="s">
        <v>9875</v>
      </c>
      <c r="F1432" s="165" t="s">
        <v>9862</v>
      </c>
      <c r="G1432" s="165"/>
      <c r="H1432" s="680">
        <v>14175</v>
      </c>
      <c r="I1432" s="165"/>
      <c r="J1432" s="165"/>
      <c r="K1432" s="165"/>
      <c r="L1432" s="165"/>
      <c r="M1432" s="165">
        <v>14175</v>
      </c>
      <c r="N1432" s="165"/>
      <c r="O1432" s="337">
        <f t="shared" si="63"/>
        <v>14175</v>
      </c>
      <c r="P1432" s="165"/>
      <c r="Q1432" s="165"/>
      <c r="R1432" s="3">
        <f t="shared" si="64"/>
        <v>14175</v>
      </c>
      <c r="S1432" s="337"/>
      <c r="T1432"/>
      <c r="U1432" s="3"/>
    </row>
    <row r="1433" spans="1:21">
      <c r="A1433" s="165" t="s">
        <v>9868</v>
      </c>
      <c r="B1433" s="94">
        <v>1387</v>
      </c>
      <c r="C1433" s="165" t="s">
        <v>9869</v>
      </c>
      <c r="D1433" s="165">
        <v>7</v>
      </c>
      <c r="E1433" s="165" t="s">
        <v>9876</v>
      </c>
      <c r="F1433" s="165" t="s">
        <v>9863</v>
      </c>
      <c r="G1433" s="165"/>
      <c r="H1433" s="680">
        <v>14175</v>
      </c>
      <c r="I1433" s="165"/>
      <c r="J1433" s="165"/>
      <c r="K1433" s="165"/>
      <c r="L1433" s="165"/>
      <c r="M1433" s="165">
        <v>14175</v>
      </c>
      <c r="N1433" s="165"/>
      <c r="O1433" s="337">
        <f t="shared" si="63"/>
        <v>14175</v>
      </c>
      <c r="P1433" s="165"/>
      <c r="Q1433" s="165"/>
      <c r="R1433" s="3">
        <f t="shared" si="64"/>
        <v>14175</v>
      </c>
      <c r="S1433" s="337"/>
      <c r="T1433"/>
      <c r="U1433" s="3"/>
    </row>
    <row r="1434" spans="1:21">
      <c r="A1434" s="165" t="s">
        <v>9868</v>
      </c>
      <c r="B1434" s="94">
        <v>1388</v>
      </c>
      <c r="C1434" s="165" t="s">
        <v>9869</v>
      </c>
      <c r="D1434" s="165">
        <v>8</v>
      </c>
      <c r="E1434" s="165" t="s">
        <v>9877</v>
      </c>
      <c r="F1434" s="165" t="s">
        <v>9878</v>
      </c>
      <c r="G1434" s="165"/>
      <c r="H1434" s="680">
        <v>14175</v>
      </c>
      <c r="I1434" s="165"/>
      <c r="J1434" s="165"/>
      <c r="K1434" s="165"/>
      <c r="L1434" s="165"/>
      <c r="M1434" s="165">
        <v>14175</v>
      </c>
      <c r="N1434" s="165"/>
      <c r="O1434" s="337">
        <f t="shared" si="63"/>
        <v>14175</v>
      </c>
      <c r="P1434" s="165"/>
      <c r="Q1434" s="165"/>
      <c r="R1434" s="3">
        <f t="shared" si="64"/>
        <v>14175</v>
      </c>
      <c r="S1434" s="337"/>
      <c r="T1434"/>
      <c r="U1434" s="3"/>
    </row>
    <row r="1435" spans="1:21">
      <c r="A1435" s="165" t="s">
        <v>9815</v>
      </c>
      <c r="B1435" s="94">
        <v>1389</v>
      </c>
      <c r="C1435" s="165" t="s">
        <v>9814</v>
      </c>
      <c r="D1435" s="165">
        <v>1</v>
      </c>
      <c r="E1435" s="165" t="s">
        <v>9816</v>
      </c>
      <c r="F1435" s="165" t="s">
        <v>9758</v>
      </c>
      <c r="G1435" s="165"/>
      <c r="H1435" s="680">
        <v>12600</v>
      </c>
      <c r="I1435" s="165"/>
      <c r="J1435" s="165"/>
      <c r="K1435" s="165"/>
      <c r="L1435" s="165">
        <v>12600</v>
      </c>
      <c r="M1435" s="165"/>
      <c r="N1435" s="165"/>
      <c r="O1435" s="337">
        <f t="shared" ref="O1435:O1442" si="65">G1435+H1435+I1435-J1435-K1435-L1435</f>
        <v>0</v>
      </c>
      <c r="P1435" s="165" t="s">
        <v>9813</v>
      </c>
      <c r="Q1435" s="165" t="s">
        <v>9813</v>
      </c>
      <c r="R1435" s="3">
        <f t="shared" ref="R1435:R1442" si="66">G1435+H1435+I1435</f>
        <v>12600</v>
      </c>
      <c r="S1435" s="337">
        <v>12600</v>
      </c>
      <c r="T1435"/>
      <c r="U1435" s="3"/>
    </row>
    <row r="1436" spans="1:21">
      <c r="A1436" s="165" t="s">
        <v>9815</v>
      </c>
      <c r="B1436" s="94">
        <v>1390</v>
      </c>
      <c r="C1436" s="165" t="s">
        <v>9814</v>
      </c>
      <c r="D1436" s="165">
        <v>2</v>
      </c>
      <c r="E1436" s="165" t="s">
        <v>9817</v>
      </c>
      <c r="F1436" s="165" t="s">
        <v>9653</v>
      </c>
      <c r="G1436" s="165"/>
      <c r="H1436" s="680">
        <v>12600</v>
      </c>
      <c r="I1436" s="165"/>
      <c r="J1436" s="165"/>
      <c r="K1436" s="165"/>
      <c r="L1436" s="165">
        <v>12600</v>
      </c>
      <c r="M1436" s="165"/>
      <c r="N1436" s="165"/>
      <c r="O1436" s="337">
        <f t="shared" si="65"/>
        <v>0</v>
      </c>
      <c r="P1436" s="165" t="s">
        <v>9653</v>
      </c>
      <c r="Q1436" s="165" t="s">
        <v>9653</v>
      </c>
      <c r="R1436" s="3">
        <f t="shared" si="66"/>
        <v>12600</v>
      </c>
      <c r="S1436" s="337">
        <v>12600</v>
      </c>
      <c r="T1436"/>
      <c r="U1436" s="3"/>
    </row>
    <row r="1437" spans="1:21">
      <c r="A1437" s="165" t="s">
        <v>9815</v>
      </c>
      <c r="B1437" s="94">
        <v>1391</v>
      </c>
      <c r="C1437" s="165" t="s">
        <v>9814</v>
      </c>
      <c r="D1437" s="165">
        <v>3</v>
      </c>
      <c r="E1437" s="165" t="s">
        <v>9818</v>
      </c>
      <c r="F1437" s="165" t="s">
        <v>9656</v>
      </c>
      <c r="G1437" s="165"/>
      <c r="H1437" s="680">
        <v>12600</v>
      </c>
      <c r="I1437" s="165"/>
      <c r="J1437" s="165"/>
      <c r="K1437" s="165"/>
      <c r="L1437" s="165"/>
      <c r="M1437" s="165">
        <v>12600</v>
      </c>
      <c r="N1437" s="165"/>
      <c r="O1437" s="337">
        <f t="shared" si="65"/>
        <v>12600</v>
      </c>
      <c r="P1437" s="165"/>
      <c r="Q1437" s="165"/>
      <c r="R1437" s="3">
        <f t="shared" si="66"/>
        <v>12600</v>
      </c>
      <c r="S1437" s="337"/>
      <c r="T1437"/>
      <c r="U1437" s="3"/>
    </row>
    <row r="1438" spans="1:21">
      <c r="A1438" s="165" t="s">
        <v>9815</v>
      </c>
      <c r="B1438" s="94">
        <v>1392</v>
      </c>
      <c r="C1438" s="165" t="s">
        <v>9814</v>
      </c>
      <c r="D1438" s="165">
        <v>4</v>
      </c>
      <c r="E1438" s="165" t="s">
        <v>9819</v>
      </c>
      <c r="F1438" s="165" t="s">
        <v>9659</v>
      </c>
      <c r="G1438" s="165"/>
      <c r="H1438" s="680">
        <v>12600</v>
      </c>
      <c r="I1438" s="165"/>
      <c r="J1438" s="165"/>
      <c r="K1438" s="165"/>
      <c r="L1438" s="165"/>
      <c r="M1438" s="165">
        <v>12600</v>
      </c>
      <c r="N1438" s="165"/>
      <c r="O1438" s="337">
        <f t="shared" si="65"/>
        <v>12600</v>
      </c>
      <c r="P1438" s="165"/>
      <c r="Q1438" s="165"/>
      <c r="R1438" s="3">
        <f t="shared" si="66"/>
        <v>12600</v>
      </c>
      <c r="S1438" s="337"/>
      <c r="T1438"/>
      <c r="U1438" s="3"/>
    </row>
    <row r="1439" spans="1:21">
      <c r="A1439" s="165" t="s">
        <v>9815</v>
      </c>
      <c r="B1439" s="94">
        <v>1393</v>
      </c>
      <c r="C1439" s="165" t="s">
        <v>9814</v>
      </c>
      <c r="D1439" s="165">
        <v>5</v>
      </c>
      <c r="E1439" s="165" t="s">
        <v>9820</v>
      </c>
      <c r="F1439" s="165" t="s">
        <v>9662</v>
      </c>
      <c r="G1439" s="165"/>
      <c r="H1439" s="680">
        <v>12600</v>
      </c>
      <c r="I1439" s="165"/>
      <c r="J1439" s="165"/>
      <c r="K1439" s="165"/>
      <c r="L1439" s="165"/>
      <c r="M1439" s="165">
        <v>12600</v>
      </c>
      <c r="N1439" s="165"/>
      <c r="O1439" s="337">
        <f t="shared" si="65"/>
        <v>12600</v>
      </c>
      <c r="P1439" s="165"/>
      <c r="Q1439" s="165"/>
      <c r="R1439" s="3">
        <f t="shared" si="66"/>
        <v>12600</v>
      </c>
      <c r="S1439" s="337"/>
      <c r="T1439"/>
      <c r="U1439" s="3"/>
    </row>
    <row r="1440" spans="1:21">
      <c r="A1440" s="165" t="s">
        <v>9815</v>
      </c>
      <c r="B1440" s="94">
        <v>1394</v>
      </c>
      <c r="C1440" s="165" t="s">
        <v>9814</v>
      </c>
      <c r="D1440" s="165">
        <v>6</v>
      </c>
      <c r="E1440" s="165" t="s">
        <v>9821</v>
      </c>
      <c r="F1440" s="165" t="s">
        <v>9825</v>
      </c>
      <c r="G1440" s="165"/>
      <c r="H1440" s="680">
        <v>12600</v>
      </c>
      <c r="I1440" s="165"/>
      <c r="J1440" s="165"/>
      <c r="K1440" s="165"/>
      <c r="L1440" s="165"/>
      <c r="M1440" s="165">
        <v>12600</v>
      </c>
      <c r="N1440" s="165"/>
      <c r="O1440" s="337">
        <f t="shared" si="65"/>
        <v>12600</v>
      </c>
      <c r="P1440" s="165"/>
      <c r="Q1440" s="165"/>
      <c r="R1440" s="3">
        <f t="shared" si="66"/>
        <v>12600</v>
      </c>
      <c r="S1440" s="337"/>
      <c r="T1440"/>
      <c r="U1440" s="3"/>
    </row>
    <row r="1441" spans="1:21">
      <c r="A1441" s="165" t="s">
        <v>9815</v>
      </c>
      <c r="B1441" s="94">
        <v>1395</v>
      </c>
      <c r="C1441" s="165" t="s">
        <v>9814</v>
      </c>
      <c r="D1441" s="165">
        <v>7</v>
      </c>
      <c r="E1441" s="165" t="s">
        <v>9822</v>
      </c>
      <c r="F1441" s="165" t="s">
        <v>9826</v>
      </c>
      <c r="G1441" s="165"/>
      <c r="H1441" s="680">
        <v>12600</v>
      </c>
      <c r="I1441" s="165"/>
      <c r="J1441" s="165"/>
      <c r="K1441" s="165"/>
      <c r="L1441" s="165"/>
      <c r="M1441" s="165">
        <v>12600</v>
      </c>
      <c r="N1441" s="165"/>
      <c r="O1441" s="337">
        <f t="shared" si="65"/>
        <v>12600</v>
      </c>
      <c r="P1441" s="165"/>
      <c r="Q1441" s="165"/>
      <c r="R1441" s="3">
        <f t="shared" si="66"/>
        <v>12600</v>
      </c>
      <c r="S1441" s="337"/>
      <c r="T1441"/>
      <c r="U1441" s="3"/>
    </row>
    <row r="1442" spans="1:21">
      <c r="A1442" s="165" t="s">
        <v>9815</v>
      </c>
      <c r="B1442" s="94">
        <v>1396</v>
      </c>
      <c r="C1442" s="165" t="s">
        <v>9814</v>
      </c>
      <c r="D1442" s="165">
        <v>8</v>
      </c>
      <c r="E1442" s="165" t="s">
        <v>9823</v>
      </c>
      <c r="F1442" s="165" t="s">
        <v>9827</v>
      </c>
      <c r="G1442" s="165"/>
      <c r="H1442" s="680">
        <v>12600</v>
      </c>
      <c r="I1442" s="165"/>
      <c r="J1442" s="165"/>
      <c r="K1442" s="165"/>
      <c r="L1442" s="165"/>
      <c r="M1442" s="165">
        <v>12600</v>
      </c>
      <c r="N1442" s="165"/>
      <c r="O1442" s="337">
        <f t="shared" si="65"/>
        <v>12600</v>
      </c>
      <c r="P1442" s="165"/>
      <c r="Q1442" s="165"/>
      <c r="R1442" s="3">
        <f t="shared" si="66"/>
        <v>12600</v>
      </c>
      <c r="S1442" s="337"/>
      <c r="T1442"/>
      <c r="U1442" s="3"/>
    </row>
    <row r="1443" spans="1:21">
      <c r="A1443" s="165" t="s">
        <v>9692</v>
      </c>
      <c r="B1443" s="94">
        <v>1397</v>
      </c>
      <c r="C1443" s="165" t="s">
        <v>9694</v>
      </c>
      <c r="D1443" s="165">
        <v>1</v>
      </c>
      <c r="E1443" s="165" t="s">
        <v>9695</v>
      </c>
      <c r="F1443" s="165" t="s">
        <v>9696</v>
      </c>
      <c r="G1443" s="165"/>
      <c r="H1443" s="680">
        <v>17325</v>
      </c>
      <c r="I1443" s="165"/>
      <c r="J1443" s="165"/>
      <c r="K1443" s="165"/>
      <c r="L1443" s="165">
        <v>17325</v>
      </c>
      <c r="M1443" s="165"/>
      <c r="N1443" s="165"/>
      <c r="O1443" s="337">
        <f t="shared" ref="O1443:O1454" si="67">G1443+H1443+I1443-J1443-K1443-L1443</f>
        <v>0</v>
      </c>
      <c r="P1443" s="165" t="s">
        <v>9712</v>
      </c>
      <c r="Q1443" s="165" t="s">
        <v>9712</v>
      </c>
      <c r="R1443" s="3">
        <f t="shared" ref="R1443:R1458" si="68">G1443+H1443+I1443</f>
        <v>17325</v>
      </c>
      <c r="S1443" s="337">
        <v>17325</v>
      </c>
      <c r="T1443"/>
      <c r="U1443" s="3"/>
    </row>
    <row r="1444" spans="1:21">
      <c r="A1444" s="165" t="s">
        <v>9692</v>
      </c>
      <c r="B1444" s="94">
        <v>1398</v>
      </c>
      <c r="C1444" s="165" t="s">
        <v>9694</v>
      </c>
      <c r="D1444" s="165">
        <v>2</v>
      </c>
      <c r="E1444" s="165" t="s">
        <v>9697</v>
      </c>
      <c r="F1444" s="165" t="s">
        <v>9698</v>
      </c>
      <c r="G1444" s="165"/>
      <c r="H1444" s="680">
        <v>17325</v>
      </c>
      <c r="I1444" s="165"/>
      <c r="J1444" s="165"/>
      <c r="K1444" s="165"/>
      <c r="L1444" s="165">
        <v>17325</v>
      </c>
      <c r="M1444" s="165"/>
      <c r="N1444" s="165"/>
      <c r="O1444" s="337">
        <f t="shared" si="67"/>
        <v>0</v>
      </c>
      <c r="P1444" s="165" t="s">
        <v>9698</v>
      </c>
      <c r="Q1444" s="165" t="s">
        <v>9698</v>
      </c>
      <c r="R1444" s="3">
        <f t="shared" si="68"/>
        <v>17325</v>
      </c>
      <c r="S1444" s="337">
        <v>17325</v>
      </c>
      <c r="T1444"/>
      <c r="U1444" s="3"/>
    </row>
    <row r="1445" spans="1:21">
      <c r="A1445" s="165" t="s">
        <v>9692</v>
      </c>
      <c r="B1445" s="94">
        <v>1399</v>
      </c>
      <c r="C1445" s="165" t="s">
        <v>9694</v>
      </c>
      <c r="D1445" s="165">
        <v>3</v>
      </c>
      <c r="E1445" s="165" t="s">
        <v>9699</v>
      </c>
      <c r="F1445" s="165" t="s">
        <v>9700</v>
      </c>
      <c r="G1445" s="165"/>
      <c r="H1445" s="680">
        <v>17325</v>
      </c>
      <c r="I1445" s="165"/>
      <c r="J1445" s="165"/>
      <c r="K1445" s="165"/>
      <c r="L1445" s="165"/>
      <c r="M1445" s="165">
        <v>17325</v>
      </c>
      <c r="N1445" s="165"/>
      <c r="O1445" s="337">
        <f t="shared" si="67"/>
        <v>17325</v>
      </c>
      <c r="P1445" s="165"/>
      <c r="Q1445" s="165"/>
      <c r="R1445" s="3">
        <f t="shared" si="68"/>
        <v>17325</v>
      </c>
      <c r="S1445" s="337"/>
      <c r="T1445"/>
      <c r="U1445" s="3"/>
    </row>
    <row r="1446" spans="1:21">
      <c r="A1446" s="165" t="s">
        <v>9692</v>
      </c>
      <c r="B1446" s="94">
        <v>1400</v>
      </c>
      <c r="C1446" s="165" t="s">
        <v>9694</v>
      </c>
      <c r="D1446" s="165">
        <v>4</v>
      </c>
      <c r="E1446" s="165" t="s">
        <v>9701</v>
      </c>
      <c r="F1446" s="165" t="s">
        <v>9702</v>
      </c>
      <c r="G1446" s="165"/>
      <c r="H1446" s="680">
        <v>17325</v>
      </c>
      <c r="I1446" s="165"/>
      <c r="J1446" s="165"/>
      <c r="K1446" s="165"/>
      <c r="L1446" s="165"/>
      <c r="M1446" s="165">
        <v>17325</v>
      </c>
      <c r="N1446" s="165"/>
      <c r="O1446" s="337">
        <f t="shared" si="67"/>
        <v>17325</v>
      </c>
      <c r="P1446" s="165"/>
      <c r="Q1446" s="165"/>
      <c r="R1446" s="3">
        <f t="shared" si="68"/>
        <v>17325</v>
      </c>
      <c r="S1446" s="337"/>
      <c r="T1446"/>
      <c r="U1446" s="3"/>
    </row>
    <row r="1447" spans="1:21">
      <c r="A1447" s="165" t="s">
        <v>9692</v>
      </c>
      <c r="B1447" s="94">
        <v>1401</v>
      </c>
      <c r="C1447" s="165" t="s">
        <v>9694</v>
      </c>
      <c r="D1447" s="165">
        <v>5</v>
      </c>
      <c r="E1447" s="165" t="s">
        <v>9703</v>
      </c>
      <c r="F1447" s="165" t="s">
        <v>9704</v>
      </c>
      <c r="G1447" s="165"/>
      <c r="H1447" s="680">
        <v>17325</v>
      </c>
      <c r="I1447" s="165"/>
      <c r="J1447" s="165"/>
      <c r="K1447" s="165"/>
      <c r="L1447" s="165"/>
      <c r="M1447" s="165">
        <v>17325</v>
      </c>
      <c r="N1447" s="165"/>
      <c r="O1447" s="337">
        <f t="shared" si="67"/>
        <v>17325</v>
      </c>
      <c r="P1447" s="165"/>
      <c r="Q1447" s="165"/>
      <c r="R1447" s="3">
        <f t="shared" si="68"/>
        <v>17325</v>
      </c>
      <c r="S1447" s="337"/>
      <c r="T1447"/>
      <c r="U1447" s="3"/>
    </row>
    <row r="1448" spans="1:21">
      <c r="A1448" s="165" t="s">
        <v>9692</v>
      </c>
      <c r="B1448" s="94">
        <v>1402</v>
      </c>
      <c r="C1448" s="165" t="s">
        <v>9694</v>
      </c>
      <c r="D1448" s="165">
        <v>6</v>
      </c>
      <c r="E1448" s="165" t="s">
        <v>9705</v>
      </c>
      <c r="F1448" s="165" t="s">
        <v>9706</v>
      </c>
      <c r="G1448" s="165"/>
      <c r="H1448" s="680">
        <v>17325</v>
      </c>
      <c r="I1448" s="165"/>
      <c r="J1448" s="165"/>
      <c r="K1448" s="165"/>
      <c r="L1448" s="165"/>
      <c r="M1448" s="165">
        <v>17325</v>
      </c>
      <c r="N1448" s="165"/>
      <c r="O1448" s="337">
        <f t="shared" si="67"/>
        <v>17325</v>
      </c>
      <c r="P1448" s="165"/>
      <c r="Q1448" s="165"/>
      <c r="R1448" s="3">
        <f t="shared" si="68"/>
        <v>17325</v>
      </c>
      <c r="S1448" s="337"/>
      <c r="T1448"/>
      <c r="U1448" s="3"/>
    </row>
    <row r="1449" spans="1:21">
      <c r="A1449" s="165" t="s">
        <v>9692</v>
      </c>
      <c r="B1449" s="94">
        <v>1403</v>
      </c>
      <c r="C1449" s="165" t="s">
        <v>9694</v>
      </c>
      <c r="D1449" s="165">
        <v>7</v>
      </c>
      <c r="E1449" s="165" t="s">
        <v>9707</v>
      </c>
      <c r="F1449" s="165" t="s">
        <v>9708</v>
      </c>
      <c r="G1449" s="165"/>
      <c r="H1449" s="680">
        <v>17325</v>
      </c>
      <c r="I1449" s="165"/>
      <c r="J1449" s="165"/>
      <c r="K1449" s="165"/>
      <c r="L1449" s="165"/>
      <c r="M1449" s="165">
        <v>17325</v>
      </c>
      <c r="N1449" s="165"/>
      <c r="O1449" s="337">
        <f t="shared" si="67"/>
        <v>17325</v>
      </c>
      <c r="P1449" s="165"/>
      <c r="Q1449" s="165"/>
      <c r="R1449" s="3">
        <f t="shared" si="68"/>
        <v>17325</v>
      </c>
      <c r="S1449" s="337"/>
      <c r="T1449"/>
      <c r="U1449" s="3"/>
    </row>
    <row r="1450" spans="1:21">
      <c r="A1450" s="165" t="s">
        <v>9692</v>
      </c>
      <c r="B1450" s="94">
        <v>1404</v>
      </c>
      <c r="C1450" s="165" t="s">
        <v>9694</v>
      </c>
      <c r="D1450" s="165">
        <v>8</v>
      </c>
      <c r="E1450" s="165" t="s">
        <v>9709</v>
      </c>
      <c r="F1450" s="165" t="s">
        <v>9710</v>
      </c>
      <c r="G1450" s="165"/>
      <c r="H1450" s="680">
        <v>17325</v>
      </c>
      <c r="I1450" s="165"/>
      <c r="J1450" s="165"/>
      <c r="K1450" s="165"/>
      <c r="L1450" s="165"/>
      <c r="M1450" s="165">
        <v>17325</v>
      </c>
      <c r="N1450" s="165"/>
      <c r="O1450" s="337">
        <f t="shared" si="67"/>
        <v>17325</v>
      </c>
      <c r="P1450" s="165"/>
      <c r="Q1450" s="165"/>
      <c r="R1450" s="3">
        <f t="shared" si="68"/>
        <v>17325</v>
      </c>
      <c r="S1450" s="337"/>
      <c r="T1450"/>
      <c r="U1450" s="3"/>
    </row>
    <row r="1451" spans="1:21">
      <c r="A1451" s="165" t="s">
        <v>9692</v>
      </c>
      <c r="B1451" s="94">
        <v>1405</v>
      </c>
      <c r="C1451" s="165" t="s">
        <v>9693</v>
      </c>
      <c r="D1451" s="165">
        <v>1</v>
      </c>
      <c r="E1451" s="165" t="s">
        <v>9713</v>
      </c>
      <c r="F1451" s="165" t="s">
        <v>9696</v>
      </c>
      <c r="G1451" s="165"/>
      <c r="H1451" s="680">
        <v>12600</v>
      </c>
      <c r="I1451" s="165"/>
      <c r="J1451" s="165"/>
      <c r="K1451" s="165"/>
      <c r="L1451" s="165">
        <v>12600</v>
      </c>
      <c r="M1451" s="165"/>
      <c r="N1451" s="165"/>
      <c r="O1451" s="337">
        <f t="shared" si="67"/>
        <v>0</v>
      </c>
      <c r="P1451" s="165" t="s">
        <v>9712</v>
      </c>
      <c r="Q1451" s="165" t="s">
        <v>9712</v>
      </c>
      <c r="R1451" s="3">
        <f t="shared" si="68"/>
        <v>12600</v>
      </c>
      <c r="S1451" s="337">
        <v>12600</v>
      </c>
      <c r="T1451"/>
      <c r="U1451" s="3"/>
    </row>
    <row r="1452" spans="1:21">
      <c r="A1452" s="165" t="s">
        <v>9692</v>
      </c>
      <c r="B1452" s="94">
        <v>1406</v>
      </c>
      <c r="C1452" s="165" t="s">
        <v>9693</v>
      </c>
      <c r="D1452" s="165">
        <v>2</v>
      </c>
      <c r="E1452" s="165" t="s">
        <v>9714</v>
      </c>
      <c r="F1452" s="165" t="s">
        <v>9698</v>
      </c>
      <c r="G1452" s="165"/>
      <c r="H1452" s="680">
        <v>12600</v>
      </c>
      <c r="I1452" s="165"/>
      <c r="J1452" s="165"/>
      <c r="K1452" s="165"/>
      <c r="L1452" s="165">
        <v>12600</v>
      </c>
      <c r="M1452" s="165"/>
      <c r="N1452" s="165"/>
      <c r="O1452" s="337">
        <f t="shared" si="67"/>
        <v>0</v>
      </c>
      <c r="P1452" s="165" t="s">
        <v>9698</v>
      </c>
      <c r="Q1452" s="165" t="s">
        <v>9698</v>
      </c>
      <c r="R1452" s="3">
        <f t="shared" si="68"/>
        <v>12600</v>
      </c>
      <c r="S1452" s="337">
        <v>12600</v>
      </c>
      <c r="T1452"/>
      <c r="U1452" s="3"/>
    </row>
    <row r="1453" spans="1:21">
      <c r="A1453" s="165" t="s">
        <v>9692</v>
      </c>
      <c r="B1453" s="94">
        <v>1407</v>
      </c>
      <c r="C1453" s="165" t="s">
        <v>9693</v>
      </c>
      <c r="D1453" s="165">
        <v>3</v>
      </c>
      <c r="E1453" s="165" t="s">
        <v>9715</v>
      </c>
      <c r="F1453" s="165" t="s">
        <v>9700</v>
      </c>
      <c r="G1453" s="165"/>
      <c r="H1453" s="680">
        <v>12600</v>
      </c>
      <c r="I1453" s="165"/>
      <c r="J1453" s="165"/>
      <c r="K1453" s="165"/>
      <c r="L1453" s="165"/>
      <c r="M1453" s="165">
        <v>12600</v>
      </c>
      <c r="N1453" s="165"/>
      <c r="O1453" s="337">
        <f t="shared" si="67"/>
        <v>12600</v>
      </c>
      <c r="P1453" s="165"/>
      <c r="Q1453" s="165"/>
      <c r="R1453" s="3">
        <f t="shared" si="68"/>
        <v>12600</v>
      </c>
      <c r="S1453" s="337"/>
      <c r="T1453"/>
      <c r="U1453" s="3"/>
    </row>
    <row r="1454" spans="1:21">
      <c r="A1454" s="165" t="s">
        <v>9692</v>
      </c>
      <c r="B1454" s="94">
        <v>1408</v>
      </c>
      <c r="C1454" s="165" t="s">
        <v>9693</v>
      </c>
      <c r="D1454" s="165">
        <v>4</v>
      </c>
      <c r="E1454" s="165" t="s">
        <v>9716</v>
      </c>
      <c r="F1454" s="165" t="s">
        <v>9702</v>
      </c>
      <c r="G1454" s="165"/>
      <c r="H1454" s="680">
        <v>12600</v>
      </c>
      <c r="I1454" s="165"/>
      <c r="J1454" s="165"/>
      <c r="K1454" s="165"/>
      <c r="L1454" s="165"/>
      <c r="M1454" s="165">
        <v>12600</v>
      </c>
      <c r="N1454" s="165"/>
      <c r="O1454" s="337">
        <f t="shared" si="67"/>
        <v>12600</v>
      </c>
      <c r="P1454" s="165"/>
      <c r="Q1454" s="165"/>
      <c r="R1454" s="3">
        <f t="shared" si="68"/>
        <v>12600</v>
      </c>
      <c r="S1454" s="337"/>
      <c r="T1454"/>
      <c r="U1454" s="3"/>
    </row>
    <row r="1455" spans="1:21">
      <c r="A1455" s="165" t="s">
        <v>9692</v>
      </c>
      <c r="B1455" s="94">
        <v>1409</v>
      </c>
      <c r="C1455" s="165" t="s">
        <v>9693</v>
      </c>
      <c r="D1455" s="165">
        <v>5</v>
      </c>
      <c r="E1455" s="165" t="s">
        <v>9717</v>
      </c>
      <c r="F1455" s="165" t="s">
        <v>9704</v>
      </c>
      <c r="G1455" s="165"/>
      <c r="H1455" s="680">
        <v>12600</v>
      </c>
      <c r="I1455" s="165"/>
      <c r="J1455" s="165"/>
      <c r="K1455" s="165"/>
      <c r="L1455" s="165"/>
      <c r="M1455" s="165">
        <v>12600</v>
      </c>
      <c r="N1455" s="165"/>
      <c r="O1455" s="337">
        <f t="shared" ref="O1455:O1462" si="69">G1455+H1455+I1455-J1455-K1455-L1455</f>
        <v>12600</v>
      </c>
      <c r="P1455" s="165"/>
      <c r="Q1455" s="165"/>
      <c r="R1455" s="3">
        <f t="shared" si="68"/>
        <v>12600</v>
      </c>
      <c r="S1455" s="337"/>
      <c r="T1455"/>
      <c r="U1455" s="3"/>
    </row>
    <row r="1456" spans="1:21">
      <c r="A1456" s="165" t="s">
        <v>9692</v>
      </c>
      <c r="B1456" s="94">
        <v>1410</v>
      </c>
      <c r="C1456" s="165" t="s">
        <v>9693</v>
      </c>
      <c r="D1456" s="165">
        <v>6</v>
      </c>
      <c r="E1456" s="165" t="s">
        <v>9718</v>
      </c>
      <c r="F1456" s="165" t="s">
        <v>9706</v>
      </c>
      <c r="G1456" s="165"/>
      <c r="H1456" s="680">
        <v>12600</v>
      </c>
      <c r="I1456" s="165"/>
      <c r="J1456" s="165"/>
      <c r="K1456" s="165"/>
      <c r="L1456" s="165"/>
      <c r="M1456" s="165">
        <v>12600</v>
      </c>
      <c r="N1456" s="165"/>
      <c r="O1456" s="337">
        <f t="shared" si="69"/>
        <v>12600</v>
      </c>
      <c r="P1456" s="165"/>
      <c r="Q1456" s="165"/>
      <c r="R1456" s="3">
        <f t="shared" si="68"/>
        <v>12600</v>
      </c>
      <c r="S1456" s="337"/>
      <c r="T1456"/>
      <c r="U1456" s="3"/>
    </row>
    <row r="1457" spans="1:21">
      <c r="A1457" s="165" t="s">
        <v>9692</v>
      </c>
      <c r="B1457" s="94">
        <v>1411</v>
      </c>
      <c r="C1457" s="165" t="s">
        <v>9693</v>
      </c>
      <c r="D1457" s="165">
        <v>7</v>
      </c>
      <c r="E1457" s="165" t="s">
        <v>9719</v>
      </c>
      <c r="F1457" s="165" t="s">
        <v>9708</v>
      </c>
      <c r="G1457" s="165"/>
      <c r="H1457" s="680">
        <v>12600</v>
      </c>
      <c r="I1457" s="165"/>
      <c r="J1457" s="165"/>
      <c r="K1457" s="165"/>
      <c r="L1457" s="165"/>
      <c r="M1457" s="165">
        <v>12600</v>
      </c>
      <c r="N1457" s="165"/>
      <c r="O1457" s="337">
        <f t="shared" si="69"/>
        <v>12600</v>
      </c>
      <c r="P1457" s="165"/>
      <c r="Q1457" s="165"/>
      <c r="R1457" s="3">
        <f t="shared" si="68"/>
        <v>12600</v>
      </c>
      <c r="S1457" s="337"/>
      <c r="T1457"/>
      <c r="U1457" s="3"/>
    </row>
    <row r="1458" spans="1:21">
      <c r="A1458" s="165" t="s">
        <v>9692</v>
      </c>
      <c r="B1458" s="94">
        <v>1412</v>
      </c>
      <c r="C1458" s="165" t="s">
        <v>9693</v>
      </c>
      <c r="D1458" s="165">
        <v>8</v>
      </c>
      <c r="E1458" s="165" t="s">
        <v>9720</v>
      </c>
      <c r="F1458" s="165" t="s">
        <v>9710</v>
      </c>
      <c r="G1458" s="165"/>
      <c r="H1458" s="680">
        <v>12600</v>
      </c>
      <c r="I1458" s="165"/>
      <c r="J1458" s="165"/>
      <c r="K1458" s="165"/>
      <c r="L1458" s="165"/>
      <c r="M1458" s="165">
        <v>12600</v>
      </c>
      <c r="N1458" s="165"/>
      <c r="O1458" s="337">
        <f t="shared" si="69"/>
        <v>12600</v>
      </c>
      <c r="P1458" s="165"/>
      <c r="Q1458" s="165"/>
      <c r="R1458" s="3">
        <f t="shared" si="68"/>
        <v>12600</v>
      </c>
      <c r="S1458" s="337"/>
      <c r="T1458"/>
      <c r="U1458" s="3"/>
    </row>
    <row r="1459" spans="1:21">
      <c r="A1459" s="165" t="s">
        <v>9829</v>
      </c>
      <c r="B1459" s="94">
        <v>1413</v>
      </c>
      <c r="C1459" s="165" t="s">
        <v>9830</v>
      </c>
      <c r="D1459" s="165">
        <v>1</v>
      </c>
      <c r="E1459" s="165" t="s">
        <v>9831</v>
      </c>
      <c r="F1459" s="165" t="s">
        <v>9680</v>
      </c>
      <c r="G1459" s="165"/>
      <c r="H1459" s="556">
        <v>11970</v>
      </c>
      <c r="I1459" s="165"/>
      <c r="J1459" s="165"/>
      <c r="K1459" s="165"/>
      <c r="L1459" s="165">
        <v>11970</v>
      </c>
      <c r="M1459" s="165"/>
      <c r="N1459" s="165"/>
      <c r="O1459" s="337">
        <f t="shared" si="69"/>
        <v>0</v>
      </c>
      <c r="P1459" s="165" t="s">
        <v>9681</v>
      </c>
      <c r="Q1459" s="165" t="s">
        <v>9681</v>
      </c>
      <c r="R1459" s="3">
        <f t="shared" ref="R1459:R1466" si="70">G1459+H1459+I1459</f>
        <v>11970</v>
      </c>
      <c r="S1459" s="337">
        <v>11970</v>
      </c>
      <c r="T1459"/>
      <c r="U1459" s="3"/>
    </row>
    <row r="1460" spans="1:21">
      <c r="A1460" s="165" t="s">
        <v>9829</v>
      </c>
      <c r="B1460" s="94">
        <v>1414</v>
      </c>
      <c r="C1460" s="165" t="s">
        <v>9830</v>
      </c>
      <c r="D1460" s="165">
        <v>2</v>
      </c>
      <c r="E1460" s="165" t="s">
        <v>9832</v>
      </c>
      <c r="F1460" s="165" t="s">
        <v>9837</v>
      </c>
      <c r="G1460" s="165"/>
      <c r="H1460" s="556">
        <v>11970</v>
      </c>
      <c r="I1460" s="165"/>
      <c r="J1460" s="165"/>
      <c r="K1460" s="165"/>
      <c r="L1460" s="165"/>
      <c r="M1460" s="165">
        <v>11970</v>
      </c>
      <c r="N1460" s="165"/>
      <c r="O1460" s="337">
        <f t="shared" si="69"/>
        <v>11970</v>
      </c>
      <c r="P1460" s="165"/>
      <c r="Q1460" s="165"/>
      <c r="R1460" s="3">
        <f t="shared" si="70"/>
        <v>11970</v>
      </c>
      <c r="S1460" s="337"/>
      <c r="T1460"/>
      <c r="U1460" s="3"/>
    </row>
    <row r="1461" spans="1:21">
      <c r="A1461" s="165" t="s">
        <v>9829</v>
      </c>
      <c r="B1461" s="94">
        <v>1415</v>
      </c>
      <c r="C1461" s="165" t="s">
        <v>9830</v>
      </c>
      <c r="D1461" s="165">
        <v>3</v>
      </c>
      <c r="E1461" s="165" t="s">
        <v>9838</v>
      </c>
      <c r="F1461" s="165" t="s">
        <v>9839</v>
      </c>
      <c r="G1461" s="165"/>
      <c r="H1461" s="556">
        <v>11970</v>
      </c>
      <c r="I1461" s="165"/>
      <c r="J1461" s="165"/>
      <c r="K1461" s="165"/>
      <c r="L1461" s="165"/>
      <c r="M1461" s="165">
        <v>11970</v>
      </c>
      <c r="N1461" s="165"/>
      <c r="O1461" s="337">
        <f t="shared" si="69"/>
        <v>11970</v>
      </c>
      <c r="P1461" s="165"/>
      <c r="Q1461" s="165"/>
      <c r="R1461" s="3">
        <f t="shared" si="70"/>
        <v>11970</v>
      </c>
      <c r="S1461" s="337"/>
      <c r="T1461"/>
      <c r="U1461" s="3"/>
    </row>
    <row r="1462" spans="1:21">
      <c r="A1462" s="165" t="s">
        <v>9829</v>
      </c>
      <c r="B1462" s="94">
        <v>1416</v>
      </c>
      <c r="C1462" s="165" t="s">
        <v>9830</v>
      </c>
      <c r="D1462" s="165">
        <v>4</v>
      </c>
      <c r="E1462" s="165" t="s">
        <v>9833</v>
      </c>
      <c r="F1462" s="165" t="s">
        <v>9841</v>
      </c>
      <c r="G1462" s="165"/>
      <c r="H1462" s="556">
        <v>11970</v>
      </c>
      <c r="I1462" s="165"/>
      <c r="J1462" s="165"/>
      <c r="K1462" s="165"/>
      <c r="L1462" s="165"/>
      <c r="M1462" s="165">
        <v>11970</v>
      </c>
      <c r="N1462" s="165"/>
      <c r="O1462" s="337">
        <f t="shared" si="69"/>
        <v>11970</v>
      </c>
      <c r="P1462" s="165"/>
      <c r="Q1462" s="165"/>
      <c r="R1462" s="3">
        <f t="shared" si="70"/>
        <v>11970</v>
      </c>
      <c r="S1462" s="337"/>
      <c r="T1462"/>
      <c r="U1462" s="3"/>
    </row>
    <row r="1463" spans="1:21">
      <c r="A1463" s="165" t="s">
        <v>9829</v>
      </c>
      <c r="B1463" s="94">
        <v>1417</v>
      </c>
      <c r="C1463" s="165" t="s">
        <v>9830</v>
      </c>
      <c r="D1463" s="165">
        <v>5</v>
      </c>
      <c r="E1463" s="165" t="s">
        <v>9834</v>
      </c>
      <c r="F1463" s="165" t="s">
        <v>9842</v>
      </c>
      <c r="G1463" s="165"/>
      <c r="H1463" s="556">
        <v>11970</v>
      </c>
      <c r="I1463" s="165"/>
      <c r="J1463" s="165"/>
      <c r="K1463" s="165"/>
      <c r="L1463" s="165"/>
      <c r="M1463" s="165">
        <v>11970</v>
      </c>
      <c r="N1463" s="165"/>
      <c r="O1463" s="337">
        <f t="shared" ref="O1463:O1470" si="71">G1463+H1463+I1463-J1463-K1463-L1463</f>
        <v>11970</v>
      </c>
      <c r="P1463" s="165"/>
      <c r="Q1463" s="165"/>
      <c r="R1463" s="3">
        <f t="shared" si="70"/>
        <v>11970</v>
      </c>
      <c r="S1463" s="337"/>
      <c r="T1463"/>
      <c r="U1463" s="3"/>
    </row>
    <row r="1464" spans="1:21">
      <c r="A1464" s="165" t="s">
        <v>9829</v>
      </c>
      <c r="B1464" s="94">
        <v>1418</v>
      </c>
      <c r="C1464" s="165" t="s">
        <v>9830</v>
      </c>
      <c r="D1464" s="165">
        <v>6</v>
      </c>
      <c r="E1464" s="165" t="s">
        <v>9835</v>
      </c>
      <c r="F1464" s="165" t="s">
        <v>9843</v>
      </c>
      <c r="G1464" s="165"/>
      <c r="H1464" s="556">
        <v>11970</v>
      </c>
      <c r="I1464" s="165"/>
      <c r="J1464" s="165"/>
      <c r="K1464" s="165"/>
      <c r="L1464" s="165"/>
      <c r="M1464" s="165">
        <v>11970</v>
      </c>
      <c r="N1464" s="165"/>
      <c r="O1464" s="337">
        <f t="shared" si="71"/>
        <v>11970</v>
      </c>
      <c r="P1464" s="165"/>
      <c r="Q1464" s="165"/>
      <c r="R1464" s="3">
        <f t="shared" si="70"/>
        <v>11970</v>
      </c>
      <c r="S1464" s="337"/>
      <c r="T1464"/>
      <c r="U1464" s="3"/>
    </row>
    <row r="1465" spans="1:21">
      <c r="A1465" s="165" t="s">
        <v>9829</v>
      </c>
      <c r="B1465" s="94">
        <v>1419</v>
      </c>
      <c r="C1465" s="165" t="s">
        <v>9830</v>
      </c>
      <c r="D1465" s="165">
        <v>7</v>
      </c>
      <c r="E1465" s="165" t="s">
        <v>9836</v>
      </c>
      <c r="F1465" s="165" t="s">
        <v>9844</v>
      </c>
      <c r="G1465" s="165"/>
      <c r="H1465" s="556">
        <v>11970</v>
      </c>
      <c r="I1465" s="165"/>
      <c r="J1465" s="165"/>
      <c r="K1465" s="165"/>
      <c r="L1465" s="165"/>
      <c r="M1465" s="165">
        <v>11970</v>
      </c>
      <c r="N1465" s="165"/>
      <c r="O1465" s="337">
        <f t="shared" si="71"/>
        <v>11970</v>
      </c>
      <c r="P1465" s="165"/>
      <c r="Q1465" s="165"/>
      <c r="R1465" s="3">
        <f t="shared" si="70"/>
        <v>11970</v>
      </c>
      <c r="S1465" s="337"/>
      <c r="T1465"/>
      <c r="U1465" s="3"/>
    </row>
    <row r="1466" spans="1:21">
      <c r="A1466" s="165" t="s">
        <v>9829</v>
      </c>
      <c r="B1466" s="94">
        <v>1420</v>
      </c>
      <c r="C1466" s="165" t="s">
        <v>9830</v>
      </c>
      <c r="D1466" s="165">
        <v>8</v>
      </c>
      <c r="E1466" s="165" t="s">
        <v>9840</v>
      </c>
      <c r="F1466" s="165" t="s">
        <v>9845</v>
      </c>
      <c r="G1466" s="165"/>
      <c r="H1466" s="556">
        <v>11970</v>
      </c>
      <c r="I1466" s="165"/>
      <c r="J1466" s="165"/>
      <c r="K1466" s="165"/>
      <c r="L1466" s="165"/>
      <c r="M1466" s="165">
        <v>11970</v>
      </c>
      <c r="N1466" s="165"/>
      <c r="O1466" s="337">
        <f t="shared" si="71"/>
        <v>11970</v>
      </c>
      <c r="P1466" s="165"/>
      <c r="Q1466" s="165"/>
      <c r="R1466" s="3">
        <f t="shared" si="70"/>
        <v>11970</v>
      </c>
      <c r="S1466" s="337"/>
      <c r="T1466"/>
      <c r="U1466" s="3"/>
    </row>
    <row r="1467" spans="1:21">
      <c r="A1467" s="165" t="s">
        <v>9911</v>
      </c>
      <c r="B1467" s="94">
        <v>1421</v>
      </c>
      <c r="C1467" s="165" t="s">
        <v>9912</v>
      </c>
      <c r="D1467" s="165">
        <v>1</v>
      </c>
      <c r="E1467" s="165" t="s">
        <v>9914</v>
      </c>
      <c r="F1467" s="165" t="s">
        <v>9913</v>
      </c>
      <c r="G1467" s="165"/>
      <c r="H1467" s="680">
        <v>13230</v>
      </c>
      <c r="I1467" s="165"/>
      <c r="J1467" s="165"/>
      <c r="K1467" s="165"/>
      <c r="L1467" s="165">
        <v>13230</v>
      </c>
      <c r="M1467" s="165"/>
      <c r="N1467" s="165"/>
      <c r="O1467" s="337">
        <f t="shared" si="71"/>
        <v>0</v>
      </c>
      <c r="P1467" s="165" t="s">
        <v>9664</v>
      </c>
      <c r="Q1467" s="165" t="s">
        <v>9664</v>
      </c>
      <c r="R1467" s="3">
        <f t="shared" ref="R1467:R1474" si="72">G1467+H1467+I1467</f>
        <v>13230</v>
      </c>
      <c r="S1467" s="337">
        <v>13230</v>
      </c>
      <c r="T1467"/>
      <c r="U1467" s="3"/>
    </row>
    <row r="1468" spans="1:21">
      <c r="A1468" s="165" t="s">
        <v>9911</v>
      </c>
      <c r="B1468" s="94">
        <v>1422</v>
      </c>
      <c r="C1468" s="165" t="s">
        <v>9912</v>
      </c>
      <c r="D1468" s="165">
        <v>2</v>
      </c>
      <c r="E1468" s="165" t="s">
        <v>9915</v>
      </c>
      <c r="F1468" s="165" t="s">
        <v>9922</v>
      </c>
      <c r="G1468" s="165"/>
      <c r="H1468" s="680">
        <v>13230</v>
      </c>
      <c r="I1468" s="165"/>
      <c r="J1468" s="165"/>
      <c r="K1468" s="165"/>
      <c r="L1468" s="165"/>
      <c r="M1468" s="165">
        <v>13230</v>
      </c>
      <c r="N1468" s="165"/>
      <c r="O1468" s="337">
        <f t="shared" si="71"/>
        <v>13230</v>
      </c>
      <c r="P1468" s="165"/>
      <c r="Q1468" s="165"/>
      <c r="R1468" s="3">
        <f t="shared" si="72"/>
        <v>13230</v>
      </c>
      <c r="S1468" s="337"/>
      <c r="T1468"/>
      <c r="U1468" s="3"/>
    </row>
    <row r="1469" spans="1:21">
      <c r="A1469" s="165" t="s">
        <v>9911</v>
      </c>
      <c r="B1469" s="94">
        <v>1423</v>
      </c>
      <c r="C1469" s="165" t="s">
        <v>9912</v>
      </c>
      <c r="D1469" s="165">
        <v>3</v>
      </c>
      <c r="E1469" s="165" t="s">
        <v>9916</v>
      </c>
      <c r="F1469" s="165" t="s">
        <v>9923</v>
      </c>
      <c r="G1469" s="165"/>
      <c r="H1469" s="680">
        <v>13230</v>
      </c>
      <c r="I1469" s="165"/>
      <c r="J1469" s="165"/>
      <c r="K1469" s="165"/>
      <c r="L1469" s="165"/>
      <c r="M1469" s="165">
        <v>13230</v>
      </c>
      <c r="N1469" s="165"/>
      <c r="O1469" s="337">
        <f t="shared" si="71"/>
        <v>13230</v>
      </c>
      <c r="P1469" s="165"/>
      <c r="Q1469" s="165"/>
      <c r="R1469" s="3">
        <f t="shared" si="72"/>
        <v>13230</v>
      </c>
      <c r="S1469" s="337"/>
      <c r="T1469"/>
      <c r="U1469" s="3"/>
    </row>
    <row r="1470" spans="1:21">
      <c r="A1470" s="165" t="s">
        <v>9911</v>
      </c>
      <c r="B1470" s="94">
        <v>1424</v>
      </c>
      <c r="C1470" s="165" t="s">
        <v>9912</v>
      </c>
      <c r="D1470" s="165">
        <v>4</v>
      </c>
      <c r="E1470" s="165" t="s">
        <v>9917</v>
      </c>
      <c r="F1470" s="165" t="s">
        <v>9924</v>
      </c>
      <c r="G1470" s="165"/>
      <c r="H1470" s="680">
        <v>13230</v>
      </c>
      <c r="I1470" s="165"/>
      <c r="J1470" s="165"/>
      <c r="K1470" s="165"/>
      <c r="L1470" s="165"/>
      <c r="M1470" s="165">
        <v>13230</v>
      </c>
      <c r="N1470" s="165"/>
      <c r="O1470" s="337">
        <f t="shared" si="71"/>
        <v>13230</v>
      </c>
      <c r="P1470" s="165"/>
      <c r="Q1470" s="165"/>
      <c r="R1470" s="3">
        <f t="shared" si="72"/>
        <v>13230</v>
      </c>
      <c r="S1470" s="337"/>
      <c r="T1470"/>
      <c r="U1470" s="3"/>
    </row>
    <row r="1471" spans="1:21">
      <c r="A1471" s="165" t="s">
        <v>9911</v>
      </c>
      <c r="B1471" s="94">
        <v>1425</v>
      </c>
      <c r="C1471" s="165" t="s">
        <v>9912</v>
      </c>
      <c r="D1471" s="165">
        <v>5</v>
      </c>
      <c r="E1471" s="165" t="s">
        <v>9918</v>
      </c>
      <c r="F1471" s="165" t="s">
        <v>9925</v>
      </c>
      <c r="G1471" s="165"/>
      <c r="H1471" s="680">
        <v>13230</v>
      </c>
      <c r="I1471" s="165"/>
      <c r="J1471" s="165"/>
      <c r="K1471" s="165"/>
      <c r="L1471" s="165"/>
      <c r="M1471" s="165">
        <v>13230</v>
      </c>
      <c r="N1471" s="165"/>
      <c r="O1471" s="337">
        <f>G1471+H1471+I1471-J1471-K1471-L1471</f>
        <v>13230</v>
      </c>
      <c r="P1471" s="165"/>
      <c r="Q1471" s="165"/>
      <c r="R1471" s="3">
        <f t="shared" si="72"/>
        <v>13230</v>
      </c>
      <c r="S1471" s="337"/>
      <c r="T1471"/>
      <c r="U1471" s="3"/>
    </row>
    <row r="1472" spans="1:21">
      <c r="A1472" s="165" t="s">
        <v>9911</v>
      </c>
      <c r="B1472" s="94">
        <v>1426</v>
      </c>
      <c r="C1472" s="165" t="s">
        <v>9912</v>
      </c>
      <c r="D1472" s="165">
        <v>6</v>
      </c>
      <c r="E1472" s="165" t="s">
        <v>9919</v>
      </c>
      <c r="F1472" s="165" t="s">
        <v>9926</v>
      </c>
      <c r="G1472" s="165"/>
      <c r="H1472" s="680">
        <v>13230</v>
      </c>
      <c r="I1472" s="165"/>
      <c r="J1472" s="165"/>
      <c r="K1472" s="165"/>
      <c r="L1472" s="165"/>
      <c r="M1472" s="165">
        <v>13230</v>
      </c>
      <c r="N1472" s="165"/>
      <c r="O1472" s="337">
        <f>G1472+H1472+I1472-J1472-K1472-L1472</f>
        <v>13230</v>
      </c>
      <c r="P1472" s="165"/>
      <c r="Q1472" s="165"/>
      <c r="R1472" s="3">
        <f t="shared" si="72"/>
        <v>13230</v>
      </c>
      <c r="S1472" s="337"/>
      <c r="T1472"/>
      <c r="U1472" s="3"/>
    </row>
    <row r="1473" spans="1:22">
      <c r="A1473" s="165" t="s">
        <v>9911</v>
      </c>
      <c r="B1473" s="94">
        <v>1427</v>
      </c>
      <c r="C1473" s="165" t="s">
        <v>9912</v>
      </c>
      <c r="D1473" s="165">
        <v>7</v>
      </c>
      <c r="E1473" s="165" t="s">
        <v>9920</v>
      </c>
      <c r="F1473" s="165" t="s">
        <v>9927</v>
      </c>
      <c r="G1473" s="165"/>
      <c r="H1473" s="680">
        <v>13230</v>
      </c>
      <c r="I1473" s="165"/>
      <c r="J1473" s="165"/>
      <c r="K1473" s="165"/>
      <c r="L1473" s="165"/>
      <c r="M1473" s="165">
        <v>13230</v>
      </c>
      <c r="N1473" s="165"/>
      <c r="O1473" s="337">
        <f>G1473+H1473+I1473-J1473-K1473-L1473</f>
        <v>13230</v>
      </c>
      <c r="P1473" s="165"/>
      <c r="Q1473" s="165"/>
      <c r="R1473" s="3">
        <f t="shared" si="72"/>
        <v>13230</v>
      </c>
      <c r="S1473" s="337"/>
      <c r="T1473"/>
      <c r="U1473" s="3"/>
    </row>
    <row r="1474" spans="1:22">
      <c r="A1474" s="165" t="s">
        <v>9911</v>
      </c>
      <c r="B1474" s="94">
        <v>1428</v>
      </c>
      <c r="C1474" s="165" t="s">
        <v>9912</v>
      </c>
      <c r="D1474" s="165">
        <v>8</v>
      </c>
      <c r="E1474" s="165" t="s">
        <v>9921</v>
      </c>
      <c r="F1474" s="165" t="s">
        <v>9928</v>
      </c>
      <c r="G1474" s="165"/>
      <c r="H1474" s="680">
        <v>13230</v>
      </c>
      <c r="I1474" s="165"/>
      <c r="J1474" s="165"/>
      <c r="K1474" s="165"/>
      <c r="L1474" s="165"/>
      <c r="M1474" s="165">
        <v>13230</v>
      </c>
      <c r="N1474" s="165"/>
      <c r="O1474" s="337">
        <f>G1474+H1474+I1474-J1474-K1474-L1474</f>
        <v>13230</v>
      </c>
      <c r="P1474" s="165"/>
      <c r="Q1474" s="165"/>
      <c r="R1474" s="3">
        <f t="shared" si="72"/>
        <v>13230</v>
      </c>
      <c r="S1474" s="337"/>
      <c r="T1474"/>
      <c r="U1474" s="3"/>
    </row>
    <row r="1475" spans="1:22">
      <c r="A1475" s="165" t="s">
        <v>9638</v>
      </c>
      <c r="B1475" s="94">
        <v>1429</v>
      </c>
      <c r="C1475" s="165" t="s">
        <v>4230</v>
      </c>
      <c r="D1475" s="165">
        <v>13</v>
      </c>
      <c r="E1475" s="165" t="s">
        <v>9639</v>
      </c>
      <c r="F1475" s="165" t="s">
        <v>9640</v>
      </c>
      <c r="G1475" s="165"/>
      <c r="H1475" s="680">
        <v>3780</v>
      </c>
      <c r="I1475" s="165"/>
      <c r="J1475" s="165"/>
      <c r="K1475" s="165"/>
      <c r="L1475" s="165">
        <v>3780</v>
      </c>
      <c r="M1475" s="165"/>
      <c r="N1475" s="165"/>
      <c r="O1475" s="337">
        <f t="shared" ref="O1475:O1498" si="73">G1475+H1475+I1475-J1475-K1475-L1475</f>
        <v>0</v>
      </c>
      <c r="P1475" s="165" t="s">
        <v>9664</v>
      </c>
      <c r="Q1475" s="165" t="s">
        <v>9664</v>
      </c>
      <c r="R1475" s="3">
        <f t="shared" ref="R1475:R1494" si="74">G1475+H1475+I1475</f>
        <v>3780</v>
      </c>
      <c r="S1475" s="337">
        <v>3780</v>
      </c>
      <c r="T1475"/>
      <c r="U1475" s="3"/>
    </row>
    <row r="1476" spans="1:22">
      <c r="A1476" s="165" t="s">
        <v>9638</v>
      </c>
      <c r="B1476" s="94">
        <v>1430</v>
      </c>
      <c r="C1476" s="165" t="s">
        <v>4230</v>
      </c>
      <c r="D1476" s="165">
        <v>14</v>
      </c>
      <c r="E1476" s="165" t="s">
        <v>9641</v>
      </c>
      <c r="F1476" s="165" t="s">
        <v>9653</v>
      </c>
      <c r="G1476" s="165"/>
      <c r="H1476" s="680">
        <v>3780</v>
      </c>
      <c r="I1476" s="165"/>
      <c r="J1476" s="165"/>
      <c r="K1476" s="338"/>
      <c r="L1476" s="338">
        <v>3780</v>
      </c>
      <c r="M1476" s="165"/>
      <c r="N1476" s="165"/>
      <c r="O1476" s="337">
        <f t="shared" si="73"/>
        <v>0</v>
      </c>
      <c r="P1476" s="165" t="s">
        <v>9664</v>
      </c>
      <c r="Q1476" s="165" t="s">
        <v>9664</v>
      </c>
      <c r="R1476" s="3">
        <f t="shared" si="74"/>
        <v>3780</v>
      </c>
      <c r="S1476" s="337">
        <v>3780</v>
      </c>
      <c r="T1476"/>
      <c r="U1476" s="3"/>
    </row>
    <row r="1477" spans="1:22">
      <c r="A1477" s="165" t="s">
        <v>9638</v>
      </c>
      <c r="B1477" s="94">
        <v>1431</v>
      </c>
      <c r="C1477" s="165" t="s">
        <v>4230</v>
      </c>
      <c r="D1477" s="165">
        <v>15</v>
      </c>
      <c r="E1477" s="165" t="s">
        <v>9642</v>
      </c>
      <c r="F1477" s="165" t="s">
        <v>9654</v>
      </c>
      <c r="G1477" s="165"/>
      <c r="H1477" s="680">
        <v>3780</v>
      </c>
      <c r="I1477" s="165"/>
      <c r="J1477" s="165"/>
      <c r="K1477" s="338"/>
      <c r="L1477" s="338">
        <v>3780</v>
      </c>
      <c r="M1477" s="165"/>
      <c r="N1477" s="165"/>
      <c r="O1477" s="337">
        <f t="shared" si="73"/>
        <v>0</v>
      </c>
      <c r="P1477" s="165" t="s">
        <v>9654</v>
      </c>
      <c r="Q1477" s="165" t="s">
        <v>9654</v>
      </c>
      <c r="R1477" s="3">
        <f t="shared" si="74"/>
        <v>3780</v>
      </c>
      <c r="S1477" s="337">
        <v>3780</v>
      </c>
      <c r="T1477"/>
      <c r="U1477" s="3"/>
    </row>
    <row r="1478" spans="1:22">
      <c r="A1478" s="165" t="s">
        <v>9638</v>
      </c>
      <c r="B1478" s="94">
        <v>1432</v>
      </c>
      <c r="C1478" s="165" t="s">
        <v>4230</v>
      </c>
      <c r="D1478" s="165">
        <v>16</v>
      </c>
      <c r="E1478" s="165" t="s">
        <v>9643</v>
      </c>
      <c r="F1478" s="165" t="s">
        <v>9655</v>
      </c>
      <c r="G1478" s="165"/>
      <c r="H1478" s="680">
        <v>3780</v>
      </c>
      <c r="I1478" s="165"/>
      <c r="J1478" s="165"/>
      <c r="K1478" s="338"/>
      <c r="L1478" s="338">
        <v>3780</v>
      </c>
      <c r="M1478" s="165"/>
      <c r="N1478" s="165"/>
      <c r="O1478" s="337">
        <f t="shared" si="73"/>
        <v>0</v>
      </c>
      <c r="P1478" s="165" t="s">
        <v>9665</v>
      </c>
      <c r="Q1478" s="165" t="s">
        <v>9665</v>
      </c>
      <c r="R1478" s="3">
        <f t="shared" si="74"/>
        <v>3780</v>
      </c>
      <c r="S1478" s="337">
        <v>3780</v>
      </c>
      <c r="T1478"/>
      <c r="U1478" s="3"/>
    </row>
    <row r="1479" spans="1:22">
      <c r="A1479" s="165" t="s">
        <v>9638</v>
      </c>
      <c r="B1479" s="94">
        <v>1433</v>
      </c>
      <c r="C1479" s="165" t="s">
        <v>4230</v>
      </c>
      <c r="D1479" s="165">
        <v>17</v>
      </c>
      <c r="E1479" s="165" t="s">
        <v>9644</v>
      </c>
      <c r="F1479" s="165" t="s">
        <v>9656</v>
      </c>
      <c r="G1479" s="165"/>
      <c r="H1479" s="680">
        <v>3780</v>
      </c>
      <c r="I1479" s="165"/>
      <c r="J1479" s="165"/>
      <c r="K1479" s="338"/>
      <c r="L1479" s="338"/>
      <c r="M1479" s="165">
        <v>3780</v>
      </c>
      <c r="N1479" s="165"/>
      <c r="O1479" s="337">
        <f t="shared" si="73"/>
        <v>3780</v>
      </c>
      <c r="P1479" s="165"/>
      <c r="Q1479" s="165"/>
      <c r="R1479" s="3">
        <f t="shared" si="74"/>
        <v>3780</v>
      </c>
      <c r="S1479" s="337"/>
      <c r="T1479"/>
      <c r="U1479" s="3"/>
    </row>
    <row r="1480" spans="1:22">
      <c r="A1480" s="165" t="s">
        <v>9638</v>
      </c>
      <c r="B1480" s="94">
        <v>1434</v>
      </c>
      <c r="C1480" s="165" t="s">
        <v>4230</v>
      </c>
      <c r="D1480" s="165">
        <v>18</v>
      </c>
      <c r="E1480" s="165" t="s">
        <v>9645</v>
      </c>
      <c r="F1480" s="165" t="s">
        <v>9657</v>
      </c>
      <c r="G1480" s="165"/>
      <c r="H1480" s="680">
        <v>3780</v>
      </c>
      <c r="I1480" s="165"/>
      <c r="J1480" s="165"/>
      <c r="K1480" s="338"/>
      <c r="L1480" s="338"/>
      <c r="M1480" s="165">
        <v>3780</v>
      </c>
      <c r="N1480" s="165"/>
      <c r="O1480" s="337">
        <f t="shared" si="73"/>
        <v>3780</v>
      </c>
      <c r="P1480" s="165"/>
      <c r="Q1480" s="165"/>
      <c r="R1480" s="3">
        <f t="shared" si="74"/>
        <v>3780</v>
      </c>
      <c r="S1480" s="337"/>
      <c r="T1480"/>
      <c r="U1480" s="3"/>
    </row>
    <row r="1481" spans="1:22">
      <c r="A1481" s="165" t="s">
        <v>9638</v>
      </c>
      <c r="B1481" s="94">
        <v>1435</v>
      </c>
      <c r="C1481" s="165" t="s">
        <v>4230</v>
      </c>
      <c r="D1481" s="165">
        <v>19</v>
      </c>
      <c r="E1481" s="165" t="s">
        <v>9646</v>
      </c>
      <c r="F1481" s="165" t="s">
        <v>9658</v>
      </c>
      <c r="G1481" s="165"/>
      <c r="H1481" s="680">
        <v>3780</v>
      </c>
      <c r="I1481" s="165"/>
      <c r="J1481" s="165"/>
      <c r="K1481" s="338"/>
      <c r="L1481" s="338"/>
      <c r="M1481" s="165">
        <v>3780</v>
      </c>
      <c r="N1481" s="165"/>
      <c r="O1481" s="337">
        <f t="shared" si="73"/>
        <v>3780</v>
      </c>
      <c r="P1481" s="165"/>
      <c r="Q1481" s="165"/>
      <c r="R1481" s="3">
        <f t="shared" si="74"/>
        <v>3780</v>
      </c>
      <c r="S1481" s="337"/>
      <c r="T1481"/>
      <c r="U1481" s="3"/>
    </row>
    <row r="1482" spans="1:22">
      <c r="A1482" s="165" t="s">
        <v>9638</v>
      </c>
      <c r="B1482" s="94">
        <v>1436</v>
      </c>
      <c r="C1482" s="165" t="s">
        <v>4230</v>
      </c>
      <c r="D1482" s="165">
        <v>20</v>
      </c>
      <c r="E1482" s="165" t="s">
        <v>9647</v>
      </c>
      <c r="F1482" s="165" t="s">
        <v>9659</v>
      </c>
      <c r="G1482" s="165"/>
      <c r="H1482" s="680">
        <v>3780</v>
      </c>
      <c r="I1482" s="165"/>
      <c r="J1482" s="165"/>
      <c r="K1482" s="338"/>
      <c r="L1482" s="338"/>
      <c r="M1482" s="165">
        <v>3780</v>
      </c>
      <c r="N1482" s="165"/>
      <c r="O1482" s="337">
        <f t="shared" si="73"/>
        <v>3780</v>
      </c>
      <c r="P1482" s="165"/>
      <c r="Q1482" s="165"/>
      <c r="R1482" s="3">
        <f t="shared" si="74"/>
        <v>3780</v>
      </c>
      <c r="S1482" s="337"/>
      <c r="T1482"/>
      <c r="U1482" s="3"/>
    </row>
    <row r="1483" spans="1:22">
      <c r="A1483" s="165" t="s">
        <v>9638</v>
      </c>
      <c r="B1483" s="94">
        <v>1437</v>
      </c>
      <c r="C1483" s="165" t="s">
        <v>4230</v>
      </c>
      <c r="D1483" s="165">
        <v>21</v>
      </c>
      <c r="E1483" s="165" t="s">
        <v>9648</v>
      </c>
      <c r="F1483" s="165" t="s">
        <v>9660</v>
      </c>
      <c r="G1483" s="165"/>
      <c r="H1483" s="680">
        <v>3780</v>
      </c>
      <c r="I1483" s="165"/>
      <c r="J1483" s="165"/>
      <c r="K1483" s="338"/>
      <c r="L1483" s="338"/>
      <c r="M1483" s="165">
        <v>3780</v>
      </c>
      <c r="N1483" s="165"/>
      <c r="O1483" s="337">
        <f t="shared" si="73"/>
        <v>3780</v>
      </c>
      <c r="P1483" s="165"/>
      <c r="Q1483" s="165"/>
      <c r="R1483" s="3">
        <f t="shared" si="74"/>
        <v>3780</v>
      </c>
      <c r="S1483" s="337"/>
      <c r="T1483"/>
      <c r="U1483" s="3"/>
    </row>
    <row r="1484" spans="1:22">
      <c r="A1484" s="165" t="s">
        <v>9638</v>
      </c>
      <c r="B1484" s="94">
        <v>1438</v>
      </c>
      <c r="C1484" s="165" t="s">
        <v>4230</v>
      </c>
      <c r="D1484" s="165">
        <v>22</v>
      </c>
      <c r="E1484" s="165" t="s">
        <v>9649</v>
      </c>
      <c r="F1484" s="165" t="s">
        <v>9661</v>
      </c>
      <c r="G1484" s="165"/>
      <c r="H1484" s="680">
        <v>3780</v>
      </c>
      <c r="I1484" s="165"/>
      <c r="J1484" s="165"/>
      <c r="K1484" s="338"/>
      <c r="L1484" s="338"/>
      <c r="M1484" s="165">
        <v>3780</v>
      </c>
      <c r="N1484" s="165"/>
      <c r="O1484" s="337">
        <f t="shared" si="73"/>
        <v>3780</v>
      </c>
      <c r="P1484" s="165"/>
      <c r="Q1484" s="165"/>
      <c r="R1484" s="3">
        <f t="shared" si="74"/>
        <v>3780</v>
      </c>
      <c r="S1484" s="337"/>
      <c r="T1484"/>
      <c r="U1484" s="3"/>
    </row>
    <row r="1485" spans="1:22">
      <c r="A1485" s="165" t="s">
        <v>9638</v>
      </c>
      <c r="B1485" s="94">
        <v>1439</v>
      </c>
      <c r="C1485" s="165" t="s">
        <v>4230</v>
      </c>
      <c r="D1485" s="165">
        <v>23</v>
      </c>
      <c r="E1485" s="165" t="s">
        <v>9650</v>
      </c>
      <c r="F1485" s="165" t="s">
        <v>9662</v>
      </c>
      <c r="G1485" s="165"/>
      <c r="H1485" s="680">
        <v>3780</v>
      </c>
      <c r="I1485" s="165"/>
      <c r="J1485" s="165"/>
      <c r="K1485" s="338"/>
      <c r="L1485" s="338"/>
      <c r="M1485" s="165">
        <v>3780</v>
      </c>
      <c r="N1485" s="165"/>
      <c r="O1485" s="337">
        <f t="shared" si="73"/>
        <v>3780</v>
      </c>
      <c r="P1485" s="165"/>
      <c r="Q1485" s="165"/>
      <c r="R1485" s="3">
        <f t="shared" si="74"/>
        <v>3780</v>
      </c>
      <c r="S1485" s="337"/>
      <c r="T1485"/>
      <c r="U1485" s="3"/>
    </row>
    <row r="1486" spans="1:22">
      <c r="A1486" s="165" t="s">
        <v>9638</v>
      </c>
      <c r="B1486" s="94">
        <v>1440</v>
      </c>
      <c r="C1486" s="165" t="s">
        <v>4230</v>
      </c>
      <c r="D1486" s="165">
        <v>24</v>
      </c>
      <c r="E1486" s="165" t="s">
        <v>9651</v>
      </c>
      <c r="F1486" s="165" t="s">
        <v>9663</v>
      </c>
      <c r="G1486" s="165"/>
      <c r="H1486" s="680">
        <v>3780</v>
      </c>
      <c r="I1486" s="165"/>
      <c r="J1486" s="165"/>
      <c r="K1486" s="338"/>
      <c r="L1486" s="338"/>
      <c r="M1486" s="165">
        <v>3780</v>
      </c>
      <c r="N1486" s="165"/>
      <c r="O1486" s="337">
        <f t="shared" si="73"/>
        <v>3780</v>
      </c>
      <c r="P1486" s="165"/>
      <c r="Q1486" s="165"/>
      <c r="R1486" s="3">
        <f t="shared" si="74"/>
        <v>3780</v>
      </c>
      <c r="S1486" s="337"/>
      <c r="T1486"/>
      <c r="U1486" s="3"/>
    </row>
    <row r="1487" spans="1:22">
      <c r="A1487" s="165" t="s">
        <v>9726</v>
      </c>
      <c r="B1487" s="94">
        <v>1441</v>
      </c>
      <c r="C1487" s="165" t="s">
        <v>9727</v>
      </c>
      <c r="D1487" s="165">
        <v>1</v>
      </c>
      <c r="E1487" s="165" t="s">
        <v>9728</v>
      </c>
      <c r="F1487" s="165" t="s">
        <v>9729</v>
      </c>
      <c r="G1487" s="165"/>
      <c r="H1487" s="165">
        <v>20475</v>
      </c>
      <c r="I1487" s="165"/>
      <c r="J1487" s="165"/>
      <c r="K1487" s="165"/>
      <c r="L1487" s="165">
        <v>20475</v>
      </c>
      <c r="M1487" s="165"/>
      <c r="N1487" s="165"/>
      <c r="O1487" s="337">
        <f>G1487+H1487+I1487-J1487-K1487-L1487</f>
        <v>0</v>
      </c>
      <c r="P1487" s="165" t="s">
        <v>9744</v>
      </c>
      <c r="Q1487" s="165" t="s">
        <v>9744</v>
      </c>
      <c r="R1487" s="3">
        <f t="shared" si="74"/>
        <v>20475</v>
      </c>
      <c r="S1487" s="337">
        <v>20475</v>
      </c>
      <c r="T1487"/>
      <c r="U1487" s="3"/>
      <c r="V1487" s="338"/>
    </row>
    <row r="1488" spans="1:22">
      <c r="A1488" s="165" t="s">
        <v>9726</v>
      </c>
      <c r="B1488" s="94">
        <v>1442</v>
      </c>
      <c r="C1488" s="165" t="s">
        <v>9727</v>
      </c>
      <c r="D1488" s="165">
        <v>2</v>
      </c>
      <c r="E1488" s="165" t="s">
        <v>9730</v>
      </c>
      <c r="F1488" s="165" t="s">
        <v>9737</v>
      </c>
      <c r="G1488" s="165"/>
      <c r="H1488" s="165"/>
      <c r="I1488" s="165">
        <v>20475</v>
      </c>
      <c r="J1488" s="165"/>
      <c r="K1488" s="165"/>
      <c r="L1488" s="165"/>
      <c r="M1488" s="165">
        <v>20475</v>
      </c>
      <c r="N1488" s="165"/>
      <c r="O1488" s="337">
        <f>G1488+H1488+I1488-J1488-K1488-L1488</f>
        <v>20475</v>
      </c>
      <c r="P1488" s="165"/>
      <c r="Q1488" s="165"/>
      <c r="R1488" s="3">
        <f t="shared" si="74"/>
        <v>20475</v>
      </c>
      <c r="S1488" s="337"/>
      <c r="T1488"/>
      <c r="U1488" s="3"/>
      <c r="V1488" s="271" t="s">
        <v>2740</v>
      </c>
    </row>
    <row r="1489" spans="1:22">
      <c r="A1489" s="165" t="s">
        <v>9726</v>
      </c>
      <c r="B1489" s="94">
        <v>1443</v>
      </c>
      <c r="C1489" s="165" t="s">
        <v>9727</v>
      </c>
      <c r="D1489" s="165">
        <v>3</v>
      </c>
      <c r="E1489" s="165" t="s">
        <v>9731</v>
      </c>
      <c r="F1489" s="165" t="s">
        <v>9738</v>
      </c>
      <c r="G1489" s="165"/>
      <c r="H1489" s="165"/>
      <c r="I1489" s="165">
        <v>20475</v>
      </c>
      <c r="J1489" s="165"/>
      <c r="K1489" s="165"/>
      <c r="L1489" s="165"/>
      <c r="M1489" s="165">
        <v>20475</v>
      </c>
      <c r="N1489" s="165"/>
      <c r="O1489" s="337">
        <f>G1489+H1489+I1489-J1489-K1489-L1489</f>
        <v>20475</v>
      </c>
      <c r="P1489" s="165"/>
      <c r="Q1489" s="165"/>
      <c r="R1489" s="3">
        <f t="shared" si="74"/>
        <v>20475</v>
      </c>
      <c r="S1489" s="337"/>
      <c r="T1489"/>
      <c r="U1489" s="3"/>
      <c r="V1489" s="271" t="s">
        <v>2740</v>
      </c>
    </row>
    <row r="1490" spans="1:22">
      <c r="A1490" s="165" t="s">
        <v>9726</v>
      </c>
      <c r="B1490" s="94">
        <v>1444</v>
      </c>
      <c r="C1490" s="165" t="s">
        <v>9727</v>
      </c>
      <c r="D1490" s="165">
        <v>4</v>
      </c>
      <c r="E1490" s="165" t="s">
        <v>9732</v>
      </c>
      <c r="F1490" s="165" t="s">
        <v>9739</v>
      </c>
      <c r="G1490" s="165"/>
      <c r="H1490" s="165"/>
      <c r="I1490" s="165">
        <v>20475</v>
      </c>
      <c r="J1490" s="165"/>
      <c r="K1490" s="165"/>
      <c r="L1490" s="165"/>
      <c r="M1490" s="165">
        <v>20475</v>
      </c>
      <c r="N1490" s="165"/>
      <c r="O1490" s="337">
        <f>G1490+H1490+I1490-J1490-K1490-L1490</f>
        <v>20475</v>
      </c>
      <c r="P1490" s="165"/>
      <c r="Q1490" s="165"/>
      <c r="R1490" s="3">
        <f t="shared" si="74"/>
        <v>20475</v>
      </c>
      <c r="S1490" s="337"/>
      <c r="T1490"/>
      <c r="U1490" s="3"/>
      <c r="V1490" s="271" t="s">
        <v>2740</v>
      </c>
    </row>
    <row r="1491" spans="1:22">
      <c r="A1491" s="165" t="s">
        <v>9726</v>
      </c>
      <c r="B1491" s="94">
        <v>1445</v>
      </c>
      <c r="C1491" s="165" t="s">
        <v>9727</v>
      </c>
      <c r="D1491" s="165">
        <v>5</v>
      </c>
      <c r="E1491" s="165" t="s">
        <v>9733</v>
      </c>
      <c r="F1491" s="165" t="s">
        <v>9740</v>
      </c>
      <c r="G1491" s="165"/>
      <c r="H1491" s="165"/>
      <c r="I1491" s="165">
        <v>20475</v>
      </c>
      <c r="J1491" s="165"/>
      <c r="K1491" s="165"/>
      <c r="L1491" s="165"/>
      <c r="M1491" s="165">
        <v>20475</v>
      </c>
      <c r="N1491" s="165"/>
      <c r="O1491" s="337">
        <f t="shared" si="73"/>
        <v>20475</v>
      </c>
      <c r="P1491" s="165"/>
      <c r="Q1491" s="165"/>
      <c r="R1491" s="3">
        <f t="shared" si="74"/>
        <v>20475</v>
      </c>
      <c r="S1491" s="337"/>
      <c r="T1491"/>
      <c r="U1491" s="3"/>
      <c r="V1491" s="271" t="s">
        <v>2740</v>
      </c>
    </row>
    <row r="1492" spans="1:22">
      <c r="A1492" s="165" t="s">
        <v>9726</v>
      </c>
      <c r="B1492" s="94">
        <v>1446</v>
      </c>
      <c r="C1492" s="165" t="s">
        <v>9727</v>
      </c>
      <c r="D1492" s="165">
        <v>6</v>
      </c>
      <c r="E1492" s="165" t="s">
        <v>9734</v>
      </c>
      <c r="F1492" s="165" t="s">
        <v>9741</v>
      </c>
      <c r="G1492" s="165"/>
      <c r="H1492" s="165"/>
      <c r="I1492" s="165">
        <v>20475</v>
      </c>
      <c r="J1492" s="165"/>
      <c r="K1492" s="165"/>
      <c r="L1492" s="165"/>
      <c r="M1492" s="165">
        <v>20475</v>
      </c>
      <c r="N1492" s="165"/>
      <c r="O1492" s="337">
        <f>G1492+H1492+I1492-J1492-K1492-L1492</f>
        <v>20475</v>
      </c>
      <c r="P1492" s="165"/>
      <c r="Q1492" s="165"/>
      <c r="R1492" s="3">
        <f t="shared" si="74"/>
        <v>20475</v>
      </c>
      <c r="S1492" s="337"/>
      <c r="T1492"/>
      <c r="U1492" s="3"/>
      <c r="V1492" s="271" t="s">
        <v>2740</v>
      </c>
    </row>
    <row r="1493" spans="1:22">
      <c r="A1493" s="165" t="s">
        <v>9726</v>
      </c>
      <c r="B1493" s="94">
        <v>1447</v>
      </c>
      <c r="C1493" s="165" t="s">
        <v>9727</v>
      </c>
      <c r="D1493" s="165">
        <v>7</v>
      </c>
      <c r="E1493" s="165" t="s">
        <v>9735</v>
      </c>
      <c r="F1493" s="165" t="s">
        <v>9743</v>
      </c>
      <c r="G1493" s="165"/>
      <c r="H1493" s="165"/>
      <c r="I1493" s="165">
        <v>20475</v>
      </c>
      <c r="J1493" s="165"/>
      <c r="K1493" s="165"/>
      <c r="L1493" s="165"/>
      <c r="M1493" s="165">
        <v>20475</v>
      </c>
      <c r="N1493" s="165"/>
      <c r="O1493" s="337">
        <f>G1493+H1493+I1493-J1493-K1493-L1493</f>
        <v>20475</v>
      </c>
      <c r="P1493" s="165"/>
      <c r="Q1493" s="165"/>
      <c r="R1493" s="3">
        <f t="shared" si="74"/>
        <v>20475</v>
      </c>
      <c r="S1493" s="337"/>
      <c r="T1493"/>
      <c r="U1493" s="3"/>
      <c r="V1493" s="271" t="s">
        <v>2740</v>
      </c>
    </row>
    <row r="1494" spans="1:22">
      <c r="A1494" s="165" t="s">
        <v>9726</v>
      </c>
      <c r="B1494" s="94">
        <v>1448</v>
      </c>
      <c r="C1494" s="165" t="s">
        <v>9727</v>
      </c>
      <c r="D1494" s="165">
        <v>8</v>
      </c>
      <c r="E1494" s="165" t="s">
        <v>9736</v>
      </c>
      <c r="F1494" s="165" t="s">
        <v>9742</v>
      </c>
      <c r="G1494" s="165"/>
      <c r="H1494" s="165"/>
      <c r="I1494" s="165">
        <v>20475</v>
      </c>
      <c r="J1494" s="165"/>
      <c r="K1494" s="165"/>
      <c r="L1494" s="165"/>
      <c r="M1494" s="165">
        <v>20475</v>
      </c>
      <c r="N1494" s="165"/>
      <c r="O1494" s="337">
        <f t="shared" si="73"/>
        <v>20475</v>
      </c>
      <c r="P1494" s="165"/>
      <c r="Q1494" s="165"/>
      <c r="R1494" s="3">
        <f t="shared" si="74"/>
        <v>20475</v>
      </c>
      <c r="S1494" s="337"/>
      <c r="T1494"/>
      <c r="U1494" s="3"/>
      <c r="V1494" s="271" t="s">
        <v>2740</v>
      </c>
    </row>
    <row r="1495" spans="1:22">
      <c r="A1495" s="165" t="s">
        <v>9744</v>
      </c>
      <c r="B1495" s="94">
        <v>1449</v>
      </c>
      <c r="C1495" s="165" t="s">
        <v>9778</v>
      </c>
      <c r="D1495" s="165">
        <v>1</v>
      </c>
      <c r="E1495" s="165" t="s">
        <v>9779</v>
      </c>
      <c r="F1495" s="165" t="s">
        <v>9729</v>
      </c>
      <c r="G1495" s="165"/>
      <c r="H1495" s="165">
        <v>16380</v>
      </c>
      <c r="I1495" s="165"/>
      <c r="J1495" s="165"/>
      <c r="K1495" s="165"/>
      <c r="L1495" s="165">
        <v>16380</v>
      </c>
      <c r="M1495" s="165"/>
      <c r="N1495" s="165"/>
      <c r="O1495" s="337">
        <f t="shared" si="73"/>
        <v>0</v>
      </c>
      <c r="P1495" s="165" t="s">
        <v>9780</v>
      </c>
      <c r="Q1495" s="165" t="s">
        <v>9780</v>
      </c>
      <c r="R1495" s="3">
        <f t="shared" ref="R1495:R1502" si="75">G1495+H1495+I1495</f>
        <v>16380</v>
      </c>
      <c r="S1495" s="337">
        <v>16380</v>
      </c>
      <c r="T1495"/>
      <c r="U1495" s="3"/>
      <c r="V1495" s="338"/>
    </row>
    <row r="1496" spans="1:22">
      <c r="A1496" s="165" t="s">
        <v>9744</v>
      </c>
      <c r="B1496" s="94">
        <v>1450</v>
      </c>
      <c r="C1496" s="165" t="s">
        <v>9778</v>
      </c>
      <c r="D1496" s="165">
        <v>2</v>
      </c>
      <c r="E1496" s="165" t="s">
        <v>9781</v>
      </c>
      <c r="F1496" s="165" t="s">
        <v>9737</v>
      </c>
      <c r="G1496" s="165"/>
      <c r="H1496" s="165"/>
      <c r="I1496" s="165">
        <v>16380</v>
      </c>
      <c r="J1496" s="165"/>
      <c r="K1496" s="165"/>
      <c r="L1496" s="165"/>
      <c r="M1496" s="165">
        <v>16380</v>
      </c>
      <c r="N1496" s="165"/>
      <c r="O1496" s="337">
        <f t="shared" si="73"/>
        <v>16380</v>
      </c>
      <c r="P1496" s="165"/>
      <c r="Q1496" s="165"/>
      <c r="R1496" s="3">
        <f t="shared" si="75"/>
        <v>16380</v>
      </c>
      <c r="S1496" s="337"/>
      <c r="T1496"/>
      <c r="U1496" s="3"/>
      <c r="V1496" s="271" t="s">
        <v>2740</v>
      </c>
    </row>
    <row r="1497" spans="1:22">
      <c r="A1497" s="165" t="s">
        <v>9744</v>
      </c>
      <c r="B1497" s="94">
        <v>1451</v>
      </c>
      <c r="C1497" s="165" t="s">
        <v>9778</v>
      </c>
      <c r="D1497" s="165">
        <v>3</v>
      </c>
      <c r="E1497" s="165" t="s">
        <v>9782</v>
      </c>
      <c r="F1497" s="165" t="s">
        <v>9738</v>
      </c>
      <c r="G1497" s="165"/>
      <c r="H1497" s="165"/>
      <c r="I1497" s="165">
        <v>16380</v>
      </c>
      <c r="J1497" s="165"/>
      <c r="K1497" s="165"/>
      <c r="L1497" s="165"/>
      <c r="M1497" s="165">
        <v>16380</v>
      </c>
      <c r="N1497" s="165"/>
      <c r="O1497" s="337">
        <f t="shared" si="73"/>
        <v>16380</v>
      </c>
      <c r="P1497" s="165"/>
      <c r="Q1497" s="165"/>
      <c r="R1497" s="3">
        <f t="shared" si="75"/>
        <v>16380</v>
      </c>
      <c r="S1497" s="337"/>
      <c r="T1497"/>
      <c r="U1497" s="3"/>
      <c r="V1497" s="271" t="s">
        <v>2740</v>
      </c>
    </row>
    <row r="1498" spans="1:22">
      <c r="A1498" s="165" t="s">
        <v>9744</v>
      </c>
      <c r="B1498" s="94">
        <v>1452</v>
      </c>
      <c r="C1498" s="165" t="s">
        <v>9778</v>
      </c>
      <c r="D1498" s="165">
        <v>4</v>
      </c>
      <c r="E1498" s="165" t="s">
        <v>9783</v>
      </c>
      <c r="F1498" s="165" t="s">
        <v>9739</v>
      </c>
      <c r="G1498" s="165"/>
      <c r="H1498" s="165"/>
      <c r="I1498" s="165">
        <v>16380</v>
      </c>
      <c r="J1498" s="165"/>
      <c r="K1498" s="165"/>
      <c r="L1498" s="165"/>
      <c r="M1498" s="165">
        <v>16380</v>
      </c>
      <c r="N1498" s="165"/>
      <c r="O1498" s="337">
        <f t="shared" si="73"/>
        <v>16380</v>
      </c>
      <c r="P1498" s="165"/>
      <c r="Q1498" s="165"/>
      <c r="R1498" s="3">
        <f t="shared" si="75"/>
        <v>16380</v>
      </c>
      <c r="S1498" s="337"/>
      <c r="T1498"/>
      <c r="U1498" s="3"/>
      <c r="V1498" s="271" t="s">
        <v>2740</v>
      </c>
    </row>
    <row r="1499" spans="1:22">
      <c r="A1499" s="165" t="s">
        <v>9744</v>
      </c>
      <c r="B1499" s="94">
        <v>1453</v>
      </c>
      <c r="C1499" s="165" t="s">
        <v>9778</v>
      </c>
      <c r="D1499" s="165">
        <v>5</v>
      </c>
      <c r="E1499" s="165" t="s">
        <v>9784</v>
      </c>
      <c r="F1499" s="165" t="s">
        <v>9740</v>
      </c>
      <c r="G1499" s="165"/>
      <c r="H1499" s="165"/>
      <c r="I1499" s="165">
        <v>16380</v>
      </c>
      <c r="J1499" s="165"/>
      <c r="K1499" s="165"/>
      <c r="L1499" s="165"/>
      <c r="M1499" s="165">
        <v>16380</v>
      </c>
      <c r="N1499" s="165"/>
      <c r="O1499" s="337">
        <f t="shared" ref="O1499:O1506" si="76">G1499+H1499+I1499-J1499-K1499-L1499</f>
        <v>16380</v>
      </c>
      <c r="P1499" s="165"/>
      <c r="Q1499" s="165"/>
      <c r="R1499" s="3">
        <f t="shared" si="75"/>
        <v>16380</v>
      </c>
      <c r="S1499" s="337"/>
      <c r="T1499"/>
      <c r="U1499" s="3"/>
      <c r="V1499" s="271" t="s">
        <v>2740</v>
      </c>
    </row>
    <row r="1500" spans="1:22">
      <c r="A1500" s="165" t="s">
        <v>9744</v>
      </c>
      <c r="B1500" s="94">
        <v>1454</v>
      </c>
      <c r="C1500" s="165" t="s">
        <v>9778</v>
      </c>
      <c r="D1500" s="165">
        <v>6</v>
      </c>
      <c r="E1500" s="165" t="s">
        <v>9785</v>
      </c>
      <c r="F1500" s="165" t="s">
        <v>9741</v>
      </c>
      <c r="G1500" s="165"/>
      <c r="H1500" s="165"/>
      <c r="I1500" s="165">
        <v>16380</v>
      </c>
      <c r="J1500" s="165"/>
      <c r="K1500" s="165"/>
      <c r="L1500" s="165"/>
      <c r="M1500" s="165">
        <v>16380</v>
      </c>
      <c r="N1500" s="165"/>
      <c r="O1500" s="337">
        <f t="shared" si="76"/>
        <v>16380</v>
      </c>
      <c r="P1500" s="165"/>
      <c r="Q1500" s="165"/>
      <c r="R1500" s="3">
        <f t="shared" si="75"/>
        <v>16380</v>
      </c>
      <c r="S1500" s="337"/>
      <c r="T1500"/>
      <c r="U1500" s="3"/>
      <c r="V1500" s="271" t="s">
        <v>2740</v>
      </c>
    </row>
    <row r="1501" spans="1:22">
      <c r="A1501" s="165" t="s">
        <v>9744</v>
      </c>
      <c r="B1501" s="94">
        <v>1455</v>
      </c>
      <c r="C1501" s="165" t="s">
        <v>9778</v>
      </c>
      <c r="D1501" s="165">
        <v>7</v>
      </c>
      <c r="E1501" s="165" t="s">
        <v>9786</v>
      </c>
      <c r="F1501" s="165" t="s">
        <v>9743</v>
      </c>
      <c r="G1501" s="165"/>
      <c r="H1501" s="165"/>
      <c r="I1501" s="165">
        <v>16380</v>
      </c>
      <c r="J1501" s="165"/>
      <c r="K1501" s="165"/>
      <c r="L1501" s="165"/>
      <c r="M1501" s="165">
        <v>16380</v>
      </c>
      <c r="N1501" s="165"/>
      <c r="O1501" s="337">
        <f t="shared" si="76"/>
        <v>16380</v>
      </c>
      <c r="P1501" s="165"/>
      <c r="Q1501" s="165"/>
      <c r="R1501" s="3">
        <f t="shared" si="75"/>
        <v>16380</v>
      </c>
      <c r="S1501" s="337"/>
      <c r="T1501"/>
      <c r="U1501" s="3"/>
      <c r="V1501" s="271" t="s">
        <v>2740</v>
      </c>
    </row>
    <row r="1502" spans="1:22">
      <c r="A1502" s="165" t="s">
        <v>9744</v>
      </c>
      <c r="B1502" s="94">
        <v>1456</v>
      </c>
      <c r="C1502" s="165" t="s">
        <v>9778</v>
      </c>
      <c r="D1502" s="165">
        <v>8</v>
      </c>
      <c r="E1502" s="165" t="s">
        <v>9787</v>
      </c>
      <c r="F1502" s="165" t="s">
        <v>9742</v>
      </c>
      <c r="G1502" s="165"/>
      <c r="H1502" s="165"/>
      <c r="I1502" s="165">
        <v>16380</v>
      </c>
      <c r="J1502" s="165"/>
      <c r="K1502" s="165"/>
      <c r="L1502" s="165"/>
      <c r="M1502" s="165">
        <v>16380</v>
      </c>
      <c r="N1502" s="165"/>
      <c r="O1502" s="337">
        <f t="shared" si="76"/>
        <v>16380</v>
      </c>
      <c r="P1502" s="165"/>
      <c r="Q1502" s="165"/>
      <c r="R1502" s="3">
        <f t="shared" si="75"/>
        <v>16380</v>
      </c>
      <c r="S1502" s="337"/>
      <c r="T1502"/>
      <c r="U1502" s="3"/>
      <c r="V1502" s="271" t="s">
        <v>2740</v>
      </c>
    </row>
    <row r="1503" spans="1:22">
      <c r="A1503" s="165" t="s">
        <v>9744</v>
      </c>
      <c r="B1503" s="94">
        <v>1457</v>
      </c>
      <c r="C1503" s="165" t="s">
        <v>9778</v>
      </c>
      <c r="D1503" s="165">
        <v>1</v>
      </c>
      <c r="E1503" s="165" t="s">
        <v>9790</v>
      </c>
      <c r="F1503" s="165" t="s">
        <v>9729</v>
      </c>
      <c r="G1503" s="165"/>
      <c r="H1503" s="165">
        <v>20475</v>
      </c>
      <c r="I1503" s="165"/>
      <c r="J1503" s="165"/>
      <c r="K1503" s="165"/>
      <c r="L1503" s="165">
        <v>20475</v>
      </c>
      <c r="M1503" s="165"/>
      <c r="N1503" s="165"/>
      <c r="O1503" s="337">
        <f t="shared" si="76"/>
        <v>0</v>
      </c>
      <c r="P1503" s="165" t="s">
        <v>9780</v>
      </c>
      <c r="Q1503" s="165" t="s">
        <v>9780</v>
      </c>
      <c r="R1503" s="3">
        <f t="shared" ref="R1503:R1510" si="77">G1503+H1503+I1503</f>
        <v>20475</v>
      </c>
      <c r="S1503" s="337">
        <v>20475</v>
      </c>
      <c r="T1503"/>
      <c r="U1503" s="3"/>
      <c r="V1503" s="338"/>
    </row>
    <row r="1504" spans="1:22">
      <c r="A1504" s="165" t="s">
        <v>9744</v>
      </c>
      <c r="B1504" s="94">
        <v>1458</v>
      </c>
      <c r="C1504" s="165" t="s">
        <v>9778</v>
      </c>
      <c r="D1504" s="165">
        <v>2</v>
      </c>
      <c r="E1504" s="165" t="s">
        <v>9791</v>
      </c>
      <c r="F1504" s="165" t="s">
        <v>9737</v>
      </c>
      <c r="G1504" s="165"/>
      <c r="H1504" s="165"/>
      <c r="I1504" s="165">
        <v>20475</v>
      </c>
      <c r="J1504" s="165"/>
      <c r="K1504" s="165"/>
      <c r="L1504" s="165"/>
      <c r="M1504" s="165">
        <v>20475</v>
      </c>
      <c r="N1504" s="165"/>
      <c r="O1504" s="337">
        <f t="shared" si="76"/>
        <v>20475</v>
      </c>
      <c r="P1504" s="165"/>
      <c r="Q1504" s="165"/>
      <c r="R1504" s="3">
        <f t="shared" si="77"/>
        <v>20475</v>
      </c>
      <c r="S1504" s="337"/>
      <c r="T1504"/>
      <c r="U1504" s="3"/>
      <c r="V1504" s="271" t="s">
        <v>2740</v>
      </c>
    </row>
    <row r="1505" spans="1:23">
      <c r="A1505" s="165" t="s">
        <v>9744</v>
      </c>
      <c r="B1505" s="94">
        <v>1459</v>
      </c>
      <c r="C1505" s="165" t="s">
        <v>9778</v>
      </c>
      <c r="D1505" s="165">
        <v>3</v>
      </c>
      <c r="E1505" s="165" t="s">
        <v>9792</v>
      </c>
      <c r="F1505" s="165" t="s">
        <v>9738</v>
      </c>
      <c r="G1505" s="165"/>
      <c r="H1505" s="165"/>
      <c r="I1505" s="165">
        <v>20475</v>
      </c>
      <c r="J1505" s="165"/>
      <c r="K1505" s="165"/>
      <c r="L1505" s="165"/>
      <c r="M1505" s="165">
        <v>20475</v>
      </c>
      <c r="N1505" s="165"/>
      <c r="O1505" s="337">
        <f t="shared" si="76"/>
        <v>20475</v>
      </c>
      <c r="P1505" s="165"/>
      <c r="Q1505" s="165"/>
      <c r="R1505" s="3">
        <f t="shared" si="77"/>
        <v>20475</v>
      </c>
      <c r="S1505" s="337"/>
      <c r="T1505"/>
      <c r="U1505" s="3"/>
      <c r="V1505" s="271" t="s">
        <v>2740</v>
      </c>
    </row>
    <row r="1506" spans="1:23">
      <c r="A1506" s="165" t="s">
        <v>9744</v>
      </c>
      <c r="B1506" s="94">
        <v>1460</v>
      </c>
      <c r="C1506" s="165" t="s">
        <v>9778</v>
      </c>
      <c r="D1506" s="165">
        <v>4</v>
      </c>
      <c r="E1506" s="165" t="s">
        <v>9793</v>
      </c>
      <c r="F1506" s="165" t="s">
        <v>9739</v>
      </c>
      <c r="G1506" s="165"/>
      <c r="H1506" s="165"/>
      <c r="I1506" s="165">
        <v>20475</v>
      </c>
      <c r="J1506" s="165"/>
      <c r="K1506" s="165"/>
      <c r="L1506" s="165"/>
      <c r="M1506" s="165">
        <v>20475</v>
      </c>
      <c r="N1506" s="165"/>
      <c r="O1506" s="337">
        <f t="shared" si="76"/>
        <v>20475</v>
      </c>
      <c r="P1506" s="165"/>
      <c r="Q1506" s="165"/>
      <c r="R1506" s="3">
        <f t="shared" si="77"/>
        <v>20475</v>
      </c>
      <c r="S1506" s="337"/>
      <c r="T1506"/>
      <c r="U1506" s="3"/>
      <c r="V1506" s="271" t="s">
        <v>2740</v>
      </c>
    </row>
    <row r="1507" spans="1:23">
      <c r="A1507" s="165" t="s">
        <v>9744</v>
      </c>
      <c r="B1507" s="94">
        <v>1461</v>
      </c>
      <c r="C1507" s="165" t="s">
        <v>9778</v>
      </c>
      <c r="D1507" s="165">
        <v>5</v>
      </c>
      <c r="E1507" s="165" t="s">
        <v>9794</v>
      </c>
      <c r="F1507" s="165" t="s">
        <v>9740</v>
      </c>
      <c r="G1507" s="165"/>
      <c r="H1507" s="165"/>
      <c r="I1507" s="165">
        <v>20475</v>
      </c>
      <c r="J1507" s="165"/>
      <c r="K1507" s="165"/>
      <c r="L1507" s="165"/>
      <c r="M1507" s="165">
        <v>20475</v>
      </c>
      <c r="N1507" s="165"/>
      <c r="O1507" s="337">
        <f>G1507+H1507+I1507-J1507-K1507-L1507</f>
        <v>20475</v>
      </c>
      <c r="P1507" s="165"/>
      <c r="Q1507" s="165"/>
      <c r="R1507" s="3">
        <f t="shared" si="77"/>
        <v>20475</v>
      </c>
      <c r="S1507" s="337"/>
      <c r="T1507"/>
      <c r="U1507" s="3"/>
      <c r="V1507" s="271" t="s">
        <v>2740</v>
      </c>
    </row>
    <row r="1508" spans="1:23">
      <c r="A1508" s="165" t="s">
        <v>9744</v>
      </c>
      <c r="B1508" s="94">
        <v>1462</v>
      </c>
      <c r="C1508" s="165" t="s">
        <v>9778</v>
      </c>
      <c r="D1508" s="165">
        <v>6</v>
      </c>
      <c r="E1508" s="165" t="s">
        <v>9795</v>
      </c>
      <c r="F1508" s="165" t="s">
        <v>9741</v>
      </c>
      <c r="G1508" s="165"/>
      <c r="H1508" s="165"/>
      <c r="I1508" s="165">
        <v>20475</v>
      </c>
      <c r="J1508" s="165"/>
      <c r="K1508" s="165"/>
      <c r="L1508" s="165"/>
      <c r="M1508" s="165">
        <v>20475</v>
      </c>
      <c r="N1508" s="165"/>
      <c r="O1508" s="337">
        <f>G1508+H1508+I1508-J1508-K1508-L1508</f>
        <v>20475</v>
      </c>
      <c r="P1508" s="165"/>
      <c r="Q1508" s="165"/>
      <c r="R1508" s="3">
        <f t="shared" si="77"/>
        <v>20475</v>
      </c>
      <c r="S1508" s="337"/>
      <c r="T1508"/>
      <c r="U1508" s="3"/>
      <c r="V1508" s="271" t="s">
        <v>2740</v>
      </c>
    </row>
    <row r="1509" spans="1:23">
      <c r="A1509" s="165" t="s">
        <v>9744</v>
      </c>
      <c r="B1509" s="94">
        <v>1463</v>
      </c>
      <c r="C1509" s="165" t="s">
        <v>9778</v>
      </c>
      <c r="D1509" s="165">
        <v>7</v>
      </c>
      <c r="E1509" s="165" t="s">
        <v>9796</v>
      </c>
      <c r="F1509" s="165" t="s">
        <v>9743</v>
      </c>
      <c r="G1509" s="165"/>
      <c r="H1509" s="165"/>
      <c r="I1509" s="165">
        <v>20475</v>
      </c>
      <c r="J1509" s="165"/>
      <c r="K1509" s="165"/>
      <c r="L1509" s="165"/>
      <c r="M1509" s="165">
        <v>20475</v>
      </c>
      <c r="N1509" s="165"/>
      <c r="O1509" s="337">
        <f>G1509+H1509+I1509-J1509-K1509-L1509</f>
        <v>20475</v>
      </c>
      <c r="P1509" s="165"/>
      <c r="Q1509" s="165"/>
      <c r="R1509" s="3">
        <f t="shared" si="77"/>
        <v>20475</v>
      </c>
      <c r="S1509" s="337"/>
      <c r="T1509"/>
      <c r="U1509" s="3"/>
      <c r="V1509" s="271" t="s">
        <v>2740</v>
      </c>
    </row>
    <row r="1510" spans="1:23">
      <c r="A1510" s="165" t="s">
        <v>9744</v>
      </c>
      <c r="B1510" s="94">
        <v>1464</v>
      </c>
      <c r="C1510" s="165" t="s">
        <v>9778</v>
      </c>
      <c r="D1510" s="165">
        <v>8</v>
      </c>
      <c r="E1510" s="165" t="s">
        <v>9797</v>
      </c>
      <c r="F1510" s="165" t="s">
        <v>9742</v>
      </c>
      <c r="G1510" s="165"/>
      <c r="H1510" s="165"/>
      <c r="I1510" s="165">
        <v>20475</v>
      </c>
      <c r="J1510" s="165"/>
      <c r="K1510" s="165"/>
      <c r="L1510" s="165"/>
      <c r="M1510" s="165">
        <v>20475</v>
      </c>
      <c r="N1510" s="165"/>
      <c r="O1510" s="337">
        <f>G1510+H1510+I1510-J1510-K1510-L1510</f>
        <v>20475</v>
      </c>
      <c r="P1510" s="165"/>
      <c r="Q1510" s="165"/>
      <c r="R1510" s="3">
        <f t="shared" si="77"/>
        <v>20475</v>
      </c>
      <c r="S1510" s="337"/>
      <c r="T1510"/>
      <c r="U1510" s="3"/>
      <c r="V1510" s="271" t="s">
        <v>2740</v>
      </c>
    </row>
    <row r="1511" spans="1:23">
      <c r="A1511" s="165" t="s">
        <v>9744</v>
      </c>
      <c r="B1511" s="94">
        <v>1465</v>
      </c>
      <c r="C1511" s="165" t="s">
        <v>9778</v>
      </c>
      <c r="D1511" s="165"/>
      <c r="E1511" s="165" t="s">
        <v>9929</v>
      </c>
      <c r="F1511" s="165" t="s">
        <v>9780</v>
      </c>
      <c r="G1511" s="165"/>
      <c r="H1511" s="165">
        <v>119700</v>
      </c>
      <c r="I1511" s="165"/>
      <c r="J1511" s="165"/>
      <c r="K1511" s="165"/>
      <c r="L1511" s="165">
        <v>119700</v>
      </c>
      <c r="M1511" s="165"/>
      <c r="N1511" s="165"/>
      <c r="O1511" s="337">
        <f>G1511+H1511+I1511-J1511-K1511-L1511</f>
        <v>0</v>
      </c>
      <c r="P1511" s="165" t="s">
        <v>9780</v>
      </c>
      <c r="Q1511" s="165" t="s">
        <v>9780</v>
      </c>
      <c r="R1511" s="3">
        <f>G1511+H1511+I1511</f>
        <v>119700</v>
      </c>
      <c r="S1511" s="337">
        <v>119700</v>
      </c>
      <c r="T1511"/>
      <c r="U1511" s="3"/>
      <c r="V1511" s="338"/>
      <c r="W1511" t="s">
        <v>9930</v>
      </c>
    </row>
    <row r="1512" spans="1:23">
      <c r="A1512" s="165"/>
      <c r="B1512" s="94"/>
      <c r="C1512" s="165"/>
      <c r="D1512" s="165"/>
      <c r="E1512" s="165"/>
      <c r="F1512" s="165"/>
      <c r="G1512" s="165"/>
      <c r="H1512" s="165"/>
      <c r="I1512" s="165"/>
      <c r="J1512" s="165"/>
      <c r="K1512" s="165"/>
      <c r="L1512" s="165"/>
      <c r="M1512" s="165"/>
      <c r="N1512" s="165"/>
      <c r="O1512" s="165"/>
      <c r="P1512" s="165"/>
      <c r="R1512" s="165"/>
      <c r="U1512" s="338"/>
    </row>
    <row r="1513" spans="1:23">
      <c r="A1513" s="165"/>
      <c r="B1513" s="94"/>
      <c r="C1513" s="165"/>
      <c r="D1513" s="165"/>
      <c r="E1513" s="165"/>
      <c r="F1513" s="165"/>
      <c r="G1513" s="165"/>
      <c r="H1513" s="165"/>
      <c r="I1513" s="165"/>
      <c r="J1513" s="165"/>
      <c r="K1513" s="165"/>
      <c r="L1513" s="165"/>
      <c r="M1513" s="165"/>
      <c r="N1513" s="165"/>
      <c r="O1513" s="165"/>
      <c r="P1513" s="165"/>
      <c r="R1513" s="165"/>
      <c r="U1513" s="338"/>
    </row>
    <row r="1514" spans="1:23">
      <c r="A1514" s="165"/>
      <c r="B1514" s="94"/>
      <c r="C1514" s="165"/>
      <c r="D1514" s="165"/>
      <c r="E1514" s="165"/>
      <c r="F1514" s="165"/>
      <c r="G1514" s="165"/>
      <c r="H1514" s="165"/>
      <c r="I1514" s="165"/>
      <c r="J1514" s="165"/>
      <c r="K1514" s="165"/>
      <c r="L1514" s="165"/>
      <c r="M1514" s="165"/>
      <c r="N1514" s="165"/>
      <c r="O1514" s="165"/>
      <c r="P1514" s="165"/>
      <c r="R1514" s="165"/>
      <c r="U1514" s="338"/>
    </row>
    <row r="1515" spans="1:23" s="3" customFormat="1">
      <c r="A1515" s="165"/>
      <c r="B1515" s="94"/>
      <c r="C1515" s="165"/>
      <c r="D1515" s="165"/>
      <c r="E1515" s="165"/>
      <c r="F1515" s="165"/>
      <c r="G1515" s="165"/>
      <c r="H1515" s="165"/>
      <c r="I1515" s="165"/>
      <c r="J1515" s="165"/>
      <c r="K1515" s="165"/>
      <c r="L1515" s="165"/>
      <c r="M1515" s="165"/>
      <c r="N1515" s="165"/>
      <c r="O1515" s="165"/>
      <c r="P1515" s="165"/>
      <c r="R1515"/>
      <c r="S1515"/>
      <c r="U1515"/>
      <c r="V1515"/>
    </row>
    <row r="1516" spans="1:23" s="3" customFormat="1">
      <c r="A1516" s="165"/>
      <c r="B1516" s="94"/>
      <c r="C1516" s="165"/>
      <c r="D1516" s="165"/>
      <c r="E1516" s="165"/>
      <c r="F1516" s="165"/>
      <c r="G1516" s="165"/>
      <c r="H1516" s="165"/>
      <c r="I1516" s="165"/>
      <c r="J1516" s="165"/>
      <c r="K1516" s="165"/>
      <c r="L1516" s="165"/>
      <c r="M1516" s="165"/>
      <c r="N1516" s="165"/>
      <c r="O1516" s="165"/>
      <c r="P1516" s="165"/>
      <c r="R1516"/>
      <c r="S1516"/>
      <c r="U1516"/>
      <c r="V1516"/>
    </row>
    <row r="1517" spans="1:23" s="3" customFormat="1">
      <c r="A1517" s="7"/>
      <c r="B1517" s="165"/>
      <c r="C1517" s="165"/>
      <c r="D1517" s="165"/>
      <c r="E1517" s="165"/>
      <c r="F1517" s="165"/>
      <c r="G1517" s="165"/>
      <c r="H1517" s="165"/>
      <c r="I1517" s="165"/>
      <c r="J1517" s="165"/>
      <c r="K1517" s="165"/>
      <c r="L1517" s="165"/>
      <c r="M1517" s="165"/>
      <c r="N1517" s="165"/>
      <c r="O1517" s="165"/>
      <c r="P1517" s="165"/>
      <c r="R1517"/>
      <c r="S1517"/>
      <c r="U1517"/>
      <c r="V1517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657"/>
  <sheetViews>
    <sheetView topLeftCell="A1546" zoomScale="90" zoomScaleNormal="90" workbookViewId="0">
      <selection activeCell="O1353" activeCellId="1" sqref="O1515 O1353"/>
    </sheetView>
  </sheetViews>
  <sheetFormatPr defaultRowHeight="16.5"/>
  <cols>
    <col min="1" max="1" width="11.125" style="95" customWidth="1"/>
    <col min="2" max="2" width="10.625" style="179" customWidth="1"/>
    <col min="3" max="3" width="11" style="179" customWidth="1"/>
    <col min="4" max="4" width="7.875" style="179" customWidth="1"/>
    <col min="5" max="5" width="19.25" style="179" customWidth="1"/>
    <col min="6" max="6" width="10.75" style="179" customWidth="1"/>
    <col min="7" max="9" width="10.25" style="179" customWidth="1"/>
    <col min="10" max="11" width="10.125" style="179" bestFit="1" customWidth="1"/>
    <col min="12" max="13" width="10.125" style="179" customWidth="1"/>
    <col min="14" max="14" width="10.125" style="179" bestFit="1" customWidth="1"/>
    <col min="15" max="15" width="11.5" style="179" bestFit="1" customWidth="1"/>
    <col min="16" max="16" width="10.625" style="179" customWidth="1"/>
    <col min="17" max="17" width="11.25" style="3" customWidth="1"/>
    <col min="18" max="19" width="10.625" customWidth="1"/>
    <col min="20" max="20" width="9" style="3" customWidth="1"/>
    <col min="21" max="21" width="13.25" bestFit="1" customWidth="1"/>
  </cols>
  <sheetData>
    <row r="1" spans="1:20">
      <c r="A1" t="s">
        <v>2117</v>
      </c>
      <c r="B1"/>
      <c r="C1" s="64" t="e">
        <f>#REF!+#REF!</f>
        <v>#REF!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T1"/>
    </row>
    <row r="2" spans="1:20" s="114" customFormat="1">
      <c r="A2" s="114" t="s">
        <v>3638</v>
      </c>
      <c r="B2" s="211"/>
      <c r="C2" s="211"/>
      <c r="D2" s="211"/>
      <c r="E2" s="211" t="s">
        <v>2917</v>
      </c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T2" s="211"/>
    </row>
    <row r="3" spans="1:20" s="7" customFormat="1">
      <c r="A3" s="7" t="s">
        <v>2122</v>
      </c>
      <c r="C3" s="172">
        <f>Q141</f>
        <v>1286910</v>
      </c>
      <c r="D3" s="165"/>
      <c r="E3" s="163" t="s">
        <v>2530</v>
      </c>
      <c r="F3" s="335">
        <v>1638675</v>
      </c>
      <c r="J3" s="165"/>
      <c r="K3" s="165"/>
      <c r="L3" s="165"/>
      <c r="M3" s="165"/>
      <c r="N3" s="165"/>
      <c r="O3" s="165"/>
      <c r="Q3" s="165"/>
      <c r="T3" s="165"/>
    </row>
    <row r="4" spans="1:20" s="7" customFormat="1">
      <c r="A4" s="7" t="s">
        <v>2123</v>
      </c>
      <c r="C4" s="172">
        <f>T141</f>
        <v>345</v>
      </c>
      <c r="D4" s="165"/>
      <c r="E4" s="7" t="s">
        <v>2125</v>
      </c>
      <c r="F4" s="172">
        <f>G281</f>
        <v>2736915</v>
      </c>
      <c r="J4" s="165"/>
      <c r="K4" s="165"/>
      <c r="L4" s="165"/>
      <c r="M4" s="165"/>
      <c r="N4" s="165"/>
      <c r="O4" s="165"/>
      <c r="Q4" s="165"/>
      <c r="T4" s="165"/>
    </row>
    <row r="5" spans="1:20" s="7" customFormat="1">
      <c r="A5" s="7" t="s">
        <v>2124</v>
      </c>
      <c r="C5" s="172">
        <f>R141</f>
        <v>1241205</v>
      </c>
      <c r="D5" s="165"/>
      <c r="E5" s="7" t="s">
        <v>2127</v>
      </c>
      <c r="F5" s="188">
        <v>2046262</v>
      </c>
      <c r="J5" s="165"/>
      <c r="K5" s="165"/>
      <c r="L5" s="165"/>
      <c r="M5" s="165"/>
      <c r="N5" s="165"/>
      <c r="O5" s="165"/>
      <c r="Q5" s="165"/>
      <c r="T5" s="165"/>
    </row>
    <row r="6" spans="1:20" s="7" customFormat="1">
      <c r="A6" s="7" t="s">
        <v>248</v>
      </c>
      <c r="C6" s="146">
        <f>C5-C7</f>
        <v>1212915</v>
      </c>
      <c r="D6" s="165"/>
      <c r="E6" s="7" t="s">
        <v>2128</v>
      </c>
      <c r="F6" s="188">
        <v>45360</v>
      </c>
      <c r="G6" s="164"/>
      <c r="H6" s="164"/>
      <c r="I6" s="164"/>
      <c r="J6" s="165"/>
      <c r="K6" s="165"/>
      <c r="L6" s="165"/>
      <c r="M6" s="165"/>
      <c r="N6" s="165"/>
      <c r="O6" s="165"/>
      <c r="Q6" s="165"/>
      <c r="T6" s="165"/>
    </row>
    <row r="7" spans="1:20" s="7" customFormat="1">
      <c r="A7" s="219" t="s">
        <v>245</v>
      </c>
      <c r="C7" s="172">
        <f>14145+14145</f>
        <v>28290</v>
      </c>
      <c r="D7" s="165"/>
      <c r="E7" s="219" t="s">
        <v>2126</v>
      </c>
      <c r="F7" s="188">
        <f>F3+F4-F5-F6</f>
        <v>2283968</v>
      </c>
      <c r="G7" s="164"/>
      <c r="H7" s="164"/>
      <c r="I7" s="164"/>
      <c r="J7" s="165"/>
      <c r="K7" s="165"/>
      <c r="L7" s="165"/>
      <c r="M7" s="165"/>
      <c r="N7" s="165"/>
      <c r="O7" s="165"/>
      <c r="Q7" s="165"/>
      <c r="T7" s="165"/>
    </row>
    <row r="8" spans="1:20" s="114" customFormat="1" ht="9.75" customHeight="1">
      <c r="A8" s="223"/>
      <c r="B8" s="211"/>
      <c r="C8" s="224"/>
      <c r="D8" s="211"/>
      <c r="F8" s="224"/>
      <c r="G8" s="225"/>
      <c r="H8" s="225"/>
      <c r="I8" s="225"/>
      <c r="J8" s="211"/>
      <c r="K8" s="211"/>
      <c r="L8" s="211"/>
      <c r="M8" s="211"/>
      <c r="N8" s="211"/>
      <c r="O8" s="211"/>
      <c r="Q8" s="211"/>
      <c r="T8" s="211"/>
    </row>
    <row r="9" spans="1:20" s="176" customFormat="1" ht="20.25" customHeight="1">
      <c r="A9" s="203" t="s">
        <v>256</v>
      </c>
      <c r="B9" s="200"/>
      <c r="C9" s="201"/>
      <c r="D9" s="202"/>
      <c r="E9" s="201"/>
      <c r="F9" s="185" t="s">
        <v>2378</v>
      </c>
      <c r="G9" s="185">
        <f>SUM(G11:G140)</f>
        <v>1803285</v>
      </c>
      <c r="H9" s="185"/>
      <c r="I9" s="185"/>
      <c r="J9" s="185">
        <f>SUM(J11:J140)</f>
        <v>1803285</v>
      </c>
      <c r="K9" s="185">
        <f>SUM(K11:K140)</f>
        <v>1803285</v>
      </c>
      <c r="L9" s="185"/>
      <c r="M9" s="185"/>
      <c r="N9" s="185">
        <f>SUM(N11:N140)</f>
        <v>0</v>
      </c>
      <c r="O9" s="185"/>
      <c r="P9" s="185"/>
      <c r="Q9" s="185"/>
      <c r="T9" s="185"/>
    </row>
    <row r="10" spans="1:20" s="180" customFormat="1">
      <c r="A10" s="181" t="s">
        <v>1281</v>
      </c>
      <c r="B10" s="181" t="s">
        <v>2529</v>
      </c>
      <c r="C10" s="181" t="s">
        <v>1385</v>
      </c>
      <c r="D10" s="181" t="s">
        <v>1275</v>
      </c>
      <c r="E10" s="181" t="s">
        <v>265</v>
      </c>
      <c r="F10" s="181" t="s">
        <v>1280</v>
      </c>
      <c r="G10" s="181" t="s">
        <v>2434</v>
      </c>
      <c r="H10" s="181"/>
      <c r="I10" s="181"/>
      <c r="J10" s="181" t="s">
        <v>1892</v>
      </c>
      <c r="K10" s="181" t="s">
        <v>1892</v>
      </c>
      <c r="L10" s="181"/>
      <c r="M10" s="181"/>
      <c r="N10" s="181" t="s">
        <v>2438</v>
      </c>
      <c r="O10" s="181" t="s">
        <v>1282</v>
      </c>
      <c r="P10" s="181" t="s">
        <v>1386</v>
      </c>
      <c r="Q10" s="181"/>
      <c r="T10" s="181"/>
    </row>
    <row r="11" spans="1:20">
      <c r="A11" s="95">
        <v>20100101</v>
      </c>
      <c r="B11" s="179">
        <v>5</v>
      </c>
      <c r="C11" s="221" t="s">
        <v>1305</v>
      </c>
      <c r="D11" s="179">
        <v>5</v>
      </c>
      <c r="E11" s="221" t="s">
        <v>2717</v>
      </c>
      <c r="F11" s="179" t="s">
        <v>2716</v>
      </c>
      <c r="G11" s="179">
        <v>14175</v>
      </c>
      <c r="J11" s="179">
        <v>14175</v>
      </c>
      <c r="K11" s="179">
        <v>14175</v>
      </c>
      <c r="N11" s="179">
        <f t="shared" ref="N11:N74" si="0">G11-J11</f>
        <v>0</v>
      </c>
      <c r="O11" s="179" t="s">
        <v>419</v>
      </c>
      <c r="P11" s="179" t="s">
        <v>572</v>
      </c>
    </row>
    <row r="12" spans="1:20">
      <c r="A12" s="95">
        <v>20100101</v>
      </c>
      <c r="B12" s="179">
        <v>6</v>
      </c>
      <c r="C12" s="221" t="s">
        <v>1305</v>
      </c>
      <c r="D12" s="179">
        <v>6</v>
      </c>
      <c r="E12" s="221" t="s">
        <v>2388</v>
      </c>
      <c r="F12" s="179" t="s">
        <v>2387</v>
      </c>
      <c r="G12" s="179">
        <v>14175</v>
      </c>
      <c r="J12" s="179">
        <v>14175</v>
      </c>
      <c r="K12" s="179">
        <v>14175</v>
      </c>
      <c r="N12" s="179">
        <f t="shared" si="0"/>
        <v>0</v>
      </c>
      <c r="O12" s="179" t="s">
        <v>2751</v>
      </c>
      <c r="P12" s="179" t="s">
        <v>2752</v>
      </c>
    </row>
    <row r="13" spans="1:20">
      <c r="A13" s="95">
        <v>20100101</v>
      </c>
      <c r="B13" s="179">
        <v>7</v>
      </c>
      <c r="C13" s="221" t="s">
        <v>1305</v>
      </c>
      <c r="D13" s="179">
        <v>7</v>
      </c>
      <c r="E13" s="221" t="s">
        <v>1901</v>
      </c>
      <c r="F13" s="179" t="s">
        <v>1900</v>
      </c>
      <c r="G13" s="179">
        <v>14175</v>
      </c>
      <c r="J13" s="179">
        <v>14175</v>
      </c>
      <c r="K13" s="179">
        <v>14175</v>
      </c>
      <c r="N13" s="179">
        <f t="shared" si="0"/>
        <v>0</v>
      </c>
      <c r="O13" s="179" t="s">
        <v>2746</v>
      </c>
      <c r="P13" s="179" t="s">
        <v>2747</v>
      </c>
    </row>
    <row r="14" spans="1:20">
      <c r="A14" s="95">
        <v>20100101</v>
      </c>
      <c r="B14" s="179">
        <v>8</v>
      </c>
      <c r="C14" s="221" t="s">
        <v>1305</v>
      </c>
      <c r="D14" s="179">
        <v>8</v>
      </c>
      <c r="E14" s="221" t="s">
        <v>2655</v>
      </c>
      <c r="F14" s="179" t="s">
        <v>2654</v>
      </c>
      <c r="G14" s="179">
        <v>14175</v>
      </c>
      <c r="J14" s="179">
        <v>14175</v>
      </c>
      <c r="K14" s="179">
        <v>14175</v>
      </c>
      <c r="N14" s="179">
        <f t="shared" si="0"/>
        <v>0</v>
      </c>
      <c r="O14" s="179" t="s">
        <v>415</v>
      </c>
      <c r="P14" s="179" t="s">
        <v>2563</v>
      </c>
    </row>
    <row r="15" spans="1:20">
      <c r="A15" s="95">
        <v>20100106</v>
      </c>
      <c r="B15" s="179">
        <v>13</v>
      </c>
      <c r="C15" s="221" t="s">
        <v>2424</v>
      </c>
      <c r="D15" s="179">
        <v>5</v>
      </c>
      <c r="E15" s="221" t="s">
        <v>2698</v>
      </c>
      <c r="F15" s="179" t="s">
        <v>2696</v>
      </c>
      <c r="G15" s="179">
        <v>14175</v>
      </c>
      <c r="J15" s="179">
        <v>14175</v>
      </c>
      <c r="K15" s="179">
        <v>14175</v>
      </c>
      <c r="N15" s="179">
        <f t="shared" si="0"/>
        <v>0</v>
      </c>
      <c r="O15" s="179" t="s">
        <v>567</v>
      </c>
      <c r="P15" s="179" t="s">
        <v>568</v>
      </c>
    </row>
    <row r="16" spans="1:20">
      <c r="A16" s="95">
        <v>20100106</v>
      </c>
      <c r="B16" s="179">
        <v>14</v>
      </c>
      <c r="C16" s="221" t="s">
        <v>2424</v>
      </c>
      <c r="D16" s="179">
        <v>6</v>
      </c>
      <c r="E16" s="221" t="s">
        <v>3869</v>
      </c>
      <c r="F16" s="179" t="s">
        <v>3867</v>
      </c>
      <c r="G16" s="179">
        <v>14175</v>
      </c>
      <c r="J16" s="179">
        <v>14175</v>
      </c>
      <c r="K16" s="179">
        <v>14175</v>
      </c>
      <c r="N16" s="179">
        <f t="shared" si="0"/>
        <v>0</v>
      </c>
      <c r="O16" s="179" t="s">
        <v>573</v>
      </c>
      <c r="P16" s="179" t="s">
        <v>2761</v>
      </c>
    </row>
    <row r="17" spans="1:21">
      <c r="A17" s="95">
        <v>20100106</v>
      </c>
      <c r="B17" s="179">
        <v>15</v>
      </c>
      <c r="C17" s="221" t="s">
        <v>2424</v>
      </c>
      <c r="D17" s="179">
        <v>7</v>
      </c>
      <c r="E17" s="221" t="s">
        <v>2410</v>
      </c>
      <c r="F17" s="179" t="s">
        <v>2409</v>
      </c>
      <c r="G17" s="179">
        <v>14175</v>
      </c>
      <c r="J17" s="179">
        <v>14175</v>
      </c>
      <c r="K17" s="179">
        <v>14175</v>
      </c>
      <c r="N17" s="179">
        <f t="shared" si="0"/>
        <v>0</v>
      </c>
      <c r="O17" s="179" t="s">
        <v>2753</v>
      </c>
      <c r="P17" s="179" t="s">
        <v>2754</v>
      </c>
    </row>
    <row r="18" spans="1:21">
      <c r="A18" s="95">
        <v>20100106</v>
      </c>
      <c r="B18" s="179">
        <v>16</v>
      </c>
      <c r="C18" s="221" t="s">
        <v>2424</v>
      </c>
      <c r="D18" s="179">
        <v>8</v>
      </c>
      <c r="E18" s="221" t="s">
        <v>1623</v>
      </c>
      <c r="F18" s="179" t="s">
        <v>1622</v>
      </c>
      <c r="G18" s="179">
        <v>14175</v>
      </c>
      <c r="J18" s="179">
        <v>14175</v>
      </c>
      <c r="K18" s="179">
        <v>14175</v>
      </c>
      <c r="N18" s="179">
        <f t="shared" si="0"/>
        <v>0</v>
      </c>
      <c r="O18" s="179" t="s">
        <v>574</v>
      </c>
      <c r="P18" s="179" t="s">
        <v>575</v>
      </c>
    </row>
    <row r="19" spans="1:21">
      <c r="A19" s="95">
        <v>20100119</v>
      </c>
      <c r="B19" s="179">
        <v>21</v>
      </c>
      <c r="C19" s="221" t="s">
        <v>2690</v>
      </c>
      <c r="D19" s="179">
        <v>5</v>
      </c>
      <c r="E19" s="221" t="s">
        <v>2706</v>
      </c>
      <c r="F19" s="179" t="s">
        <v>2705</v>
      </c>
      <c r="G19" s="179">
        <v>14175</v>
      </c>
      <c r="J19" s="179">
        <v>14175</v>
      </c>
      <c r="K19" s="179">
        <v>14175</v>
      </c>
      <c r="N19" s="179">
        <f t="shared" si="0"/>
        <v>0</v>
      </c>
      <c r="O19" s="179" t="s">
        <v>417</v>
      </c>
      <c r="P19" s="179" t="s">
        <v>2743</v>
      </c>
    </row>
    <row r="20" spans="1:21">
      <c r="A20" s="95">
        <v>20100119</v>
      </c>
      <c r="B20" s="179">
        <v>22</v>
      </c>
      <c r="C20" s="221" t="s">
        <v>2690</v>
      </c>
      <c r="D20" s="179">
        <v>6</v>
      </c>
      <c r="E20" s="221" t="s">
        <v>3877</v>
      </c>
      <c r="F20" s="179" t="s">
        <v>3876</v>
      </c>
      <c r="G20" s="179">
        <v>14175</v>
      </c>
      <c r="J20" s="179">
        <v>14175</v>
      </c>
      <c r="K20" s="179">
        <v>14175</v>
      </c>
      <c r="N20" s="179">
        <f t="shared" si="0"/>
        <v>0</v>
      </c>
      <c r="O20" s="179" t="s">
        <v>2762</v>
      </c>
      <c r="P20" s="179" t="s">
        <v>2763</v>
      </c>
    </row>
    <row r="21" spans="1:21">
      <c r="A21" s="95">
        <v>20100119</v>
      </c>
      <c r="B21" s="179">
        <v>23</v>
      </c>
      <c r="C21" s="221" t="s">
        <v>2690</v>
      </c>
      <c r="D21" s="179">
        <v>7</v>
      </c>
      <c r="E21" s="221" t="s">
        <v>2418</v>
      </c>
      <c r="F21" s="179" t="s">
        <v>2417</v>
      </c>
      <c r="G21" s="179">
        <v>14175</v>
      </c>
      <c r="J21" s="179">
        <v>14175</v>
      </c>
      <c r="K21" s="179">
        <v>14175</v>
      </c>
      <c r="N21" s="179">
        <f t="shared" si="0"/>
        <v>0</v>
      </c>
      <c r="O21" s="179" t="s">
        <v>2753</v>
      </c>
      <c r="P21" s="179" t="s">
        <v>2754</v>
      </c>
    </row>
    <row r="22" spans="1:21">
      <c r="A22" s="95">
        <v>20100119</v>
      </c>
      <c r="B22" s="179">
        <v>24</v>
      </c>
      <c r="C22" s="221" t="s">
        <v>2690</v>
      </c>
      <c r="D22" s="179">
        <v>8</v>
      </c>
      <c r="E22" s="221" t="s">
        <v>1631</v>
      </c>
      <c r="F22" s="179" t="s">
        <v>1630</v>
      </c>
      <c r="G22" s="179">
        <v>14175</v>
      </c>
      <c r="J22" s="179">
        <v>14175</v>
      </c>
      <c r="K22" s="179">
        <v>14175</v>
      </c>
      <c r="N22" s="179">
        <f t="shared" si="0"/>
        <v>0</v>
      </c>
      <c r="O22" s="179" t="s">
        <v>415</v>
      </c>
      <c r="P22" s="179" t="s">
        <v>2563</v>
      </c>
    </row>
    <row r="23" spans="1:21">
      <c r="A23" s="95">
        <v>20100125</v>
      </c>
      <c r="B23" s="179">
        <v>28</v>
      </c>
      <c r="C23" s="221" t="s">
        <v>1304</v>
      </c>
      <c r="D23" s="179">
        <v>4</v>
      </c>
      <c r="E23" s="221" t="s">
        <v>2704</v>
      </c>
      <c r="F23" s="179" t="s">
        <v>2703</v>
      </c>
      <c r="G23" s="179">
        <v>9450</v>
      </c>
      <c r="J23" s="179">
        <v>9450</v>
      </c>
      <c r="K23" s="179">
        <v>9450</v>
      </c>
      <c r="N23" s="179">
        <f t="shared" si="0"/>
        <v>0</v>
      </c>
      <c r="O23" s="179" t="s">
        <v>417</v>
      </c>
      <c r="P23" s="179" t="s">
        <v>2743</v>
      </c>
      <c r="Q23" s="1"/>
    </row>
    <row r="24" spans="1:21">
      <c r="A24" s="95">
        <v>20100125</v>
      </c>
      <c r="B24" s="179">
        <v>29</v>
      </c>
      <c r="C24" s="221" t="s">
        <v>1304</v>
      </c>
      <c r="D24" s="179">
        <v>5</v>
      </c>
      <c r="E24" s="221" t="s">
        <v>3875</v>
      </c>
      <c r="F24" s="179" t="s">
        <v>3874</v>
      </c>
      <c r="G24" s="179">
        <v>9450</v>
      </c>
      <c r="J24" s="179">
        <v>9450</v>
      </c>
      <c r="K24" s="179">
        <v>9450</v>
      </c>
      <c r="N24" s="179">
        <f t="shared" si="0"/>
        <v>0</v>
      </c>
      <c r="O24" s="179" t="s">
        <v>2762</v>
      </c>
      <c r="P24" s="179" t="s">
        <v>2763</v>
      </c>
      <c r="Q24" s="1"/>
    </row>
    <row r="25" spans="1:21">
      <c r="A25" s="95">
        <v>20100125</v>
      </c>
      <c r="B25" s="179">
        <v>30</v>
      </c>
      <c r="C25" s="221" t="s">
        <v>1304</v>
      </c>
      <c r="D25" s="179">
        <v>6</v>
      </c>
      <c r="E25" s="221" t="s">
        <v>2416</v>
      </c>
      <c r="F25" s="179" t="s">
        <v>2415</v>
      </c>
      <c r="G25" s="179">
        <v>9450</v>
      </c>
      <c r="J25" s="179">
        <v>9450</v>
      </c>
      <c r="K25" s="179">
        <v>9450</v>
      </c>
      <c r="N25" s="179">
        <f t="shared" si="0"/>
        <v>0</v>
      </c>
      <c r="O25" s="179" t="s">
        <v>2753</v>
      </c>
      <c r="P25" s="179" t="s">
        <v>2754</v>
      </c>
      <c r="Q25" s="1"/>
    </row>
    <row r="26" spans="1:21">
      <c r="A26" s="95">
        <v>20100125</v>
      </c>
      <c r="B26" s="179">
        <v>31</v>
      </c>
      <c r="C26" s="221" t="s">
        <v>1304</v>
      </c>
      <c r="D26" s="179">
        <v>7</v>
      </c>
      <c r="E26" s="221" t="s">
        <v>1629</v>
      </c>
      <c r="F26" s="179" t="s">
        <v>1628</v>
      </c>
      <c r="G26" s="179">
        <v>9450</v>
      </c>
      <c r="J26" s="179">
        <v>9450</v>
      </c>
      <c r="K26" s="179">
        <v>9450</v>
      </c>
      <c r="N26" s="179">
        <f t="shared" si="0"/>
        <v>0</v>
      </c>
      <c r="O26" s="179" t="s">
        <v>415</v>
      </c>
      <c r="P26" s="179" t="s">
        <v>2563</v>
      </c>
      <c r="Q26" s="1"/>
    </row>
    <row r="27" spans="1:21">
      <c r="A27" s="95">
        <v>20100125</v>
      </c>
      <c r="B27" s="179">
        <v>32</v>
      </c>
      <c r="C27" s="221" t="s">
        <v>1304</v>
      </c>
      <c r="D27" s="179">
        <v>8</v>
      </c>
      <c r="E27" s="221" t="s">
        <v>1771</v>
      </c>
      <c r="F27" s="179" t="s">
        <v>1770</v>
      </c>
      <c r="G27" s="179">
        <v>9450</v>
      </c>
      <c r="J27" s="179">
        <v>9450</v>
      </c>
      <c r="K27" s="179">
        <v>9450</v>
      </c>
      <c r="N27" s="179">
        <f t="shared" si="0"/>
        <v>0</v>
      </c>
      <c r="O27" s="179" t="s">
        <v>2662</v>
      </c>
      <c r="P27" s="179" t="s">
        <v>2767</v>
      </c>
      <c r="Q27" s="1">
        <v>9450</v>
      </c>
      <c r="R27">
        <v>9450</v>
      </c>
    </row>
    <row r="28" spans="1:21">
      <c r="A28" s="95">
        <v>20100312</v>
      </c>
      <c r="B28" s="179">
        <v>50</v>
      </c>
      <c r="C28" s="221" t="s">
        <v>1246</v>
      </c>
      <c r="D28" s="179">
        <v>5</v>
      </c>
      <c r="E28" s="221" t="s">
        <v>2733</v>
      </c>
      <c r="F28" s="179" t="s">
        <v>2732</v>
      </c>
      <c r="G28" s="179">
        <v>13500</v>
      </c>
      <c r="J28" s="179">
        <v>13500</v>
      </c>
      <c r="K28" s="179">
        <v>13500</v>
      </c>
      <c r="N28" s="179">
        <f t="shared" si="0"/>
        <v>0</v>
      </c>
      <c r="O28" s="179" t="s">
        <v>571</v>
      </c>
      <c r="P28" s="179" t="s">
        <v>421</v>
      </c>
    </row>
    <row r="29" spans="1:21">
      <c r="A29" s="95">
        <v>20100312</v>
      </c>
      <c r="B29" s="179">
        <v>51</v>
      </c>
      <c r="C29" s="221" t="s">
        <v>1246</v>
      </c>
      <c r="D29" s="179">
        <v>6</v>
      </c>
      <c r="E29" s="221" t="s">
        <v>2403</v>
      </c>
      <c r="F29" s="179" t="s">
        <v>2402</v>
      </c>
      <c r="G29" s="179">
        <v>13500</v>
      </c>
      <c r="J29" s="179">
        <v>13500</v>
      </c>
      <c r="K29" s="179">
        <v>13500</v>
      </c>
      <c r="N29" s="179">
        <f t="shared" si="0"/>
        <v>0</v>
      </c>
      <c r="O29" s="179" t="s">
        <v>2758</v>
      </c>
      <c r="P29" s="179" t="s">
        <v>2759</v>
      </c>
    </row>
    <row r="30" spans="1:21">
      <c r="A30" s="95">
        <v>20100312</v>
      </c>
      <c r="B30" s="179">
        <v>52</v>
      </c>
      <c r="C30" s="221" t="s">
        <v>1246</v>
      </c>
      <c r="D30" s="179">
        <v>7</v>
      </c>
      <c r="E30" s="221" t="s">
        <v>1616</v>
      </c>
      <c r="F30" s="179" t="s">
        <v>1615</v>
      </c>
      <c r="G30" s="179">
        <v>13500</v>
      </c>
      <c r="J30" s="179">
        <v>13500</v>
      </c>
      <c r="K30" s="179">
        <v>13500</v>
      </c>
      <c r="N30" s="179">
        <f t="shared" si="0"/>
        <v>0</v>
      </c>
      <c r="O30" s="179" t="s">
        <v>2760</v>
      </c>
      <c r="P30" s="179" t="s">
        <v>2755</v>
      </c>
    </row>
    <row r="31" spans="1:21" s="114" customFormat="1">
      <c r="A31" s="114">
        <v>20100312</v>
      </c>
      <c r="B31" s="211">
        <v>53</v>
      </c>
      <c r="C31" s="222" t="s">
        <v>1246</v>
      </c>
      <c r="D31" s="211">
        <v>8</v>
      </c>
      <c r="E31" s="222" t="s">
        <v>2569</v>
      </c>
      <c r="F31" s="211" t="s">
        <v>2568</v>
      </c>
      <c r="G31" s="211">
        <v>13500</v>
      </c>
      <c r="H31" s="211"/>
      <c r="I31" s="211"/>
      <c r="J31" s="211">
        <v>13500</v>
      </c>
      <c r="K31" s="211">
        <v>13500</v>
      </c>
      <c r="L31" s="211"/>
      <c r="M31" s="211"/>
      <c r="N31" s="211">
        <f t="shared" si="0"/>
        <v>0</v>
      </c>
      <c r="O31" s="211" t="s">
        <v>486</v>
      </c>
      <c r="P31" s="211" t="s">
        <v>486</v>
      </c>
      <c r="Q31" s="114">
        <v>13500</v>
      </c>
      <c r="R31" s="114">
        <v>13500</v>
      </c>
      <c r="T31" s="211"/>
      <c r="U31" s="211" t="s">
        <v>254</v>
      </c>
    </row>
    <row r="32" spans="1:21">
      <c r="A32" s="95">
        <v>20100402</v>
      </c>
      <c r="B32" s="179">
        <v>59</v>
      </c>
      <c r="C32" s="221" t="s">
        <v>1775</v>
      </c>
      <c r="D32" s="179">
        <v>4</v>
      </c>
      <c r="E32" s="221" t="s">
        <v>2708</v>
      </c>
      <c r="F32" s="179" t="s">
        <v>2707</v>
      </c>
      <c r="G32" s="179">
        <v>10800</v>
      </c>
      <c r="J32" s="179">
        <v>10800</v>
      </c>
      <c r="K32" s="179">
        <v>10800</v>
      </c>
      <c r="N32" s="179">
        <f t="shared" si="0"/>
        <v>0</v>
      </c>
      <c r="O32" s="179" t="s">
        <v>417</v>
      </c>
      <c r="P32" s="179" t="s">
        <v>2743</v>
      </c>
    </row>
    <row r="33" spans="1:18">
      <c r="A33" s="95">
        <v>20100402</v>
      </c>
      <c r="B33" s="179">
        <v>60</v>
      </c>
      <c r="C33" s="221" t="s">
        <v>1775</v>
      </c>
      <c r="D33" s="179">
        <v>5</v>
      </c>
      <c r="E33" s="221" t="s">
        <v>3879</v>
      </c>
      <c r="F33" s="179" t="s">
        <v>3878</v>
      </c>
      <c r="G33" s="179">
        <v>10800</v>
      </c>
      <c r="J33" s="179">
        <v>10800</v>
      </c>
      <c r="K33" s="179">
        <v>10800</v>
      </c>
      <c r="N33" s="179">
        <f t="shared" si="0"/>
        <v>0</v>
      </c>
      <c r="O33" s="179" t="s">
        <v>2744</v>
      </c>
      <c r="P33" s="179" t="s">
        <v>2745</v>
      </c>
    </row>
    <row r="34" spans="1:18">
      <c r="A34" s="95">
        <v>20100402</v>
      </c>
      <c r="B34" s="179">
        <v>61</v>
      </c>
      <c r="C34" s="221" t="s">
        <v>1775</v>
      </c>
      <c r="D34" s="179">
        <v>6</v>
      </c>
      <c r="E34" s="221" t="s">
        <v>1894</v>
      </c>
      <c r="F34" s="179" t="s">
        <v>1893</v>
      </c>
      <c r="G34" s="179">
        <v>10800</v>
      </c>
      <c r="J34" s="179">
        <v>10800</v>
      </c>
      <c r="K34" s="179">
        <v>10800</v>
      </c>
      <c r="N34" s="179">
        <f t="shared" si="0"/>
        <v>0</v>
      </c>
      <c r="O34" s="179" t="s">
        <v>2746</v>
      </c>
      <c r="P34" s="179" t="s">
        <v>2747</v>
      </c>
    </row>
    <row r="35" spans="1:18">
      <c r="A35" s="95">
        <v>20100402</v>
      </c>
      <c r="B35" s="179">
        <v>62</v>
      </c>
      <c r="C35" s="221" t="s">
        <v>1775</v>
      </c>
      <c r="D35" s="179">
        <v>7</v>
      </c>
      <c r="E35" s="221" t="s">
        <v>2650</v>
      </c>
      <c r="F35" s="179" t="s">
        <v>2649</v>
      </c>
      <c r="G35" s="179">
        <v>10800</v>
      </c>
      <c r="J35" s="179">
        <v>10800</v>
      </c>
      <c r="K35" s="179">
        <v>10800</v>
      </c>
      <c r="N35" s="179">
        <f t="shared" si="0"/>
        <v>0</v>
      </c>
      <c r="O35" s="179" t="s">
        <v>415</v>
      </c>
      <c r="P35" s="179" t="s">
        <v>2563</v>
      </c>
    </row>
    <row r="36" spans="1:18">
      <c r="A36" s="95">
        <v>20100402</v>
      </c>
      <c r="B36" s="179">
        <v>63</v>
      </c>
      <c r="C36" s="221" t="s">
        <v>1775</v>
      </c>
      <c r="D36" s="179">
        <v>8</v>
      </c>
      <c r="E36" s="221" t="s">
        <v>1774</v>
      </c>
      <c r="F36" s="179" t="s">
        <v>1772</v>
      </c>
      <c r="G36" s="179">
        <v>10800</v>
      </c>
      <c r="J36" s="179">
        <v>10800</v>
      </c>
      <c r="K36" s="179">
        <v>10800</v>
      </c>
      <c r="N36" s="179">
        <f t="shared" si="0"/>
        <v>0</v>
      </c>
      <c r="O36" s="179" t="s">
        <v>2662</v>
      </c>
      <c r="P36" s="179" t="s">
        <v>2767</v>
      </c>
      <c r="Q36" s="3">
        <v>10800</v>
      </c>
      <c r="R36">
        <v>10800</v>
      </c>
    </row>
    <row r="37" spans="1:18">
      <c r="A37" s="95">
        <v>20100420</v>
      </c>
      <c r="B37" s="179">
        <v>68</v>
      </c>
      <c r="C37" s="221" t="s">
        <v>2688</v>
      </c>
      <c r="D37" s="179">
        <v>4</v>
      </c>
      <c r="E37" s="221" t="s">
        <v>2709</v>
      </c>
      <c r="F37" s="179" t="s">
        <v>2707</v>
      </c>
      <c r="G37" s="179">
        <v>14175</v>
      </c>
      <c r="J37" s="179">
        <v>14175</v>
      </c>
      <c r="K37" s="179">
        <v>14175</v>
      </c>
      <c r="N37" s="179">
        <f t="shared" si="0"/>
        <v>0</v>
      </c>
      <c r="O37" s="179" t="s">
        <v>417</v>
      </c>
      <c r="P37" s="179" t="s">
        <v>2743</v>
      </c>
    </row>
    <row r="38" spans="1:18">
      <c r="A38" s="95">
        <v>20100420</v>
      </c>
      <c r="B38" s="179">
        <v>69</v>
      </c>
      <c r="C38" s="221" t="s">
        <v>2688</v>
      </c>
      <c r="D38" s="179">
        <v>5</v>
      </c>
      <c r="E38" s="221" t="s">
        <v>3880</v>
      </c>
      <c r="F38" s="179" t="s">
        <v>3878</v>
      </c>
      <c r="G38" s="179">
        <v>14175</v>
      </c>
      <c r="J38" s="179">
        <v>14175</v>
      </c>
      <c r="K38" s="179">
        <v>14175</v>
      </c>
      <c r="N38" s="179">
        <f t="shared" si="0"/>
        <v>0</v>
      </c>
      <c r="O38" s="179" t="s">
        <v>2744</v>
      </c>
      <c r="P38" s="179" t="s">
        <v>2745</v>
      </c>
    </row>
    <row r="39" spans="1:18">
      <c r="A39" s="95">
        <v>20100420</v>
      </c>
      <c r="B39" s="179">
        <v>70</v>
      </c>
      <c r="C39" s="221" t="s">
        <v>2688</v>
      </c>
      <c r="D39" s="179">
        <v>6</v>
      </c>
      <c r="E39" s="221" t="s">
        <v>1895</v>
      </c>
      <c r="F39" s="179" t="s">
        <v>1893</v>
      </c>
      <c r="G39" s="179">
        <v>14175</v>
      </c>
      <c r="J39" s="179">
        <v>14175</v>
      </c>
      <c r="K39" s="179">
        <v>14175</v>
      </c>
      <c r="N39" s="179">
        <f t="shared" si="0"/>
        <v>0</v>
      </c>
      <c r="O39" s="179" t="s">
        <v>2746</v>
      </c>
      <c r="P39" s="179" t="s">
        <v>2747</v>
      </c>
    </row>
    <row r="40" spans="1:18">
      <c r="A40" s="95">
        <v>20100420</v>
      </c>
      <c r="B40" s="179">
        <v>71</v>
      </c>
      <c r="C40" s="221" t="s">
        <v>2688</v>
      </c>
      <c r="D40" s="179">
        <v>7</v>
      </c>
      <c r="E40" s="221" t="s">
        <v>2651</v>
      </c>
      <c r="F40" s="179" t="s">
        <v>2649</v>
      </c>
      <c r="G40" s="179">
        <v>14175</v>
      </c>
      <c r="J40" s="179">
        <v>14175</v>
      </c>
      <c r="K40" s="179">
        <v>14175</v>
      </c>
      <c r="N40" s="179">
        <f t="shared" si="0"/>
        <v>0</v>
      </c>
      <c r="O40" s="179" t="s">
        <v>415</v>
      </c>
      <c r="P40" s="179" t="s">
        <v>2563</v>
      </c>
    </row>
    <row r="41" spans="1:18">
      <c r="A41" s="95">
        <v>20100420</v>
      </c>
      <c r="B41" s="179">
        <v>72</v>
      </c>
      <c r="C41" s="221" t="s">
        <v>2688</v>
      </c>
      <c r="D41" s="179">
        <v>8</v>
      </c>
      <c r="E41" s="221" t="s">
        <v>1773</v>
      </c>
      <c r="F41" s="179" t="s">
        <v>1772</v>
      </c>
      <c r="G41" s="179">
        <v>14175</v>
      </c>
      <c r="J41" s="179">
        <v>14175</v>
      </c>
      <c r="K41" s="179">
        <v>14175</v>
      </c>
      <c r="N41" s="179">
        <f t="shared" si="0"/>
        <v>0</v>
      </c>
      <c r="O41" s="179" t="s">
        <v>2662</v>
      </c>
      <c r="P41" s="179" t="s">
        <v>2767</v>
      </c>
      <c r="Q41" s="3">
        <v>14175</v>
      </c>
      <c r="R41">
        <v>14175</v>
      </c>
    </row>
    <row r="42" spans="1:18">
      <c r="A42" s="95">
        <v>20100422</v>
      </c>
      <c r="B42" s="179">
        <v>76</v>
      </c>
      <c r="C42" s="221" t="s">
        <v>1301</v>
      </c>
      <c r="D42" s="179">
        <v>4</v>
      </c>
      <c r="E42" s="221" t="s">
        <v>2715</v>
      </c>
      <c r="F42" s="179" t="s">
        <v>2714</v>
      </c>
      <c r="G42" s="179">
        <v>14175</v>
      </c>
      <c r="J42" s="179">
        <v>14175</v>
      </c>
      <c r="K42" s="179">
        <v>14175</v>
      </c>
      <c r="N42" s="179">
        <f t="shared" si="0"/>
        <v>0</v>
      </c>
      <c r="O42" s="179" t="s">
        <v>419</v>
      </c>
      <c r="P42" s="179" t="s">
        <v>572</v>
      </c>
    </row>
    <row r="43" spans="1:18">
      <c r="A43" s="95">
        <v>20100422</v>
      </c>
      <c r="B43" s="179">
        <v>77</v>
      </c>
      <c r="C43" s="221" t="s">
        <v>1301</v>
      </c>
      <c r="D43" s="179">
        <v>5</v>
      </c>
      <c r="E43" s="221" t="s">
        <v>2386</v>
      </c>
      <c r="F43" s="179" t="s">
        <v>2385</v>
      </c>
      <c r="G43" s="179">
        <v>14175</v>
      </c>
      <c r="J43" s="179">
        <v>14175</v>
      </c>
      <c r="K43" s="179">
        <v>14175</v>
      </c>
      <c r="N43" s="179">
        <f t="shared" si="0"/>
        <v>0</v>
      </c>
      <c r="O43" s="179" t="s">
        <v>2751</v>
      </c>
      <c r="P43" s="179" t="s">
        <v>2752</v>
      </c>
    </row>
    <row r="44" spans="1:18">
      <c r="A44" s="95">
        <v>20100422</v>
      </c>
      <c r="B44" s="179">
        <v>78</v>
      </c>
      <c r="C44" s="221" t="s">
        <v>1301</v>
      </c>
      <c r="D44" s="179">
        <v>6</v>
      </c>
      <c r="E44" s="221" t="s">
        <v>1899</v>
      </c>
      <c r="F44" s="179" t="s">
        <v>1898</v>
      </c>
      <c r="G44" s="179">
        <v>14175</v>
      </c>
      <c r="J44" s="179">
        <v>14175</v>
      </c>
      <c r="K44" s="179">
        <v>14175</v>
      </c>
      <c r="N44" s="179">
        <f t="shared" si="0"/>
        <v>0</v>
      </c>
      <c r="O44" s="179" t="s">
        <v>2746</v>
      </c>
      <c r="P44" s="179" t="s">
        <v>2747</v>
      </c>
    </row>
    <row r="45" spans="1:18">
      <c r="A45" s="95">
        <v>20100422</v>
      </c>
      <c r="B45" s="179">
        <v>79</v>
      </c>
      <c r="C45" s="221" t="s">
        <v>1301</v>
      </c>
      <c r="D45" s="179">
        <v>7</v>
      </c>
      <c r="E45" s="221" t="s">
        <v>2653</v>
      </c>
      <c r="F45" s="179" t="s">
        <v>2652</v>
      </c>
      <c r="G45" s="179">
        <v>14175</v>
      </c>
      <c r="J45" s="179">
        <v>14175</v>
      </c>
      <c r="K45" s="179">
        <v>14175</v>
      </c>
      <c r="N45" s="179">
        <f t="shared" si="0"/>
        <v>0</v>
      </c>
      <c r="O45" s="179" t="s">
        <v>415</v>
      </c>
      <c r="P45" s="179" t="s">
        <v>2563</v>
      </c>
    </row>
    <row r="46" spans="1:18">
      <c r="A46" s="95">
        <v>20100422</v>
      </c>
      <c r="B46" s="179">
        <v>80</v>
      </c>
      <c r="C46" s="221" t="s">
        <v>1301</v>
      </c>
      <c r="D46" s="179">
        <v>8</v>
      </c>
      <c r="E46" s="221" t="s">
        <v>1777</v>
      </c>
      <c r="F46" s="179" t="s">
        <v>1776</v>
      </c>
      <c r="G46" s="179">
        <v>14175</v>
      </c>
      <c r="J46" s="179">
        <v>14175</v>
      </c>
      <c r="K46" s="179">
        <v>14175</v>
      </c>
      <c r="N46" s="179">
        <f t="shared" si="0"/>
        <v>0</v>
      </c>
      <c r="O46" s="179" t="s">
        <v>2768</v>
      </c>
      <c r="P46" s="179" t="s">
        <v>815</v>
      </c>
      <c r="Q46" s="3">
        <v>14175</v>
      </c>
      <c r="R46">
        <v>14175</v>
      </c>
    </row>
    <row r="47" spans="1:18">
      <c r="A47" s="95">
        <v>20100511</v>
      </c>
      <c r="B47" s="179">
        <v>86</v>
      </c>
      <c r="C47" s="221" t="s">
        <v>1781</v>
      </c>
      <c r="D47" s="179">
        <v>4</v>
      </c>
      <c r="E47" s="221" t="s">
        <v>2720</v>
      </c>
      <c r="F47" s="179" t="s">
        <v>2719</v>
      </c>
      <c r="G47" s="179">
        <v>14175</v>
      </c>
      <c r="J47" s="179">
        <v>14175</v>
      </c>
      <c r="K47" s="179">
        <v>14175</v>
      </c>
      <c r="N47" s="179">
        <f t="shared" si="0"/>
        <v>0</v>
      </c>
      <c r="O47" s="179" t="s">
        <v>2756</v>
      </c>
      <c r="P47" s="179" t="s">
        <v>2757</v>
      </c>
    </row>
    <row r="48" spans="1:18">
      <c r="A48" s="95">
        <v>20100511</v>
      </c>
      <c r="B48" s="179">
        <v>87</v>
      </c>
      <c r="C48" s="221" t="s">
        <v>1781</v>
      </c>
      <c r="D48" s="179">
        <v>5</v>
      </c>
      <c r="E48" s="221" t="s">
        <v>2391</v>
      </c>
      <c r="F48" s="179" t="s">
        <v>2390</v>
      </c>
      <c r="G48" s="179">
        <v>14175</v>
      </c>
      <c r="J48" s="179">
        <v>14175</v>
      </c>
      <c r="K48" s="179">
        <v>14175</v>
      </c>
      <c r="N48" s="179">
        <f t="shared" si="0"/>
        <v>0</v>
      </c>
      <c r="O48" s="179" t="s">
        <v>2751</v>
      </c>
      <c r="P48" s="179" t="s">
        <v>2752</v>
      </c>
    </row>
    <row r="49" spans="1:21">
      <c r="A49" s="95">
        <v>20100511</v>
      </c>
      <c r="B49" s="179">
        <v>88</v>
      </c>
      <c r="C49" s="221" t="s">
        <v>1781</v>
      </c>
      <c r="D49" s="179">
        <v>6</v>
      </c>
      <c r="E49" s="221" t="s">
        <v>1904</v>
      </c>
      <c r="F49" s="179" t="s">
        <v>1903</v>
      </c>
      <c r="G49" s="179">
        <v>14175</v>
      </c>
      <c r="J49" s="179">
        <v>14175</v>
      </c>
      <c r="K49" s="179">
        <v>14175</v>
      </c>
      <c r="N49" s="179">
        <f t="shared" si="0"/>
        <v>0</v>
      </c>
      <c r="O49" s="179" t="s">
        <v>2746</v>
      </c>
      <c r="P49" s="179" t="s">
        <v>2747</v>
      </c>
    </row>
    <row r="50" spans="1:21">
      <c r="A50" s="95">
        <v>20100511</v>
      </c>
      <c r="B50" s="179">
        <v>89</v>
      </c>
      <c r="C50" s="221" t="s">
        <v>1781</v>
      </c>
      <c r="D50" s="179">
        <v>7</v>
      </c>
      <c r="E50" s="221" t="s">
        <v>608</v>
      </c>
      <c r="F50" s="179" t="s">
        <v>607</v>
      </c>
      <c r="G50" s="179">
        <v>14175</v>
      </c>
      <c r="J50" s="179">
        <v>14175</v>
      </c>
      <c r="K50" s="179">
        <v>14175</v>
      </c>
      <c r="N50" s="179">
        <f t="shared" si="0"/>
        <v>0</v>
      </c>
      <c r="O50" s="179" t="s">
        <v>415</v>
      </c>
      <c r="P50" s="179" t="s">
        <v>2563</v>
      </c>
    </row>
    <row r="51" spans="1:21">
      <c r="A51" s="95">
        <v>20100511</v>
      </c>
      <c r="B51" s="179">
        <v>90</v>
      </c>
      <c r="C51" s="221" t="s">
        <v>1781</v>
      </c>
      <c r="D51" s="179">
        <v>8</v>
      </c>
      <c r="E51" s="221" t="s">
        <v>1780</v>
      </c>
      <c r="F51" s="179" t="s">
        <v>1779</v>
      </c>
      <c r="G51" s="179">
        <v>14175</v>
      </c>
      <c r="J51" s="179">
        <v>14175</v>
      </c>
      <c r="K51" s="179">
        <v>14175</v>
      </c>
      <c r="N51" s="179">
        <f t="shared" si="0"/>
        <v>0</v>
      </c>
      <c r="O51" s="179" t="s">
        <v>2768</v>
      </c>
      <c r="P51" s="179" t="s">
        <v>815</v>
      </c>
      <c r="Q51" s="3">
        <v>14175</v>
      </c>
      <c r="R51">
        <v>14175</v>
      </c>
    </row>
    <row r="52" spans="1:21">
      <c r="A52" s="95">
        <v>20100524</v>
      </c>
      <c r="B52" s="179">
        <v>98</v>
      </c>
      <c r="C52" s="221" t="s">
        <v>1249</v>
      </c>
      <c r="D52" s="179">
        <v>20</v>
      </c>
      <c r="E52" s="221" t="s">
        <v>2697</v>
      </c>
      <c r="F52" s="179" t="s">
        <v>2696</v>
      </c>
      <c r="G52" s="179">
        <v>4725</v>
      </c>
      <c r="J52" s="179">
        <v>4725</v>
      </c>
      <c r="K52" s="179">
        <v>4725</v>
      </c>
      <c r="N52" s="179">
        <f t="shared" si="0"/>
        <v>0</v>
      </c>
      <c r="O52" s="179" t="s">
        <v>567</v>
      </c>
      <c r="P52" s="179" t="s">
        <v>568</v>
      </c>
    </row>
    <row r="53" spans="1:21">
      <c r="A53" s="95">
        <v>20100524</v>
      </c>
      <c r="B53" s="179">
        <v>99</v>
      </c>
      <c r="C53" s="221" t="s">
        <v>1249</v>
      </c>
      <c r="D53" s="179">
        <v>21</v>
      </c>
      <c r="E53" s="221" t="s">
        <v>2711</v>
      </c>
      <c r="F53" s="179" t="s">
        <v>2710</v>
      </c>
      <c r="G53" s="179">
        <v>4725</v>
      </c>
      <c r="J53" s="179">
        <v>4725</v>
      </c>
      <c r="K53" s="179">
        <v>4725</v>
      </c>
      <c r="N53" s="179">
        <f t="shared" si="0"/>
        <v>0</v>
      </c>
      <c r="O53" s="179" t="s">
        <v>2743</v>
      </c>
      <c r="P53" s="179" t="s">
        <v>2748</v>
      </c>
    </row>
    <row r="54" spans="1:21">
      <c r="A54" s="95">
        <v>20100524</v>
      </c>
      <c r="B54" s="179">
        <v>100</v>
      </c>
      <c r="C54" s="221" t="s">
        <v>1249</v>
      </c>
      <c r="D54" s="179">
        <v>22</v>
      </c>
      <c r="E54" s="221" t="s">
        <v>2730</v>
      </c>
      <c r="F54" s="179" t="s">
        <v>2728</v>
      </c>
      <c r="G54" s="179">
        <v>4725</v>
      </c>
      <c r="J54" s="179">
        <v>4725</v>
      </c>
      <c r="K54" s="179">
        <v>4725</v>
      </c>
      <c r="N54" s="179">
        <f t="shared" si="0"/>
        <v>0</v>
      </c>
      <c r="O54" s="179" t="s">
        <v>2756</v>
      </c>
      <c r="P54" s="179" t="s">
        <v>2757</v>
      </c>
    </row>
    <row r="55" spans="1:21">
      <c r="A55" s="95">
        <v>20100524</v>
      </c>
      <c r="B55" s="179">
        <v>101</v>
      </c>
      <c r="C55" s="221" t="s">
        <v>1249</v>
      </c>
      <c r="D55" s="179">
        <v>23</v>
      </c>
      <c r="E55" s="221" t="s">
        <v>3868</v>
      </c>
      <c r="F55" s="179" t="s">
        <v>3867</v>
      </c>
      <c r="G55" s="179">
        <v>4725</v>
      </c>
      <c r="J55" s="179">
        <v>4725</v>
      </c>
      <c r="K55" s="179">
        <v>4725</v>
      </c>
      <c r="N55" s="179">
        <f t="shared" si="0"/>
        <v>0</v>
      </c>
      <c r="O55" s="179" t="s">
        <v>573</v>
      </c>
      <c r="P55" s="179" t="s">
        <v>2761</v>
      </c>
    </row>
    <row r="56" spans="1:21">
      <c r="A56" s="95">
        <v>20100524</v>
      </c>
      <c r="B56" s="179">
        <v>102</v>
      </c>
      <c r="C56" s="221" t="s">
        <v>1249</v>
      </c>
      <c r="D56" s="179">
        <v>24</v>
      </c>
      <c r="E56" s="221" t="s">
        <v>3882</v>
      </c>
      <c r="F56" s="179" t="s">
        <v>3881</v>
      </c>
      <c r="G56" s="179">
        <v>4725</v>
      </c>
      <c r="J56" s="179">
        <v>4725</v>
      </c>
      <c r="K56" s="179">
        <v>4725</v>
      </c>
      <c r="N56" s="179">
        <f t="shared" si="0"/>
        <v>0</v>
      </c>
      <c r="O56" s="179" t="s">
        <v>2744</v>
      </c>
      <c r="P56" s="179" t="s">
        <v>2745</v>
      </c>
    </row>
    <row r="57" spans="1:21">
      <c r="A57" s="95">
        <v>20100603</v>
      </c>
      <c r="B57" s="179">
        <v>106</v>
      </c>
      <c r="C57" s="221" t="s">
        <v>2687</v>
      </c>
      <c r="D57" s="179">
        <v>4</v>
      </c>
      <c r="E57" s="221" t="s">
        <v>2731</v>
      </c>
      <c r="F57" s="179" t="s">
        <v>2728</v>
      </c>
      <c r="G57" s="179">
        <v>14175</v>
      </c>
      <c r="J57" s="179">
        <v>14175</v>
      </c>
      <c r="K57" s="179">
        <v>14175</v>
      </c>
      <c r="N57" s="179">
        <f t="shared" si="0"/>
        <v>0</v>
      </c>
      <c r="O57" s="179" t="s">
        <v>2756</v>
      </c>
      <c r="P57" s="179" t="s">
        <v>2757</v>
      </c>
    </row>
    <row r="58" spans="1:21">
      <c r="A58" s="95">
        <v>20100603</v>
      </c>
      <c r="B58" s="179">
        <v>107</v>
      </c>
      <c r="C58" s="221" t="s">
        <v>2687</v>
      </c>
      <c r="D58" s="179">
        <v>5</v>
      </c>
      <c r="E58" s="221" t="s">
        <v>2401</v>
      </c>
      <c r="F58" s="179" t="s">
        <v>2399</v>
      </c>
      <c r="G58" s="179">
        <v>14175</v>
      </c>
      <c r="J58" s="179">
        <v>14175</v>
      </c>
      <c r="K58" s="179">
        <v>14175</v>
      </c>
      <c r="N58" s="179">
        <f t="shared" si="0"/>
        <v>0</v>
      </c>
      <c r="O58" s="179" t="s">
        <v>2758</v>
      </c>
      <c r="P58" s="179" t="s">
        <v>2759</v>
      </c>
    </row>
    <row r="59" spans="1:21">
      <c r="A59" s="95">
        <v>20100603</v>
      </c>
      <c r="B59" s="179">
        <v>108</v>
      </c>
      <c r="C59" s="221" t="s">
        <v>2687</v>
      </c>
      <c r="D59" s="179">
        <v>6</v>
      </c>
      <c r="E59" s="221" t="s">
        <v>1614</v>
      </c>
      <c r="F59" s="179" t="s">
        <v>580</v>
      </c>
      <c r="G59" s="179">
        <v>14175</v>
      </c>
      <c r="J59" s="179">
        <v>14175</v>
      </c>
      <c r="K59" s="179">
        <v>14175</v>
      </c>
      <c r="N59" s="179">
        <f t="shared" si="0"/>
        <v>0</v>
      </c>
      <c r="O59" s="179" t="s">
        <v>2760</v>
      </c>
      <c r="P59" s="179" t="s">
        <v>2755</v>
      </c>
    </row>
    <row r="60" spans="1:21" s="114" customFormat="1">
      <c r="A60" s="114">
        <v>20100603</v>
      </c>
      <c r="B60" s="211">
        <v>109</v>
      </c>
      <c r="C60" s="222" t="s">
        <v>2687</v>
      </c>
      <c r="D60" s="211">
        <v>7</v>
      </c>
      <c r="E60" s="222" t="s">
        <v>2567</v>
      </c>
      <c r="F60" s="211" t="s">
        <v>2565</v>
      </c>
      <c r="G60" s="211">
        <v>14175</v>
      </c>
      <c r="H60" s="211"/>
      <c r="I60" s="211"/>
      <c r="J60" s="211">
        <v>14175</v>
      </c>
      <c r="K60" s="211">
        <v>14175</v>
      </c>
      <c r="L60" s="211"/>
      <c r="M60" s="211"/>
      <c r="N60" s="211">
        <f t="shared" si="0"/>
        <v>0</v>
      </c>
      <c r="O60" s="211" t="s">
        <v>486</v>
      </c>
      <c r="P60" s="211" t="s">
        <v>486</v>
      </c>
      <c r="Q60" s="114">
        <v>14175</v>
      </c>
      <c r="R60" s="114">
        <v>14175</v>
      </c>
      <c r="T60" s="211"/>
      <c r="U60" s="211" t="s">
        <v>254</v>
      </c>
    </row>
    <row r="61" spans="1:21">
      <c r="A61" s="95">
        <v>20100603</v>
      </c>
      <c r="B61" s="179">
        <v>110</v>
      </c>
      <c r="C61" s="221" t="s">
        <v>2687</v>
      </c>
      <c r="D61" s="179">
        <v>8</v>
      </c>
      <c r="E61" s="221" t="s">
        <v>1793</v>
      </c>
      <c r="F61" s="179" t="s">
        <v>1790</v>
      </c>
      <c r="G61" s="179">
        <v>14175</v>
      </c>
      <c r="J61" s="179">
        <v>14175</v>
      </c>
      <c r="K61" s="179">
        <v>14175</v>
      </c>
      <c r="N61" s="179">
        <f t="shared" si="0"/>
        <v>0</v>
      </c>
      <c r="O61" s="179" t="s">
        <v>818</v>
      </c>
      <c r="P61" s="179" t="s">
        <v>487</v>
      </c>
      <c r="Q61" s="3">
        <v>14175</v>
      </c>
      <c r="R61">
        <v>14175</v>
      </c>
    </row>
    <row r="62" spans="1:21">
      <c r="A62" s="95">
        <v>20100624</v>
      </c>
      <c r="B62" s="179">
        <v>115</v>
      </c>
      <c r="C62" s="221" t="s">
        <v>1761</v>
      </c>
      <c r="D62" s="179">
        <v>4</v>
      </c>
      <c r="E62" s="221" t="s">
        <v>2738</v>
      </c>
      <c r="F62" s="179" t="s">
        <v>2737</v>
      </c>
      <c r="G62" s="179">
        <v>12600</v>
      </c>
      <c r="J62" s="179">
        <v>12600</v>
      </c>
      <c r="K62" s="179">
        <v>12600</v>
      </c>
      <c r="N62" s="179">
        <f t="shared" si="0"/>
        <v>0</v>
      </c>
      <c r="O62" s="179" t="s">
        <v>2749</v>
      </c>
      <c r="P62" s="179" t="s">
        <v>2750</v>
      </c>
    </row>
    <row r="63" spans="1:21">
      <c r="A63" s="95">
        <v>20100624</v>
      </c>
      <c r="B63" s="179">
        <v>116</v>
      </c>
      <c r="C63" s="221" t="s">
        <v>1761</v>
      </c>
      <c r="D63" s="179">
        <v>5</v>
      </c>
      <c r="E63" s="221" t="s">
        <v>2408</v>
      </c>
      <c r="F63" s="179" t="s">
        <v>2407</v>
      </c>
      <c r="G63" s="179">
        <v>12600</v>
      </c>
      <c r="J63" s="179">
        <v>12600</v>
      </c>
      <c r="K63" s="179">
        <v>12600</v>
      </c>
      <c r="N63" s="179">
        <f t="shared" si="0"/>
        <v>0</v>
      </c>
      <c r="O63" s="179" t="s">
        <v>2758</v>
      </c>
      <c r="P63" s="179" t="s">
        <v>2759</v>
      </c>
    </row>
    <row r="64" spans="1:21">
      <c r="A64" s="95">
        <v>20100624</v>
      </c>
      <c r="B64" s="179">
        <v>117</v>
      </c>
      <c r="C64" s="221" t="s">
        <v>1761</v>
      </c>
      <c r="D64" s="179">
        <v>6</v>
      </c>
      <c r="E64" s="221" t="s">
        <v>1621</v>
      </c>
      <c r="F64" s="179" t="s">
        <v>1620</v>
      </c>
      <c r="G64" s="179">
        <v>12600</v>
      </c>
      <c r="J64" s="179">
        <v>12600</v>
      </c>
      <c r="K64" s="179">
        <v>12600</v>
      </c>
      <c r="N64" s="179">
        <f t="shared" si="0"/>
        <v>0</v>
      </c>
      <c r="O64" s="179" t="s">
        <v>2760</v>
      </c>
      <c r="P64" s="179" t="s">
        <v>2755</v>
      </c>
    </row>
    <row r="65" spans="1:21" s="114" customFormat="1">
      <c r="A65" s="114">
        <v>20100624</v>
      </c>
      <c r="B65" s="211">
        <v>118</v>
      </c>
      <c r="C65" s="222" t="s">
        <v>1761</v>
      </c>
      <c r="D65" s="211">
        <v>7</v>
      </c>
      <c r="E65" s="222" t="s">
        <v>1760</v>
      </c>
      <c r="F65" s="211" t="s">
        <v>1759</v>
      </c>
      <c r="G65" s="211">
        <v>12600</v>
      </c>
      <c r="H65" s="211"/>
      <c r="I65" s="211"/>
      <c r="J65" s="211">
        <v>12600</v>
      </c>
      <c r="K65" s="211">
        <v>12600</v>
      </c>
      <c r="L65" s="211"/>
      <c r="M65" s="211"/>
      <c r="N65" s="211">
        <f t="shared" si="0"/>
        <v>0</v>
      </c>
      <c r="O65" s="211" t="s">
        <v>486</v>
      </c>
      <c r="P65" s="211" t="s">
        <v>486</v>
      </c>
      <c r="Q65" s="114">
        <v>12600</v>
      </c>
      <c r="R65" s="114">
        <v>12600</v>
      </c>
      <c r="T65" s="211"/>
      <c r="U65" s="211" t="s">
        <v>254</v>
      </c>
    </row>
    <row r="66" spans="1:21">
      <c r="A66" s="95">
        <v>20100624</v>
      </c>
      <c r="B66" s="179">
        <v>119</v>
      </c>
      <c r="C66" s="221" t="s">
        <v>1761</v>
      </c>
      <c r="D66" s="179">
        <v>8</v>
      </c>
      <c r="E66" s="221" t="s">
        <v>1799</v>
      </c>
      <c r="F66" s="179" t="s">
        <v>1798</v>
      </c>
      <c r="G66" s="179">
        <v>12600</v>
      </c>
      <c r="J66" s="179">
        <v>12600</v>
      </c>
      <c r="K66" s="179">
        <v>12600</v>
      </c>
      <c r="N66" s="179">
        <f t="shared" si="0"/>
        <v>0</v>
      </c>
      <c r="O66" s="179" t="s">
        <v>818</v>
      </c>
      <c r="P66" s="179" t="s">
        <v>487</v>
      </c>
      <c r="Q66" s="3">
        <v>12600</v>
      </c>
      <c r="R66">
        <v>12600</v>
      </c>
    </row>
    <row r="67" spans="1:21">
      <c r="A67" s="95">
        <v>20100628</v>
      </c>
      <c r="B67" s="179">
        <v>122</v>
      </c>
      <c r="C67" s="221" t="s">
        <v>1767</v>
      </c>
      <c r="D67" s="179">
        <v>3</v>
      </c>
      <c r="E67" s="221" t="s">
        <v>2701</v>
      </c>
      <c r="F67" s="179" t="s">
        <v>2700</v>
      </c>
      <c r="G67" s="179">
        <v>24570</v>
      </c>
      <c r="J67" s="179">
        <v>24570</v>
      </c>
      <c r="K67" s="179">
        <v>24570</v>
      </c>
      <c r="N67" s="179">
        <f t="shared" si="0"/>
        <v>0</v>
      </c>
      <c r="O67" s="179" t="s">
        <v>417</v>
      </c>
      <c r="P67" s="179" t="s">
        <v>2743</v>
      </c>
    </row>
    <row r="68" spans="1:21">
      <c r="A68" s="95">
        <v>20100628</v>
      </c>
      <c r="B68" s="179">
        <v>123</v>
      </c>
      <c r="C68" s="221" t="s">
        <v>1767</v>
      </c>
      <c r="D68" s="179">
        <v>4</v>
      </c>
      <c r="E68" s="221" t="s">
        <v>3872</v>
      </c>
      <c r="F68" s="179" t="s">
        <v>3871</v>
      </c>
      <c r="G68" s="179">
        <v>24570</v>
      </c>
      <c r="J68" s="179">
        <v>24570</v>
      </c>
      <c r="K68" s="179">
        <v>24570</v>
      </c>
      <c r="N68" s="179">
        <f t="shared" si="0"/>
        <v>0</v>
      </c>
      <c r="O68" s="179" t="s">
        <v>2762</v>
      </c>
      <c r="P68" s="179" t="s">
        <v>2763</v>
      </c>
    </row>
    <row r="69" spans="1:21">
      <c r="A69" s="95">
        <v>20100628</v>
      </c>
      <c r="B69" s="179">
        <v>124</v>
      </c>
      <c r="C69" s="221" t="s">
        <v>1767</v>
      </c>
      <c r="D69" s="179">
        <v>5</v>
      </c>
      <c r="E69" s="221" t="s">
        <v>2413</v>
      </c>
      <c r="F69" s="179" t="s">
        <v>2412</v>
      </c>
      <c r="G69" s="179">
        <v>24570</v>
      </c>
      <c r="J69" s="179">
        <v>24570</v>
      </c>
      <c r="K69" s="179">
        <v>24570</v>
      </c>
      <c r="N69" s="179">
        <f t="shared" si="0"/>
        <v>0</v>
      </c>
      <c r="O69" s="179" t="s">
        <v>2753</v>
      </c>
      <c r="P69" s="179" t="s">
        <v>2754</v>
      </c>
    </row>
    <row r="70" spans="1:21">
      <c r="A70" s="95">
        <v>20100628</v>
      </c>
      <c r="B70" s="179">
        <v>125</v>
      </c>
      <c r="C70" s="221" t="s">
        <v>1767</v>
      </c>
      <c r="D70" s="179">
        <v>6</v>
      </c>
      <c r="E70" s="221" t="s">
        <v>1626</v>
      </c>
      <c r="F70" s="179" t="s">
        <v>1625</v>
      </c>
      <c r="G70" s="179">
        <v>24570</v>
      </c>
      <c r="J70" s="179">
        <v>24570</v>
      </c>
      <c r="K70" s="179">
        <v>24570</v>
      </c>
      <c r="N70" s="179">
        <f t="shared" si="0"/>
        <v>0</v>
      </c>
      <c r="O70" s="179" t="s">
        <v>574</v>
      </c>
      <c r="P70" s="179" t="s">
        <v>575</v>
      </c>
    </row>
    <row r="71" spans="1:21">
      <c r="A71" s="95">
        <v>20100628</v>
      </c>
      <c r="B71" s="179">
        <v>126</v>
      </c>
      <c r="C71" s="221" t="s">
        <v>1767</v>
      </c>
      <c r="D71" s="179">
        <v>7</v>
      </c>
      <c r="E71" s="221" t="s">
        <v>1766</v>
      </c>
      <c r="F71" s="179" t="s">
        <v>1765</v>
      </c>
      <c r="G71" s="179">
        <v>24570</v>
      </c>
      <c r="J71" s="179">
        <v>24570</v>
      </c>
      <c r="K71" s="179">
        <v>24570</v>
      </c>
      <c r="N71" s="179">
        <f t="shared" si="0"/>
        <v>0</v>
      </c>
      <c r="O71" s="179" t="s">
        <v>2662</v>
      </c>
      <c r="P71" s="179" t="s">
        <v>2767</v>
      </c>
      <c r="Q71" s="3">
        <v>24570</v>
      </c>
      <c r="R71">
        <v>24570</v>
      </c>
    </row>
    <row r="72" spans="1:21">
      <c r="A72" s="95">
        <v>20100628</v>
      </c>
      <c r="B72" s="179">
        <v>127</v>
      </c>
      <c r="C72" s="221" t="s">
        <v>1767</v>
      </c>
      <c r="D72" s="179">
        <v>8</v>
      </c>
      <c r="E72" s="221" t="s">
        <v>1803</v>
      </c>
      <c r="F72" s="179" t="s">
        <v>1802</v>
      </c>
      <c r="G72" s="179">
        <v>24570</v>
      </c>
      <c r="J72" s="179">
        <v>24570</v>
      </c>
      <c r="K72" s="179">
        <v>24570</v>
      </c>
      <c r="N72" s="179">
        <f t="shared" si="0"/>
        <v>0</v>
      </c>
      <c r="O72" s="179" t="s">
        <v>818</v>
      </c>
      <c r="P72" s="179" t="s">
        <v>487</v>
      </c>
      <c r="Q72" s="3">
        <v>24570</v>
      </c>
      <c r="R72">
        <v>24570</v>
      </c>
    </row>
    <row r="73" spans="1:21">
      <c r="A73" s="95">
        <v>20100628</v>
      </c>
      <c r="B73" s="179">
        <v>130</v>
      </c>
      <c r="C73" s="221" t="s">
        <v>1769</v>
      </c>
      <c r="D73" s="179">
        <v>3</v>
      </c>
      <c r="E73" s="221" t="s">
        <v>2702</v>
      </c>
      <c r="F73" s="179" t="s">
        <v>2700</v>
      </c>
      <c r="G73" s="179">
        <v>14175</v>
      </c>
      <c r="J73" s="179">
        <v>14175</v>
      </c>
      <c r="K73" s="179">
        <v>14175</v>
      </c>
      <c r="N73" s="179">
        <f t="shared" si="0"/>
        <v>0</v>
      </c>
      <c r="O73" s="179" t="s">
        <v>417</v>
      </c>
      <c r="P73" s="179" t="s">
        <v>2743</v>
      </c>
    </row>
    <row r="74" spans="1:21">
      <c r="A74" s="95">
        <v>20100628</v>
      </c>
      <c r="B74" s="179">
        <v>131</v>
      </c>
      <c r="C74" s="221" t="s">
        <v>1769</v>
      </c>
      <c r="D74" s="179">
        <v>4</v>
      </c>
      <c r="E74" s="221" t="s">
        <v>3873</v>
      </c>
      <c r="F74" s="179" t="s">
        <v>3871</v>
      </c>
      <c r="G74" s="179">
        <v>14175</v>
      </c>
      <c r="J74" s="179">
        <v>14175</v>
      </c>
      <c r="K74" s="179">
        <v>14175</v>
      </c>
      <c r="N74" s="179">
        <f t="shared" si="0"/>
        <v>0</v>
      </c>
      <c r="O74" s="179" t="s">
        <v>2762</v>
      </c>
      <c r="P74" s="179" t="s">
        <v>2763</v>
      </c>
    </row>
    <row r="75" spans="1:21">
      <c r="A75" s="95">
        <v>20100628</v>
      </c>
      <c r="B75" s="179">
        <v>132</v>
      </c>
      <c r="C75" s="221" t="s">
        <v>1769</v>
      </c>
      <c r="D75" s="179">
        <v>5</v>
      </c>
      <c r="E75" s="221" t="s">
        <v>2414</v>
      </c>
      <c r="F75" s="179" t="s">
        <v>2412</v>
      </c>
      <c r="G75" s="179">
        <v>14175</v>
      </c>
      <c r="J75" s="179">
        <v>14175</v>
      </c>
      <c r="K75" s="179">
        <v>14175</v>
      </c>
      <c r="N75" s="179">
        <f t="shared" ref="N75:N138" si="1">G75-J75</f>
        <v>0</v>
      </c>
      <c r="O75" s="179" t="s">
        <v>2753</v>
      </c>
      <c r="P75" s="179" t="s">
        <v>2754</v>
      </c>
    </row>
    <row r="76" spans="1:21">
      <c r="A76" s="95">
        <v>20100628</v>
      </c>
      <c r="B76" s="179">
        <v>133</v>
      </c>
      <c r="C76" s="221" t="s">
        <v>1769</v>
      </c>
      <c r="D76" s="179">
        <v>6</v>
      </c>
      <c r="E76" s="221" t="s">
        <v>1627</v>
      </c>
      <c r="F76" s="179" t="s">
        <v>1625</v>
      </c>
      <c r="G76" s="179">
        <v>14175</v>
      </c>
      <c r="J76" s="179">
        <v>14175</v>
      </c>
      <c r="K76" s="179">
        <v>14175</v>
      </c>
      <c r="N76" s="179">
        <f t="shared" si="1"/>
        <v>0</v>
      </c>
      <c r="O76" s="179" t="s">
        <v>574</v>
      </c>
      <c r="P76" s="179" t="s">
        <v>575</v>
      </c>
    </row>
    <row r="77" spans="1:21">
      <c r="A77" s="95">
        <v>20100628</v>
      </c>
      <c r="B77" s="179">
        <v>134</v>
      </c>
      <c r="C77" s="221" t="s">
        <v>1769</v>
      </c>
      <c r="D77" s="179">
        <v>7</v>
      </c>
      <c r="E77" s="221" t="s">
        <v>1768</v>
      </c>
      <c r="F77" s="179" t="s">
        <v>1765</v>
      </c>
      <c r="G77" s="179">
        <v>14175</v>
      </c>
      <c r="J77" s="179">
        <v>14175</v>
      </c>
      <c r="K77" s="179">
        <v>14175</v>
      </c>
      <c r="N77" s="179">
        <f t="shared" si="1"/>
        <v>0</v>
      </c>
      <c r="O77" s="179" t="s">
        <v>2662</v>
      </c>
      <c r="P77" s="179" t="s">
        <v>2767</v>
      </c>
      <c r="Q77" s="3">
        <v>14175</v>
      </c>
      <c r="R77">
        <v>14175</v>
      </c>
    </row>
    <row r="78" spans="1:21">
      <c r="A78" s="95">
        <v>20100628</v>
      </c>
      <c r="B78" s="179">
        <v>135</v>
      </c>
      <c r="C78" s="221" t="s">
        <v>1769</v>
      </c>
      <c r="D78" s="179">
        <v>8</v>
      </c>
      <c r="E78" s="221" t="s">
        <v>1804</v>
      </c>
      <c r="F78" s="179" t="s">
        <v>1802</v>
      </c>
      <c r="G78" s="179">
        <v>14175</v>
      </c>
      <c r="J78" s="179">
        <v>14175</v>
      </c>
      <c r="K78" s="179">
        <v>14175</v>
      </c>
      <c r="N78" s="179">
        <f t="shared" si="1"/>
        <v>0</v>
      </c>
      <c r="O78" s="179" t="s">
        <v>818</v>
      </c>
      <c r="P78" s="179" t="s">
        <v>487</v>
      </c>
      <c r="Q78" s="3">
        <v>14175</v>
      </c>
      <c r="R78">
        <v>14175</v>
      </c>
    </row>
    <row r="79" spans="1:21">
      <c r="A79" s="95">
        <v>20100817</v>
      </c>
      <c r="B79" s="179">
        <v>140</v>
      </c>
      <c r="C79" s="221" t="s">
        <v>1792</v>
      </c>
      <c r="D79" s="179">
        <v>3</v>
      </c>
      <c r="E79" s="221" t="s">
        <v>2729</v>
      </c>
      <c r="F79" s="179" t="s">
        <v>2728</v>
      </c>
      <c r="G79" s="179">
        <v>14175</v>
      </c>
      <c r="J79" s="179">
        <v>14175</v>
      </c>
      <c r="K79" s="179">
        <v>14175</v>
      </c>
      <c r="N79" s="179">
        <f t="shared" si="1"/>
        <v>0</v>
      </c>
      <c r="O79" s="179" t="s">
        <v>2756</v>
      </c>
      <c r="P79" s="179" t="s">
        <v>2757</v>
      </c>
    </row>
    <row r="80" spans="1:21">
      <c r="A80" s="95">
        <v>20100817</v>
      </c>
      <c r="B80" s="179">
        <v>141</v>
      </c>
      <c r="C80" s="221" t="s">
        <v>1792</v>
      </c>
      <c r="D80" s="179">
        <v>4</v>
      </c>
      <c r="E80" s="221" t="s">
        <v>2400</v>
      </c>
      <c r="F80" s="179" t="s">
        <v>2399</v>
      </c>
      <c r="G80" s="179">
        <v>14175</v>
      </c>
      <c r="J80" s="179">
        <v>14175</v>
      </c>
      <c r="K80" s="179">
        <v>14175</v>
      </c>
      <c r="N80" s="179">
        <f t="shared" si="1"/>
        <v>0</v>
      </c>
      <c r="O80" s="179" t="s">
        <v>2758</v>
      </c>
      <c r="P80" s="179" t="s">
        <v>2759</v>
      </c>
    </row>
    <row r="81" spans="1:21">
      <c r="A81" s="95">
        <v>20100817</v>
      </c>
      <c r="B81" s="179">
        <v>142</v>
      </c>
      <c r="C81" s="221" t="s">
        <v>1792</v>
      </c>
      <c r="D81" s="179">
        <v>5</v>
      </c>
      <c r="E81" s="221" t="s">
        <v>581</v>
      </c>
      <c r="F81" s="179" t="s">
        <v>580</v>
      </c>
      <c r="G81" s="179">
        <v>14175</v>
      </c>
      <c r="J81" s="179">
        <v>14175</v>
      </c>
      <c r="K81" s="179">
        <v>14175</v>
      </c>
      <c r="N81" s="179">
        <f t="shared" si="1"/>
        <v>0</v>
      </c>
      <c r="O81" s="179" t="s">
        <v>2760</v>
      </c>
      <c r="P81" s="179" t="s">
        <v>2755</v>
      </c>
    </row>
    <row r="82" spans="1:21" s="114" customFormat="1">
      <c r="A82" s="114">
        <v>20100817</v>
      </c>
      <c r="B82" s="211">
        <v>143</v>
      </c>
      <c r="C82" s="222" t="s">
        <v>1792</v>
      </c>
      <c r="D82" s="211">
        <v>6</v>
      </c>
      <c r="E82" s="222" t="s">
        <v>2566</v>
      </c>
      <c r="F82" s="211" t="s">
        <v>2565</v>
      </c>
      <c r="G82" s="211">
        <v>14175</v>
      </c>
      <c r="H82" s="211"/>
      <c r="I82" s="211"/>
      <c r="J82" s="211">
        <v>14175</v>
      </c>
      <c r="K82" s="211">
        <v>14175</v>
      </c>
      <c r="L82" s="211"/>
      <c r="M82" s="211"/>
      <c r="N82" s="211">
        <f t="shared" si="1"/>
        <v>0</v>
      </c>
      <c r="O82" s="211" t="s">
        <v>486</v>
      </c>
      <c r="P82" s="211" t="s">
        <v>486</v>
      </c>
      <c r="Q82" s="114">
        <v>14175</v>
      </c>
      <c r="R82" s="114">
        <v>14175</v>
      </c>
      <c r="T82" s="211"/>
      <c r="U82" s="212" t="s">
        <v>254</v>
      </c>
    </row>
    <row r="83" spans="1:21">
      <c r="A83" s="95">
        <v>20100817</v>
      </c>
      <c r="B83" s="179">
        <v>144</v>
      </c>
      <c r="C83" s="221" t="s">
        <v>1792</v>
      </c>
      <c r="D83" s="179">
        <v>7</v>
      </c>
      <c r="E83" s="221" t="s">
        <v>1791</v>
      </c>
      <c r="F83" s="179" t="s">
        <v>1790</v>
      </c>
      <c r="G83" s="179">
        <v>14175</v>
      </c>
      <c r="J83" s="179">
        <v>14175</v>
      </c>
      <c r="K83" s="179">
        <v>14175</v>
      </c>
      <c r="N83" s="179">
        <f t="shared" si="1"/>
        <v>0</v>
      </c>
      <c r="O83" s="179" t="s">
        <v>818</v>
      </c>
      <c r="P83" s="179" t="s">
        <v>487</v>
      </c>
      <c r="Q83" s="3">
        <v>14175</v>
      </c>
      <c r="R83">
        <v>14175</v>
      </c>
    </row>
    <row r="84" spans="1:21">
      <c r="A84" s="95">
        <v>20100817</v>
      </c>
      <c r="B84" s="179">
        <v>145</v>
      </c>
      <c r="C84" s="221" t="s">
        <v>1792</v>
      </c>
      <c r="D84" s="179">
        <v>8</v>
      </c>
      <c r="E84" s="221" t="s">
        <v>1813</v>
      </c>
      <c r="F84" s="179" t="s">
        <v>1812</v>
      </c>
      <c r="G84" s="179">
        <v>14175</v>
      </c>
      <c r="J84" s="179">
        <v>14175</v>
      </c>
      <c r="K84" s="179">
        <v>14175</v>
      </c>
      <c r="N84" s="179">
        <f t="shared" si="1"/>
        <v>0</v>
      </c>
      <c r="O84" s="179" t="s">
        <v>488</v>
      </c>
      <c r="P84" s="179" t="s">
        <v>489</v>
      </c>
      <c r="Q84" s="3">
        <v>14175</v>
      </c>
      <c r="R84">
        <v>14175</v>
      </c>
    </row>
    <row r="85" spans="1:21">
      <c r="A85" s="95">
        <v>20100818</v>
      </c>
      <c r="B85" s="179">
        <v>148</v>
      </c>
      <c r="C85" s="221" t="s">
        <v>1789</v>
      </c>
      <c r="D85" s="179">
        <v>3</v>
      </c>
      <c r="E85" s="221" t="s">
        <v>2727</v>
      </c>
      <c r="F85" s="179" t="s">
        <v>2726</v>
      </c>
      <c r="G85" s="179">
        <v>14175</v>
      </c>
      <c r="J85" s="179">
        <v>14175</v>
      </c>
      <c r="K85" s="179">
        <v>14175</v>
      </c>
      <c r="N85" s="179">
        <f t="shared" si="1"/>
        <v>0</v>
      </c>
      <c r="O85" s="179" t="s">
        <v>2756</v>
      </c>
      <c r="P85" s="179" t="s">
        <v>2757</v>
      </c>
    </row>
    <row r="86" spans="1:21">
      <c r="A86" s="95">
        <v>20100818</v>
      </c>
      <c r="B86" s="179">
        <v>149</v>
      </c>
      <c r="C86" s="221" t="s">
        <v>1789</v>
      </c>
      <c r="D86" s="179">
        <v>4</v>
      </c>
      <c r="E86" s="221" t="s">
        <v>2398</v>
      </c>
      <c r="F86" s="179" t="s">
        <v>2397</v>
      </c>
      <c r="G86" s="179">
        <v>14175</v>
      </c>
      <c r="J86" s="179">
        <v>14175</v>
      </c>
      <c r="K86" s="179">
        <v>14175</v>
      </c>
      <c r="N86" s="179">
        <f t="shared" si="1"/>
        <v>0</v>
      </c>
      <c r="O86" s="179" t="s">
        <v>2758</v>
      </c>
      <c r="P86" s="179" t="s">
        <v>2759</v>
      </c>
    </row>
    <row r="87" spans="1:21">
      <c r="A87" s="95">
        <v>20100818</v>
      </c>
      <c r="B87" s="179">
        <v>150</v>
      </c>
      <c r="C87" s="221" t="s">
        <v>1789</v>
      </c>
      <c r="D87" s="179">
        <v>5</v>
      </c>
      <c r="E87" s="221" t="s">
        <v>579</v>
      </c>
      <c r="F87" s="179" t="s">
        <v>578</v>
      </c>
      <c r="G87" s="179">
        <v>14175</v>
      </c>
      <c r="J87" s="179">
        <v>14175</v>
      </c>
      <c r="K87" s="179">
        <v>14175</v>
      </c>
      <c r="N87" s="179">
        <f t="shared" si="1"/>
        <v>0</v>
      </c>
      <c r="O87" s="179" t="s">
        <v>2746</v>
      </c>
      <c r="P87" s="179" t="s">
        <v>2747</v>
      </c>
    </row>
    <row r="88" spans="1:21" s="114" customFormat="1">
      <c r="A88" s="114">
        <v>20100818</v>
      </c>
      <c r="B88" s="211">
        <v>151</v>
      </c>
      <c r="C88" s="222" t="s">
        <v>1789</v>
      </c>
      <c r="D88" s="211">
        <v>6</v>
      </c>
      <c r="E88" s="222" t="s">
        <v>2564</v>
      </c>
      <c r="F88" s="211" t="s">
        <v>2563</v>
      </c>
      <c r="G88" s="211">
        <v>14175</v>
      </c>
      <c r="H88" s="211"/>
      <c r="I88" s="211"/>
      <c r="J88" s="211">
        <v>14175</v>
      </c>
      <c r="K88" s="211">
        <v>14175</v>
      </c>
      <c r="L88" s="211"/>
      <c r="M88" s="211"/>
      <c r="N88" s="211">
        <f t="shared" si="1"/>
        <v>0</v>
      </c>
      <c r="O88" s="211" t="s">
        <v>2670</v>
      </c>
      <c r="P88" s="211" t="s">
        <v>486</v>
      </c>
      <c r="Q88" s="114">
        <v>14175</v>
      </c>
      <c r="R88" s="114">
        <v>14175</v>
      </c>
      <c r="T88" s="211"/>
      <c r="U88" s="212" t="s">
        <v>254</v>
      </c>
    </row>
    <row r="89" spans="1:21">
      <c r="A89" s="95">
        <v>20100818</v>
      </c>
      <c r="B89" s="179">
        <v>152</v>
      </c>
      <c r="C89" s="221" t="s">
        <v>1789</v>
      </c>
      <c r="D89" s="179">
        <v>7</v>
      </c>
      <c r="E89" s="221" t="s">
        <v>1788</v>
      </c>
      <c r="F89" s="179" t="s">
        <v>1787</v>
      </c>
      <c r="G89" s="179">
        <v>14175</v>
      </c>
      <c r="J89" s="179">
        <v>14175</v>
      </c>
      <c r="K89" s="179">
        <v>14175</v>
      </c>
      <c r="N89" s="179">
        <f t="shared" si="1"/>
        <v>0</v>
      </c>
      <c r="O89" s="179" t="s">
        <v>2768</v>
      </c>
      <c r="P89" s="179" t="s">
        <v>815</v>
      </c>
      <c r="Q89" s="3">
        <v>14175</v>
      </c>
      <c r="R89">
        <v>14175</v>
      </c>
    </row>
    <row r="90" spans="1:21">
      <c r="A90" s="95">
        <v>20100818</v>
      </c>
      <c r="B90" s="179">
        <v>153</v>
      </c>
      <c r="C90" s="221" t="s">
        <v>1789</v>
      </c>
      <c r="D90" s="179">
        <v>8</v>
      </c>
      <c r="E90" s="221" t="s">
        <v>1811</v>
      </c>
      <c r="F90" s="179" t="s">
        <v>1810</v>
      </c>
      <c r="G90" s="179">
        <v>14175</v>
      </c>
      <c r="J90" s="179">
        <v>14175</v>
      </c>
      <c r="K90" s="179">
        <v>14175</v>
      </c>
      <c r="N90" s="179">
        <f t="shared" si="1"/>
        <v>0</v>
      </c>
      <c r="O90" s="179" t="s">
        <v>488</v>
      </c>
      <c r="P90" s="179" t="s">
        <v>489</v>
      </c>
      <c r="Q90" s="3">
        <v>14175</v>
      </c>
      <c r="R90">
        <v>14175</v>
      </c>
    </row>
    <row r="91" spans="1:21">
      <c r="A91" s="95">
        <v>20100824</v>
      </c>
      <c r="B91" s="179">
        <v>157</v>
      </c>
      <c r="C91" s="221" t="s">
        <v>2693</v>
      </c>
      <c r="D91" s="179">
        <v>4</v>
      </c>
      <c r="E91" s="221" t="s">
        <v>2724</v>
      </c>
      <c r="F91" s="179" t="s">
        <v>2723</v>
      </c>
      <c r="G91" s="179">
        <v>13230</v>
      </c>
      <c r="J91" s="179">
        <v>13230</v>
      </c>
      <c r="K91" s="179">
        <v>13230</v>
      </c>
      <c r="N91" s="179">
        <f t="shared" si="1"/>
        <v>0</v>
      </c>
      <c r="O91" s="179" t="s">
        <v>2756</v>
      </c>
      <c r="P91" s="179" t="s">
        <v>2757</v>
      </c>
    </row>
    <row r="92" spans="1:21">
      <c r="A92" s="95">
        <v>20100824</v>
      </c>
      <c r="B92" s="179">
        <v>158</v>
      </c>
      <c r="C92" s="221" t="s">
        <v>2693</v>
      </c>
      <c r="D92" s="179">
        <v>5</v>
      </c>
      <c r="E92" s="221" t="s">
        <v>2395</v>
      </c>
      <c r="F92" s="179" t="s">
        <v>2394</v>
      </c>
      <c r="G92" s="179">
        <v>13230</v>
      </c>
      <c r="J92" s="179">
        <v>13230</v>
      </c>
      <c r="K92" s="179">
        <v>13230</v>
      </c>
      <c r="N92" s="179">
        <f t="shared" si="1"/>
        <v>0</v>
      </c>
      <c r="O92" s="179" t="s">
        <v>2751</v>
      </c>
      <c r="P92" s="179" t="s">
        <v>2752</v>
      </c>
    </row>
    <row r="93" spans="1:21">
      <c r="A93" s="95">
        <v>20100824</v>
      </c>
      <c r="B93" s="179">
        <v>159</v>
      </c>
      <c r="C93" s="221" t="s">
        <v>2693</v>
      </c>
      <c r="D93" s="179">
        <v>6</v>
      </c>
      <c r="E93" s="221" t="s">
        <v>1908</v>
      </c>
      <c r="F93" s="179" t="s">
        <v>1907</v>
      </c>
      <c r="G93" s="179">
        <v>13230</v>
      </c>
      <c r="J93" s="179">
        <v>13230</v>
      </c>
      <c r="K93" s="179">
        <v>13230</v>
      </c>
      <c r="N93" s="179">
        <f t="shared" si="1"/>
        <v>0</v>
      </c>
      <c r="O93" s="179" t="s">
        <v>2746</v>
      </c>
      <c r="P93" s="179" t="s">
        <v>2747</v>
      </c>
    </row>
    <row r="94" spans="1:21">
      <c r="A94" s="95">
        <v>20100824</v>
      </c>
      <c r="B94" s="179">
        <v>160</v>
      </c>
      <c r="C94" s="221" t="s">
        <v>2693</v>
      </c>
      <c r="D94" s="179">
        <v>7</v>
      </c>
      <c r="E94" s="221" t="s">
        <v>2561</v>
      </c>
      <c r="F94" s="179" t="s">
        <v>2560</v>
      </c>
      <c r="G94" s="179">
        <v>13230</v>
      </c>
      <c r="J94" s="179">
        <v>13230</v>
      </c>
      <c r="K94" s="179">
        <v>13230</v>
      </c>
      <c r="N94" s="179">
        <f t="shared" si="1"/>
        <v>0</v>
      </c>
      <c r="O94" s="179" t="s">
        <v>415</v>
      </c>
      <c r="P94" s="179" t="s">
        <v>2563</v>
      </c>
    </row>
    <row r="95" spans="1:21">
      <c r="A95" s="95">
        <v>20100824</v>
      </c>
      <c r="B95" s="179">
        <v>161</v>
      </c>
      <c r="C95" s="221" t="s">
        <v>2693</v>
      </c>
      <c r="D95" s="179">
        <v>8</v>
      </c>
      <c r="E95" s="221" t="s">
        <v>1786</v>
      </c>
      <c r="F95" s="179" t="s">
        <v>1784</v>
      </c>
      <c r="G95" s="179">
        <v>13230</v>
      </c>
      <c r="J95" s="179">
        <v>13230</v>
      </c>
      <c r="K95" s="179">
        <v>13230</v>
      </c>
      <c r="N95" s="179">
        <f t="shared" si="1"/>
        <v>0</v>
      </c>
      <c r="O95" s="179" t="s">
        <v>2768</v>
      </c>
      <c r="P95" s="179" t="s">
        <v>815</v>
      </c>
      <c r="Q95" s="3">
        <v>13230</v>
      </c>
      <c r="R95">
        <v>13230</v>
      </c>
    </row>
    <row r="96" spans="1:21">
      <c r="A96" s="95">
        <v>20100902</v>
      </c>
      <c r="B96" s="179">
        <v>164</v>
      </c>
      <c r="C96" s="221" t="s">
        <v>1299</v>
      </c>
      <c r="D96" s="179">
        <v>3</v>
      </c>
      <c r="E96" s="221" t="s">
        <v>2725</v>
      </c>
      <c r="F96" s="179" t="s">
        <v>2723</v>
      </c>
      <c r="G96" s="179">
        <v>11340</v>
      </c>
      <c r="J96" s="179">
        <v>11340</v>
      </c>
      <c r="K96" s="179">
        <v>11340</v>
      </c>
      <c r="N96" s="179">
        <f t="shared" si="1"/>
        <v>0</v>
      </c>
      <c r="O96" s="179" t="s">
        <v>2756</v>
      </c>
      <c r="P96" s="179" t="s">
        <v>2757</v>
      </c>
    </row>
    <row r="97" spans="1:21">
      <c r="A97" s="95">
        <v>20100902</v>
      </c>
      <c r="B97" s="179">
        <v>165</v>
      </c>
      <c r="C97" s="221" t="s">
        <v>1299</v>
      </c>
      <c r="D97" s="179">
        <v>4</v>
      </c>
      <c r="E97" s="221" t="s">
        <v>2396</v>
      </c>
      <c r="F97" s="179" t="s">
        <v>2394</v>
      </c>
      <c r="G97" s="179">
        <v>11340</v>
      </c>
      <c r="J97" s="179">
        <v>11340</v>
      </c>
      <c r="K97" s="179">
        <v>11340</v>
      </c>
      <c r="N97" s="179">
        <f t="shared" si="1"/>
        <v>0</v>
      </c>
      <c r="O97" s="179" t="s">
        <v>2751</v>
      </c>
      <c r="P97" s="179" t="s">
        <v>2752</v>
      </c>
    </row>
    <row r="98" spans="1:21">
      <c r="A98" s="95">
        <v>20100902</v>
      </c>
      <c r="B98" s="179">
        <v>166</v>
      </c>
      <c r="C98" s="221" t="s">
        <v>1299</v>
      </c>
      <c r="D98" s="179">
        <v>5</v>
      </c>
      <c r="E98" s="221" t="s">
        <v>1909</v>
      </c>
      <c r="F98" s="179" t="s">
        <v>1907</v>
      </c>
      <c r="G98" s="179">
        <v>11340</v>
      </c>
      <c r="J98" s="179">
        <v>11340</v>
      </c>
      <c r="K98" s="179">
        <v>11340</v>
      </c>
      <c r="N98" s="179">
        <f t="shared" si="1"/>
        <v>0</v>
      </c>
      <c r="O98" s="179" t="s">
        <v>2746</v>
      </c>
      <c r="P98" s="179" t="s">
        <v>2747</v>
      </c>
    </row>
    <row r="99" spans="1:21">
      <c r="A99" s="95">
        <v>20100902</v>
      </c>
      <c r="B99" s="179">
        <v>167</v>
      </c>
      <c r="C99" s="221" t="s">
        <v>1299</v>
      </c>
      <c r="D99" s="179">
        <v>6</v>
      </c>
      <c r="E99" s="221" t="s">
        <v>2562</v>
      </c>
      <c r="F99" s="179" t="s">
        <v>2560</v>
      </c>
      <c r="G99" s="179">
        <v>11340</v>
      </c>
      <c r="J99" s="179">
        <v>11340</v>
      </c>
      <c r="K99" s="179">
        <v>11340</v>
      </c>
      <c r="N99" s="179">
        <f t="shared" si="1"/>
        <v>0</v>
      </c>
      <c r="O99" s="179" t="s">
        <v>415</v>
      </c>
      <c r="P99" s="179" t="s">
        <v>2563</v>
      </c>
    </row>
    <row r="100" spans="1:21">
      <c r="A100" s="95">
        <v>20100902</v>
      </c>
      <c r="B100" s="179">
        <v>168</v>
      </c>
      <c r="C100" s="221" t="s">
        <v>1299</v>
      </c>
      <c r="D100" s="179">
        <v>7</v>
      </c>
      <c r="E100" s="221" t="s">
        <v>1785</v>
      </c>
      <c r="F100" s="179" t="s">
        <v>1784</v>
      </c>
      <c r="G100" s="179">
        <v>11340</v>
      </c>
      <c r="J100" s="179">
        <v>11340</v>
      </c>
      <c r="K100" s="179">
        <v>11340</v>
      </c>
      <c r="N100" s="179">
        <f t="shared" si="1"/>
        <v>0</v>
      </c>
      <c r="O100" s="179" t="s">
        <v>2768</v>
      </c>
      <c r="P100" s="179" t="s">
        <v>815</v>
      </c>
      <c r="Q100" s="3">
        <v>11340</v>
      </c>
      <c r="R100">
        <v>11340</v>
      </c>
    </row>
    <row r="101" spans="1:21">
      <c r="A101" s="95">
        <v>20100902</v>
      </c>
      <c r="B101" s="179">
        <v>169</v>
      </c>
      <c r="C101" s="221" t="s">
        <v>1299</v>
      </c>
      <c r="D101" s="179">
        <v>8</v>
      </c>
      <c r="E101" s="221" t="s">
        <v>1809</v>
      </c>
      <c r="F101" s="179" t="s">
        <v>1808</v>
      </c>
      <c r="G101" s="179">
        <v>11340</v>
      </c>
      <c r="J101" s="179">
        <v>11340</v>
      </c>
      <c r="K101" s="179">
        <v>11340</v>
      </c>
      <c r="N101" s="179">
        <f t="shared" si="1"/>
        <v>0</v>
      </c>
      <c r="O101" s="179" t="s">
        <v>488</v>
      </c>
      <c r="P101" s="179" t="s">
        <v>489</v>
      </c>
      <c r="Q101" s="3">
        <v>11340</v>
      </c>
      <c r="R101">
        <v>11340</v>
      </c>
    </row>
    <row r="102" spans="1:21">
      <c r="A102" s="95">
        <v>20100916</v>
      </c>
      <c r="B102" s="179">
        <v>174</v>
      </c>
      <c r="C102" s="221" t="s">
        <v>2689</v>
      </c>
      <c r="D102" s="179">
        <v>3</v>
      </c>
      <c r="E102" s="221" t="s">
        <v>2736</v>
      </c>
      <c r="F102" s="179" t="s">
        <v>2735</v>
      </c>
      <c r="G102" s="179">
        <v>14175</v>
      </c>
      <c r="J102" s="179">
        <v>14175</v>
      </c>
      <c r="K102" s="179">
        <v>14175</v>
      </c>
      <c r="N102" s="179">
        <f t="shared" si="1"/>
        <v>0</v>
      </c>
      <c r="O102" s="179" t="s">
        <v>2749</v>
      </c>
      <c r="P102" s="179" t="s">
        <v>2750</v>
      </c>
    </row>
    <row r="103" spans="1:21">
      <c r="A103" s="95">
        <v>20100916</v>
      </c>
      <c r="B103" s="179">
        <v>175</v>
      </c>
      <c r="C103" s="221" t="s">
        <v>2689</v>
      </c>
      <c r="D103" s="179">
        <v>4</v>
      </c>
      <c r="E103" s="221" t="s">
        <v>2406</v>
      </c>
      <c r="F103" s="179" t="s">
        <v>2405</v>
      </c>
      <c r="G103" s="179">
        <v>14175</v>
      </c>
      <c r="J103" s="179">
        <v>14175</v>
      </c>
      <c r="K103" s="179">
        <v>14175</v>
      </c>
      <c r="N103" s="179">
        <f t="shared" si="1"/>
        <v>0</v>
      </c>
      <c r="O103" s="179" t="s">
        <v>2758</v>
      </c>
      <c r="P103" s="179" t="s">
        <v>2759</v>
      </c>
    </row>
    <row r="104" spans="1:21">
      <c r="A104" s="95">
        <v>20100916</v>
      </c>
      <c r="B104" s="179">
        <v>176</v>
      </c>
      <c r="C104" s="221" t="s">
        <v>2689</v>
      </c>
      <c r="D104" s="179">
        <v>5</v>
      </c>
      <c r="E104" s="221" t="s">
        <v>1619</v>
      </c>
      <c r="F104" s="179" t="s">
        <v>1618</v>
      </c>
      <c r="G104" s="179">
        <v>14175</v>
      </c>
      <c r="J104" s="179">
        <v>14175</v>
      </c>
      <c r="K104" s="179">
        <v>14175</v>
      </c>
      <c r="N104" s="179">
        <f t="shared" si="1"/>
        <v>0</v>
      </c>
      <c r="O104" s="179" t="s">
        <v>2760</v>
      </c>
      <c r="P104" s="179" t="s">
        <v>2755</v>
      </c>
    </row>
    <row r="105" spans="1:21" s="114" customFormat="1">
      <c r="A105" s="114">
        <v>20100916</v>
      </c>
      <c r="B105" s="211">
        <v>177</v>
      </c>
      <c r="C105" s="222" t="s">
        <v>2689</v>
      </c>
      <c r="D105" s="211">
        <v>6</v>
      </c>
      <c r="E105" s="222" t="s">
        <v>2572</v>
      </c>
      <c r="F105" s="211" t="s">
        <v>2571</v>
      </c>
      <c r="G105" s="211">
        <v>14175</v>
      </c>
      <c r="H105" s="211"/>
      <c r="I105" s="211"/>
      <c r="J105" s="211">
        <v>14175</v>
      </c>
      <c r="K105" s="211">
        <v>14175</v>
      </c>
      <c r="L105" s="211"/>
      <c r="M105" s="211"/>
      <c r="N105" s="211">
        <f t="shared" si="1"/>
        <v>0</v>
      </c>
      <c r="O105" s="211" t="s">
        <v>486</v>
      </c>
      <c r="P105" s="211" t="s">
        <v>486</v>
      </c>
      <c r="Q105" s="114">
        <v>14175</v>
      </c>
      <c r="R105" s="114">
        <v>14175</v>
      </c>
      <c r="T105" s="211"/>
      <c r="U105" s="222" t="s">
        <v>254</v>
      </c>
    </row>
    <row r="106" spans="1:21">
      <c r="A106" s="95">
        <v>20100916</v>
      </c>
      <c r="B106" s="179">
        <v>178</v>
      </c>
      <c r="C106" s="221" t="s">
        <v>2689</v>
      </c>
      <c r="D106" s="179">
        <v>7</v>
      </c>
      <c r="E106" s="221" t="s">
        <v>1797</v>
      </c>
      <c r="F106" s="179" t="s">
        <v>1796</v>
      </c>
      <c r="G106" s="179">
        <v>14175</v>
      </c>
      <c r="J106" s="179">
        <v>14175</v>
      </c>
      <c r="K106" s="179">
        <v>14175</v>
      </c>
      <c r="N106" s="179">
        <f t="shared" si="1"/>
        <v>0</v>
      </c>
      <c r="O106" s="179" t="s">
        <v>818</v>
      </c>
      <c r="P106" s="179" t="s">
        <v>487</v>
      </c>
      <c r="Q106" s="3">
        <v>14175</v>
      </c>
      <c r="R106">
        <v>14175</v>
      </c>
    </row>
    <row r="107" spans="1:21">
      <c r="A107" s="95">
        <v>20100916</v>
      </c>
      <c r="B107" s="179">
        <v>179</v>
      </c>
      <c r="C107" s="221" t="s">
        <v>2689</v>
      </c>
      <c r="D107" s="179">
        <v>8</v>
      </c>
      <c r="E107" s="221" t="s">
        <v>1817</v>
      </c>
      <c r="F107" s="179" t="s">
        <v>1816</v>
      </c>
      <c r="G107" s="179">
        <v>14175</v>
      </c>
      <c r="J107" s="179">
        <v>14175</v>
      </c>
      <c r="K107" s="179">
        <v>14175</v>
      </c>
      <c r="N107" s="179">
        <f t="shared" si="1"/>
        <v>0</v>
      </c>
      <c r="O107" s="179" t="s">
        <v>488</v>
      </c>
      <c r="P107" s="179" t="s">
        <v>489</v>
      </c>
      <c r="Q107" s="3">
        <v>14175</v>
      </c>
      <c r="R107">
        <v>14175</v>
      </c>
    </row>
    <row r="108" spans="1:21">
      <c r="A108" s="95">
        <v>20101004</v>
      </c>
      <c r="B108" s="179">
        <v>189</v>
      </c>
      <c r="C108" s="221" t="s">
        <v>1764</v>
      </c>
      <c r="D108" s="179">
        <v>2</v>
      </c>
      <c r="E108" s="221" t="s">
        <v>2699</v>
      </c>
      <c r="F108" s="179" t="s">
        <v>2696</v>
      </c>
      <c r="G108" s="179">
        <v>14175</v>
      </c>
      <c r="J108" s="179">
        <v>14175</v>
      </c>
      <c r="K108" s="179">
        <v>14175</v>
      </c>
      <c r="N108" s="179">
        <f t="shared" si="1"/>
        <v>0</v>
      </c>
      <c r="O108" s="179" t="s">
        <v>567</v>
      </c>
      <c r="P108" s="179" t="s">
        <v>568</v>
      </c>
    </row>
    <row r="109" spans="1:21">
      <c r="A109" s="95">
        <v>20101004</v>
      </c>
      <c r="B109" s="179">
        <v>190</v>
      </c>
      <c r="C109" s="221" t="s">
        <v>1764</v>
      </c>
      <c r="D109" s="179">
        <v>3</v>
      </c>
      <c r="E109" s="221" t="s">
        <v>3870</v>
      </c>
      <c r="F109" s="179" t="s">
        <v>3867</v>
      </c>
      <c r="G109" s="179">
        <v>14175</v>
      </c>
      <c r="J109" s="179">
        <v>14175</v>
      </c>
      <c r="K109" s="179">
        <v>14175</v>
      </c>
      <c r="N109" s="179">
        <f t="shared" si="1"/>
        <v>0</v>
      </c>
      <c r="O109" s="179" t="s">
        <v>573</v>
      </c>
      <c r="P109" s="179" t="s">
        <v>2761</v>
      </c>
    </row>
    <row r="110" spans="1:21">
      <c r="A110" s="95">
        <v>20101004</v>
      </c>
      <c r="B110" s="179">
        <v>191</v>
      </c>
      <c r="C110" s="221" t="s">
        <v>1764</v>
      </c>
      <c r="D110" s="179">
        <v>4</v>
      </c>
      <c r="E110" s="221" t="s">
        <v>2411</v>
      </c>
      <c r="F110" s="179" t="s">
        <v>2409</v>
      </c>
      <c r="G110" s="179">
        <v>14175</v>
      </c>
      <c r="J110" s="179">
        <v>14175</v>
      </c>
      <c r="K110" s="179">
        <v>14175</v>
      </c>
      <c r="N110" s="179">
        <f t="shared" si="1"/>
        <v>0</v>
      </c>
      <c r="O110" s="179" t="s">
        <v>2753</v>
      </c>
      <c r="P110" s="179" t="s">
        <v>2754</v>
      </c>
    </row>
    <row r="111" spans="1:21">
      <c r="A111" s="95">
        <v>20101004</v>
      </c>
      <c r="B111" s="179">
        <v>192</v>
      </c>
      <c r="C111" s="221" t="s">
        <v>1764</v>
      </c>
      <c r="D111" s="179">
        <v>5</v>
      </c>
      <c r="E111" s="221" t="s">
        <v>1624</v>
      </c>
      <c r="F111" s="179" t="s">
        <v>1622</v>
      </c>
      <c r="G111" s="179">
        <v>14175</v>
      </c>
      <c r="J111" s="179">
        <v>14175</v>
      </c>
      <c r="K111" s="179">
        <v>14175</v>
      </c>
      <c r="N111" s="179">
        <f t="shared" si="1"/>
        <v>0</v>
      </c>
      <c r="O111" s="179" t="s">
        <v>574</v>
      </c>
      <c r="P111" s="179" t="s">
        <v>575</v>
      </c>
    </row>
    <row r="112" spans="1:21" s="114" customFormat="1">
      <c r="A112" s="114">
        <v>20101004</v>
      </c>
      <c r="B112" s="211">
        <v>193</v>
      </c>
      <c r="C112" s="222" t="s">
        <v>1764</v>
      </c>
      <c r="D112" s="211">
        <v>6</v>
      </c>
      <c r="E112" s="222" t="s">
        <v>1763</v>
      </c>
      <c r="F112" s="211" t="s">
        <v>1762</v>
      </c>
      <c r="G112" s="211">
        <v>14175</v>
      </c>
      <c r="H112" s="211"/>
      <c r="I112" s="211"/>
      <c r="J112" s="211">
        <v>14175</v>
      </c>
      <c r="K112" s="211">
        <v>14175</v>
      </c>
      <c r="L112" s="211"/>
      <c r="M112" s="211"/>
      <c r="N112" s="211">
        <f t="shared" si="1"/>
        <v>0</v>
      </c>
      <c r="O112" s="211" t="s">
        <v>2662</v>
      </c>
      <c r="P112" s="211" t="s">
        <v>2767</v>
      </c>
      <c r="Q112" s="114">
        <v>14175</v>
      </c>
      <c r="R112" s="114">
        <v>14175</v>
      </c>
      <c r="T112" s="211"/>
      <c r="U112" s="222" t="s">
        <v>254</v>
      </c>
    </row>
    <row r="113" spans="1:21">
      <c r="A113" s="95">
        <v>20101004</v>
      </c>
      <c r="B113" s="179">
        <v>194</v>
      </c>
      <c r="C113" s="221" t="s">
        <v>1764</v>
      </c>
      <c r="D113" s="179">
        <v>7</v>
      </c>
      <c r="E113" s="221" t="s">
        <v>1801</v>
      </c>
      <c r="F113" s="179" t="s">
        <v>1800</v>
      </c>
      <c r="G113" s="179">
        <v>14175</v>
      </c>
      <c r="J113" s="179">
        <v>14175</v>
      </c>
      <c r="K113" s="179">
        <v>14175</v>
      </c>
      <c r="N113" s="179">
        <f t="shared" si="1"/>
        <v>0</v>
      </c>
      <c r="O113" s="179" t="s">
        <v>818</v>
      </c>
      <c r="P113" s="179" t="s">
        <v>487</v>
      </c>
      <c r="Q113" s="3">
        <v>14175</v>
      </c>
      <c r="R113">
        <v>14175</v>
      </c>
    </row>
    <row r="114" spans="1:21">
      <c r="A114" s="95">
        <v>20101004</v>
      </c>
      <c r="B114" s="179">
        <v>195</v>
      </c>
      <c r="C114" s="221" t="s">
        <v>1764</v>
      </c>
      <c r="D114" s="179">
        <v>8</v>
      </c>
      <c r="E114" s="221" t="s">
        <v>1819</v>
      </c>
      <c r="F114" s="179" t="s">
        <v>1818</v>
      </c>
      <c r="G114" s="179">
        <v>14175</v>
      </c>
      <c r="J114" s="179">
        <v>14175</v>
      </c>
      <c r="K114" s="179">
        <v>14175</v>
      </c>
      <c r="N114" s="179">
        <f t="shared" si="1"/>
        <v>0</v>
      </c>
      <c r="O114" s="179" t="s">
        <v>490</v>
      </c>
      <c r="P114" s="179" t="s">
        <v>491</v>
      </c>
      <c r="Q114" s="3">
        <v>14175</v>
      </c>
      <c r="R114">
        <v>14175</v>
      </c>
    </row>
    <row r="115" spans="1:21">
      <c r="A115" s="95">
        <v>20101018</v>
      </c>
      <c r="B115" s="179">
        <v>197</v>
      </c>
      <c r="C115" s="221" t="s">
        <v>1270</v>
      </c>
      <c r="D115" s="179">
        <v>2</v>
      </c>
      <c r="E115" s="221" t="s">
        <v>2713</v>
      </c>
      <c r="F115" s="179" t="s">
        <v>2712</v>
      </c>
      <c r="G115" s="179">
        <v>20475</v>
      </c>
      <c r="J115" s="179">
        <v>20475</v>
      </c>
      <c r="K115" s="179">
        <v>20475</v>
      </c>
      <c r="N115" s="179">
        <f t="shared" si="1"/>
        <v>0</v>
      </c>
      <c r="O115" s="179" t="s">
        <v>419</v>
      </c>
      <c r="P115" s="179" t="s">
        <v>572</v>
      </c>
    </row>
    <row r="116" spans="1:21">
      <c r="A116" s="95">
        <v>20101018</v>
      </c>
      <c r="B116" s="179">
        <v>198</v>
      </c>
      <c r="C116" s="221" t="s">
        <v>1270</v>
      </c>
      <c r="D116" s="179">
        <v>3</v>
      </c>
      <c r="E116" s="221" t="s">
        <v>3884</v>
      </c>
      <c r="F116" s="179" t="s">
        <v>3883</v>
      </c>
      <c r="G116" s="179">
        <v>20475</v>
      </c>
      <c r="J116" s="179">
        <v>20475</v>
      </c>
      <c r="K116" s="179">
        <v>20475</v>
      </c>
      <c r="N116" s="179">
        <f t="shared" si="1"/>
        <v>0</v>
      </c>
      <c r="O116" s="179" t="s">
        <v>2751</v>
      </c>
      <c r="P116" s="179" t="s">
        <v>2752</v>
      </c>
    </row>
    <row r="117" spans="1:21">
      <c r="A117" s="95">
        <v>20101018</v>
      </c>
      <c r="B117" s="179">
        <v>199</v>
      </c>
      <c r="C117" s="221" t="s">
        <v>1270</v>
      </c>
      <c r="D117" s="179">
        <v>4</v>
      </c>
      <c r="E117" s="221" t="s">
        <v>1897</v>
      </c>
      <c r="F117" s="179" t="s">
        <v>1896</v>
      </c>
      <c r="G117" s="179">
        <v>20475</v>
      </c>
      <c r="J117" s="179">
        <v>20475</v>
      </c>
      <c r="K117" s="179">
        <v>20475</v>
      </c>
      <c r="N117" s="179">
        <f t="shared" si="1"/>
        <v>0</v>
      </c>
      <c r="O117" s="179" t="s">
        <v>2746</v>
      </c>
      <c r="P117" s="179" t="s">
        <v>2747</v>
      </c>
    </row>
    <row r="118" spans="1:21">
      <c r="A118" s="95">
        <v>20101111</v>
      </c>
      <c r="B118" s="179">
        <v>203</v>
      </c>
      <c r="C118" s="221" t="s">
        <v>2423</v>
      </c>
      <c r="D118" s="179">
        <v>2</v>
      </c>
      <c r="E118" s="221" t="s">
        <v>2734</v>
      </c>
      <c r="F118" s="179" t="s">
        <v>2732</v>
      </c>
      <c r="G118" s="179">
        <v>14175</v>
      </c>
      <c r="J118" s="179">
        <v>14175</v>
      </c>
      <c r="K118" s="179">
        <v>14175</v>
      </c>
      <c r="N118" s="179">
        <f t="shared" si="1"/>
        <v>0</v>
      </c>
      <c r="O118" s="179" t="s">
        <v>569</v>
      </c>
      <c r="P118" s="179" t="s">
        <v>570</v>
      </c>
    </row>
    <row r="119" spans="1:21">
      <c r="A119" s="95">
        <v>20101111</v>
      </c>
      <c r="B119" s="179">
        <v>204</v>
      </c>
      <c r="C119" s="221" t="s">
        <v>2423</v>
      </c>
      <c r="D119" s="179">
        <v>3</v>
      </c>
      <c r="E119" s="221" t="s">
        <v>2404</v>
      </c>
      <c r="F119" s="179" t="s">
        <v>2402</v>
      </c>
      <c r="G119" s="179">
        <v>14175</v>
      </c>
      <c r="J119" s="179">
        <v>14175</v>
      </c>
      <c r="K119" s="179">
        <v>14175</v>
      </c>
      <c r="N119" s="179">
        <f t="shared" si="1"/>
        <v>0</v>
      </c>
      <c r="O119" s="179" t="s">
        <v>571</v>
      </c>
      <c r="P119" s="179" t="s">
        <v>421</v>
      </c>
    </row>
    <row r="120" spans="1:21">
      <c r="A120" s="95">
        <v>20101111</v>
      </c>
      <c r="B120" s="179">
        <v>205</v>
      </c>
      <c r="C120" s="221" t="s">
        <v>2423</v>
      </c>
      <c r="D120" s="179">
        <v>4</v>
      </c>
      <c r="E120" s="221" t="s">
        <v>1617</v>
      </c>
      <c r="F120" s="179" t="s">
        <v>1615</v>
      </c>
      <c r="G120" s="179">
        <v>14175</v>
      </c>
      <c r="J120" s="179">
        <v>14175</v>
      </c>
      <c r="K120" s="179">
        <v>14175</v>
      </c>
      <c r="N120" s="179">
        <f t="shared" si="1"/>
        <v>0</v>
      </c>
      <c r="O120" s="179" t="s">
        <v>2758</v>
      </c>
      <c r="P120" s="179" t="s">
        <v>2759</v>
      </c>
    </row>
    <row r="121" spans="1:21" s="114" customFormat="1">
      <c r="A121" s="114">
        <v>20101111</v>
      </c>
      <c r="B121" s="211">
        <v>206</v>
      </c>
      <c r="C121" s="222" t="s">
        <v>2423</v>
      </c>
      <c r="D121" s="211">
        <v>5</v>
      </c>
      <c r="E121" s="222" t="s">
        <v>2570</v>
      </c>
      <c r="F121" s="211" t="s">
        <v>2568</v>
      </c>
      <c r="G121" s="211">
        <v>14175</v>
      </c>
      <c r="H121" s="211"/>
      <c r="I121" s="211"/>
      <c r="J121" s="211">
        <v>14175</v>
      </c>
      <c r="K121" s="211">
        <v>14175</v>
      </c>
      <c r="L121" s="211"/>
      <c r="M121" s="211"/>
      <c r="N121" s="211">
        <f t="shared" si="1"/>
        <v>0</v>
      </c>
      <c r="O121" s="211" t="s">
        <v>486</v>
      </c>
      <c r="P121" s="211" t="s">
        <v>486</v>
      </c>
      <c r="Q121" s="114">
        <v>14175</v>
      </c>
      <c r="R121" s="114">
        <v>14175</v>
      </c>
      <c r="T121" s="211"/>
      <c r="U121" s="222" t="s">
        <v>254</v>
      </c>
    </row>
    <row r="122" spans="1:21">
      <c r="A122" s="95">
        <v>20101111</v>
      </c>
      <c r="B122" s="179">
        <v>207</v>
      </c>
      <c r="C122" s="221" t="s">
        <v>2423</v>
      </c>
      <c r="D122" s="179">
        <v>6</v>
      </c>
      <c r="E122" s="221" t="s">
        <v>1795</v>
      </c>
      <c r="F122" s="179" t="s">
        <v>1794</v>
      </c>
      <c r="G122" s="179">
        <v>14175</v>
      </c>
      <c r="J122" s="179">
        <v>14175</v>
      </c>
      <c r="K122" s="179">
        <v>14175</v>
      </c>
      <c r="N122" s="179">
        <f t="shared" si="1"/>
        <v>0</v>
      </c>
      <c r="O122" s="179" t="s">
        <v>818</v>
      </c>
      <c r="P122" s="179" t="s">
        <v>487</v>
      </c>
      <c r="Q122" s="3">
        <v>14175</v>
      </c>
      <c r="R122">
        <v>14175</v>
      </c>
    </row>
    <row r="123" spans="1:21">
      <c r="A123" s="95">
        <v>20101111</v>
      </c>
      <c r="B123" s="179">
        <v>208</v>
      </c>
      <c r="C123" s="221" t="s">
        <v>2423</v>
      </c>
      <c r="D123" s="179">
        <v>7</v>
      </c>
      <c r="E123" s="221" t="s">
        <v>1815</v>
      </c>
      <c r="F123" s="179" t="s">
        <v>1814</v>
      </c>
      <c r="G123" s="179">
        <v>14175</v>
      </c>
      <c r="J123" s="179">
        <v>14175</v>
      </c>
      <c r="K123" s="179">
        <v>14175</v>
      </c>
      <c r="N123" s="179">
        <f t="shared" si="1"/>
        <v>0</v>
      </c>
      <c r="O123" s="179" t="s">
        <v>488</v>
      </c>
      <c r="P123" s="179" t="s">
        <v>489</v>
      </c>
      <c r="Q123" s="3">
        <v>14175</v>
      </c>
      <c r="R123">
        <v>14175</v>
      </c>
    </row>
    <row r="124" spans="1:21">
      <c r="A124" s="95">
        <v>20101111</v>
      </c>
      <c r="B124" s="179">
        <v>209</v>
      </c>
      <c r="C124" s="221" t="s">
        <v>2423</v>
      </c>
      <c r="D124" s="179">
        <v>8</v>
      </c>
      <c r="E124" s="221" t="s">
        <v>1382</v>
      </c>
      <c r="F124" s="179" t="s">
        <v>1381</v>
      </c>
      <c r="G124" s="179">
        <v>14175</v>
      </c>
      <c r="J124" s="179">
        <v>14175</v>
      </c>
      <c r="K124" s="179">
        <v>14175</v>
      </c>
      <c r="N124" s="179">
        <f t="shared" si="1"/>
        <v>0</v>
      </c>
      <c r="O124" s="179" t="s">
        <v>1461</v>
      </c>
      <c r="P124" s="179" t="s">
        <v>492</v>
      </c>
      <c r="Q124" s="3">
        <v>14175</v>
      </c>
      <c r="R124">
        <v>14175</v>
      </c>
    </row>
    <row r="125" spans="1:21">
      <c r="A125" s="95">
        <v>20101122</v>
      </c>
      <c r="B125" s="179">
        <v>211</v>
      </c>
      <c r="C125" s="221" t="s">
        <v>2691</v>
      </c>
      <c r="D125" s="179">
        <v>2</v>
      </c>
      <c r="E125" s="221" t="s">
        <v>2722</v>
      </c>
      <c r="F125" s="179" t="s">
        <v>2721</v>
      </c>
      <c r="G125" s="179">
        <v>14175</v>
      </c>
      <c r="J125" s="179">
        <v>14175</v>
      </c>
      <c r="K125" s="179">
        <v>14175</v>
      </c>
      <c r="N125" s="179">
        <f t="shared" si="1"/>
        <v>0</v>
      </c>
      <c r="O125" s="179" t="s">
        <v>2756</v>
      </c>
      <c r="P125" s="179" t="s">
        <v>2757</v>
      </c>
    </row>
    <row r="126" spans="1:21">
      <c r="A126" s="95">
        <v>20101122</v>
      </c>
      <c r="B126" s="179">
        <v>212</v>
      </c>
      <c r="C126" s="221" t="s">
        <v>2691</v>
      </c>
      <c r="D126" s="179">
        <v>3</v>
      </c>
      <c r="E126" s="221" t="s">
        <v>2393</v>
      </c>
      <c r="F126" s="179" t="s">
        <v>2392</v>
      </c>
      <c r="G126" s="179">
        <v>14175</v>
      </c>
      <c r="J126" s="179">
        <v>14175</v>
      </c>
      <c r="K126" s="179">
        <v>14175</v>
      </c>
      <c r="N126" s="179">
        <f t="shared" si="1"/>
        <v>0</v>
      </c>
      <c r="O126" s="179" t="s">
        <v>2751</v>
      </c>
      <c r="P126" s="179" t="s">
        <v>2752</v>
      </c>
    </row>
    <row r="127" spans="1:21">
      <c r="A127" s="95">
        <v>20101122</v>
      </c>
      <c r="B127" s="179">
        <v>213</v>
      </c>
      <c r="C127" s="221" t="s">
        <v>2691</v>
      </c>
      <c r="D127" s="179">
        <v>4</v>
      </c>
      <c r="E127" s="221" t="s">
        <v>1906</v>
      </c>
      <c r="F127" s="179" t="s">
        <v>1905</v>
      </c>
      <c r="G127" s="179">
        <v>14175</v>
      </c>
      <c r="J127" s="179">
        <v>14175</v>
      </c>
      <c r="K127" s="179">
        <v>14175</v>
      </c>
      <c r="N127" s="179">
        <f t="shared" si="1"/>
        <v>0</v>
      </c>
      <c r="O127" s="179" t="s">
        <v>2746</v>
      </c>
      <c r="P127" s="179" t="s">
        <v>2747</v>
      </c>
    </row>
    <row r="128" spans="1:21">
      <c r="A128" s="95">
        <v>20101122</v>
      </c>
      <c r="B128" s="179">
        <v>214</v>
      </c>
      <c r="C128" s="221" t="s">
        <v>2691</v>
      </c>
      <c r="D128" s="179">
        <v>5</v>
      </c>
      <c r="E128" s="221" t="s">
        <v>2559</v>
      </c>
      <c r="F128" s="179" t="s">
        <v>2558</v>
      </c>
      <c r="G128" s="179">
        <v>14175</v>
      </c>
      <c r="J128" s="179">
        <v>14175</v>
      </c>
      <c r="K128" s="179">
        <v>14175</v>
      </c>
      <c r="N128" s="179">
        <f t="shared" si="1"/>
        <v>0</v>
      </c>
      <c r="O128" s="179" t="s">
        <v>415</v>
      </c>
      <c r="P128" s="179" t="s">
        <v>2563</v>
      </c>
    </row>
    <row r="129" spans="1:21">
      <c r="A129" s="95">
        <v>20101122</v>
      </c>
      <c r="B129" s="179">
        <v>215</v>
      </c>
      <c r="C129" s="221" t="s">
        <v>2691</v>
      </c>
      <c r="D129" s="179">
        <v>6</v>
      </c>
      <c r="E129" s="221" t="s">
        <v>1783</v>
      </c>
      <c r="F129" s="179" t="s">
        <v>1782</v>
      </c>
      <c r="G129" s="179">
        <v>14175</v>
      </c>
      <c r="J129" s="179">
        <v>14175</v>
      </c>
      <c r="K129" s="179">
        <v>14175</v>
      </c>
      <c r="N129" s="179">
        <f t="shared" si="1"/>
        <v>0</v>
      </c>
      <c r="O129" s="179" t="s">
        <v>2768</v>
      </c>
      <c r="P129" s="179" t="s">
        <v>815</v>
      </c>
      <c r="Q129" s="3">
        <v>14175</v>
      </c>
      <c r="R129">
        <v>14175</v>
      </c>
    </row>
    <row r="130" spans="1:21">
      <c r="A130" s="95">
        <v>20101122</v>
      </c>
      <c r="B130" s="179">
        <v>216</v>
      </c>
      <c r="C130" s="221" t="s">
        <v>2691</v>
      </c>
      <c r="D130" s="179">
        <v>7</v>
      </c>
      <c r="E130" s="221" t="s">
        <v>1807</v>
      </c>
      <c r="F130" s="179" t="s">
        <v>1806</v>
      </c>
      <c r="G130" s="179">
        <v>14175</v>
      </c>
      <c r="J130" s="179">
        <v>14175</v>
      </c>
      <c r="K130" s="179">
        <v>14175</v>
      </c>
      <c r="N130" s="179">
        <f t="shared" si="1"/>
        <v>0</v>
      </c>
      <c r="O130" s="179" t="s">
        <v>488</v>
      </c>
      <c r="P130" s="179" t="s">
        <v>489</v>
      </c>
      <c r="Q130" s="3">
        <v>14175</v>
      </c>
      <c r="R130">
        <v>14175</v>
      </c>
    </row>
    <row r="131" spans="1:21">
      <c r="A131" s="95">
        <v>20101122</v>
      </c>
      <c r="B131" s="179">
        <v>217</v>
      </c>
      <c r="C131" s="221" t="s">
        <v>2691</v>
      </c>
      <c r="D131" s="179">
        <v>8</v>
      </c>
      <c r="E131" s="221" t="s">
        <v>1380</v>
      </c>
      <c r="F131" s="179" t="s">
        <v>1379</v>
      </c>
      <c r="G131" s="179">
        <v>14175</v>
      </c>
      <c r="J131" s="179">
        <v>14175</v>
      </c>
      <c r="K131" s="179">
        <v>14175</v>
      </c>
      <c r="N131" s="179">
        <f t="shared" si="1"/>
        <v>0</v>
      </c>
      <c r="O131" s="179" t="s">
        <v>493</v>
      </c>
      <c r="P131" s="179" t="s">
        <v>911</v>
      </c>
      <c r="Q131" s="3">
        <v>14175</v>
      </c>
      <c r="R131">
        <v>14175</v>
      </c>
    </row>
    <row r="132" spans="1:21">
      <c r="A132" s="95">
        <v>20101129</v>
      </c>
      <c r="B132" s="179">
        <v>218</v>
      </c>
      <c r="C132" s="221" t="s">
        <v>1699</v>
      </c>
      <c r="D132" s="179">
        <v>1</v>
      </c>
      <c r="E132" s="221" t="s">
        <v>2695</v>
      </c>
      <c r="F132" s="179" t="s">
        <v>2694</v>
      </c>
      <c r="G132" s="179">
        <v>13500</v>
      </c>
      <c r="J132" s="179">
        <v>13500</v>
      </c>
      <c r="K132" s="179">
        <v>13500</v>
      </c>
      <c r="N132" s="179">
        <f t="shared" si="1"/>
        <v>0</v>
      </c>
      <c r="O132" s="179" t="s">
        <v>567</v>
      </c>
      <c r="P132" s="179" t="s">
        <v>568</v>
      </c>
    </row>
    <row r="133" spans="1:21">
      <c r="A133" s="95">
        <v>20101217</v>
      </c>
      <c r="B133" s="179">
        <v>221</v>
      </c>
      <c r="C133" s="221" t="s">
        <v>1306</v>
      </c>
      <c r="D133" s="179">
        <v>1</v>
      </c>
      <c r="E133" s="221" t="s">
        <v>2718</v>
      </c>
      <c r="F133" s="179" t="s">
        <v>561</v>
      </c>
      <c r="G133" s="179">
        <v>14175</v>
      </c>
      <c r="J133" s="179">
        <v>14175</v>
      </c>
      <c r="K133" s="179">
        <v>14175</v>
      </c>
      <c r="N133" s="179">
        <f t="shared" si="1"/>
        <v>0</v>
      </c>
      <c r="O133" s="179" t="s">
        <v>2756</v>
      </c>
      <c r="P133" s="179" t="s">
        <v>2757</v>
      </c>
    </row>
    <row r="134" spans="1:21">
      <c r="A134" s="95">
        <v>20101217</v>
      </c>
      <c r="B134" s="179">
        <v>222</v>
      </c>
      <c r="C134" s="221" t="s">
        <v>1306</v>
      </c>
      <c r="D134" s="179">
        <v>2</v>
      </c>
      <c r="E134" s="221" t="s">
        <v>2389</v>
      </c>
      <c r="F134" s="179" t="s">
        <v>562</v>
      </c>
      <c r="G134" s="179">
        <v>14175</v>
      </c>
      <c r="J134" s="179">
        <v>14175</v>
      </c>
      <c r="K134" s="179">
        <v>14175</v>
      </c>
      <c r="N134" s="179">
        <f t="shared" si="1"/>
        <v>0</v>
      </c>
      <c r="O134" s="179" t="s">
        <v>2751</v>
      </c>
      <c r="P134" s="179" t="s">
        <v>2752</v>
      </c>
    </row>
    <row r="135" spans="1:21">
      <c r="A135" s="95">
        <v>20101217</v>
      </c>
      <c r="B135" s="179">
        <v>223</v>
      </c>
      <c r="C135" s="221" t="s">
        <v>1306</v>
      </c>
      <c r="D135" s="179">
        <v>3</v>
      </c>
      <c r="E135" s="221" t="s">
        <v>1902</v>
      </c>
      <c r="F135" s="179" t="s">
        <v>563</v>
      </c>
      <c r="G135" s="179">
        <v>14175</v>
      </c>
      <c r="J135" s="179">
        <v>14175</v>
      </c>
      <c r="K135" s="179">
        <v>14175</v>
      </c>
      <c r="N135" s="179">
        <f t="shared" si="1"/>
        <v>0</v>
      </c>
      <c r="O135" s="179" t="s">
        <v>2746</v>
      </c>
      <c r="P135" s="179" t="s">
        <v>2747</v>
      </c>
    </row>
    <row r="136" spans="1:21">
      <c r="A136" s="95">
        <v>20101217</v>
      </c>
      <c r="B136" s="179">
        <v>224</v>
      </c>
      <c r="C136" s="221" t="s">
        <v>1306</v>
      </c>
      <c r="D136" s="179">
        <v>4</v>
      </c>
      <c r="E136" s="221" t="s">
        <v>2657</v>
      </c>
      <c r="F136" s="179" t="s">
        <v>2656</v>
      </c>
      <c r="G136" s="179">
        <v>14175</v>
      </c>
      <c r="J136" s="179">
        <v>14175</v>
      </c>
      <c r="K136" s="179">
        <v>14175</v>
      </c>
      <c r="N136" s="179">
        <f t="shared" si="1"/>
        <v>0</v>
      </c>
      <c r="O136" s="179" t="s">
        <v>415</v>
      </c>
      <c r="P136" s="179" t="s">
        <v>2563</v>
      </c>
    </row>
    <row r="137" spans="1:21">
      <c r="A137" s="95">
        <v>20101217</v>
      </c>
      <c r="B137" s="179">
        <v>225</v>
      </c>
      <c r="C137" s="221" t="s">
        <v>1306</v>
      </c>
      <c r="D137" s="179">
        <v>5</v>
      </c>
      <c r="E137" s="221" t="s">
        <v>1778</v>
      </c>
      <c r="F137" s="179" t="s">
        <v>564</v>
      </c>
      <c r="G137" s="179">
        <v>14175</v>
      </c>
      <c r="J137" s="179">
        <v>14175</v>
      </c>
      <c r="K137" s="179">
        <v>14175</v>
      </c>
      <c r="N137" s="179">
        <f t="shared" si="1"/>
        <v>0</v>
      </c>
      <c r="O137" s="179" t="s">
        <v>2768</v>
      </c>
      <c r="P137" s="179" t="s">
        <v>815</v>
      </c>
      <c r="Q137" s="3">
        <v>14175</v>
      </c>
      <c r="R137">
        <v>14175</v>
      </c>
    </row>
    <row r="138" spans="1:21">
      <c r="A138" s="95">
        <v>20101217</v>
      </c>
      <c r="B138" s="179">
        <v>226</v>
      </c>
      <c r="C138" s="221" t="s">
        <v>1306</v>
      </c>
      <c r="D138" s="179">
        <v>6</v>
      </c>
      <c r="E138" s="221" t="s">
        <v>1805</v>
      </c>
      <c r="F138" s="179" t="s">
        <v>565</v>
      </c>
      <c r="G138" s="179">
        <v>14175</v>
      </c>
      <c r="J138" s="179">
        <v>14175</v>
      </c>
      <c r="K138" s="179">
        <v>14175</v>
      </c>
      <c r="N138" s="179">
        <f t="shared" si="1"/>
        <v>0</v>
      </c>
      <c r="O138" s="179" t="s">
        <v>488</v>
      </c>
      <c r="P138" s="179" t="s">
        <v>489</v>
      </c>
      <c r="Q138" s="3">
        <v>14175</v>
      </c>
      <c r="R138">
        <v>14175</v>
      </c>
    </row>
    <row r="139" spans="1:21">
      <c r="A139" s="95">
        <v>20101217</v>
      </c>
      <c r="B139" s="179">
        <v>227</v>
      </c>
      <c r="C139" s="221" t="s">
        <v>1306</v>
      </c>
      <c r="D139" s="179">
        <v>7</v>
      </c>
      <c r="E139" s="221" t="s">
        <v>1820</v>
      </c>
      <c r="F139" s="179" t="s">
        <v>566</v>
      </c>
      <c r="G139" s="179">
        <v>14175</v>
      </c>
      <c r="J139" s="179">
        <v>14175</v>
      </c>
      <c r="K139" s="179">
        <v>14175</v>
      </c>
      <c r="N139" s="179">
        <f>G139-J139</f>
        <v>0</v>
      </c>
      <c r="O139" s="179" t="s">
        <v>493</v>
      </c>
      <c r="P139" s="179" t="s">
        <v>911</v>
      </c>
      <c r="Q139" s="3">
        <v>14175</v>
      </c>
      <c r="R139">
        <v>14175</v>
      </c>
    </row>
    <row r="140" spans="1:21">
      <c r="A140" s="95">
        <v>20101217</v>
      </c>
      <c r="B140" s="179">
        <v>228</v>
      </c>
      <c r="C140" s="221" t="s">
        <v>1306</v>
      </c>
      <c r="D140" s="179">
        <v>8</v>
      </c>
      <c r="E140" s="221" t="s">
        <v>1384</v>
      </c>
      <c r="F140" s="179" t="s">
        <v>1383</v>
      </c>
      <c r="G140" s="179">
        <v>14175</v>
      </c>
      <c r="J140" s="179">
        <v>14175</v>
      </c>
      <c r="K140" s="179">
        <v>14175</v>
      </c>
      <c r="N140" s="179">
        <f>G140-J140</f>
        <v>0</v>
      </c>
      <c r="O140" s="179" t="s">
        <v>458</v>
      </c>
      <c r="P140" s="179" t="s">
        <v>2035</v>
      </c>
      <c r="Q140" s="3">
        <v>14175</v>
      </c>
      <c r="R140">
        <v>14175</v>
      </c>
    </row>
    <row r="141" spans="1:21" s="176" customFormat="1" ht="20.25" customHeight="1">
      <c r="A141" s="203" t="s">
        <v>2531</v>
      </c>
      <c r="B141" s="200"/>
      <c r="C141" s="201"/>
      <c r="D141" s="202"/>
      <c r="E141" s="201"/>
      <c r="F141" s="185" t="s">
        <v>2378</v>
      </c>
      <c r="G141" s="185">
        <f>SUM(G143:G279)</f>
        <v>1643040</v>
      </c>
      <c r="H141" s="185"/>
      <c r="I141" s="185"/>
      <c r="J141" s="185">
        <f>SUM(J143:J279)</f>
        <v>1643040</v>
      </c>
      <c r="K141" s="185">
        <f>SUM(K143:K279)</f>
        <v>1643040</v>
      </c>
      <c r="L141" s="185"/>
      <c r="M141" s="185"/>
      <c r="N141" s="185">
        <f>SUM(N143:N279)</f>
        <v>0</v>
      </c>
      <c r="O141" s="185"/>
      <c r="P141" s="185"/>
      <c r="Q141" s="185">
        <f>SUM(Q143:Q279)</f>
        <v>1286910</v>
      </c>
      <c r="R141" s="185">
        <f>SUM(R143:R279)</f>
        <v>1241205</v>
      </c>
      <c r="S141" s="185"/>
      <c r="T141" s="185">
        <f>SUM(T143:T279)</f>
        <v>345</v>
      </c>
    </row>
    <row r="142" spans="1:21" s="180" customFormat="1">
      <c r="A142" s="181" t="s">
        <v>1281</v>
      </c>
      <c r="B142" s="181" t="s">
        <v>2435</v>
      </c>
      <c r="C142" s="181" t="s">
        <v>1385</v>
      </c>
      <c r="D142" s="181" t="s">
        <v>1275</v>
      </c>
      <c r="E142" s="181" t="s">
        <v>265</v>
      </c>
      <c r="F142" s="181" t="s">
        <v>1280</v>
      </c>
      <c r="G142" s="181" t="s">
        <v>2434</v>
      </c>
      <c r="H142" s="181"/>
      <c r="I142" s="181"/>
      <c r="J142" s="181" t="s">
        <v>1892</v>
      </c>
      <c r="K142" s="181" t="s">
        <v>1892</v>
      </c>
      <c r="L142" s="181"/>
      <c r="M142" s="181"/>
      <c r="N142" s="181" t="s">
        <v>2438</v>
      </c>
      <c r="O142" s="181" t="s">
        <v>1282</v>
      </c>
      <c r="P142" s="181" t="s">
        <v>1386</v>
      </c>
      <c r="Q142" s="181" t="s">
        <v>576</v>
      </c>
      <c r="R142" s="181" t="s">
        <v>3593</v>
      </c>
      <c r="S142" s="181"/>
      <c r="T142" s="181" t="s">
        <v>577</v>
      </c>
    </row>
    <row r="143" spans="1:21" s="8" customFormat="1">
      <c r="A143" s="208" t="s">
        <v>1858</v>
      </c>
      <c r="B143" s="208">
        <v>300</v>
      </c>
      <c r="C143" s="207" t="s">
        <v>255</v>
      </c>
      <c r="D143" s="207">
        <v>1</v>
      </c>
      <c r="E143" s="207" t="s">
        <v>1859</v>
      </c>
      <c r="F143" s="207" t="s">
        <v>1860</v>
      </c>
      <c r="G143" s="208">
        <v>11340</v>
      </c>
      <c r="H143" s="208"/>
      <c r="I143" s="208"/>
      <c r="J143" s="208">
        <v>11340</v>
      </c>
      <c r="K143" s="208">
        <v>11340</v>
      </c>
      <c r="L143" s="208"/>
      <c r="M143" s="208"/>
      <c r="N143" s="208">
        <f t="shared" ref="N143:N206" si="2">G143-J143</f>
        <v>0</v>
      </c>
      <c r="O143" s="207" t="s">
        <v>567</v>
      </c>
      <c r="P143" s="207" t="s">
        <v>568</v>
      </c>
      <c r="Q143" s="184"/>
      <c r="T143" s="184"/>
      <c r="U143" s="8" t="s">
        <v>1910</v>
      </c>
    </row>
    <row r="144" spans="1:21" s="8" customFormat="1">
      <c r="A144" s="208" t="s">
        <v>1858</v>
      </c>
      <c r="B144" s="208">
        <v>301</v>
      </c>
      <c r="C144" s="207" t="s">
        <v>255</v>
      </c>
      <c r="D144" s="207">
        <v>2</v>
      </c>
      <c r="E144" s="207" t="s">
        <v>1861</v>
      </c>
      <c r="F144" s="207" t="s">
        <v>573</v>
      </c>
      <c r="G144" s="208">
        <v>11340</v>
      </c>
      <c r="H144" s="208"/>
      <c r="I144" s="208"/>
      <c r="J144" s="208">
        <v>11340</v>
      </c>
      <c r="K144" s="208">
        <v>11340</v>
      </c>
      <c r="L144" s="208"/>
      <c r="M144" s="208"/>
      <c r="N144" s="208">
        <f t="shared" si="2"/>
        <v>0</v>
      </c>
      <c r="O144" s="207" t="s">
        <v>573</v>
      </c>
      <c r="P144" s="207" t="s">
        <v>2761</v>
      </c>
      <c r="Q144" s="184"/>
      <c r="T144" s="184"/>
      <c r="U144" s="8" t="s">
        <v>1910</v>
      </c>
    </row>
    <row r="145" spans="1:21" s="8" customFormat="1">
      <c r="A145" s="208" t="s">
        <v>1858</v>
      </c>
      <c r="B145" s="208">
        <v>302</v>
      </c>
      <c r="C145" s="207" t="s">
        <v>255</v>
      </c>
      <c r="D145" s="207">
        <v>3</v>
      </c>
      <c r="E145" s="207" t="s">
        <v>1862</v>
      </c>
      <c r="F145" s="207" t="s">
        <v>1863</v>
      </c>
      <c r="G145" s="208">
        <v>11340</v>
      </c>
      <c r="H145" s="208"/>
      <c r="I145" s="208"/>
      <c r="J145" s="208">
        <v>11340</v>
      </c>
      <c r="K145" s="208">
        <v>11340</v>
      </c>
      <c r="L145" s="208"/>
      <c r="M145" s="208"/>
      <c r="N145" s="208">
        <f t="shared" si="2"/>
        <v>0</v>
      </c>
      <c r="O145" s="207" t="s">
        <v>2753</v>
      </c>
      <c r="P145" s="207" t="s">
        <v>2754</v>
      </c>
      <c r="Q145" s="184"/>
      <c r="T145" s="184"/>
      <c r="U145" s="8" t="s">
        <v>1910</v>
      </c>
    </row>
    <row r="146" spans="1:21" s="8" customFormat="1">
      <c r="A146" s="208" t="s">
        <v>1858</v>
      </c>
      <c r="B146" s="208">
        <v>303</v>
      </c>
      <c r="C146" s="207" t="s">
        <v>255</v>
      </c>
      <c r="D146" s="207">
        <v>4</v>
      </c>
      <c r="E146" s="207" t="s">
        <v>1864</v>
      </c>
      <c r="F146" s="207" t="s">
        <v>1865</v>
      </c>
      <c r="G146" s="208">
        <v>11340</v>
      </c>
      <c r="H146" s="208"/>
      <c r="I146" s="208"/>
      <c r="J146" s="208">
        <v>11340</v>
      </c>
      <c r="K146" s="208">
        <v>11340</v>
      </c>
      <c r="L146" s="208"/>
      <c r="M146" s="208"/>
      <c r="N146" s="208">
        <f t="shared" si="2"/>
        <v>0</v>
      </c>
      <c r="O146" s="207" t="s">
        <v>574</v>
      </c>
      <c r="P146" s="207" t="s">
        <v>575</v>
      </c>
      <c r="Q146" s="184"/>
      <c r="T146" s="184"/>
      <c r="U146" s="8" t="s">
        <v>1910</v>
      </c>
    </row>
    <row r="147" spans="1:21" s="8" customFormat="1">
      <c r="A147" s="208" t="s">
        <v>1858</v>
      </c>
      <c r="B147" s="208">
        <v>304</v>
      </c>
      <c r="C147" s="207" t="s">
        <v>255</v>
      </c>
      <c r="D147" s="207">
        <v>5</v>
      </c>
      <c r="E147" s="207" t="s">
        <v>1866</v>
      </c>
      <c r="F147" s="207" t="s">
        <v>1867</v>
      </c>
      <c r="G147" s="208">
        <v>11340</v>
      </c>
      <c r="H147" s="208"/>
      <c r="I147" s="208"/>
      <c r="J147" s="208">
        <v>11340</v>
      </c>
      <c r="K147" s="208">
        <v>11340</v>
      </c>
      <c r="L147" s="208"/>
      <c r="M147" s="208"/>
      <c r="N147" s="208">
        <f t="shared" si="2"/>
        <v>0</v>
      </c>
      <c r="O147" s="207" t="s">
        <v>2662</v>
      </c>
      <c r="P147" s="207" t="s">
        <v>2767</v>
      </c>
      <c r="Q147" s="184">
        <v>11340</v>
      </c>
      <c r="R147" s="8">
        <v>11340</v>
      </c>
      <c r="T147" s="184"/>
      <c r="U147" s="8" t="s">
        <v>1910</v>
      </c>
    </row>
    <row r="148" spans="1:21" s="8" customFormat="1">
      <c r="A148" s="208" t="s">
        <v>1858</v>
      </c>
      <c r="B148" s="208">
        <v>305</v>
      </c>
      <c r="C148" s="207" t="s">
        <v>255</v>
      </c>
      <c r="D148" s="207">
        <v>6</v>
      </c>
      <c r="E148" s="207" t="s">
        <v>1868</v>
      </c>
      <c r="F148" s="207" t="s">
        <v>1869</v>
      </c>
      <c r="G148" s="208">
        <v>11340</v>
      </c>
      <c r="H148" s="208"/>
      <c r="I148" s="208"/>
      <c r="J148" s="208">
        <v>11340</v>
      </c>
      <c r="K148" s="208">
        <v>11340</v>
      </c>
      <c r="L148" s="208"/>
      <c r="M148" s="208"/>
      <c r="N148" s="208">
        <f t="shared" si="2"/>
        <v>0</v>
      </c>
      <c r="O148" s="207" t="s">
        <v>818</v>
      </c>
      <c r="P148" s="207" t="s">
        <v>487</v>
      </c>
      <c r="Q148" s="184">
        <v>11340</v>
      </c>
      <c r="R148" s="8">
        <v>11340</v>
      </c>
      <c r="T148" s="184"/>
      <c r="U148" s="8" t="s">
        <v>1910</v>
      </c>
    </row>
    <row r="149" spans="1:21" s="8" customFormat="1">
      <c r="A149" s="208" t="s">
        <v>1858</v>
      </c>
      <c r="B149" s="208">
        <v>306</v>
      </c>
      <c r="C149" s="207" t="s">
        <v>255</v>
      </c>
      <c r="D149" s="207">
        <v>7</v>
      </c>
      <c r="E149" s="207" t="s">
        <v>1870</v>
      </c>
      <c r="F149" s="207" t="s">
        <v>1871</v>
      </c>
      <c r="G149" s="208">
        <v>11340</v>
      </c>
      <c r="H149" s="208"/>
      <c r="I149" s="208"/>
      <c r="J149" s="208">
        <v>11340</v>
      </c>
      <c r="K149" s="208">
        <v>11340</v>
      </c>
      <c r="L149" s="208"/>
      <c r="M149" s="208"/>
      <c r="N149" s="208">
        <f t="shared" si="2"/>
        <v>0</v>
      </c>
      <c r="O149" s="207" t="s">
        <v>490</v>
      </c>
      <c r="P149" s="207" t="s">
        <v>491</v>
      </c>
      <c r="Q149" s="184">
        <v>11340</v>
      </c>
      <c r="R149" s="8">
        <v>11340</v>
      </c>
      <c r="T149" s="184"/>
      <c r="U149" s="8" t="s">
        <v>1910</v>
      </c>
    </row>
    <row r="150" spans="1:21" s="8" customFormat="1">
      <c r="A150" s="208" t="s">
        <v>1858</v>
      </c>
      <c r="B150" s="208">
        <v>307</v>
      </c>
      <c r="C150" s="207" t="s">
        <v>255</v>
      </c>
      <c r="D150" s="207">
        <v>8</v>
      </c>
      <c r="E150" s="207" t="s">
        <v>1872</v>
      </c>
      <c r="F150" s="207" t="s">
        <v>1873</v>
      </c>
      <c r="G150" s="208">
        <v>11340</v>
      </c>
      <c r="H150" s="208"/>
      <c r="I150" s="208"/>
      <c r="J150" s="208">
        <v>11340</v>
      </c>
      <c r="K150" s="208">
        <v>11340</v>
      </c>
      <c r="L150" s="208"/>
      <c r="M150" s="208"/>
      <c r="N150" s="208">
        <f t="shared" si="2"/>
        <v>0</v>
      </c>
      <c r="O150" s="207" t="s">
        <v>1461</v>
      </c>
      <c r="P150" s="207" t="s">
        <v>492</v>
      </c>
      <c r="Q150" s="184">
        <v>11340</v>
      </c>
      <c r="R150" s="8">
        <v>11340</v>
      </c>
      <c r="T150" s="184"/>
      <c r="U150" s="8" t="s">
        <v>1910</v>
      </c>
    </row>
    <row r="151" spans="1:21">
      <c r="A151" s="209" t="s">
        <v>414</v>
      </c>
      <c r="B151" s="209">
        <v>308</v>
      </c>
      <c r="C151" s="204" t="s">
        <v>7</v>
      </c>
      <c r="D151" s="183">
        <v>1</v>
      </c>
      <c r="E151" s="183" t="s">
        <v>1874</v>
      </c>
      <c r="F151" s="183" t="s">
        <v>2743</v>
      </c>
      <c r="G151" s="209">
        <v>13230</v>
      </c>
      <c r="H151" s="209"/>
      <c r="I151" s="209"/>
      <c r="J151" s="209">
        <v>13230</v>
      </c>
      <c r="K151" s="209">
        <v>13230</v>
      </c>
      <c r="L151" s="209"/>
      <c r="M151" s="209"/>
      <c r="N151" s="209">
        <f t="shared" si="2"/>
        <v>0</v>
      </c>
      <c r="O151" s="183" t="s">
        <v>417</v>
      </c>
      <c r="P151" s="183" t="s">
        <v>2743</v>
      </c>
    </row>
    <row r="152" spans="1:21">
      <c r="A152" s="209" t="s">
        <v>414</v>
      </c>
      <c r="B152" s="209">
        <v>309</v>
      </c>
      <c r="C152" s="204" t="s">
        <v>7</v>
      </c>
      <c r="D152" s="183">
        <v>2</v>
      </c>
      <c r="E152" s="183" t="s">
        <v>1875</v>
      </c>
      <c r="F152" s="183" t="s">
        <v>2659</v>
      </c>
      <c r="G152" s="209">
        <v>13230</v>
      </c>
      <c r="H152" s="209"/>
      <c r="I152" s="209"/>
      <c r="J152" s="209">
        <v>13230</v>
      </c>
      <c r="K152" s="209">
        <v>13230</v>
      </c>
      <c r="L152" s="209"/>
      <c r="M152" s="209"/>
      <c r="N152" s="209">
        <f t="shared" si="2"/>
        <v>0</v>
      </c>
      <c r="O152" s="183" t="s">
        <v>2744</v>
      </c>
      <c r="P152" s="183" t="s">
        <v>2745</v>
      </c>
    </row>
    <row r="153" spans="1:21">
      <c r="A153" s="209" t="s">
        <v>414</v>
      </c>
      <c r="B153" s="209">
        <v>310</v>
      </c>
      <c r="C153" s="204" t="s">
        <v>7</v>
      </c>
      <c r="D153" s="183">
        <v>3</v>
      </c>
      <c r="E153" s="183" t="s">
        <v>1876</v>
      </c>
      <c r="F153" s="183" t="s">
        <v>2660</v>
      </c>
      <c r="G153" s="209">
        <v>13230</v>
      </c>
      <c r="H153" s="209"/>
      <c r="I153" s="209"/>
      <c r="J153" s="209">
        <v>13230</v>
      </c>
      <c r="K153" s="209">
        <v>13230</v>
      </c>
      <c r="L153" s="209"/>
      <c r="M153" s="209"/>
      <c r="N153" s="209">
        <f t="shared" si="2"/>
        <v>0</v>
      </c>
      <c r="O153" s="183" t="s">
        <v>2746</v>
      </c>
      <c r="P153" s="183" t="s">
        <v>2747</v>
      </c>
    </row>
    <row r="154" spans="1:21">
      <c r="A154" s="209" t="s">
        <v>414</v>
      </c>
      <c r="B154" s="209">
        <v>311</v>
      </c>
      <c r="C154" s="204" t="s">
        <v>7</v>
      </c>
      <c r="D154" s="183">
        <v>4</v>
      </c>
      <c r="E154" s="183" t="s">
        <v>1877</v>
      </c>
      <c r="F154" s="183" t="s">
        <v>2649</v>
      </c>
      <c r="G154" s="209">
        <v>13230</v>
      </c>
      <c r="H154" s="209"/>
      <c r="I154" s="209"/>
      <c r="J154" s="209">
        <v>13230</v>
      </c>
      <c r="K154" s="209">
        <v>13230</v>
      </c>
      <c r="L154" s="209"/>
      <c r="M154" s="209"/>
      <c r="N154" s="209">
        <f t="shared" si="2"/>
        <v>0</v>
      </c>
      <c r="O154" s="183" t="s">
        <v>415</v>
      </c>
      <c r="P154" s="183" t="s">
        <v>2563</v>
      </c>
    </row>
    <row r="155" spans="1:21">
      <c r="A155" s="209" t="s">
        <v>414</v>
      </c>
      <c r="B155" s="209">
        <v>312</v>
      </c>
      <c r="C155" s="204" t="s">
        <v>7</v>
      </c>
      <c r="D155" s="183">
        <v>5</v>
      </c>
      <c r="E155" s="183" t="s">
        <v>1878</v>
      </c>
      <c r="F155" s="183" t="s">
        <v>2661</v>
      </c>
      <c r="G155" s="209">
        <v>13230</v>
      </c>
      <c r="H155" s="209"/>
      <c r="I155" s="209"/>
      <c r="J155" s="209">
        <v>13230</v>
      </c>
      <c r="K155" s="209">
        <v>13230</v>
      </c>
      <c r="L155" s="209"/>
      <c r="M155" s="209"/>
      <c r="N155" s="209">
        <f t="shared" si="2"/>
        <v>0</v>
      </c>
      <c r="O155" s="183" t="s">
        <v>2662</v>
      </c>
      <c r="P155" s="183" t="s">
        <v>2767</v>
      </c>
      <c r="Q155" s="3">
        <v>13230</v>
      </c>
      <c r="R155">
        <v>13230</v>
      </c>
    </row>
    <row r="156" spans="1:21">
      <c r="A156" s="209" t="s">
        <v>414</v>
      </c>
      <c r="B156" s="209">
        <v>313</v>
      </c>
      <c r="C156" s="204" t="s">
        <v>7</v>
      </c>
      <c r="D156" s="183">
        <v>6</v>
      </c>
      <c r="E156" s="183" t="s">
        <v>1879</v>
      </c>
      <c r="F156" s="183" t="s">
        <v>2663</v>
      </c>
      <c r="G156" s="209">
        <v>13230</v>
      </c>
      <c r="H156" s="209"/>
      <c r="I156" s="209"/>
      <c r="J156" s="209">
        <v>13230</v>
      </c>
      <c r="K156" s="209">
        <v>13230</v>
      </c>
      <c r="L156" s="209"/>
      <c r="M156" s="209"/>
      <c r="N156" s="209">
        <f t="shared" si="2"/>
        <v>0</v>
      </c>
      <c r="O156" s="183" t="s">
        <v>494</v>
      </c>
      <c r="P156" s="183" t="s">
        <v>908</v>
      </c>
      <c r="Q156" s="3">
        <v>13230</v>
      </c>
      <c r="R156">
        <v>13230</v>
      </c>
    </row>
    <row r="157" spans="1:21">
      <c r="A157" s="209" t="s">
        <v>414</v>
      </c>
      <c r="B157" s="209">
        <v>314</v>
      </c>
      <c r="C157" s="204" t="s">
        <v>7</v>
      </c>
      <c r="D157" s="183">
        <v>7</v>
      </c>
      <c r="E157" s="183" t="s">
        <v>1880</v>
      </c>
      <c r="F157" s="183" t="s">
        <v>2664</v>
      </c>
      <c r="G157" s="209">
        <v>13230</v>
      </c>
      <c r="H157" s="209"/>
      <c r="I157" s="209"/>
      <c r="J157" s="209">
        <v>13230</v>
      </c>
      <c r="K157" s="209">
        <v>13230</v>
      </c>
      <c r="L157" s="209"/>
      <c r="M157" s="209"/>
      <c r="N157" s="209">
        <f t="shared" si="2"/>
        <v>0</v>
      </c>
      <c r="O157" s="183" t="s">
        <v>495</v>
      </c>
      <c r="P157" s="183" t="s">
        <v>1472</v>
      </c>
      <c r="Q157" s="3">
        <v>13230</v>
      </c>
      <c r="R157">
        <v>13230</v>
      </c>
    </row>
    <row r="158" spans="1:21">
      <c r="A158" s="209" t="s">
        <v>414</v>
      </c>
      <c r="B158" s="209">
        <v>315</v>
      </c>
      <c r="C158" s="204" t="s">
        <v>7</v>
      </c>
      <c r="D158" s="183">
        <v>8</v>
      </c>
      <c r="E158" s="183" t="s">
        <v>1881</v>
      </c>
      <c r="F158" s="183" t="s">
        <v>1882</v>
      </c>
      <c r="G158" s="209">
        <v>13230</v>
      </c>
      <c r="H158" s="209"/>
      <c r="I158" s="209"/>
      <c r="J158" s="209">
        <v>13230</v>
      </c>
      <c r="K158" s="209">
        <v>13230</v>
      </c>
      <c r="L158" s="209"/>
      <c r="M158" s="209"/>
      <c r="N158" s="209">
        <f t="shared" si="2"/>
        <v>0</v>
      </c>
      <c r="O158" s="183" t="s">
        <v>1461</v>
      </c>
      <c r="P158" s="183" t="s">
        <v>492</v>
      </c>
      <c r="Q158" s="3">
        <v>13230</v>
      </c>
      <c r="R158">
        <v>13230</v>
      </c>
    </row>
    <row r="159" spans="1:21" s="8" customFormat="1">
      <c r="A159" s="208" t="s">
        <v>416</v>
      </c>
      <c r="B159" s="208">
        <v>316</v>
      </c>
      <c r="C159" s="207" t="s">
        <v>1232</v>
      </c>
      <c r="D159" s="226">
        <v>11</v>
      </c>
      <c r="E159" s="207" t="s">
        <v>1883</v>
      </c>
      <c r="F159" s="207" t="s">
        <v>2748</v>
      </c>
      <c r="G159" s="208">
        <v>16380</v>
      </c>
      <c r="H159" s="208"/>
      <c r="I159" s="208"/>
      <c r="J159" s="208">
        <v>16380</v>
      </c>
      <c r="K159" s="208">
        <v>16380</v>
      </c>
      <c r="L159" s="208"/>
      <c r="M159" s="208"/>
      <c r="N159" s="208">
        <f t="shared" si="2"/>
        <v>0</v>
      </c>
      <c r="O159" s="207" t="s">
        <v>2743</v>
      </c>
      <c r="P159" s="207" t="s">
        <v>2748</v>
      </c>
      <c r="Q159" s="184"/>
      <c r="T159" s="184"/>
      <c r="U159" s="8" t="s">
        <v>1910</v>
      </c>
    </row>
    <row r="160" spans="1:21">
      <c r="A160" s="209" t="s">
        <v>417</v>
      </c>
      <c r="B160" s="209">
        <v>317</v>
      </c>
      <c r="C160" s="205" t="s">
        <v>1884</v>
      </c>
      <c r="D160" s="183">
        <v>1</v>
      </c>
      <c r="E160" s="183" t="s">
        <v>1885</v>
      </c>
      <c r="F160" s="183" t="s">
        <v>2665</v>
      </c>
      <c r="G160" s="209">
        <v>14175</v>
      </c>
      <c r="H160" s="209"/>
      <c r="I160" s="209"/>
      <c r="J160" s="209">
        <v>14175</v>
      </c>
      <c r="K160" s="209">
        <v>14175</v>
      </c>
      <c r="L160" s="209"/>
      <c r="M160" s="209"/>
      <c r="N160" s="209">
        <f t="shared" si="2"/>
        <v>0</v>
      </c>
      <c r="O160" s="183" t="s">
        <v>2743</v>
      </c>
      <c r="P160" s="183" t="s">
        <v>2748</v>
      </c>
    </row>
    <row r="161" spans="1:21">
      <c r="A161" s="209" t="s">
        <v>417</v>
      </c>
      <c r="B161" s="209">
        <v>318</v>
      </c>
      <c r="C161" s="205" t="s">
        <v>1884</v>
      </c>
      <c r="D161" s="183">
        <v>2</v>
      </c>
      <c r="E161" s="183" t="s">
        <v>1886</v>
      </c>
      <c r="F161" s="183" t="s">
        <v>2666</v>
      </c>
      <c r="G161" s="209">
        <v>14175</v>
      </c>
      <c r="H161" s="209"/>
      <c r="I161" s="209"/>
      <c r="J161" s="209">
        <v>14175</v>
      </c>
      <c r="K161" s="209">
        <v>14175</v>
      </c>
      <c r="L161" s="209"/>
      <c r="M161" s="209"/>
      <c r="N161" s="209">
        <f t="shared" si="2"/>
        <v>0</v>
      </c>
      <c r="O161" s="183" t="s">
        <v>2749</v>
      </c>
      <c r="P161" s="183" t="s">
        <v>2750</v>
      </c>
    </row>
    <row r="162" spans="1:21">
      <c r="A162" s="209" t="s">
        <v>417</v>
      </c>
      <c r="B162" s="209">
        <v>319</v>
      </c>
      <c r="C162" s="205" t="s">
        <v>1884</v>
      </c>
      <c r="D162" s="183">
        <v>3</v>
      </c>
      <c r="E162" s="183" t="s">
        <v>1887</v>
      </c>
      <c r="F162" s="183" t="s">
        <v>2667</v>
      </c>
      <c r="G162" s="209">
        <v>14175</v>
      </c>
      <c r="H162" s="209"/>
      <c r="I162" s="209"/>
      <c r="J162" s="209">
        <v>14175</v>
      </c>
      <c r="K162" s="209">
        <v>14175</v>
      </c>
      <c r="L162" s="209"/>
      <c r="M162" s="209"/>
      <c r="N162" s="209">
        <f t="shared" si="2"/>
        <v>0</v>
      </c>
      <c r="O162" s="183" t="s">
        <v>2751</v>
      </c>
      <c r="P162" s="183" t="s">
        <v>2752</v>
      </c>
    </row>
    <row r="163" spans="1:21">
      <c r="A163" s="209" t="s">
        <v>417</v>
      </c>
      <c r="B163" s="209">
        <v>320</v>
      </c>
      <c r="C163" s="205" t="s">
        <v>1884</v>
      </c>
      <c r="D163" s="183">
        <v>4</v>
      </c>
      <c r="E163" s="183" t="s">
        <v>1950</v>
      </c>
      <c r="F163" s="183" t="s">
        <v>2668</v>
      </c>
      <c r="G163" s="209">
        <v>14175</v>
      </c>
      <c r="H163" s="209"/>
      <c r="I163" s="209"/>
      <c r="J163" s="209">
        <v>14175</v>
      </c>
      <c r="K163" s="209">
        <v>14175</v>
      </c>
      <c r="L163" s="209"/>
      <c r="M163" s="209"/>
      <c r="N163" s="209">
        <f t="shared" si="2"/>
        <v>0</v>
      </c>
      <c r="O163" s="183" t="s">
        <v>2753</v>
      </c>
      <c r="P163" s="183" t="s">
        <v>2754</v>
      </c>
    </row>
    <row r="164" spans="1:21">
      <c r="A164" s="209" t="s">
        <v>417</v>
      </c>
      <c r="B164" s="209">
        <v>321</v>
      </c>
      <c r="C164" s="205" t="s">
        <v>1884</v>
      </c>
      <c r="D164" s="183">
        <v>5</v>
      </c>
      <c r="E164" s="183" t="s">
        <v>1951</v>
      </c>
      <c r="F164" s="183" t="s">
        <v>2669</v>
      </c>
      <c r="G164" s="209">
        <v>14175</v>
      </c>
      <c r="H164" s="209"/>
      <c r="I164" s="209"/>
      <c r="J164" s="209">
        <v>14175</v>
      </c>
      <c r="K164" s="209">
        <v>14175</v>
      </c>
      <c r="L164" s="209"/>
      <c r="M164" s="209"/>
      <c r="N164" s="209">
        <f t="shared" si="2"/>
        <v>0</v>
      </c>
      <c r="O164" s="183" t="s">
        <v>2760</v>
      </c>
      <c r="P164" s="183" t="s">
        <v>2755</v>
      </c>
    </row>
    <row r="165" spans="1:21" s="114" customFormat="1">
      <c r="A165" s="214" t="s">
        <v>417</v>
      </c>
      <c r="B165" s="214">
        <v>322</v>
      </c>
      <c r="C165" s="213" t="s">
        <v>1884</v>
      </c>
      <c r="D165" s="213">
        <v>6</v>
      </c>
      <c r="E165" s="213" t="s">
        <v>1952</v>
      </c>
      <c r="F165" s="213" t="s">
        <v>1759</v>
      </c>
      <c r="G165" s="214">
        <v>14175</v>
      </c>
      <c r="H165" s="214"/>
      <c r="I165" s="214"/>
      <c r="J165" s="214">
        <v>14175</v>
      </c>
      <c r="K165" s="214">
        <v>14175</v>
      </c>
      <c r="L165" s="214"/>
      <c r="M165" s="214"/>
      <c r="N165" s="214">
        <f t="shared" si="2"/>
        <v>0</v>
      </c>
      <c r="O165" s="213" t="s">
        <v>2670</v>
      </c>
      <c r="P165" s="213" t="s">
        <v>486</v>
      </c>
      <c r="Q165" s="211">
        <v>14175</v>
      </c>
      <c r="R165" s="114">
        <v>14175</v>
      </c>
      <c r="T165" s="211"/>
      <c r="U165" s="114" t="s">
        <v>254</v>
      </c>
    </row>
    <row r="166" spans="1:21">
      <c r="A166" s="209" t="s">
        <v>417</v>
      </c>
      <c r="B166" s="209">
        <v>323</v>
      </c>
      <c r="C166" s="205" t="s">
        <v>1884</v>
      </c>
      <c r="D166" s="183">
        <v>7</v>
      </c>
      <c r="E166" s="183" t="s">
        <v>1953</v>
      </c>
      <c r="F166" s="183" t="s">
        <v>2671</v>
      </c>
      <c r="G166" s="209">
        <v>14175</v>
      </c>
      <c r="H166" s="209"/>
      <c r="I166" s="209"/>
      <c r="J166" s="209">
        <v>14175</v>
      </c>
      <c r="K166" s="209">
        <v>14175</v>
      </c>
      <c r="L166" s="209"/>
      <c r="M166" s="209"/>
      <c r="N166" s="209">
        <f t="shared" si="2"/>
        <v>0</v>
      </c>
      <c r="O166" s="183" t="s">
        <v>2662</v>
      </c>
      <c r="P166" s="183" t="s">
        <v>2767</v>
      </c>
      <c r="Q166" s="3">
        <v>14175</v>
      </c>
      <c r="R166">
        <v>14175</v>
      </c>
    </row>
    <row r="167" spans="1:21">
      <c r="A167" s="209" t="s">
        <v>417</v>
      </c>
      <c r="B167" s="209">
        <v>324</v>
      </c>
      <c r="C167" s="205" t="s">
        <v>1884</v>
      </c>
      <c r="D167" s="183">
        <v>8</v>
      </c>
      <c r="E167" s="183" t="s">
        <v>1954</v>
      </c>
      <c r="F167" s="183" t="s">
        <v>2764</v>
      </c>
      <c r="G167" s="209">
        <v>14175</v>
      </c>
      <c r="H167" s="209"/>
      <c r="I167" s="209"/>
      <c r="J167" s="209">
        <v>14175</v>
      </c>
      <c r="K167" s="209">
        <v>14175</v>
      </c>
      <c r="L167" s="209"/>
      <c r="M167" s="209"/>
      <c r="N167" s="209">
        <f t="shared" si="2"/>
        <v>0</v>
      </c>
      <c r="O167" s="183" t="s">
        <v>818</v>
      </c>
      <c r="P167" s="183" t="s">
        <v>487</v>
      </c>
      <c r="Q167" s="3">
        <v>14175</v>
      </c>
      <c r="R167">
        <v>14175</v>
      </c>
    </row>
    <row r="168" spans="1:21">
      <c r="A168" s="209" t="s">
        <v>418</v>
      </c>
      <c r="B168" s="209">
        <v>325</v>
      </c>
      <c r="C168" s="205" t="s">
        <v>2422</v>
      </c>
      <c r="D168" s="183">
        <v>1</v>
      </c>
      <c r="E168" s="183" t="s">
        <v>1955</v>
      </c>
      <c r="F168" s="183" t="s">
        <v>2756</v>
      </c>
      <c r="G168" s="209">
        <v>13230</v>
      </c>
      <c r="H168" s="209"/>
      <c r="I168" s="209"/>
      <c r="J168" s="209">
        <v>13230</v>
      </c>
      <c r="K168" s="209">
        <v>13230</v>
      </c>
      <c r="L168" s="209"/>
      <c r="M168" s="209"/>
      <c r="N168" s="209">
        <f t="shared" si="2"/>
        <v>0</v>
      </c>
      <c r="O168" s="183" t="s">
        <v>2756</v>
      </c>
      <c r="P168" s="183" t="s">
        <v>2757</v>
      </c>
    </row>
    <row r="169" spans="1:21">
      <c r="A169" s="209" t="s">
        <v>418</v>
      </c>
      <c r="B169" s="209">
        <v>326</v>
      </c>
      <c r="C169" s="205" t="s">
        <v>2422</v>
      </c>
      <c r="D169" s="183">
        <v>2</v>
      </c>
      <c r="E169" s="183" t="s">
        <v>1956</v>
      </c>
      <c r="F169" s="183" t="s">
        <v>1957</v>
      </c>
      <c r="G169" s="209">
        <v>13230</v>
      </c>
      <c r="H169" s="209"/>
      <c r="I169" s="209"/>
      <c r="J169" s="209">
        <v>13230</v>
      </c>
      <c r="K169" s="209">
        <v>13230</v>
      </c>
      <c r="L169" s="209"/>
      <c r="M169" s="209"/>
      <c r="N169" s="209">
        <f t="shared" si="2"/>
        <v>0</v>
      </c>
      <c r="O169" s="183" t="s">
        <v>2758</v>
      </c>
      <c r="P169" s="183" t="s">
        <v>2759</v>
      </c>
    </row>
    <row r="170" spans="1:21">
      <c r="A170" s="209" t="s">
        <v>418</v>
      </c>
      <c r="B170" s="209">
        <v>327</v>
      </c>
      <c r="C170" s="205" t="s">
        <v>2422</v>
      </c>
      <c r="D170" s="183">
        <v>3</v>
      </c>
      <c r="E170" s="183" t="s">
        <v>1958</v>
      </c>
      <c r="F170" s="183" t="s">
        <v>1959</v>
      </c>
      <c r="G170" s="209">
        <v>13230</v>
      </c>
      <c r="H170" s="209"/>
      <c r="I170" s="209"/>
      <c r="J170" s="209">
        <v>13230</v>
      </c>
      <c r="K170" s="209">
        <v>13230</v>
      </c>
      <c r="L170" s="209"/>
      <c r="M170" s="209"/>
      <c r="N170" s="209">
        <f t="shared" si="2"/>
        <v>0</v>
      </c>
      <c r="O170" s="183" t="s">
        <v>2760</v>
      </c>
      <c r="P170" s="183" t="s">
        <v>2755</v>
      </c>
    </row>
    <row r="171" spans="1:21" s="114" customFormat="1">
      <c r="A171" s="214" t="s">
        <v>418</v>
      </c>
      <c r="B171" s="214">
        <v>328</v>
      </c>
      <c r="C171" s="213" t="s">
        <v>2422</v>
      </c>
      <c r="D171" s="213">
        <v>4</v>
      </c>
      <c r="E171" s="213" t="s">
        <v>1960</v>
      </c>
      <c r="F171" s="213" t="s">
        <v>1961</v>
      </c>
      <c r="G171" s="214">
        <v>13230</v>
      </c>
      <c r="H171" s="214"/>
      <c r="I171" s="214"/>
      <c r="J171" s="214">
        <v>13230</v>
      </c>
      <c r="K171" s="214">
        <v>13230</v>
      </c>
      <c r="L171" s="214"/>
      <c r="M171" s="214"/>
      <c r="N171" s="214">
        <f t="shared" si="2"/>
        <v>0</v>
      </c>
      <c r="O171" s="213" t="s">
        <v>2670</v>
      </c>
      <c r="P171" s="213" t="s">
        <v>486</v>
      </c>
      <c r="Q171" s="211">
        <v>13230</v>
      </c>
      <c r="R171" s="114">
        <v>13230</v>
      </c>
      <c r="T171" s="211"/>
      <c r="U171" s="114" t="s">
        <v>254</v>
      </c>
    </row>
    <row r="172" spans="1:21">
      <c r="A172" s="209" t="s">
        <v>418</v>
      </c>
      <c r="B172" s="209">
        <v>329</v>
      </c>
      <c r="C172" s="205" t="s">
        <v>2422</v>
      </c>
      <c r="D172" s="183">
        <v>5</v>
      </c>
      <c r="E172" s="183" t="s">
        <v>1962</v>
      </c>
      <c r="F172" s="183" t="s">
        <v>1963</v>
      </c>
      <c r="G172" s="209">
        <v>13230</v>
      </c>
      <c r="H172" s="209"/>
      <c r="I172" s="209"/>
      <c r="J172" s="209">
        <v>13230</v>
      </c>
      <c r="K172" s="209">
        <v>13230</v>
      </c>
      <c r="L172" s="209"/>
      <c r="M172" s="209"/>
      <c r="N172" s="209">
        <f t="shared" si="2"/>
        <v>0</v>
      </c>
      <c r="O172" s="183" t="s">
        <v>818</v>
      </c>
      <c r="P172" s="183" t="s">
        <v>487</v>
      </c>
      <c r="Q172" s="3">
        <v>13230</v>
      </c>
      <c r="R172">
        <v>13230</v>
      </c>
    </row>
    <row r="173" spans="1:21">
      <c r="A173" s="209" t="s">
        <v>418</v>
      </c>
      <c r="B173" s="209">
        <v>330</v>
      </c>
      <c r="C173" s="205" t="s">
        <v>2422</v>
      </c>
      <c r="D173" s="183">
        <v>6</v>
      </c>
      <c r="E173" s="183" t="s">
        <v>1964</v>
      </c>
      <c r="F173" s="183" t="s">
        <v>1965</v>
      </c>
      <c r="G173" s="209">
        <v>13230</v>
      </c>
      <c r="H173" s="209"/>
      <c r="I173" s="209"/>
      <c r="J173" s="209">
        <v>13230</v>
      </c>
      <c r="K173" s="209">
        <v>13230</v>
      </c>
      <c r="L173" s="209"/>
      <c r="M173" s="209"/>
      <c r="N173" s="209">
        <f t="shared" si="2"/>
        <v>0</v>
      </c>
      <c r="O173" s="183" t="s">
        <v>488</v>
      </c>
      <c r="P173" s="183" t="s">
        <v>489</v>
      </c>
      <c r="Q173" s="3">
        <v>13230</v>
      </c>
      <c r="R173">
        <v>13230</v>
      </c>
    </row>
    <row r="174" spans="1:21">
      <c r="A174" s="209" t="s">
        <v>418</v>
      </c>
      <c r="B174" s="209">
        <v>331</v>
      </c>
      <c r="C174" s="205" t="s">
        <v>2422</v>
      </c>
      <c r="D174" s="183">
        <v>7</v>
      </c>
      <c r="E174" s="183" t="s">
        <v>1966</v>
      </c>
      <c r="F174" s="183" t="s">
        <v>1967</v>
      </c>
      <c r="G174" s="209">
        <v>13230</v>
      </c>
      <c r="H174" s="209"/>
      <c r="I174" s="209"/>
      <c r="J174" s="209">
        <v>13230</v>
      </c>
      <c r="K174" s="209">
        <v>13230</v>
      </c>
      <c r="L174" s="209"/>
      <c r="M174" s="209"/>
      <c r="N174" s="209">
        <f t="shared" si="2"/>
        <v>0</v>
      </c>
      <c r="O174" s="183" t="s">
        <v>493</v>
      </c>
      <c r="P174" s="183" t="s">
        <v>911</v>
      </c>
      <c r="Q174" s="3">
        <v>13230</v>
      </c>
      <c r="R174">
        <v>13230</v>
      </c>
    </row>
    <row r="175" spans="1:21">
      <c r="A175" s="209" t="s">
        <v>418</v>
      </c>
      <c r="B175" s="209">
        <v>332</v>
      </c>
      <c r="C175" s="205" t="s">
        <v>2422</v>
      </c>
      <c r="D175" s="183">
        <v>8</v>
      </c>
      <c r="E175" s="183" t="s">
        <v>1968</v>
      </c>
      <c r="F175" s="183" t="s">
        <v>1969</v>
      </c>
      <c r="G175" s="209">
        <v>13230</v>
      </c>
      <c r="H175" s="209"/>
      <c r="I175" s="209"/>
      <c r="J175" s="209">
        <v>13230</v>
      </c>
      <c r="K175" s="209">
        <v>13230</v>
      </c>
      <c r="L175" s="209"/>
      <c r="M175" s="209"/>
      <c r="N175" s="209">
        <f t="shared" si="2"/>
        <v>0</v>
      </c>
      <c r="O175" s="183" t="s">
        <v>460</v>
      </c>
      <c r="P175" s="183" t="s">
        <v>1465</v>
      </c>
      <c r="Q175" s="3">
        <v>13230</v>
      </c>
      <c r="R175">
        <v>13230</v>
      </c>
    </row>
    <row r="176" spans="1:21">
      <c r="A176" s="209" t="s">
        <v>419</v>
      </c>
      <c r="B176" s="209">
        <v>333</v>
      </c>
      <c r="C176" s="205" t="s">
        <v>1300</v>
      </c>
      <c r="D176" s="183">
        <v>1</v>
      </c>
      <c r="E176" s="183" t="s">
        <v>1970</v>
      </c>
      <c r="F176" s="183" t="s">
        <v>2765</v>
      </c>
      <c r="G176" s="209">
        <v>14175</v>
      </c>
      <c r="H176" s="209"/>
      <c r="I176" s="209"/>
      <c r="J176" s="209">
        <v>14175</v>
      </c>
      <c r="K176" s="209">
        <v>14175</v>
      </c>
      <c r="L176" s="209"/>
      <c r="M176" s="209"/>
      <c r="N176" s="209">
        <f t="shared" si="2"/>
        <v>0</v>
      </c>
      <c r="O176" s="183" t="s">
        <v>2751</v>
      </c>
      <c r="P176" s="183" t="s">
        <v>2752</v>
      </c>
    </row>
    <row r="177" spans="1:21">
      <c r="A177" s="209" t="s">
        <v>419</v>
      </c>
      <c r="B177" s="209">
        <v>334</v>
      </c>
      <c r="C177" s="205" t="s">
        <v>1300</v>
      </c>
      <c r="D177" s="183">
        <v>2</v>
      </c>
      <c r="E177" s="183" t="s">
        <v>1971</v>
      </c>
      <c r="F177" s="183" t="s">
        <v>2766</v>
      </c>
      <c r="G177" s="209">
        <v>14175</v>
      </c>
      <c r="H177" s="209"/>
      <c r="I177" s="209"/>
      <c r="J177" s="209">
        <v>14175</v>
      </c>
      <c r="K177" s="209">
        <v>14175</v>
      </c>
      <c r="L177" s="209"/>
      <c r="M177" s="209"/>
      <c r="N177" s="209">
        <f t="shared" si="2"/>
        <v>0</v>
      </c>
      <c r="O177" s="183" t="s">
        <v>2746</v>
      </c>
      <c r="P177" s="183" t="s">
        <v>2747</v>
      </c>
    </row>
    <row r="178" spans="1:21">
      <c r="A178" s="209" t="s">
        <v>419</v>
      </c>
      <c r="B178" s="209">
        <v>335</v>
      </c>
      <c r="C178" s="205" t="s">
        <v>1300</v>
      </c>
      <c r="D178" s="183">
        <v>3</v>
      </c>
      <c r="E178" s="183" t="s">
        <v>1972</v>
      </c>
      <c r="F178" s="183" t="s">
        <v>2654</v>
      </c>
      <c r="G178" s="209">
        <v>14175</v>
      </c>
      <c r="H178" s="209"/>
      <c r="I178" s="209"/>
      <c r="J178" s="209">
        <v>14175</v>
      </c>
      <c r="K178" s="209">
        <v>14175</v>
      </c>
      <c r="L178" s="209"/>
      <c r="M178" s="209"/>
      <c r="N178" s="209">
        <f t="shared" si="2"/>
        <v>0</v>
      </c>
      <c r="O178" s="183" t="s">
        <v>415</v>
      </c>
      <c r="P178" s="183" t="s">
        <v>2563</v>
      </c>
    </row>
    <row r="179" spans="1:21">
      <c r="A179" s="209" t="s">
        <v>419</v>
      </c>
      <c r="B179" s="209">
        <v>336</v>
      </c>
      <c r="C179" s="205" t="s">
        <v>1300</v>
      </c>
      <c r="D179" s="183">
        <v>4</v>
      </c>
      <c r="E179" s="183" t="s">
        <v>1973</v>
      </c>
      <c r="F179" s="183" t="s">
        <v>2767</v>
      </c>
      <c r="G179" s="209">
        <v>14175</v>
      </c>
      <c r="H179" s="209"/>
      <c r="I179" s="209"/>
      <c r="J179" s="209">
        <v>14175</v>
      </c>
      <c r="K179" s="209">
        <v>14175</v>
      </c>
      <c r="L179" s="209"/>
      <c r="M179" s="209"/>
      <c r="N179" s="209">
        <f t="shared" si="2"/>
        <v>0</v>
      </c>
      <c r="O179" s="183" t="s">
        <v>2768</v>
      </c>
      <c r="P179" s="183" t="s">
        <v>815</v>
      </c>
      <c r="Q179" s="3">
        <v>14175</v>
      </c>
      <c r="R179">
        <v>14175</v>
      </c>
    </row>
    <row r="180" spans="1:21">
      <c r="A180" s="209" t="s">
        <v>419</v>
      </c>
      <c r="B180" s="209">
        <v>337</v>
      </c>
      <c r="C180" s="205" t="s">
        <v>1300</v>
      </c>
      <c r="D180" s="183">
        <v>5</v>
      </c>
      <c r="E180" s="183" t="s">
        <v>1974</v>
      </c>
      <c r="F180" s="183" t="s">
        <v>2769</v>
      </c>
      <c r="G180" s="209">
        <v>14175</v>
      </c>
      <c r="H180" s="209"/>
      <c r="I180" s="209"/>
      <c r="J180" s="209">
        <v>14175</v>
      </c>
      <c r="K180" s="209">
        <v>14175</v>
      </c>
      <c r="L180" s="209"/>
      <c r="M180" s="209"/>
      <c r="N180" s="209">
        <f t="shared" si="2"/>
        <v>0</v>
      </c>
      <c r="O180" s="183" t="s">
        <v>488</v>
      </c>
      <c r="P180" s="183" t="s">
        <v>489</v>
      </c>
      <c r="Q180" s="3">
        <v>14175</v>
      </c>
      <c r="R180">
        <v>14175</v>
      </c>
    </row>
    <row r="181" spans="1:21">
      <c r="A181" s="209" t="s">
        <v>419</v>
      </c>
      <c r="B181" s="209">
        <v>338</v>
      </c>
      <c r="C181" s="205" t="s">
        <v>1300</v>
      </c>
      <c r="D181" s="183">
        <v>6</v>
      </c>
      <c r="E181" s="183" t="s">
        <v>1975</v>
      </c>
      <c r="F181" s="183" t="s">
        <v>2770</v>
      </c>
      <c r="G181" s="209">
        <v>14175</v>
      </c>
      <c r="H181" s="209"/>
      <c r="I181" s="209"/>
      <c r="J181" s="209">
        <v>14175</v>
      </c>
      <c r="K181" s="209">
        <v>14175</v>
      </c>
      <c r="L181" s="209"/>
      <c r="M181" s="209"/>
      <c r="N181" s="209">
        <f t="shared" si="2"/>
        <v>0</v>
      </c>
      <c r="O181" s="183" t="s">
        <v>493</v>
      </c>
      <c r="P181" s="183" t="s">
        <v>911</v>
      </c>
      <c r="Q181" s="3">
        <v>14175</v>
      </c>
      <c r="R181">
        <v>14175</v>
      </c>
    </row>
    <row r="182" spans="1:21">
      <c r="A182" s="209" t="s">
        <v>419</v>
      </c>
      <c r="B182" s="209">
        <v>339</v>
      </c>
      <c r="C182" s="205" t="s">
        <v>1300</v>
      </c>
      <c r="D182" s="183">
        <v>7</v>
      </c>
      <c r="E182" s="183" t="s">
        <v>1976</v>
      </c>
      <c r="F182" s="183" t="s">
        <v>1977</v>
      </c>
      <c r="G182" s="209">
        <v>14175</v>
      </c>
      <c r="H182" s="209"/>
      <c r="I182" s="209"/>
      <c r="J182" s="209">
        <v>14175</v>
      </c>
      <c r="K182" s="209">
        <v>14175</v>
      </c>
      <c r="L182" s="209"/>
      <c r="M182" s="209"/>
      <c r="N182" s="209">
        <f t="shared" si="2"/>
        <v>0</v>
      </c>
      <c r="O182" s="183" t="s">
        <v>458</v>
      </c>
      <c r="P182" s="183" t="s">
        <v>2035</v>
      </c>
      <c r="Q182" s="3">
        <v>14175</v>
      </c>
      <c r="R182">
        <v>14175</v>
      </c>
    </row>
    <row r="183" spans="1:21">
      <c r="A183" s="209" t="s">
        <v>419</v>
      </c>
      <c r="B183" s="209">
        <v>340</v>
      </c>
      <c r="C183" s="205" t="s">
        <v>1300</v>
      </c>
      <c r="D183" s="183">
        <v>8</v>
      </c>
      <c r="E183" s="183" t="s">
        <v>1978</v>
      </c>
      <c r="F183" s="183" t="s">
        <v>2771</v>
      </c>
      <c r="G183" s="209">
        <v>14175</v>
      </c>
      <c r="H183" s="209"/>
      <c r="I183" s="209"/>
      <c r="J183" s="209">
        <v>14175</v>
      </c>
      <c r="K183" s="209">
        <v>14175</v>
      </c>
      <c r="L183" s="209"/>
      <c r="M183" s="209"/>
      <c r="N183" s="209">
        <f t="shared" si="2"/>
        <v>0</v>
      </c>
      <c r="O183" s="183" t="s">
        <v>496</v>
      </c>
      <c r="P183" s="183" t="s">
        <v>497</v>
      </c>
      <c r="Q183" s="3">
        <v>14175</v>
      </c>
      <c r="R183">
        <v>14175</v>
      </c>
    </row>
    <row r="184" spans="1:21" s="8" customFormat="1">
      <c r="A184" s="208" t="s">
        <v>420</v>
      </c>
      <c r="B184" s="208"/>
      <c r="C184" s="207" t="s">
        <v>1230</v>
      </c>
      <c r="D184" s="226">
        <v>4</v>
      </c>
      <c r="E184" s="207" t="s">
        <v>1283</v>
      </c>
      <c r="F184" s="207" t="s">
        <v>420</v>
      </c>
      <c r="G184" s="184"/>
      <c r="H184" s="184"/>
      <c r="I184" s="184"/>
      <c r="J184" s="208"/>
      <c r="K184" s="208"/>
      <c r="L184" s="208"/>
      <c r="M184" s="208"/>
      <c r="N184" s="208">
        <f t="shared" si="2"/>
        <v>0</v>
      </c>
      <c r="O184" s="207" t="s">
        <v>420</v>
      </c>
      <c r="P184" s="207" t="s">
        <v>420</v>
      </c>
      <c r="Q184" s="184">
        <v>11970</v>
      </c>
      <c r="R184" s="208">
        <v>11940</v>
      </c>
      <c r="S184" s="208"/>
      <c r="T184" s="184">
        <v>30</v>
      </c>
      <c r="U184" s="8" t="s">
        <v>1910</v>
      </c>
    </row>
    <row r="185" spans="1:21">
      <c r="A185" s="209" t="s">
        <v>1979</v>
      </c>
      <c r="B185" s="209"/>
      <c r="C185" s="205" t="s">
        <v>3825</v>
      </c>
      <c r="D185" s="226">
        <v>1</v>
      </c>
      <c r="E185" s="183" t="s">
        <v>1283</v>
      </c>
      <c r="F185" s="183" t="s">
        <v>1979</v>
      </c>
      <c r="G185" s="165"/>
      <c r="H185" s="165"/>
      <c r="I185" s="165"/>
      <c r="J185" s="209"/>
      <c r="K185" s="209"/>
      <c r="L185" s="209"/>
      <c r="M185" s="209"/>
      <c r="N185" s="209">
        <f t="shared" si="2"/>
        <v>0</v>
      </c>
      <c r="O185" s="183" t="s">
        <v>1979</v>
      </c>
      <c r="P185" s="183" t="s">
        <v>1979</v>
      </c>
      <c r="Q185" s="3">
        <v>14175</v>
      </c>
      <c r="R185" s="178">
        <v>14145</v>
      </c>
      <c r="S185" s="178"/>
      <c r="T185" s="3">
        <v>30</v>
      </c>
    </row>
    <row r="186" spans="1:21">
      <c r="A186" s="209" t="s">
        <v>421</v>
      </c>
      <c r="B186" s="209"/>
      <c r="C186" s="205" t="s">
        <v>1532</v>
      </c>
      <c r="D186" s="226">
        <v>2</v>
      </c>
      <c r="E186" s="183" t="s">
        <v>1283</v>
      </c>
      <c r="F186" s="183" t="s">
        <v>421</v>
      </c>
      <c r="G186" s="165"/>
      <c r="H186" s="165"/>
      <c r="I186" s="165"/>
      <c r="J186" s="209"/>
      <c r="K186" s="209"/>
      <c r="L186" s="209"/>
      <c r="M186" s="209"/>
      <c r="N186" s="209">
        <f t="shared" si="2"/>
        <v>0</v>
      </c>
      <c r="O186" s="183" t="s">
        <v>421</v>
      </c>
      <c r="P186" s="183" t="s">
        <v>421</v>
      </c>
      <c r="Q186" s="3">
        <v>13500</v>
      </c>
      <c r="R186" s="178">
        <v>13485</v>
      </c>
      <c r="S186" s="178"/>
      <c r="T186" s="3">
        <v>15</v>
      </c>
    </row>
    <row r="187" spans="1:21" s="8" customFormat="1">
      <c r="A187" s="208" t="s">
        <v>422</v>
      </c>
      <c r="B187" s="208">
        <v>341</v>
      </c>
      <c r="C187" s="207" t="s">
        <v>1264</v>
      </c>
      <c r="D187" s="207">
        <v>5</v>
      </c>
      <c r="E187" s="207" t="s">
        <v>1980</v>
      </c>
      <c r="F187" s="207" t="s">
        <v>421</v>
      </c>
      <c r="G187" s="208">
        <v>11340</v>
      </c>
      <c r="H187" s="208"/>
      <c r="I187" s="208"/>
      <c r="J187" s="208">
        <v>11340</v>
      </c>
      <c r="K187" s="208">
        <v>11340</v>
      </c>
      <c r="L187" s="208"/>
      <c r="M187" s="208"/>
      <c r="N187" s="208">
        <f t="shared" si="2"/>
        <v>0</v>
      </c>
      <c r="O187" s="207" t="s">
        <v>2749</v>
      </c>
      <c r="P187" s="207" t="s">
        <v>2761</v>
      </c>
      <c r="Q187" s="184"/>
      <c r="T187" s="184"/>
      <c r="U187" s="8" t="s">
        <v>1910</v>
      </c>
    </row>
    <row r="188" spans="1:21" s="8" customFormat="1">
      <c r="A188" s="208" t="s">
        <v>422</v>
      </c>
      <c r="B188" s="208">
        <v>342</v>
      </c>
      <c r="C188" s="207" t="s">
        <v>1264</v>
      </c>
      <c r="D188" s="207">
        <v>6</v>
      </c>
      <c r="E188" s="207" t="s">
        <v>1981</v>
      </c>
      <c r="F188" s="207" t="s">
        <v>1957</v>
      </c>
      <c r="G188" s="208">
        <v>11340</v>
      </c>
      <c r="H188" s="208"/>
      <c r="I188" s="208"/>
      <c r="J188" s="208">
        <v>11340</v>
      </c>
      <c r="K188" s="208">
        <v>11340</v>
      </c>
      <c r="L188" s="208"/>
      <c r="M188" s="208"/>
      <c r="N188" s="208">
        <f t="shared" si="2"/>
        <v>0</v>
      </c>
      <c r="O188" s="207" t="s">
        <v>2758</v>
      </c>
      <c r="P188" s="207" t="s">
        <v>1863</v>
      </c>
      <c r="Q188" s="184"/>
      <c r="T188" s="184"/>
      <c r="U188" s="8" t="s">
        <v>1910</v>
      </c>
    </row>
    <row r="189" spans="1:21" s="8" customFormat="1">
      <c r="A189" s="208" t="s">
        <v>422</v>
      </c>
      <c r="B189" s="208">
        <v>343</v>
      </c>
      <c r="C189" s="207" t="s">
        <v>1264</v>
      </c>
      <c r="D189" s="207">
        <v>7</v>
      </c>
      <c r="E189" s="207" t="s">
        <v>1982</v>
      </c>
      <c r="F189" s="207" t="s">
        <v>1959</v>
      </c>
      <c r="G189" s="208">
        <v>11340</v>
      </c>
      <c r="H189" s="208"/>
      <c r="I189" s="208"/>
      <c r="J189" s="208">
        <v>11340</v>
      </c>
      <c r="K189" s="208">
        <v>11340</v>
      </c>
      <c r="L189" s="208"/>
      <c r="M189" s="208"/>
      <c r="N189" s="208">
        <f t="shared" si="2"/>
        <v>0</v>
      </c>
      <c r="O189" s="207" t="s">
        <v>2760</v>
      </c>
      <c r="P189" s="207" t="s">
        <v>1983</v>
      </c>
      <c r="Q189" s="184"/>
      <c r="T189" s="184"/>
      <c r="U189" s="8" t="s">
        <v>1910</v>
      </c>
    </row>
    <row r="190" spans="1:21" s="218" customFormat="1">
      <c r="A190" s="216" t="s">
        <v>422</v>
      </c>
      <c r="B190" s="216">
        <v>344</v>
      </c>
      <c r="C190" s="215" t="s">
        <v>1264</v>
      </c>
      <c r="D190" s="215">
        <v>8</v>
      </c>
      <c r="E190" s="215" t="s">
        <v>1984</v>
      </c>
      <c r="F190" s="215" t="s">
        <v>1961</v>
      </c>
      <c r="G190" s="216">
        <v>11340</v>
      </c>
      <c r="H190" s="216"/>
      <c r="I190" s="216"/>
      <c r="J190" s="216">
        <v>11340</v>
      </c>
      <c r="K190" s="216">
        <v>11340</v>
      </c>
      <c r="L190" s="216"/>
      <c r="M190" s="216"/>
      <c r="N190" s="216">
        <f t="shared" si="2"/>
        <v>0</v>
      </c>
      <c r="O190" s="215" t="s">
        <v>2670</v>
      </c>
      <c r="P190" s="215" t="s">
        <v>498</v>
      </c>
      <c r="Q190" s="217">
        <v>11340</v>
      </c>
      <c r="R190" s="218">
        <v>11340</v>
      </c>
      <c r="T190" s="217"/>
      <c r="U190" s="218" t="s">
        <v>1985</v>
      </c>
    </row>
    <row r="191" spans="1:21">
      <c r="A191" s="209" t="s">
        <v>2741</v>
      </c>
      <c r="B191" s="209">
        <v>345</v>
      </c>
      <c r="C191" s="205" t="s">
        <v>1232</v>
      </c>
      <c r="D191" s="226">
        <v>12</v>
      </c>
      <c r="E191" s="183" t="s">
        <v>1986</v>
      </c>
      <c r="F191" s="183" t="s">
        <v>2007</v>
      </c>
      <c r="G191" s="209">
        <v>16380</v>
      </c>
      <c r="H191" s="209"/>
      <c r="I191" s="209"/>
      <c r="J191" s="209">
        <v>16380</v>
      </c>
      <c r="K191" s="209">
        <v>16380</v>
      </c>
      <c r="L191" s="209"/>
      <c r="M191" s="209"/>
      <c r="N191" s="209">
        <f t="shared" si="2"/>
        <v>0</v>
      </c>
      <c r="O191" s="183" t="s">
        <v>2762</v>
      </c>
      <c r="P191" s="183" t="s">
        <v>2763</v>
      </c>
      <c r="U191" s="7"/>
    </row>
    <row r="192" spans="1:21">
      <c r="A192" s="209" t="s">
        <v>2742</v>
      </c>
      <c r="B192" s="209">
        <v>346</v>
      </c>
      <c r="C192" s="205" t="s">
        <v>1699</v>
      </c>
      <c r="D192" s="226">
        <v>2</v>
      </c>
      <c r="E192" s="183" t="s">
        <v>2008</v>
      </c>
      <c r="F192" s="183" t="s">
        <v>2659</v>
      </c>
      <c r="G192" s="209">
        <v>13500</v>
      </c>
      <c r="H192" s="209"/>
      <c r="I192" s="209"/>
      <c r="J192" s="209">
        <v>13500</v>
      </c>
      <c r="K192" s="209">
        <v>13500</v>
      </c>
      <c r="L192" s="209"/>
      <c r="M192" s="209"/>
      <c r="N192" s="209">
        <f t="shared" si="2"/>
        <v>0</v>
      </c>
      <c r="O192" s="183" t="s">
        <v>2744</v>
      </c>
      <c r="P192" s="183" t="s">
        <v>2745</v>
      </c>
    </row>
    <row r="193" spans="1:18">
      <c r="A193" s="209" t="s">
        <v>2773</v>
      </c>
      <c r="B193" s="209">
        <v>347</v>
      </c>
      <c r="C193" s="205" t="s">
        <v>857</v>
      </c>
      <c r="D193" s="183">
        <v>1</v>
      </c>
      <c r="E193" s="183" t="s">
        <v>2009</v>
      </c>
      <c r="F193" s="183" t="s">
        <v>2774</v>
      </c>
      <c r="G193" s="209">
        <v>14175</v>
      </c>
      <c r="H193" s="209"/>
      <c r="I193" s="209"/>
      <c r="J193" s="209">
        <v>14175</v>
      </c>
      <c r="K193" s="209">
        <v>14175</v>
      </c>
      <c r="L193" s="209"/>
      <c r="M193" s="209"/>
      <c r="N193" s="209">
        <f t="shared" si="2"/>
        <v>0</v>
      </c>
      <c r="O193" s="183" t="s">
        <v>2753</v>
      </c>
      <c r="P193" s="183" t="s">
        <v>2754</v>
      </c>
    </row>
    <row r="194" spans="1:18">
      <c r="A194" s="209" t="s">
        <v>2773</v>
      </c>
      <c r="B194" s="209">
        <v>348</v>
      </c>
      <c r="C194" s="205" t="s">
        <v>857</v>
      </c>
      <c r="D194" s="183">
        <v>2</v>
      </c>
      <c r="E194" s="183" t="s">
        <v>2010</v>
      </c>
      <c r="F194" s="183" t="s">
        <v>2755</v>
      </c>
      <c r="G194" s="209">
        <v>14175</v>
      </c>
      <c r="H194" s="209"/>
      <c r="I194" s="209"/>
      <c r="J194" s="209">
        <v>14175</v>
      </c>
      <c r="K194" s="209">
        <v>14175</v>
      </c>
      <c r="L194" s="209"/>
      <c r="M194" s="209"/>
      <c r="N194" s="209">
        <f t="shared" si="2"/>
        <v>0</v>
      </c>
      <c r="O194" s="183" t="s">
        <v>574</v>
      </c>
      <c r="P194" s="183" t="s">
        <v>575</v>
      </c>
    </row>
    <row r="195" spans="1:18">
      <c r="A195" s="209" t="s">
        <v>2773</v>
      </c>
      <c r="B195" s="209">
        <v>349</v>
      </c>
      <c r="C195" s="205" t="s">
        <v>857</v>
      </c>
      <c r="D195" s="183">
        <v>3</v>
      </c>
      <c r="E195" s="183" t="s">
        <v>2011</v>
      </c>
      <c r="F195" s="183" t="s">
        <v>2012</v>
      </c>
      <c r="G195" s="209">
        <v>14175</v>
      </c>
      <c r="H195" s="209"/>
      <c r="I195" s="209"/>
      <c r="J195" s="209">
        <v>14175</v>
      </c>
      <c r="K195" s="209">
        <v>14175</v>
      </c>
      <c r="L195" s="209"/>
      <c r="M195" s="209"/>
      <c r="N195" s="209">
        <f t="shared" si="2"/>
        <v>0</v>
      </c>
      <c r="O195" s="183" t="s">
        <v>2662</v>
      </c>
      <c r="P195" s="183" t="s">
        <v>2767</v>
      </c>
      <c r="Q195" s="3">
        <v>14175</v>
      </c>
      <c r="R195">
        <v>14175</v>
      </c>
    </row>
    <row r="196" spans="1:18">
      <c r="A196" s="209" t="s">
        <v>2773</v>
      </c>
      <c r="B196" s="209">
        <v>350</v>
      </c>
      <c r="C196" s="205" t="s">
        <v>857</v>
      </c>
      <c r="D196" s="183">
        <v>4</v>
      </c>
      <c r="E196" s="183" t="s">
        <v>2013</v>
      </c>
      <c r="F196" s="183" t="s">
        <v>2775</v>
      </c>
      <c r="G196" s="209">
        <v>14175</v>
      </c>
      <c r="H196" s="209"/>
      <c r="I196" s="209"/>
      <c r="J196" s="209">
        <v>14175</v>
      </c>
      <c r="K196" s="209">
        <v>14175</v>
      </c>
      <c r="L196" s="209"/>
      <c r="M196" s="209"/>
      <c r="N196" s="209">
        <f t="shared" si="2"/>
        <v>0</v>
      </c>
      <c r="O196" s="183" t="s">
        <v>818</v>
      </c>
      <c r="P196" s="183" t="s">
        <v>487</v>
      </c>
      <c r="Q196" s="3">
        <v>14175</v>
      </c>
      <c r="R196">
        <v>14175</v>
      </c>
    </row>
    <row r="197" spans="1:18">
      <c r="A197" s="209" t="s">
        <v>2773</v>
      </c>
      <c r="B197" s="209">
        <v>351</v>
      </c>
      <c r="C197" s="205" t="s">
        <v>857</v>
      </c>
      <c r="D197" s="183">
        <v>5</v>
      </c>
      <c r="E197" s="183" t="s">
        <v>2014</v>
      </c>
      <c r="F197" s="183" t="s">
        <v>2776</v>
      </c>
      <c r="G197" s="209">
        <v>14175</v>
      </c>
      <c r="H197" s="209"/>
      <c r="I197" s="209"/>
      <c r="J197" s="209">
        <v>14175</v>
      </c>
      <c r="K197" s="209">
        <v>14175</v>
      </c>
      <c r="L197" s="209"/>
      <c r="M197" s="209"/>
      <c r="N197" s="209">
        <f t="shared" si="2"/>
        <v>0</v>
      </c>
      <c r="O197" s="183" t="s">
        <v>490</v>
      </c>
      <c r="P197" s="183" t="s">
        <v>491</v>
      </c>
      <c r="Q197" s="3">
        <v>14175</v>
      </c>
      <c r="R197">
        <v>14175</v>
      </c>
    </row>
    <row r="198" spans="1:18">
      <c r="A198" s="209" t="s">
        <v>2773</v>
      </c>
      <c r="B198" s="209">
        <v>352</v>
      </c>
      <c r="C198" s="205" t="s">
        <v>857</v>
      </c>
      <c r="D198" s="183">
        <v>6</v>
      </c>
      <c r="E198" s="183" t="s">
        <v>2015</v>
      </c>
      <c r="F198" s="183" t="s">
        <v>2777</v>
      </c>
      <c r="G198" s="209">
        <v>14175</v>
      </c>
      <c r="H198" s="209"/>
      <c r="I198" s="209"/>
      <c r="J198" s="209">
        <v>14175</v>
      </c>
      <c r="K198" s="209">
        <v>14175</v>
      </c>
      <c r="L198" s="209"/>
      <c r="M198" s="209"/>
      <c r="N198" s="209">
        <f t="shared" si="2"/>
        <v>0</v>
      </c>
      <c r="O198" s="183" t="s">
        <v>1461</v>
      </c>
      <c r="P198" s="183" t="s">
        <v>492</v>
      </c>
      <c r="Q198" s="3">
        <v>14175</v>
      </c>
      <c r="R198">
        <v>14175</v>
      </c>
    </row>
    <row r="199" spans="1:18">
      <c r="A199" s="209" t="s">
        <v>2773</v>
      </c>
      <c r="B199" s="209">
        <v>353</v>
      </c>
      <c r="C199" s="205" t="s">
        <v>857</v>
      </c>
      <c r="D199" s="183">
        <v>7</v>
      </c>
      <c r="E199" s="183" t="s">
        <v>2016</v>
      </c>
      <c r="F199" s="183" t="s">
        <v>2017</v>
      </c>
      <c r="G199" s="209">
        <v>14175</v>
      </c>
      <c r="H199" s="209"/>
      <c r="I199" s="209"/>
      <c r="J199" s="209">
        <v>14175</v>
      </c>
      <c r="K199" s="209">
        <v>14175</v>
      </c>
      <c r="L199" s="209"/>
      <c r="M199" s="209"/>
      <c r="N199" s="209">
        <f t="shared" si="2"/>
        <v>0</v>
      </c>
      <c r="O199" s="183" t="s">
        <v>500</v>
      </c>
      <c r="P199" s="183" t="s">
        <v>500</v>
      </c>
      <c r="Q199" s="3">
        <v>14175</v>
      </c>
      <c r="R199">
        <v>14175</v>
      </c>
    </row>
    <row r="200" spans="1:18">
      <c r="A200" s="209" t="s">
        <v>2773</v>
      </c>
      <c r="B200" s="209">
        <v>354</v>
      </c>
      <c r="C200" s="205" t="s">
        <v>857</v>
      </c>
      <c r="D200" s="183">
        <v>8</v>
      </c>
      <c r="E200" s="183" t="s">
        <v>2018</v>
      </c>
      <c r="F200" s="183" t="s">
        <v>2778</v>
      </c>
      <c r="G200" s="209">
        <v>14175</v>
      </c>
      <c r="H200" s="209"/>
      <c r="I200" s="209"/>
      <c r="J200" s="209">
        <v>14175</v>
      </c>
      <c r="K200" s="209">
        <v>14175</v>
      </c>
      <c r="L200" s="209"/>
      <c r="M200" s="209"/>
      <c r="N200" s="209">
        <f t="shared" si="2"/>
        <v>0</v>
      </c>
      <c r="O200" s="183" t="s">
        <v>501</v>
      </c>
      <c r="P200" s="183" t="s">
        <v>2051</v>
      </c>
      <c r="Q200" s="3">
        <v>14175</v>
      </c>
      <c r="R200">
        <v>14175</v>
      </c>
    </row>
    <row r="201" spans="1:18">
      <c r="A201" s="209" t="s">
        <v>2744</v>
      </c>
      <c r="B201" s="209">
        <v>355</v>
      </c>
      <c r="C201" s="205" t="s">
        <v>2739</v>
      </c>
      <c r="D201" s="183">
        <v>1</v>
      </c>
      <c r="E201" s="183" t="s">
        <v>2019</v>
      </c>
      <c r="F201" s="183" t="s">
        <v>2774</v>
      </c>
      <c r="G201" s="209">
        <v>13500</v>
      </c>
      <c r="H201" s="209"/>
      <c r="I201" s="209"/>
      <c r="J201" s="209">
        <v>13500</v>
      </c>
      <c r="K201" s="209">
        <v>13500</v>
      </c>
      <c r="L201" s="209"/>
      <c r="M201" s="209"/>
      <c r="N201" s="209">
        <f t="shared" si="2"/>
        <v>0</v>
      </c>
      <c r="O201" s="183" t="s">
        <v>2753</v>
      </c>
      <c r="P201" s="183" t="s">
        <v>2754</v>
      </c>
    </row>
    <row r="202" spans="1:18">
      <c r="A202" s="209" t="s">
        <v>2744</v>
      </c>
      <c r="B202" s="209">
        <v>356</v>
      </c>
      <c r="C202" s="205" t="s">
        <v>2739</v>
      </c>
      <c r="D202" s="183">
        <v>2</v>
      </c>
      <c r="E202" s="183" t="s">
        <v>2020</v>
      </c>
      <c r="F202" s="183" t="s">
        <v>2755</v>
      </c>
      <c r="G202" s="209">
        <v>13500</v>
      </c>
      <c r="H202" s="209"/>
      <c r="I202" s="209"/>
      <c r="J202" s="209">
        <v>13500</v>
      </c>
      <c r="K202" s="209">
        <v>13500</v>
      </c>
      <c r="L202" s="209"/>
      <c r="M202" s="209"/>
      <c r="N202" s="209">
        <f t="shared" si="2"/>
        <v>0</v>
      </c>
      <c r="O202" s="183" t="s">
        <v>574</v>
      </c>
      <c r="P202" s="183" t="s">
        <v>575</v>
      </c>
    </row>
    <row r="203" spans="1:18">
      <c r="A203" s="209" t="s">
        <v>2744</v>
      </c>
      <c r="B203" s="209">
        <v>357</v>
      </c>
      <c r="C203" s="205" t="s">
        <v>2739</v>
      </c>
      <c r="D203" s="183">
        <v>3</v>
      </c>
      <c r="E203" s="183" t="s">
        <v>2021</v>
      </c>
      <c r="F203" s="183" t="s">
        <v>2012</v>
      </c>
      <c r="G203" s="209">
        <v>13500</v>
      </c>
      <c r="H203" s="209"/>
      <c r="I203" s="209"/>
      <c r="J203" s="209">
        <v>13500</v>
      </c>
      <c r="K203" s="209">
        <v>13500</v>
      </c>
      <c r="L203" s="209"/>
      <c r="M203" s="209"/>
      <c r="N203" s="209">
        <f t="shared" si="2"/>
        <v>0</v>
      </c>
      <c r="O203" s="183" t="s">
        <v>2662</v>
      </c>
      <c r="P203" s="183" t="s">
        <v>2767</v>
      </c>
      <c r="Q203" s="3">
        <v>13500</v>
      </c>
      <c r="R203">
        <v>13500</v>
      </c>
    </row>
    <row r="204" spans="1:18">
      <c r="A204" s="209" t="s">
        <v>2744</v>
      </c>
      <c r="B204" s="209">
        <v>358</v>
      </c>
      <c r="C204" s="205" t="s">
        <v>2739</v>
      </c>
      <c r="D204" s="183">
        <v>4</v>
      </c>
      <c r="E204" s="183" t="s">
        <v>2022</v>
      </c>
      <c r="F204" s="183" t="s">
        <v>2775</v>
      </c>
      <c r="G204" s="209">
        <v>13500</v>
      </c>
      <c r="H204" s="209"/>
      <c r="I204" s="209"/>
      <c r="J204" s="209">
        <v>13500</v>
      </c>
      <c r="K204" s="209">
        <v>13500</v>
      </c>
      <c r="L204" s="209"/>
      <c r="M204" s="209"/>
      <c r="N204" s="209">
        <f t="shared" si="2"/>
        <v>0</v>
      </c>
      <c r="O204" s="183" t="s">
        <v>818</v>
      </c>
      <c r="P204" s="183" t="s">
        <v>487</v>
      </c>
      <c r="Q204" s="3">
        <v>13500</v>
      </c>
      <c r="R204">
        <v>13500</v>
      </c>
    </row>
    <row r="205" spans="1:18">
      <c r="A205" s="209" t="s">
        <v>2744</v>
      </c>
      <c r="B205" s="209">
        <v>359</v>
      </c>
      <c r="C205" s="205" t="s">
        <v>2739</v>
      </c>
      <c r="D205" s="183">
        <v>5</v>
      </c>
      <c r="E205" s="183" t="s">
        <v>2023</v>
      </c>
      <c r="F205" s="183" t="s">
        <v>2776</v>
      </c>
      <c r="G205" s="209">
        <v>13500</v>
      </c>
      <c r="H205" s="209"/>
      <c r="I205" s="209"/>
      <c r="J205" s="209">
        <v>13500</v>
      </c>
      <c r="K205" s="209">
        <v>13500</v>
      </c>
      <c r="L205" s="209"/>
      <c r="M205" s="209"/>
      <c r="N205" s="209">
        <f t="shared" si="2"/>
        <v>0</v>
      </c>
      <c r="O205" s="183" t="s">
        <v>490</v>
      </c>
      <c r="P205" s="183" t="s">
        <v>491</v>
      </c>
      <c r="Q205" s="3">
        <v>13500</v>
      </c>
      <c r="R205">
        <v>13500</v>
      </c>
    </row>
    <row r="206" spans="1:18">
      <c r="A206" s="209" t="s">
        <v>2744</v>
      </c>
      <c r="B206" s="209">
        <v>360</v>
      </c>
      <c r="C206" s="205" t="s">
        <v>2739</v>
      </c>
      <c r="D206" s="183">
        <v>6</v>
      </c>
      <c r="E206" s="183" t="s">
        <v>2024</v>
      </c>
      <c r="F206" s="183" t="s">
        <v>2777</v>
      </c>
      <c r="G206" s="209">
        <v>13500</v>
      </c>
      <c r="H206" s="209"/>
      <c r="I206" s="209"/>
      <c r="J206" s="209">
        <v>13500</v>
      </c>
      <c r="K206" s="209">
        <v>13500</v>
      </c>
      <c r="L206" s="209"/>
      <c r="M206" s="209"/>
      <c r="N206" s="209">
        <f t="shared" si="2"/>
        <v>0</v>
      </c>
      <c r="O206" s="183" t="s">
        <v>1461</v>
      </c>
      <c r="P206" s="183" t="s">
        <v>492</v>
      </c>
      <c r="Q206" s="3">
        <v>13500</v>
      </c>
      <c r="R206">
        <v>13500</v>
      </c>
    </row>
    <row r="207" spans="1:18">
      <c r="A207" s="209" t="s">
        <v>2744</v>
      </c>
      <c r="B207" s="209">
        <v>361</v>
      </c>
      <c r="C207" s="205" t="s">
        <v>2739</v>
      </c>
      <c r="D207" s="183">
        <v>7</v>
      </c>
      <c r="E207" s="183" t="s">
        <v>2025</v>
      </c>
      <c r="F207" s="183" t="s">
        <v>2017</v>
      </c>
      <c r="G207" s="209">
        <v>13500</v>
      </c>
      <c r="H207" s="209"/>
      <c r="I207" s="209"/>
      <c r="J207" s="209">
        <v>13500</v>
      </c>
      <c r="K207" s="209">
        <v>13500</v>
      </c>
      <c r="L207" s="209"/>
      <c r="M207" s="209"/>
      <c r="N207" s="209">
        <f t="shared" ref="N207:N270" si="3">G207-J207</f>
        <v>0</v>
      </c>
      <c r="O207" s="183" t="s">
        <v>500</v>
      </c>
      <c r="P207" s="183" t="s">
        <v>500</v>
      </c>
      <c r="Q207" s="3">
        <v>13500</v>
      </c>
      <c r="R207">
        <v>13500</v>
      </c>
    </row>
    <row r="208" spans="1:18">
      <c r="A208" s="209" t="s">
        <v>2744</v>
      </c>
      <c r="B208" s="209">
        <v>362</v>
      </c>
      <c r="C208" s="205" t="s">
        <v>2739</v>
      </c>
      <c r="D208" s="183">
        <v>8</v>
      </c>
      <c r="E208" s="183" t="s">
        <v>2026</v>
      </c>
      <c r="F208" s="183" t="s">
        <v>2778</v>
      </c>
      <c r="G208" s="209">
        <v>13500</v>
      </c>
      <c r="H208" s="209"/>
      <c r="I208" s="209"/>
      <c r="J208" s="209">
        <v>13500</v>
      </c>
      <c r="K208" s="209">
        <v>13500</v>
      </c>
      <c r="L208" s="209"/>
      <c r="M208" s="209"/>
      <c r="N208" s="209">
        <f t="shared" si="3"/>
        <v>0</v>
      </c>
      <c r="O208" s="183" t="s">
        <v>501</v>
      </c>
      <c r="P208" s="183" t="s">
        <v>2051</v>
      </c>
      <c r="Q208" s="3">
        <v>13500</v>
      </c>
      <c r="R208">
        <v>13500</v>
      </c>
    </row>
    <row r="209" spans="1:21">
      <c r="A209" s="209" t="s">
        <v>2745</v>
      </c>
      <c r="B209" s="209">
        <v>363</v>
      </c>
      <c r="C209" s="205" t="s">
        <v>2027</v>
      </c>
      <c r="D209" s="183">
        <v>1</v>
      </c>
      <c r="E209" s="183" t="s">
        <v>2028</v>
      </c>
      <c r="F209" s="183" t="s">
        <v>440</v>
      </c>
      <c r="G209" s="209">
        <v>11340</v>
      </c>
      <c r="H209" s="209"/>
      <c r="I209" s="209"/>
      <c r="J209" s="209">
        <v>11340</v>
      </c>
      <c r="K209" s="209">
        <v>11340</v>
      </c>
      <c r="L209" s="209"/>
      <c r="M209" s="209"/>
      <c r="N209" s="209">
        <f t="shared" si="3"/>
        <v>0</v>
      </c>
      <c r="O209" s="183" t="s">
        <v>2758</v>
      </c>
      <c r="P209" s="183" t="s">
        <v>2759</v>
      </c>
    </row>
    <row r="210" spans="1:21">
      <c r="A210" s="209" t="s">
        <v>2745</v>
      </c>
      <c r="B210" s="209">
        <v>364</v>
      </c>
      <c r="C210" s="205" t="s">
        <v>2027</v>
      </c>
      <c r="D210" s="183">
        <v>2</v>
      </c>
      <c r="E210" s="183" t="s">
        <v>2029</v>
      </c>
      <c r="F210" s="183" t="s">
        <v>441</v>
      </c>
      <c r="G210" s="209">
        <v>11340</v>
      </c>
      <c r="H210" s="209"/>
      <c r="I210" s="209"/>
      <c r="J210" s="209">
        <v>11340</v>
      </c>
      <c r="K210" s="209">
        <v>11340</v>
      </c>
      <c r="L210" s="209"/>
      <c r="M210" s="209"/>
      <c r="N210" s="209">
        <f t="shared" si="3"/>
        <v>0</v>
      </c>
      <c r="O210" s="183" t="s">
        <v>2746</v>
      </c>
      <c r="P210" s="183" t="s">
        <v>2747</v>
      </c>
    </row>
    <row r="211" spans="1:21" s="114" customFormat="1">
      <c r="A211" s="214" t="s">
        <v>2745</v>
      </c>
      <c r="B211" s="214">
        <v>365</v>
      </c>
      <c r="C211" s="213" t="s">
        <v>2027</v>
      </c>
      <c r="D211" s="213">
        <v>3</v>
      </c>
      <c r="E211" s="213" t="s">
        <v>2030</v>
      </c>
      <c r="F211" s="213" t="s">
        <v>415</v>
      </c>
      <c r="G211" s="214">
        <v>11340</v>
      </c>
      <c r="H211" s="214"/>
      <c r="I211" s="214"/>
      <c r="J211" s="214">
        <v>11340</v>
      </c>
      <c r="K211" s="214">
        <v>11340</v>
      </c>
      <c r="L211" s="214"/>
      <c r="M211" s="214"/>
      <c r="N211" s="214">
        <f t="shared" si="3"/>
        <v>0</v>
      </c>
      <c r="O211" s="213" t="s">
        <v>2670</v>
      </c>
      <c r="P211" s="213" t="s">
        <v>486</v>
      </c>
      <c r="Q211" s="211">
        <v>11340</v>
      </c>
      <c r="R211" s="114">
        <v>11340</v>
      </c>
      <c r="T211" s="211"/>
      <c r="U211" s="212" t="s">
        <v>254</v>
      </c>
    </row>
    <row r="212" spans="1:21">
      <c r="A212" s="209" t="s">
        <v>2745</v>
      </c>
      <c r="B212" s="209">
        <v>366</v>
      </c>
      <c r="C212" s="205" t="s">
        <v>2027</v>
      </c>
      <c r="D212" s="183">
        <v>4</v>
      </c>
      <c r="E212" s="183" t="s">
        <v>2031</v>
      </c>
      <c r="F212" s="183" t="s">
        <v>442</v>
      </c>
      <c r="G212" s="209">
        <v>11340</v>
      </c>
      <c r="H212" s="209"/>
      <c r="I212" s="209"/>
      <c r="J212" s="209">
        <v>11340</v>
      </c>
      <c r="K212" s="209">
        <v>11340</v>
      </c>
      <c r="L212" s="209"/>
      <c r="M212" s="209"/>
      <c r="N212" s="209">
        <f t="shared" si="3"/>
        <v>0</v>
      </c>
      <c r="O212" s="183" t="s">
        <v>2768</v>
      </c>
      <c r="P212" s="183" t="s">
        <v>815</v>
      </c>
      <c r="Q212" s="3">
        <v>11340</v>
      </c>
      <c r="R212">
        <v>11340</v>
      </c>
    </row>
    <row r="213" spans="1:21">
      <c r="A213" s="209" t="s">
        <v>2745</v>
      </c>
      <c r="B213" s="209">
        <v>367</v>
      </c>
      <c r="C213" s="205" t="s">
        <v>2027</v>
      </c>
      <c r="D213" s="256">
        <v>5</v>
      </c>
      <c r="E213" s="183" t="s">
        <v>2032</v>
      </c>
      <c r="F213" s="183" t="s">
        <v>443</v>
      </c>
      <c r="G213" s="209">
        <v>11340</v>
      </c>
      <c r="H213" s="209"/>
      <c r="I213" s="209"/>
      <c r="J213" s="258">
        <v>11340</v>
      </c>
      <c r="K213" s="258">
        <v>11340</v>
      </c>
      <c r="L213" s="258"/>
      <c r="M213" s="258"/>
      <c r="N213" s="258">
        <f t="shared" si="3"/>
        <v>0</v>
      </c>
      <c r="O213" s="254" t="s">
        <v>488</v>
      </c>
      <c r="P213" s="183"/>
      <c r="Q213" s="3">
        <v>11340</v>
      </c>
      <c r="U213" s="257" t="s">
        <v>502</v>
      </c>
    </row>
    <row r="214" spans="1:21">
      <c r="A214" s="209" t="s">
        <v>2745</v>
      </c>
      <c r="B214" s="209">
        <v>368</v>
      </c>
      <c r="C214" s="205" t="s">
        <v>2027</v>
      </c>
      <c r="D214" s="256">
        <v>6</v>
      </c>
      <c r="E214" s="183" t="s">
        <v>2033</v>
      </c>
      <c r="F214" s="183" t="s">
        <v>444</v>
      </c>
      <c r="G214" s="209">
        <v>11340</v>
      </c>
      <c r="H214" s="209"/>
      <c r="I214" s="209"/>
      <c r="J214" s="258">
        <v>11340</v>
      </c>
      <c r="K214" s="258">
        <v>11340</v>
      </c>
      <c r="L214" s="258"/>
      <c r="M214" s="258"/>
      <c r="N214" s="258">
        <f t="shared" si="3"/>
        <v>0</v>
      </c>
      <c r="O214" s="183"/>
      <c r="P214" s="183"/>
      <c r="Q214" s="3">
        <v>11340</v>
      </c>
      <c r="U214" s="257" t="s">
        <v>503</v>
      </c>
    </row>
    <row r="215" spans="1:21">
      <c r="A215" s="209" t="s">
        <v>2745</v>
      </c>
      <c r="B215" s="209">
        <v>369</v>
      </c>
      <c r="C215" s="205" t="s">
        <v>2027</v>
      </c>
      <c r="D215" s="256">
        <v>7</v>
      </c>
      <c r="E215" s="183" t="s">
        <v>2034</v>
      </c>
      <c r="F215" s="183" t="s">
        <v>2035</v>
      </c>
      <c r="G215" s="209">
        <v>11340</v>
      </c>
      <c r="H215" s="209"/>
      <c r="I215" s="209"/>
      <c r="J215" s="258">
        <v>11340</v>
      </c>
      <c r="K215" s="258">
        <v>11340</v>
      </c>
      <c r="L215" s="258"/>
      <c r="M215" s="258"/>
      <c r="N215" s="258">
        <f t="shared" si="3"/>
        <v>0</v>
      </c>
      <c r="O215" s="183"/>
      <c r="P215" s="183"/>
      <c r="Q215" s="3">
        <v>11340</v>
      </c>
      <c r="U215" s="257" t="s">
        <v>503</v>
      </c>
    </row>
    <row r="216" spans="1:21">
      <c r="A216" s="209" t="s">
        <v>2745</v>
      </c>
      <c r="B216" s="209">
        <v>370</v>
      </c>
      <c r="C216" s="205" t="s">
        <v>2027</v>
      </c>
      <c r="D216" s="256">
        <v>8</v>
      </c>
      <c r="E216" s="183" t="s">
        <v>2036</v>
      </c>
      <c r="F216" s="183" t="s">
        <v>445</v>
      </c>
      <c r="G216" s="209">
        <v>11340</v>
      </c>
      <c r="H216" s="209"/>
      <c r="I216" s="209"/>
      <c r="J216" s="258">
        <v>11340</v>
      </c>
      <c r="K216" s="258">
        <v>11340</v>
      </c>
      <c r="L216" s="258"/>
      <c r="M216" s="258"/>
      <c r="N216" s="258">
        <f t="shared" si="3"/>
        <v>0</v>
      </c>
      <c r="O216" s="183"/>
      <c r="P216" s="183"/>
      <c r="Q216" s="3">
        <v>11340</v>
      </c>
      <c r="U216" s="257" t="s">
        <v>503</v>
      </c>
    </row>
    <row r="217" spans="1:21">
      <c r="A217" s="209" t="s">
        <v>446</v>
      </c>
      <c r="B217" s="209"/>
      <c r="C217" s="205" t="s">
        <v>2421</v>
      </c>
      <c r="D217" s="226">
        <v>2</v>
      </c>
      <c r="E217" s="183" t="s">
        <v>1283</v>
      </c>
      <c r="F217" s="183" t="s">
        <v>446</v>
      </c>
      <c r="G217" s="165"/>
      <c r="H217" s="165"/>
      <c r="I217" s="165"/>
      <c r="J217" s="165"/>
      <c r="K217" s="165"/>
      <c r="L217" s="165"/>
      <c r="M217" s="165"/>
      <c r="N217" s="165">
        <f t="shared" si="3"/>
        <v>0</v>
      </c>
      <c r="O217" s="183" t="s">
        <v>446</v>
      </c>
      <c r="P217" s="183" t="s">
        <v>446</v>
      </c>
      <c r="Q217" s="178">
        <v>14175</v>
      </c>
      <c r="R217" s="178">
        <v>14165</v>
      </c>
      <c r="S217" s="178"/>
      <c r="T217" s="3">
        <v>10</v>
      </c>
      <c r="U217">
        <f>Q217-R217-T217</f>
        <v>0</v>
      </c>
    </row>
    <row r="218" spans="1:21">
      <c r="A218" s="209" t="s">
        <v>2751</v>
      </c>
      <c r="B218" s="209">
        <v>371</v>
      </c>
      <c r="C218" s="205" t="s">
        <v>1699</v>
      </c>
      <c r="D218" s="226">
        <v>3</v>
      </c>
      <c r="E218" s="183" t="s">
        <v>2037</v>
      </c>
      <c r="F218" s="183" t="s">
        <v>2774</v>
      </c>
      <c r="G218" s="209">
        <v>13500</v>
      </c>
      <c r="H218" s="209"/>
      <c r="I218" s="209"/>
      <c r="J218" s="209">
        <v>13500</v>
      </c>
      <c r="K218" s="209">
        <v>13500</v>
      </c>
      <c r="L218" s="209"/>
      <c r="M218" s="209"/>
      <c r="N218" s="209">
        <f t="shared" si="3"/>
        <v>0</v>
      </c>
      <c r="O218" s="183" t="s">
        <v>2753</v>
      </c>
      <c r="P218" s="183" t="s">
        <v>2754</v>
      </c>
    </row>
    <row r="219" spans="1:21">
      <c r="A219" s="209" t="s">
        <v>448</v>
      </c>
      <c r="B219" s="209"/>
      <c r="C219" s="205" t="s">
        <v>1532</v>
      </c>
      <c r="D219" s="226">
        <v>3</v>
      </c>
      <c r="E219" s="183" t="s">
        <v>1283</v>
      </c>
      <c r="F219" s="183" t="s">
        <v>448</v>
      </c>
      <c r="G219" s="165"/>
      <c r="H219" s="165"/>
      <c r="I219" s="165"/>
      <c r="J219" s="165"/>
      <c r="K219" s="165"/>
      <c r="L219" s="165"/>
      <c r="M219" s="165"/>
      <c r="N219" s="165">
        <f t="shared" si="3"/>
        <v>0</v>
      </c>
      <c r="O219" s="183" t="s">
        <v>448</v>
      </c>
      <c r="P219" s="183" t="s">
        <v>448</v>
      </c>
      <c r="Q219" s="178">
        <v>13500</v>
      </c>
      <c r="R219" s="178">
        <v>13500</v>
      </c>
      <c r="S219" s="178"/>
    </row>
    <row r="220" spans="1:21">
      <c r="A220" s="209" t="s">
        <v>449</v>
      </c>
      <c r="B220" s="209">
        <v>372</v>
      </c>
      <c r="C220" s="205" t="s">
        <v>1232</v>
      </c>
      <c r="D220" s="226">
        <v>1</v>
      </c>
      <c r="E220" s="183" t="s">
        <v>2038</v>
      </c>
      <c r="F220" s="183" t="s">
        <v>2039</v>
      </c>
      <c r="G220" s="209">
        <v>16380</v>
      </c>
      <c r="H220" s="209"/>
      <c r="I220" s="209"/>
      <c r="J220" s="209">
        <v>16380</v>
      </c>
      <c r="K220" s="209">
        <v>16380</v>
      </c>
      <c r="L220" s="209"/>
      <c r="M220" s="209"/>
      <c r="N220" s="209">
        <f t="shared" si="3"/>
        <v>0</v>
      </c>
      <c r="O220" s="183" t="s">
        <v>2753</v>
      </c>
      <c r="P220" s="183" t="s">
        <v>2754</v>
      </c>
    </row>
    <row r="221" spans="1:21">
      <c r="A221" s="209" t="s">
        <v>450</v>
      </c>
      <c r="B221" s="209"/>
      <c r="C221" s="205" t="s">
        <v>3825</v>
      </c>
      <c r="D221" s="226">
        <v>2</v>
      </c>
      <c r="E221" s="183" t="s">
        <v>1283</v>
      </c>
      <c r="F221" s="183" t="s">
        <v>450</v>
      </c>
      <c r="G221" s="165"/>
      <c r="H221" s="165"/>
      <c r="I221" s="165"/>
      <c r="J221" s="165"/>
      <c r="K221" s="165"/>
      <c r="L221" s="165"/>
      <c r="M221" s="165"/>
      <c r="N221" s="165">
        <f t="shared" si="3"/>
        <v>0</v>
      </c>
      <c r="O221" s="183" t="s">
        <v>450</v>
      </c>
      <c r="P221" s="183" t="s">
        <v>450</v>
      </c>
      <c r="Q221" s="3">
        <v>14175</v>
      </c>
      <c r="R221" s="178">
        <v>14145</v>
      </c>
      <c r="S221" s="178"/>
      <c r="T221" s="3">
        <v>30</v>
      </c>
    </row>
    <row r="222" spans="1:21" s="7" customFormat="1">
      <c r="A222" s="209" t="s">
        <v>2040</v>
      </c>
      <c r="B222" s="209"/>
      <c r="C222" s="205" t="s">
        <v>1230</v>
      </c>
      <c r="D222" s="226">
        <v>5</v>
      </c>
      <c r="E222" s="199" t="s">
        <v>1283</v>
      </c>
      <c r="F222" s="199" t="s">
        <v>452</v>
      </c>
      <c r="G222" s="165"/>
      <c r="H222" s="165"/>
      <c r="I222" s="165"/>
      <c r="J222" s="165"/>
      <c r="K222" s="165"/>
      <c r="L222" s="165"/>
      <c r="M222" s="165"/>
      <c r="N222" s="165">
        <f t="shared" si="3"/>
        <v>0</v>
      </c>
      <c r="O222" s="199" t="s">
        <v>2040</v>
      </c>
      <c r="P222" s="199" t="s">
        <v>2040</v>
      </c>
      <c r="Q222" s="165">
        <v>11970</v>
      </c>
      <c r="R222" s="209">
        <v>11940</v>
      </c>
      <c r="S222" s="209"/>
      <c r="T222" s="165">
        <v>30</v>
      </c>
    </row>
    <row r="223" spans="1:21">
      <c r="A223" s="209" t="s">
        <v>453</v>
      </c>
      <c r="B223" s="209">
        <v>373</v>
      </c>
      <c r="C223" s="205" t="s">
        <v>2041</v>
      </c>
      <c r="D223" s="183">
        <v>1</v>
      </c>
      <c r="E223" s="183" t="s">
        <v>2042</v>
      </c>
      <c r="F223" s="183" t="s">
        <v>1863</v>
      </c>
      <c r="G223" s="209">
        <v>14175</v>
      </c>
      <c r="H223" s="209"/>
      <c r="I223" s="209"/>
      <c r="J223" s="209">
        <v>14175</v>
      </c>
      <c r="K223" s="209">
        <v>14175</v>
      </c>
      <c r="L223" s="209"/>
      <c r="M223" s="209"/>
      <c r="N223" s="209">
        <f t="shared" si="3"/>
        <v>0</v>
      </c>
      <c r="O223" s="183" t="s">
        <v>2753</v>
      </c>
      <c r="P223" s="183" t="s">
        <v>2754</v>
      </c>
    </row>
    <row r="224" spans="1:21">
      <c r="A224" s="209" t="s">
        <v>453</v>
      </c>
      <c r="B224" s="209">
        <v>374</v>
      </c>
      <c r="C224" s="205" t="s">
        <v>2041</v>
      </c>
      <c r="D224" s="183">
        <v>2</v>
      </c>
      <c r="E224" s="183" t="s">
        <v>2043</v>
      </c>
      <c r="F224" s="183" t="s">
        <v>1865</v>
      </c>
      <c r="G224" s="209">
        <v>14175</v>
      </c>
      <c r="H224" s="209"/>
      <c r="I224" s="209"/>
      <c r="J224" s="209">
        <v>14175</v>
      </c>
      <c r="K224" s="209">
        <v>14175</v>
      </c>
      <c r="L224" s="209"/>
      <c r="M224" s="209"/>
      <c r="N224" s="209">
        <f t="shared" si="3"/>
        <v>0</v>
      </c>
      <c r="O224" s="183" t="s">
        <v>574</v>
      </c>
      <c r="P224" s="183" t="s">
        <v>575</v>
      </c>
    </row>
    <row r="225" spans="1:21">
      <c r="A225" s="209" t="s">
        <v>453</v>
      </c>
      <c r="B225" s="209">
        <v>375</v>
      </c>
      <c r="C225" s="205" t="s">
        <v>2041</v>
      </c>
      <c r="D225" s="183">
        <v>3</v>
      </c>
      <c r="E225" s="183" t="s">
        <v>2044</v>
      </c>
      <c r="F225" s="183" t="s">
        <v>1867</v>
      </c>
      <c r="G225" s="209">
        <v>14175</v>
      </c>
      <c r="H225" s="209"/>
      <c r="I225" s="209"/>
      <c r="J225" s="209">
        <v>14175</v>
      </c>
      <c r="K225" s="209">
        <v>14175</v>
      </c>
      <c r="L225" s="209"/>
      <c r="M225" s="209"/>
      <c r="N225" s="209">
        <f t="shared" si="3"/>
        <v>0</v>
      </c>
      <c r="O225" s="183" t="s">
        <v>2662</v>
      </c>
      <c r="P225" s="183" t="s">
        <v>2767</v>
      </c>
      <c r="Q225" s="3">
        <v>14175</v>
      </c>
      <c r="R225">
        <v>14175</v>
      </c>
    </row>
    <row r="226" spans="1:21">
      <c r="A226" s="209" t="s">
        <v>453</v>
      </c>
      <c r="B226" s="209">
        <v>376</v>
      </c>
      <c r="C226" s="205" t="s">
        <v>2041</v>
      </c>
      <c r="D226" s="183">
        <v>4</v>
      </c>
      <c r="E226" s="183" t="s">
        <v>2045</v>
      </c>
      <c r="F226" s="183" t="s">
        <v>1869</v>
      </c>
      <c r="G226" s="209">
        <v>14175</v>
      </c>
      <c r="H226" s="209"/>
      <c r="I226" s="209"/>
      <c r="J226" s="209">
        <v>14175</v>
      </c>
      <c r="K226" s="209">
        <v>14175</v>
      </c>
      <c r="L226" s="209"/>
      <c r="M226" s="209"/>
      <c r="N226" s="209">
        <f t="shared" si="3"/>
        <v>0</v>
      </c>
      <c r="O226" s="183" t="s">
        <v>818</v>
      </c>
      <c r="P226" s="183" t="s">
        <v>487</v>
      </c>
      <c r="Q226" s="3">
        <v>14175</v>
      </c>
      <c r="R226">
        <v>14175</v>
      </c>
    </row>
    <row r="227" spans="1:21">
      <c r="A227" s="209" t="s">
        <v>453</v>
      </c>
      <c r="B227" s="209">
        <v>377</v>
      </c>
      <c r="C227" s="205" t="s">
        <v>2041</v>
      </c>
      <c r="D227" s="183">
        <v>5</v>
      </c>
      <c r="E227" s="183" t="s">
        <v>2046</v>
      </c>
      <c r="F227" s="183" t="s">
        <v>1871</v>
      </c>
      <c r="G227" s="209">
        <v>14175</v>
      </c>
      <c r="H227" s="209"/>
      <c r="I227" s="209"/>
      <c r="J227" s="209">
        <v>14175</v>
      </c>
      <c r="K227" s="209">
        <v>14175</v>
      </c>
      <c r="L227" s="209"/>
      <c r="M227" s="209"/>
      <c r="N227" s="209">
        <f t="shared" si="3"/>
        <v>0</v>
      </c>
      <c r="O227" s="183" t="s">
        <v>490</v>
      </c>
      <c r="P227" s="183" t="s">
        <v>491</v>
      </c>
      <c r="Q227" s="3">
        <v>14175</v>
      </c>
      <c r="R227">
        <v>14175</v>
      </c>
    </row>
    <row r="228" spans="1:21">
      <c r="A228" s="209" t="s">
        <v>453</v>
      </c>
      <c r="B228" s="209">
        <v>378</v>
      </c>
      <c r="C228" s="205" t="s">
        <v>2041</v>
      </c>
      <c r="D228" s="183">
        <v>6</v>
      </c>
      <c r="E228" s="183" t="s">
        <v>2047</v>
      </c>
      <c r="F228" s="183" t="s">
        <v>1873</v>
      </c>
      <c r="G228" s="209">
        <v>14175</v>
      </c>
      <c r="H228" s="209"/>
      <c r="I228" s="209"/>
      <c r="J228" s="209">
        <v>14175</v>
      </c>
      <c r="K228" s="209">
        <v>14175</v>
      </c>
      <c r="L228" s="209"/>
      <c r="M228" s="209"/>
      <c r="N228" s="209">
        <f t="shared" si="3"/>
        <v>0</v>
      </c>
      <c r="O228" s="183" t="s">
        <v>1461</v>
      </c>
      <c r="P228" s="183" t="s">
        <v>492</v>
      </c>
      <c r="Q228" s="3">
        <v>14175</v>
      </c>
      <c r="R228">
        <v>14175</v>
      </c>
    </row>
    <row r="229" spans="1:21">
      <c r="A229" s="209" t="s">
        <v>453</v>
      </c>
      <c r="B229" s="209">
        <v>379</v>
      </c>
      <c r="C229" s="205" t="s">
        <v>2041</v>
      </c>
      <c r="D229" s="183">
        <v>7</v>
      </c>
      <c r="E229" s="183" t="s">
        <v>2048</v>
      </c>
      <c r="F229" s="183" t="s">
        <v>2049</v>
      </c>
      <c r="G229" s="209">
        <v>14175</v>
      </c>
      <c r="H229" s="209"/>
      <c r="I229" s="209"/>
      <c r="J229" s="209">
        <v>14175</v>
      </c>
      <c r="K229" s="209">
        <v>14175</v>
      </c>
      <c r="L229" s="209"/>
      <c r="M229" s="209"/>
      <c r="N229" s="209">
        <f t="shared" si="3"/>
        <v>0</v>
      </c>
      <c r="O229" s="183" t="s">
        <v>505</v>
      </c>
      <c r="P229" s="183" t="s">
        <v>505</v>
      </c>
      <c r="Q229" s="3">
        <v>14175</v>
      </c>
      <c r="R229">
        <v>14175</v>
      </c>
    </row>
    <row r="230" spans="1:21">
      <c r="A230" s="209" t="s">
        <v>453</v>
      </c>
      <c r="B230" s="209">
        <v>380</v>
      </c>
      <c r="C230" s="205" t="s">
        <v>2041</v>
      </c>
      <c r="D230" s="183">
        <v>8</v>
      </c>
      <c r="E230" s="183" t="s">
        <v>2050</v>
      </c>
      <c r="F230" s="183" t="s">
        <v>2051</v>
      </c>
      <c r="G230" s="209">
        <v>14175</v>
      </c>
      <c r="H230" s="209"/>
      <c r="I230" s="209"/>
      <c r="J230" s="209">
        <v>14175</v>
      </c>
      <c r="K230" s="209">
        <v>14175</v>
      </c>
      <c r="L230" s="209"/>
      <c r="M230" s="209"/>
      <c r="N230" s="209">
        <f t="shared" si="3"/>
        <v>0</v>
      </c>
      <c r="O230" s="183" t="s">
        <v>506</v>
      </c>
      <c r="P230" s="183" t="s">
        <v>507</v>
      </c>
      <c r="Q230" s="3">
        <v>14175</v>
      </c>
      <c r="R230">
        <v>14175</v>
      </c>
    </row>
    <row r="231" spans="1:21">
      <c r="A231" s="209" t="s">
        <v>454</v>
      </c>
      <c r="B231" s="209">
        <v>381</v>
      </c>
      <c r="C231" s="205" t="s">
        <v>1307</v>
      </c>
      <c r="D231" s="183">
        <v>1</v>
      </c>
      <c r="E231" s="183" t="s">
        <v>2052</v>
      </c>
      <c r="F231" s="183" t="s">
        <v>1863</v>
      </c>
      <c r="G231" s="209">
        <v>13500</v>
      </c>
      <c r="H231" s="209"/>
      <c r="I231" s="209"/>
      <c r="J231" s="209">
        <v>13500</v>
      </c>
      <c r="K231" s="209">
        <v>13500</v>
      </c>
      <c r="L231" s="209"/>
      <c r="M231" s="209"/>
      <c r="N231" s="209">
        <f t="shared" si="3"/>
        <v>0</v>
      </c>
      <c r="O231" s="183" t="s">
        <v>2753</v>
      </c>
      <c r="P231" s="183" t="s">
        <v>2754</v>
      </c>
    </row>
    <row r="232" spans="1:21">
      <c r="A232" s="209" t="s">
        <v>454</v>
      </c>
      <c r="B232" s="209">
        <v>382</v>
      </c>
      <c r="C232" s="205" t="s">
        <v>1307</v>
      </c>
      <c r="D232" s="183">
        <v>2</v>
      </c>
      <c r="E232" s="183" t="s">
        <v>2053</v>
      </c>
      <c r="F232" s="183" t="s">
        <v>1865</v>
      </c>
      <c r="G232" s="209">
        <v>13500</v>
      </c>
      <c r="H232" s="209"/>
      <c r="I232" s="209"/>
      <c r="J232" s="209">
        <v>13500</v>
      </c>
      <c r="K232" s="209">
        <v>13500</v>
      </c>
      <c r="L232" s="209"/>
      <c r="M232" s="209"/>
      <c r="N232" s="209">
        <f t="shared" si="3"/>
        <v>0</v>
      </c>
      <c r="O232" s="183" t="s">
        <v>574</v>
      </c>
      <c r="P232" s="183" t="s">
        <v>575</v>
      </c>
    </row>
    <row r="233" spans="1:21">
      <c r="A233" s="209" t="s">
        <v>454</v>
      </c>
      <c r="B233" s="209">
        <v>383</v>
      </c>
      <c r="C233" s="205" t="s">
        <v>1307</v>
      </c>
      <c r="D233" s="183">
        <v>3</v>
      </c>
      <c r="E233" s="183" t="s">
        <v>2054</v>
      </c>
      <c r="F233" s="183" t="s">
        <v>1867</v>
      </c>
      <c r="G233" s="209">
        <v>13500</v>
      </c>
      <c r="H233" s="209"/>
      <c r="I233" s="209"/>
      <c r="J233" s="209">
        <v>13500</v>
      </c>
      <c r="K233" s="209">
        <v>13500</v>
      </c>
      <c r="L233" s="209"/>
      <c r="M233" s="209"/>
      <c r="N233" s="209">
        <f t="shared" si="3"/>
        <v>0</v>
      </c>
      <c r="O233" s="183" t="s">
        <v>2662</v>
      </c>
      <c r="P233" s="183" t="s">
        <v>2767</v>
      </c>
      <c r="Q233" s="3">
        <v>13500</v>
      </c>
      <c r="R233">
        <v>13500</v>
      </c>
    </row>
    <row r="234" spans="1:21">
      <c r="A234" s="209" t="s">
        <v>454</v>
      </c>
      <c r="B234" s="209">
        <v>384</v>
      </c>
      <c r="C234" s="205" t="s">
        <v>1307</v>
      </c>
      <c r="D234" s="183">
        <v>4</v>
      </c>
      <c r="E234" s="183" t="s">
        <v>2055</v>
      </c>
      <c r="F234" s="183" t="s">
        <v>1869</v>
      </c>
      <c r="G234" s="209">
        <v>13500</v>
      </c>
      <c r="H234" s="209"/>
      <c r="I234" s="209"/>
      <c r="J234" s="209">
        <v>13500</v>
      </c>
      <c r="K234" s="209">
        <v>13500</v>
      </c>
      <c r="L234" s="209"/>
      <c r="M234" s="209"/>
      <c r="N234" s="209">
        <f t="shared" si="3"/>
        <v>0</v>
      </c>
      <c r="O234" s="183" t="s">
        <v>818</v>
      </c>
      <c r="P234" s="183" t="s">
        <v>487</v>
      </c>
      <c r="Q234" s="3">
        <v>13500</v>
      </c>
      <c r="R234">
        <v>13500</v>
      </c>
    </row>
    <row r="235" spans="1:21">
      <c r="A235" s="209" t="s">
        <v>454</v>
      </c>
      <c r="B235" s="209">
        <v>385</v>
      </c>
      <c r="C235" s="205" t="s">
        <v>1307</v>
      </c>
      <c r="D235" s="183">
        <v>5</v>
      </c>
      <c r="E235" s="183" t="s">
        <v>2056</v>
      </c>
      <c r="F235" s="183" t="s">
        <v>1871</v>
      </c>
      <c r="G235" s="209">
        <v>13500</v>
      </c>
      <c r="H235" s="209"/>
      <c r="I235" s="209"/>
      <c r="J235" s="209">
        <v>13500</v>
      </c>
      <c r="K235" s="209">
        <v>13500</v>
      </c>
      <c r="L235" s="209"/>
      <c r="M235" s="209"/>
      <c r="N235" s="209">
        <f t="shared" si="3"/>
        <v>0</v>
      </c>
      <c r="O235" s="183" t="s">
        <v>490</v>
      </c>
      <c r="P235" s="183" t="s">
        <v>491</v>
      </c>
      <c r="Q235" s="3">
        <v>13500</v>
      </c>
      <c r="R235">
        <v>13500</v>
      </c>
    </row>
    <row r="236" spans="1:21">
      <c r="A236" s="209" t="s">
        <v>454</v>
      </c>
      <c r="B236" s="209">
        <v>386</v>
      </c>
      <c r="C236" s="205" t="s">
        <v>1307</v>
      </c>
      <c r="D236" s="183">
        <v>6</v>
      </c>
      <c r="E236" s="183" t="s">
        <v>2057</v>
      </c>
      <c r="F236" s="183" t="s">
        <v>1873</v>
      </c>
      <c r="G236" s="209">
        <v>13500</v>
      </c>
      <c r="H236" s="209"/>
      <c r="I236" s="209"/>
      <c r="J236" s="209">
        <v>13500</v>
      </c>
      <c r="K236" s="209">
        <v>13500</v>
      </c>
      <c r="L236" s="209"/>
      <c r="M236" s="209"/>
      <c r="N236" s="209">
        <f t="shared" si="3"/>
        <v>0</v>
      </c>
      <c r="O236" s="183" t="s">
        <v>1461</v>
      </c>
      <c r="P236" s="183" t="s">
        <v>492</v>
      </c>
      <c r="Q236" s="3">
        <v>13500</v>
      </c>
      <c r="R236">
        <v>13500</v>
      </c>
    </row>
    <row r="237" spans="1:21">
      <c r="A237" s="209" t="s">
        <v>454</v>
      </c>
      <c r="B237" s="209">
        <v>387</v>
      </c>
      <c r="C237" s="205" t="s">
        <v>1307</v>
      </c>
      <c r="D237" s="183">
        <v>7</v>
      </c>
      <c r="E237" s="183" t="s">
        <v>2058</v>
      </c>
      <c r="F237" s="183" t="s">
        <v>2049</v>
      </c>
      <c r="G237" s="209">
        <v>13500</v>
      </c>
      <c r="H237" s="209"/>
      <c r="I237" s="209"/>
      <c r="J237" s="209">
        <v>13500</v>
      </c>
      <c r="K237" s="209">
        <v>13500</v>
      </c>
      <c r="L237" s="209"/>
      <c r="M237" s="209"/>
      <c r="N237" s="209">
        <f t="shared" si="3"/>
        <v>0</v>
      </c>
      <c r="O237" s="183" t="s">
        <v>505</v>
      </c>
      <c r="P237" s="183" t="s">
        <v>505</v>
      </c>
      <c r="Q237" s="3">
        <v>13500</v>
      </c>
      <c r="R237">
        <v>13500</v>
      </c>
    </row>
    <row r="238" spans="1:21">
      <c r="A238" s="209" t="s">
        <v>454</v>
      </c>
      <c r="B238" s="209">
        <v>388</v>
      </c>
      <c r="C238" s="205" t="s">
        <v>1307</v>
      </c>
      <c r="D238" s="183">
        <v>8</v>
      </c>
      <c r="E238" s="183" t="s">
        <v>2059</v>
      </c>
      <c r="F238" s="183" t="s">
        <v>2051</v>
      </c>
      <c r="G238" s="209">
        <v>13500</v>
      </c>
      <c r="H238" s="209"/>
      <c r="I238" s="209"/>
      <c r="J238" s="209">
        <v>13500</v>
      </c>
      <c r="K238" s="209">
        <v>13500</v>
      </c>
      <c r="L238" s="209"/>
      <c r="M238" s="209"/>
      <c r="N238" s="209">
        <f t="shared" si="3"/>
        <v>0</v>
      </c>
      <c r="O238" s="183" t="s">
        <v>506</v>
      </c>
      <c r="P238" s="183" t="s">
        <v>507</v>
      </c>
      <c r="Q238" s="3">
        <v>13500</v>
      </c>
      <c r="R238">
        <v>13500</v>
      </c>
    </row>
    <row r="239" spans="1:21" s="95" customFormat="1">
      <c r="A239" s="182" t="s">
        <v>455</v>
      </c>
      <c r="B239" s="182"/>
      <c r="C239" s="210" t="s">
        <v>2060</v>
      </c>
      <c r="D239" s="226">
        <v>1</v>
      </c>
      <c r="E239" s="210" t="s">
        <v>1283</v>
      </c>
      <c r="F239" s="210" t="s">
        <v>455</v>
      </c>
      <c r="G239" s="179"/>
      <c r="H239" s="179"/>
      <c r="I239" s="179"/>
      <c r="J239" s="179"/>
      <c r="K239" s="179"/>
      <c r="L239" s="179"/>
      <c r="M239" s="179"/>
      <c r="N239" s="179">
        <f t="shared" si="3"/>
        <v>0</v>
      </c>
      <c r="O239" s="210" t="s">
        <v>455</v>
      </c>
      <c r="P239" s="210" t="s">
        <v>455</v>
      </c>
      <c r="Q239" s="182">
        <v>14175</v>
      </c>
      <c r="R239" s="182">
        <v>14145</v>
      </c>
      <c r="S239" s="182"/>
      <c r="T239" s="179">
        <v>30</v>
      </c>
      <c r="U239" s="210" t="s">
        <v>245</v>
      </c>
    </row>
    <row r="240" spans="1:21" s="7" customFormat="1">
      <c r="A240" s="209" t="s">
        <v>455</v>
      </c>
      <c r="B240" s="209"/>
      <c r="C240" s="205" t="s">
        <v>1230</v>
      </c>
      <c r="D240" s="226">
        <v>6</v>
      </c>
      <c r="E240" s="199" t="s">
        <v>1283</v>
      </c>
      <c r="F240" s="199" t="s">
        <v>455</v>
      </c>
      <c r="G240" s="165"/>
      <c r="H240" s="165"/>
      <c r="I240" s="165"/>
      <c r="J240" s="165"/>
      <c r="K240" s="165"/>
      <c r="L240" s="165"/>
      <c r="M240" s="165"/>
      <c r="N240" s="165">
        <f t="shared" si="3"/>
        <v>0</v>
      </c>
      <c r="O240" s="199" t="s">
        <v>455</v>
      </c>
      <c r="P240" s="199" t="s">
        <v>455</v>
      </c>
      <c r="Q240" s="165">
        <v>11970</v>
      </c>
      <c r="R240" s="209">
        <v>11940</v>
      </c>
      <c r="S240" s="209"/>
      <c r="T240" s="165">
        <v>30</v>
      </c>
    </row>
    <row r="241" spans="1:20">
      <c r="A241" s="209" t="s">
        <v>441</v>
      </c>
      <c r="B241" s="209">
        <v>389</v>
      </c>
      <c r="C241" s="205" t="s">
        <v>1699</v>
      </c>
      <c r="D241" s="226">
        <v>4</v>
      </c>
      <c r="E241" s="183" t="s">
        <v>2061</v>
      </c>
      <c r="F241" s="183" t="s">
        <v>2755</v>
      </c>
      <c r="G241" s="165">
        <v>13500</v>
      </c>
      <c r="H241" s="165"/>
      <c r="I241" s="165"/>
      <c r="J241" s="165">
        <v>13500</v>
      </c>
      <c r="K241" s="165">
        <v>13500</v>
      </c>
      <c r="L241" s="165"/>
      <c r="M241" s="165"/>
      <c r="N241" s="165">
        <f t="shared" si="3"/>
        <v>0</v>
      </c>
      <c r="O241" s="183" t="s">
        <v>574</v>
      </c>
      <c r="P241" s="183" t="s">
        <v>575</v>
      </c>
      <c r="R241" s="178"/>
      <c r="S241" s="178"/>
      <c r="T241" s="165"/>
    </row>
    <row r="242" spans="1:20">
      <c r="A242" s="209" t="s">
        <v>2746</v>
      </c>
      <c r="B242" s="209">
        <v>390</v>
      </c>
      <c r="C242" s="205" t="s">
        <v>1232</v>
      </c>
      <c r="D242" s="226">
        <v>2</v>
      </c>
      <c r="E242" s="183" t="s">
        <v>2062</v>
      </c>
      <c r="F242" s="183" t="s">
        <v>2063</v>
      </c>
      <c r="G242" s="209">
        <v>16380</v>
      </c>
      <c r="H242" s="209"/>
      <c r="I242" s="209"/>
      <c r="J242" s="209">
        <v>16380</v>
      </c>
      <c r="K242" s="209">
        <v>16380</v>
      </c>
      <c r="L242" s="209"/>
      <c r="M242" s="209"/>
      <c r="N242" s="209">
        <f t="shared" si="3"/>
        <v>0</v>
      </c>
      <c r="O242" s="183" t="s">
        <v>2760</v>
      </c>
      <c r="P242" s="183" t="s">
        <v>2755</v>
      </c>
    </row>
    <row r="243" spans="1:20">
      <c r="A243" s="209" t="s">
        <v>457</v>
      </c>
      <c r="B243" s="209"/>
      <c r="C243" s="205" t="s">
        <v>2421</v>
      </c>
      <c r="D243" s="226">
        <v>3</v>
      </c>
      <c r="E243" s="183" t="s">
        <v>1283</v>
      </c>
      <c r="F243" s="183" t="s">
        <v>457</v>
      </c>
      <c r="G243" s="165"/>
      <c r="H243" s="165"/>
      <c r="I243" s="165"/>
      <c r="J243" s="165"/>
      <c r="K243" s="165"/>
      <c r="L243" s="165"/>
      <c r="M243" s="165"/>
      <c r="N243" s="165">
        <f t="shared" si="3"/>
        <v>0</v>
      </c>
      <c r="O243" s="183" t="s">
        <v>457</v>
      </c>
      <c r="P243" s="183" t="s">
        <v>457</v>
      </c>
      <c r="Q243" s="178">
        <v>14175</v>
      </c>
      <c r="R243" s="178">
        <v>14165</v>
      </c>
      <c r="S243" s="178"/>
      <c r="T243" s="3">
        <v>10</v>
      </c>
    </row>
    <row r="244" spans="1:20">
      <c r="A244" s="209" t="s">
        <v>2760</v>
      </c>
      <c r="B244" s="209">
        <v>391</v>
      </c>
      <c r="C244" s="205" t="s">
        <v>8</v>
      </c>
      <c r="D244" s="183">
        <v>1</v>
      </c>
      <c r="E244" s="183" t="s">
        <v>2064</v>
      </c>
      <c r="F244" s="183" t="s">
        <v>2065</v>
      </c>
      <c r="G244" s="209">
        <v>14175</v>
      </c>
      <c r="H244" s="209"/>
      <c r="I244" s="209"/>
      <c r="J244" s="209">
        <v>14175</v>
      </c>
      <c r="K244" s="209">
        <v>14175</v>
      </c>
      <c r="L244" s="209"/>
      <c r="M244" s="209"/>
      <c r="N244" s="209">
        <f t="shared" si="3"/>
        <v>0</v>
      </c>
      <c r="O244" s="183" t="s">
        <v>415</v>
      </c>
      <c r="P244" s="183" t="s">
        <v>2563</v>
      </c>
    </row>
    <row r="245" spans="1:20">
      <c r="A245" s="209" t="s">
        <v>2760</v>
      </c>
      <c r="B245" s="209">
        <v>392</v>
      </c>
      <c r="C245" s="205" t="s">
        <v>8</v>
      </c>
      <c r="D245" s="183">
        <v>2</v>
      </c>
      <c r="E245" s="183" t="s">
        <v>2066</v>
      </c>
      <c r="F245" s="183" t="s">
        <v>2067</v>
      </c>
      <c r="G245" s="209">
        <v>14175</v>
      </c>
      <c r="H245" s="209"/>
      <c r="I245" s="209"/>
      <c r="J245" s="209">
        <v>14175</v>
      </c>
      <c r="K245" s="209">
        <v>14175</v>
      </c>
      <c r="L245" s="209"/>
      <c r="M245" s="209"/>
      <c r="N245" s="209">
        <f t="shared" si="3"/>
        <v>0</v>
      </c>
      <c r="O245" s="183" t="s">
        <v>415</v>
      </c>
      <c r="P245" s="183" t="s">
        <v>2563</v>
      </c>
    </row>
    <row r="246" spans="1:20">
      <c r="A246" s="209" t="s">
        <v>2760</v>
      </c>
      <c r="B246" s="209">
        <v>393</v>
      </c>
      <c r="C246" s="205" t="s">
        <v>8</v>
      </c>
      <c r="D246" s="183">
        <v>3</v>
      </c>
      <c r="E246" s="183" t="s">
        <v>2068</v>
      </c>
      <c r="F246" s="183" t="s">
        <v>2069</v>
      </c>
      <c r="G246" s="209">
        <v>14175</v>
      </c>
      <c r="H246" s="209"/>
      <c r="I246" s="209"/>
      <c r="J246" s="209">
        <v>14175</v>
      </c>
      <c r="K246" s="209">
        <v>14175</v>
      </c>
      <c r="L246" s="209"/>
      <c r="M246" s="209"/>
      <c r="N246" s="209">
        <f t="shared" si="3"/>
        <v>0</v>
      </c>
      <c r="O246" s="183" t="s">
        <v>2768</v>
      </c>
      <c r="P246" s="183" t="s">
        <v>815</v>
      </c>
      <c r="Q246" s="3">
        <v>14175</v>
      </c>
      <c r="R246">
        <v>14175</v>
      </c>
    </row>
    <row r="247" spans="1:20">
      <c r="A247" s="209" t="s">
        <v>2760</v>
      </c>
      <c r="B247" s="209">
        <v>394</v>
      </c>
      <c r="C247" s="205" t="s">
        <v>8</v>
      </c>
      <c r="D247" s="183">
        <v>4</v>
      </c>
      <c r="E247" s="183" t="s">
        <v>2070</v>
      </c>
      <c r="F247" s="183" t="s">
        <v>2071</v>
      </c>
      <c r="G247" s="209">
        <v>14175</v>
      </c>
      <c r="H247" s="209"/>
      <c r="I247" s="209"/>
      <c r="J247" s="209">
        <v>14175</v>
      </c>
      <c r="K247" s="209">
        <v>14175</v>
      </c>
      <c r="L247" s="209"/>
      <c r="M247" s="209"/>
      <c r="N247" s="209">
        <f t="shared" si="3"/>
        <v>0</v>
      </c>
      <c r="O247" s="183" t="s">
        <v>488</v>
      </c>
      <c r="P247" s="183" t="s">
        <v>489</v>
      </c>
      <c r="Q247" s="3">
        <v>14175</v>
      </c>
      <c r="R247">
        <v>14175</v>
      </c>
    </row>
    <row r="248" spans="1:20">
      <c r="A248" s="209" t="s">
        <v>2760</v>
      </c>
      <c r="B248" s="209">
        <v>395</v>
      </c>
      <c r="C248" s="205" t="s">
        <v>8</v>
      </c>
      <c r="D248" s="183">
        <v>5</v>
      </c>
      <c r="E248" s="183" t="s">
        <v>2072</v>
      </c>
      <c r="F248" s="183" t="s">
        <v>2073</v>
      </c>
      <c r="G248" s="209">
        <v>14175</v>
      </c>
      <c r="H248" s="209"/>
      <c r="I248" s="209"/>
      <c r="J248" s="209">
        <v>14175</v>
      </c>
      <c r="K248" s="209">
        <v>14175</v>
      </c>
      <c r="L248" s="209"/>
      <c r="M248" s="209"/>
      <c r="N248" s="209">
        <f t="shared" si="3"/>
        <v>0</v>
      </c>
      <c r="O248" s="183" t="s">
        <v>493</v>
      </c>
      <c r="P248" s="183" t="s">
        <v>911</v>
      </c>
      <c r="Q248" s="3">
        <v>14175</v>
      </c>
      <c r="R248">
        <v>14175</v>
      </c>
    </row>
    <row r="249" spans="1:20">
      <c r="A249" s="209" t="s">
        <v>2760</v>
      </c>
      <c r="B249" s="209">
        <v>396</v>
      </c>
      <c r="C249" s="205" t="s">
        <v>8</v>
      </c>
      <c r="D249" s="183">
        <v>6</v>
      </c>
      <c r="E249" s="183" t="s">
        <v>2074</v>
      </c>
      <c r="F249" s="183" t="s">
        <v>2075</v>
      </c>
      <c r="G249" s="209">
        <v>14175</v>
      </c>
      <c r="H249" s="209"/>
      <c r="I249" s="209"/>
      <c r="J249" s="209">
        <v>14175</v>
      </c>
      <c r="K249" s="209">
        <v>14175</v>
      </c>
      <c r="L249" s="209"/>
      <c r="M249" s="209"/>
      <c r="N249" s="209">
        <f t="shared" si="3"/>
        <v>0</v>
      </c>
      <c r="O249" s="183" t="s">
        <v>458</v>
      </c>
      <c r="P249" s="183" t="s">
        <v>2035</v>
      </c>
      <c r="Q249" s="3">
        <v>14175</v>
      </c>
      <c r="R249">
        <v>14175</v>
      </c>
    </row>
    <row r="250" spans="1:20">
      <c r="A250" s="209" t="s">
        <v>2760</v>
      </c>
      <c r="B250" s="209">
        <v>397</v>
      </c>
      <c r="C250" s="205" t="s">
        <v>8</v>
      </c>
      <c r="D250" s="183">
        <v>7</v>
      </c>
      <c r="E250" s="183" t="s">
        <v>2076</v>
      </c>
      <c r="F250" s="183" t="s">
        <v>2077</v>
      </c>
      <c r="G250" s="209">
        <v>14175</v>
      </c>
      <c r="H250" s="209"/>
      <c r="I250" s="209"/>
      <c r="J250" s="209">
        <v>14175</v>
      </c>
      <c r="K250" s="209">
        <v>14175</v>
      </c>
      <c r="L250" s="209"/>
      <c r="M250" s="209"/>
      <c r="N250" s="209">
        <f t="shared" si="3"/>
        <v>0</v>
      </c>
      <c r="O250" s="183" t="s">
        <v>496</v>
      </c>
      <c r="P250" s="183" t="s">
        <v>497</v>
      </c>
      <c r="Q250" s="3">
        <v>14175</v>
      </c>
      <c r="R250">
        <v>14175</v>
      </c>
    </row>
    <row r="251" spans="1:20">
      <c r="A251" s="209" t="s">
        <v>2760</v>
      </c>
      <c r="B251" s="209">
        <v>398</v>
      </c>
      <c r="C251" s="205" t="s">
        <v>8</v>
      </c>
      <c r="D251" s="183">
        <v>8</v>
      </c>
      <c r="E251" s="183" t="s">
        <v>2078</v>
      </c>
      <c r="F251" s="183" t="s">
        <v>2079</v>
      </c>
      <c r="G251" s="209">
        <v>14175</v>
      </c>
      <c r="H251" s="209"/>
      <c r="I251" s="209"/>
      <c r="J251" s="209">
        <v>14175</v>
      </c>
      <c r="K251" s="209">
        <v>14175</v>
      </c>
      <c r="L251" s="209"/>
      <c r="M251" s="209"/>
      <c r="N251" s="209">
        <f t="shared" si="3"/>
        <v>0</v>
      </c>
      <c r="O251" s="183" t="s">
        <v>609</v>
      </c>
      <c r="P251" s="183" t="s">
        <v>2079</v>
      </c>
      <c r="Q251" s="3">
        <v>14175</v>
      </c>
      <c r="R251">
        <v>14175</v>
      </c>
    </row>
    <row r="252" spans="1:20">
      <c r="A252" s="209" t="s">
        <v>2080</v>
      </c>
      <c r="B252" s="209"/>
      <c r="C252" s="205" t="s">
        <v>1532</v>
      </c>
      <c r="D252" s="226">
        <v>4</v>
      </c>
      <c r="E252" s="183" t="s">
        <v>1283</v>
      </c>
      <c r="F252" s="183" t="s">
        <v>2080</v>
      </c>
      <c r="G252" s="165"/>
      <c r="H252" s="165"/>
      <c r="I252" s="165"/>
      <c r="J252" s="165"/>
      <c r="K252" s="165"/>
      <c r="L252" s="165"/>
      <c r="M252" s="165"/>
      <c r="N252" s="165">
        <f t="shared" si="3"/>
        <v>0</v>
      </c>
      <c r="O252" s="183" t="s">
        <v>2080</v>
      </c>
      <c r="P252" s="183" t="s">
        <v>2080</v>
      </c>
      <c r="Q252" s="178">
        <v>13500</v>
      </c>
      <c r="R252" s="178">
        <v>13485</v>
      </c>
      <c r="S252" s="178"/>
      <c r="T252" s="3">
        <v>15</v>
      </c>
    </row>
    <row r="253" spans="1:20">
      <c r="A253" s="209" t="s">
        <v>2081</v>
      </c>
      <c r="B253" s="209"/>
      <c r="C253" s="205" t="s">
        <v>3825</v>
      </c>
      <c r="D253" s="226">
        <v>3</v>
      </c>
      <c r="E253" s="183" t="s">
        <v>1283</v>
      </c>
      <c r="F253" s="183" t="s">
        <v>2081</v>
      </c>
      <c r="G253" s="165"/>
      <c r="H253" s="165"/>
      <c r="I253" s="165"/>
      <c r="J253" s="165"/>
      <c r="K253" s="165"/>
      <c r="L253" s="165"/>
      <c r="M253" s="165"/>
      <c r="N253" s="165">
        <f t="shared" si="3"/>
        <v>0</v>
      </c>
      <c r="O253" s="183" t="s">
        <v>2081</v>
      </c>
      <c r="P253" s="183" t="s">
        <v>2081</v>
      </c>
      <c r="Q253" s="178">
        <v>14175</v>
      </c>
      <c r="R253" s="178">
        <v>14145</v>
      </c>
      <c r="S253" s="178"/>
      <c r="T253" s="3">
        <v>30</v>
      </c>
    </row>
    <row r="254" spans="1:20">
      <c r="A254" s="209" t="s">
        <v>2082</v>
      </c>
      <c r="B254" s="209">
        <v>399</v>
      </c>
      <c r="C254" s="205" t="s">
        <v>1270</v>
      </c>
      <c r="D254" s="183">
        <v>5</v>
      </c>
      <c r="E254" s="183" t="s">
        <v>2083</v>
      </c>
      <c r="F254" s="183" t="s">
        <v>2652</v>
      </c>
      <c r="G254" s="209">
        <v>20475</v>
      </c>
      <c r="H254" s="209"/>
      <c r="I254" s="209"/>
      <c r="J254" s="209">
        <v>20475</v>
      </c>
      <c r="K254" s="209">
        <v>20475</v>
      </c>
      <c r="L254" s="209"/>
      <c r="M254" s="209"/>
      <c r="N254" s="209">
        <f t="shared" si="3"/>
        <v>0</v>
      </c>
      <c r="O254" s="183" t="s">
        <v>415</v>
      </c>
      <c r="P254" s="183" t="s">
        <v>2563</v>
      </c>
    </row>
    <row r="255" spans="1:20">
      <c r="A255" s="209" t="s">
        <v>2082</v>
      </c>
      <c r="B255" s="209">
        <v>400</v>
      </c>
      <c r="C255" s="205" t="s">
        <v>1270</v>
      </c>
      <c r="D255" s="183">
        <v>6</v>
      </c>
      <c r="E255" s="183" t="s">
        <v>2084</v>
      </c>
      <c r="F255" s="183" t="s">
        <v>819</v>
      </c>
      <c r="G255" s="209">
        <v>20475</v>
      </c>
      <c r="H255" s="209"/>
      <c r="I255" s="209"/>
      <c r="J255" s="209">
        <v>20475</v>
      </c>
      <c r="K255" s="209">
        <v>20475</v>
      </c>
      <c r="L255" s="209"/>
      <c r="M255" s="209"/>
      <c r="N255" s="209">
        <f t="shared" si="3"/>
        <v>0</v>
      </c>
      <c r="O255" s="183" t="s">
        <v>2768</v>
      </c>
      <c r="P255" s="183" t="s">
        <v>815</v>
      </c>
      <c r="Q255" s="3">
        <v>20475</v>
      </c>
      <c r="R255">
        <v>20475</v>
      </c>
    </row>
    <row r="256" spans="1:20">
      <c r="A256" s="209" t="s">
        <v>2082</v>
      </c>
      <c r="B256" s="209">
        <v>401</v>
      </c>
      <c r="C256" s="205" t="s">
        <v>1270</v>
      </c>
      <c r="D256" s="183">
        <v>7</v>
      </c>
      <c r="E256" s="183" t="s">
        <v>2085</v>
      </c>
      <c r="F256" s="183" t="s">
        <v>820</v>
      </c>
      <c r="G256" s="209">
        <v>20475</v>
      </c>
      <c r="H256" s="209"/>
      <c r="I256" s="209"/>
      <c r="J256" s="209">
        <v>20475</v>
      </c>
      <c r="K256" s="209">
        <v>20475</v>
      </c>
      <c r="L256" s="209"/>
      <c r="M256" s="209"/>
      <c r="N256" s="209">
        <f t="shared" si="3"/>
        <v>0</v>
      </c>
      <c r="O256" s="183" t="s">
        <v>488</v>
      </c>
      <c r="P256" s="183" t="s">
        <v>489</v>
      </c>
      <c r="Q256" s="3">
        <v>20475</v>
      </c>
      <c r="R256">
        <v>20475</v>
      </c>
    </row>
    <row r="257" spans="1:21">
      <c r="A257" s="209" t="s">
        <v>2082</v>
      </c>
      <c r="B257" s="209">
        <v>402</v>
      </c>
      <c r="C257" s="205" t="s">
        <v>1270</v>
      </c>
      <c r="D257" s="183">
        <v>8</v>
      </c>
      <c r="E257" s="183" t="s">
        <v>2086</v>
      </c>
      <c r="F257" s="183" t="s">
        <v>821</v>
      </c>
      <c r="G257" s="209">
        <v>20475</v>
      </c>
      <c r="H257" s="209"/>
      <c r="I257" s="209"/>
      <c r="J257" s="209">
        <v>20475</v>
      </c>
      <c r="K257" s="209">
        <v>20475</v>
      </c>
      <c r="L257" s="209"/>
      <c r="M257" s="209"/>
      <c r="N257" s="209">
        <f t="shared" si="3"/>
        <v>0</v>
      </c>
      <c r="O257" s="183" t="s">
        <v>493</v>
      </c>
      <c r="P257" s="183" t="s">
        <v>911</v>
      </c>
      <c r="Q257" s="3">
        <v>20475</v>
      </c>
      <c r="R257">
        <v>20475</v>
      </c>
    </row>
    <row r="258" spans="1:21">
      <c r="A258" s="209" t="s">
        <v>2087</v>
      </c>
      <c r="B258" s="209"/>
      <c r="C258" s="205" t="s">
        <v>2421</v>
      </c>
      <c r="D258" s="226">
        <v>4</v>
      </c>
      <c r="E258" s="183" t="s">
        <v>1283</v>
      </c>
      <c r="F258" s="183" t="s">
        <v>2088</v>
      </c>
      <c r="G258" s="165"/>
      <c r="H258" s="165"/>
      <c r="I258" s="165"/>
      <c r="J258" s="165"/>
      <c r="K258" s="165"/>
      <c r="L258" s="165"/>
      <c r="M258" s="165"/>
      <c r="N258" s="165">
        <f t="shared" si="3"/>
        <v>0</v>
      </c>
      <c r="O258" s="183" t="s">
        <v>2087</v>
      </c>
      <c r="P258" s="206" t="s">
        <v>2087</v>
      </c>
      <c r="Q258" s="178">
        <v>14175</v>
      </c>
      <c r="R258" s="178">
        <v>14165</v>
      </c>
      <c r="S258" s="178"/>
      <c r="T258" s="3">
        <v>10</v>
      </c>
    </row>
    <row r="259" spans="1:21">
      <c r="A259" s="209" t="s">
        <v>1961</v>
      </c>
      <c r="B259" s="209">
        <v>403</v>
      </c>
      <c r="C259" s="205" t="s">
        <v>1699</v>
      </c>
      <c r="D259" s="226">
        <v>5</v>
      </c>
      <c r="E259" s="183" t="s">
        <v>2089</v>
      </c>
      <c r="F259" s="183" t="s">
        <v>2012</v>
      </c>
      <c r="G259" s="209">
        <v>13500</v>
      </c>
      <c r="H259" s="209"/>
      <c r="I259" s="209"/>
      <c r="J259" s="209">
        <v>13500</v>
      </c>
      <c r="K259" s="209">
        <v>13500</v>
      </c>
      <c r="L259" s="209"/>
      <c r="M259" s="209"/>
      <c r="N259" s="209">
        <f t="shared" si="3"/>
        <v>0</v>
      </c>
      <c r="O259" s="183" t="s">
        <v>2662</v>
      </c>
      <c r="P259" s="183" t="s">
        <v>2767</v>
      </c>
      <c r="Q259" s="3">
        <v>13500</v>
      </c>
      <c r="R259">
        <v>13500</v>
      </c>
    </row>
    <row r="260" spans="1:21">
      <c r="A260" s="209" t="s">
        <v>1961</v>
      </c>
      <c r="B260" s="209">
        <v>404</v>
      </c>
      <c r="C260" s="205" t="s">
        <v>1302</v>
      </c>
      <c r="D260" s="183">
        <v>1</v>
      </c>
      <c r="E260" s="183" t="s">
        <v>2090</v>
      </c>
      <c r="F260" s="183" t="s">
        <v>822</v>
      </c>
      <c r="G260" s="209">
        <v>11970</v>
      </c>
      <c r="H260" s="209"/>
      <c r="I260" s="209"/>
      <c r="J260" s="209">
        <v>11970</v>
      </c>
      <c r="K260" s="209">
        <v>11970</v>
      </c>
      <c r="L260" s="209"/>
      <c r="M260" s="209"/>
      <c r="N260" s="209">
        <f t="shared" si="3"/>
        <v>0</v>
      </c>
      <c r="O260" s="183" t="s">
        <v>2662</v>
      </c>
      <c r="P260" s="183" t="s">
        <v>2767</v>
      </c>
      <c r="Q260" s="3">
        <v>11970</v>
      </c>
      <c r="R260">
        <v>11970</v>
      </c>
    </row>
    <row r="261" spans="1:21">
      <c r="A261" s="209" t="s">
        <v>1961</v>
      </c>
      <c r="B261" s="209">
        <v>405</v>
      </c>
      <c r="C261" s="205" t="s">
        <v>1302</v>
      </c>
      <c r="D261" s="183">
        <v>2</v>
      </c>
      <c r="E261" s="183" t="s">
        <v>2091</v>
      </c>
      <c r="F261" s="183" t="s">
        <v>823</v>
      </c>
      <c r="G261" s="209">
        <v>11970</v>
      </c>
      <c r="H261" s="209"/>
      <c r="I261" s="209"/>
      <c r="J261" s="209">
        <v>11970</v>
      </c>
      <c r="K261" s="209">
        <v>11970</v>
      </c>
      <c r="L261" s="209"/>
      <c r="M261" s="209"/>
      <c r="N261" s="209">
        <f t="shared" si="3"/>
        <v>0</v>
      </c>
      <c r="O261" s="183" t="s">
        <v>494</v>
      </c>
      <c r="P261" s="183" t="s">
        <v>908</v>
      </c>
      <c r="Q261" s="3">
        <v>11970</v>
      </c>
      <c r="R261">
        <v>11970</v>
      </c>
    </row>
    <row r="262" spans="1:21">
      <c r="A262" s="209" t="s">
        <v>1961</v>
      </c>
      <c r="B262" s="209">
        <v>406</v>
      </c>
      <c r="C262" s="205" t="s">
        <v>1302</v>
      </c>
      <c r="D262" s="183">
        <v>3</v>
      </c>
      <c r="E262" s="183" t="s">
        <v>2092</v>
      </c>
      <c r="F262" s="183" t="s">
        <v>824</v>
      </c>
      <c r="G262" s="209">
        <v>11970</v>
      </c>
      <c r="H262" s="209"/>
      <c r="I262" s="209"/>
      <c r="J262" s="209">
        <v>11970</v>
      </c>
      <c r="K262" s="209">
        <v>11970</v>
      </c>
      <c r="L262" s="209"/>
      <c r="M262" s="209"/>
      <c r="N262" s="209">
        <f t="shared" si="3"/>
        <v>0</v>
      </c>
      <c r="O262" s="183" t="s">
        <v>495</v>
      </c>
      <c r="P262" s="183" t="s">
        <v>1472</v>
      </c>
      <c r="Q262" s="3">
        <v>11970</v>
      </c>
      <c r="R262">
        <v>11970</v>
      </c>
    </row>
    <row r="263" spans="1:21">
      <c r="A263" s="209" t="s">
        <v>1961</v>
      </c>
      <c r="B263" s="209">
        <v>407</v>
      </c>
      <c r="C263" s="205" t="s">
        <v>1302</v>
      </c>
      <c r="D263" s="183">
        <v>4</v>
      </c>
      <c r="E263" s="183" t="s">
        <v>2093</v>
      </c>
      <c r="F263" s="183" t="s">
        <v>2094</v>
      </c>
      <c r="G263" s="209">
        <v>11970</v>
      </c>
      <c r="H263" s="209"/>
      <c r="I263" s="209"/>
      <c r="J263" s="209">
        <v>11970</v>
      </c>
      <c r="K263" s="209">
        <v>11970</v>
      </c>
      <c r="L263" s="209"/>
      <c r="M263" s="209"/>
      <c r="N263" s="209">
        <f t="shared" si="3"/>
        <v>0</v>
      </c>
      <c r="O263" s="183" t="s">
        <v>1461</v>
      </c>
      <c r="P263" s="183" t="s">
        <v>492</v>
      </c>
      <c r="Q263" s="3">
        <v>11970</v>
      </c>
      <c r="R263">
        <v>11970</v>
      </c>
    </row>
    <row r="264" spans="1:21">
      <c r="A264" s="209" t="s">
        <v>1961</v>
      </c>
      <c r="B264" s="209">
        <v>408</v>
      </c>
      <c r="C264" s="205" t="s">
        <v>1302</v>
      </c>
      <c r="D264" s="183">
        <v>5</v>
      </c>
      <c r="E264" s="183" t="s">
        <v>2095</v>
      </c>
      <c r="F264" s="183" t="s">
        <v>825</v>
      </c>
      <c r="G264" s="209">
        <v>11970</v>
      </c>
      <c r="H264" s="209"/>
      <c r="I264" s="209"/>
      <c r="J264" s="209">
        <v>11970</v>
      </c>
      <c r="K264" s="209">
        <v>11970</v>
      </c>
      <c r="L264" s="209"/>
      <c r="M264" s="209"/>
      <c r="N264" s="209">
        <f t="shared" si="3"/>
        <v>0</v>
      </c>
      <c r="O264" s="183" t="s">
        <v>504</v>
      </c>
      <c r="P264" s="183" t="s">
        <v>505</v>
      </c>
      <c r="Q264" s="3">
        <v>11970</v>
      </c>
      <c r="R264">
        <v>11970</v>
      </c>
    </row>
    <row r="265" spans="1:21">
      <c r="A265" s="209" t="s">
        <v>1961</v>
      </c>
      <c r="B265" s="209">
        <v>409</v>
      </c>
      <c r="C265" s="205" t="s">
        <v>1302</v>
      </c>
      <c r="D265" s="183">
        <v>6</v>
      </c>
      <c r="E265" s="183" t="s">
        <v>2096</v>
      </c>
      <c r="F265" s="183" t="s">
        <v>826</v>
      </c>
      <c r="G265" s="209">
        <v>11970</v>
      </c>
      <c r="H265" s="209"/>
      <c r="I265" s="209"/>
      <c r="J265" s="209">
        <v>11970</v>
      </c>
      <c r="K265" s="209">
        <v>11970</v>
      </c>
      <c r="L265" s="209"/>
      <c r="M265" s="209"/>
      <c r="N265" s="209">
        <f t="shared" si="3"/>
        <v>0</v>
      </c>
      <c r="O265" s="183" t="s">
        <v>610</v>
      </c>
      <c r="P265" s="183" t="s">
        <v>611</v>
      </c>
      <c r="Q265" s="3">
        <v>11970</v>
      </c>
      <c r="R265">
        <v>11970</v>
      </c>
    </row>
    <row r="266" spans="1:21">
      <c r="A266" s="209" t="s">
        <v>1961</v>
      </c>
      <c r="B266" s="209">
        <v>410</v>
      </c>
      <c r="C266" s="205" t="s">
        <v>1302</v>
      </c>
      <c r="D266" s="183">
        <v>7</v>
      </c>
      <c r="E266" s="183" t="s">
        <v>2097</v>
      </c>
      <c r="F266" s="183" t="s">
        <v>827</v>
      </c>
      <c r="G266" s="209">
        <v>11970</v>
      </c>
      <c r="H266" s="209"/>
      <c r="I266" s="209"/>
      <c r="J266" s="209">
        <v>11970</v>
      </c>
      <c r="K266" s="209">
        <v>11970</v>
      </c>
      <c r="L266" s="209"/>
      <c r="M266" s="209"/>
      <c r="N266" s="209">
        <f t="shared" si="3"/>
        <v>0</v>
      </c>
      <c r="O266" s="183" t="s">
        <v>612</v>
      </c>
      <c r="P266" s="183" t="s">
        <v>2201</v>
      </c>
      <c r="Q266" s="3">
        <v>11970</v>
      </c>
      <c r="R266">
        <v>11970</v>
      </c>
    </row>
    <row r="267" spans="1:21">
      <c r="A267" s="209" t="s">
        <v>1961</v>
      </c>
      <c r="B267" s="209">
        <v>411</v>
      </c>
      <c r="C267" s="205" t="s">
        <v>1302</v>
      </c>
      <c r="D267" s="183">
        <v>8</v>
      </c>
      <c r="E267" s="183" t="s">
        <v>2098</v>
      </c>
      <c r="F267" s="183" t="s">
        <v>2099</v>
      </c>
      <c r="G267" s="209">
        <v>11970</v>
      </c>
      <c r="H267" s="209"/>
      <c r="I267" s="209"/>
      <c r="J267" s="209">
        <v>11970</v>
      </c>
      <c r="K267" s="209">
        <v>11970</v>
      </c>
      <c r="L267" s="209"/>
      <c r="M267" s="209"/>
      <c r="N267" s="209">
        <f t="shared" si="3"/>
        <v>0</v>
      </c>
      <c r="O267" s="183" t="s">
        <v>613</v>
      </c>
      <c r="P267" s="183" t="s">
        <v>614</v>
      </c>
      <c r="Q267" s="3">
        <v>11970</v>
      </c>
      <c r="R267">
        <v>11970</v>
      </c>
    </row>
    <row r="268" spans="1:21">
      <c r="A268" s="209" t="s">
        <v>2100</v>
      </c>
      <c r="B268" s="209"/>
      <c r="C268" s="205" t="s">
        <v>3825</v>
      </c>
      <c r="D268" s="226">
        <v>4</v>
      </c>
      <c r="E268" s="183" t="s">
        <v>1283</v>
      </c>
      <c r="F268" s="183" t="s">
        <v>2100</v>
      </c>
      <c r="G268" s="165"/>
      <c r="H268" s="165"/>
      <c r="I268" s="165"/>
      <c r="J268" s="209"/>
      <c r="K268" s="209"/>
      <c r="L268" s="209"/>
      <c r="M268" s="209"/>
      <c r="N268" s="209">
        <f t="shared" si="3"/>
        <v>0</v>
      </c>
      <c r="O268" s="183" t="s">
        <v>2100</v>
      </c>
      <c r="P268" s="183"/>
      <c r="Q268" s="178">
        <v>14175</v>
      </c>
      <c r="R268" s="178">
        <v>14145</v>
      </c>
      <c r="S268" s="178"/>
      <c r="T268" s="3">
        <v>30</v>
      </c>
    </row>
    <row r="269" spans="1:21" s="114" customFormat="1">
      <c r="A269" s="214" t="s">
        <v>2100</v>
      </c>
      <c r="B269" s="214">
        <v>412</v>
      </c>
      <c r="C269" s="213" t="s">
        <v>606</v>
      </c>
      <c r="D269" s="213">
        <v>1</v>
      </c>
      <c r="E269" s="213" t="s">
        <v>2101</v>
      </c>
      <c r="F269" s="213" t="s">
        <v>1961</v>
      </c>
      <c r="G269" s="214">
        <v>13500</v>
      </c>
      <c r="H269" s="214"/>
      <c r="I269" s="214"/>
      <c r="J269" s="214">
        <v>13500</v>
      </c>
      <c r="K269" s="214">
        <v>13500</v>
      </c>
      <c r="L269" s="214"/>
      <c r="M269" s="214"/>
      <c r="N269" s="214">
        <f t="shared" si="3"/>
        <v>0</v>
      </c>
      <c r="O269" s="213" t="s">
        <v>2670</v>
      </c>
      <c r="P269" s="213" t="s">
        <v>486</v>
      </c>
      <c r="Q269" s="211">
        <v>13500</v>
      </c>
      <c r="R269" s="114">
        <v>13500</v>
      </c>
      <c r="T269" s="211"/>
      <c r="U269" s="114" t="s">
        <v>254</v>
      </c>
    </row>
    <row r="270" spans="1:21">
      <c r="A270" s="209" t="s">
        <v>2100</v>
      </c>
      <c r="B270" s="209">
        <v>413</v>
      </c>
      <c r="C270" s="205" t="s">
        <v>606</v>
      </c>
      <c r="D270" s="183">
        <v>2</v>
      </c>
      <c r="E270" s="183" t="s">
        <v>2102</v>
      </c>
      <c r="F270" s="183" t="s">
        <v>1963</v>
      </c>
      <c r="G270" s="209">
        <v>13500</v>
      </c>
      <c r="H270" s="209"/>
      <c r="I270" s="209"/>
      <c r="J270" s="209">
        <v>13500</v>
      </c>
      <c r="K270" s="209">
        <v>13500</v>
      </c>
      <c r="L270" s="209"/>
      <c r="M270" s="209"/>
      <c r="N270" s="209">
        <f t="shared" si="3"/>
        <v>0</v>
      </c>
      <c r="O270" s="183" t="s">
        <v>818</v>
      </c>
      <c r="P270" s="183" t="s">
        <v>487</v>
      </c>
      <c r="Q270" s="3">
        <v>13500</v>
      </c>
      <c r="R270">
        <v>13500</v>
      </c>
    </row>
    <row r="271" spans="1:21">
      <c r="A271" s="209" t="s">
        <v>2100</v>
      </c>
      <c r="B271" s="209">
        <v>414</v>
      </c>
      <c r="C271" s="205" t="s">
        <v>606</v>
      </c>
      <c r="D271" s="183">
        <v>3</v>
      </c>
      <c r="E271" s="183" t="s">
        <v>2103</v>
      </c>
      <c r="F271" s="183" t="s">
        <v>1965</v>
      </c>
      <c r="G271" s="209">
        <v>13500</v>
      </c>
      <c r="H271" s="209"/>
      <c r="I271" s="209"/>
      <c r="J271" s="209">
        <v>13500</v>
      </c>
      <c r="K271" s="209">
        <v>13500</v>
      </c>
      <c r="L271" s="209"/>
      <c r="M271" s="209"/>
      <c r="N271" s="209">
        <f t="shared" ref="N271:N279" si="4">G271-J271</f>
        <v>0</v>
      </c>
      <c r="O271" s="183" t="s">
        <v>488</v>
      </c>
      <c r="P271" s="183" t="s">
        <v>489</v>
      </c>
      <c r="Q271" s="3">
        <v>13500</v>
      </c>
      <c r="R271">
        <v>13500</v>
      </c>
    </row>
    <row r="272" spans="1:21">
      <c r="A272" s="209" t="s">
        <v>2100</v>
      </c>
      <c r="B272" s="209">
        <v>415</v>
      </c>
      <c r="C272" s="205" t="s">
        <v>606</v>
      </c>
      <c r="D272" s="183">
        <v>4</v>
      </c>
      <c r="E272" s="183" t="s">
        <v>2104</v>
      </c>
      <c r="F272" s="183" t="s">
        <v>1967</v>
      </c>
      <c r="G272" s="209">
        <v>13500</v>
      </c>
      <c r="H272" s="209"/>
      <c r="I272" s="209"/>
      <c r="J272" s="209">
        <v>13500</v>
      </c>
      <c r="K272" s="209">
        <v>13500</v>
      </c>
      <c r="L272" s="209"/>
      <c r="M272" s="209"/>
      <c r="N272" s="209">
        <f t="shared" si="4"/>
        <v>0</v>
      </c>
      <c r="O272" s="183" t="s">
        <v>493</v>
      </c>
      <c r="P272" s="183" t="s">
        <v>911</v>
      </c>
      <c r="Q272" s="3">
        <v>13500</v>
      </c>
      <c r="R272">
        <v>13500</v>
      </c>
    </row>
    <row r="273" spans="1:21">
      <c r="A273" s="209" t="s">
        <v>2100</v>
      </c>
      <c r="B273" s="209">
        <v>416</v>
      </c>
      <c r="C273" s="205" t="s">
        <v>606</v>
      </c>
      <c r="D273" s="183">
        <v>5</v>
      </c>
      <c r="E273" s="183" t="s">
        <v>2105</v>
      </c>
      <c r="F273" s="183" t="s">
        <v>1969</v>
      </c>
      <c r="G273" s="209">
        <v>13500</v>
      </c>
      <c r="H273" s="209"/>
      <c r="I273" s="209"/>
      <c r="J273" s="209">
        <v>13500</v>
      </c>
      <c r="K273" s="209">
        <v>13500</v>
      </c>
      <c r="L273" s="209"/>
      <c r="M273" s="209"/>
      <c r="N273" s="209">
        <f t="shared" si="4"/>
        <v>0</v>
      </c>
      <c r="O273" s="183" t="s">
        <v>460</v>
      </c>
      <c r="P273" s="183" t="s">
        <v>1465</v>
      </c>
      <c r="Q273" s="3">
        <v>13500</v>
      </c>
      <c r="R273">
        <v>13500</v>
      </c>
    </row>
    <row r="274" spans="1:21">
      <c r="A274" s="209" t="s">
        <v>2100</v>
      </c>
      <c r="B274" s="209">
        <v>417</v>
      </c>
      <c r="C274" s="205" t="s">
        <v>606</v>
      </c>
      <c r="D274" s="183">
        <v>6</v>
      </c>
      <c r="E274" s="183" t="s">
        <v>2106</v>
      </c>
      <c r="F274" s="183" t="s">
        <v>2107</v>
      </c>
      <c r="G274" s="209">
        <v>13500</v>
      </c>
      <c r="H274" s="209"/>
      <c r="I274" s="209"/>
      <c r="J274" s="209">
        <v>13500</v>
      </c>
      <c r="K274" s="209">
        <v>13500</v>
      </c>
      <c r="L274" s="209"/>
      <c r="M274" s="209"/>
      <c r="N274" s="209">
        <f t="shared" si="4"/>
        <v>0</v>
      </c>
      <c r="O274" s="183" t="s">
        <v>508</v>
      </c>
      <c r="P274" s="183" t="s">
        <v>2107</v>
      </c>
      <c r="Q274" s="3">
        <v>13500</v>
      </c>
      <c r="R274">
        <v>13500</v>
      </c>
    </row>
    <row r="275" spans="1:21">
      <c r="A275" s="209" t="s">
        <v>2100</v>
      </c>
      <c r="B275" s="209">
        <v>418</v>
      </c>
      <c r="C275" s="205" t="s">
        <v>606</v>
      </c>
      <c r="D275" s="183">
        <v>7</v>
      </c>
      <c r="E275" s="183" t="s">
        <v>2108</v>
      </c>
      <c r="F275" s="183" t="s">
        <v>2109</v>
      </c>
      <c r="G275" s="209">
        <v>13500</v>
      </c>
      <c r="H275" s="209"/>
      <c r="I275" s="209"/>
      <c r="J275" s="209">
        <v>13500</v>
      </c>
      <c r="K275" s="209">
        <v>13500</v>
      </c>
      <c r="L275" s="209"/>
      <c r="M275" s="209"/>
      <c r="N275" s="209">
        <f t="shared" si="4"/>
        <v>0</v>
      </c>
      <c r="O275" s="183" t="s">
        <v>615</v>
      </c>
      <c r="P275" s="183" t="s">
        <v>616</v>
      </c>
      <c r="Q275" s="3">
        <v>13500</v>
      </c>
      <c r="R275">
        <v>13500</v>
      </c>
    </row>
    <row r="276" spans="1:21">
      <c r="A276" s="209" t="s">
        <v>2100</v>
      </c>
      <c r="B276" s="209">
        <v>419</v>
      </c>
      <c r="C276" s="205" t="s">
        <v>606</v>
      </c>
      <c r="D276" s="183">
        <v>8</v>
      </c>
      <c r="E276" s="183" t="s">
        <v>2110</v>
      </c>
      <c r="F276" s="183" t="s">
        <v>2111</v>
      </c>
      <c r="G276" s="209">
        <v>13500</v>
      </c>
      <c r="H276" s="209"/>
      <c r="I276" s="209"/>
      <c r="J276" s="209">
        <v>13500</v>
      </c>
      <c r="K276" s="209">
        <v>13500</v>
      </c>
      <c r="L276" s="209"/>
      <c r="M276" s="209"/>
      <c r="N276" s="209">
        <f t="shared" si="4"/>
        <v>0</v>
      </c>
      <c r="O276" s="183" t="s">
        <v>617</v>
      </c>
      <c r="P276" s="183" t="s">
        <v>618</v>
      </c>
      <c r="Q276" s="3">
        <v>13500</v>
      </c>
      <c r="R276">
        <v>13500</v>
      </c>
    </row>
    <row r="277" spans="1:21" s="95" customFormat="1">
      <c r="A277" s="182" t="s">
        <v>2112</v>
      </c>
      <c r="B277" s="182"/>
      <c r="C277" s="210" t="s">
        <v>2060</v>
      </c>
      <c r="D277" s="226">
        <v>2</v>
      </c>
      <c r="E277" s="210" t="s">
        <v>1283</v>
      </c>
      <c r="F277" s="210" t="s">
        <v>2112</v>
      </c>
      <c r="G277" s="179"/>
      <c r="H277" s="179"/>
      <c r="I277" s="179"/>
      <c r="J277" s="179"/>
      <c r="K277" s="179"/>
      <c r="L277" s="179"/>
      <c r="M277" s="179"/>
      <c r="N277" s="179">
        <f t="shared" si="4"/>
        <v>0</v>
      </c>
      <c r="O277" s="210" t="s">
        <v>2112</v>
      </c>
      <c r="P277" s="210" t="s">
        <v>2112</v>
      </c>
      <c r="Q277" s="182">
        <v>14175</v>
      </c>
      <c r="R277" s="182">
        <v>14145</v>
      </c>
      <c r="S277" s="182"/>
      <c r="T277" s="179">
        <v>30</v>
      </c>
      <c r="U277" s="210" t="s">
        <v>245</v>
      </c>
    </row>
    <row r="278" spans="1:21">
      <c r="A278" s="209" t="s">
        <v>2568</v>
      </c>
      <c r="B278" s="209"/>
      <c r="C278" s="205" t="s">
        <v>1532</v>
      </c>
      <c r="D278" s="226">
        <v>5</v>
      </c>
      <c r="E278" s="183" t="s">
        <v>1283</v>
      </c>
      <c r="F278" s="183" t="s">
        <v>2568</v>
      </c>
      <c r="G278" s="165"/>
      <c r="H278" s="165"/>
      <c r="I278" s="165"/>
      <c r="J278" s="165"/>
      <c r="K278" s="165"/>
      <c r="L278" s="165"/>
      <c r="M278" s="165"/>
      <c r="N278" s="165">
        <f t="shared" si="4"/>
        <v>0</v>
      </c>
      <c r="O278" s="183" t="s">
        <v>2568</v>
      </c>
      <c r="P278" s="183" t="s">
        <v>2568</v>
      </c>
      <c r="Q278" s="178">
        <v>13500</v>
      </c>
      <c r="R278" s="178">
        <v>13485</v>
      </c>
      <c r="S278" s="178"/>
      <c r="T278" s="3">
        <v>15</v>
      </c>
    </row>
    <row r="279" spans="1:21" s="5" customFormat="1">
      <c r="A279" s="249" t="s">
        <v>2113</v>
      </c>
      <c r="B279" s="249">
        <v>420</v>
      </c>
      <c r="C279" s="265" t="s">
        <v>1232</v>
      </c>
      <c r="D279" s="266">
        <v>3</v>
      </c>
      <c r="E279" s="267" t="s">
        <v>2114</v>
      </c>
      <c r="F279" s="267" t="s">
        <v>2115</v>
      </c>
      <c r="G279" s="249">
        <v>16380</v>
      </c>
      <c r="H279" s="249"/>
      <c r="I279" s="249"/>
      <c r="J279" s="249">
        <v>16380</v>
      </c>
      <c r="K279" s="249">
        <v>16380</v>
      </c>
      <c r="L279" s="249"/>
      <c r="M279" s="249"/>
      <c r="N279" s="249">
        <f t="shared" si="4"/>
        <v>0</v>
      </c>
      <c r="O279" s="267" t="s">
        <v>2662</v>
      </c>
      <c r="P279" s="267" t="s">
        <v>2767</v>
      </c>
      <c r="Q279" s="93">
        <v>16380</v>
      </c>
      <c r="R279" s="5">
        <v>16380</v>
      </c>
      <c r="T279" s="93"/>
    </row>
    <row r="280" spans="1:21" s="5" customFormat="1">
      <c r="A280" s="249"/>
      <c r="B280" s="249"/>
      <c r="C280" s="265"/>
      <c r="D280" s="266"/>
      <c r="E280" s="267"/>
      <c r="F280" s="267"/>
      <c r="G280" s="249"/>
      <c r="H280" s="249"/>
      <c r="I280" s="249"/>
      <c r="J280" s="249"/>
      <c r="K280" s="249"/>
      <c r="L280" s="249"/>
      <c r="M280" s="249"/>
      <c r="N280" s="249"/>
      <c r="O280" s="267"/>
      <c r="P280" s="267"/>
      <c r="Q280" s="93"/>
      <c r="T280" s="93"/>
    </row>
    <row r="281" spans="1:21" s="176" customFormat="1" ht="20.25" customHeight="1">
      <c r="A281" s="203" t="s">
        <v>2118</v>
      </c>
      <c r="B281" s="200"/>
      <c r="C281" s="201"/>
      <c r="D281" s="202"/>
      <c r="E281" s="201"/>
      <c r="F281" s="185" t="s">
        <v>2378</v>
      </c>
      <c r="G281" s="185">
        <f>SUM(G283:G509)</f>
        <v>2736915</v>
      </c>
      <c r="H281" s="185"/>
      <c r="I281" s="185"/>
      <c r="J281" s="185">
        <f>SUM(J283:J509)</f>
        <v>550043</v>
      </c>
      <c r="K281" s="185">
        <f>SUM(K283:K509)</f>
        <v>2144347</v>
      </c>
      <c r="L281" s="185"/>
      <c r="M281" s="185"/>
      <c r="N281" s="185">
        <f>SUM(N283:N509)</f>
        <v>42525</v>
      </c>
      <c r="O281" s="185"/>
      <c r="P281" s="185"/>
      <c r="Q281" s="185">
        <f>SUM(Q283:Q509)</f>
        <v>2904989</v>
      </c>
      <c r="R281" s="185">
        <f>SUM(R283:R509)</f>
        <v>2904715</v>
      </c>
      <c r="S281" s="185"/>
      <c r="T281" s="185">
        <f>SUM(T283:T509)</f>
        <v>275</v>
      </c>
    </row>
    <row r="282" spans="1:21" s="270" customFormat="1">
      <c r="A282" s="269" t="s">
        <v>1281</v>
      </c>
      <c r="B282" s="269" t="s">
        <v>2435</v>
      </c>
      <c r="C282" s="269" t="s">
        <v>1385</v>
      </c>
      <c r="D282" s="269" t="s">
        <v>1275</v>
      </c>
      <c r="E282" s="269" t="s">
        <v>265</v>
      </c>
      <c r="F282" s="269" t="s">
        <v>1280</v>
      </c>
      <c r="G282" s="269" t="s">
        <v>2434</v>
      </c>
      <c r="H282" s="269"/>
      <c r="I282" s="269"/>
      <c r="J282" s="269" t="s">
        <v>878</v>
      </c>
      <c r="K282" s="269" t="s">
        <v>879</v>
      </c>
      <c r="L282" s="269"/>
      <c r="M282" s="269"/>
      <c r="N282" s="269" t="s">
        <v>2438</v>
      </c>
      <c r="O282" s="269" t="s">
        <v>1282</v>
      </c>
      <c r="P282" s="269" t="s">
        <v>1386</v>
      </c>
      <c r="Q282" s="269" t="s">
        <v>576</v>
      </c>
      <c r="R282" s="269" t="s">
        <v>3593</v>
      </c>
      <c r="S282" s="269"/>
      <c r="T282" s="269" t="s">
        <v>577</v>
      </c>
    </row>
    <row r="283" spans="1:21" s="5" customFormat="1">
      <c r="A283" s="249" t="s">
        <v>509</v>
      </c>
      <c r="B283" s="249"/>
      <c r="C283" s="265" t="s">
        <v>2421</v>
      </c>
      <c r="D283" s="266">
        <v>5</v>
      </c>
      <c r="E283" s="267" t="s">
        <v>1283</v>
      </c>
      <c r="F283" s="249" t="s">
        <v>509</v>
      </c>
      <c r="G283" s="94"/>
      <c r="H283" s="94"/>
      <c r="I283" s="94"/>
      <c r="J283" s="94"/>
      <c r="K283" s="94"/>
      <c r="L283" s="94"/>
      <c r="M283" s="94"/>
      <c r="N283" s="94">
        <f>G283-J283-K283</f>
        <v>0</v>
      </c>
      <c r="O283" s="249" t="s">
        <v>509</v>
      </c>
      <c r="P283" s="249" t="s">
        <v>509</v>
      </c>
      <c r="Q283" s="268">
        <v>14175</v>
      </c>
      <c r="R283" s="268">
        <v>14165</v>
      </c>
      <c r="S283" s="268"/>
      <c r="T283" s="93">
        <v>10</v>
      </c>
    </row>
    <row r="284" spans="1:21" s="95" customFormat="1">
      <c r="A284" s="182" t="s">
        <v>819</v>
      </c>
      <c r="B284" s="182"/>
      <c r="C284" s="210" t="s">
        <v>2060</v>
      </c>
      <c r="D284" s="226">
        <v>3</v>
      </c>
      <c r="E284" s="210" t="s">
        <v>1283</v>
      </c>
      <c r="F284" s="182" t="s">
        <v>819</v>
      </c>
      <c r="G284" s="179"/>
      <c r="H284" s="179"/>
      <c r="I284" s="179"/>
      <c r="J284" s="179"/>
      <c r="K284" s="179"/>
      <c r="L284" s="179"/>
      <c r="M284" s="179"/>
      <c r="N284" s="179">
        <f t="shared" ref="N284:N347" si="5">G284-J284-K284</f>
        <v>0</v>
      </c>
      <c r="O284" s="182" t="s">
        <v>819</v>
      </c>
      <c r="P284" s="182" t="s">
        <v>819</v>
      </c>
      <c r="Q284" s="182">
        <v>14175</v>
      </c>
      <c r="R284" s="182">
        <v>14145</v>
      </c>
      <c r="S284" s="182"/>
      <c r="T284" s="179">
        <v>30</v>
      </c>
      <c r="U284" s="210" t="s">
        <v>245</v>
      </c>
    </row>
    <row r="285" spans="1:21">
      <c r="A285" s="178" t="s">
        <v>814</v>
      </c>
      <c r="B285" s="183">
        <v>421</v>
      </c>
      <c r="C285" s="178" t="s">
        <v>1232</v>
      </c>
      <c r="D285" s="178">
        <v>4</v>
      </c>
      <c r="E285" s="178" t="s">
        <v>510</v>
      </c>
      <c r="F285" s="178" t="s">
        <v>1963</v>
      </c>
      <c r="G285" s="178">
        <v>16380</v>
      </c>
      <c r="H285" s="178"/>
      <c r="I285" s="178"/>
      <c r="J285" s="165"/>
      <c r="K285" s="165">
        <v>16380</v>
      </c>
      <c r="L285" s="165"/>
      <c r="M285" s="165"/>
      <c r="N285" s="165">
        <f t="shared" si="5"/>
        <v>0</v>
      </c>
      <c r="O285" s="165" t="s">
        <v>818</v>
      </c>
      <c r="P285" s="165" t="s">
        <v>487</v>
      </c>
      <c r="Q285" s="3">
        <v>16380</v>
      </c>
      <c r="R285">
        <v>16380</v>
      </c>
    </row>
    <row r="286" spans="1:21">
      <c r="A286" s="178" t="s">
        <v>814</v>
      </c>
      <c r="B286" s="183">
        <v>422</v>
      </c>
      <c r="C286" s="178" t="s">
        <v>1699</v>
      </c>
      <c r="D286" s="178">
        <v>6</v>
      </c>
      <c r="E286" s="178" t="s">
        <v>511</v>
      </c>
      <c r="F286" s="178" t="s">
        <v>2775</v>
      </c>
      <c r="G286" s="178">
        <v>13500</v>
      </c>
      <c r="H286" s="178"/>
      <c r="I286" s="178"/>
      <c r="J286" s="165"/>
      <c r="K286" s="165">
        <v>13500</v>
      </c>
      <c r="L286" s="165"/>
      <c r="M286" s="165"/>
      <c r="N286" s="165">
        <f t="shared" si="5"/>
        <v>0</v>
      </c>
      <c r="O286" s="165" t="s">
        <v>818</v>
      </c>
      <c r="P286" s="165" t="s">
        <v>487</v>
      </c>
      <c r="Q286" s="3">
        <v>13500</v>
      </c>
      <c r="R286">
        <v>13500</v>
      </c>
    </row>
    <row r="287" spans="1:21">
      <c r="A287" s="165" t="s">
        <v>1456</v>
      </c>
      <c r="B287" s="183">
        <v>423</v>
      </c>
      <c r="C287" s="165" t="s">
        <v>1249</v>
      </c>
      <c r="D287" s="165">
        <v>1</v>
      </c>
      <c r="E287" s="165" t="s">
        <v>512</v>
      </c>
      <c r="F287" s="165" t="s">
        <v>513</v>
      </c>
      <c r="G287" s="165">
        <v>3780</v>
      </c>
      <c r="H287" s="165"/>
      <c r="I287" s="165"/>
      <c r="J287" s="165"/>
      <c r="K287" s="165">
        <v>3780</v>
      </c>
      <c r="L287" s="165"/>
      <c r="M287" s="165"/>
      <c r="N287" s="165">
        <f t="shared" si="5"/>
        <v>0</v>
      </c>
      <c r="O287" s="165" t="s">
        <v>818</v>
      </c>
      <c r="P287" s="165" t="s">
        <v>487</v>
      </c>
      <c r="Q287" s="3">
        <v>3780</v>
      </c>
      <c r="R287">
        <v>3780</v>
      </c>
    </row>
    <row r="288" spans="1:21">
      <c r="A288" s="165" t="s">
        <v>1456</v>
      </c>
      <c r="B288" s="183">
        <v>424</v>
      </c>
      <c r="C288" s="165" t="s">
        <v>1249</v>
      </c>
      <c r="D288" s="165">
        <v>2</v>
      </c>
      <c r="E288" s="165" t="s">
        <v>85</v>
      </c>
      <c r="F288" s="165" t="s">
        <v>823</v>
      </c>
      <c r="G288" s="165">
        <v>3780</v>
      </c>
      <c r="H288" s="165"/>
      <c r="I288" s="165"/>
      <c r="J288" s="165"/>
      <c r="K288" s="165">
        <v>3780</v>
      </c>
      <c r="L288" s="165"/>
      <c r="M288" s="165"/>
      <c r="N288" s="165">
        <f t="shared" si="5"/>
        <v>0</v>
      </c>
      <c r="O288" s="165" t="s">
        <v>494</v>
      </c>
      <c r="P288" s="165" t="s">
        <v>908</v>
      </c>
      <c r="Q288" s="3">
        <v>3780</v>
      </c>
      <c r="R288">
        <v>3780</v>
      </c>
    </row>
    <row r="289" spans="1:20">
      <c r="A289" s="165" t="s">
        <v>1456</v>
      </c>
      <c r="B289" s="183">
        <v>425</v>
      </c>
      <c r="C289" s="165" t="s">
        <v>1249</v>
      </c>
      <c r="D289" s="165">
        <v>3</v>
      </c>
      <c r="E289" s="165" t="s">
        <v>86</v>
      </c>
      <c r="F289" s="165" t="s">
        <v>820</v>
      </c>
      <c r="G289" s="165">
        <v>3780</v>
      </c>
      <c r="H289" s="165"/>
      <c r="I289" s="165"/>
      <c r="J289" s="165"/>
      <c r="K289" s="165">
        <v>3780</v>
      </c>
      <c r="L289" s="165"/>
      <c r="M289" s="165"/>
      <c r="N289" s="165">
        <f t="shared" si="5"/>
        <v>0</v>
      </c>
      <c r="O289" s="165" t="s">
        <v>488</v>
      </c>
      <c r="P289" s="165" t="s">
        <v>489</v>
      </c>
      <c r="Q289" s="3">
        <v>3780</v>
      </c>
      <c r="R289">
        <v>3780</v>
      </c>
    </row>
    <row r="290" spans="1:20">
      <c r="A290" s="165" t="s">
        <v>1456</v>
      </c>
      <c r="B290" s="183">
        <v>426</v>
      </c>
      <c r="C290" s="165" t="s">
        <v>1249</v>
      </c>
      <c r="D290" s="165">
        <v>4</v>
      </c>
      <c r="E290" s="165" t="s">
        <v>87</v>
      </c>
      <c r="F290" s="165" t="s">
        <v>514</v>
      </c>
      <c r="G290" s="165">
        <v>3780</v>
      </c>
      <c r="H290" s="165"/>
      <c r="I290" s="165"/>
      <c r="J290" s="165"/>
      <c r="K290" s="165">
        <v>3780</v>
      </c>
      <c r="L290" s="165"/>
      <c r="M290" s="165"/>
      <c r="N290" s="165">
        <f t="shared" si="5"/>
        <v>0</v>
      </c>
      <c r="O290" s="165" t="s">
        <v>488</v>
      </c>
      <c r="P290" s="165" t="s">
        <v>489</v>
      </c>
      <c r="Q290" s="3">
        <v>3780</v>
      </c>
      <c r="R290">
        <v>3780</v>
      </c>
    </row>
    <row r="291" spans="1:20">
      <c r="A291" s="165" t="s">
        <v>1456</v>
      </c>
      <c r="B291" s="183">
        <v>427</v>
      </c>
      <c r="C291" s="165" t="s">
        <v>1249</v>
      </c>
      <c r="D291" s="165">
        <v>5</v>
      </c>
      <c r="E291" s="165" t="s">
        <v>88</v>
      </c>
      <c r="F291" s="165" t="s">
        <v>824</v>
      </c>
      <c r="G291" s="165">
        <v>3780</v>
      </c>
      <c r="H291" s="165"/>
      <c r="I291" s="165"/>
      <c r="J291" s="165"/>
      <c r="K291" s="165">
        <v>3780</v>
      </c>
      <c r="L291" s="165"/>
      <c r="M291" s="165"/>
      <c r="N291" s="165">
        <f t="shared" si="5"/>
        <v>0</v>
      </c>
      <c r="O291" s="165" t="s">
        <v>495</v>
      </c>
      <c r="P291" s="165" t="s">
        <v>1472</v>
      </c>
      <c r="Q291" s="3">
        <v>3780</v>
      </c>
      <c r="R291">
        <v>3780</v>
      </c>
    </row>
    <row r="292" spans="1:20">
      <c r="A292" s="165" t="s">
        <v>1456</v>
      </c>
      <c r="B292" s="183">
        <v>428</v>
      </c>
      <c r="C292" s="165" t="s">
        <v>1249</v>
      </c>
      <c r="D292" s="165">
        <v>6</v>
      </c>
      <c r="E292" s="165" t="s">
        <v>89</v>
      </c>
      <c r="F292" s="165" t="s">
        <v>821</v>
      </c>
      <c r="G292" s="165">
        <v>3780</v>
      </c>
      <c r="H292" s="165"/>
      <c r="I292" s="165"/>
      <c r="J292" s="165"/>
      <c r="K292" s="165">
        <v>3780</v>
      </c>
      <c r="L292" s="165"/>
      <c r="M292" s="165"/>
      <c r="N292" s="165">
        <f t="shared" si="5"/>
        <v>0</v>
      </c>
      <c r="O292" s="165" t="s">
        <v>493</v>
      </c>
      <c r="P292" s="165" t="s">
        <v>911</v>
      </c>
      <c r="Q292" s="3">
        <v>3780</v>
      </c>
      <c r="R292">
        <v>3780</v>
      </c>
    </row>
    <row r="293" spans="1:20">
      <c r="A293" s="165" t="s">
        <v>1456</v>
      </c>
      <c r="B293" s="183">
        <v>429</v>
      </c>
      <c r="C293" s="165" t="s">
        <v>1249</v>
      </c>
      <c r="D293" s="165">
        <v>7</v>
      </c>
      <c r="E293" s="165" t="s">
        <v>90</v>
      </c>
      <c r="F293" s="165" t="s">
        <v>515</v>
      </c>
      <c r="G293" s="165">
        <v>3780</v>
      </c>
      <c r="H293" s="165"/>
      <c r="I293" s="165"/>
      <c r="J293" s="165"/>
      <c r="K293" s="165">
        <v>3780</v>
      </c>
      <c r="L293" s="165"/>
      <c r="M293" s="165"/>
      <c r="N293" s="165">
        <f t="shared" si="5"/>
        <v>0</v>
      </c>
      <c r="O293" s="165" t="s">
        <v>493</v>
      </c>
      <c r="P293" s="165" t="s">
        <v>911</v>
      </c>
      <c r="Q293" s="3">
        <v>3780</v>
      </c>
      <c r="R293">
        <v>3780</v>
      </c>
    </row>
    <row r="294" spans="1:20">
      <c r="A294" s="165" t="s">
        <v>1456</v>
      </c>
      <c r="B294" s="183">
        <v>430</v>
      </c>
      <c r="C294" s="165" t="s">
        <v>1249</v>
      </c>
      <c r="D294" s="165">
        <v>8</v>
      </c>
      <c r="E294" s="165" t="s">
        <v>516</v>
      </c>
      <c r="F294" s="165" t="s">
        <v>2094</v>
      </c>
      <c r="G294" s="165">
        <v>3780</v>
      </c>
      <c r="H294" s="165"/>
      <c r="I294" s="165"/>
      <c r="J294" s="165"/>
      <c r="K294" s="165">
        <v>3780</v>
      </c>
      <c r="L294" s="165"/>
      <c r="M294" s="165"/>
      <c r="N294" s="165">
        <f t="shared" si="5"/>
        <v>0</v>
      </c>
      <c r="O294" s="165" t="s">
        <v>1461</v>
      </c>
      <c r="P294" s="165" t="s">
        <v>492</v>
      </c>
      <c r="Q294" s="3">
        <v>3780</v>
      </c>
      <c r="R294">
        <v>3780</v>
      </c>
    </row>
    <row r="295" spans="1:20">
      <c r="A295" s="165" t="s">
        <v>1456</v>
      </c>
      <c r="B295" s="183">
        <v>431</v>
      </c>
      <c r="C295" s="165" t="s">
        <v>1249</v>
      </c>
      <c r="D295" s="165">
        <v>9</v>
      </c>
      <c r="E295" s="165" t="s">
        <v>517</v>
      </c>
      <c r="F295" s="165" t="s">
        <v>518</v>
      </c>
      <c r="G295" s="165">
        <v>3780</v>
      </c>
      <c r="H295" s="165"/>
      <c r="I295" s="165"/>
      <c r="J295" s="165"/>
      <c r="K295" s="165">
        <v>3780</v>
      </c>
      <c r="L295" s="165"/>
      <c r="M295" s="165"/>
      <c r="N295" s="165">
        <f t="shared" si="5"/>
        <v>0</v>
      </c>
      <c r="O295" s="165" t="s">
        <v>458</v>
      </c>
      <c r="P295" s="165" t="s">
        <v>2035</v>
      </c>
      <c r="Q295" s="3">
        <v>3780</v>
      </c>
      <c r="R295">
        <v>3780</v>
      </c>
    </row>
    <row r="296" spans="1:20">
      <c r="A296" s="165" t="s">
        <v>1456</v>
      </c>
      <c r="B296" s="183">
        <v>432</v>
      </c>
      <c r="C296" s="165" t="s">
        <v>1249</v>
      </c>
      <c r="D296" s="165">
        <v>10</v>
      </c>
      <c r="E296" s="165" t="s">
        <v>519</v>
      </c>
      <c r="F296" s="165" t="s">
        <v>460</v>
      </c>
      <c r="G296" s="165">
        <v>3780</v>
      </c>
      <c r="H296" s="165"/>
      <c r="I296" s="165"/>
      <c r="J296" s="165"/>
      <c r="K296" s="165">
        <v>3780</v>
      </c>
      <c r="L296" s="165"/>
      <c r="M296" s="165"/>
      <c r="N296" s="165">
        <f t="shared" si="5"/>
        <v>0</v>
      </c>
      <c r="O296" s="165" t="s">
        <v>460</v>
      </c>
      <c r="P296" s="165" t="s">
        <v>1465</v>
      </c>
      <c r="Q296" s="3">
        <v>3780</v>
      </c>
      <c r="R296">
        <v>3780</v>
      </c>
    </row>
    <row r="297" spans="1:20">
      <c r="A297" s="165" t="s">
        <v>1456</v>
      </c>
      <c r="B297" s="183">
        <v>433</v>
      </c>
      <c r="C297" s="165" t="s">
        <v>1249</v>
      </c>
      <c r="D297" s="165">
        <v>11</v>
      </c>
      <c r="E297" s="165" t="s">
        <v>520</v>
      </c>
      <c r="F297" s="165" t="s">
        <v>825</v>
      </c>
      <c r="G297" s="165">
        <v>3780</v>
      </c>
      <c r="H297" s="165"/>
      <c r="I297" s="165"/>
      <c r="J297" s="165"/>
      <c r="K297" s="165">
        <v>3780</v>
      </c>
      <c r="L297" s="165"/>
      <c r="M297" s="165"/>
      <c r="N297" s="165">
        <f t="shared" si="5"/>
        <v>0</v>
      </c>
      <c r="O297" s="165" t="s">
        <v>505</v>
      </c>
      <c r="P297" s="165" t="s">
        <v>505</v>
      </c>
      <c r="Q297" s="3">
        <v>3780</v>
      </c>
      <c r="R297">
        <v>3780</v>
      </c>
    </row>
    <row r="298" spans="1:20">
      <c r="A298" s="165" t="s">
        <v>1456</v>
      </c>
      <c r="B298" s="183">
        <v>434</v>
      </c>
      <c r="C298" s="165" t="s">
        <v>1249</v>
      </c>
      <c r="D298" s="165">
        <v>12</v>
      </c>
      <c r="E298" s="165" t="s">
        <v>521</v>
      </c>
      <c r="F298" s="165" t="s">
        <v>522</v>
      </c>
      <c r="G298" s="165">
        <v>3780</v>
      </c>
      <c r="H298" s="165"/>
      <c r="I298" s="165"/>
      <c r="J298" s="165"/>
      <c r="K298" s="165">
        <v>3780</v>
      </c>
      <c r="L298" s="165"/>
      <c r="M298" s="165"/>
      <c r="N298" s="165">
        <f t="shared" si="5"/>
        <v>0</v>
      </c>
      <c r="O298" s="165" t="s">
        <v>496</v>
      </c>
      <c r="P298" s="165" t="s">
        <v>497</v>
      </c>
      <c r="Q298" s="3">
        <v>3780</v>
      </c>
      <c r="R298">
        <v>3780</v>
      </c>
    </row>
    <row r="299" spans="1:20">
      <c r="A299" s="209" t="s">
        <v>523</v>
      </c>
      <c r="B299" s="209"/>
      <c r="C299" s="205" t="s">
        <v>3825</v>
      </c>
      <c r="D299" s="226">
        <v>5</v>
      </c>
      <c r="E299" s="183" t="s">
        <v>1283</v>
      </c>
      <c r="F299" s="209" t="s">
        <v>523</v>
      </c>
      <c r="G299" s="165"/>
      <c r="H299" s="165"/>
      <c r="I299" s="165"/>
      <c r="J299" s="209"/>
      <c r="K299" s="209"/>
      <c r="L299" s="209"/>
      <c r="M299" s="209"/>
      <c r="N299" s="209">
        <f t="shared" si="5"/>
        <v>0</v>
      </c>
      <c r="O299" s="209" t="s">
        <v>523</v>
      </c>
      <c r="P299" s="209" t="s">
        <v>523</v>
      </c>
      <c r="Q299" s="178">
        <v>14175</v>
      </c>
      <c r="R299" s="178">
        <v>14145</v>
      </c>
      <c r="S299" s="178"/>
      <c r="T299" s="3">
        <v>30</v>
      </c>
    </row>
    <row r="300" spans="1:20">
      <c r="A300" s="165" t="s">
        <v>815</v>
      </c>
      <c r="B300" s="165">
        <v>435</v>
      </c>
      <c r="C300" s="165" t="s">
        <v>264</v>
      </c>
      <c r="D300" s="165">
        <v>1</v>
      </c>
      <c r="E300" s="165" t="s">
        <v>524</v>
      </c>
      <c r="F300" s="165" t="s">
        <v>525</v>
      </c>
      <c r="G300" s="165">
        <v>11340</v>
      </c>
      <c r="H300" s="165"/>
      <c r="I300" s="165"/>
      <c r="J300" s="165"/>
      <c r="K300" s="165">
        <v>11340</v>
      </c>
      <c r="L300" s="165"/>
      <c r="M300" s="165"/>
      <c r="N300" s="165">
        <f t="shared" si="5"/>
        <v>0</v>
      </c>
      <c r="O300" s="165" t="s">
        <v>493</v>
      </c>
      <c r="P300" s="165" t="s">
        <v>911</v>
      </c>
      <c r="Q300" s="3">
        <v>11340</v>
      </c>
      <c r="R300">
        <v>11340</v>
      </c>
    </row>
    <row r="301" spans="1:20">
      <c r="A301" s="165" t="s">
        <v>815</v>
      </c>
      <c r="B301" s="165">
        <v>436</v>
      </c>
      <c r="C301" s="165" t="s">
        <v>264</v>
      </c>
      <c r="D301" s="165">
        <v>2</v>
      </c>
      <c r="E301" s="165" t="s">
        <v>526</v>
      </c>
      <c r="F301" s="165" t="s">
        <v>527</v>
      </c>
      <c r="G301" s="165">
        <v>11340</v>
      </c>
      <c r="H301" s="165"/>
      <c r="I301" s="165"/>
      <c r="J301" s="165"/>
      <c r="K301" s="165">
        <v>11340</v>
      </c>
      <c r="L301" s="165"/>
      <c r="M301" s="165"/>
      <c r="N301" s="165">
        <f t="shared" si="5"/>
        <v>0</v>
      </c>
      <c r="O301" s="165" t="s">
        <v>495</v>
      </c>
      <c r="P301" s="165" t="s">
        <v>1472</v>
      </c>
      <c r="Q301" s="3">
        <v>11340</v>
      </c>
      <c r="R301">
        <v>11340</v>
      </c>
    </row>
    <row r="302" spans="1:20">
      <c r="A302" s="165" t="s">
        <v>815</v>
      </c>
      <c r="B302" s="165">
        <v>437</v>
      </c>
      <c r="C302" s="165" t="s">
        <v>264</v>
      </c>
      <c r="D302" s="165">
        <v>3</v>
      </c>
      <c r="E302" s="165" t="s">
        <v>528</v>
      </c>
      <c r="F302" s="165" t="s">
        <v>529</v>
      </c>
      <c r="G302" s="165">
        <v>11340</v>
      </c>
      <c r="H302" s="165"/>
      <c r="I302" s="165"/>
      <c r="J302" s="165"/>
      <c r="K302" s="165">
        <v>11340</v>
      </c>
      <c r="L302" s="165"/>
      <c r="M302" s="165"/>
      <c r="N302" s="165">
        <f t="shared" si="5"/>
        <v>0</v>
      </c>
      <c r="O302" s="165" t="s">
        <v>1461</v>
      </c>
      <c r="P302" s="165" t="s">
        <v>492</v>
      </c>
      <c r="Q302" s="3">
        <v>11340</v>
      </c>
      <c r="R302">
        <v>11340</v>
      </c>
    </row>
    <row r="303" spans="1:20">
      <c r="A303" s="165" t="s">
        <v>815</v>
      </c>
      <c r="B303" s="165">
        <v>438</v>
      </c>
      <c r="C303" s="165" t="s">
        <v>264</v>
      </c>
      <c r="D303" s="165">
        <v>4</v>
      </c>
      <c r="E303" s="165" t="s">
        <v>530</v>
      </c>
      <c r="F303" s="165" t="s">
        <v>531</v>
      </c>
      <c r="G303" s="165">
        <v>11340</v>
      </c>
      <c r="H303" s="165"/>
      <c r="I303" s="165"/>
      <c r="J303" s="165"/>
      <c r="K303" s="165">
        <v>11340</v>
      </c>
      <c r="L303" s="165"/>
      <c r="M303" s="165"/>
      <c r="N303" s="165">
        <f t="shared" si="5"/>
        <v>0</v>
      </c>
      <c r="O303" s="165" t="s">
        <v>505</v>
      </c>
      <c r="P303" s="165" t="s">
        <v>505</v>
      </c>
      <c r="Q303" s="3">
        <v>11340</v>
      </c>
      <c r="R303">
        <v>11340</v>
      </c>
    </row>
    <row r="304" spans="1:20">
      <c r="A304" s="165" t="s">
        <v>815</v>
      </c>
      <c r="B304" s="165">
        <v>439</v>
      </c>
      <c r="C304" s="165" t="s">
        <v>264</v>
      </c>
      <c r="D304" s="165">
        <v>5</v>
      </c>
      <c r="E304" s="165" t="s">
        <v>532</v>
      </c>
      <c r="F304" s="165" t="s">
        <v>533</v>
      </c>
      <c r="G304" s="165">
        <v>11340</v>
      </c>
      <c r="H304" s="165"/>
      <c r="I304" s="165"/>
      <c r="J304" s="165"/>
      <c r="K304" s="165">
        <v>11340</v>
      </c>
      <c r="L304" s="165"/>
      <c r="M304" s="165"/>
      <c r="N304" s="165">
        <f t="shared" si="5"/>
        <v>0</v>
      </c>
      <c r="O304" s="165" t="s">
        <v>610</v>
      </c>
      <c r="P304" s="165" t="s">
        <v>611</v>
      </c>
      <c r="Q304" s="3">
        <v>11340</v>
      </c>
      <c r="R304">
        <v>11340</v>
      </c>
    </row>
    <row r="305" spans="1:20">
      <c r="A305" s="165" t="s">
        <v>815</v>
      </c>
      <c r="B305" s="165">
        <v>440</v>
      </c>
      <c r="C305" s="165" t="s">
        <v>264</v>
      </c>
      <c r="D305" s="165">
        <v>6</v>
      </c>
      <c r="E305" s="165" t="s">
        <v>534</v>
      </c>
      <c r="F305" s="165" t="s">
        <v>535</v>
      </c>
      <c r="G305" s="165">
        <v>11340</v>
      </c>
      <c r="H305" s="165"/>
      <c r="I305" s="165"/>
      <c r="J305" s="165"/>
      <c r="K305" s="165">
        <v>11340</v>
      </c>
      <c r="L305" s="165"/>
      <c r="M305" s="165"/>
      <c r="N305" s="165">
        <f t="shared" si="5"/>
        <v>0</v>
      </c>
      <c r="O305" s="165" t="s">
        <v>612</v>
      </c>
      <c r="P305" s="165" t="s">
        <v>2201</v>
      </c>
      <c r="Q305" s="3">
        <v>11340</v>
      </c>
      <c r="R305">
        <v>11340</v>
      </c>
    </row>
    <row r="306" spans="1:20">
      <c r="A306" s="165" t="s">
        <v>815</v>
      </c>
      <c r="B306" s="165">
        <v>441</v>
      </c>
      <c r="C306" s="165" t="s">
        <v>264</v>
      </c>
      <c r="D306" s="165">
        <v>7</v>
      </c>
      <c r="E306" s="165" t="s">
        <v>536</v>
      </c>
      <c r="F306" s="165" t="s">
        <v>537</v>
      </c>
      <c r="G306" s="165">
        <v>11340</v>
      </c>
      <c r="H306" s="165"/>
      <c r="I306" s="165"/>
      <c r="J306" s="165"/>
      <c r="K306" s="165">
        <v>11340</v>
      </c>
      <c r="L306" s="165"/>
      <c r="M306" s="165"/>
      <c r="N306" s="165">
        <f t="shared" si="5"/>
        <v>0</v>
      </c>
      <c r="O306" s="165" t="s">
        <v>619</v>
      </c>
      <c r="P306" s="165" t="s">
        <v>620</v>
      </c>
      <c r="Q306" s="3">
        <v>11340</v>
      </c>
      <c r="R306">
        <v>11340</v>
      </c>
    </row>
    <row r="307" spans="1:20">
      <c r="A307" s="165" t="s">
        <v>815</v>
      </c>
      <c r="B307" s="165">
        <v>442</v>
      </c>
      <c r="C307" s="165" t="s">
        <v>264</v>
      </c>
      <c r="D307" s="165">
        <v>8</v>
      </c>
      <c r="E307" s="165" t="s">
        <v>538</v>
      </c>
      <c r="F307" s="165" t="s">
        <v>539</v>
      </c>
      <c r="G307" s="165">
        <v>11340</v>
      </c>
      <c r="H307" s="165"/>
      <c r="I307" s="165"/>
      <c r="J307" s="165">
        <v>11340</v>
      </c>
      <c r="K307" s="165"/>
      <c r="L307" s="165"/>
      <c r="M307" s="165"/>
      <c r="N307" s="165">
        <f t="shared" si="5"/>
        <v>0</v>
      </c>
      <c r="O307" s="165" t="s">
        <v>621</v>
      </c>
      <c r="P307" s="165" t="s">
        <v>622</v>
      </c>
      <c r="Q307" s="3">
        <v>11340</v>
      </c>
      <c r="R307">
        <v>11340</v>
      </c>
    </row>
    <row r="308" spans="1:20">
      <c r="A308" s="209" t="s">
        <v>540</v>
      </c>
      <c r="B308" s="209"/>
      <c r="C308" s="205" t="s">
        <v>1532</v>
      </c>
      <c r="D308" s="226">
        <v>6</v>
      </c>
      <c r="E308" s="183" t="s">
        <v>1283</v>
      </c>
      <c r="F308" s="209" t="s">
        <v>540</v>
      </c>
      <c r="G308" s="165"/>
      <c r="H308" s="165"/>
      <c r="I308" s="165"/>
      <c r="J308" s="165"/>
      <c r="K308" s="165"/>
      <c r="L308" s="165"/>
      <c r="M308" s="165"/>
      <c r="N308" s="165">
        <f t="shared" si="5"/>
        <v>0</v>
      </c>
      <c r="O308" s="209" t="s">
        <v>540</v>
      </c>
      <c r="P308" s="209" t="s">
        <v>540</v>
      </c>
      <c r="Q308" s="178">
        <v>13500</v>
      </c>
      <c r="R308" s="178">
        <v>13485</v>
      </c>
      <c r="S308" s="178"/>
      <c r="T308" s="3">
        <v>15</v>
      </c>
    </row>
    <row r="309" spans="1:20">
      <c r="A309" s="165" t="s">
        <v>540</v>
      </c>
      <c r="B309" s="165">
        <v>443</v>
      </c>
      <c r="C309" s="165" t="s">
        <v>1303</v>
      </c>
      <c r="D309" s="165">
        <v>1</v>
      </c>
      <c r="E309" s="165" t="s">
        <v>541</v>
      </c>
      <c r="F309" s="165" t="s">
        <v>2663</v>
      </c>
      <c r="G309" s="165">
        <v>13230</v>
      </c>
      <c r="H309" s="165"/>
      <c r="I309" s="165"/>
      <c r="J309" s="165"/>
      <c r="K309" s="165">
        <v>13230</v>
      </c>
      <c r="L309" s="165"/>
      <c r="M309" s="165"/>
      <c r="N309" s="165">
        <f t="shared" si="5"/>
        <v>0</v>
      </c>
      <c r="O309" s="165" t="s">
        <v>494</v>
      </c>
      <c r="P309" s="165" t="s">
        <v>908</v>
      </c>
      <c r="Q309" s="3">
        <v>13230</v>
      </c>
      <c r="R309">
        <v>13230</v>
      </c>
    </row>
    <row r="310" spans="1:20">
      <c r="A310" s="165" t="s">
        <v>540</v>
      </c>
      <c r="B310" s="165">
        <v>444</v>
      </c>
      <c r="C310" s="165" t="s">
        <v>1303</v>
      </c>
      <c r="D310" s="165">
        <v>2</v>
      </c>
      <c r="E310" s="165" t="s">
        <v>542</v>
      </c>
      <c r="F310" s="165" t="s">
        <v>543</v>
      </c>
      <c r="G310" s="165">
        <v>13230</v>
      </c>
      <c r="H310" s="165"/>
      <c r="I310" s="165"/>
      <c r="J310" s="165"/>
      <c r="K310" s="165">
        <v>13230</v>
      </c>
      <c r="L310" s="165"/>
      <c r="M310" s="165"/>
      <c r="N310" s="165">
        <f t="shared" si="5"/>
        <v>0</v>
      </c>
      <c r="O310" s="165" t="s">
        <v>495</v>
      </c>
      <c r="P310" s="165" t="s">
        <v>1472</v>
      </c>
      <c r="Q310" s="3">
        <v>13230</v>
      </c>
      <c r="R310">
        <v>13230</v>
      </c>
    </row>
    <row r="311" spans="1:20">
      <c r="A311" s="165" t="s">
        <v>540</v>
      </c>
      <c r="B311" s="165">
        <v>445</v>
      </c>
      <c r="C311" s="165" t="s">
        <v>1303</v>
      </c>
      <c r="D311" s="165">
        <v>3</v>
      </c>
      <c r="E311" s="165" t="s">
        <v>544</v>
      </c>
      <c r="F311" s="165" t="s">
        <v>545</v>
      </c>
      <c r="G311" s="165">
        <v>13230</v>
      </c>
      <c r="H311" s="165"/>
      <c r="I311" s="165"/>
      <c r="J311" s="165"/>
      <c r="K311" s="165">
        <v>13230</v>
      </c>
      <c r="L311" s="165"/>
      <c r="M311" s="165"/>
      <c r="N311" s="165">
        <f t="shared" si="5"/>
        <v>0</v>
      </c>
      <c r="O311" s="165" t="s">
        <v>1461</v>
      </c>
      <c r="P311" s="165" t="s">
        <v>492</v>
      </c>
      <c r="Q311" s="3">
        <v>13230</v>
      </c>
      <c r="R311">
        <v>13230</v>
      </c>
    </row>
    <row r="312" spans="1:20">
      <c r="A312" s="165" t="s">
        <v>540</v>
      </c>
      <c r="B312" s="165">
        <v>446</v>
      </c>
      <c r="C312" s="165" t="s">
        <v>1303</v>
      </c>
      <c r="D312" s="165">
        <v>4</v>
      </c>
      <c r="E312" s="165" t="s">
        <v>546</v>
      </c>
      <c r="F312" s="165" t="s">
        <v>504</v>
      </c>
      <c r="G312" s="165">
        <v>13230</v>
      </c>
      <c r="H312" s="165"/>
      <c r="I312" s="165"/>
      <c r="J312" s="165"/>
      <c r="K312" s="165">
        <v>13230</v>
      </c>
      <c r="L312" s="165"/>
      <c r="M312" s="165"/>
      <c r="N312" s="165">
        <f t="shared" si="5"/>
        <v>0</v>
      </c>
      <c r="O312" s="165" t="s">
        <v>496</v>
      </c>
      <c r="P312" s="165" t="s">
        <v>497</v>
      </c>
      <c r="Q312" s="3">
        <v>13230</v>
      </c>
      <c r="R312">
        <v>13230</v>
      </c>
    </row>
    <row r="313" spans="1:20">
      <c r="A313" s="165" t="s">
        <v>540</v>
      </c>
      <c r="B313" s="165">
        <v>447</v>
      </c>
      <c r="C313" s="165" t="s">
        <v>1303</v>
      </c>
      <c r="D313" s="165">
        <v>5</v>
      </c>
      <c r="E313" s="165" t="s">
        <v>547</v>
      </c>
      <c r="F313" s="165" t="s">
        <v>548</v>
      </c>
      <c r="G313" s="165">
        <v>13230</v>
      </c>
      <c r="H313" s="165"/>
      <c r="I313" s="165"/>
      <c r="J313" s="165"/>
      <c r="K313" s="165">
        <v>13230</v>
      </c>
      <c r="L313" s="165"/>
      <c r="M313" s="165"/>
      <c r="N313" s="165">
        <f t="shared" si="5"/>
        <v>0</v>
      </c>
      <c r="O313" s="165" t="s">
        <v>623</v>
      </c>
      <c r="P313" s="165" t="s">
        <v>624</v>
      </c>
      <c r="Q313" s="3">
        <v>13230</v>
      </c>
      <c r="R313">
        <v>13230</v>
      </c>
    </row>
    <row r="314" spans="1:20">
      <c r="A314" s="165" t="s">
        <v>540</v>
      </c>
      <c r="B314" s="165">
        <v>448</v>
      </c>
      <c r="C314" s="165" t="s">
        <v>1303</v>
      </c>
      <c r="D314" s="165">
        <v>6</v>
      </c>
      <c r="E314" s="165" t="s">
        <v>549</v>
      </c>
      <c r="F314" s="165" t="s">
        <v>550</v>
      </c>
      <c r="G314" s="165">
        <v>13230</v>
      </c>
      <c r="H314" s="165"/>
      <c r="I314" s="165"/>
      <c r="J314" s="165"/>
      <c r="K314" s="165">
        <v>13230</v>
      </c>
      <c r="L314" s="165"/>
      <c r="M314" s="165"/>
      <c r="N314" s="165">
        <f t="shared" si="5"/>
        <v>0</v>
      </c>
      <c r="O314" s="165" t="s">
        <v>612</v>
      </c>
      <c r="P314" s="165" t="s">
        <v>2201</v>
      </c>
      <c r="Q314" s="3">
        <v>13230</v>
      </c>
      <c r="R314">
        <v>13230</v>
      </c>
    </row>
    <row r="315" spans="1:20">
      <c r="A315" s="165" t="s">
        <v>540</v>
      </c>
      <c r="B315" s="165">
        <v>449</v>
      </c>
      <c r="C315" s="165" t="s">
        <v>1303</v>
      </c>
      <c r="D315" s="165">
        <v>7</v>
      </c>
      <c r="E315" s="165" t="s">
        <v>551</v>
      </c>
      <c r="F315" s="165" t="s">
        <v>552</v>
      </c>
      <c r="G315" s="165">
        <v>13230</v>
      </c>
      <c r="H315" s="165"/>
      <c r="I315" s="165"/>
      <c r="J315" s="165"/>
      <c r="K315" s="165">
        <v>13230</v>
      </c>
      <c r="L315" s="165"/>
      <c r="M315" s="165"/>
      <c r="N315" s="165">
        <f t="shared" si="5"/>
        <v>0</v>
      </c>
      <c r="O315" s="165" t="s">
        <v>619</v>
      </c>
      <c r="P315" s="165" t="s">
        <v>620</v>
      </c>
      <c r="Q315" s="3">
        <v>13230</v>
      </c>
      <c r="R315">
        <v>13230</v>
      </c>
    </row>
    <row r="316" spans="1:20">
      <c r="A316" s="165" t="s">
        <v>540</v>
      </c>
      <c r="B316" s="165">
        <v>450</v>
      </c>
      <c r="C316" s="165" t="s">
        <v>1303</v>
      </c>
      <c r="D316" s="165">
        <v>8</v>
      </c>
      <c r="E316" s="165" t="s">
        <v>553</v>
      </c>
      <c r="F316" s="165" t="s">
        <v>554</v>
      </c>
      <c r="G316" s="165">
        <v>13230</v>
      </c>
      <c r="H316" s="165"/>
      <c r="I316" s="165"/>
      <c r="J316" s="165">
        <v>13230</v>
      </c>
      <c r="K316" s="165"/>
      <c r="L316" s="165"/>
      <c r="M316" s="165"/>
      <c r="N316" s="165">
        <f t="shared" si="5"/>
        <v>0</v>
      </c>
      <c r="O316" s="165" t="s">
        <v>625</v>
      </c>
      <c r="P316" s="165" t="s">
        <v>626</v>
      </c>
      <c r="Q316" s="3">
        <v>13230</v>
      </c>
      <c r="R316">
        <v>13230</v>
      </c>
    </row>
    <row r="317" spans="1:20">
      <c r="A317" s="165" t="s">
        <v>816</v>
      </c>
      <c r="B317" s="165">
        <v>451</v>
      </c>
      <c r="C317" s="165" t="s">
        <v>555</v>
      </c>
      <c r="D317" s="165">
        <v>1</v>
      </c>
      <c r="E317" s="165" t="s">
        <v>556</v>
      </c>
      <c r="F317" s="165" t="s">
        <v>2764</v>
      </c>
      <c r="G317" s="165">
        <v>12600</v>
      </c>
      <c r="H317" s="165"/>
      <c r="I317" s="165"/>
      <c r="J317" s="165"/>
      <c r="K317" s="165">
        <v>12600</v>
      </c>
      <c r="L317" s="165"/>
      <c r="M317" s="165"/>
      <c r="N317" s="165">
        <f t="shared" si="5"/>
        <v>0</v>
      </c>
      <c r="O317" s="165" t="s">
        <v>493</v>
      </c>
      <c r="P317" s="165" t="s">
        <v>911</v>
      </c>
      <c r="Q317" s="3">
        <v>12600</v>
      </c>
      <c r="R317">
        <v>12600</v>
      </c>
    </row>
    <row r="318" spans="1:20">
      <c r="A318" s="165" t="s">
        <v>816</v>
      </c>
      <c r="B318" s="165">
        <v>452</v>
      </c>
      <c r="C318" s="165" t="s">
        <v>555</v>
      </c>
      <c r="D318" s="165">
        <v>2</v>
      </c>
      <c r="E318" s="165" t="s">
        <v>557</v>
      </c>
      <c r="F318" s="165" t="s">
        <v>910</v>
      </c>
      <c r="G318" s="165">
        <v>12600</v>
      </c>
      <c r="H318" s="165"/>
      <c r="I318" s="165"/>
      <c r="J318" s="165"/>
      <c r="K318" s="165">
        <v>12600</v>
      </c>
      <c r="L318" s="165"/>
      <c r="M318" s="165"/>
      <c r="N318" s="165">
        <f t="shared" si="5"/>
        <v>0</v>
      </c>
      <c r="O318" s="165" t="s">
        <v>488</v>
      </c>
      <c r="P318" s="165" t="s">
        <v>489</v>
      </c>
      <c r="Q318" s="3">
        <v>12600</v>
      </c>
      <c r="R318">
        <v>12600</v>
      </c>
    </row>
    <row r="319" spans="1:20">
      <c r="A319" s="165" t="s">
        <v>816</v>
      </c>
      <c r="B319" s="165">
        <v>453</v>
      </c>
      <c r="C319" s="165" t="s">
        <v>555</v>
      </c>
      <c r="D319" s="165">
        <v>3</v>
      </c>
      <c r="E319" s="165" t="s">
        <v>558</v>
      </c>
      <c r="F319" s="165" t="s">
        <v>559</v>
      </c>
      <c r="G319" s="165">
        <v>12600</v>
      </c>
      <c r="H319" s="165"/>
      <c r="I319" s="165"/>
      <c r="J319" s="165"/>
      <c r="K319" s="165">
        <v>12600</v>
      </c>
      <c r="L319" s="165"/>
      <c r="M319" s="165"/>
      <c r="N319" s="165">
        <f t="shared" si="5"/>
        <v>0</v>
      </c>
      <c r="O319" s="165" t="s">
        <v>1461</v>
      </c>
      <c r="P319" s="165" t="s">
        <v>492</v>
      </c>
      <c r="Q319" s="3">
        <v>12600</v>
      </c>
      <c r="R319">
        <v>12600</v>
      </c>
    </row>
    <row r="320" spans="1:20">
      <c r="A320" s="165" t="s">
        <v>816</v>
      </c>
      <c r="B320" s="165">
        <v>454</v>
      </c>
      <c r="C320" s="165" t="s">
        <v>555</v>
      </c>
      <c r="D320" s="165">
        <v>4</v>
      </c>
      <c r="E320" s="165" t="s">
        <v>560</v>
      </c>
      <c r="F320" s="165" t="s">
        <v>1467</v>
      </c>
      <c r="G320" s="165">
        <v>12600</v>
      </c>
      <c r="H320" s="165"/>
      <c r="I320" s="165"/>
      <c r="J320" s="165"/>
      <c r="K320" s="165">
        <v>12600</v>
      </c>
      <c r="L320" s="165"/>
      <c r="M320" s="165"/>
      <c r="N320" s="165">
        <f t="shared" si="5"/>
        <v>0</v>
      </c>
      <c r="O320" s="165" t="s">
        <v>500</v>
      </c>
      <c r="P320" s="165" t="s">
        <v>500</v>
      </c>
      <c r="Q320" s="3">
        <v>12600</v>
      </c>
      <c r="R320">
        <v>12600</v>
      </c>
    </row>
    <row r="321" spans="1:18">
      <c r="A321" s="165" t="s">
        <v>816</v>
      </c>
      <c r="B321" s="165">
        <v>455</v>
      </c>
      <c r="C321" s="165" t="s">
        <v>555</v>
      </c>
      <c r="D321" s="165">
        <v>5</v>
      </c>
      <c r="E321" s="165" t="s">
        <v>2158</v>
      </c>
      <c r="F321" s="165" t="s">
        <v>2159</v>
      </c>
      <c r="G321" s="165">
        <v>12600</v>
      </c>
      <c r="H321" s="165"/>
      <c r="I321" s="165"/>
      <c r="J321" s="165"/>
      <c r="K321" s="165">
        <v>12600</v>
      </c>
      <c r="L321" s="165"/>
      <c r="M321" s="165"/>
      <c r="N321" s="165">
        <f t="shared" si="5"/>
        <v>0</v>
      </c>
      <c r="O321" s="165" t="s">
        <v>501</v>
      </c>
      <c r="P321" s="165" t="s">
        <v>2160</v>
      </c>
      <c r="Q321" s="3">
        <v>12600</v>
      </c>
      <c r="R321">
        <v>12600</v>
      </c>
    </row>
    <row r="322" spans="1:18">
      <c r="A322" s="165" t="s">
        <v>816</v>
      </c>
      <c r="B322" s="165">
        <v>456</v>
      </c>
      <c r="C322" s="165" t="s">
        <v>555</v>
      </c>
      <c r="D322" s="165">
        <v>6</v>
      </c>
      <c r="E322" s="165" t="s">
        <v>2161</v>
      </c>
      <c r="F322" s="165" t="s">
        <v>2162</v>
      </c>
      <c r="G322" s="165">
        <v>12600</v>
      </c>
      <c r="H322" s="165"/>
      <c r="I322" s="165"/>
      <c r="J322" s="165"/>
      <c r="K322" s="165">
        <v>12600</v>
      </c>
      <c r="L322" s="165"/>
      <c r="M322" s="165"/>
      <c r="N322" s="165">
        <f t="shared" si="5"/>
        <v>0</v>
      </c>
      <c r="O322" s="165" t="s">
        <v>2162</v>
      </c>
      <c r="P322" s="165" t="s">
        <v>1024</v>
      </c>
      <c r="Q322" s="3">
        <v>12600</v>
      </c>
      <c r="R322">
        <v>12600</v>
      </c>
    </row>
    <row r="323" spans="1:18">
      <c r="A323" s="165" t="s">
        <v>816</v>
      </c>
      <c r="B323" s="165">
        <v>457</v>
      </c>
      <c r="C323" s="165" t="s">
        <v>555</v>
      </c>
      <c r="D323" s="165">
        <v>7</v>
      </c>
      <c r="E323" s="165" t="s">
        <v>2163</v>
      </c>
      <c r="F323" s="165" t="s">
        <v>2164</v>
      </c>
      <c r="G323" s="165">
        <v>12600</v>
      </c>
      <c r="H323" s="165"/>
      <c r="I323" s="165"/>
      <c r="J323" s="165"/>
      <c r="K323" s="165">
        <v>12600</v>
      </c>
      <c r="L323" s="165"/>
      <c r="M323" s="165"/>
      <c r="N323" s="165">
        <f t="shared" si="5"/>
        <v>0</v>
      </c>
      <c r="O323" s="165" t="s">
        <v>2164</v>
      </c>
      <c r="P323" s="165" t="s">
        <v>1025</v>
      </c>
      <c r="Q323" s="3">
        <v>12600</v>
      </c>
      <c r="R323">
        <v>12600</v>
      </c>
    </row>
    <row r="324" spans="1:18">
      <c r="A324" s="165" t="s">
        <v>816</v>
      </c>
      <c r="B324" s="165">
        <v>458</v>
      </c>
      <c r="C324" s="165" t="s">
        <v>555</v>
      </c>
      <c r="D324" s="165">
        <v>8</v>
      </c>
      <c r="E324" s="165" t="s">
        <v>2165</v>
      </c>
      <c r="F324" s="165" t="s">
        <v>2166</v>
      </c>
      <c r="G324" s="165">
        <v>12600</v>
      </c>
      <c r="H324" s="165"/>
      <c r="I324" s="165"/>
      <c r="J324" s="165"/>
      <c r="K324" s="165">
        <v>12600</v>
      </c>
      <c r="L324" s="165"/>
      <c r="M324" s="165"/>
      <c r="N324" s="165">
        <f t="shared" si="5"/>
        <v>0</v>
      </c>
      <c r="O324" s="165" t="s">
        <v>621</v>
      </c>
      <c r="P324" s="165" t="s">
        <v>622</v>
      </c>
      <c r="Q324" s="3">
        <v>12600</v>
      </c>
      <c r="R324">
        <v>12600</v>
      </c>
    </row>
    <row r="325" spans="1:18">
      <c r="A325" s="165" t="s">
        <v>817</v>
      </c>
      <c r="B325" s="165">
        <v>459</v>
      </c>
      <c r="C325" s="165" t="s">
        <v>9</v>
      </c>
      <c r="D325" s="165">
        <v>1</v>
      </c>
      <c r="E325" s="165" t="s">
        <v>2167</v>
      </c>
      <c r="F325" s="165" t="s">
        <v>2168</v>
      </c>
      <c r="G325" s="165">
        <v>12000</v>
      </c>
      <c r="H325" s="165"/>
      <c r="I325" s="165"/>
      <c r="J325" s="165"/>
      <c r="K325" s="165">
        <v>12000</v>
      </c>
      <c r="L325" s="165"/>
      <c r="M325" s="165"/>
      <c r="N325" s="165">
        <f t="shared" si="5"/>
        <v>0</v>
      </c>
      <c r="O325" s="165" t="s">
        <v>494</v>
      </c>
      <c r="P325" s="165" t="s">
        <v>908</v>
      </c>
      <c r="Q325" s="3">
        <v>12000</v>
      </c>
      <c r="R325">
        <v>12000</v>
      </c>
    </row>
    <row r="326" spans="1:18">
      <c r="A326" s="165" t="s">
        <v>817</v>
      </c>
      <c r="B326" s="165">
        <v>460</v>
      </c>
      <c r="C326" s="165" t="s">
        <v>9</v>
      </c>
      <c r="D326" s="165">
        <v>2</v>
      </c>
      <c r="E326" s="165" t="s">
        <v>2169</v>
      </c>
      <c r="F326" s="165" t="s">
        <v>2170</v>
      </c>
      <c r="G326" s="165">
        <v>12000</v>
      </c>
      <c r="H326" s="165"/>
      <c r="I326" s="165"/>
      <c r="J326" s="165"/>
      <c r="K326" s="165">
        <v>12000</v>
      </c>
      <c r="L326" s="165"/>
      <c r="M326" s="165"/>
      <c r="N326" s="165">
        <f t="shared" si="5"/>
        <v>0</v>
      </c>
      <c r="O326" s="165" t="s">
        <v>2171</v>
      </c>
      <c r="P326" s="165" t="s">
        <v>1472</v>
      </c>
      <c r="Q326" s="3">
        <v>12000</v>
      </c>
      <c r="R326">
        <v>12000</v>
      </c>
    </row>
    <row r="327" spans="1:18">
      <c r="A327" s="165" t="s">
        <v>817</v>
      </c>
      <c r="B327" s="165">
        <v>461</v>
      </c>
      <c r="C327" s="165" t="s">
        <v>9</v>
      </c>
      <c r="D327" s="165">
        <v>3</v>
      </c>
      <c r="E327" s="165" t="s">
        <v>2172</v>
      </c>
      <c r="F327" s="165" t="s">
        <v>2173</v>
      </c>
      <c r="G327" s="165">
        <v>12000</v>
      </c>
      <c r="H327" s="165"/>
      <c r="I327" s="165"/>
      <c r="J327" s="165"/>
      <c r="K327" s="165">
        <v>12000</v>
      </c>
      <c r="L327" s="165"/>
      <c r="M327" s="165"/>
      <c r="N327" s="165">
        <f t="shared" si="5"/>
        <v>0</v>
      </c>
      <c r="O327" s="165" t="s">
        <v>1461</v>
      </c>
      <c r="P327" s="165" t="s">
        <v>492</v>
      </c>
      <c r="Q327" s="3">
        <v>12000</v>
      </c>
      <c r="R327">
        <v>12000</v>
      </c>
    </row>
    <row r="328" spans="1:18">
      <c r="A328" s="165" t="s">
        <v>817</v>
      </c>
      <c r="B328" s="165">
        <v>462</v>
      </c>
      <c r="C328" s="165" t="s">
        <v>9</v>
      </c>
      <c r="D328" s="165">
        <v>4</v>
      </c>
      <c r="E328" s="165" t="s">
        <v>2174</v>
      </c>
      <c r="F328" s="165" t="s">
        <v>2175</v>
      </c>
      <c r="G328" s="165">
        <v>12000</v>
      </c>
      <c r="H328" s="165"/>
      <c r="I328" s="165"/>
      <c r="J328" s="165"/>
      <c r="K328" s="165">
        <v>12000</v>
      </c>
      <c r="L328" s="165"/>
      <c r="M328" s="165"/>
      <c r="N328" s="165">
        <f t="shared" si="5"/>
        <v>0</v>
      </c>
      <c r="O328" s="165" t="s">
        <v>504</v>
      </c>
      <c r="P328" s="165" t="s">
        <v>505</v>
      </c>
      <c r="Q328" s="3">
        <v>12000</v>
      </c>
      <c r="R328">
        <v>12000</v>
      </c>
    </row>
    <row r="329" spans="1:18">
      <c r="A329" s="165" t="s">
        <v>817</v>
      </c>
      <c r="B329" s="165">
        <v>463</v>
      </c>
      <c r="C329" s="165" t="s">
        <v>9</v>
      </c>
      <c r="D329" s="165">
        <v>5</v>
      </c>
      <c r="E329" s="165" t="s">
        <v>2176</v>
      </c>
      <c r="F329" s="165" t="s">
        <v>2177</v>
      </c>
      <c r="G329" s="165">
        <v>12000</v>
      </c>
      <c r="H329" s="165"/>
      <c r="I329" s="165"/>
      <c r="J329" s="165"/>
      <c r="K329" s="165">
        <v>12000</v>
      </c>
      <c r="L329" s="165"/>
      <c r="M329" s="165"/>
      <c r="N329" s="165">
        <f t="shared" si="5"/>
        <v>0</v>
      </c>
      <c r="O329" s="165" t="s">
        <v>610</v>
      </c>
      <c r="P329" s="165" t="s">
        <v>611</v>
      </c>
      <c r="Q329" s="3">
        <v>12000</v>
      </c>
      <c r="R329">
        <v>12000</v>
      </c>
    </row>
    <row r="330" spans="1:18">
      <c r="A330" s="165" t="s">
        <v>817</v>
      </c>
      <c r="B330" s="165">
        <v>464</v>
      </c>
      <c r="C330" s="165" t="s">
        <v>9</v>
      </c>
      <c r="D330" s="165">
        <v>6</v>
      </c>
      <c r="E330" s="165" t="s">
        <v>2178</v>
      </c>
      <c r="F330" s="165" t="s">
        <v>2179</v>
      </c>
      <c r="G330" s="165">
        <v>12000</v>
      </c>
      <c r="H330" s="165"/>
      <c r="I330" s="165"/>
      <c r="J330" s="165"/>
      <c r="K330" s="165">
        <v>12000</v>
      </c>
      <c r="L330" s="165"/>
      <c r="M330" s="165"/>
      <c r="N330" s="165">
        <f t="shared" si="5"/>
        <v>0</v>
      </c>
      <c r="O330" s="165" t="s">
        <v>612</v>
      </c>
      <c r="P330" s="165" t="s">
        <v>2201</v>
      </c>
      <c r="Q330" s="3">
        <v>12000</v>
      </c>
      <c r="R330">
        <v>12000</v>
      </c>
    </row>
    <row r="331" spans="1:18">
      <c r="A331" s="165" t="s">
        <v>817</v>
      </c>
      <c r="B331" s="165">
        <v>465</v>
      </c>
      <c r="C331" s="165" t="s">
        <v>9</v>
      </c>
      <c r="D331" s="165">
        <v>7</v>
      </c>
      <c r="E331" s="165" t="s">
        <v>2180</v>
      </c>
      <c r="F331" s="165" t="s">
        <v>2181</v>
      </c>
      <c r="G331" s="165">
        <v>12000</v>
      </c>
      <c r="H331" s="165"/>
      <c r="I331" s="165"/>
      <c r="J331" s="165"/>
      <c r="K331" s="165">
        <v>12000</v>
      </c>
      <c r="L331" s="165"/>
      <c r="M331" s="165"/>
      <c r="N331" s="165">
        <f t="shared" si="5"/>
        <v>0</v>
      </c>
      <c r="O331" s="165" t="s">
        <v>619</v>
      </c>
      <c r="P331" s="165" t="s">
        <v>620</v>
      </c>
      <c r="Q331" s="3">
        <v>12000</v>
      </c>
      <c r="R331">
        <v>12000</v>
      </c>
    </row>
    <row r="332" spans="1:18">
      <c r="A332" s="165" t="s">
        <v>817</v>
      </c>
      <c r="B332" s="165">
        <v>466</v>
      </c>
      <c r="C332" s="165" t="s">
        <v>9</v>
      </c>
      <c r="D332" s="165">
        <v>8</v>
      </c>
      <c r="E332" s="165" t="s">
        <v>2182</v>
      </c>
      <c r="F332" s="165" t="s">
        <v>2183</v>
      </c>
      <c r="G332" s="165">
        <v>12000</v>
      </c>
      <c r="H332" s="165"/>
      <c r="I332" s="165"/>
      <c r="J332" s="165">
        <v>12000</v>
      </c>
      <c r="K332" s="165"/>
      <c r="L332" s="165"/>
      <c r="M332" s="165"/>
      <c r="N332" s="165">
        <f t="shared" si="5"/>
        <v>0</v>
      </c>
      <c r="O332" s="165" t="s">
        <v>621</v>
      </c>
      <c r="P332" s="165" t="s">
        <v>622</v>
      </c>
      <c r="Q332" s="3">
        <v>12000</v>
      </c>
      <c r="R332">
        <v>12000</v>
      </c>
    </row>
    <row r="333" spans="1:18">
      <c r="A333" s="165" t="s">
        <v>1457</v>
      </c>
      <c r="B333" s="165">
        <v>467</v>
      </c>
      <c r="C333" s="165" t="s">
        <v>2424</v>
      </c>
      <c r="D333" s="165">
        <v>1</v>
      </c>
      <c r="E333" s="165" t="s">
        <v>2184</v>
      </c>
      <c r="F333" s="165" t="s">
        <v>1869</v>
      </c>
      <c r="G333" s="165">
        <v>11340</v>
      </c>
      <c r="H333" s="165"/>
      <c r="I333" s="165"/>
      <c r="J333" s="165"/>
      <c r="K333" s="165">
        <v>11340</v>
      </c>
      <c r="L333" s="165"/>
      <c r="M333" s="165"/>
      <c r="N333" s="165">
        <f t="shared" si="5"/>
        <v>0</v>
      </c>
      <c r="O333" s="165" t="s">
        <v>818</v>
      </c>
      <c r="P333" s="165" t="s">
        <v>487</v>
      </c>
      <c r="Q333" s="3">
        <v>11340</v>
      </c>
      <c r="R333">
        <v>11340</v>
      </c>
    </row>
    <row r="334" spans="1:18">
      <c r="A334" s="165" t="s">
        <v>1457</v>
      </c>
      <c r="B334" s="165">
        <v>468</v>
      </c>
      <c r="C334" s="165" t="s">
        <v>2424</v>
      </c>
      <c r="D334" s="165">
        <v>2</v>
      </c>
      <c r="E334" s="165" t="s">
        <v>2185</v>
      </c>
      <c r="F334" s="165" t="s">
        <v>1871</v>
      </c>
      <c r="G334" s="165">
        <v>11340</v>
      </c>
      <c r="H334" s="165"/>
      <c r="I334" s="165"/>
      <c r="J334" s="165"/>
      <c r="K334" s="165">
        <v>11340</v>
      </c>
      <c r="L334" s="165"/>
      <c r="M334" s="165"/>
      <c r="N334" s="165">
        <f t="shared" si="5"/>
        <v>0</v>
      </c>
      <c r="O334" s="165" t="s">
        <v>490</v>
      </c>
      <c r="P334" s="165" t="s">
        <v>491</v>
      </c>
      <c r="Q334" s="3">
        <v>11340</v>
      </c>
      <c r="R334">
        <v>11340</v>
      </c>
    </row>
    <row r="335" spans="1:18">
      <c r="A335" s="165" t="s">
        <v>1457</v>
      </c>
      <c r="B335" s="165">
        <v>469</v>
      </c>
      <c r="C335" s="165" t="s">
        <v>2424</v>
      </c>
      <c r="D335" s="165">
        <v>3</v>
      </c>
      <c r="E335" s="165" t="s">
        <v>2186</v>
      </c>
      <c r="F335" s="165" t="s">
        <v>1873</v>
      </c>
      <c r="G335" s="165">
        <v>11340</v>
      </c>
      <c r="H335" s="165"/>
      <c r="I335" s="165"/>
      <c r="J335" s="165"/>
      <c r="K335" s="165">
        <v>11340</v>
      </c>
      <c r="L335" s="165"/>
      <c r="M335" s="165"/>
      <c r="N335" s="165">
        <f t="shared" si="5"/>
        <v>0</v>
      </c>
      <c r="O335" s="165" t="s">
        <v>1461</v>
      </c>
      <c r="P335" s="165" t="s">
        <v>492</v>
      </c>
      <c r="Q335" s="3">
        <v>11340</v>
      </c>
      <c r="R335">
        <v>11340</v>
      </c>
    </row>
    <row r="336" spans="1:18">
      <c r="A336" s="165" t="s">
        <v>1457</v>
      </c>
      <c r="B336" s="165">
        <v>470</v>
      </c>
      <c r="C336" s="165" t="s">
        <v>2424</v>
      </c>
      <c r="D336" s="165">
        <v>4</v>
      </c>
      <c r="E336" s="165" t="s">
        <v>2187</v>
      </c>
      <c r="F336" s="165" t="s">
        <v>2049</v>
      </c>
      <c r="G336" s="165">
        <v>11340</v>
      </c>
      <c r="H336" s="165"/>
      <c r="I336" s="165"/>
      <c r="J336" s="165"/>
      <c r="K336" s="165">
        <v>11340</v>
      </c>
      <c r="L336" s="165"/>
      <c r="M336" s="165"/>
      <c r="N336" s="165">
        <f t="shared" si="5"/>
        <v>0</v>
      </c>
      <c r="O336" s="165" t="s">
        <v>504</v>
      </c>
      <c r="P336" s="165" t="s">
        <v>505</v>
      </c>
      <c r="Q336" s="3">
        <v>11340</v>
      </c>
      <c r="R336">
        <v>11340</v>
      </c>
    </row>
    <row r="337" spans="1:20">
      <c r="A337" s="165" t="s">
        <v>1457</v>
      </c>
      <c r="B337" s="165">
        <v>471</v>
      </c>
      <c r="C337" s="165" t="s">
        <v>2424</v>
      </c>
      <c r="D337" s="165">
        <v>5</v>
      </c>
      <c r="E337" s="165" t="s">
        <v>2188</v>
      </c>
      <c r="F337" s="165" t="s">
        <v>2051</v>
      </c>
      <c r="G337" s="165">
        <v>11340</v>
      </c>
      <c r="H337" s="165"/>
      <c r="I337" s="165"/>
      <c r="J337" s="165"/>
      <c r="K337" s="165">
        <v>11340</v>
      </c>
      <c r="L337" s="165"/>
      <c r="M337" s="165"/>
      <c r="N337" s="165">
        <f t="shared" si="5"/>
        <v>0</v>
      </c>
      <c r="O337" s="165" t="s">
        <v>506</v>
      </c>
      <c r="P337" s="165" t="s">
        <v>507</v>
      </c>
      <c r="Q337" s="3">
        <v>11340</v>
      </c>
      <c r="R337">
        <v>11340</v>
      </c>
    </row>
    <row r="338" spans="1:20">
      <c r="A338" s="165" t="s">
        <v>1457</v>
      </c>
      <c r="B338" s="165">
        <v>472</v>
      </c>
      <c r="C338" s="165" t="s">
        <v>2424</v>
      </c>
      <c r="D338" s="165">
        <v>6</v>
      </c>
      <c r="E338" s="165" t="s">
        <v>2189</v>
      </c>
      <c r="F338" s="165" t="s">
        <v>2190</v>
      </c>
      <c r="G338" s="165">
        <v>11340</v>
      </c>
      <c r="H338" s="165"/>
      <c r="I338" s="165"/>
      <c r="J338" s="165"/>
      <c r="K338" s="165">
        <v>11340</v>
      </c>
      <c r="L338" s="165"/>
      <c r="M338" s="165"/>
      <c r="N338" s="165">
        <f t="shared" si="5"/>
        <v>0</v>
      </c>
      <c r="O338" s="165" t="s">
        <v>627</v>
      </c>
      <c r="P338" s="165" t="s">
        <v>827</v>
      </c>
      <c r="Q338" s="3">
        <v>11340</v>
      </c>
      <c r="R338">
        <v>11340</v>
      </c>
    </row>
    <row r="339" spans="1:20">
      <c r="A339" s="165" t="s">
        <v>1457</v>
      </c>
      <c r="B339" s="165">
        <v>473</v>
      </c>
      <c r="C339" s="165" t="s">
        <v>2424</v>
      </c>
      <c r="D339" s="165">
        <v>7</v>
      </c>
      <c r="E339" s="165" t="s">
        <v>2191</v>
      </c>
      <c r="F339" s="165" t="s">
        <v>2192</v>
      </c>
      <c r="G339" s="165">
        <v>11340</v>
      </c>
      <c r="H339" s="165"/>
      <c r="I339" s="165"/>
      <c r="J339" s="165"/>
      <c r="K339" s="165">
        <v>11340</v>
      </c>
      <c r="L339" s="165"/>
      <c r="M339" s="165"/>
      <c r="N339" s="165">
        <f t="shared" si="5"/>
        <v>0</v>
      </c>
      <c r="O339" s="165" t="s">
        <v>613</v>
      </c>
      <c r="P339" s="165" t="s">
        <v>614</v>
      </c>
      <c r="Q339" s="3">
        <v>11340</v>
      </c>
      <c r="R339">
        <v>11340</v>
      </c>
    </row>
    <row r="340" spans="1:20">
      <c r="A340" s="165" t="s">
        <v>1457</v>
      </c>
      <c r="B340" s="165">
        <v>474</v>
      </c>
      <c r="C340" s="165" t="s">
        <v>2424</v>
      </c>
      <c r="D340" s="165">
        <v>8</v>
      </c>
      <c r="E340" s="165" t="s">
        <v>2193</v>
      </c>
      <c r="F340" s="165" t="s">
        <v>2194</v>
      </c>
      <c r="G340" s="165">
        <v>11340</v>
      </c>
      <c r="H340" s="165"/>
      <c r="I340" s="165"/>
      <c r="J340" s="165">
        <v>11340</v>
      </c>
      <c r="K340" s="165"/>
      <c r="L340" s="165"/>
      <c r="M340" s="165"/>
      <c r="N340" s="165">
        <f t="shared" si="5"/>
        <v>0</v>
      </c>
      <c r="O340" s="165" t="s">
        <v>621</v>
      </c>
      <c r="P340" s="165" t="s">
        <v>622</v>
      </c>
      <c r="Q340" s="3">
        <v>11340</v>
      </c>
      <c r="R340">
        <v>11340</v>
      </c>
    </row>
    <row r="341" spans="1:20">
      <c r="A341" s="165" t="s">
        <v>1471</v>
      </c>
      <c r="B341" s="165">
        <v>475</v>
      </c>
      <c r="C341" s="165" t="s">
        <v>2690</v>
      </c>
      <c r="D341" s="165">
        <v>1</v>
      </c>
      <c r="E341" s="165" t="s">
        <v>2195</v>
      </c>
      <c r="F341" s="165" t="s">
        <v>2663</v>
      </c>
      <c r="G341" s="165">
        <v>11340</v>
      </c>
      <c r="H341" s="165"/>
      <c r="I341" s="165"/>
      <c r="J341" s="165"/>
      <c r="K341" s="165">
        <v>11340</v>
      </c>
      <c r="L341" s="165"/>
      <c r="M341" s="165"/>
      <c r="N341" s="165">
        <f t="shared" si="5"/>
        <v>0</v>
      </c>
      <c r="O341" s="165" t="s">
        <v>494</v>
      </c>
      <c r="P341" s="165" t="s">
        <v>908</v>
      </c>
      <c r="Q341" s="3">
        <v>11340</v>
      </c>
      <c r="R341">
        <v>11340</v>
      </c>
    </row>
    <row r="342" spans="1:20">
      <c r="A342" s="165" t="s">
        <v>1471</v>
      </c>
      <c r="B342" s="165">
        <v>476</v>
      </c>
      <c r="C342" s="165" t="s">
        <v>2690</v>
      </c>
      <c r="D342" s="165">
        <v>2</v>
      </c>
      <c r="E342" s="165" t="s">
        <v>2196</v>
      </c>
      <c r="F342" s="165" t="s">
        <v>2664</v>
      </c>
      <c r="G342" s="165">
        <v>11340</v>
      </c>
      <c r="H342" s="165"/>
      <c r="I342" s="165"/>
      <c r="J342" s="165"/>
      <c r="K342" s="165">
        <v>11340</v>
      </c>
      <c r="L342" s="165"/>
      <c r="M342" s="165"/>
      <c r="N342" s="165">
        <f t="shared" si="5"/>
        <v>0</v>
      </c>
      <c r="O342" s="165" t="s">
        <v>495</v>
      </c>
      <c r="P342" s="165" t="s">
        <v>1472</v>
      </c>
      <c r="Q342" s="3">
        <v>11340</v>
      </c>
      <c r="R342">
        <v>11340</v>
      </c>
    </row>
    <row r="343" spans="1:20">
      <c r="A343" s="165" t="s">
        <v>1471</v>
      </c>
      <c r="B343" s="165">
        <v>477</v>
      </c>
      <c r="C343" s="165" t="s">
        <v>2690</v>
      </c>
      <c r="D343" s="165">
        <v>3</v>
      </c>
      <c r="E343" s="165" t="s">
        <v>2197</v>
      </c>
      <c r="F343" s="165" t="s">
        <v>1882</v>
      </c>
      <c r="G343" s="165">
        <v>11340</v>
      </c>
      <c r="H343" s="165"/>
      <c r="I343" s="165"/>
      <c r="J343" s="165"/>
      <c r="K343" s="165">
        <v>11340</v>
      </c>
      <c r="L343" s="165"/>
      <c r="M343" s="165"/>
      <c r="N343" s="165">
        <f t="shared" si="5"/>
        <v>0</v>
      </c>
      <c r="O343" s="165" t="s">
        <v>1461</v>
      </c>
      <c r="P343" s="165" t="s">
        <v>492</v>
      </c>
      <c r="Q343" s="3">
        <v>11340</v>
      </c>
      <c r="R343">
        <v>11340</v>
      </c>
    </row>
    <row r="344" spans="1:20">
      <c r="A344" s="165" t="s">
        <v>1471</v>
      </c>
      <c r="B344" s="165">
        <v>478</v>
      </c>
      <c r="C344" s="165" t="s">
        <v>2690</v>
      </c>
      <c r="D344" s="165">
        <v>4</v>
      </c>
      <c r="E344" s="165" t="s">
        <v>2198</v>
      </c>
      <c r="F344" s="165" t="s">
        <v>505</v>
      </c>
      <c r="G344" s="165">
        <v>11340</v>
      </c>
      <c r="H344" s="165"/>
      <c r="I344" s="165"/>
      <c r="J344" s="165"/>
      <c r="K344" s="165">
        <v>11340</v>
      </c>
      <c r="L344" s="165"/>
      <c r="M344" s="165"/>
      <c r="N344" s="165">
        <f t="shared" si="5"/>
        <v>0</v>
      </c>
      <c r="O344" s="165" t="s">
        <v>496</v>
      </c>
      <c r="P344" s="165" t="s">
        <v>497</v>
      </c>
      <c r="Q344" s="3">
        <v>11340</v>
      </c>
      <c r="R344">
        <v>11340</v>
      </c>
    </row>
    <row r="345" spans="1:20">
      <c r="A345" s="165" t="s">
        <v>1471</v>
      </c>
      <c r="B345" s="165">
        <v>479</v>
      </c>
      <c r="C345" s="165" t="s">
        <v>2690</v>
      </c>
      <c r="D345" s="165">
        <v>5</v>
      </c>
      <c r="E345" s="165" t="s">
        <v>2199</v>
      </c>
      <c r="F345" s="165" t="s">
        <v>548</v>
      </c>
      <c r="G345" s="165">
        <v>11340</v>
      </c>
      <c r="H345" s="165"/>
      <c r="I345" s="165"/>
      <c r="J345" s="165"/>
      <c r="K345" s="165">
        <v>11340</v>
      </c>
      <c r="L345" s="165"/>
      <c r="M345" s="165"/>
      <c r="N345" s="165">
        <f t="shared" si="5"/>
        <v>0</v>
      </c>
      <c r="O345" s="165" t="s">
        <v>623</v>
      </c>
      <c r="P345" s="165" t="s">
        <v>624</v>
      </c>
      <c r="Q345" s="3">
        <v>11340</v>
      </c>
      <c r="R345">
        <v>11340</v>
      </c>
    </row>
    <row r="346" spans="1:20">
      <c r="A346" s="165" t="s">
        <v>1471</v>
      </c>
      <c r="B346" s="165">
        <v>480</v>
      </c>
      <c r="C346" s="165" t="s">
        <v>2690</v>
      </c>
      <c r="D346" s="165">
        <v>6</v>
      </c>
      <c r="E346" s="165" t="s">
        <v>2200</v>
      </c>
      <c r="F346" s="165" t="s">
        <v>2201</v>
      </c>
      <c r="G346" s="165">
        <v>11340</v>
      </c>
      <c r="H346" s="165"/>
      <c r="I346" s="165"/>
      <c r="J346" s="165"/>
      <c r="K346" s="165">
        <v>11340</v>
      </c>
      <c r="L346" s="165"/>
      <c r="M346" s="165"/>
      <c r="N346" s="165">
        <f t="shared" si="5"/>
        <v>0</v>
      </c>
      <c r="O346" s="165" t="s">
        <v>612</v>
      </c>
      <c r="P346" s="165" t="s">
        <v>2201</v>
      </c>
      <c r="Q346" s="3">
        <v>11340</v>
      </c>
      <c r="R346">
        <v>11340</v>
      </c>
    </row>
    <row r="347" spans="1:20">
      <c r="A347" s="165" t="s">
        <v>1471</v>
      </c>
      <c r="B347" s="165">
        <v>481</v>
      </c>
      <c r="C347" s="165" t="s">
        <v>2690</v>
      </c>
      <c r="D347" s="165">
        <v>7</v>
      </c>
      <c r="E347" s="165" t="s">
        <v>2202</v>
      </c>
      <c r="F347" s="165" t="s">
        <v>2203</v>
      </c>
      <c r="G347" s="165">
        <v>11340</v>
      </c>
      <c r="H347" s="165"/>
      <c r="I347" s="165"/>
      <c r="J347" s="165"/>
      <c r="K347" s="165">
        <v>11340</v>
      </c>
      <c r="L347" s="165"/>
      <c r="M347" s="165"/>
      <c r="N347" s="165">
        <f t="shared" si="5"/>
        <v>0</v>
      </c>
      <c r="O347" s="165" t="s">
        <v>619</v>
      </c>
      <c r="P347" s="165" t="s">
        <v>620</v>
      </c>
      <c r="Q347" s="3">
        <v>11340</v>
      </c>
      <c r="R347">
        <v>11340</v>
      </c>
    </row>
    <row r="348" spans="1:20">
      <c r="A348" s="165" t="s">
        <v>1471</v>
      </c>
      <c r="B348" s="165">
        <v>482</v>
      </c>
      <c r="C348" s="165" t="s">
        <v>2690</v>
      </c>
      <c r="D348" s="165">
        <v>8</v>
      </c>
      <c r="E348" s="165" t="s">
        <v>2204</v>
      </c>
      <c r="F348" s="165" t="s">
        <v>2205</v>
      </c>
      <c r="G348" s="165">
        <v>11340</v>
      </c>
      <c r="H348" s="165"/>
      <c r="I348" s="165"/>
      <c r="J348" s="165">
        <v>11340</v>
      </c>
      <c r="K348" s="165"/>
      <c r="L348" s="165"/>
      <c r="M348" s="165"/>
      <c r="N348" s="165">
        <f t="shared" ref="N348:N411" si="6">G348-J348-K348</f>
        <v>0</v>
      </c>
      <c r="O348" s="165" t="s">
        <v>625</v>
      </c>
      <c r="P348" s="165" t="s">
        <v>626</v>
      </c>
      <c r="Q348" s="3">
        <v>11340</v>
      </c>
      <c r="R348">
        <v>11340</v>
      </c>
    </row>
    <row r="349" spans="1:20">
      <c r="A349" s="209" t="s">
        <v>487</v>
      </c>
      <c r="B349" s="209"/>
      <c r="C349" s="205" t="s">
        <v>2421</v>
      </c>
      <c r="D349" s="226">
        <v>6</v>
      </c>
      <c r="E349" s="183" t="s">
        <v>1283</v>
      </c>
      <c r="F349" s="209" t="s">
        <v>487</v>
      </c>
      <c r="G349" s="165"/>
      <c r="H349" s="165"/>
      <c r="I349" s="165"/>
      <c r="J349" s="165"/>
      <c r="K349" s="165"/>
      <c r="L349" s="165"/>
      <c r="M349" s="165"/>
      <c r="N349" s="165">
        <f t="shared" si="6"/>
        <v>0</v>
      </c>
      <c r="O349" s="209" t="s">
        <v>487</v>
      </c>
      <c r="P349" s="209" t="s">
        <v>487</v>
      </c>
      <c r="Q349" s="178">
        <v>14175</v>
      </c>
      <c r="R349" s="178">
        <v>14165</v>
      </c>
      <c r="S349" s="178"/>
      <c r="T349" s="3">
        <v>10</v>
      </c>
    </row>
    <row r="350" spans="1:20">
      <c r="A350" s="165" t="s">
        <v>2071</v>
      </c>
      <c r="B350" s="165">
        <v>483</v>
      </c>
      <c r="C350" s="165" t="s">
        <v>2206</v>
      </c>
      <c r="D350" s="165">
        <v>1</v>
      </c>
      <c r="E350" s="165" t="s">
        <v>2207</v>
      </c>
      <c r="F350" s="165" t="s">
        <v>908</v>
      </c>
      <c r="G350" s="165">
        <v>14175</v>
      </c>
      <c r="H350" s="165"/>
      <c r="I350" s="165"/>
      <c r="J350" s="165"/>
      <c r="K350" s="165">
        <v>14175</v>
      </c>
      <c r="L350" s="165"/>
      <c r="M350" s="165"/>
      <c r="N350" s="165">
        <f t="shared" si="6"/>
        <v>0</v>
      </c>
      <c r="O350" s="165" t="s">
        <v>490</v>
      </c>
      <c r="P350" s="165" t="s">
        <v>491</v>
      </c>
      <c r="Q350" s="3">
        <v>14175</v>
      </c>
      <c r="R350">
        <v>14175</v>
      </c>
    </row>
    <row r="351" spans="1:20">
      <c r="A351" s="165" t="s">
        <v>2071</v>
      </c>
      <c r="B351" s="165">
        <v>484</v>
      </c>
      <c r="C351" s="165" t="s">
        <v>2206</v>
      </c>
      <c r="D351" s="165">
        <v>2</v>
      </c>
      <c r="E351" s="165" t="s">
        <v>2208</v>
      </c>
      <c r="F351" s="165" t="s">
        <v>2209</v>
      </c>
      <c r="G351" s="165">
        <v>14175</v>
      </c>
      <c r="H351" s="165"/>
      <c r="I351" s="165"/>
      <c r="J351" s="165"/>
      <c r="K351" s="165">
        <v>14175</v>
      </c>
      <c r="L351" s="165"/>
      <c r="M351" s="165"/>
      <c r="N351" s="165">
        <f t="shared" si="6"/>
        <v>0</v>
      </c>
      <c r="O351" s="165" t="s">
        <v>493</v>
      </c>
      <c r="P351" s="165" t="s">
        <v>911</v>
      </c>
      <c r="Q351" s="3">
        <v>14175</v>
      </c>
      <c r="R351">
        <v>14175</v>
      </c>
    </row>
    <row r="352" spans="1:20">
      <c r="A352" s="165" t="s">
        <v>2071</v>
      </c>
      <c r="B352" s="165">
        <v>485</v>
      </c>
      <c r="C352" s="165" t="s">
        <v>2206</v>
      </c>
      <c r="D352" s="165">
        <v>3</v>
      </c>
      <c r="E352" s="165" t="s">
        <v>2210</v>
      </c>
      <c r="F352" s="165" t="s">
        <v>459</v>
      </c>
      <c r="G352" s="165">
        <v>14175</v>
      </c>
      <c r="H352" s="165"/>
      <c r="I352" s="165"/>
      <c r="J352" s="165"/>
      <c r="K352" s="165">
        <v>14175</v>
      </c>
      <c r="L352" s="165"/>
      <c r="M352" s="165"/>
      <c r="N352" s="165">
        <f t="shared" si="6"/>
        <v>0</v>
      </c>
      <c r="O352" s="165" t="s">
        <v>460</v>
      </c>
      <c r="P352" s="165" t="s">
        <v>1465</v>
      </c>
      <c r="Q352" s="3">
        <v>14175</v>
      </c>
      <c r="R352">
        <v>14175</v>
      </c>
    </row>
    <row r="353" spans="1:21">
      <c r="A353" s="165" t="s">
        <v>2071</v>
      </c>
      <c r="B353" s="165">
        <v>486</v>
      </c>
      <c r="C353" s="165" t="s">
        <v>2206</v>
      </c>
      <c r="D353" s="165">
        <v>4</v>
      </c>
      <c r="E353" s="165" t="s">
        <v>2211</v>
      </c>
      <c r="F353" s="165" t="s">
        <v>445</v>
      </c>
      <c r="G353" s="165">
        <v>14175</v>
      </c>
      <c r="H353" s="165"/>
      <c r="I353" s="165"/>
      <c r="J353" s="165"/>
      <c r="K353" s="165">
        <v>14175</v>
      </c>
      <c r="L353" s="165"/>
      <c r="M353" s="165"/>
      <c r="N353" s="165">
        <f t="shared" si="6"/>
        <v>0</v>
      </c>
      <c r="O353" s="165" t="s">
        <v>508</v>
      </c>
      <c r="P353" s="165" t="s">
        <v>2107</v>
      </c>
      <c r="Q353" s="3">
        <v>14175</v>
      </c>
      <c r="R353">
        <v>14175</v>
      </c>
    </row>
    <row r="354" spans="1:21">
      <c r="A354" s="165" t="s">
        <v>2071</v>
      </c>
      <c r="B354" s="165">
        <v>487</v>
      </c>
      <c r="C354" s="165" t="s">
        <v>2206</v>
      </c>
      <c r="D354" s="165">
        <v>5</v>
      </c>
      <c r="E354" s="165" t="s">
        <v>2212</v>
      </c>
      <c r="F354" s="165" t="s">
        <v>2079</v>
      </c>
      <c r="G354" s="165">
        <v>14175</v>
      </c>
      <c r="H354" s="165"/>
      <c r="I354" s="165"/>
      <c r="J354" s="165"/>
      <c r="K354" s="165">
        <v>14175</v>
      </c>
      <c r="L354" s="165"/>
      <c r="M354" s="165"/>
      <c r="N354" s="165">
        <f t="shared" si="6"/>
        <v>0</v>
      </c>
      <c r="O354" s="165" t="s">
        <v>615</v>
      </c>
      <c r="P354" s="165" t="s">
        <v>616</v>
      </c>
      <c r="Q354" s="3">
        <v>14175</v>
      </c>
      <c r="R354">
        <v>14175</v>
      </c>
    </row>
    <row r="355" spans="1:21">
      <c r="A355" s="165" t="s">
        <v>2071</v>
      </c>
      <c r="B355" s="165">
        <v>488</v>
      </c>
      <c r="C355" s="165" t="s">
        <v>2206</v>
      </c>
      <c r="D355" s="165">
        <v>6</v>
      </c>
      <c r="E355" s="165" t="s">
        <v>2213</v>
      </c>
      <c r="F355" s="165" t="s">
        <v>2214</v>
      </c>
      <c r="G355" s="165">
        <v>14175</v>
      </c>
      <c r="H355" s="165"/>
      <c r="I355" s="165"/>
      <c r="J355" s="165"/>
      <c r="K355" s="165">
        <v>14175</v>
      </c>
      <c r="L355" s="165"/>
      <c r="M355" s="165"/>
      <c r="N355" s="165">
        <f t="shared" si="6"/>
        <v>0</v>
      </c>
      <c r="O355" s="165" t="s">
        <v>617</v>
      </c>
      <c r="P355" s="165" t="s">
        <v>618</v>
      </c>
      <c r="Q355" s="3">
        <v>14175</v>
      </c>
      <c r="R355">
        <v>14175</v>
      </c>
    </row>
    <row r="356" spans="1:21">
      <c r="A356" s="165" t="s">
        <v>2071</v>
      </c>
      <c r="B356" s="165">
        <v>489</v>
      </c>
      <c r="C356" s="165" t="s">
        <v>2206</v>
      </c>
      <c r="D356" s="165">
        <v>7</v>
      </c>
      <c r="E356" s="165" t="s">
        <v>2215</v>
      </c>
      <c r="F356" s="165" t="s">
        <v>2216</v>
      </c>
      <c r="G356" s="165">
        <v>14175</v>
      </c>
      <c r="H356" s="165"/>
      <c r="I356" s="165"/>
      <c r="J356" s="165"/>
      <c r="K356" s="165">
        <v>14175</v>
      </c>
      <c r="L356" s="165"/>
      <c r="M356" s="165"/>
      <c r="N356" s="165">
        <f t="shared" si="6"/>
        <v>0</v>
      </c>
      <c r="O356" s="165" t="s">
        <v>628</v>
      </c>
      <c r="P356" s="165" t="s">
        <v>629</v>
      </c>
      <c r="Q356" s="3">
        <v>14175</v>
      </c>
      <c r="R356">
        <v>14175</v>
      </c>
    </row>
    <row r="357" spans="1:21">
      <c r="A357" s="165" t="s">
        <v>2071</v>
      </c>
      <c r="B357" s="165">
        <v>490</v>
      </c>
      <c r="C357" s="165" t="s">
        <v>2206</v>
      </c>
      <c r="D357" s="165">
        <v>8</v>
      </c>
      <c r="E357" s="165" t="s">
        <v>2217</v>
      </c>
      <c r="F357" s="165" t="s">
        <v>2218</v>
      </c>
      <c r="G357" s="165">
        <v>14175</v>
      </c>
      <c r="H357" s="165"/>
      <c r="I357" s="165"/>
      <c r="J357" s="165">
        <v>14175</v>
      </c>
      <c r="K357" s="165"/>
      <c r="L357" s="165"/>
      <c r="M357" s="165"/>
      <c r="N357" s="165">
        <f t="shared" si="6"/>
        <v>0</v>
      </c>
      <c r="O357" s="165" t="s">
        <v>625</v>
      </c>
      <c r="P357" s="165" t="s">
        <v>626</v>
      </c>
      <c r="Q357" s="3">
        <v>14175</v>
      </c>
      <c r="R357">
        <v>14175</v>
      </c>
    </row>
    <row r="358" spans="1:21" s="95" customFormat="1">
      <c r="A358" s="182" t="s">
        <v>820</v>
      </c>
      <c r="B358" s="182"/>
      <c r="C358" s="210" t="s">
        <v>2060</v>
      </c>
      <c r="D358" s="226">
        <v>4</v>
      </c>
      <c r="E358" s="210" t="s">
        <v>1283</v>
      </c>
      <c r="F358" s="182" t="s">
        <v>820</v>
      </c>
      <c r="G358" s="179"/>
      <c r="H358" s="179"/>
      <c r="I358" s="179"/>
      <c r="J358" s="179"/>
      <c r="K358" s="179"/>
      <c r="L358" s="179"/>
      <c r="M358" s="179"/>
      <c r="N358" s="179">
        <f t="shared" si="6"/>
        <v>0</v>
      </c>
      <c r="O358" s="182" t="s">
        <v>820</v>
      </c>
      <c r="P358" s="182" t="s">
        <v>820</v>
      </c>
      <c r="Q358" s="182">
        <v>14175</v>
      </c>
      <c r="R358" s="182">
        <v>14145</v>
      </c>
      <c r="S358" s="182"/>
      <c r="T358" s="179">
        <v>30</v>
      </c>
      <c r="U358" s="210" t="s">
        <v>245</v>
      </c>
    </row>
    <row r="359" spans="1:21">
      <c r="A359" s="165" t="s">
        <v>2219</v>
      </c>
      <c r="B359" s="165">
        <v>491</v>
      </c>
      <c r="C359" s="165" t="s">
        <v>1264</v>
      </c>
      <c r="D359" s="165">
        <v>1</v>
      </c>
      <c r="E359" s="165" t="s">
        <v>2220</v>
      </c>
      <c r="F359" s="165" t="s">
        <v>1965</v>
      </c>
      <c r="G359" s="165">
        <v>11340</v>
      </c>
      <c r="H359" s="165"/>
      <c r="I359" s="165"/>
      <c r="J359" s="165"/>
      <c r="K359" s="165">
        <v>11340</v>
      </c>
      <c r="L359" s="165"/>
      <c r="M359" s="165"/>
      <c r="N359" s="165">
        <f t="shared" si="6"/>
        <v>0</v>
      </c>
      <c r="O359" s="165" t="s">
        <v>490</v>
      </c>
      <c r="P359" s="165" t="s">
        <v>1459</v>
      </c>
      <c r="Q359" s="3">
        <v>11340</v>
      </c>
      <c r="R359">
        <v>11340</v>
      </c>
    </row>
    <row r="360" spans="1:21">
      <c r="A360" s="165" t="s">
        <v>2219</v>
      </c>
      <c r="B360" s="165">
        <v>492</v>
      </c>
      <c r="C360" s="165" t="s">
        <v>1264</v>
      </c>
      <c r="D360" s="165">
        <v>2</v>
      </c>
      <c r="E360" s="165" t="s">
        <v>2221</v>
      </c>
      <c r="F360" s="165" t="s">
        <v>1871</v>
      </c>
      <c r="G360" s="165">
        <v>11340</v>
      </c>
      <c r="H360" s="165"/>
      <c r="I360" s="165"/>
      <c r="J360" s="165"/>
      <c r="K360" s="165">
        <v>11340</v>
      </c>
      <c r="L360" s="165"/>
      <c r="M360" s="165"/>
      <c r="N360" s="165">
        <f t="shared" si="6"/>
        <v>0</v>
      </c>
      <c r="O360" s="165" t="s">
        <v>490</v>
      </c>
      <c r="P360" s="165" t="s">
        <v>1459</v>
      </c>
      <c r="Q360" s="3">
        <v>11340</v>
      </c>
      <c r="R360">
        <v>11340</v>
      </c>
    </row>
    <row r="361" spans="1:21">
      <c r="A361" s="165" t="s">
        <v>2219</v>
      </c>
      <c r="B361" s="165">
        <v>493</v>
      </c>
      <c r="C361" s="165" t="s">
        <v>1264</v>
      </c>
      <c r="D361" s="165">
        <v>3</v>
      </c>
      <c r="E361" s="165" t="s">
        <v>2222</v>
      </c>
      <c r="F361" s="165" t="s">
        <v>1873</v>
      </c>
      <c r="G361" s="165">
        <v>11340</v>
      </c>
      <c r="H361" s="165"/>
      <c r="I361" s="165"/>
      <c r="J361" s="165"/>
      <c r="K361" s="165">
        <v>11340</v>
      </c>
      <c r="L361" s="165"/>
      <c r="M361" s="165"/>
      <c r="N361" s="165">
        <f t="shared" si="6"/>
        <v>0</v>
      </c>
      <c r="O361" s="165" t="s">
        <v>1461</v>
      </c>
      <c r="P361" s="165" t="s">
        <v>1462</v>
      </c>
      <c r="Q361" s="3">
        <v>11340</v>
      </c>
      <c r="R361">
        <v>11340</v>
      </c>
    </row>
    <row r="362" spans="1:21">
      <c r="A362" s="165" t="s">
        <v>2219</v>
      </c>
      <c r="B362" s="165">
        <v>494</v>
      </c>
      <c r="C362" s="165" t="s">
        <v>1264</v>
      </c>
      <c r="D362" s="165">
        <v>4</v>
      </c>
      <c r="E362" s="165" t="s">
        <v>2223</v>
      </c>
      <c r="F362" s="165" t="s">
        <v>2049</v>
      </c>
      <c r="G362" s="165">
        <v>11340</v>
      </c>
      <c r="H362" s="165"/>
      <c r="I362" s="165"/>
      <c r="J362" s="165"/>
      <c r="K362" s="165">
        <v>11340</v>
      </c>
      <c r="L362" s="165"/>
      <c r="M362" s="165"/>
      <c r="N362" s="165">
        <f t="shared" si="6"/>
        <v>0</v>
      </c>
      <c r="O362" s="165" t="s">
        <v>504</v>
      </c>
      <c r="P362" s="165" t="s">
        <v>2499</v>
      </c>
      <c r="Q362" s="3">
        <v>11340</v>
      </c>
      <c r="R362">
        <v>11340</v>
      </c>
    </row>
    <row r="363" spans="1:21">
      <c r="A363" s="165" t="s">
        <v>2224</v>
      </c>
      <c r="B363" s="165">
        <v>495</v>
      </c>
      <c r="C363" s="165" t="s">
        <v>1301</v>
      </c>
      <c r="D363" s="165">
        <v>1</v>
      </c>
      <c r="E363" s="165" t="s">
        <v>2225</v>
      </c>
      <c r="F363" s="165" t="s">
        <v>514</v>
      </c>
      <c r="G363" s="165">
        <v>14175</v>
      </c>
      <c r="H363" s="165"/>
      <c r="I363" s="165"/>
      <c r="J363" s="165"/>
      <c r="K363" s="165">
        <v>14175</v>
      </c>
      <c r="L363" s="165"/>
      <c r="M363" s="165"/>
      <c r="N363" s="165">
        <f t="shared" si="6"/>
        <v>0</v>
      </c>
      <c r="O363" s="165" t="s">
        <v>490</v>
      </c>
      <c r="P363" s="165" t="s">
        <v>491</v>
      </c>
      <c r="Q363" s="3">
        <v>14175</v>
      </c>
      <c r="R363">
        <v>14175</v>
      </c>
    </row>
    <row r="364" spans="1:21">
      <c r="A364" s="165" t="s">
        <v>2224</v>
      </c>
      <c r="B364" s="165">
        <v>496</v>
      </c>
      <c r="C364" s="165" t="s">
        <v>1301</v>
      </c>
      <c r="D364" s="165">
        <v>2</v>
      </c>
      <c r="E364" s="165" t="s">
        <v>2226</v>
      </c>
      <c r="F364" s="165" t="s">
        <v>515</v>
      </c>
      <c r="G364" s="165">
        <v>14175</v>
      </c>
      <c r="H364" s="165"/>
      <c r="I364" s="165"/>
      <c r="J364" s="165"/>
      <c r="K364" s="165">
        <v>14175</v>
      </c>
      <c r="L364" s="165"/>
      <c r="M364" s="165"/>
      <c r="N364" s="165">
        <f t="shared" si="6"/>
        <v>0</v>
      </c>
      <c r="O364" s="165" t="s">
        <v>493</v>
      </c>
      <c r="P364" s="165" t="s">
        <v>911</v>
      </c>
      <c r="Q364" s="3">
        <v>14175</v>
      </c>
      <c r="R364">
        <v>14175</v>
      </c>
    </row>
    <row r="365" spans="1:21">
      <c r="A365" s="165" t="s">
        <v>2224</v>
      </c>
      <c r="B365" s="165">
        <v>497</v>
      </c>
      <c r="C365" s="165" t="s">
        <v>1301</v>
      </c>
      <c r="D365" s="165">
        <v>3</v>
      </c>
      <c r="E365" s="165" t="s">
        <v>2227</v>
      </c>
      <c r="F365" s="165" t="s">
        <v>460</v>
      </c>
      <c r="G365" s="165">
        <v>14175</v>
      </c>
      <c r="H365" s="165"/>
      <c r="I365" s="165"/>
      <c r="J365" s="165"/>
      <c r="K365" s="165">
        <v>14175</v>
      </c>
      <c r="L365" s="165"/>
      <c r="M365" s="165"/>
      <c r="N365" s="165">
        <f t="shared" si="6"/>
        <v>0</v>
      </c>
      <c r="O365" s="165" t="s">
        <v>460</v>
      </c>
      <c r="P365" s="165" t="s">
        <v>1465</v>
      </c>
      <c r="Q365" s="3">
        <v>14175</v>
      </c>
      <c r="R365">
        <v>14175</v>
      </c>
    </row>
    <row r="366" spans="1:21">
      <c r="A366" s="165" t="s">
        <v>2224</v>
      </c>
      <c r="B366" s="165">
        <v>498</v>
      </c>
      <c r="C366" s="165" t="s">
        <v>1301</v>
      </c>
      <c r="D366" s="165">
        <v>4</v>
      </c>
      <c r="E366" s="165" t="s">
        <v>2228</v>
      </c>
      <c r="F366" s="165" t="s">
        <v>2229</v>
      </c>
      <c r="G366" s="165">
        <v>14175</v>
      </c>
      <c r="H366" s="165"/>
      <c r="I366" s="165"/>
      <c r="J366" s="165"/>
      <c r="K366" s="165">
        <v>14175</v>
      </c>
      <c r="L366" s="165"/>
      <c r="M366" s="165"/>
      <c r="N366" s="165">
        <f t="shared" si="6"/>
        <v>0</v>
      </c>
      <c r="O366" s="165" t="s">
        <v>472</v>
      </c>
      <c r="P366" s="165" t="s">
        <v>2230</v>
      </c>
      <c r="Q366" s="3">
        <v>14175</v>
      </c>
      <c r="R366">
        <v>14175</v>
      </c>
    </row>
    <row r="367" spans="1:21">
      <c r="A367" s="165" t="s">
        <v>2224</v>
      </c>
      <c r="B367" s="165">
        <v>499</v>
      </c>
      <c r="C367" s="165" t="s">
        <v>1301</v>
      </c>
      <c r="D367" s="165">
        <v>5</v>
      </c>
      <c r="E367" s="165" t="s">
        <v>2231</v>
      </c>
      <c r="F367" s="165" t="s">
        <v>2232</v>
      </c>
      <c r="G367" s="165">
        <v>14175</v>
      </c>
      <c r="H367" s="165"/>
      <c r="I367" s="165"/>
      <c r="J367" s="165"/>
      <c r="K367" s="165">
        <v>14175</v>
      </c>
      <c r="L367" s="165"/>
      <c r="M367" s="165"/>
      <c r="N367" s="165">
        <f t="shared" si="6"/>
        <v>0</v>
      </c>
      <c r="O367" s="165" t="s">
        <v>2162</v>
      </c>
      <c r="P367" s="165" t="s">
        <v>1024</v>
      </c>
      <c r="Q367" s="3">
        <v>14175</v>
      </c>
      <c r="R367">
        <v>14175</v>
      </c>
    </row>
    <row r="368" spans="1:21">
      <c r="A368" s="165" t="s">
        <v>2224</v>
      </c>
      <c r="B368" s="165">
        <v>500</v>
      </c>
      <c r="C368" s="165" t="s">
        <v>1301</v>
      </c>
      <c r="D368" s="165">
        <v>6</v>
      </c>
      <c r="E368" s="165" t="s">
        <v>2233</v>
      </c>
      <c r="F368" s="165" t="s">
        <v>2234</v>
      </c>
      <c r="G368" s="165">
        <v>14175</v>
      </c>
      <c r="H368" s="165"/>
      <c r="I368" s="165"/>
      <c r="J368" s="165"/>
      <c r="K368" s="165">
        <v>14175</v>
      </c>
      <c r="L368" s="165"/>
      <c r="M368" s="165"/>
      <c r="N368" s="165">
        <f t="shared" si="6"/>
        <v>0</v>
      </c>
      <c r="O368" s="165" t="s">
        <v>2164</v>
      </c>
      <c r="P368" s="165" t="s">
        <v>1025</v>
      </c>
      <c r="Q368" s="3">
        <v>14175</v>
      </c>
      <c r="R368">
        <v>14175</v>
      </c>
    </row>
    <row r="369" spans="1:20">
      <c r="A369" s="165" t="s">
        <v>2224</v>
      </c>
      <c r="B369" s="165">
        <v>501</v>
      </c>
      <c r="C369" s="165" t="s">
        <v>1301</v>
      </c>
      <c r="D369" s="165">
        <v>7</v>
      </c>
      <c r="E369" s="165" t="s">
        <v>2235</v>
      </c>
      <c r="F369" s="165" t="s">
        <v>2236</v>
      </c>
      <c r="G369" s="165">
        <v>14175</v>
      </c>
      <c r="H369" s="165"/>
      <c r="I369" s="165"/>
      <c r="J369" s="165"/>
      <c r="K369" s="165">
        <v>14175</v>
      </c>
      <c r="L369" s="165"/>
      <c r="M369" s="165"/>
      <c r="N369" s="165">
        <f t="shared" si="6"/>
        <v>0</v>
      </c>
      <c r="O369" s="165" t="s">
        <v>628</v>
      </c>
      <c r="P369" s="165" t="s">
        <v>629</v>
      </c>
      <c r="Q369" s="3">
        <v>14175</v>
      </c>
      <c r="R369">
        <v>14175</v>
      </c>
    </row>
    <row r="370" spans="1:20">
      <c r="A370" s="165" t="s">
        <v>2224</v>
      </c>
      <c r="B370" s="165">
        <v>502</v>
      </c>
      <c r="C370" s="165" t="s">
        <v>1301</v>
      </c>
      <c r="D370" s="165">
        <v>8</v>
      </c>
      <c r="E370" s="165" t="s">
        <v>2237</v>
      </c>
      <c r="F370" s="165" t="s">
        <v>2238</v>
      </c>
      <c r="G370" s="165">
        <v>14175</v>
      </c>
      <c r="H370" s="165"/>
      <c r="I370" s="165"/>
      <c r="J370" s="165">
        <v>14175</v>
      </c>
      <c r="K370" s="165"/>
      <c r="L370" s="165"/>
      <c r="M370" s="165"/>
      <c r="N370" s="165">
        <f t="shared" si="6"/>
        <v>0</v>
      </c>
      <c r="O370" s="165" t="s">
        <v>3159</v>
      </c>
      <c r="P370" s="165" t="s">
        <v>3160</v>
      </c>
      <c r="Q370" s="3">
        <v>14175</v>
      </c>
      <c r="R370">
        <v>14175</v>
      </c>
    </row>
    <row r="371" spans="1:20">
      <c r="A371" s="209" t="s">
        <v>2239</v>
      </c>
      <c r="B371" s="209"/>
      <c r="C371" s="205" t="s">
        <v>1532</v>
      </c>
      <c r="D371" s="226">
        <v>7</v>
      </c>
      <c r="E371" s="183" t="s">
        <v>1283</v>
      </c>
      <c r="F371" s="209" t="s">
        <v>2239</v>
      </c>
      <c r="G371" s="165"/>
      <c r="H371" s="165"/>
      <c r="I371" s="165"/>
      <c r="J371" s="165"/>
      <c r="K371" s="165"/>
      <c r="L371" s="165"/>
      <c r="M371" s="165"/>
      <c r="N371" s="165">
        <f t="shared" si="6"/>
        <v>0</v>
      </c>
      <c r="O371" s="209" t="s">
        <v>2239</v>
      </c>
      <c r="P371" s="209" t="s">
        <v>2239</v>
      </c>
      <c r="Q371" s="178">
        <v>13500</v>
      </c>
      <c r="R371" s="178">
        <v>13485</v>
      </c>
      <c r="S371" s="178"/>
      <c r="T371" s="3">
        <v>15</v>
      </c>
    </row>
    <row r="372" spans="1:20">
      <c r="A372" s="165" t="s">
        <v>2240</v>
      </c>
      <c r="B372" s="165">
        <v>503</v>
      </c>
      <c r="C372" s="165" t="s">
        <v>1781</v>
      </c>
      <c r="D372" s="165">
        <v>1</v>
      </c>
      <c r="E372" s="165" t="s">
        <v>2241</v>
      </c>
      <c r="F372" s="165" t="s">
        <v>2240</v>
      </c>
      <c r="G372" s="165">
        <v>14175</v>
      </c>
      <c r="H372" s="165"/>
      <c r="I372" s="165"/>
      <c r="J372" s="165"/>
      <c r="K372" s="165">
        <v>14175</v>
      </c>
      <c r="L372" s="165"/>
      <c r="M372" s="165"/>
      <c r="N372" s="165">
        <f t="shared" si="6"/>
        <v>0</v>
      </c>
      <c r="O372" s="165" t="s">
        <v>490</v>
      </c>
      <c r="P372" s="165" t="s">
        <v>491</v>
      </c>
      <c r="Q372" s="3">
        <v>14175</v>
      </c>
      <c r="R372">
        <v>14175</v>
      </c>
    </row>
    <row r="373" spans="1:20">
      <c r="A373" s="165" t="s">
        <v>2240</v>
      </c>
      <c r="B373" s="165">
        <v>504</v>
      </c>
      <c r="C373" s="165" t="s">
        <v>1781</v>
      </c>
      <c r="D373" s="165">
        <v>2</v>
      </c>
      <c r="E373" s="165" t="s">
        <v>2242</v>
      </c>
      <c r="F373" s="165" t="s">
        <v>913</v>
      </c>
      <c r="G373" s="165">
        <v>14175</v>
      </c>
      <c r="H373" s="165"/>
      <c r="I373" s="165"/>
      <c r="J373" s="165"/>
      <c r="K373" s="165">
        <v>14175</v>
      </c>
      <c r="L373" s="165"/>
      <c r="M373" s="165"/>
      <c r="N373" s="165">
        <f t="shared" si="6"/>
        <v>0</v>
      </c>
      <c r="O373" s="165" t="s">
        <v>1461</v>
      </c>
      <c r="P373" s="165" t="s">
        <v>492</v>
      </c>
      <c r="Q373" s="3">
        <v>14175</v>
      </c>
      <c r="R373">
        <v>14175</v>
      </c>
    </row>
    <row r="374" spans="1:20">
      <c r="A374" s="165" t="s">
        <v>2240</v>
      </c>
      <c r="B374" s="165">
        <v>505</v>
      </c>
      <c r="C374" s="165" t="s">
        <v>1781</v>
      </c>
      <c r="D374" s="165">
        <v>3</v>
      </c>
      <c r="E374" s="165" t="s">
        <v>2243</v>
      </c>
      <c r="F374" s="165" t="s">
        <v>1470</v>
      </c>
      <c r="G374" s="165">
        <v>14175</v>
      </c>
      <c r="H374" s="165"/>
      <c r="I374" s="165"/>
      <c r="J374" s="165"/>
      <c r="K374" s="165">
        <v>14175</v>
      </c>
      <c r="L374" s="165"/>
      <c r="M374" s="165"/>
      <c r="N374" s="165">
        <f t="shared" si="6"/>
        <v>0</v>
      </c>
      <c r="O374" s="165" t="s">
        <v>500</v>
      </c>
      <c r="P374" s="165" t="s">
        <v>500</v>
      </c>
      <c r="Q374" s="3">
        <v>14175</v>
      </c>
      <c r="R374">
        <v>14175</v>
      </c>
    </row>
    <row r="375" spans="1:20">
      <c r="A375" s="165" t="s">
        <v>2240</v>
      </c>
      <c r="B375" s="165">
        <v>506</v>
      </c>
      <c r="C375" s="165" t="s">
        <v>1781</v>
      </c>
      <c r="D375" s="165">
        <v>4</v>
      </c>
      <c r="E375" s="165" t="s">
        <v>2244</v>
      </c>
      <c r="F375" s="165" t="s">
        <v>2245</v>
      </c>
      <c r="G375" s="165">
        <v>14175</v>
      </c>
      <c r="H375" s="165"/>
      <c r="I375" s="165"/>
      <c r="J375" s="165"/>
      <c r="K375" s="165">
        <v>14175</v>
      </c>
      <c r="L375" s="165"/>
      <c r="M375" s="165"/>
      <c r="N375" s="165">
        <f t="shared" si="6"/>
        <v>0</v>
      </c>
      <c r="O375" s="165" t="s">
        <v>501</v>
      </c>
      <c r="P375" s="165" t="s">
        <v>2160</v>
      </c>
      <c r="Q375" s="3">
        <v>14175</v>
      </c>
      <c r="R375">
        <v>14175</v>
      </c>
    </row>
    <row r="376" spans="1:20">
      <c r="A376" s="165" t="s">
        <v>2240</v>
      </c>
      <c r="B376" s="165">
        <v>507</v>
      </c>
      <c r="C376" s="165" t="s">
        <v>1781</v>
      </c>
      <c r="D376" s="165">
        <v>5</v>
      </c>
      <c r="E376" s="165" t="s">
        <v>2246</v>
      </c>
      <c r="F376" s="165" t="s">
        <v>2247</v>
      </c>
      <c r="G376" s="165">
        <v>14175</v>
      </c>
      <c r="H376" s="165"/>
      <c r="I376" s="165"/>
      <c r="J376" s="165"/>
      <c r="K376" s="165">
        <v>14175</v>
      </c>
      <c r="L376" s="165"/>
      <c r="M376" s="165"/>
      <c r="N376" s="165">
        <f t="shared" si="6"/>
        <v>0</v>
      </c>
      <c r="O376" s="165" t="s">
        <v>2162</v>
      </c>
      <c r="P376" s="165" t="s">
        <v>1024</v>
      </c>
      <c r="Q376" s="3">
        <v>14175</v>
      </c>
      <c r="R376">
        <v>14175</v>
      </c>
    </row>
    <row r="377" spans="1:20">
      <c r="A377" s="165" t="s">
        <v>2240</v>
      </c>
      <c r="B377" s="165">
        <v>508</v>
      </c>
      <c r="C377" s="165" t="s">
        <v>1781</v>
      </c>
      <c r="D377" s="165">
        <v>6</v>
      </c>
      <c r="E377" s="165" t="s">
        <v>2248</v>
      </c>
      <c r="F377" s="165" t="s">
        <v>2249</v>
      </c>
      <c r="G377" s="165">
        <v>14175</v>
      </c>
      <c r="H377" s="165"/>
      <c r="I377" s="165"/>
      <c r="J377" s="165"/>
      <c r="K377" s="165">
        <v>14175</v>
      </c>
      <c r="L377" s="165"/>
      <c r="M377" s="165"/>
      <c r="N377" s="165">
        <f t="shared" si="6"/>
        <v>0</v>
      </c>
      <c r="O377" s="165" t="s">
        <v>2164</v>
      </c>
      <c r="P377" s="165" t="s">
        <v>1025</v>
      </c>
      <c r="Q377" s="3">
        <v>14175</v>
      </c>
      <c r="R377">
        <v>14175</v>
      </c>
    </row>
    <row r="378" spans="1:20">
      <c r="A378" s="165" t="s">
        <v>2240</v>
      </c>
      <c r="B378" s="165">
        <v>509</v>
      </c>
      <c r="C378" s="165" t="s">
        <v>1781</v>
      </c>
      <c r="D378" s="165">
        <v>7</v>
      </c>
      <c r="E378" s="165" t="s">
        <v>2250</v>
      </c>
      <c r="F378" s="165" t="s">
        <v>2251</v>
      </c>
      <c r="G378" s="165">
        <v>14175</v>
      </c>
      <c r="H378" s="165"/>
      <c r="I378" s="165"/>
      <c r="J378" s="165"/>
      <c r="K378" s="165">
        <v>14175</v>
      </c>
      <c r="L378" s="165"/>
      <c r="M378" s="165"/>
      <c r="N378" s="165">
        <f t="shared" si="6"/>
        <v>0</v>
      </c>
      <c r="O378" s="165" t="s">
        <v>628</v>
      </c>
      <c r="P378" s="165" t="s">
        <v>629</v>
      </c>
      <c r="Q378" s="3">
        <v>14175</v>
      </c>
      <c r="R378">
        <v>14175</v>
      </c>
    </row>
    <row r="379" spans="1:20">
      <c r="A379" s="165" t="s">
        <v>2240</v>
      </c>
      <c r="B379" s="165">
        <v>510</v>
      </c>
      <c r="C379" s="165" t="s">
        <v>1781</v>
      </c>
      <c r="D379" s="165">
        <v>8</v>
      </c>
      <c r="E379" s="165" t="s">
        <v>630</v>
      </c>
      <c r="F379" s="165" t="s">
        <v>2252</v>
      </c>
      <c r="G379" s="165">
        <v>14175</v>
      </c>
      <c r="H379" s="165"/>
      <c r="I379" s="165"/>
      <c r="J379" s="165">
        <v>14175</v>
      </c>
      <c r="K379" s="165"/>
      <c r="L379" s="165"/>
      <c r="M379" s="165"/>
      <c r="N379" s="165">
        <f t="shared" si="6"/>
        <v>0</v>
      </c>
      <c r="O379" s="165" t="s">
        <v>3159</v>
      </c>
      <c r="P379" s="165" t="s">
        <v>3160</v>
      </c>
      <c r="Q379" s="3">
        <v>14175</v>
      </c>
      <c r="R379">
        <v>14175</v>
      </c>
    </row>
    <row r="380" spans="1:20">
      <c r="A380" s="178" t="s">
        <v>910</v>
      </c>
      <c r="B380" s="165">
        <v>511</v>
      </c>
      <c r="C380" s="178" t="s">
        <v>1232</v>
      </c>
      <c r="D380" s="178">
        <v>5</v>
      </c>
      <c r="E380" s="178" t="s">
        <v>2253</v>
      </c>
      <c r="F380" s="178" t="s">
        <v>910</v>
      </c>
      <c r="G380" s="178">
        <v>16380</v>
      </c>
      <c r="H380" s="178"/>
      <c r="I380" s="178"/>
      <c r="J380" s="165"/>
      <c r="K380" s="165">
        <v>16380</v>
      </c>
      <c r="L380" s="165"/>
      <c r="M380" s="165"/>
      <c r="N380" s="165">
        <f t="shared" si="6"/>
        <v>0</v>
      </c>
      <c r="O380" s="165" t="s">
        <v>490</v>
      </c>
      <c r="P380" s="165" t="s">
        <v>491</v>
      </c>
      <c r="Q380" s="3">
        <v>16380</v>
      </c>
      <c r="R380">
        <v>16380</v>
      </c>
    </row>
    <row r="381" spans="1:20">
      <c r="A381" s="165" t="s">
        <v>488</v>
      </c>
      <c r="B381" s="165">
        <v>512</v>
      </c>
      <c r="C381" s="165" t="s">
        <v>2254</v>
      </c>
      <c r="D381" s="165">
        <v>1</v>
      </c>
      <c r="E381" s="165" t="s">
        <v>2255</v>
      </c>
      <c r="F381" s="165" t="s">
        <v>490</v>
      </c>
      <c r="G381" s="165">
        <v>12600</v>
      </c>
      <c r="H381" s="165"/>
      <c r="I381" s="165"/>
      <c r="J381" s="165"/>
      <c r="K381" s="165">
        <v>12600</v>
      </c>
      <c r="L381" s="165"/>
      <c r="M381" s="165"/>
      <c r="N381" s="165">
        <f t="shared" si="6"/>
        <v>0</v>
      </c>
      <c r="O381" s="165" t="s">
        <v>490</v>
      </c>
      <c r="P381" s="165" t="s">
        <v>491</v>
      </c>
      <c r="Q381" s="3">
        <v>12600</v>
      </c>
      <c r="R381">
        <v>12600</v>
      </c>
    </row>
    <row r="382" spans="1:20">
      <c r="A382" s="165" t="s">
        <v>488</v>
      </c>
      <c r="B382" s="165">
        <v>513</v>
      </c>
      <c r="C382" s="165" t="s">
        <v>2254</v>
      </c>
      <c r="D382" s="165">
        <v>2</v>
      </c>
      <c r="E382" s="165" t="s">
        <v>2256</v>
      </c>
      <c r="F382" s="165" t="s">
        <v>2257</v>
      </c>
      <c r="G382" s="165">
        <v>12600</v>
      </c>
      <c r="H382" s="165"/>
      <c r="I382" s="165"/>
      <c r="J382" s="165"/>
      <c r="K382" s="165">
        <v>12600</v>
      </c>
      <c r="L382" s="165"/>
      <c r="M382" s="165"/>
      <c r="N382" s="165">
        <f t="shared" si="6"/>
        <v>0</v>
      </c>
      <c r="O382" s="165" t="s">
        <v>1461</v>
      </c>
      <c r="P382" s="165" t="s">
        <v>492</v>
      </c>
      <c r="Q382" s="3">
        <v>12600</v>
      </c>
      <c r="R382">
        <v>12600</v>
      </c>
    </row>
    <row r="383" spans="1:20">
      <c r="A383" s="165" t="s">
        <v>488</v>
      </c>
      <c r="B383" s="165">
        <v>514</v>
      </c>
      <c r="C383" s="165" t="s">
        <v>2254</v>
      </c>
      <c r="D383" s="165">
        <v>3</v>
      </c>
      <c r="E383" s="165" t="s">
        <v>2258</v>
      </c>
      <c r="F383" s="165" t="s">
        <v>2259</v>
      </c>
      <c r="G383" s="165">
        <v>12600</v>
      </c>
      <c r="H383" s="165"/>
      <c r="I383" s="165"/>
      <c r="J383" s="165"/>
      <c r="K383" s="165">
        <v>12600</v>
      </c>
      <c r="L383" s="165"/>
      <c r="M383" s="165"/>
      <c r="N383" s="165">
        <f t="shared" si="6"/>
        <v>0</v>
      </c>
      <c r="O383" s="165" t="s">
        <v>504</v>
      </c>
      <c r="P383" s="165" t="s">
        <v>505</v>
      </c>
      <c r="Q383" s="3">
        <v>12600</v>
      </c>
      <c r="R383">
        <v>12600</v>
      </c>
    </row>
    <row r="384" spans="1:20">
      <c r="A384" s="165" t="s">
        <v>488</v>
      </c>
      <c r="B384" s="165">
        <v>515</v>
      </c>
      <c r="C384" s="165" t="s">
        <v>2254</v>
      </c>
      <c r="D384" s="165">
        <v>4</v>
      </c>
      <c r="E384" s="165" t="s">
        <v>2260</v>
      </c>
      <c r="F384" s="165" t="s">
        <v>2261</v>
      </c>
      <c r="G384" s="165">
        <v>12600</v>
      </c>
      <c r="H384" s="165"/>
      <c r="I384" s="165"/>
      <c r="J384" s="165"/>
      <c r="K384" s="165">
        <v>12600</v>
      </c>
      <c r="L384" s="165"/>
      <c r="M384" s="165"/>
      <c r="N384" s="165">
        <f t="shared" si="6"/>
        <v>0</v>
      </c>
      <c r="O384" s="209" t="s">
        <v>610</v>
      </c>
      <c r="P384" s="165" t="s">
        <v>611</v>
      </c>
      <c r="Q384" s="3">
        <v>12600</v>
      </c>
      <c r="R384">
        <v>12600</v>
      </c>
    </row>
    <row r="385" spans="1:18">
      <c r="A385" s="165" t="s">
        <v>488</v>
      </c>
      <c r="B385" s="165">
        <v>516</v>
      </c>
      <c r="C385" s="165" t="s">
        <v>2254</v>
      </c>
      <c r="D385" s="165">
        <v>5</v>
      </c>
      <c r="E385" s="165" t="s">
        <v>2262</v>
      </c>
      <c r="F385" s="165" t="s">
        <v>2263</v>
      </c>
      <c r="G385" s="165">
        <v>12600</v>
      </c>
      <c r="H385" s="165"/>
      <c r="I385" s="165"/>
      <c r="J385" s="165"/>
      <c r="K385" s="165">
        <v>12600</v>
      </c>
      <c r="L385" s="165"/>
      <c r="M385" s="165"/>
      <c r="N385" s="165">
        <f t="shared" si="6"/>
        <v>0</v>
      </c>
      <c r="O385" s="165" t="s">
        <v>627</v>
      </c>
      <c r="P385" s="165" t="s">
        <v>827</v>
      </c>
      <c r="Q385" s="3">
        <v>12600</v>
      </c>
      <c r="R385">
        <v>12600</v>
      </c>
    </row>
    <row r="386" spans="1:18">
      <c r="A386" s="165" t="s">
        <v>488</v>
      </c>
      <c r="B386" s="165">
        <v>517</v>
      </c>
      <c r="C386" s="165" t="s">
        <v>2254</v>
      </c>
      <c r="D386" s="165">
        <v>6</v>
      </c>
      <c r="E386" s="165" t="s">
        <v>2264</v>
      </c>
      <c r="F386" s="165" t="s">
        <v>2265</v>
      </c>
      <c r="G386" s="165">
        <v>12600</v>
      </c>
      <c r="H386" s="165"/>
      <c r="I386" s="165"/>
      <c r="J386" s="165"/>
      <c r="K386" s="165">
        <v>12600</v>
      </c>
      <c r="L386" s="165"/>
      <c r="M386" s="165"/>
      <c r="N386" s="165">
        <f t="shared" si="6"/>
        <v>0</v>
      </c>
      <c r="O386" s="165" t="s">
        <v>613</v>
      </c>
      <c r="P386" s="165" t="s">
        <v>614</v>
      </c>
      <c r="Q386" s="3">
        <v>12600</v>
      </c>
      <c r="R386">
        <v>12600</v>
      </c>
    </row>
    <row r="387" spans="1:18">
      <c r="A387" s="165" t="s">
        <v>488</v>
      </c>
      <c r="B387" s="165">
        <v>518</v>
      </c>
      <c r="C387" s="165" t="s">
        <v>2254</v>
      </c>
      <c r="D387" s="165">
        <v>7</v>
      </c>
      <c r="E387" s="165" t="s">
        <v>2266</v>
      </c>
      <c r="F387" s="165" t="s">
        <v>2267</v>
      </c>
      <c r="G387" s="165">
        <v>12600</v>
      </c>
      <c r="H387" s="165"/>
      <c r="I387" s="165"/>
      <c r="J387" s="165">
        <v>12600</v>
      </c>
      <c r="K387" s="165"/>
      <c r="L387" s="165"/>
      <c r="M387" s="165"/>
      <c r="N387" s="165">
        <f t="shared" si="6"/>
        <v>0</v>
      </c>
      <c r="O387" s="165" t="s">
        <v>621</v>
      </c>
      <c r="P387" s="165" t="s">
        <v>622</v>
      </c>
      <c r="Q387" s="3">
        <v>12600</v>
      </c>
      <c r="R387">
        <v>12600</v>
      </c>
    </row>
    <row r="388" spans="1:18">
      <c r="A388" s="165" t="s">
        <v>488</v>
      </c>
      <c r="B388" s="165">
        <v>519</v>
      </c>
      <c r="C388" s="165" t="s">
        <v>2254</v>
      </c>
      <c r="D388" s="165">
        <v>8</v>
      </c>
      <c r="E388" s="165" t="s">
        <v>2268</v>
      </c>
      <c r="F388" s="165" t="s">
        <v>2269</v>
      </c>
      <c r="G388" s="165">
        <v>12600</v>
      </c>
      <c r="H388" s="165"/>
      <c r="I388" s="165"/>
      <c r="J388" s="165">
        <v>12600</v>
      </c>
      <c r="K388" s="165"/>
      <c r="L388" s="165"/>
      <c r="M388" s="165"/>
      <c r="N388" s="165">
        <f t="shared" si="6"/>
        <v>0</v>
      </c>
      <c r="O388" s="165" t="s">
        <v>3161</v>
      </c>
      <c r="P388" s="165" t="s">
        <v>3162</v>
      </c>
      <c r="Q388" s="3">
        <v>12600</v>
      </c>
      <c r="R388">
        <v>12600</v>
      </c>
    </row>
    <row r="389" spans="1:18">
      <c r="A389" s="165" t="s">
        <v>488</v>
      </c>
      <c r="B389" s="165">
        <v>520</v>
      </c>
      <c r="C389" s="165" t="s">
        <v>2270</v>
      </c>
      <c r="D389" s="165">
        <v>1</v>
      </c>
      <c r="E389" s="165" t="s">
        <v>2271</v>
      </c>
      <c r="F389" s="165" t="s">
        <v>490</v>
      </c>
      <c r="G389" s="165">
        <v>18900</v>
      </c>
      <c r="H389" s="165"/>
      <c r="I389" s="165"/>
      <c r="J389" s="165"/>
      <c r="K389" s="165">
        <v>18900</v>
      </c>
      <c r="L389" s="165"/>
      <c r="M389" s="165"/>
      <c r="N389" s="165">
        <f t="shared" si="6"/>
        <v>0</v>
      </c>
      <c r="O389" s="165" t="s">
        <v>490</v>
      </c>
      <c r="P389" s="165" t="s">
        <v>491</v>
      </c>
      <c r="Q389" s="3">
        <v>18900</v>
      </c>
      <c r="R389">
        <v>18900</v>
      </c>
    </row>
    <row r="390" spans="1:18">
      <c r="A390" s="165" t="s">
        <v>488</v>
      </c>
      <c r="B390" s="165">
        <v>521</v>
      </c>
      <c r="C390" s="165" t="s">
        <v>2270</v>
      </c>
      <c r="D390" s="165">
        <v>2</v>
      </c>
      <c r="E390" s="165" t="s">
        <v>2272</v>
      </c>
      <c r="F390" s="165" t="s">
        <v>2257</v>
      </c>
      <c r="G390" s="165">
        <v>18900</v>
      </c>
      <c r="H390" s="165"/>
      <c r="I390" s="165"/>
      <c r="J390" s="165"/>
      <c r="K390" s="165">
        <v>18900</v>
      </c>
      <c r="L390" s="165"/>
      <c r="M390" s="165"/>
      <c r="N390" s="165">
        <f t="shared" si="6"/>
        <v>0</v>
      </c>
      <c r="O390" s="165" t="s">
        <v>1461</v>
      </c>
      <c r="P390" s="165" t="s">
        <v>492</v>
      </c>
      <c r="Q390" s="3">
        <v>18900</v>
      </c>
      <c r="R390">
        <v>18900</v>
      </c>
    </row>
    <row r="391" spans="1:18">
      <c r="A391" s="165" t="s">
        <v>488</v>
      </c>
      <c r="B391" s="165">
        <v>522</v>
      </c>
      <c r="C391" s="165" t="s">
        <v>2270</v>
      </c>
      <c r="D391" s="165">
        <v>3</v>
      </c>
      <c r="E391" s="165" t="s">
        <v>2273</v>
      </c>
      <c r="F391" s="165" t="s">
        <v>2259</v>
      </c>
      <c r="G391" s="165">
        <v>18900</v>
      </c>
      <c r="H391" s="165"/>
      <c r="I391" s="165"/>
      <c r="J391" s="165"/>
      <c r="K391" s="165">
        <v>18900</v>
      </c>
      <c r="L391" s="165"/>
      <c r="M391" s="165"/>
      <c r="N391" s="165">
        <f t="shared" si="6"/>
        <v>0</v>
      </c>
      <c r="O391" s="165" t="s">
        <v>504</v>
      </c>
      <c r="P391" s="165" t="s">
        <v>505</v>
      </c>
      <c r="Q391" s="3">
        <v>18900</v>
      </c>
      <c r="R391">
        <v>18900</v>
      </c>
    </row>
    <row r="392" spans="1:18">
      <c r="A392" s="165" t="s">
        <v>488</v>
      </c>
      <c r="B392" s="165">
        <v>523</v>
      </c>
      <c r="C392" s="165" t="s">
        <v>2270</v>
      </c>
      <c r="D392" s="165">
        <v>4</v>
      </c>
      <c r="E392" s="165" t="s">
        <v>2274</v>
      </c>
      <c r="F392" s="165" t="s">
        <v>2261</v>
      </c>
      <c r="G392" s="165">
        <v>18900</v>
      </c>
      <c r="H392" s="165"/>
      <c r="I392" s="165"/>
      <c r="J392" s="165"/>
      <c r="K392" s="165">
        <v>18900</v>
      </c>
      <c r="L392" s="165"/>
      <c r="M392" s="165"/>
      <c r="N392" s="165">
        <f t="shared" si="6"/>
        <v>0</v>
      </c>
      <c r="O392" s="165" t="s">
        <v>610</v>
      </c>
      <c r="P392" s="165" t="s">
        <v>611</v>
      </c>
      <c r="Q392" s="3">
        <v>18900</v>
      </c>
      <c r="R392">
        <v>18900</v>
      </c>
    </row>
    <row r="393" spans="1:18">
      <c r="A393" s="165" t="s">
        <v>488</v>
      </c>
      <c r="B393" s="165">
        <v>524</v>
      </c>
      <c r="C393" s="165" t="s">
        <v>2270</v>
      </c>
      <c r="D393" s="165">
        <v>5</v>
      </c>
      <c r="E393" s="165" t="s">
        <v>2275</v>
      </c>
      <c r="F393" s="165" t="s">
        <v>2263</v>
      </c>
      <c r="G393" s="165">
        <v>18900</v>
      </c>
      <c r="H393" s="165"/>
      <c r="I393" s="165"/>
      <c r="J393" s="165"/>
      <c r="K393" s="165">
        <v>18900</v>
      </c>
      <c r="L393" s="165"/>
      <c r="M393" s="165"/>
      <c r="N393" s="165">
        <f t="shared" si="6"/>
        <v>0</v>
      </c>
      <c r="O393" s="165" t="s">
        <v>627</v>
      </c>
      <c r="P393" s="165" t="s">
        <v>827</v>
      </c>
      <c r="Q393" s="3">
        <v>18900</v>
      </c>
      <c r="R393">
        <v>18900</v>
      </c>
    </row>
    <row r="394" spans="1:18">
      <c r="A394" s="165" t="s">
        <v>488</v>
      </c>
      <c r="B394" s="165">
        <v>525</v>
      </c>
      <c r="C394" s="165" t="s">
        <v>2270</v>
      </c>
      <c r="D394" s="165">
        <v>6</v>
      </c>
      <c r="E394" s="165" t="s">
        <v>2276</v>
      </c>
      <c r="F394" s="165" t="s">
        <v>2265</v>
      </c>
      <c r="G394" s="165">
        <v>18900</v>
      </c>
      <c r="H394" s="165"/>
      <c r="I394" s="165"/>
      <c r="J394" s="165"/>
      <c r="K394" s="165">
        <v>18900</v>
      </c>
      <c r="L394" s="165"/>
      <c r="M394" s="165"/>
      <c r="N394" s="165">
        <f t="shared" si="6"/>
        <v>0</v>
      </c>
      <c r="O394" s="165" t="s">
        <v>613</v>
      </c>
      <c r="P394" s="165" t="s">
        <v>614</v>
      </c>
      <c r="Q394" s="3">
        <v>18900</v>
      </c>
      <c r="R394">
        <v>18900</v>
      </c>
    </row>
    <row r="395" spans="1:18">
      <c r="A395" s="165" t="s">
        <v>488</v>
      </c>
      <c r="B395" s="165">
        <v>526</v>
      </c>
      <c r="C395" s="165" t="s">
        <v>2270</v>
      </c>
      <c r="D395" s="165">
        <v>7</v>
      </c>
      <c r="E395" s="165" t="s">
        <v>2277</v>
      </c>
      <c r="F395" s="165" t="s">
        <v>2267</v>
      </c>
      <c r="G395" s="165">
        <v>18900</v>
      </c>
      <c r="H395" s="165"/>
      <c r="I395" s="165"/>
      <c r="J395" s="165">
        <v>18900</v>
      </c>
      <c r="K395" s="165"/>
      <c r="L395" s="165"/>
      <c r="M395" s="165"/>
      <c r="N395" s="165">
        <f t="shared" si="6"/>
        <v>0</v>
      </c>
      <c r="O395" s="165" t="s">
        <v>621</v>
      </c>
      <c r="P395" s="165" t="s">
        <v>622</v>
      </c>
      <c r="Q395" s="3">
        <v>18900</v>
      </c>
      <c r="R395">
        <v>18900</v>
      </c>
    </row>
    <row r="396" spans="1:18">
      <c r="A396" s="165" t="s">
        <v>488</v>
      </c>
      <c r="B396" s="165">
        <v>527</v>
      </c>
      <c r="C396" s="165" t="s">
        <v>2270</v>
      </c>
      <c r="D396" s="165">
        <v>8</v>
      </c>
      <c r="E396" s="165" t="s">
        <v>2278</v>
      </c>
      <c r="F396" s="165" t="s">
        <v>2269</v>
      </c>
      <c r="G396" s="165">
        <v>18900</v>
      </c>
      <c r="H396" s="165"/>
      <c r="I396" s="165"/>
      <c r="J396" s="165">
        <v>18900</v>
      </c>
      <c r="K396" s="165"/>
      <c r="L396" s="165"/>
      <c r="M396" s="165"/>
      <c r="N396" s="165">
        <f t="shared" si="6"/>
        <v>0</v>
      </c>
      <c r="O396" s="165" t="s">
        <v>3161</v>
      </c>
      <c r="P396" s="165" t="s">
        <v>3162</v>
      </c>
      <c r="Q396" s="3">
        <v>18900</v>
      </c>
      <c r="R396">
        <v>18900</v>
      </c>
    </row>
    <row r="397" spans="1:18">
      <c r="A397" s="178" t="s">
        <v>489</v>
      </c>
      <c r="B397" s="165">
        <v>528</v>
      </c>
      <c r="C397" s="178" t="s">
        <v>1699</v>
      </c>
      <c r="D397" s="178">
        <v>7</v>
      </c>
      <c r="E397" s="178" t="s">
        <v>2279</v>
      </c>
      <c r="F397" s="178" t="s">
        <v>2664</v>
      </c>
      <c r="G397" s="178">
        <v>13500</v>
      </c>
      <c r="H397" s="178"/>
      <c r="I397" s="178"/>
      <c r="J397" s="165"/>
      <c r="K397" s="165">
        <v>13500</v>
      </c>
      <c r="L397" s="165"/>
      <c r="M397" s="165"/>
      <c r="N397" s="165">
        <f t="shared" si="6"/>
        <v>0</v>
      </c>
      <c r="O397" s="165" t="s">
        <v>495</v>
      </c>
      <c r="P397" s="165" t="s">
        <v>1472</v>
      </c>
      <c r="Q397" s="3">
        <v>13500</v>
      </c>
      <c r="R397">
        <v>13500</v>
      </c>
    </row>
    <row r="398" spans="1:18">
      <c r="A398" s="165" t="s">
        <v>2280</v>
      </c>
      <c r="B398" s="165">
        <v>529</v>
      </c>
      <c r="C398" s="165" t="s">
        <v>1304</v>
      </c>
      <c r="D398" s="165">
        <v>1</v>
      </c>
      <c r="E398" s="165" t="s">
        <v>2281</v>
      </c>
      <c r="F398" s="165" t="s">
        <v>909</v>
      </c>
      <c r="G398" s="165">
        <v>9450</v>
      </c>
      <c r="H398" s="165"/>
      <c r="I398" s="165"/>
      <c r="J398" s="165"/>
      <c r="K398" s="165">
        <v>9450</v>
      </c>
      <c r="L398" s="165"/>
      <c r="M398" s="165"/>
      <c r="N398" s="165">
        <f t="shared" si="6"/>
        <v>0</v>
      </c>
      <c r="O398" s="165" t="s">
        <v>490</v>
      </c>
      <c r="P398" s="165" t="s">
        <v>491</v>
      </c>
      <c r="Q398" s="3">
        <v>9450</v>
      </c>
      <c r="R398">
        <v>9450</v>
      </c>
    </row>
    <row r="399" spans="1:18">
      <c r="A399" s="165" t="s">
        <v>2280</v>
      </c>
      <c r="B399" s="165">
        <v>530</v>
      </c>
      <c r="C399" s="165" t="s">
        <v>1304</v>
      </c>
      <c r="D399" s="165">
        <v>2</v>
      </c>
      <c r="E399" s="165" t="s">
        <v>2282</v>
      </c>
      <c r="F399" s="165" t="s">
        <v>912</v>
      </c>
      <c r="G399" s="165">
        <v>9450</v>
      </c>
      <c r="H399" s="165"/>
      <c r="I399" s="165"/>
      <c r="J399" s="165"/>
      <c r="K399" s="165">
        <v>9450</v>
      </c>
      <c r="L399" s="165"/>
      <c r="M399" s="165"/>
      <c r="N399" s="165">
        <f t="shared" si="6"/>
        <v>0</v>
      </c>
      <c r="O399" s="165" t="s">
        <v>1461</v>
      </c>
      <c r="P399" s="165" t="s">
        <v>492</v>
      </c>
      <c r="Q399" s="3">
        <v>9450</v>
      </c>
      <c r="R399">
        <v>9450</v>
      </c>
    </row>
    <row r="400" spans="1:18">
      <c r="A400" s="165" t="s">
        <v>2280</v>
      </c>
      <c r="B400" s="165">
        <v>531</v>
      </c>
      <c r="C400" s="165" t="s">
        <v>1304</v>
      </c>
      <c r="D400" s="165">
        <v>3</v>
      </c>
      <c r="E400" s="165" t="s">
        <v>2283</v>
      </c>
      <c r="F400" s="165" t="s">
        <v>1468</v>
      </c>
      <c r="G400" s="165">
        <v>9450</v>
      </c>
      <c r="H400" s="165"/>
      <c r="I400" s="165"/>
      <c r="J400" s="165"/>
      <c r="K400" s="165">
        <v>9450</v>
      </c>
      <c r="L400" s="165"/>
      <c r="M400" s="165"/>
      <c r="N400" s="165">
        <f t="shared" si="6"/>
        <v>0</v>
      </c>
      <c r="O400" s="165" t="s">
        <v>500</v>
      </c>
      <c r="P400" s="165" t="s">
        <v>500</v>
      </c>
      <c r="Q400" s="3">
        <v>9450</v>
      </c>
      <c r="R400">
        <v>9450</v>
      </c>
    </row>
    <row r="401" spans="1:20">
      <c r="A401" s="165" t="s">
        <v>2280</v>
      </c>
      <c r="B401" s="165">
        <v>532</v>
      </c>
      <c r="C401" s="165" t="s">
        <v>1304</v>
      </c>
      <c r="D401" s="165">
        <v>4</v>
      </c>
      <c r="E401" s="165" t="s">
        <v>2284</v>
      </c>
      <c r="F401" s="165" t="s">
        <v>2285</v>
      </c>
      <c r="G401" s="165">
        <v>9450</v>
      </c>
      <c r="H401" s="165"/>
      <c r="I401" s="165"/>
      <c r="J401" s="165"/>
      <c r="K401" s="165">
        <v>9450</v>
      </c>
      <c r="L401" s="165"/>
      <c r="M401" s="165"/>
      <c r="N401" s="165">
        <f t="shared" si="6"/>
        <v>0</v>
      </c>
      <c r="O401" s="165" t="s">
        <v>501</v>
      </c>
      <c r="P401" s="165" t="s">
        <v>2160</v>
      </c>
      <c r="Q401" s="3">
        <v>9450</v>
      </c>
      <c r="R401">
        <v>9450</v>
      </c>
    </row>
    <row r="402" spans="1:20">
      <c r="A402" s="165" t="s">
        <v>2280</v>
      </c>
      <c r="B402" s="165">
        <v>533</v>
      </c>
      <c r="C402" s="165" t="s">
        <v>1304</v>
      </c>
      <c r="D402" s="165">
        <v>5</v>
      </c>
      <c r="E402" s="165" t="s">
        <v>2286</v>
      </c>
      <c r="F402" s="165" t="s">
        <v>2287</v>
      </c>
      <c r="G402" s="165">
        <v>9450</v>
      </c>
      <c r="H402" s="165"/>
      <c r="I402" s="165"/>
      <c r="J402" s="165"/>
      <c r="K402" s="165">
        <v>9450</v>
      </c>
      <c r="L402" s="165"/>
      <c r="M402" s="165"/>
      <c r="N402" s="165">
        <f t="shared" si="6"/>
        <v>0</v>
      </c>
      <c r="O402" s="165" t="s">
        <v>2162</v>
      </c>
      <c r="P402" s="165" t="s">
        <v>2162</v>
      </c>
      <c r="Q402" s="3">
        <v>9450</v>
      </c>
      <c r="R402">
        <v>9450</v>
      </c>
    </row>
    <row r="403" spans="1:20">
      <c r="A403" s="165" t="s">
        <v>2280</v>
      </c>
      <c r="B403" s="165">
        <v>534</v>
      </c>
      <c r="C403" s="165" t="s">
        <v>1304</v>
      </c>
      <c r="D403" s="165">
        <v>6</v>
      </c>
      <c r="E403" s="165" t="s">
        <v>2288</v>
      </c>
      <c r="F403" s="165" t="s">
        <v>2289</v>
      </c>
      <c r="G403" s="165">
        <v>9450</v>
      </c>
      <c r="H403" s="165"/>
      <c r="I403" s="165"/>
      <c r="J403" s="165"/>
      <c r="K403" s="165">
        <v>9450</v>
      </c>
      <c r="L403" s="165"/>
      <c r="M403" s="165"/>
      <c r="N403" s="165">
        <f t="shared" si="6"/>
        <v>0</v>
      </c>
      <c r="O403" s="165" t="s">
        <v>2164</v>
      </c>
      <c r="P403" s="165" t="s">
        <v>1025</v>
      </c>
      <c r="Q403" s="3">
        <v>9450</v>
      </c>
      <c r="R403">
        <v>9450</v>
      </c>
    </row>
    <row r="404" spans="1:20">
      <c r="A404" s="165" t="s">
        <v>2280</v>
      </c>
      <c r="B404" s="165">
        <v>535</v>
      </c>
      <c r="C404" s="165" t="s">
        <v>1304</v>
      </c>
      <c r="D404" s="165">
        <v>7</v>
      </c>
      <c r="E404" s="165" t="s">
        <v>2290</v>
      </c>
      <c r="F404" s="165" t="s">
        <v>2291</v>
      </c>
      <c r="G404" s="165">
        <v>9450</v>
      </c>
      <c r="H404" s="165"/>
      <c r="I404" s="165"/>
      <c r="J404" s="165"/>
      <c r="K404" s="165">
        <v>9450</v>
      </c>
      <c r="L404" s="165"/>
      <c r="M404" s="165"/>
      <c r="N404" s="165">
        <f t="shared" si="6"/>
        <v>0</v>
      </c>
      <c r="O404" s="165" t="s">
        <v>628</v>
      </c>
      <c r="P404" s="165" t="s">
        <v>629</v>
      </c>
      <c r="Q404" s="3">
        <v>9450</v>
      </c>
      <c r="R404">
        <v>9450</v>
      </c>
    </row>
    <row r="405" spans="1:20">
      <c r="A405" s="165" t="s">
        <v>2280</v>
      </c>
      <c r="B405" s="165">
        <v>536</v>
      </c>
      <c r="C405" s="165" t="s">
        <v>1304</v>
      </c>
      <c r="D405" s="165">
        <v>8</v>
      </c>
      <c r="E405" s="165" t="s">
        <v>2292</v>
      </c>
      <c r="F405" s="165" t="s">
        <v>2293</v>
      </c>
      <c r="G405" s="165">
        <v>9450</v>
      </c>
      <c r="H405" s="165"/>
      <c r="I405" s="165"/>
      <c r="J405" s="165">
        <v>9450</v>
      </c>
      <c r="K405" s="165"/>
      <c r="L405" s="165"/>
      <c r="M405" s="165"/>
      <c r="N405" s="165">
        <f t="shared" si="6"/>
        <v>0</v>
      </c>
      <c r="O405" s="165" t="s">
        <v>3159</v>
      </c>
      <c r="P405" s="165" t="s">
        <v>3160</v>
      </c>
      <c r="Q405" s="3">
        <v>9450</v>
      </c>
      <c r="R405">
        <v>9450</v>
      </c>
    </row>
    <row r="406" spans="1:20">
      <c r="A406" s="209" t="s">
        <v>1458</v>
      </c>
      <c r="B406" s="209"/>
      <c r="C406" s="205" t="s">
        <v>3825</v>
      </c>
      <c r="D406" s="226">
        <v>6</v>
      </c>
      <c r="E406" s="183" t="s">
        <v>1283</v>
      </c>
      <c r="F406" s="209" t="s">
        <v>1458</v>
      </c>
      <c r="G406" s="165"/>
      <c r="H406" s="165"/>
      <c r="I406" s="165"/>
      <c r="J406" s="209"/>
      <c r="K406" s="209"/>
      <c r="L406" s="209"/>
      <c r="M406" s="209"/>
      <c r="N406" s="209">
        <f t="shared" si="6"/>
        <v>0</v>
      </c>
      <c r="O406" s="209" t="s">
        <v>1458</v>
      </c>
      <c r="P406" s="209" t="s">
        <v>1458</v>
      </c>
      <c r="Q406" s="178">
        <v>14175</v>
      </c>
      <c r="R406" s="178">
        <v>14145</v>
      </c>
      <c r="S406" s="178"/>
      <c r="T406" s="3">
        <v>30</v>
      </c>
    </row>
    <row r="407" spans="1:20">
      <c r="A407" s="165" t="s">
        <v>2294</v>
      </c>
      <c r="B407" s="165">
        <v>537</v>
      </c>
      <c r="C407" s="165" t="s">
        <v>1699</v>
      </c>
      <c r="D407" s="165">
        <v>8</v>
      </c>
      <c r="E407" s="165" t="s">
        <v>2295</v>
      </c>
      <c r="F407" s="165" t="s">
        <v>2777</v>
      </c>
      <c r="G407" s="165">
        <v>13500</v>
      </c>
      <c r="H407" s="165"/>
      <c r="I407" s="165"/>
      <c r="J407" s="165"/>
      <c r="K407" s="165">
        <v>13500</v>
      </c>
      <c r="L407" s="165"/>
      <c r="M407" s="165"/>
      <c r="N407" s="165">
        <f t="shared" si="6"/>
        <v>0</v>
      </c>
      <c r="O407" s="165" t="s">
        <v>1461</v>
      </c>
      <c r="P407" s="165" t="s">
        <v>492</v>
      </c>
      <c r="Q407" s="3">
        <v>13500</v>
      </c>
      <c r="R407">
        <v>13500</v>
      </c>
    </row>
    <row r="408" spans="1:20">
      <c r="A408" s="165" t="s">
        <v>2294</v>
      </c>
      <c r="B408" s="165">
        <v>538</v>
      </c>
      <c r="C408" s="165" t="s">
        <v>2686</v>
      </c>
      <c r="D408" s="165">
        <v>1</v>
      </c>
      <c r="E408" s="165" t="s">
        <v>2296</v>
      </c>
      <c r="F408" s="165" t="s">
        <v>2209</v>
      </c>
      <c r="G408" s="165">
        <v>11340</v>
      </c>
      <c r="H408" s="165"/>
      <c r="I408" s="165"/>
      <c r="J408" s="165"/>
      <c r="K408" s="165">
        <v>11340</v>
      </c>
      <c r="L408" s="165"/>
      <c r="M408" s="165"/>
      <c r="N408" s="165">
        <f t="shared" si="6"/>
        <v>0</v>
      </c>
      <c r="O408" s="165" t="s">
        <v>493</v>
      </c>
      <c r="P408" s="165" t="s">
        <v>911</v>
      </c>
      <c r="Q408" s="3">
        <v>11340</v>
      </c>
      <c r="R408">
        <v>11340</v>
      </c>
    </row>
    <row r="409" spans="1:20">
      <c r="A409" s="165" t="s">
        <v>2294</v>
      </c>
      <c r="B409" s="165">
        <v>539</v>
      </c>
      <c r="C409" s="165" t="s">
        <v>2686</v>
      </c>
      <c r="D409" s="165">
        <v>2</v>
      </c>
      <c r="E409" s="165" t="s">
        <v>2297</v>
      </c>
      <c r="F409" s="165" t="s">
        <v>459</v>
      </c>
      <c r="G409" s="165">
        <v>11340</v>
      </c>
      <c r="H409" s="165"/>
      <c r="I409" s="165"/>
      <c r="J409" s="165"/>
      <c r="K409" s="165">
        <v>11340</v>
      </c>
      <c r="L409" s="165"/>
      <c r="M409" s="165"/>
      <c r="N409" s="165">
        <f t="shared" si="6"/>
        <v>0</v>
      </c>
      <c r="O409" s="165" t="s">
        <v>460</v>
      </c>
      <c r="P409" s="165" t="s">
        <v>1465</v>
      </c>
      <c r="Q409" s="3">
        <v>11340</v>
      </c>
      <c r="R409">
        <v>11340</v>
      </c>
    </row>
    <row r="410" spans="1:20">
      <c r="A410" s="165" t="s">
        <v>2294</v>
      </c>
      <c r="B410" s="165">
        <v>540</v>
      </c>
      <c r="C410" s="165" t="s">
        <v>2686</v>
      </c>
      <c r="D410" s="165">
        <v>3</v>
      </c>
      <c r="E410" s="165" t="s">
        <v>2298</v>
      </c>
      <c r="F410" s="165" t="s">
        <v>445</v>
      </c>
      <c r="G410" s="165">
        <v>11340</v>
      </c>
      <c r="H410" s="165"/>
      <c r="I410" s="165"/>
      <c r="J410" s="165"/>
      <c r="K410" s="165">
        <v>11340</v>
      </c>
      <c r="L410" s="165"/>
      <c r="M410" s="165"/>
      <c r="N410" s="165">
        <f t="shared" si="6"/>
        <v>0</v>
      </c>
      <c r="O410" s="165" t="s">
        <v>508</v>
      </c>
      <c r="P410" s="165" t="s">
        <v>2299</v>
      </c>
      <c r="Q410" s="3">
        <v>11340</v>
      </c>
      <c r="R410">
        <v>11340</v>
      </c>
    </row>
    <row r="411" spans="1:20">
      <c r="A411" s="165" t="s">
        <v>2294</v>
      </c>
      <c r="B411" s="165">
        <v>541</v>
      </c>
      <c r="C411" s="165" t="s">
        <v>2686</v>
      </c>
      <c r="D411" s="165">
        <v>4</v>
      </c>
      <c r="E411" s="165" t="s">
        <v>2300</v>
      </c>
      <c r="F411" s="165" t="s">
        <v>2301</v>
      </c>
      <c r="G411" s="165">
        <v>11340</v>
      </c>
      <c r="H411" s="165"/>
      <c r="I411" s="165"/>
      <c r="J411" s="165"/>
      <c r="K411" s="165">
        <v>11340</v>
      </c>
      <c r="L411" s="165"/>
      <c r="M411" s="165"/>
      <c r="N411" s="165">
        <f t="shared" si="6"/>
        <v>0</v>
      </c>
      <c r="O411" s="165" t="s">
        <v>615</v>
      </c>
      <c r="P411" s="165" t="s">
        <v>616</v>
      </c>
      <c r="Q411" s="3">
        <v>11340</v>
      </c>
      <c r="R411">
        <v>11340</v>
      </c>
    </row>
    <row r="412" spans="1:20">
      <c r="A412" s="165" t="s">
        <v>2294</v>
      </c>
      <c r="B412" s="165">
        <v>542</v>
      </c>
      <c r="C412" s="165" t="s">
        <v>2686</v>
      </c>
      <c r="D412" s="165">
        <v>5</v>
      </c>
      <c r="E412" s="165" t="s">
        <v>2302</v>
      </c>
      <c r="F412" s="165" t="s">
        <v>2214</v>
      </c>
      <c r="G412" s="165">
        <v>11340</v>
      </c>
      <c r="H412" s="165"/>
      <c r="I412" s="165"/>
      <c r="J412" s="165"/>
      <c r="K412" s="165">
        <v>11340</v>
      </c>
      <c r="L412" s="165"/>
      <c r="M412" s="165"/>
      <c r="N412" s="165">
        <f t="shared" ref="N412:N475" si="7">G412-J412-K412</f>
        <v>0</v>
      </c>
      <c r="O412" s="165" t="s">
        <v>617</v>
      </c>
      <c r="P412" s="165" t="s">
        <v>618</v>
      </c>
      <c r="Q412" s="3">
        <v>11340</v>
      </c>
      <c r="R412">
        <v>11340</v>
      </c>
    </row>
    <row r="413" spans="1:20">
      <c r="A413" s="165" t="s">
        <v>2294</v>
      </c>
      <c r="B413" s="165">
        <v>543</v>
      </c>
      <c r="C413" s="165" t="s">
        <v>2686</v>
      </c>
      <c r="D413" s="165">
        <v>6</v>
      </c>
      <c r="E413" s="165" t="s">
        <v>2303</v>
      </c>
      <c r="F413" s="165" t="s">
        <v>2216</v>
      </c>
      <c r="G413" s="165">
        <v>11340</v>
      </c>
      <c r="H413" s="165"/>
      <c r="I413" s="165"/>
      <c r="J413" s="165"/>
      <c r="K413" s="165">
        <v>11340</v>
      </c>
      <c r="L413" s="165"/>
      <c r="M413" s="165"/>
      <c r="N413" s="165">
        <f t="shared" si="7"/>
        <v>0</v>
      </c>
      <c r="O413" s="165" t="s">
        <v>628</v>
      </c>
      <c r="P413" s="165" t="s">
        <v>629</v>
      </c>
      <c r="Q413" s="3">
        <v>11340</v>
      </c>
      <c r="R413">
        <v>11340</v>
      </c>
    </row>
    <row r="414" spans="1:20">
      <c r="A414" s="165" t="s">
        <v>2294</v>
      </c>
      <c r="B414" s="165">
        <v>544</v>
      </c>
      <c r="C414" s="165" t="s">
        <v>2686</v>
      </c>
      <c r="D414" s="165">
        <v>7</v>
      </c>
      <c r="E414" s="165" t="s">
        <v>2304</v>
      </c>
      <c r="F414" s="165" t="s">
        <v>2218</v>
      </c>
      <c r="G414" s="165">
        <v>11340</v>
      </c>
      <c r="H414" s="165"/>
      <c r="I414" s="165"/>
      <c r="J414" s="165">
        <v>11340</v>
      </c>
      <c r="K414" s="165"/>
      <c r="L414" s="165"/>
      <c r="M414" s="165"/>
      <c r="N414" s="165">
        <f t="shared" si="7"/>
        <v>0</v>
      </c>
      <c r="O414" s="165" t="s">
        <v>625</v>
      </c>
      <c r="P414" s="165" t="s">
        <v>626</v>
      </c>
      <c r="Q414" s="3">
        <v>11340</v>
      </c>
      <c r="R414">
        <v>11340</v>
      </c>
    </row>
    <row r="415" spans="1:20">
      <c r="A415" s="165" t="s">
        <v>2294</v>
      </c>
      <c r="B415" s="165">
        <v>545</v>
      </c>
      <c r="C415" s="165" t="s">
        <v>2686</v>
      </c>
      <c r="D415" s="165">
        <v>8</v>
      </c>
      <c r="E415" s="165" t="s">
        <v>2305</v>
      </c>
      <c r="F415" s="165" t="s">
        <v>2306</v>
      </c>
      <c r="G415" s="165">
        <v>11340</v>
      </c>
      <c r="H415" s="165"/>
      <c r="I415" s="165"/>
      <c r="J415" s="165">
        <v>11340</v>
      </c>
      <c r="K415" s="165"/>
      <c r="L415" s="165"/>
      <c r="M415" s="165"/>
      <c r="N415" s="165">
        <f t="shared" si="7"/>
        <v>0</v>
      </c>
      <c r="O415" s="165" t="s">
        <v>683</v>
      </c>
      <c r="P415" s="165" t="s">
        <v>3163</v>
      </c>
      <c r="Q415" s="3">
        <v>11340</v>
      </c>
      <c r="R415">
        <v>11340</v>
      </c>
    </row>
    <row r="416" spans="1:20">
      <c r="A416" s="209" t="s">
        <v>2307</v>
      </c>
      <c r="B416" s="209"/>
      <c r="C416" s="205" t="s">
        <v>2421</v>
      </c>
      <c r="D416" s="226">
        <v>7</v>
      </c>
      <c r="E416" s="183" t="s">
        <v>1283</v>
      </c>
      <c r="F416" s="209" t="s">
        <v>2307</v>
      </c>
      <c r="G416" s="165"/>
      <c r="H416" s="165"/>
      <c r="I416" s="165"/>
      <c r="J416" s="165"/>
      <c r="K416" s="165"/>
      <c r="L416" s="165"/>
      <c r="M416" s="165"/>
      <c r="N416" s="165">
        <f t="shared" si="7"/>
        <v>0</v>
      </c>
      <c r="O416" s="209" t="s">
        <v>2307</v>
      </c>
      <c r="P416" s="209" t="s">
        <v>2307</v>
      </c>
      <c r="Q416" s="178">
        <v>14175</v>
      </c>
      <c r="R416" s="178">
        <v>14165</v>
      </c>
      <c r="S416" s="178"/>
      <c r="T416" s="3">
        <v>10</v>
      </c>
    </row>
    <row r="417" spans="1:19">
      <c r="A417" s="165" t="s">
        <v>2307</v>
      </c>
      <c r="B417" s="165">
        <v>546</v>
      </c>
      <c r="C417" s="165" t="s">
        <v>1775</v>
      </c>
      <c r="D417" s="165">
        <v>1</v>
      </c>
      <c r="E417" s="165" t="s">
        <v>2308</v>
      </c>
      <c r="F417" s="165" t="s">
        <v>2209</v>
      </c>
      <c r="G417" s="165">
        <v>10800</v>
      </c>
      <c r="H417" s="165"/>
      <c r="I417" s="165"/>
      <c r="J417" s="165"/>
      <c r="K417" s="165">
        <v>10800</v>
      </c>
      <c r="L417" s="165"/>
      <c r="M417" s="165"/>
      <c r="N417" s="165">
        <f t="shared" si="7"/>
        <v>0</v>
      </c>
      <c r="O417" s="165" t="s">
        <v>493</v>
      </c>
      <c r="P417" s="165" t="s">
        <v>911</v>
      </c>
      <c r="Q417" s="3">
        <v>10800</v>
      </c>
      <c r="R417">
        <v>10800</v>
      </c>
    </row>
    <row r="418" spans="1:19">
      <c r="A418" s="165" t="s">
        <v>2307</v>
      </c>
      <c r="B418" s="165">
        <v>547</v>
      </c>
      <c r="C418" s="165" t="s">
        <v>1775</v>
      </c>
      <c r="D418" s="165">
        <v>2</v>
      </c>
      <c r="E418" s="165" t="s">
        <v>2309</v>
      </c>
      <c r="F418" s="165" t="s">
        <v>459</v>
      </c>
      <c r="G418" s="165">
        <v>10800</v>
      </c>
      <c r="H418" s="165"/>
      <c r="I418" s="165"/>
      <c r="J418" s="165"/>
      <c r="K418" s="165">
        <v>10800</v>
      </c>
      <c r="L418" s="165"/>
      <c r="M418" s="165"/>
      <c r="N418" s="165">
        <f t="shared" si="7"/>
        <v>0</v>
      </c>
      <c r="O418" s="165" t="s">
        <v>460</v>
      </c>
      <c r="P418" s="165" t="s">
        <v>1465</v>
      </c>
      <c r="Q418" s="3">
        <v>10800</v>
      </c>
      <c r="R418">
        <v>10800</v>
      </c>
    </row>
    <row r="419" spans="1:19">
      <c r="A419" s="165" t="s">
        <v>2307</v>
      </c>
      <c r="B419" s="165">
        <v>548</v>
      </c>
      <c r="C419" s="165" t="s">
        <v>1775</v>
      </c>
      <c r="D419" s="165">
        <v>3</v>
      </c>
      <c r="E419" s="165" t="s">
        <v>2310</v>
      </c>
      <c r="F419" s="165" t="s">
        <v>445</v>
      </c>
      <c r="G419" s="165">
        <v>10800</v>
      </c>
      <c r="H419" s="165"/>
      <c r="I419" s="165"/>
      <c r="J419" s="165"/>
      <c r="K419" s="165">
        <v>10800</v>
      </c>
      <c r="L419" s="165"/>
      <c r="M419" s="165"/>
      <c r="N419" s="165">
        <f t="shared" si="7"/>
        <v>0</v>
      </c>
      <c r="O419" s="165" t="s">
        <v>508</v>
      </c>
      <c r="P419" s="165" t="s">
        <v>2107</v>
      </c>
      <c r="Q419" s="3">
        <v>10800</v>
      </c>
      <c r="R419">
        <v>10800</v>
      </c>
    </row>
    <row r="420" spans="1:19">
      <c r="A420" s="165" t="s">
        <v>2307</v>
      </c>
      <c r="B420" s="165">
        <v>549</v>
      </c>
      <c r="C420" s="165" t="s">
        <v>1775</v>
      </c>
      <c r="D420" s="165">
        <v>4</v>
      </c>
      <c r="E420" s="165" t="s">
        <v>2311</v>
      </c>
      <c r="F420" s="165" t="s">
        <v>2301</v>
      </c>
      <c r="G420" s="165">
        <v>10800</v>
      </c>
      <c r="H420" s="165"/>
      <c r="I420" s="165"/>
      <c r="J420" s="165"/>
      <c r="K420" s="165">
        <v>10800</v>
      </c>
      <c r="L420" s="165"/>
      <c r="M420" s="165"/>
      <c r="N420" s="165">
        <f t="shared" si="7"/>
        <v>0</v>
      </c>
      <c r="O420" s="165" t="s">
        <v>615</v>
      </c>
      <c r="P420" s="165" t="s">
        <v>616</v>
      </c>
      <c r="Q420" s="3">
        <v>10800</v>
      </c>
      <c r="R420">
        <v>10800</v>
      </c>
    </row>
    <row r="421" spans="1:19">
      <c r="A421" s="165" t="s">
        <v>2307</v>
      </c>
      <c r="B421" s="165">
        <v>550</v>
      </c>
      <c r="C421" s="165" t="s">
        <v>1775</v>
      </c>
      <c r="D421" s="165">
        <v>5</v>
      </c>
      <c r="E421" s="165" t="s">
        <v>2312</v>
      </c>
      <c r="F421" s="165" t="s">
        <v>2214</v>
      </c>
      <c r="G421" s="165">
        <v>10800</v>
      </c>
      <c r="H421" s="165"/>
      <c r="I421" s="165"/>
      <c r="J421" s="165"/>
      <c r="K421" s="165">
        <v>10800</v>
      </c>
      <c r="L421" s="165"/>
      <c r="M421" s="165"/>
      <c r="N421" s="165">
        <f t="shared" si="7"/>
        <v>0</v>
      </c>
      <c r="O421" s="165" t="s">
        <v>617</v>
      </c>
      <c r="P421" s="165" t="s">
        <v>618</v>
      </c>
      <c r="Q421" s="3">
        <v>10800</v>
      </c>
      <c r="R421">
        <v>10800</v>
      </c>
    </row>
    <row r="422" spans="1:19">
      <c r="A422" s="165" t="s">
        <v>2307</v>
      </c>
      <c r="B422" s="165">
        <v>551</v>
      </c>
      <c r="C422" s="165" t="s">
        <v>1775</v>
      </c>
      <c r="D422" s="165">
        <v>6</v>
      </c>
      <c r="E422" s="165" t="s">
        <v>2313</v>
      </c>
      <c r="F422" s="165" t="s">
        <v>2216</v>
      </c>
      <c r="G422" s="165">
        <v>10800</v>
      </c>
      <c r="H422" s="165"/>
      <c r="I422" s="165"/>
      <c r="J422" s="165"/>
      <c r="K422" s="165">
        <v>10800</v>
      </c>
      <c r="L422" s="165"/>
      <c r="M422" s="165"/>
      <c r="N422" s="165">
        <f t="shared" si="7"/>
        <v>0</v>
      </c>
      <c r="O422" s="165" t="s">
        <v>628</v>
      </c>
      <c r="P422" s="165" t="s">
        <v>629</v>
      </c>
      <c r="Q422" s="3">
        <v>10800</v>
      </c>
      <c r="R422">
        <v>10800</v>
      </c>
    </row>
    <row r="423" spans="1:19">
      <c r="A423" s="165" t="s">
        <v>2307</v>
      </c>
      <c r="B423" s="165">
        <v>552</v>
      </c>
      <c r="C423" s="165" t="s">
        <v>1775</v>
      </c>
      <c r="D423" s="165">
        <v>7</v>
      </c>
      <c r="E423" s="165" t="s">
        <v>2314</v>
      </c>
      <c r="F423" s="165" t="s">
        <v>2218</v>
      </c>
      <c r="G423" s="165">
        <v>10800</v>
      </c>
      <c r="H423" s="165"/>
      <c r="I423" s="165"/>
      <c r="J423" s="165">
        <v>10800</v>
      </c>
      <c r="K423" s="165"/>
      <c r="L423" s="165"/>
      <c r="M423" s="165"/>
      <c r="N423" s="165">
        <f t="shared" si="7"/>
        <v>0</v>
      </c>
      <c r="O423" s="165" t="s">
        <v>625</v>
      </c>
      <c r="P423" s="165" t="s">
        <v>626</v>
      </c>
      <c r="Q423" s="3">
        <v>10800</v>
      </c>
      <c r="R423">
        <v>10800</v>
      </c>
    </row>
    <row r="424" spans="1:19">
      <c r="A424" s="165" t="s">
        <v>2307</v>
      </c>
      <c r="B424" s="165">
        <v>553</v>
      </c>
      <c r="C424" s="165" t="s">
        <v>1775</v>
      </c>
      <c r="D424" s="165">
        <v>8</v>
      </c>
      <c r="E424" s="165" t="s">
        <v>2315</v>
      </c>
      <c r="F424" s="165" t="s">
        <v>2306</v>
      </c>
      <c r="G424" s="165">
        <v>10800</v>
      </c>
      <c r="H424" s="165"/>
      <c r="I424" s="165"/>
      <c r="J424" s="165">
        <v>10800</v>
      </c>
      <c r="K424" s="165"/>
      <c r="L424" s="165"/>
      <c r="M424" s="165"/>
      <c r="N424" s="165">
        <f t="shared" si="7"/>
        <v>0</v>
      </c>
      <c r="O424" s="165" t="s">
        <v>683</v>
      </c>
      <c r="P424" s="165" t="s">
        <v>3163</v>
      </c>
      <c r="Q424" s="3">
        <v>10800</v>
      </c>
      <c r="R424">
        <v>10800</v>
      </c>
    </row>
    <row r="425" spans="1:19">
      <c r="A425" s="165" t="s">
        <v>1473</v>
      </c>
      <c r="B425" s="165">
        <v>554</v>
      </c>
      <c r="C425" s="165" t="s">
        <v>1246</v>
      </c>
      <c r="D425" s="165">
        <v>1</v>
      </c>
      <c r="E425" s="165" t="s">
        <v>2316</v>
      </c>
      <c r="F425" s="165" t="s">
        <v>1967</v>
      </c>
      <c r="G425" s="165">
        <v>10080</v>
      </c>
      <c r="H425" s="165"/>
      <c r="I425" s="165"/>
      <c r="J425" s="165"/>
      <c r="K425" s="165">
        <v>10080</v>
      </c>
      <c r="L425" s="165"/>
      <c r="M425" s="165"/>
      <c r="N425" s="165">
        <f t="shared" si="7"/>
        <v>0</v>
      </c>
      <c r="O425" s="165" t="s">
        <v>493</v>
      </c>
      <c r="P425" s="165" t="s">
        <v>911</v>
      </c>
      <c r="Q425" s="3">
        <v>10080</v>
      </c>
      <c r="R425">
        <v>10080</v>
      </c>
    </row>
    <row r="426" spans="1:19">
      <c r="A426" s="165" t="s">
        <v>1473</v>
      </c>
      <c r="B426" s="165">
        <v>555</v>
      </c>
      <c r="C426" s="165" t="s">
        <v>1246</v>
      </c>
      <c r="D426" s="165">
        <v>2</v>
      </c>
      <c r="E426" s="165" t="s">
        <v>2317</v>
      </c>
      <c r="F426" s="165" t="s">
        <v>1873</v>
      </c>
      <c r="G426" s="165">
        <v>10080</v>
      </c>
      <c r="H426" s="165"/>
      <c r="I426" s="165"/>
      <c r="J426" s="165"/>
      <c r="K426" s="165">
        <v>10080</v>
      </c>
      <c r="L426" s="165"/>
      <c r="M426" s="165"/>
      <c r="N426" s="165">
        <f t="shared" si="7"/>
        <v>0</v>
      </c>
      <c r="O426" s="165" t="s">
        <v>1461</v>
      </c>
      <c r="P426" s="165" t="s">
        <v>492</v>
      </c>
      <c r="Q426" s="3">
        <v>10080</v>
      </c>
      <c r="R426">
        <v>10080</v>
      </c>
    </row>
    <row r="427" spans="1:19">
      <c r="A427" s="165" t="s">
        <v>1473</v>
      </c>
      <c r="B427" s="165">
        <v>556</v>
      </c>
      <c r="C427" s="165" t="s">
        <v>1246</v>
      </c>
      <c r="D427" s="165">
        <v>3</v>
      </c>
      <c r="E427" s="165" t="s">
        <v>2318</v>
      </c>
      <c r="F427" s="165" t="s">
        <v>500</v>
      </c>
      <c r="G427" s="165">
        <v>10080</v>
      </c>
      <c r="H427" s="165"/>
      <c r="I427" s="165"/>
      <c r="J427" s="165"/>
      <c r="K427" s="165">
        <v>10080</v>
      </c>
      <c r="L427" s="165"/>
      <c r="M427" s="165"/>
      <c r="N427" s="165">
        <f t="shared" si="7"/>
        <v>0</v>
      </c>
      <c r="O427" s="165" t="s">
        <v>505</v>
      </c>
      <c r="P427" s="165" t="s">
        <v>505</v>
      </c>
      <c r="Q427" s="3">
        <v>10080</v>
      </c>
      <c r="R427">
        <v>10080</v>
      </c>
    </row>
    <row r="428" spans="1:19">
      <c r="A428" s="165" t="s">
        <v>1473</v>
      </c>
      <c r="B428" s="165">
        <v>557</v>
      </c>
      <c r="C428" s="165" t="s">
        <v>1246</v>
      </c>
      <c r="D428" s="165">
        <v>4</v>
      </c>
      <c r="E428" s="165" t="s">
        <v>2319</v>
      </c>
      <c r="F428" s="165" t="s">
        <v>2051</v>
      </c>
      <c r="G428" s="165">
        <v>10080</v>
      </c>
      <c r="H428" s="165"/>
      <c r="I428" s="165"/>
      <c r="J428" s="165"/>
      <c r="K428" s="165">
        <v>10080</v>
      </c>
      <c r="L428" s="165"/>
      <c r="M428" s="165"/>
      <c r="N428" s="165">
        <f t="shared" si="7"/>
        <v>0</v>
      </c>
      <c r="O428" s="165" t="s">
        <v>506</v>
      </c>
      <c r="P428" s="165" t="s">
        <v>507</v>
      </c>
      <c r="Q428" s="3">
        <v>10080</v>
      </c>
      <c r="R428">
        <v>10080</v>
      </c>
    </row>
    <row r="429" spans="1:19">
      <c r="A429" s="165" t="s">
        <v>1473</v>
      </c>
      <c r="B429" s="165">
        <v>558</v>
      </c>
      <c r="C429" s="165" t="s">
        <v>1246</v>
      </c>
      <c r="D429" s="165">
        <v>5</v>
      </c>
      <c r="E429" s="165" t="s">
        <v>2320</v>
      </c>
      <c r="F429" s="165" t="s">
        <v>2190</v>
      </c>
      <c r="G429" s="165">
        <v>10080</v>
      </c>
      <c r="H429" s="165"/>
      <c r="I429" s="165"/>
      <c r="J429" s="165"/>
      <c r="K429" s="165">
        <v>10080</v>
      </c>
      <c r="L429" s="165"/>
      <c r="M429" s="165"/>
      <c r="N429" s="165">
        <f t="shared" si="7"/>
        <v>0</v>
      </c>
      <c r="O429" s="165" t="s">
        <v>627</v>
      </c>
      <c r="P429" s="165" t="s">
        <v>827</v>
      </c>
      <c r="Q429" s="3">
        <v>10080</v>
      </c>
      <c r="R429">
        <v>10080</v>
      </c>
    </row>
    <row r="430" spans="1:19">
      <c r="A430" s="165" t="s">
        <v>1473</v>
      </c>
      <c r="B430" s="165">
        <v>559</v>
      </c>
      <c r="C430" s="165" t="s">
        <v>1246</v>
      </c>
      <c r="D430" s="165">
        <v>6</v>
      </c>
      <c r="E430" s="165" t="s">
        <v>2321</v>
      </c>
      <c r="F430" s="165" t="s">
        <v>2192</v>
      </c>
      <c r="G430" s="165">
        <v>10080</v>
      </c>
      <c r="H430" s="165"/>
      <c r="I430" s="165"/>
      <c r="J430" s="165"/>
      <c r="K430" s="165">
        <v>10080</v>
      </c>
      <c r="L430" s="165"/>
      <c r="M430" s="165"/>
      <c r="N430" s="165">
        <f t="shared" si="7"/>
        <v>0</v>
      </c>
      <c r="O430" s="165" t="s">
        <v>613</v>
      </c>
      <c r="P430" s="165" t="s">
        <v>614</v>
      </c>
      <c r="Q430" s="3">
        <v>10080</v>
      </c>
      <c r="R430">
        <v>10080</v>
      </c>
    </row>
    <row r="431" spans="1:19">
      <c r="A431" s="165" t="s">
        <v>1473</v>
      </c>
      <c r="B431" s="165">
        <v>560</v>
      </c>
      <c r="C431" s="165" t="s">
        <v>1246</v>
      </c>
      <c r="D431" s="165">
        <v>7</v>
      </c>
      <c r="E431" s="165" t="s">
        <v>2322</v>
      </c>
      <c r="F431" s="165" t="s">
        <v>2323</v>
      </c>
      <c r="G431" s="165">
        <v>10080</v>
      </c>
      <c r="H431" s="165"/>
      <c r="I431" s="165"/>
      <c r="J431" s="165">
        <v>10080</v>
      </c>
      <c r="K431" s="165"/>
      <c r="L431" s="165"/>
      <c r="M431" s="165"/>
      <c r="N431" s="165">
        <f t="shared" si="7"/>
        <v>0</v>
      </c>
      <c r="O431" s="165" t="s">
        <v>621</v>
      </c>
      <c r="P431" s="165" t="s">
        <v>622</v>
      </c>
      <c r="Q431" s="3">
        <v>10080</v>
      </c>
      <c r="R431" s="3">
        <v>10080</v>
      </c>
      <c r="S431" s="3"/>
    </row>
    <row r="432" spans="1:19">
      <c r="A432" s="165" t="s">
        <v>1473</v>
      </c>
      <c r="B432" s="165">
        <v>561</v>
      </c>
      <c r="C432" s="165" t="s">
        <v>1246</v>
      </c>
      <c r="D432" s="165">
        <v>8</v>
      </c>
      <c r="E432" s="165" t="s">
        <v>2324</v>
      </c>
      <c r="F432" s="165" t="s">
        <v>2325</v>
      </c>
      <c r="G432" s="165">
        <v>10080</v>
      </c>
      <c r="H432" s="165"/>
      <c r="I432" s="165"/>
      <c r="J432" s="165">
        <v>10080</v>
      </c>
      <c r="K432" s="165"/>
      <c r="L432" s="165"/>
      <c r="M432" s="165"/>
      <c r="N432" s="165">
        <f t="shared" si="7"/>
        <v>0</v>
      </c>
      <c r="O432" s="165" t="s">
        <v>3161</v>
      </c>
      <c r="P432" s="165" t="s">
        <v>3162</v>
      </c>
      <c r="Q432" s="3">
        <v>10080</v>
      </c>
      <c r="R432">
        <v>10080</v>
      </c>
    </row>
    <row r="433" spans="1:21">
      <c r="A433" s="209" t="s">
        <v>2326</v>
      </c>
      <c r="B433" s="209"/>
      <c r="C433" s="205" t="s">
        <v>3825</v>
      </c>
      <c r="D433" s="226">
        <v>7</v>
      </c>
      <c r="E433" s="183" t="s">
        <v>1283</v>
      </c>
      <c r="F433" s="209" t="s">
        <v>2326</v>
      </c>
      <c r="G433" s="165"/>
      <c r="H433" s="165"/>
      <c r="I433" s="165"/>
      <c r="J433" s="209"/>
      <c r="K433" s="209"/>
      <c r="L433" s="209"/>
      <c r="M433" s="209"/>
      <c r="N433" s="209">
        <f t="shared" si="7"/>
        <v>0</v>
      </c>
      <c r="O433" s="209" t="s">
        <v>2326</v>
      </c>
      <c r="P433" s="209" t="s">
        <v>2326</v>
      </c>
      <c r="Q433" s="178">
        <v>14175</v>
      </c>
      <c r="R433" s="178">
        <v>14145</v>
      </c>
      <c r="S433" s="178"/>
      <c r="T433" s="3">
        <v>30</v>
      </c>
    </row>
    <row r="434" spans="1:21" s="95" customFormat="1">
      <c r="A434" s="182" t="s">
        <v>515</v>
      </c>
      <c r="B434" s="182"/>
      <c r="C434" s="210" t="s">
        <v>2060</v>
      </c>
      <c r="D434" s="226">
        <v>5</v>
      </c>
      <c r="E434" s="210" t="s">
        <v>1283</v>
      </c>
      <c r="F434" s="182" t="s">
        <v>515</v>
      </c>
      <c r="G434" s="179"/>
      <c r="H434" s="179"/>
      <c r="I434" s="179"/>
      <c r="J434" s="179"/>
      <c r="K434" s="179"/>
      <c r="L434" s="179"/>
      <c r="M434" s="179"/>
      <c r="N434" s="179">
        <f t="shared" si="7"/>
        <v>0</v>
      </c>
      <c r="O434" s="182" t="s">
        <v>515</v>
      </c>
      <c r="P434" s="182" t="s">
        <v>515</v>
      </c>
      <c r="Q434" s="182">
        <v>14175</v>
      </c>
      <c r="R434" s="182">
        <v>14175</v>
      </c>
      <c r="S434" s="182"/>
      <c r="T434" s="179">
        <v>0</v>
      </c>
      <c r="U434" s="210" t="s">
        <v>245</v>
      </c>
    </row>
    <row r="435" spans="1:21" s="95" customFormat="1">
      <c r="A435" s="182" t="s">
        <v>2327</v>
      </c>
      <c r="B435" s="182"/>
      <c r="C435" s="210" t="s">
        <v>2060</v>
      </c>
      <c r="D435" s="226">
        <v>6</v>
      </c>
      <c r="E435" s="210" t="s">
        <v>1283</v>
      </c>
      <c r="F435" s="182" t="s">
        <v>2327</v>
      </c>
      <c r="G435" s="179"/>
      <c r="H435" s="179"/>
      <c r="I435" s="179"/>
      <c r="J435" s="179"/>
      <c r="K435" s="179"/>
      <c r="L435" s="179"/>
      <c r="M435" s="179"/>
      <c r="N435" s="179">
        <f t="shared" si="7"/>
        <v>0</v>
      </c>
      <c r="O435" s="182" t="s">
        <v>2327</v>
      </c>
      <c r="P435" s="182" t="s">
        <v>2327</v>
      </c>
      <c r="Q435" s="182">
        <v>14175</v>
      </c>
      <c r="R435" s="182">
        <v>14165</v>
      </c>
      <c r="S435" s="182"/>
      <c r="T435" s="179">
        <v>10</v>
      </c>
      <c r="U435" s="210" t="s">
        <v>245</v>
      </c>
    </row>
    <row r="436" spans="1:21">
      <c r="A436" s="209" t="s">
        <v>914</v>
      </c>
      <c r="B436" s="209"/>
      <c r="C436" s="205" t="s">
        <v>1532</v>
      </c>
      <c r="D436" s="226">
        <v>8</v>
      </c>
      <c r="E436" s="183" t="s">
        <v>1283</v>
      </c>
      <c r="F436" s="209" t="s">
        <v>914</v>
      </c>
      <c r="G436" s="165"/>
      <c r="H436" s="165"/>
      <c r="I436" s="165"/>
      <c r="J436" s="165"/>
      <c r="K436" s="165"/>
      <c r="L436" s="165"/>
      <c r="M436" s="165"/>
      <c r="N436" s="165">
        <f t="shared" si="7"/>
        <v>0</v>
      </c>
      <c r="O436" s="209" t="s">
        <v>914</v>
      </c>
      <c r="P436" s="209" t="s">
        <v>914</v>
      </c>
      <c r="Q436" s="178">
        <v>13500</v>
      </c>
      <c r="R436" s="178">
        <v>13485</v>
      </c>
      <c r="S436" s="178"/>
      <c r="T436" s="3">
        <v>15</v>
      </c>
    </row>
    <row r="437" spans="1:21">
      <c r="A437" s="165" t="s">
        <v>559</v>
      </c>
      <c r="B437" s="165">
        <v>562</v>
      </c>
      <c r="C437" s="165" t="s">
        <v>1232</v>
      </c>
      <c r="D437" s="165">
        <v>6</v>
      </c>
      <c r="E437" s="165" t="s">
        <v>2328</v>
      </c>
      <c r="F437" s="165" t="s">
        <v>559</v>
      </c>
      <c r="G437" s="165">
        <v>16380</v>
      </c>
      <c r="H437" s="165"/>
      <c r="I437" s="165"/>
      <c r="J437" s="165"/>
      <c r="K437" s="165">
        <v>16380</v>
      </c>
      <c r="L437" s="165"/>
      <c r="M437" s="165"/>
      <c r="N437" s="165">
        <f t="shared" si="7"/>
        <v>0</v>
      </c>
      <c r="O437" s="165" t="s">
        <v>458</v>
      </c>
      <c r="P437" s="165" t="s">
        <v>2035</v>
      </c>
      <c r="Q437" s="3">
        <v>16380</v>
      </c>
      <c r="R437">
        <v>16380</v>
      </c>
    </row>
    <row r="438" spans="1:21">
      <c r="A438" s="209" t="s">
        <v>1460</v>
      </c>
      <c r="B438" s="209"/>
      <c r="C438" s="205" t="s">
        <v>2421</v>
      </c>
      <c r="D438" s="226">
        <v>8</v>
      </c>
      <c r="E438" s="183" t="s">
        <v>1283</v>
      </c>
      <c r="F438" s="209" t="s">
        <v>1460</v>
      </c>
      <c r="G438" s="165"/>
      <c r="H438" s="165"/>
      <c r="I438" s="165"/>
      <c r="J438" s="165"/>
      <c r="K438" s="165"/>
      <c r="L438" s="165"/>
      <c r="M438" s="165"/>
      <c r="N438" s="165">
        <f t="shared" si="7"/>
        <v>0</v>
      </c>
      <c r="O438" s="209" t="s">
        <v>1460</v>
      </c>
      <c r="P438" s="209" t="s">
        <v>1460</v>
      </c>
      <c r="Q438" s="178">
        <v>14175</v>
      </c>
      <c r="R438" s="178">
        <v>14165</v>
      </c>
      <c r="S438" s="178"/>
      <c r="T438" s="3">
        <v>10</v>
      </c>
    </row>
    <row r="439" spans="1:21">
      <c r="A439" s="165" t="s">
        <v>1977</v>
      </c>
      <c r="B439" s="165">
        <v>563</v>
      </c>
      <c r="C439" s="165" t="s">
        <v>1764</v>
      </c>
      <c r="D439" s="165">
        <v>1</v>
      </c>
      <c r="E439" s="165" t="s">
        <v>2329</v>
      </c>
      <c r="F439" s="165" t="s">
        <v>1475</v>
      </c>
      <c r="G439" s="165">
        <v>14175</v>
      </c>
      <c r="H439" s="165"/>
      <c r="I439" s="165"/>
      <c r="J439" s="165"/>
      <c r="K439" s="165">
        <v>14175</v>
      </c>
      <c r="L439" s="165"/>
      <c r="M439" s="165"/>
      <c r="N439" s="165">
        <f t="shared" si="7"/>
        <v>0</v>
      </c>
      <c r="O439" s="165" t="s">
        <v>500</v>
      </c>
      <c r="P439" s="165" t="s">
        <v>500</v>
      </c>
      <c r="Q439" s="3">
        <v>14175</v>
      </c>
      <c r="R439">
        <v>14175</v>
      </c>
    </row>
    <row r="440" spans="1:21">
      <c r="A440" s="165" t="s">
        <v>1977</v>
      </c>
      <c r="B440" s="165">
        <v>563</v>
      </c>
      <c r="C440" s="165" t="s">
        <v>1764</v>
      </c>
      <c r="D440" s="165">
        <v>1</v>
      </c>
      <c r="E440" s="165" t="s">
        <v>2329</v>
      </c>
      <c r="F440" s="165" t="s">
        <v>1475</v>
      </c>
      <c r="G440" s="165">
        <v>14175</v>
      </c>
      <c r="H440" s="165"/>
      <c r="I440" s="165"/>
      <c r="J440" s="165"/>
      <c r="K440" s="165">
        <v>14175</v>
      </c>
      <c r="L440" s="165"/>
      <c r="M440" s="165"/>
      <c r="N440" s="165">
        <f t="shared" si="7"/>
        <v>0</v>
      </c>
      <c r="O440" s="165" t="s">
        <v>499</v>
      </c>
      <c r="P440" s="165" t="s">
        <v>500</v>
      </c>
      <c r="Q440" s="3">
        <v>14175</v>
      </c>
      <c r="R440">
        <v>14175</v>
      </c>
    </row>
    <row r="441" spans="1:21">
      <c r="A441" s="165" t="s">
        <v>1977</v>
      </c>
      <c r="B441" s="165">
        <v>564</v>
      </c>
      <c r="C441" s="165" t="s">
        <v>1764</v>
      </c>
      <c r="D441" s="165">
        <v>2</v>
      </c>
      <c r="E441" s="165" t="s">
        <v>98</v>
      </c>
      <c r="F441" s="165" t="s">
        <v>2330</v>
      </c>
      <c r="G441" s="165">
        <v>14175</v>
      </c>
      <c r="H441" s="165"/>
      <c r="I441" s="165"/>
      <c r="J441" s="165"/>
      <c r="K441" s="165">
        <v>14175</v>
      </c>
      <c r="L441" s="165"/>
      <c r="M441" s="165"/>
      <c r="N441" s="165">
        <f t="shared" si="7"/>
        <v>0</v>
      </c>
      <c r="O441" s="165" t="s">
        <v>501</v>
      </c>
      <c r="P441" s="165" t="s">
        <v>2160</v>
      </c>
      <c r="Q441" s="3">
        <v>14175</v>
      </c>
      <c r="R441">
        <v>14175</v>
      </c>
    </row>
    <row r="442" spans="1:21">
      <c r="A442" s="165" t="s">
        <v>1977</v>
      </c>
      <c r="B442" s="165">
        <v>565</v>
      </c>
      <c r="C442" s="165" t="s">
        <v>1764</v>
      </c>
      <c r="D442" s="165">
        <v>3</v>
      </c>
      <c r="E442" s="165" t="s">
        <v>99</v>
      </c>
      <c r="F442" s="165" t="s">
        <v>2331</v>
      </c>
      <c r="G442" s="165">
        <v>14175</v>
      </c>
      <c r="H442" s="165"/>
      <c r="I442" s="165"/>
      <c r="J442" s="165"/>
      <c r="K442" s="165">
        <v>14175</v>
      </c>
      <c r="L442" s="165"/>
      <c r="M442" s="165"/>
      <c r="N442" s="165">
        <f t="shared" si="7"/>
        <v>0</v>
      </c>
      <c r="O442" s="165" t="s">
        <v>2162</v>
      </c>
      <c r="P442" s="165" t="s">
        <v>1024</v>
      </c>
      <c r="Q442" s="3">
        <v>14175</v>
      </c>
      <c r="R442">
        <v>14175</v>
      </c>
    </row>
    <row r="443" spans="1:21">
      <c r="A443" s="165" t="s">
        <v>1977</v>
      </c>
      <c r="B443" s="165">
        <v>566</v>
      </c>
      <c r="C443" s="165" t="s">
        <v>1764</v>
      </c>
      <c r="D443" s="165">
        <v>4</v>
      </c>
      <c r="E443" s="165" t="s">
        <v>100</v>
      </c>
      <c r="F443" s="165" t="s">
        <v>2332</v>
      </c>
      <c r="G443" s="165">
        <v>14175</v>
      </c>
      <c r="H443" s="165"/>
      <c r="I443" s="165"/>
      <c r="J443" s="165"/>
      <c r="K443" s="165">
        <v>14175</v>
      </c>
      <c r="L443" s="165"/>
      <c r="M443" s="165"/>
      <c r="N443" s="165">
        <f t="shared" si="7"/>
        <v>0</v>
      </c>
      <c r="O443" s="165" t="s">
        <v>2164</v>
      </c>
      <c r="P443" s="165" t="s">
        <v>1025</v>
      </c>
      <c r="Q443" s="3">
        <v>14175</v>
      </c>
      <c r="R443">
        <v>14175</v>
      </c>
    </row>
    <row r="444" spans="1:21">
      <c r="A444" s="165" t="s">
        <v>1977</v>
      </c>
      <c r="B444" s="165">
        <v>567</v>
      </c>
      <c r="C444" s="165" t="s">
        <v>1764</v>
      </c>
      <c r="D444" s="165">
        <v>5</v>
      </c>
      <c r="E444" s="165" t="s">
        <v>101</v>
      </c>
      <c r="F444" s="165" t="s">
        <v>2333</v>
      </c>
      <c r="G444" s="165">
        <v>14175</v>
      </c>
      <c r="H444" s="165"/>
      <c r="I444" s="165"/>
      <c r="J444" s="165"/>
      <c r="K444" s="165">
        <v>14175</v>
      </c>
      <c r="L444" s="165"/>
      <c r="M444" s="165"/>
      <c r="N444" s="165">
        <f t="shared" si="7"/>
        <v>0</v>
      </c>
      <c r="O444" s="165" t="s">
        <v>628</v>
      </c>
      <c r="P444" s="165" t="s">
        <v>629</v>
      </c>
      <c r="Q444" s="3">
        <v>14175</v>
      </c>
      <c r="R444">
        <v>14175</v>
      </c>
    </row>
    <row r="445" spans="1:21">
      <c r="A445" s="165" t="s">
        <v>1977</v>
      </c>
      <c r="B445" s="165">
        <v>568</v>
      </c>
      <c r="C445" s="165" t="s">
        <v>1764</v>
      </c>
      <c r="D445" s="165">
        <v>6</v>
      </c>
      <c r="E445" s="165" t="s">
        <v>102</v>
      </c>
      <c r="F445" s="165" t="s">
        <v>2334</v>
      </c>
      <c r="G445" s="165">
        <v>14175</v>
      </c>
      <c r="H445" s="165"/>
      <c r="I445" s="165"/>
      <c r="J445" s="165">
        <v>14175</v>
      </c>
      <c r="K445" s="165"/>
      <c r="L445" s="165"/>
      <c r="M445" s="165"/>
      <c r="N445" s="165">
        <f t="shared" si="7"/>
        <v>0</v>
      </c>
      <c r="O445" s="165" t="s">
        <v>3159</v>
      </c>
      <c r="P445" s="165" t="s">
        <v>3160</v>
      </c>
      <c r="Q445" s="3">
        <v>14175</v>
      </c>
      <c r="R445">
        <v>14175</v>
      </c>
    </row>
    <row r="446" spans="1:21">
      <c r="A446" s="165" t="s">
        <v>1977</v>
      </c>
      <c r="B446" s="165">
        <v>569</v>
      </c>
      <c r="C446" s="165" t="s">
        <v>1764</v>
      </c>
      <c r="D446" s="165">
        <v>7</v>
      </c>
      <c r="E446" s="165" t="s">
        <v>103</v>
      </c>
      <c r="F446" s="165" t="s">
        <v>2335</v>
      </c>
      <c r="G446" s="165">
        <v>14175</v>
      </c>
      <c r="H446" s="165"/>
      <c r="I446" s="165"/>
      <c r="J446" s="165">
        <v>14175</v>
      </c>
      <c r="K446" s="165"/>
      <c r="L446" s="165"/>
      <c r="M446" s="165"/>
      <c r="N446" s="165">
        <f t="shared" si="7"/>
        <v>0</v>
      </c>
      <c r="O446" s="165" t="s">
        <v>3164</v>
      </c>
      <c r="P446" s="165" t="s">
        <v>808</v>
      </c>
      <c r="Q446" s="3">
        <v>14175</v>
      </c>
      <c r="R446">
        <v>14175</v>
      </c>
    </row>
    <row r="447" spans="1:21">
      <c r="A447" s="165" t="s">
        <v>1977</v>
      </c>
      <c r="B447" s="165">
        <v>570</v>
      </c>
      <c r="C447" s="165" t="s">
        <v>1764</v>
      </c>
      <c r="D447" s="165">
        <v>8</v>
      </c>
      <c r="E447" s="165" t="s">
        <v>104</v>
      </c>
      <c r="F447" s="165" t="s">
        <v>2336</v>
      </c>
      <c r="G447" s="165">
        <v>14175</v>
      </c>
      <c r="H447" s="165"/>
      <c r="I447" s="165"/>
      <c r="J447" s="165">
        <v>14175</v>
      </c>
      <c r="K447" s="165"/>
      <c r="L447" s="165"/>
      <c r="M447" s="165"/>
      <c r="N447" s="165">
        <f t="shared" si="7"/>
        <v>0</v>
      </c>
      <c r="O447" s="165" t="s">
        <v>3165</v>
      </c>
      <c r="P447" s="165" t="s">
        <v>3166</v>
      </c>
      <c r="Q447" s="3">
        <v>14175</v>
      </c>
      <c r="R447">
        <v>14175</v>
      </c>
    </row>
    <row r="448" spans="1:21">
      <c r="A448" s="165" t="s">
        <v>1463</v>
      </c>
      <c r="B448" s="165">
        <v>571</v>
      </c>
      <c r="C448" s="165" t="s">
        <v>2687</v>
      </c>
      <c r="D448" s="165">
        <v>1</v>
      </c>
      <c r="E448" s="165" t="s">
        <v>2337</v>
      </c>
      <c r="F448" s="165" t="s">
        <v>1969</v>
      </c>
      <c r="G448" s="165">
        <v>14175</v>
      </c>
      <c r="H448" s="165"/>
      <c r="I448" s="165"/>
      <c r="J448" s="165"/>
      <c r="K448" s="165">
        <v>14175</v>
      </c>
      <c r="L448" s="165"/>
      <c r="M448" s="165"/>
      <c r="N448" s="165">
        <f t="shared" si="7"/>
        <v>0</v>
      </c>
      <c r="O448" s="165" t="s">
        <v>460</v>
      </c>
      <c r="P448" s="165" t="s">
        <v>1465</v>
      </c>
      <c r="Q448" s="3">
        <v>14175</v>
      </c>
      <c r="R448">
        <v>14175</v>
      </c>
    </row>
    <row r="449" spans="1:19">
      <c r="A449" s="165" t="s">
        <v>1463</v>
      </c>
      <c r="B449" s="165">
        <v>572</v>
      </c>
      <c r="C449" s="165" t="s">
        <v>2687</v>
      </c>
      <c r="D449" s="165">
        <v>2</v>
      </c>
      <c r="E449" s="165" t="s">
        <v>71</v>
      </c>
      <c r="F449" s="165" t="s">
        <v>2107</v>
      </c>
      <c r="G449" s="165">
        <v>14175</v>
      </c>
      <c r="H449" s="165"/>
      <c r="I449" s="165"/>
      <c r="J449" s="165"/>
      <c r="K449" s="165">
        <v>14175</v>
      </c>
      <c r="L449" s="165"/>
      <c r="M449" s="165"/>
      <c r="N449" s="165">
        <f t="shared" si="7"/>
        <v>0</v>
      </c>
      <c r="O449" s="165" t="s">
        <v>508</v>
      </c>
      <c r="P449" s="165" t="s">
        <v>2107</v>
      </c>
      <c r="Q449" s="3">
        <v>14175</v>
      </c>
      <c r="R449">
        <v>14175</v>
      </c>
    </row>
    <row r="450" spans="1:19">
      <c r="A450" s="165" t="s">
        <v>1463</v>
      </c>
      <c r="B450" s="165">
        <v>573</v>
      </c>
      <c r="C450" s="165" t="s">
        <v>2687</v>
      </c>
      <c r="D450" s="165">
        <v>3</v>
      </c>
      <c r="E450" s="165" t="s">
        <v>72</v>
      </c>
      <c r="F450" s="165" t="s">
        <v>2109</v>
      </c>
      <c r="G450" s="165">
        <v>14175</v>
      </c>
      <c r="H450" s="165"/>
      <c r="I450" s="165"/>
      <c r="J450" s="165"/>
      <c r="K450" s="165">
        <v>14175</v>
      </c>
      <c r="L450" s="165"/>
      <c r="M450" s="165"/>
      <c r="N450" s="165">
        <f t="shared" si="7"/>
        <v>0</v>
      </c>
      <c r="O450" s="165" t="s">
        <v>615</v>
      </c>
      <c r="P450" s="165" t="s">
        <v>616</v>
      </c>
      <c r="Q450" s="3">
        <v>14175</v>
      </c>
      <c r="R450">
        <v>14175</v>
      </c>
    </row>
    <row r="451" spans="1:19">
      <c r="A451" s="165" t="s">
        <v>1463</v>
      </c>
      <c r="B451" s="165">
        <v>574</v>
      </c>
      <c r="C451" s="165" t="s">
        <v>2687</v>
      </c>
      <c r="D451" s="165">
        <v>4</v>
      </c>
      <c r="E451" s="165" t="s">
        <v>73</v>
      </c>
      <c r="F451" s="165" t="s">
        <v>2111</v>
      </c>
      <c r="G451" s="165">
        <v>14175</v>
      </c>
      <c r="H451" s="165"/>
      <c r="I451" s="165"/>
      <c r="J451" s="165"/>
      <c r="K451" s="165">
        <v>14175</v>
      </c>
      <c r="L451" s="165"/>
      <c r="M451" s="165"/>
      <c r="N451" s="165">
        <f t="shared" si="7"/>
        <v>0</v>
      </c>
      <c r="O451" s="165" t="s">
        <v>617</v>
      </c>
      <c r="P451" s="165" t="s">
        <v>618</v>
      </c>
      <c r="Q451" s="3">
        <v>14175</v>
      </c>
      <c r="R451" s="10">
        <v>14175</v>
      </c>
      <c r="S451" s="10"/>
    </row>
    <row r="452" spans="1:19">
      <c r="A452" s="165" t="s">
        <v>1463</v>
      </c>
      <c r="B452" s="165">
        <v>575</v>
      </c>
      <c r="C452" s="165" t="s">
        <v>2687</v>
      </c>
      <c r="D452" s="165">
        <v>5</v>
      </c>
      <c r="E452" s="165" t="s">
        <v>74</v>
      </c>
      <c r="F452" s="165" t="s">
        <v>2338</v>
      </c>
      <c r="G452" s="165">
        <v>14175</v>
      </c>
      <c r="H452" s="165"/>
      <c r="I452" s="165"/>
      <c r="J452" s="165"/>
      <c r="K452" s="165">
        <v>14175</v>
      </c>
      <c r="L452" s="165"/>
      <c r="M452" s="165"/>
      <c r="N452" s="165">
        <f t="shared" si="7"/>
        <v>0</v>
      </c>
      <c r="O452" s="165" t="s">
        <v>628</v>
      </c>
      <c r="P452" s="165" t="s">
        <v>629</v>
      </c>
      <c r="Q452" s="3">
        <v>14175</v>
      </c>
      <c r="R452">
        <v>14175</v>
      </c>
    </row>
    <row r="453" spans="1:19">
      <c r="A453" s="165" t="s">
        <v>1463</v>
      </c>
      <c r="B453" s="165">
        <v>576</v>
      </c>
      <c r="C453" s="165" t="s">
        <v>2687</v>
      </c>
      <c r="D453" s="165">
        <v>6</v>
      </c>
      <c r="E453" s="165" t="s">
        <v>75</v>
      </c>
      <c r="F453" s="165" t="s">
        <v>2339</v>
      </c>
      <c r="G453" s="165">
        <v>14175</v>
      </c>
      <c r="H453" s="165"/>
      <c r="I453" s="165"/>
      <c r="J453" s="165">
        <v>14175</v>
      </c>
      <c r="K453" s="165"/>
      <c r="L453" s="165"/>
      <c r="M453" s="165"/>
      <c r="N453" s="165">
        <f t="shared" si="7"/>
        <v>0</v>
      </c>
      <c r="O453" s="165" t="s">
        <v>3159</v>
      </c>
      <c r="P453" s="165" t="s">
        <v>3160</v>
      </c>
      <c r="Q453" s="3">
        <v>14175</v>
      </c>
      <c r="R453">
        <v>14175</v>
      </c>
    </row>
    <row r="454" spans="1:19">
      <c r="A454" s="165" t="s">
        <v>1463</v>
      </c>
      <c r="B454" s="165">
        <v>577</v>
      </c>
      <c r="C454" s="165" t="s">
        <v>2687</v>
      </c>
      <c r="D454" s="165">
        <v>7</v>
      </c>
      <c r="E454" s="165" t="s">
        <v>76</v>
      </c>
      <c r="F454" s="165" t="s">
        <v>2340</v>
      </c>
      <c r="G454" s="165">
        <v>14175</v>
      </c>
      <c r="H454" s="165"/>
      <c r="I454" s="165"/>
      <c r="J454" s="165">
        <v>14175</v>
      </c>
      <c r="K454" s="165"/>
      <c r="L454" s="165"/>
      <c r="M454" s="165"/>
      <c r="N454" s="165">
        <f t="shared" si="7"/>
        <v>0</v>
      </c>
      <c r="O454" s="165" t="s">
        <v>3164</v>
      </c>
      <c r="P454" s="165" t="s">
        <v>808</v>
      </c>
      <c r="Q454" s="3">
        <v>14175</v>
      </c>
      <c r="R454">
        <v>14175</v>
      </c>
    </row>
    <row r="455" spans="1:19">
      <c r="A455" s="165" t="s">
        <v>1463</v>
      </c>
      <c r="B455" s="165">
        <v>578</v>
      </c>
      <c r="C455" s="165" t="s">
        <v>2687</v>
      </c>
      <c r="D455" s="165">
        <v>8</v>
      </c>
      <c r="E455" s="165" t="s">
        <v>77</v>
      </c>
      <c r="F455" s="165" t="s">
        <v>2341</v>
      </c>
      <c r="G455" s="165">
        <v>14175</v>
      </c>
      <c r="H455" s="165"/>
      <c r="I455" s="165"/>
      <c r="J455" s="165">
        <v>14175</v>
      </c>
      <c r="K455" s="165"/>
      <c r="L455" s="165"/>
      <c r="M455" s="165"/>
      <c r="N455" s="165">
        <f t="shared" si="7"/>
        <v>0</v>
      </c>
      <c r="O455" s="165" t="s">
        <v>3165</v>
      </c>
      <c r="P455" s="165" t="s">
        <v>3166</v>
      </c>
      <c r="Q455" s="3">
        <v>14175</v>
      </c>
      <c r="R455">
        <v>14175</v>
      </c>
    </row>
    <row r="456" spans="1:19">
      <c r="A456" s="165" t="s">
        <v>2342</v>
      </c>
      <c r="B456" s="165">
        <v>579</v>
      </c>
      <c r="C456" s="165" t="s">
        <v>1270</v>
      </c>
      <c r="D456" s="165">
        <v>1</v>
      </c>
      <c r="E456" s="165" t="s">
        <v>2343</v>
      </c>
      <c r="F456" s="165" t="s">
        <v>1469</v>
      </c>
      <c r="G456" s="165">
        <v>20475</v>
      </c>
      <c r="H456" s="165"/>
      <c r="I456" s="165"/>
      <c r="J456" s="165"/>
      <c r="K456" s="165">
        <v>20475</v>
      </c>
      <c r="L456" s="165"/>
      <c r="M456" s="165"/>
      <c r="N456" s="165">
        <f t="shared" si="7"/>
        <v>0</v>
      </c>
      <c r="O456" s="165" t="s">
        <v>458</v>
      </c>
      <c r="P456" s="165" t="s">
        <v>2035</v>
      </c>
      <c r="Q456" s="3">
        <v>20475</v>
      </c>
      <c r="R456">
        <v>20475</v>
      </c>
    </row>
    <row r="457" spans="1:19">
      <c r="A457" s="165" t="s">
        <v>2342</v>
      </c>
      <c r="B457" s="165">
        <v>580</v>
      </c>
      <c r="C457" s="165" t="s">
        <v>1270</v>
      </c>
      <c r="D457" s="165">
        <v>2</v>
      </c>
      <c r="E457" s="165" t="s">
        <v>69</v>
      </c>
      <c r="F457" s="165" t="s">
        <v>2120</v>
      </c>
      <c r="G457" s="165">
        <v>20475</v>
      </c>
      <c r="H457" s="165"/>
      <c r="I457" s="165"/>
      <c r="J457" s="165"/>
      <c r="K457" s="165">
        <v>20475</v>
      </c>
      <c r="L457" s="165"/>
      <c r="M457" s="165"/>
      <c r="N457" s="165">
        <f t="shared" si="7"/>
        <v>0</v>
      </c>
      <c r="O457" s="165" t="s">
        <v>496</v>
      </c>
      <c r="P457" s="165" t="s">
        <v>497</v>
      </c>
      <c r="Q457" s="3">
        <v>20475</v>
      </c>
      <c r="R457">
        <v>20475</v>
      </c>
    </row>
    <row r="458" spans="1:19">
      <c r="A458" s="165" t="s">
        <v>2342</v>
      </c>
      <c r="B458" s="165">
        <v>581</v>
      </c>
      <c r="C458" s="165" t="s">
        <v>1270</v>
      </c>
      <c r="D458" s="165">
        <v>3</v>
      </c>
      <c r="E458" s="165" t="s">
        <v>70</v>
      </c>
      <c r="F458" s="165" t="s">
        <v>2344</v>
      </c>
      <c r="G458" s="165">
        <v>20475</v>
      </c>
      <c r="H458" s="165"/>
      <c r="I458" s="165"/>
      <c r="J458" s="165"/>
      <c r="K458" s="165">
        <v>20475</v>
      </c>
      <c r="L458" s="165"/>
      <c r="M458" s="165"/>
      <c r="N458" s="165">
        <f t="shared" si="7"/>
        <v>0</v>
      </c>
      <c r="O458" s="165" t="s">
        <v>631</v>
      </c>
      <c r="P458" s="165" t="s">
        <v>632</v>
      </c>
      <c r="Q458" s="3">
        <v>20475</v>
      </c>
      <c r="R458">
        <v>20475</v>
      </c>
    </row>
    <row r="459" spans="1:19">
      <c r="A459" s="165" t="s">
        <v>2342</v>
      </c>
      <c r="B459" s="165">
        <v>582</v>
      </c>
      <c r="C459" s="165" t="s">
        <v>1270</v>
      </c>
      <c r="D459" s="165">
        <v>4</v>
      </c>
      <c r="E459" s="165" t="s">
        <v>68</v>
      </c>
      <c r="F459" s="165" t="s">
        <v>2345</v>
      </c>
      <c r="G459" s="165">
        <v>20475</v>
      </c>
      <c r="H459" s="165"/>
      <c r="I459" s="165"/>
      <c r="J459" s="165"/>
      <c r="K459" s="165">
        <v>20475</v>
      </c>
      <c r="L459" s="165"/>
      <c r="M459" s="165"/>
      <c r="N459" s="165">
        <f t="shared" si="7"/>
        <v>0</v>
      </c>
      <c r="O459" s="165" t="s">
        <v>633</v>
      </c>
      <c r="P459" s="165" t="s">
        <v>634</v>
      </c>
      <c r="Q459" s="3">
        <v>20475</v>
      </c>
      <c r="R459">
        <v>20475</v>
      </c>
    </row>
    <row r="460" spans="1:19">
      <c r="A460" s="165" t="s">
        <v>1469</v>
      </c>
      <c r="B460" s="165">
        <v>583</v>
      </c>
      <c r="C460" s="165" t="s">
        <v>2346</v>
      </c>
      <c r="D460" s="165">
        <v>1</v>
      </c>
      <c r="E460" s="165" t="s">
        <v>2347</v>
      </c>
      <c r="F460" s="165" t="s">
        <v>2348</v>
      </c>
      <c r="G460" s="165">
        <v>14175</v>
      </c>
      <c r="H460" s="165"/>
      <c r="I460" s="165"/>
      <c r="J460" s="165"/>
      <c r="K460" s="165">
        <v>14175</v>
      </c>
      <c r="L460" s="165"/>
      <c r="M460" s="165"/>
      <c r="N460" s="165">
        <f t="shared" si="7"/>
        <v>0</v>
      </c>
      <c r="O460" s="165" t="s">
        <v>500</v>
      </c>
      <c r="P460" s="165" t="s">
        <v>500</v>
      </c>
      <c r="Q460" s="3">
        <v>14175</v>
      </c>
      <c r="R460">
        <v>14175</v>
      </c>
    </row>
    <row r="461" spans="1:19">
      <c r="A461" s="165" t="s">
        <v>1469</v>
      </c>
      <c r="B461" s="165">
        <v>584</v>
      </c>
      <c r="C461" s="165" t="s">
        <v>2346</v>
      </c>
      <c r="D461" s="165">
        <v>2</v>
      </c>
      <c r="E461" s="165" t="s">
        <v>105</v>
      </c>
      <c r="F461" s="165" t="s">
        <v>2349</v>
      </c>
      <c r="G461" s="165">
        <v>14175</v>
      </c>
      <c r="H461" s="165"/>
      <c r="I461" s="165"/>
      <c r="J461" s="165"/>
      <c r="K461" s="165">
        <v>14175</v>
      </c>
      <c r="L461" s="165"/>
      <c r="M461" s="165"/>
      <c r="N461" s="165">
        <f t="shared" si="7"/>
        <v>0</v>
      </c>
      <c r="O461" s="165" t="s">
        <v>501</v>
      </c>
      <c r="P461" s="165" t="s">
        <v>2160</v>
      </c>
      <c r="Q461" s="3">
        <v>14175</v>
      </c>
      <c r="R461">
        <v>14175</v>
      </c>
    </row>
    <row r="462" spans="1:19">
      <c r="A462" s="165" t="s">
        <v>1469</v>
      </c>
      <c r="B462" s="165">
        <v>585</v>
      </c>
      <c r="C462" s="165" t="s">
        <v>2346</v>
      </c>
      <c r="D462" s="165">
        <v>3</v>
      </c>
      <c r="E462" s="165" t="s">
        <v>106</v>
      </c>
      <c r="F462" s="165" t="s">
        <v>2350</v>
      </c>
      <c r="G462" s="165">
        <v>14175</v>
      </c>
      <c r="H462" s="165"/>
      <c r="I462" s="165"/>
      <c r="J462" s="165"/>
      <c r="K462" s="165">
        <v>14175</v>
      </c>
      <c r="L462" s="165"/>
      <c r="M462" s="165"/>
      <c r="N462" s="165">
        <f t="shared" si="7"/>
        <v>0</v>
      </c>
      <c r="O462" s="165" t="s">
        <v>2162</v>
      </c>
      <c r="P462" s="165" t="s">
        <v>1024</v>
      </c>
      <c r="Q462" s="3">
        <v>14175</v>
      </c>
      <c r="R462">
        <v>14175</v>
      </c>
    </row>
    <row r="463" spans="1:19">
      <c r="A463" s="165" t="s">
        <v>1469</v>
      </c>
      <c r="B463" s="165">
        <v>586</v>
      </c>
      <c r="C463" s="165" t="s">
        <v>2346</v>
      </c>
      <c r="D463" s="165">
        <v>4</v>
      </c>
      <c r="E463" s="165" t="s">
        <v>2351</v>
      </c>
      <c r="F463" s="165" t="s">
        <v>2352</v>
      </c>
      <c r="G463" s="165">
        <v>14175</v>
      </c>
      <c r="H463" s="165"/>
      <c r="I463" s="165"/>
      <c r="J463" s="165"/>
      <c r="K463" s="165">
        <v>14175</v>
      </c>
      <c r="L463" s="165"/>
      <c r="M463" s="165"/>
      <c r="N463" s="165">
        <f t="shared" si="7"/>
        <v>0</v>
      </c>
      <c r="O463" s="165" t="s">
        <v>2164</v>
      </c>
      <c r="P463" s="165" t="s">
        <v>1025</v>
      </c>
      <c r="Q463" s="3">
        <v>14175</v>
      </c>
      <c r="R463">
        <v>14175</v>
      </c>
    </row>
    <row r="464" spans="1:19">
      <c r="A464" s="165" t="s">
        <v>1469</v>
      </c>
      <c r="B464" s="165">
        <v>587</v>
      </c>
      <c r="C464" s="165" t="s">
        <v>2346</v>
      </c>
      <c r="D464" s="165">
        <v>5</v>
      </c>
      <c r="E464" s="165" t="s">
        <v>107</v>
      </c>
      <c r="F464" s="165" t="s">
        <v>2353</v>
      </c>
      <c r="G464" s="165">
        <v>14175</v>
      </c>
      <c r="H464" s="165"/>
      <c r="I464" s="165"/>
      <c r="J464" s="165"/>
      <c r="K464" s="165">
        <v>14175</v>
      </c>
      <c r="L464" s="165"/>
      <c r="M464" s="165"/>
      <c r="N464" s="165">
        <f t="shared" si="7"/>
        <v>0</v>
      </c>
      <c r="O464" s="165" t="s">
        <v>628</v>
      </c>
      <c r="P464" s="165" t="s">
        <v>629</v>
      </c>
      <c r="Q464" s="3">
        <v>14175</v>
      </c>
      <c r="R464">
        <v>14175</v>
      </c>
    </row>
    <row r="465" spans="1:20" s="8" customFormat="1">
      <c r="A465" s="184" t="s">
        <v>1469</v>
      </c>
      <c r="B465" s="184">
        <v>588</v>
      </c>
      <c r="C465" s="184" t="s">
        <v>2346</v>
      </c>
      <c r="D465" s="184">
        <v>6</v>
      </c>
      <c r="E465" s="184" t="s">
        <v>108</v>
      </c>
      <c r="F465" s="184" t="s">
        <v>2354</v>
      </c>
      <c r="G465" s="184">
        <v>14175</v>
      </c>
      <c r="H465" s="184"/>
      <c r="I465" s="184"/>
      <c r="J465" s="184"/>
      <c r="K465" s="184"/>
      <c r="L465" s="184"/>
      <c r="M465" s="184"/>
      <c r="N465" s="184">
        <f t="shared" si="7"/>
        <v>14175</v>
      </c>
      <c r="O465" s="184"/>
      <c r="P465" s="184"/>
      <c r="Q465" s="184"/>
      <c r="T465" s="184" t="s">
        <v>635</v>
      </c>
    </row>
    <row r="466" spans="1:20" s="8" customFormat="1">
      <c r="A466" s="184" t="s">
        <v>1469</v>
      </c>
      <c r="B466" s="184">
        <v>589</v>
      </c>
      <c r="C466" s="184" t="s">
        <v>2346</v>
      </c>
      <c r="D466" s="184">
        <v>7</v>
      </c>
      <c r="E466" s="184" t="s">
        <v>109</v>
      </c>
      <c r="F466" s="184" t="s">
        <v>2355</v>
      </c>
      <c r="G466" s="184">
        <v>14175</v>
      </c>
      <c r="H466" s="184"/>
      <c r="I466" s="184"/>
      <c r="J466" s="184"/>
      <c r="K466" s="184"/>
      <c r="L466" s="184"/>
      <c r="M466" s="184"/>
      <c r="N466" s="184">
        <f t="shared" si="7"/>
        <v>14175</v>
      </c>
      <c r="O466" s="184"/>
      <c r="P466" s="184"/>
      <c r="Q466" s="184"/>
      <c r="T466" s="184" t="s">
        <v>635</v>
      </c>
    </row>
    <row r="467" spans="1:20" s="8" customFormat="1">
      <c r="A467" s="184" t="s">
        <v>1469</v>
      </c>
      <c r="B467" s="184">
        <v>590</v>
      </c>
      <c r="C467" s="184" t="s">
        <v>2346</v>
      </c>
      <c r="D467" s="184">
        <v>8</v>
      </c>
      <c r="E467" s="184" t="s">
        <v>110</v>
      </c>
      <c r="F467" s="184" t="s">
        <v>2356</v>
      </c>
      <c r="G467" s="184">
        <v>14175</v>
      </c>
      <c r="H467" s="184"/>
      <c r="I467" s="184"/>
      <c r="J467" s="184"/>
      <c r="K467" s="184"/>
      <c r="L467" s="184"/>
      <c r="M467" s="184"/>
      <c r="N467" s="184">
        <f t="shared" si="7"/>
        <v>14175</v>
      </c>
      <c r="O467" s="184"/>
      <c r="P467" s="184"/>
      <c r="Q467" s="184"/>
      <c r="T467" s="184" t="s">
        <v>635</v>
      </c>
    </row>
    <row r="468" spans="1:20">
      <c r="A468" s="165" t="s">
        <v>2357</v>
      </c>
      <c r="B468" s="165">
        <v>591</v>
      </c>
      <c r="C468" s="165" t="s">
        <v>1761</v>
      </c>
      <c r="D468" s="165">
        <v>1</v>
      </c>
      <c r="E468" s="165" t="s">
        <v>2358</v>
      </c>
      <c r="F468" s="165" t="s">
        <v>1873</v>
      </c>
      <c r="G468" s="165">
        <v>8977</v>
      </c>
      <c r="H468" s="165"/>
      <c r="I468" s="165"/>
      <c r="J468" s="165"/>
      <c r="K468" s="165">
        <v>8977</v>
      </c>
      <c r="L468" s="165"/>
      <c r="M468" s="165"/>
      <c r="N468" s="165">
        <f t="shared" si="7"/>
        <v>0</v>
      </c>
      <c r="O468" s="165" t="s">
        <v>458</v>
      </c>
      <c r="P468" s="165" t="s">
        <v>2035</v>
      </c>
      <c r="Q468" s="3">
        <v>8977</v>
      </c>
      <c r="R468">
        <v>8977</v>
      </c>
    </row>
    <row r="469" spans="1:20">
      <c r="A469" s="165" t="s">
        <v>2357</v>
      </c>
      <c r="B469" s="165">
        <v>592</v>
      </c>
      <c r="C469" s="165" t="s">
        <v>1761</v>
      </c>
      <c r="D469" s="165">
        <v>2</v>
      </c>
      <c r="E469" s="165" t="s">
        <v>78</v>
      </c>
      <c r="F469" s="165" t="s">
        <v>2049</v>
      </c>
      <c r="G469" s="165">
        <v>8978</v>
      </c>
      <c r="H469" s="165"/>
      <c r="I469" s="165"/>
      <c r="J469" s="165"/>
      <c r="K469" s="165">
        <v>8978</v>
      </c>
      <c r="L469" s="165"/>
      <c r="M469" s="165"/>
      <c r="N469" s="165">
        <f t="shared" si="7"/>
        <v>0</v>
      </c>
      <c r="O469" s="165" t="s">
        <v>505</v>
      </c>
      <c r="P469" s="165" t="s">
        <v>505</v>
      </c>
      <c r="Q469" s="3">
        <v>8977</v>
      </c>
      <c r="R469">
        <v>8978</v>
      </c>
    </row>
    <row r="470" spans="1:20">
      <c r="A470" s="165" t="s">
        <v>2357</v>
      </c>
      <c r="B470" s="165">
        <v>593</v>
      </c>
      <c r="C470" s="165" t="s">
        <v>1761</v>
      </c>
      <c r="D470" s="165">
        <v>3</v>
      </c>
      <c r="E470" s="165" t="s">
        <v>79</v>
      </c>
      <c r="F470" s="165" t="s">
        <v>2051</v>
      </c>
      <c r="G470" s="165">
        <v>8977</v>
      </c>
      <c r="H470" s="165"/>
      <c r="I470" s="165"/>
      <c r="J470" s="165"/>
      <c r="K470" s="165">
        <v>8977</v>
      </c>
      <c r="L470" s="165"/>
      <c r="M470" s="165"/>
      <c r="N470" s="165">
        <f t="shared" si="7"/>
        <v>0</v>
      </c>
      <c r="O470" s="165" t="s">
        <v>506</v>
      </c>
      <c r="P470" s="165" t="s">
        <v>507</v>
      </c>
      <c r="Q470" s="3">
        <v>8977</v>
      </c>
      <c r="R470">
        <v>8977</v>
      </c>
    </row>
    <row r="471" spans="1:20">
      <c r="A471" s="165" t="s">
        <v>2357</v>
      </c>
      <c r="B471" s="165">
        <v>594</v>
      </c>
      <c r="C471" s="165" t="s">
        <v>1761</v>
      </c>
      <c r="D471" s="165">
        <v>4</v>
      </c>
      <c r="E471" s="165" t="s">
        <v>80</v>
      </c>
      <c r="F471" s="165" t="s">
        <v>2190</v>
      </c>
      <c r="G471" s="165">
        <v>8978</v>
      </c>
      <c r="H471" s="165"/>
      <c r="I471" s="165"/>
      <c r="J471" s="165"/>
      <c r="K471" s="165">
        <v>8978</v>
      </c>
      <c r="L471" s="165"/>
      <c r="M471" s="165"/>
      <c r="N471" s="165">
        <f t="shared" si="7"/>
        <v>0</v>
      </c>
      <c r="O471" s="165" t="s">
        <v>627</v>
      </c>
      <c r="P471" s="165" t="s">
        <v>827</v>
      </c>
      <c r="Q471" s="3">
        <v>8978</v>
      </c>
      <c r="R471">
        <v>8978</v>
      </c>
    </row>
    <row r="472" spans="1:20">
      <c r="A472" s="165" t="s">
        <v>2357</v>
      </c>
      <c r="B472" s="165">
        <v>595</v>
      </c>
      <c r="C472" s="165" t="s">
        <v>1761</v>
      </c>
      <c r="D472" s="165">
        <v>5</v>
      </c>
      <c r="E472" s="165" t="s">
        <v>81</v>
      </c>
      <c r="F472" s="165" t="s">
        <v>2192</v>
      </c>
      <c r="G472" s="165">
        <v>8977</v>
      </c>
      <c r="H472" s="165"/>
      <c r="I472" s="165"/>
      <c r="J472" s="165"/>
      <c r="K472" s="165">
        <v>8977</v>
      </c>
      <c r="L472" s="165"/>
      <c r="M472" s="165"/>
      <c r="N472" s="165">
        <f t="shared" si="7"/>
        <v>0</v>
      </c>
      <c r="O472" s="165" t="s">
        <v>613</v>
      </c>
      <c r="P472" s="165" t="s">
        <v>614</v>
      </c>
      <c r="Q472" s="3">
        <v>8977</v>
      </c>
      <c r="R472">
        <v>8977</v>
      </c>
    </row>
    <row r="473" spans="1:20">
      <c r="A473" s="165" t="s">
        <v>2357</v>
      </c>
      <c r="B473" s="165">
        <v>596</v>
      </c>
      <c r="C473" s="165" t="s">
        <v>1761</v>
      </c>
      <c r="D473" s="165">
        <v>6</v>
      </c>
      <c r="E473" s="165" t="s">
        <v>82</v>
      </c>
      <c r="F473" s="165" t="s">
        <v>2194</v>
      </c>
      <c r="G473" s="165">
        <v>8978</v>
      </c>
      <c r="H473" s="165"/>
      <c r="I473" s="165"/>
      <c r="J473" s="165">
        <v>8978</v>
      </c>
      <c r="K473" s="165"/>
      <c r="L473" s="165"/>
      <c r="M473" s="165"/>
      <c r="N473" s="165">
        <f t="shared" si="7"/>
        <v>0</v>
      </c>
      <c r="O473" s="165" t="s">
        <v>621</v>
      </c>
      <c r="P473" s="165" t="s">
        <v>622</v>
      </c>
      <c r="Q473" s="3">
        <v>8978</v>
      </c>
      <c r="R473">
        <v>8978</v>
      </c>
    </row>
    <row r="474" spans="1:20">
      <c r="A474" s="165" t="s">
        <v>2357</v>
      </c>
      <c r="B474" s="165">
        <v>597</v>
      </c>
      <c r="C474" s="165" t="s">
        <v>1761</v>
      </c>
      <c r="D474" s="165">
        <v>7</v>
      </c>
      <c r="E474" s="165" t="s">
        <v>83</v>
      </c>
      <c r="F474" s="165" t="s">
        <v>2325</v>
      </c>
      <c r="G474" s="165">
        <v>8977</v>
      </c>
      <c r="H474" s="165"/>
      <c r="I474" s="165"/>
      <c r="J474" s="165">
        <v>8977</v>
      </c>
      <c r="K474" s="165"/>
      <c r="L474" s="165"/>
      <c r="M474" s="165"/>
      <c r="N474" s="165">
        <f t="shared" si="7"/>
        <v>0</v>
      </c>
      <c r="O474" s="165" t="s">
        <v>3161</v>
      </c>
      <c r="P474" s="165" t="s">
        <v>3162</v>
      </c>
      <c r="Q474" s="3">
        <v>8977</v>
      </c>
      <c r="R474">
        <v>8977</v>
      </c>
    </row>
    <row r="475" spans="1:20">
      <c r="A475" s="165" t="s">
        <v>2357</v>
      </c>
      <c r="B475" s="165">
        <v>598</v>
      </c>
      <c r="C475" s="165" t="s">
        <v>1761</v>
      </c>
      <c r="D475" s="165">
        <v>8</v>
      </c>
      <c r="E475" s="165" t="s">
        <v>84</v>
      </c>
      <c r="F475" s="165" t="s">
        <v>683</v>
      </c>
      <c r="G475" s="165">
        <v>8978</v>
      </c>
      <c r="H475" s="165"/>
      <c r="I475" s="165"/>
      <c r="J475" s="165">
        <v>8978</v>
      </c>
      <c r="K475" s="165"/>
      <c r="L475" s="165"/>
      <c r="M475" s="165"/>
      <c r="N475" s="165">
        <f t="shared" si="7"/>
        <v>0</v>
      </c>
      <c r="O475" s="165" t="s">
        <v>3164</v>
      </c>
      <c r="P475" s="165" t="s">
        <v>808</v>
      </c>
      <c r="Q475" s="3">
        <v>8978</v>
      </c>
      <c r="R475">
        <v>8978</v>
      </c>
    </row>
    <row r="476" spans="1:20">
      <c r="A476" s="165" t="s">
        <v>2359</v>
      </c>
      <c r="B476" s="165">
        <v>599</v>
      </c>
      <c r="C476" s="165" t="s">
        <v>2691</v>
      </c>
      <c r="D476" s="165">
        <v>1</v>
      </c>
      <c r="E476" s="165" t="s">
        <v>2360</v>
      </c>
      <c r="F476" s="165" t="s">
        <v>2361</v>
      </c>
      <c r="G476" s="165">
        <v>14175</v>
      </c>
      <c r="H476" s="165"/>
      <c r="I476" s="165"/>
      <c r="J476" s="165"/>
      <c r="K476" s="165">
        <v>14175</v>
      </c>
      <c r="L476" s="165"/>
      <c r="M476" s="165"/>
      <c r="N476" s="165">
        <f t="shared" ref="N476:N509" si="8">G476-J476-K476</f>
        <v>0</v>
      </c>
      <c r="O476" s="165" t="s">
        <v>458</v>
      </c>
      <c r="P476" s="165" t="s">
        <v>2035</v>
      </c>
      <c r="Q476" s="3">
        <v>14175</v>
      </c>
      <c r="R476">
        <v>14175</v>
      </c>
    </row>
    <row r="477" spans="1:20">
      <c r="A477" s="165" t="s">
        <v>2359</v>
      </c>
      <c r="B477" s="165">
        <v>600</v>
      </c>
      <c r="C477" s="165" t="s">
        <v>2691</v>
      </c>
      <c r="D477" s="165">
        <v>2</v>
      </c>
      <c r="E477" s="165" t="s">
        <v>91</v>
      </c>
      <c r="F477" s="165" t="s">
        <v>469</v>
      </c>
      <c r="G477" s="165">
        <v>14175</v>
      </c>
      <c r="H477" s="165"/>
      <c r="I477" s="165"/>
      <c r="J477" s="165"/>
      <c r="K477" s="165">
        <v>14175</v>
      </c>
      <c r="L477" s="165"/>
      <c r="M477" s="165"/>
      <c r="N477" s="165">
        <f t="shared" si="8"/>
        <v>0</v>
      </c>
      <c r="O477" s="165" t="s">
        <v>469</v>
      </c>
      <c r="P477" s="165" t="s">
        <v>470</v>
      </c>
      <c r="Q477" s="3">
        <v>14175</v>
      </c>
      <c r="R477">
        <v>14175</v>
      </c>
    </row>
    <row r="478" spans="1:20">
      <c r="A478" s="165" t="s">
        <v>2359</v>
      </c>
      <c r="B478" s="165">
        <v>601</v>
      </c>
      <c r="C478" s="165" t="s">
        <v>2691</v>
      </c>
      <c r="D478" s="165">
        <v>3</v>
      </c>
      <c r="E478" s="165" t="s">
        <v>92</v>
      </c>
      <c r="F478" s="165" t="s">
        <v>2362</v>
      </c>
      <c r="G478" s="165">
        <v>14175</v>
      </c>
      <c r="H478" s="165"/>
      <c r="I478" s="165"/>
      <c r="J478" s="165"/>
      <c r="K478" s="165">
        <v>14175</v>
      </c>
      <c r="L478" s="165"/>
      <c r="M478" s="165"/>
      <c r="N478" s="165">
        <f t="shared" si="8"/>
        <v>0</v>
      </c>
      <c r="O478" s="165" t="s">
        <v>631</v>
      </c>
      <c r="P478" s="165" t="s">
        <v>632</v>
      </c>
      <c r="Q478" s="3">
        <v>14175</v>
      </c>
      <c r="R478">
        <v>14175</v>
      </c>
    </row>
    <row r="479" spans="1:20">
      <c r="A479" s="165" t="s">
        <v>2359</v>
      </c>
      <c r="B479" s="165">
        <v>602</v>
      </c>
      <c r="C479" s="165" t="s">
        <v>2691</v>
      </c>
      <c r="D479" s="165">
        <v>4</v>
      </c>
      <c r="E479" s="165" t="s">
        <v>93</v>
      </c>
      <c r="F479" s="165" t="s">
        <v>2363</v>
      </c>
      <c r="G479" s="165">
        <v>14175</v>
      </c>
      <c r="H479" s="165"/>
      <c r="I479" s="165"/>
      <c r="J479" s="165"/>
      <c r="K479" s="165">
        <v>14175</v>
      </c>
      <c r="L479" s="165"/>
      <c r="M479" s="165"/>
      <c r="N479" s="165">
        <f t="shared" si="8"/>
        <v>0</v>
      </c>
      <c r="O479" s="165" t="s">
        <v>633</v>
      </c>
      <c r="P479" s="165" t="s">
        <v>634</v>
      </c>
      <c r="Q479" s="3">
        <v>14175</v>
      </c>
      <c r="R479">
        <v>14175</v>
      </c>
    </row>
    <row r="480" spans="1:20">
      <c r="A480" s="165" t="s">
        <v>2359</v>
      </c>
      <c r="B480" s="165">
        <v>603</v>
      </c>
      <c r="C480" s="165" t="s">
        <v>2691</v>
      </c>
      <c r="D480" s="165">
        <v>5</v>
      </c>
      <c r="E480" s="165" t="s">
        <v>94</v>
      </c>
      <c r="F480" s="165" t="s">
        <v>2364</v>
      </c>
      <c r="G480" s="165">
        <v>14175</v>
      </c>
      <c r="H480" s="165"/>
      <c r="I480" s="165"/>
      <c r="J480" s="165"/>
      <c r="K480" s="165">
        <v>14175</v>
      </c>
      <c r="L480" s="165"/>
      <c r="M480" s="165"/>
      <c r="N480" s="165">
        <f t="shared" si="8"/>
        <v>0</v>
      </c>
      <c r="O480" s="165" t="s">
        <v>628</v>
      </c>
      <c r="P480" s="165" t="s">
        <v>629</v>
      </c>
      <c r="Q480" s="3">
        <v>14175</v>
      </c>
      <c r="R480">
        <v>14175</v>
      </c>
    </row>
    <row r="481" spans="1:20">
      <c r="A481" s="165" t="s">
        <v>2359</v>
      </c>
      <c r="B481" s="165">
        <v>604</v>
      </c>
      <c r="C481" s="165" t="s">
        <v>2691</v>
      </c>
      <c r="D481" s="165">
        <v>6</v>
      </c>
      <c r="E481" s="165" t="s">
        <v>95</v>
      </c>
      <c r="F481" s="165" t="s">
        <v>2365</v>
      </c>
      <c r="G481" s="165">
        <v>14175</v>
      </c>
      <c r="H481" s="165"/>
      <c r="I481" s="165"/>
      <c r="J481" s="165">
        <v>14175</v>
      </c>
      <c r="K481" s="165"/>
      <c r="L481" s="165"/>
      <c r="M481" s="165"/>
      <c r="N481" s="165">
        <f t="shared" si="8"/>
        <v>0</v>
      </c>
      <c r="O481" s="165" t="s">
        <v>625</v>
      </c>
      <c r="P481" s="165" t="s">
        <v>626</v>
      </c>
      <c r="Q481" s="3">
        <v>14175</v>
      </c>
      <c r="R481">
        <v>14175</v>
      </c>
    </row>
    <row r="482" spans="1:20">
      <c r="A482" s="165" t="s">
        <v>2359</v>
      </c>
      <c r="B482" s="165">
        <v>605</v>
      </c>
      <c r="C482" s="165" t="s">
        <v>2691</v>
      </c>
      <c r="D482" s="165">
        <v>7</v>
      </c>
      <c r="E482" s="165" t="s">
        <v>96</v>
      </c>
      <c r="F482" s="165" t="s">
        <v>2366</v>
      </c>
      <c r="G482" s="165">
        <v>14175</v>
      </c>
      <c r="H482" s="165"/>
      <c r="I482" s="165"/>
      <c r="J482" s="165">
        <v>14175</v>
      </c>
      <c r="K482" s="165"/>
      <c r="L482" s="165"/>
      <c r="M482" s="165"/>
      <c r="N482" s="165">
        <f t="shared" si="8"/>
        <v>0</v>
      </c>
      <c r="O482" s="165" t="s">
        <v>683</v>
      </c>
      <c r="P482" s="165" t="s">
        <v>3163</v>
      </c>
      <c r="Q482" s="3">
        <v>14175</v>
      </c>
      <c r="R482">
        <v>14175</v>
      </c>
    </row>
    <row r="483" spans="1:20">
      <c r="A483" s="165" t="s">
        <v>2359</v>
      </c>
      <c r="B483" s="165">
        <v>606</v>
      </c>
      <c r="C483" s="165" t="s">
        <v>2691</v>
      </c>
      <c r="D483" s="165">
        <v>8</v>
      </c>
      <c r="E483" s="165" t="s">
        <v>97</v>
      </c>
      <c r="F483" s="165" t="s">
        <v>2367</v>
      </c>
      <c r="G483" s="165">
        <v>14175</v>
      </c>
      <c r="H483" s="165"/>
      <c r="I483" s="165"/>
      <c r="J483" s="165">
        <v>14175</v>
      </c>
      <c r="K483" s="165"/>
      <c r="L483" s="165"/>
      <c r="M483" s="165"/>
      <c r="N483" s="165">
        <f t="shared" si="8"/>
        <v>0</v>
      </c>
      <c r="O483" s="165" t="s">
        <v>3167</v>
      </c>
      <c r="P483" s="165" t="s">
        <v>3168</v>
      </c>
      <c r="Q483" s="3">
        <v>14175</v>
      </c>
      <c r="R483">
        <v>14175</v>
      </c>
    </row>
    <row r="484" spans="1:20">
      <c r="A484" s="209" t="s">
        <v>1464</v>
      </c>
      <c r="B484" s="209"/>
      <c r="C484" s="205" t="s">
        <v>3825</v>
      </c>
      <c r="D484" s="226">
        <v>8</v>
      </c>
      <c r="E484" s="183" t="s">
        <v>1283</v>
      </c>
      <c r="F484" s="209" t="s">
        <v>1464</v>
      </c>
      <c r="G484" s="165"/>
      <c r="H484" s="165"/>
      <c r="I484" s="165"/>
      <c r="J484" s="209"/>
      <c r="K484" s="209"/>
      <c r="L484" s="209"/>
      <c r="M484" s="209"/>
      <c r="N484" s="209">
        <f t="shared" si="8"/>
        <v>0</v>
      </c>
      <c r="O484" s="209" t="s">
        <v>1464</v>
      </c>
      <c r="P484" s="209" t="s">
        <v>1464</v>
      </c>
      <c r="Q484" s="178">
        <v>14175</v>
      </c>
      <c r="R484" s="178">
        <v>14145</v>
      </c>
      <c r="S484" s="178"/>
      <c r="T484" s="3">
        <v>30</v>
      </c>
    </row>
    <row r="485" spans="1:20">
      <c r="A485" s="165" t="s">
        <v>1465</v>
      </c>
      <c r="B485" s="165">
        <v>607</v>
      </c>
      <c r="C485" s="165" t="s">
        <v>2688</v>
      </c>
      <c r="D485" s="165">
        <v>1</v>
      </c>
      <c r="E485" s="165" t="s">
        <v>2368</v>
      </c>
      <c r="F485" s="165" t="s">
        <v>2017</v>
      </c>
      <c r="G485" s="165">
        <v>11340</v>
      </c>
      <c r="H485" s="165"/>
      <c r="I485" s="165"/>
      <c r="J485" s="165"/>
      <c r="K485" s="165">
        <v>11340</v>
      </c>
      <c r="L485" s="165"/>
      <c r="M485" s="165"/>
      <c r="N485" s="165">
        <f t="shared" si="8"/>
        <v>0</v>
      </c>
      <c r="O485" s="165" t="s">
        <v>500</v>
      </c>
      <c r="P485" s="165" t="s">
        <v>500</v>
      </c>
      <c r="Q485" s="3">
        <v>11340</v>
      </c>
      <c r="R485">
        <v>11340</v>
      </c>
    </row>
    <row r="486" spans="1:20">
      <c r="A486" s="165" t="s">
        <v>1465</v>
      </c>
      <c r="B486" s="165">
        <v>608</v>
      </c>
      <c r="C486" s="165" t="s">
        <v>2688</v>
      </c>
      <c r="D486" s="165">
        <v>2</v>
      </c>
      <c r="E486" s="165" t="s">
        <v>111</v>
      </c>
      <c r="F486" s="165" t="s">
        <v>2778</v>
      </c>
      <c r="G486" s="165">
        <v>11340</v>
      </c>
      <c r="H486" s="165"/>
      <c r="I486" s="165"/>
      <c r="J486" s="165"/>
      <c r="K486" s="165">
        <v>11340</v>
      </c>
      <c r="L486" s="165"/>
      <c r="M486" s="165"/>
      <c r="N486" s="165">
        <f t="shared" si="8"/>
        <v>0</v>
      </c>
      <c r="O486" s="165" t="s">
        <v>1006</v>
      </c>
      <c r="P486" s="165" t="s">
        <v>2051</v>
      </c>
      <c r="Q486" s="3">
        <v>11340</v>
      </c>
      <c r="R486">
        <v>11340</v>
      </c>
    </row>
    <row r="487" spans="1:20">
      <c r="A487" s="165" t="s">
        <v>1465</v>
      </c>
      <c r="B487" s="165">
        <v>609</v>
      </c>
      <c r="C487" s="165" t="s">
        <v>2688</v>
      </c>
      <c r="D487" s="165">
        <v>3</v>
      </c>
      <c r="E487" s="165" t="s">
        <v>112</v>
      </c>
      <c r="F487" s="165" t="s">
        <v>1007</v>
      </c>
      <c r="G487" s="165">
        <v>11340</v>
      </c>
      <c r="H487" s="165"/>
      <c r="I487" s="165"/>
      <c r="J487" s="165"/>
      <c r="K487" s="165">
        <v>11340</v>
      </c>
      <c r="L487" s="165"/>
      <c r="M487" s="165"/>
      <c r="N487" s="165">
        <f t="shared" si="8"/>
        <v>0</v>
      </c>
      <c r="O487" s="165" t="s">
        <v>627</v>
      </c>
      <c r="P487" s="165" t="s">
        <v>827</v>
      </c>
      <c r="Q487" s="3">
        <v>11340</v>
      </c>
      <c r="R487">
        <v>11340</v>
      </c>
    </row>
    <row r="488" spans="1:20">
      <c r="A488" s="165" t="s">
        <v>1465</v>
      </c>
      <c r="B488" s="165">
        <v>610</v>
      </c>
      <c r="C488" s="165" t="s">
        <v>2688</v>
      </c>
      <c r="D488" s="165">
        <v>4</v>
      </c>
      <c r="E488" s="165" t="s">
        <v>113</v>
      </c>
      <c r="F488" s="165" t="s">
        <v>1008</v>
      </c>
      <c r="G488" s="165">
        <v>11340</v>
      </c>
      <c r="H488" s="165"/>
      <c r="I488" s="165"/>
      <c r="J488" s="165"/>
      <c r="K488" s="165">
        <v>11340</v>
      </c>
      <c r="L488" s="165"/>
      <c r="M488" s="165"/>
      <c r="N488" s="165">
        <f t="shared" si="8"/>
        <v>0</v>
      </c>
      <c r="O488" s="165" t="s">
        <v>613</v>
      </c>
      <c r="P488" s="165" t="s">
        <v>614</v>
      </c>
      <c r="Q488" s="3">
        <v>11340</v>
      </c>
      <c r="R488">
        <v>11340</v>
      </c>
    </row>
    <row r="489" spans="1:20">
      <c r="A489" s="165" t="s">
        <v>1465</v>
      </c>
      <c r="B489" s="165">
        <v>611</v>
      </c>
      <c r="C489" s="165" t="s">
        <v>2688</v>
      </c>
      <c r="D489" s="165">
        <v>5</v>
      </c>
      <c r="E489" s="165" t="s">
        <v>114</v>
      </c>
      <c r="F489" s="165" t="s">
        <v>1009</v>
      </c>
      <c r="G489" s="165">
        <v>11340</v>
      </c>
      <c r="H489" s="165"/>
      <c r="I489" s="165"/>
      <c r="J489" s="165"/>
      <c r="K489" s="165">
        <v>11340</v>
      </c>
      <c r="L489" s="165"/>
      <c r="M489" s="165"/>
      <c r="N489" s="165">
        <f t="shared" si="8"/>
        <v>0</v>
      </c>
      <c r="O489" s="165" t="s">
        <v>621</v>
      </c>
      <c r="P489" s="165" t="s">
        <v>622</v>
      </c>
      <c r="Q489" s="3">
        <v>11340</v>
      </c>
      <c r="R489">
        <v>11340</v>
      </c>
    </row>
    <row r="490" spans="1:20">
      <c r="A490" s="165" t="s">
        <v>1465</v>
      </c>
      <c r="B490" s="165">
        <v>612</v>
      </c>
      <c r="C490" s="165" t="s">
        <v>2688</v>
      </c>
      <c r="D490" s="165">
        <v>6</v>
      </c>
      <c r="E490" s="165" t="s">
        <v>115</v>
      </c>
      <c r="F490" s="165" t="s">
        <v>1010</v>
      </c>
      <c r="G490" s="165">
        <v>11340</v>
      </c>
      <c r="H490" s="165"/>
      <c r="I490" s="165"/>
      <c r="J490" s="165">
        <v>11340</v>
      </c>
      <c r="K490" s="165"/>
      <c r="L490" s="165"/>
      <c r="M490" s="165"/>
      <c r="N490" s="165">
        <f t="shared" si="8"/>
        <v>0</v>
      </c>
      <c r="O490" s="165" t="s">
        <v>3159</v>
      </c>
      <c r="P490" s="165" t="s">
        <v>3160</v>
      </c>
      <c r="Q490" s="3">
        <v>11340</v>
      </c>
      <c r="R490">
        <v>11340</v>
      </c>
    </row>
    <row r="491" spans="1:20">
      <c r="A491" s="165" t="s">
        <v>1465</v>
      </c>
      <c r="B491" s="165">
        <v>613</v>
      </c>
      <c r="C491" s="165" t="s">
        <v>2688</v>
      </c>
      <c r="D491" s="165">
        <v>7</v>
      </c>
      <c r="E491" s="165" t="s">
        <v>116</v>
      </c>
      <c r="F491" s="165" t="s">
        <v>1011</v>
      </c>
      <c r="G491" s="165">
        <v>11340</v>
      </c>
      <c r="H491" s="165"/>
      <c r="I491" s="165"/>
      <c r="J491" s="165">
        <v>11340</v>
      </c>
      <c r="K491" s="165"/>
      <c r="L491" s="165"/>
      <c r="M491" s="165"/>
      <c r="N491" s="165">
        <f t="shared" si="8"/>
        <v>0</v>
      </c>
      <c r="O491" s="165" t="s">
        <v>3164</v>
      </c>
      <c r="P491" s="165" t="s">
        <v>808</v>
      </c>
      <c r="Q491" s="3">
        <v>11340</v>
      </c>
      <c r="R491">
        <v>11340</v>
      </c>
    </row>
    <row r="492" spans="1:20">
      <c r="A492" s="165" t="s">
        <v>1465</v>
      </c>
      <c r="B492" s="165">
        <v>614</v>
      </c>
      <c r="C492" s="165" t="s">
        <v>2688</v>
      </c>
      <c r="D492" s="165">
        <v>8</v>
      </c>
      <c r="E492" s="165" t="s">
        <v>117</v>
      </c>
      <c r="F492" s="165" t="s">
        <v>1012</v>
      </c>
      <c r="G492" s="165">
        <v>11340</v>
      </c>
      <c r="H492" s="165"/>
      <c r="I492" s="165"/>
      <c r="J492" s="165">
        <v>11340</v>
      </c>
      <c r="K492" s="165"/>
      <c r="L492" s="165"/>
      <c r="M492" s="165"/>
      <c r="N492" s="165">
        <f t="shared" si="8"/>
        <v>0</v>
      </c>
      <c r="O492" s="165" t="s">
        <v>3165</v>
      </c>
      <c r="P492" s="165" t="s">
        <v>3166</v>
      </c>
      <c r="Q492" s="3">
        <v>11340</v>
      </c>
      <c r="R492">
        <v>11340</v>
      </c>
    </row>
    <row r="493" spans="1:20">
      <c r="A493" s="165" t="s">
        <v>1466</v>
      </c>
      <c r="B493" s="165">
        <v>615</v>
      </c>
      <c r="C493" s="165" t="s">
        <v>1013</v>
      </c>
      <c r="D493" s="165">
        <v>1</v>
      </c>
      <c r="E493" s="165" t="s">
        <v>1014</v>
      </c>
      <c r="F493" s="165" t="s">
        <v>1474</v>
      </c>
      <c r="G493" s="165">
        <v>20475</v>
      </c>
      <c r="H493" s="165"/>
      <c r="I493" s="165"/>
      <c r="J493" s="165"/>
      <c r="K493" s="165">
        <v>20475</v>
      </c>
      <c r="L493" s="165"/>
      <c r="M493" s="165"/>
      <c r="N493" s="165">
        <f t="shared" si="8"/>
        <v>0</v>
      </c>
      <c r="O493" s="165" t="s">
        <v>500</v>
      </c>
      <c r="P493" s="165" t="s">
        <v>500</v>
      </c>
      <c r="Q493" s="3">
        <v>20475</v>
      </c>
      <c r="R493">
        <v>20475</v>
      </c>
    </row>
    <row r="494" spans="1:20">
      <c r="A494" s="165" t="s">
        <v>1466</v>
      </c>
      <c r="B494" s="165">
        <v>616</v>
      </c>
      <c r="C494" s="165" t="s">
        <v>1013</v>
      </c>
      <c r="D494" s="165">
        <v>2</v>
      </c>
      <c r="E494" s="165" t="s">
        <v>118</v>
      </c>
      <c r="F494" s="165" t="s">
        <v>469</v>
      </c>
      <c r="G494" s="165">
        <v>20475</v>
      </c>
      <c r="H494" s="165"/>
      <c r="I494" s="165"/>
      <c r="J494" s="165"/>
      <c r="K494" s="165">
        <v>20475</v>
      </c>
      <c r="L494" s="165"/>
      <c r="M494" s="165"/>
      <c r="N494" s="165">
        <f t="shared" si="8"/>
        <v>0</v>
      </c>
      <c r="O494" s="165" t="s">
        <v>469</v>
      </c>
      <c r="P494" s="165" t="s">
        <v>470</v>
      </c>
      <c r="Q494" s="3">
        <v>20475</v>
      </c>
      <c r="R494">
        <v>20475</v>
      </c>
      <c r="T494" s="271" t="s">
        <v>2740</v>
      </c>
    </row>
    <row r="495" spans="1:20">
      <c r="A495" s="165" t="s">
        <v>1466</v>
      </c>
      <c r="B495" s="165">
        <v>617</v>
      </c>
      <c r="C495" s="165" t="s">
        <v>1013</v>
      </c>
      <c r="D495" s="165">
        <v>3</v>
      </c>
      <c r="E495" s="165" t="s">
        <v>119</v>
      </c>
      <c r="F495" s="165" t="s">
        <v>2362</v>
      </c>
      <c r="G495" s="165">
        <v>20475</v>
      </c>
      <c r="H495" s="165"/>
      <c r="I495" s="165"/>
      <c r="J495" s="165"/>
      <c r="K495" s="165">
        <v>20475</v>
      </c>
      <c r="L495" s="165"/>
      <c r="M495" s="165"/>
      <c r="N495" s="165">
        <f t="shared" si="8"/>
        <v>0</v>
      </c>
      <c r="O495" s="165" t="s">
        <v>631</v>
      </c>
      <c r="P495" s="165" t="s">
        <v>632</v>
      </c>
      <c r="Q495" s="3">
        <v>20475</v>
      </c>
      <c r="R495">
        <v>20475</v>
      </c>
      <c r="T495" s="271" t="s">
        <v>2740</v>
      </c>
    </row>
    <row r="496" spans="1:20">
      <c r="A496" s="165" t="s">
        <v>1466</v>
      </c>
      <c r="B496" s="165">
        <v>618</v>
      </c>
      <c r="C496" s="165" t="s">
        <v>1013</v>
      </c>
      <c r="D496" s="165">
        <v>4</v>
      </c>
      <c r="E496" s="165" t="s">
        <v>120</v>
      </c>
      <c r="F496" s="165" t="s">
        <v>2363</v>
      </c>
      <c r="G496" s="165">
        <v>20475</v>
      </c>
      <c r="H496" s="165"/>
      <c r="I496" s="165"/>
      <c r="J496" s="165"/>
      <c r="K496" s="165">
        <v>20475</v>
      </c>
      <c r="L496" s="165"/>
      <c r="M496" s="165"/>
      <c r="N496" s="165">
        <f t="shared" si="8"/>
        <v>0</v>
      </c>
      <c r="O496" s="165" t="s">
        <v>633</v>
      </c>
      <c r="P496" s="165" t="s">
        <v>634</v>
      </c>
      <c r="Q496" s="3">
        <v>20475</v>
      </c>
      <c r="R496">
        <v>20475</v>
      </c>
      <c r="T496" s="271" t="s">
        <v>2740</v>
      </c>
    </row>
    <row r="497" spans="1:20">
      <c r="A497" s="165" t="s">
        <v>1466</v>
      </c>
      <c r="B497" s="165">
        <v>619</v>
      </c>
      <c r="C497" s="165" t="s">
        <v>1013</v>
      </c>
      <c r="D497" s="165">
        <v>5</v>
      </c>
      <c r="E497" s="165" t="s">
        <v>121</v>
      </c>
      <c r="F497" s="165" t="s">
        <v>2364</v>
      </c>
      <c r="G497" s="165">
        <v>20475</v>
      </c>
      <c r="H497" s="165"/>
      <c r="I497" s="165"/>
      <c r="J497" s="165"/>
      <c r="K497" s="165">
        <v>20475</v>
      </c>
      <c r="L497" s="165"/>
      <c r="M497" s="165"/>
      <c r="N497" s="165">
        <f t="shared" si="8"/>
        <v>0</v>
      </c>
      <c r="O497" s="165" t="s">
        <v>628</v>
      </c>
      <c r="P497" s="165" t="s">
        <v>629</v>
      </c>
      <c r="Q497" s="3">
        <v>20475</v>
      </c>
      <c r="R497">
        <v>20475</v>
      </c>
      <c r="T497" s="271" t="s">
        <v>2740</v>
      </c>
    </row>
    <row r="498" spans="1:20">
      <c r="A498" s="165" t="s">
        <v>1466</v>
      </c>
      <c r="B498" s="165">
        <v>620</v>
      </c>
      <c r="C498" s="165" t="s">
        <v>1013</v>
      </c>
      <c r="D498" s="165">
        <v>6</v>
      </c>
      <c r="E498" s="165" t="s">
        <v>122</v>
      </c>
      <c r="F498" s="165" t="s">
        <v>2365</v>
      </c>
      <c r="G498" s="165">
        <v>20475</v>
      </c>
      <c r="H498" s="165"/>
      <c r="I498" s="165"/>
      <c r="J498" s="165">
        <v>20475</v>
      </c>
      <c r="K498" s="165"/>
      <c r="L498" s="165"/>
      <c r="M498" s="165"/>
      <c r="N498" s="165">
        <f t="shared" si="8"/>
        <v>0</v>
      </c>
      <c r="O498" s="165" t="s">
        <v>625</v>
      </c>
      <c r="P498" s="165" t="s">
        <v>471</v>
      </c>
      <c r="Q498" s="3">
        <v>20475</v>
      </c>
      <c r="R498">
        <v>20475</v>
      </c>
      <c r="T498" s="271" t="s">
        <v>2740</v>
      </c>
    </row>
    <row r="499" spans="1:20">
      <c r="A499" s="165" t="s">
        <v>1466</v>
      </c>
      <c r="B499" s="165">
        <v>621</v>
      </c>
      <c r="C499" s="165" t="s">
        <v>1013</v>
      </c>
      <c r="D499" s="165">
        <v>7</v>
      </c>
      <c r="E499" s="165" t="s">
        <v>123</v>
      </c>
      <c r="F499" s="165" t="s">
        <v>2366</v>
      </c>
      <c r="G499" s="165">
        <v>20475</v>
      </c>
      <c r="H499" s="165"/>
      <c r="I499" s="165"/>
      <c r="J499" s="165">
        <v>20475</v>
      </c>
      <c r="K499" s="165"/>
      <c r="L499" s="165"/>
      <c r="M499" s="165"/>
      <c r="N499" s="165">
        <f t="shared" si="8"/>
        <v>0</v>
      </c>
      <c r="O499" s="165" t="s">
        <v>683</v>
      </c>
      <c r="P499" s="165" t="s">
        <v>3163</v>
      </c>
      <c r="Q499" s="3">
        <v>20475</v>
      </c>
      <c r="R499">
        <v>20475</v>
      </c>
      <c r="T499" s="271" t="s">
        <v>2740</v>
      </c>
    </row>
    <row r="500" spans="1:20">
      <c r="A500" s="165" t="s">
        <v>1466</v>
      </c>
      <c r="B500" s="165">
        <v>622</v>
      </c>
      <c r="C500" s="165" t="s">
        <v>1013</v>
      </c>
      <c r="D500" s="165">
        <v>8</v>
      </c>
      <c r="E500" s="165" t="s">
        <v>1015</v>
      </c>
      <c r="F500" s="165" t="s">
        <v>2367</v>
      </c>
      <c r="G500" s="165">
        <v>20475</v>
      </c>
      <c r="H500" s="165"/>
      <c r="I500" s="165"/>
      <c r="J500" s="165">
        <v>20475</v>
      </c>
      <c r="K500" s="165"/>
      <c r="L500" s="165"/>
      <c r="M500" s="165"/>
      <c r="N500" s="165">
        <f t="shared" si="8"/>
        <v>0</v>
      </c>
      <c r="O500" s="165" t="s">
        <v>3167</v>
      </c>
      <c r="P500" s="165" t="s">
        <v>3168</v>
      </c>
      <c r="Q500" s="3">
        <v>20475</v>
      </c>
      <c r="R500">
        <v>20475</v>
      </c>
      <c r="T500" s="271" t="s">
        <v>2740</v>
      </c>
    </row>
    <row r="501" spans="1:20">
      <c r="A501" s="165" t="s">
        <v>1466</v>
      </c>
      <c r="B501" s="165">
        <v>623</v>
      </c>
      <c r="C501" s="165" t="s">
        <v>1016</v>
      </c>
      <c r="D501" s="165">
        <v>1</v>
      </c>
      <c r="E501" s="165" t="s">
        <v>1017</v>
      </c>
      <c r="F501" s="165" t="s">
        <v>1474</v>
      </c>
      <c r="G501" s="165">
        <v>20475</v>
      </c>
      <c r="H501" s="165"/>
      <c r="I501" s="165"/>
      <c r="J501" s="165"/>
      <c r="K501" s="165">
        <v>20475</v>
      </c>
      <c r="L501" s="165"/>
      <c r="M501" s="165"/>
      <c r="N501" s="165">
        <f t="shared" si="8"/>
        <v>0</v>
      </c>
      <c r="O501" s="165" t="s">
        <v>500</v>
      </c>
      <c r="P501" s="165" t="s">
        <v>500</v>
      </c>
      <c r="Q501" s="3">
        <v>20475</v>
      </c>
      <c r="R501">
        <v>20475</v>
      </c>
    </row>
    <row r="502" spans="1:20">
      <c r="A502" s="165" t="s">
        <v>1466</v>
      </c>
      <c r="B502" s="165">
        <v>624</v>
      </c>
      <c r="C502" s="165" t="s">
        <v>1016</v>
      </c>
      <c r="D502" s="165">
        <v>2</v>
      </c>
      <c r="E502" s="165" t="s">
        <v>124</v>
      </c>
      <c r="F502" s="165" t="s">
        <v>469</v>
      </c>
      <c r="G502" s="165">
        <v>20475</v>
      </c>
      <c r="H502" s="165"/>
      <c r="I502" s="165"/>
      <c r="J502" s="165"/>
      <c r="K502" s="165">
        <v>20475</v>
      </c>
      <c r="L502" s="165"/>
      <c r="M502" s="165"/>
      <c r="N502" s="165">
        <f t="shared" si="8"/>
        <v>0</v>
      </c>
      <c r="O502" s="165" t="s">
        <v>469</v>
      </c>
      <c r="P502" s="165" t="s">
        <v>470</v>
      </c>
      <c r="Q502" s="3">
        <v>20475</v>
      </c>
      <c r="R502">
        <v>20475</v>
      </c>
      <c r="T502" s="271" t="s">
        <v>2740</v>
      </c>
    </row>
    <row r="503" spans="1:20">
      <c r="A503" s="165" t="s">
        <v>1466</v>
      </c>
      <c r="B503" s="165">
        <v>625</v>
      </c>
      <c r="C503" s="165" t="s">
        <v>1016</v>
      </c>
      <c r="D503" s="165">
        <v>3</v>
      </c>
      <c r="E503" s="165" t="s">
        <v>125</v>
      </c>
      <c r="F503" s="165" t="s">
        <v>2362</v>
      </c>
      <c r="G503" s="165">
        <v>20475</v>
      </c>
      <c r="H503" s="165"/>
      <c r="I503" s="165"/>
      <c r="J503" s="165"/>
      <c r="K503" s="165">
        <v>20475</v>
      </c>
      <c r="L503" s="165"/>
      <c r="M503" s="165"/>
      <c r="N503" s="165">
        <f t="shared" si="8"/>
        <v>0</v>
      </c>
      <c r="O503" s="165" t="s">
        <v>631</v>
      </c>
      <c r="P503" s="165" t="s">
        <v>632</v>
      </c>
      <c r="Q503" s="3">
        <v>20475</v>
      </c>
      <c r="R503">
        <v>20475</v>
      </c>
      <c r="T503" s="271" t="s">
        <v>2740</v>
      </c>
    </row>
    <row r="504" spans="1:20">
      <c r="A504" s="165" t="s">
        <v>1466</v>
      </c>
      <c r="B504" s="165">
        <v>626</v>
      </c>
      <c r="C504" s="165" t="s">
        <v>1016</v>
      </c>
      <c r="D504" s="165">
        <v>4</v>
      </c>
      <c r="E504" s="165" t="s">
        <v>126</v>
      </c>
      <c r="F504" s="165" t="s">
        <v>2363</v>
      </c>
      <c r="G504" s="165">
        <v>20475</v>
      </c>
      <c r="H504" s="165"/>
      <c r="I504" s="165"/>
      <c r="J504" s="165"/>
      <c r="K504" s="165">
        <v>20475</v>
      </c>
      <c r="L504" s="165"/>
      <c r="M504" s="165"/>
      <c r="N504" s="165">
        <f t="shared" si="8"/>
        <v>0</v>
      </c>
      <c r="O504" s="165" t="s">
        <v>633</v>
      </c>
      <c r="P504" s="165" t="s">
        <v>634</v>
      </c>
      <c r="Q504" s="3">
        <v>20475</v>
      </c>
      <c r="R504">
        <v>20475</v>
      </c>
      <c r="T504" s="271" t="s">
        <v>2740</v>
      </c>
    </row>
    <row r="505" spans="1:20">
      <c r="A505" s="165" t="s">
        <v>1466</v>
      </c>
      <c r="B505" s="165">
        <v>627</v>
      </c>
      <c r="C505" s="165" t="s">
        <v>1016</v>
      </c>
      <c r="D505" s="165">
        <v>5</v>
      </c>
      <c r="E505" s="165" t="s">
        <v>127</v>
      </c>
      <c r="F505" s="165" t="s">
        <v>2364</v>
      </c>
      <c r="G505" s="165">
        <v>20475</v>
      </c>
      <c r="H505" s="165"/>
      <c r="I505" s="165"/>
      <c r="J505" s="165"/>
      <c r="K505" s="165">
        <v>20475</v>
      </c>
      <c r="L505" s="165"/>
      <c r="M505" s="165"/>
      <c r="N505" s="165">
        <f t="shared" si="8"/>
        <v>0</v>
      </c>
      <c r="O505" s="165" t="s">
        <v>628</v>
      </c>
      <c r="P505" s="165" t="s">
        <v>629</v>
      </c>
      <c r="Q505" s="3">
        <v>20475</v>
      </c>
      <c r="R505">
        <v>20475</v>
      </c>
      <c r="T505" s="271" t="s">
        <v>2740</v>
      </c>
    </row>
    <row r="506" spans="1:20">
      <c r="A506" s="165" t="s">
        <v>1466</v>
      </c>
      <c r="B506" s="165">
        <v>628</v>
      </c>
      <c r="C506" s="165" t="s">
        <v>1016</v>
      </c>
      <c r="D506" s="165">
        <v>6</v>
      </c>
      <c r="E506" s="165" t="s">
        <v>128</v>
      </c>
      <c r="F506" s="165" t="s">
        <v>2365</v>
      </c>
      <c r="G506" s="165">
        <v>20475</v>
      </c>
      <c r="H506" s="165"/>
      <c r="I506" s="165"/>
      <c r="J506" s="165">
        <v>20475</v>
      </c>
      <c r="K506" s="165"/>
      <c r="L506" s="165"/>
      <c r="M506" s="165"/>
      <c r="N506" s="165">
        <f t="shared" si="8"/>
        <v>0</v>
      </c>
      <c r="O506" s="165" t="s">
        <v>625</v>
      </c>
      <c r="P506" s="165" t="s">
        <v>626</v>
      </c>
      <c r="Q506" s="3">
        <v>20475</v>
      </c>
      <c r="R506">
        <v>20475</v>
      </c>
      <c r="T506" s="271" t="s">
        <v>2740</v>
      </c>
    </row>
    <row r="507" spans="1:20">
      <c r="A507" s="165" t="s">
        <v>1466</v>
      </c>
      <c r="B507" s="165">
        <v>629</v>
      </c>
      <c r="C507" s="165" t="s">
        <v>1016</v>
      </c>
      <c r="D507" s="165">
        <v>7</v>
      </c>
      <c r="E507" s="165" t="s">
        <v>129</v>
      </c>
      <c r="F507" s="165" t="s">
        <v>2366</v>
      </c>
      <c r="G507" s="165">
        <v>20475</v>
      </c>
      <c r="H507" s="165"/>
      <c r="I507" s="165"/>
      <c r="J507" s="165">
        <v>20475</v>
      </c>
      <c r="K507" s="165"/>
      <c r="L507" s="165"/>
      <c r="M507" s="165"/>
      <c r="N507" s="165">
        <f t="shared" si="8"/>
        <v>0</v>
      </c>
      <c r="O507" s="165" t="s">
        <v>683</v>
      </c>
      <c r="P507" s="165" t="s">
        <v>3163</v>
      </c>
      <c r="Q507" s="3">
        <v>20475</v>
      </c>
      <c r="R507">
        <v>20475</v>
      </c>
      <c r="T507" s="271" t="s">
        <v>2740</v>
      </c>
    </row>
    <row r="508" spans="1:20">
      <c r="A508" s="165" t="s">
        <v>1466</v>
      </c>
      <c r="B508" s="165">
        <v>630</v>
      </c>
      <c r="C508" s="165" t="s">
        <v>1016</v>
      </c>
      <c r="D508" s="165">
        <v>8</v>
      </c>
      <c r="E508" s="165" t="s">
        <v>130</v>
      </c>
      <c r="F508" s="165" t="s">
        <v>2367</v>
      </c>
      <c r="G508" s="165">
        <v>20475</v>
      </c>
      <c r="H508" s="165"/>
      <c r="I508" s="165"/>
      <c r="J508" s="165">
        <v>20475</v>
      </c>
      <c r="K508" s="165"/>
      <c r="L508" s="165"/>
      <c r="M508" s="165"/>
      <c r="N508" s="165">
        <f t="shared" si="8"/>
        <v>0</v>
      </c>
      <c r="O508" s="165" t="s">
        <v>3167</v>
      </c>
      <c r="P508" s="165" t="s">
        <v>3168</v>
      </c>
      <c r="Q508" s="3">
        <v>20475</v>
      </c>
      <c r="R508">
        <v>20475</v>
      </c>
      <c r="T508" s="271" t="s">
        <v>2740</v>
      </c>
    </row>
    <row r="509" spans="1:20">
      <c r="A509" s="165" t="s">
        <v>461</v>
      </c>
      <c r="B509" s="165">
        <v>631</v>
      </c>
      <c r="C509" s="165" t="s">
        <v>1232</v>
      </c>
      <c r="D509" s="165">
        <v>7</v>
      </c>
      <c r="E509" s="165" t="s">
        <v>1018</v>
      </c>
      <c r="F509" s="165" t="s">
        <v>1467</v>
      </c>
      <c r="G509" s="165">
        <v>16380</v>
      </c>
      <c r="H509" s="165"/>
      <c r="I509" s="165"/>
      <c r="J509" s="165"/>
      <c r="K509" s="165">
        <v>16380</v>
      </c>
      <c r="L509" s="165"/>
      <c r="M509" s="165"/>
      <c r="N509" s="165">
        <f t="shared" si="8"/>
        <v>0</v>
      </c>
      <c r="O509" s="165" t="s">
        <v>500</v>
      </c>
      <c r="P509" s="165" t="s">
        <v>500</v>
      </c>
      <c r="Q509" s="3">
        <v>16380</v>
      </c>
      <c r="R509">
        <v>16380</v>
      </c>
    </row>
    <row r="510" spans="1:20">
      <c r="A510" s="165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</row>
    <row r="511" spans="1:20" s="176" customFormat="1" ht="20.25" customHeight="1">
      <c r="A511" s="203" t="s">
        <v>2119</v>
      </c>
      <c r="B511" s="200"/>
      <c r="C511" s="201"/>
      <c r="D511" s="202"/>
      <c r="E511" s="201"/>
      <c r="F511" s="185" t="s">
        <v>2378</v>
      </c>
      <c r="G511" s="185">
        <f t="shared" ref="G511:N511" si="9">SUM(G513:G658)</f>
        <v>1934310</v>
      </c>
      <c r="H511" s="185">
        <f t="shared" si="9"/>
        <v>45360</v>
      </c>
      <c r="I511" s="185">
        <f t="shared" si="9"/>
        <v>81900</v>
      </c>
      <c r="J511" s="185">
        <f>SUM(J513:J658)</f>
        <v>1140825</v>
      </c>
      <c r="K511" s="185">
        <f>SUM(K513:K658)</f>
        <v>719775</v>
      </c>
      <c r="L511" s="185">
        <f t="shared" si="9"/>
        <v>200970</v>
      </c>
      <c r="M511" s="185">
        <f>SUM(M513:M658)</f>
        <v>41580</v>
      </c>
      <c r="N511" s="185">
        <f t="shared" si="9"/>
        <v>0</v>
      </c>
      <c r="O511" s="185"/>
      <c r="P511" s="185"/>
      <c r="Q511" s="185">
        <f>SUM(Q513:Q658)</f>
        <v>2693970</v>
      </c>
      <c r="R511" s="185">
        <f>SUM(R513:R658)</f>
        <v>2693235</v>
      </c>
      <c r="S511" s="185"/>
      <c r="T511" s="185">
        <f>SUM(T513:T658)</f>
        <v>195</v>
      </c>
    </row>
    <row r="512" spans="1:20" s="270" customFormat="1">
      <c r="A512" s="269" t="s">
        <v>1281</v>
      </c>
      <c r="B512" s="269" t="s">
        <v>2435</v>
      </c>
      <c r="C512" s="269" t="s">
        <v>1385</v>
      </c>
      <c r="D512" s="269" t="s">
        <v>1275</v>
      </c>
      <c r="E512" s="269" t="s">
        <v>265</v>
      </c>
      <c r="F512" s="269" t="s">
        <v>1280</v>
      </c>
      <c r="G512" s="269" t="s">
        <v>3724</v>
      </c>
      <c r="H512" s="269" t="s">
        <v>3725</v>
      </c>
      <c r="I512" s="269" t="s">
        <v>3727</v>
      </c>
      <c r="J512" s="269" t="s">
        <v>879</v>
      </c>
      <c r="K512" s="269" t="s">
        <v>878</v>
      </c>
      <c r="L512" s="269" t="s">
        <v>3991</v>
      </c>
      <c r="M512" s="269" t="s">
        <v>3728</v>
      </c>
      <c r="N512" s="269" t="s">
        <v>2438</v>
      </c>
      <c r="O512" s="269" t="s">
        <v>1282</v>
      </c>
      <c r="P512" s="269" t="s">
        <v>1386</v>
      </c>
      <c r="Q512" s="269" t="s">
        <v>576</v>
      </c>
      <c r="R512" s="269" t="s">
        <v>3593</v>
      </c>
      <c r="S512" s="269"/>
      <c r="T512" s="269" t="s">
        <v>577</v>
      </c>
    </row>
    <row r="513" spans="1:18">
      <c r="A513" s="165" t="s">
        <v>1019</v>
      </c>
      <c r="B513" s="165">
        <v>632</v>
      </c>
      <c r="C513" s="165" t="s">
        <v>2693</v>
      </c>
      <c r="D513" s="165">
        <v>1</v>
      </c>
      <c r="E513" s="165" t="s">
        <v>1020</v>
      </c>
      <c r="F513" s="165" t="s">
        <v>1021</v>
      </c>
      <c r="G513" s="165">
        <v>13230</v>
      </c>
      <c r="H513" s="165"/>
      <c r="I513" s="165"/>
      <c r="J513" s="165">
        <v>13230</v>
      </c>
      <c r="K513" s="165"/>
      <c r="L513" s="165"/>
      <c r="M513" s="165"/>
      <c r="N513" s="165">
        <f t="shared" ref="N513:N576" si="10">G513+H513+I513-K513-J513-L513</f>
        <v>0</v>
      </c>
      <c r="O513" s="165" t="s">
        <v>504</v>
      </c>
      <c r="P513" s="165" t="s">
        <v>505</v>
      </c>
      <c r="Q513" s="3">
        <v>13230</v>
      </c>
      <c r="R513">
        <v>13230</v>
      </c>
    </row>
    <row r="514" spans="1:18">
      <c r="A514" s="165" t="s">
        <v>1019</v>
      </c>
      <c r="B514" s="165">
        <v>633</v>
      </c>
      <c r="C514" s="165" t="s">
        <v>2693</v>
      </c>
      <c r="D514" s="165">
        <v>2</v>
      </c>
      <c r="E514" s="165" t="s">
        <v>163</v>
      </c>
      <c r="F514" s="165" t="s">
        <v>1022</v>
      </c>
      <c r="G514" s="165">
        <v>13230</v>
      </c>
      <c r="H514" s="165"/>
      <c r="I514" s="165"/>
      <c r="J514" s="165">
        <v>13230</v>
      </c>
      <c r="K514" s="165"/>
      <c r="L514" s="165"/>
      <c r="M514" s="165"/>
      <c r="N514" s="165">
        <f t="shared" si="10"/>
        <v>0</v>
      </c>
      <c r="O514" s="165" t="s">
        <v>504</v>
      </c>
      <c r="P514" s="165" t="s">
        <v>505</v>
      </c>
      <c r="Q514" s="3">
        <v>13230</v>
      </c>
      <c r="R514">
        <v>13230</v>
      </c>
    </row>
    <row r="515" spans="1:18">
      <c r="A515" s="165" t="s">
        <v>1019</v>
      </c>
      <c r="B515" s="165">
        <v>634</v>
      </c>
      <c r="C515" s="165" t="s">
        <v>2693</v>
      </c>
      <c r="D515" s="165">
        <v>3</v>
      </c>
      <c r="E515" s="165" t="s">
        <v>164</v>
      </c>
      <c r="F515" s="165" t="s">
        <v>1476</v>
      </c>
      <c r="G515" s="165">
        <v>13230</v>
      </c>
      <c r="H515" s="165"/>
      <c r="I515" s="165"/>
      <c r="J515" s="165">
        <v>13230</v>
      </c>
      <c r="K515" s="165"/>
      <c r="L515" s="165"/>
      <c r="M515" s="165"/>
      <c r="N515" s="165">
        <f t="shared" si="10"/>
        <v>0</v>
      </c>
      <c r="O515" s="165" t="s">
        <v>504</v>
      </c>
      <c r="P515" s="165" t="s">
        <v>505</v>
      </c>
      <c r="Q515" s="3">
        <v>13230</v>
      </c>
      <c r="R515">
        <v>13230</v>
      </c>
    </row>
    <row r="516" spans="1:18">
      <c r="A516" s="165" t="s">
        <v>1019</v>
      </c>
      <c r="B516" s="165">
        <v>635</v>
      </c>
      <c r="C516" s="165" t="s">
        <v>2693</v>
      </c>
      <c r="D516" s="165">
        <v>4</v>
      </c>
      <c r="E516" s="165" t="s">
        <v>165</v>
      </c>
      <c r="F516" s="165" t="s">
        <v>1023</v>
      </c>
      <c r="G516" s="165">
        <v>13230</v>
      </c>
      <c r="H516" s="165"/>
      <c r="I516" s="165"/>
      <c r="J516" s="165">
        <v>13230</v>
      </c>
      <c r="K516" s="165"/>
      <c r="L516" s="165"/>
      <c r="M516" s="165"/>
      <c r="N516" s="165">
        <f t="shared" si="10"/>
        <v>0</v>
      </c>
      <c r="O516" s="165" t="s">
        <v>501</v>
      </c>
      <c r="P516" s="165" t="s">
        <v>2160</v>
      </c>
      <c r="Q516" s="3">
        <v>13230</v>
      </c>
      <c r="R516">
        <v>13230</v>
      </c>
    </row>
    <row r="517" spans="1:18">
      <c r="A517" s="165" t="s">
        <v>1019</v>
      </c>
      <c r="B517" s="165">
        <v>636</v>
      </c>
      <c r="C517" s="165" t="s">
        <v>2693</v>
      </c>
      <c r="D517" s="165">
        <v>5</v>
      </c>
      <c r="E517" s="165" t="s">
        <v>166</v>
      </c>
      <c r="F517" s="165" t="s">
        <v>1024</v>
      </c>
      <c r="G517" s="165">
        <v>13230</v>
      </c>
      <c r="H517" s="165"/>
      <c r="I517" s="165"/>
      <c r="J517" s="165">
        <v>13230</v>
      </c>
      <c r="K517" s="165"/>
      <c r="L517" s="165"/>
      <c r="M517" s="165"/>
      <c r="N517" s="165">
        <f t="shared" si="10"/>
        <v>0</v>
      </c>
      <c r="O517" s="165" t="s">
        <v>2162</v>
      </c>
      <c r="P517" s="165" t="s">
        <v>1024</v>
      </c>
      <c r="Q517" s="3">
        <v>13230</v>
      </c>
      <c r="R517">
        <v>13230</v>
      </c>
    </row>
    <row r="518" spans="1:18">
      <c r="A518" s="165" t="s">
        <v>1019</v>
      </c>
      <c r="B518" s="165">
        <v>637</v>
      </c>
      <c r="C518" s="165" t="s">
        <v>2693</v>
      </c>
      <c r="D518" s="165">
        <v>6</v>
      </c>
      <c r="E518" s="165" t="s">
        <v>167</v>
      </c>
      <c r="F518" s="165" t="s">
        <v>1025</v>
      </c>
      <c r="G518" s="165">
        <v>13230</v>
      </c>
      <c r="H518" s="165"/>
      <c r="I518" s="165"/>
      <c r="J518" s="165">
        <v>13230</v>
      </c>
      <c r="K518" s="165"/>
      <c r="L518" s="165"/>
      <c r="M518" s="165"/>
      <c r="N518" s="165">
        <f t="shared" si="10"/>
        <v>0</v>
      </c>
      <c r="O518" s="165" t="s">
        <v>2164</v>
      </c>
      <c r="P518" s="165" t="s">
        <v>1025</v>
      </c>
      <c r="Q518" s="3">
        <v>13230</v>
      </c>
      <c r="R518">
        <v>13230</v>
      </c>
    </row>
    <row r="519" spans="1:18">
      <c r="A519" s="165" t="s">
        <v>1019</v>
      </c>
      <c r="B519" s="165">
        <v>638</v>
      </c>
      <c r="C519" s="165" t="s">
        <v>2693</v>
      </c>
      <c r="D519" s="165">
        <v>7</v>
      </c>
      <c r="E519" s="165" t="s">
        <v>168</v>
      </c>
      <c r="F519" s="165" t="s">
        <v>1026</v>
      </c>
      <c r="G519" s="165">
        <v>13230</v>
      </c>
      <c r="H519" s="165"/>
      <c r="I519" s="165"/>
      <c r="J519" s="165">
        <v>13230</v>
      </c>
      <c r="K519" s="165"/>
      <c r="L519" s="165"/>
      <c r="M519" s="165"/>
      <c r="N519" s="165">
        <f t="shared" si="10"/>
        <v>0</v>
      </c>
      <c r="O519" s="165" t="s">
        <v>621</v>
      </c>
      <c r="P519" s="165" t="s">
        <v>622</v>
      </c>
      <c r="Q519" s="3">
        <v>13230</v>
      </c>
      <c r="R519">
        <v>13230</v>
      </c>
    </row>
    <row r="520" spans="1:18">
      <c r="A520" s="165" t="s">
        <v>1019</v>
      </c>
      <c r="B520" s="165">
        <v>639</v>
      </c>
      <c r="C520" s="165" t="s">
        <v>2693</v>
      </c>
      <c r="D520" s="165">
        <v>8</v>
      </c>
      <c r="E520" s="165" t="s">
        <v>169</v>
      </c>
      <c r="F520" s="165" t="s">
        <v>1027</v>
      </c>
      <c r="G520" s="165">
        <v>13230</v>
      </c>
      <c r="H520" s="165"/>
      <c r="I520" s="165"/>
      <c r="J520" s="165"/>
      <c r="K520" s="165">
        <v>13230</v>
      </c>
      <c r="L520" s="165"/>
      <c r="M520" s="165"/>
      <c r="N520" s="165">
        <f t="shared" si="10"/>
        <v>0</v>
      </c>
      <c r="O520" s="165" t="s">
        <v>3159</v>
      </c>
      <c r="P520" s="165" t="s">
        <v>3160</v>
      </c>
      <c r="Q520" s="3">
        <v>13230</v>
      </c>
      <c r="R520">
        <v>13230</v>
      </c>
    </row>
    <row r="521" spans="1:18">
      <c r="A521" s="165" t="s">
        <v>1028</v>
      </c>
      <c r="B521" s="165">
        <v>640</v>
      </c>
      <c r="C521" s="165" t="s">
        <v>1789</v>
      </c>
      <c r="D521" s="165">
        <v>1</v>
      </c>
      <c r="E521" s="165" t="s">
        <v>1029</v>
      </c>
      <c r="F521" s="165" t="s">
        <v>505</v>
      </c>
      <c r="G521" s="165">
        <v>14175</v>
      </c>
      <c r="H521" s="165"/>
      <c r="I521" s="165"/>
      <c r="J521" s="165">
        <v>14175</v>
      </c>
      <c r="K521" s="165"/>
      <c r="L521" s="165"/>
      <c r="M521" s="165"/>
      <c r="N521" s="165">
        <f t="shared" si="10"/>
        <v>0</v>
      </c>
      <c r="O521" s="165" t="s">
        <v>496</v>
      </c>
      <c r="P521" s="165" t="s">
        <v>497</v>
      </c>
      <c r="Q521" s="3">
        <v>14175</v>
      </c>
      <c r="R521">
        <v>14175</v>
      </c>
    </row>
    <row r="522" spans="1:18">
      <c r="A522" s="165" t="s">
        <v>1028</v>
      </c>
      <c r="B522" s="165">
        <v>641</v>
      </c>
      <c r="C522" s="165" t="s">
        <v>1789</v>
      </c>
      <c r="D522" s="165">
        <v>2</v>
      </c>
      <c r="E522" s="165" t="s">
        <v>170</v>
      </c>
      <c r="F522" s="165" t="s">
        <v>548</v>
      </c>
      <c r="G522" s="165">
        <v>14175</v>
      </c>
      <c r="H522" s="165"/>
      <c r="I522" s="165"/>
      <c r="J522" s="165">
        <v>14175</v>
      </c>
      <c r="K522" s="165"/>
      <c r="L522" s="165"/>
      <c r="M522" s="165"/>
      <c r="N522" s="165">
        <f t="shared" si="10"/>
        <v>0</v>
      </c>
      <c r="O522" s="165" t="s">
        <v>623</v>
      </c>
      <c r="P522" s="165" t="s">
        <v>624</v>
      </c>
      <c r="Q522" s="3">
        <v>14175</v>
      </c>
      <c r="R522">
        <v>14175</v>
      </c>
    </row>
    <row r="523" spans="1:18">
      <c r="A523" s="165" t="s">
        <v>1028</v>
      </c>
      <c r="B523" s="165">
        <v>642</v>
      </c>
      <c r="C523" s="165" t="s">
        <v>1789</v>
      </c>
      <c r="D523" s="165">
        <v>3</v>
      </c>
      <c r="E523" s="165" t="s">
        <v>171</v>
      </c>
      <c r="F523" s="165" t="s">
        <v>2201</v>
      </c>
      <c r="G523" s="165">
        <v>14175</v>
      </c>
      <c r="H523" s="165"/>
      <c r="I523" s="165"/>
      <c r="J523" s="165">
        <v>14175</v>
      </c>
      <c r="K523" s="165"/>
      <c r="L523" s="165"/>
      <c r="M523" s="165"/>
      <c r="N523" s="165">
        <f t="shared" si="10"/>
        <v>0</v>
      </c>
      <c r="O523" s="165" t="s">
        <v>636</v>
      </c>
      <c r="P523" s="165" t="s">
        <v>637</v>
      </c>
      <c r="Q523" s="3">
        <v>14175</v>
      </c>
      <c r="R523">
        <v>14175</v>
      </c>
    </row>
    <row r="524" spans="1:18">
      <c r="A524" s="165" t="s">
        <v>1028</v>
      </c>
      <c r="B524" s="165">
        <v>643</v>
      </c>
      <c r="C524" s="165" t="s">
        <v>1789</v>
      </c>
      <c r="D524" s="165">
        <v>4</v>
      </c>
      <c r="E524" s="165" t="s">
        <v>172</v>
      </c>
      <c r="F524" s="165" t="s">
        <v>2203</v>
      </c>
      <c r="G524" s="165">
        <v>14175</v>
      </c>
      <c r="H524" s="165"/>
      <c r="I524" s="165"/>
      <c r="J524" s="165">
        <v>14175</v>
      </c>
      <c r="K524" s="165"/>
      <c r="L524" s="165"/>
      <c r="M524" s="165"/>
      <c r="N524" s="165">
        <f t="shared" si="10"/>
        <v>0</v>
      </c>
      <c r="O524" s="165" t="s">
        <v>619</v>
      </c>
      <c r="P524" s="165" t="s">
        <v>620</v>
      </c>
      <c r="Q524" s="3">
        <v>14175</v>
      </c>
      <c r="R524">
        <v>14175</v>
      </c>
    </row>
    <row r="525" spans="1:18">
      <c r="A525" s="165" t="s">
        <v>1028</v>
      </c>
      <c r="B525" s="165">
        <v>644</v>
      </c>
      <c r="C525" s="165" t="s">
        <v>1789</v>
      </c>
      <c r="D525" s="165">
        <v>5</v>
      </c>
      <c r="E525" s="165" t="s">
        <v>173</v>
      </c>
      <c r="F525" s="165" t="s">
        <v>2205</v>
      </c>
      <c r="G525" s="165">
        <v>14175</v>
      </c>
      <c r="H525" s="165"/>
      <c r="I525" s="165"/>
      <c r="J525" s="165"/>
      <c r="K525" s="165">
        <v>14175</v>
      </c>
      <c r="L525" s="165"/>
      <c r="M525" s="165"/>
      <c r="N525" s="165">
        <f t="shared" si="10"/>
        <v>0</v>
      </c>
      <c r="O525" s="165" t="s">
        <v>625</v>
      </c>
      <c r="P525" s="165" t="s">
        <v>626</v>
      </c>
      <c r="Q525" s="3">
        <v>14175</v>
      </c>
      <c r="R525">
        <v>14175</v>
      </c>
    </row>
    <row r="526" spans="1:18">
      <c r="A526" s="165" t="s">
        <v>1028</v>
      </c>
      <c r="B526" s="165">
        <v>645</v>
      </c>
      <c r="C526" s="165" t="s">
        <v>1789</v>
      </c>
      <c r="D526" s="165">
        <v>6</v>
      </c>
      <c r="E526" s="165" t="s">
        <v>174</v>
      </c>
      <c r="F526" s="165" t="s">
        <v>1030</v>
      </c>
      <c r="G526" s="165">
        <v>14175</v>
      </c>
      <c r="H526" s="165"/>
      <c r="I526" s="165"/>
      <c r="J526" s="165"/>
      <c r="K526" s="165">
        <v>14175</v>
      </c>
      <c r="L526" s="165"/>
      <c r="M526" s="165"/>
      <c r="N526" s="165">
        <f t="shared" si="10"/>
        <v>0</v>
      </c>
      <c r="O526" s="165" t="s">
        <v>3161</v>
      </c>
      <c r="P526" s="165" t="s">
        <v>3162</v>
      </c>
      <c r="Q526" s="3">
        <v>14175</v>
      </c>
      <c r="R526">
        <v>14175</v>
      </c>
    </row>
    <row r="527" spans="1:18">
      <c r="A527" s="165" t="s">
        <v>1028</v>
      </c>
      <c r="B527" s="165">
        <v>646</v>
      </c>
      <c r="C527" s="165" t="s">
        <v>1789</v>
      </c>
      <c r="D527" s="165">
        <v>7</v>
      </c>
      <c r="E527" s="165" t="s">
        <v>175</v>
      </c>
      <c r="F527" s="165" t="s">
        <v>1031</v>
      </c>
      <c r="G527" s="165">
        <v>14175</v>
      </c>
      <c r="H527" s="165"/>
      <c r="I527" s="165"/>
      <c r="J527" s="165"/>
      <c r="K527" s="165">
        <v>14175</v>
      </c>
      <c r="L527" s="165"/>
      <c r="M527" s="165"/>
      <c r="N527" s="165">
        <f t="shared" si="10"/>
        <v>0</v>
      </c>
      <c r="O527" s="165" t="s">
        <v>3167</v>
      </c>
      <c r="P527" s="165" t="s">
        <v>3168</v>
      </c>
      <c r="Q527" s="3">
        <v>14175</v>
      </c>
      <c r="R527">
        <v>14175</v>
      </c>
    </row>
    <row r="528" spans="1:18">
      <c r="A528" s="165" t="s">
        <v>1028</v>
      </c>
      <c r="B528" s="165">
        <v>647</v>
      </c>
      <c r="C528" s="165" t="s">
        <v>1789</v>
      </c>
      <c r="D528" s="165">
        <v>8</v>
      </c>
      <c r="E528" s="165" t="s">
        <v>176</v>
      </c>
      <c r="F528" s="165" t="s">
        <v>1032</v>
      </c>
      <c r="G528" s="165">
        <v>14175</v>
      </c>
      <c r="H528" s="165"/>
      <c r="I528" s="165"/>
      <c r="J528" s="165"/>
      <c r="K528" s="165">
        <v>14175</v>
      </c>
      <c r="L528" s="165"/>
      <c r="M528" s="165"/>
      <c r="N528" s="165">
        <f t="shared" si="10"/>
        <v>0</v>
      </c>
      <c r="O528" s="165" t="s">
        <v>3169</v>
      </c>
      <c r="P528" s="165" t="s">
        <v>3170</v>
      </c>
      <c r="Q528" s="3">
        <v>14175</v>
      </c>
      <c r="R528">
        <v>14175</v>
      </c>
    </row>
    <row r="529" spans="1:21" s="283" customFormat="1">
      <c r="A529" s="279" t="s">
        <v>1033</v>
      </c>
      <c r="B529" s="279"/>
      <c r="C529" s="279" t="s">
        <v>2060</v>
      </c>
      <c r="D529" s="279">
        <v>7</v>
      </c>
      <c r="E529" s="279" t="s">
        <v>1283</v>
      </c>
      <c r="F529" s="279" t="s">
        <v>1033</v>
      </c>
      <c r="G529" s="280"/>
      <c r="H529" s="280"/>
      <c r="I529" s="280"/>
      <c r="J529" s="280"/>
      <c r="K529" s="280"/>
      <c r="L529" s="280"/>
      <c r="M529" s="280"/>
      <c r="N529" s="280">
        <f t="shared" si="10"/>
        <v>0</v>
      </c>
      <c r="O529" s="279" t="s">
        <v>1033</v>
      </c>
      <c r="P529" s="279" t="s">
        <v>1033</v>
      </c>
      <c r="Q529" s="279">
        <v>14175</v>
      </c>
      <c r="R529" s="279">
        <v>14175</v>
      </c>
      <c r="S529" s="279"/>
      <c r="T529" s="280"/>
      <c r="U529" s="282" t="s">
        <v>245</v>
      </c>
    </row>
    <row r="530" spans="1:21">
      <c r="A530" s="165" t="s">
        <v>1034</v>
      </c>
      <c r="B530" s="165">
        <v>648</v>
      </c>
      <c r="C530" s="165" t="s">
        <v>2423</v>
      </c>
      <c r="D530" s="165">
        <v>1</v>
      </c>
      <c r="E530" s="165" t="s">
        <v>1035</v>
      </c>
      <c r="F530" s="165" t="s">
        <v>2349</v>
      </c>
      <c r="G530" s="165">
        <v>14175</v>
      </c>
      <c r="H530" s="165"/>
      <c r="I530" s="165"/>
      <c r="J530" s="165">
        <v>14175</v>
      </c>
      <c r="K530" s="165"/>
      <c r="L530" s="165"/>
      <c r="M530" s="165"/>
      <c r="N530" s="165">
        <f t="shared" si="10"/>
        <v>0</v>
      </c>
      <c r="O530" s="165" t="s">
        <v>501</v>
      </c>
      <c r="P530" s="165" t="s">
        <v>2160</v>
      </c>
      <c r="Q530" s="3">
        <v>14175</v>
      </c>
      <c r="R530">
        <v>14175</v>
      </c>
    </row>
    <row r="531" spans="1:21">
      <c r="A531" s="165" t="s">
        <v>1034</v>
      </c>
      <c r="B531" s="165">
        <v>649</v>
      </c>
      <c r="C531" s="165" t="s">
        <v>2423</v>
      </c>
      <c r="D531" s="165">
        <v>2</v>
      </c>
      <c r="E531" s="165" t="s">
        <v>156</v>
      </c>
      <c r="F531" s="165" t="s">
        <v>2350</v>
      </c>
      <c r="G531" s="165">
        <v>14175</v>
      </c>
      <c r="H531" s="165"/>
      <c r="I531" s="165"/>
      <c r="J531" s="165">
        <v>14175</v>
      </c>
      <c r="K531" s="165"/>
      <c r="L531" s="165"/>
      <c r="M531" s="165"/>
      <c r="N531" s="165">
        <f t="shared" si="10"/>
        <v>0</v>
      </c>
      <c r="O531" s="165" t="s">
        <v>2162</v>
      </c>
      <c r="P531" s="165" t="s">
        <v>1024</v>
      </c>
      <c r="Q531" s="3">
        <v>14175</v>
      </c>
      <c r="R531">
        <v>14175</v>
      </c>
    </row>
    <row r="532" spans="1:21">
      <c r="A532" s="165" t="s">
        <v>1034</v>
      </c>
      <c r="B532" s="165">
        <v>650</v>
      </c>
      <c r="C532" s="165" t="s">
        <v>2423</v>
      </c>
      <c r="D532" s="165">
        <v>3</v>
      </c>
      <c r="E532" s="165" t="s">
        <v>157</v>
      </c>
      <c r="F532" s="165" t="s">
        <v>2352</v>
      </c>
      <c r="G532" s="165">
        <v>14175</v>
      </c>
      <c r="H532" s="165"/>
      <c r="I532" s="165"/>
      <c r="J532" s="165">
        <v>14175</v>
      </c>
      <c r="K532" s="165"/>
      <c r="L532" s="165"/>
      <c r="M532" s="165"/>
      <c r="N532" s="165">
        <f t="shared" si="10"/>
        <v>0</v>
      </c>
      <c r="O532" s="165" t="s">
        <v>2164</v>
      </c>
      <c r="P532" s="165" t="s">
        <v>1025</v>
      </c>
      <c r="Q532" s="3">
        <v>14175</v>
      </c>
      <c r="R532">
        <v>14175</v>
      </c>
    </row>
    <row r="533" spans="1:21">
      <c r="A533" s="165" t="s">
        <v>1034</v>
      </c>
      <c r="B533" s="165">
        <v>651</v>
      </c>
      <c r="C533" s="165" t="s">
        <v>2423</v>
      </c>
      <c r="D533" s="165">
        <v>4</v>
      </c>
      <c r="E533" s="165" t="s">
        <v>158</v>
      </c>
      <c r="F533" s="165" t="s">
        <v>2353</v>
      </c>
      <c r="G533" s="165">
        <v>14175</v>
      </c>
      <c r="H533" s="165"/>
      <c r="I533" s="165"/>
      <c r="J533" s="165">
        <v>14175</v>
      </c>
      <c r="K533" s="165"/>
      <c r="L533" s="165"/>
      <c r="M533" s="165"/>
      <c r="N533" s="165">
        <f t="shared" si="10"/>
        <v>0</v>
      </c>
      <c r="O533" s="165" t="s">
        <v>628</v>
      </c>
      <c r="P533" s="165" t="s">
        <v>629</v>
      </c>
      <c r="Q533" s="3">
        <v>14175</v>
      </c>
      <c r="R533">
        <v>14175</v>
      </c>
    </row>
    <row r="534" spans="1:21">
      <c r="A534" s="165" t="s">
        <v>1034</v>
      </c>
      <c r="B534" s="165">
        <v>652</v>
      </c>
      <c r="C534" s="165" t="s">
        <v>2423</v>
      </c>
      <c r="D534" s="165">
        <v>5</v>
      </c>
      <c r="E534" s="165" t="s">
        <v>159</v>
      </c>
      <c r="F534" s="165" t="s">
        <v>2354</v>
      </c>
      <c r="G534" s="165">
        <v>14175</v>
      </c>
      <c r="H534" s="165"/>
      <c r="I534" s="165"/>
      <c r="J534" s="165"/>
      <c r="K534" s="165">
        <v>14175</v>
      </c>
      <c r="L534" s="165"/>
      <c r="M534" s="165"/>
      <c r="N534" s="165">
        <f t="shared" si="10"/>
        <v>0</v>
      </c>
      <c r="O534" s="165" t="s">
        <v>3159</v>
      </c>
      <c r="P534" s="165" t="s">
        <v>3160</v>
      </c>
      <c r="Q534" s="3">
        <v>14175</v>
      </c>
      <c r="R534">
        <v>14175</v>
      </c>
    </row>
    <row r="535" spans="1:21">
      <c r="A535" s="165" t="s">
        <v>1034</v>
      </c>
      <c r="B535" s="165">
        <v>653</v>
      </c>
      <c r="C535" s="165" t="s">
        <v>2423</v>
      </c>
      <c r="D535" s="165">
        <v>6</v>
      </c>
      <c r="E535" s="165" t="s">
        <v>160</v>
      </c>
      <c r="F535" s="165" t="s">
        <v>2355</v>
      </c>
      <c r="G535" s="165">
        <v>14175</v>
      </c>
      <c r="H535" s="165"/>
      <c r="I535" s="165"/>
      <c r="J535" s="165"/>
      <c r="K535" s="165">
        <v>14175</v>
      </c>
      <c r="L535" s="165"/>
      <c r="M535" s="165"/>
      <c r="N535" s="165">
        <f t="shared" si="10"/>
        <v>0</v>
      </c>
      <c r="O535" s="165" t="s">
        <v>3164</v>
      </c>
      <c r="P535" s="165" t="s">
        <v>808</v>
      </c>
      <c r="Q535" s="3">
        <v>14175</v>
      </c>
      <c r="R535">
        <v>14175</v>
      </c>
    </row>
    <row r="536" spans="1:21">
      <c r="A536" s="165" t="s">
        <v>1034</v>
      </c>
      <c r="B536" s="165">
        <v>654</v>
      </c>
      <c r="C536" s="165" t="s">
        <v>2423</v>
      </c>
      <c r="D536" s="165">
        <v>7</v>
      </c>
      <c r="E536" s="165" t="s">
        <v>161</v>
      </c>
      <c r="F536" s="165" t="s">
        <v>2356</v>
      </c>
      <c r="G536" s="165">
        <v>14175</v>
      </c>
      <c r="H536" s="165"/>
      <c r="I536" s="165"/>
      <c r="J536" s="165"/>
      <c r="K536" s="165">
        <v>14175</v>
      </c>
      <c r="L536" s="165"/>
      <c r="M536" s="165"/>
      <c r="N536" s="165">
        <f t="shared" si="10"/>
        <v>0</v>
      </c>
      <c r="O536" s="165" t="s">
        <v>3165</v>
      </c>
      <c r="P536" s="165" t="s">
        <v>3166</v>
      </c>
      <c r="Q536" s="3">
        <v>14175</v>
      </c>
      <c r="R536">
        <v>14175</v>
      </c>
    </row>
    <row r="537" spans="1:21" s="5" customFormat="1">
      <c r="A537" s="94" t="s">
        <v>1034</v>
      </c>
      <c r="B537" s="165">
        <v>655</v>
      </c>
      <c r="C537" s="94" t="s">
        <v>2423</v>
      </c>
      <c r="D537" s="94">
        <v>8</v>
      </c>
      <c r="E537" s="94" t="s">
        <v>162</v>
      </c>
      <c r="F537" s="94" t="s">
        <v>1042</v>
      </c>
      <c r="G537" s="94">
        <v>14175</v>
      </c>
      <c r="H537" s="94"/>
      <c r="I537" s="94"/>
      <c r="J537" s="94"/>
      <c r="K537" s="307">
        <v>14175</v>
      </c>
      <c r="L537" s="94"/>
      <c r="M537" s="307">
        <v>14175</v>
      </c>
      <c r="N537" s="94">
        <f t="shared" si="10"/>
        <v>0</v>
      </c>
      <c r="O537" s="94" t="s">
        <v>3171</v>
      </c>
      <c r="P537" s="94" t="s">
        <v>3172</v>
      </c>
      <c r="Q537" s="93">
        <v>14175</v>
      </c>
      <c r="R537" s="5">
        <v>14175</v>
      </c>
      <c r="T537" s="93"/>
    </row>
    <row r="538" spans="1:21">
      <c r="A538" s="165" t="s">
        <v>462</v>
      </c>
      <c r="B538" s="165">
        <v>656</v>
      </c>
      <c r="C538" s="165" t="s">
        <v>1013</v>
      </c>
      <c r="D538" s="165"/>
      <c r="E538" s="165" t="s">
        <v>1036</v>
      </c>
      <c r="F538" s="165" t="s">
        <v>1037</v>
      </c>
      <c r="G538" s="165">
        <v>126000</v>
      </c>
      <c r="H538" s="165"/>
      <c r="I538" s="165"/>
      <c r="J538" s="165">
        <v>126000</v>
      </c>
      <c r="K538" s="165"/>
      <c r="L538" s="165"/>
      <c r="M538" s="165"/>
      <c r="N538" s="165">
        <f t="shared" si="10"/>
        <v>0</v>
      </c>
      <c r="O538" s="165" t="s">
        <v>504</v>
      </c>
      <c r="P538" s="165" t="s">
        <v>505</v>
      </c>
      <c r="Q538" s="3">
        <v>126000</v>
      </c>
      <c r="R538">
        <v>126000</v>
      </c>
      <c r="U538" t="s">
        <v>1038</v>
      </c>
    </row>
    <row r="539" spans="1:21">
      <c r="A539" s="165" t="s">
        <v>1039</v>
      </c>
      <c r="B539" s="165">
        <v>657</v>
      </c>
      <c r="C539" s="165" t="s">
        <v>1016</v>
      </c>
      <c r="D539" s="165"/>
      <c r="E539" s="165" t="s">
        <v>1040</v>
      </c>
      <c r="F539" s="165" t="s">
        <v>1041</v>
      </c>
      <c r="G539" s="165">
        <v>126000</v>
      </c>
      <c r="H539" s="165"/>
      <c r="I539" s="165"/>
      <c r="J539" s="165">
        <v>126000</v>
      </c>
      <c r="K539" s="165"/>
      <c r="L539" s="165"/>
      <c r="M539" s="165"/>
      <c r="N539" s="165">
        <f t="shared" si="10"/>
        <v>0</v>
      </c>
      <c r="O539" s="165" t="s">
        <v>504</v>
      </c>
      <c r="P539" s="165" t="s">
        <v>505</v>
      </c>
      <c r="Q539" s="3">
        <v>126000</v>
      </c>
      <c r="R539">
        <v>126000</v>
      </c>
      <c r="U539" t="s">
        <v>1038</v>
      </c>
    </row>
    <row r="540" spans="1:21" s="163" customFormat="1">
      <c r="A540" s="281" t="s">
        <v>472</v>
      </c>
      <c r="B540" s="281"/>
      <c r="C540" s="281" t="s">
        <v>3825</v>
      </c>
      <c r="D540" s="281">
        <v>1</v>
      </c>
      <c r="E540" s="281" t="s">
        <v>1283</v>
      </c>
      <c r="F540" s="281" t="s">
        <v>472</v>
      </c>
      <c r="G540" s="284"/>
      <c r="H540" s="284"/>
      <c r="I540" s="284"/>
      <c r="J540" s="281"/>
      <c r="K540" s="281"/>
      <c r="L540" s="281"/>
      <c r="M540" s="281"/>
      <c r="N540" s="281">
        <f t="shared" si="10"/>
        <v>0</v>
      </c>
      <c r="O540" s="281" t="s">
        <v>472</v>
      </c>
      <c r="P540" s="281" t="s">
        <v>472</v>
      </c>
      <c r="Q540" s="281">
        <v>14175</v>
      </c>
      <c r="R540" s="281">
        <v>14145</v>
      </c>
      <c r="S540" s="281"/>
      <c r="T540" s="284">
        <v>30</v>
      </c>
    </row>
    <row r="541" spans="1:21" s="283" customFormat="1">
      <c r="A541" s="279" t="s">
        <v>2349</v>
      </c>
      <c r="B541" s="279"/>
      <c r="C541" s="279" t="s">
        <v>2060</v>
      </c>
      <c r="D541" s="279">
        <v>8</v>
      </c>
      <c r="E541" s="279" t="s">
        <v>1283</v>
      </c>
      <c r="F541" s="279" t="s">
        <v>2349</v>
      </c>
      <c r="G541" s="280"/>
      <c r="H541" s="280"/>
      <c r="I541" s="280"/>
      <c r="J541" s="280"/>
      <c r="K541" s="280"/>
      <c r="L541" s="280"/>
      <c r="M541" s="280"/>
      <c r="N541" s="280">
        <f t="shared" si="10"/>
        <v>0</v>
      </c>
      <c r="O541" s="279" t="s">
        <v>2349</v>
      </c>
      <c r="P541" s="279" t="s">
        <v>2349</v>
      </c>
      <c r="Q541" s="279">
        <v>14175</v>
      </c>
      <c r="R541" s="279">
        <v>14165</v>
      </c>
      <c r="S541" s="279"/>
      <c r="T541" s="280">
        <v>10</v>
      </c>
      <c r="U541" s="282" t="s">
        <v>245</v>
      </c>
    </row>
    <row r="542" spans="1:21" s="5" customFormat="1">
      <c r="A542" s="94" t="s">
        <v>1043</v>
      </c>
      <c r="B542" s="94">
        <v>658</v>
      </c>
      <c r="C542" s="94" t="s">
        <v>1232</v>
      </c>
      <c r="D542" s="94">
        <v>8</v>
      </c>
      <c r="E542" s="94" t="s">
        <v>1044</v>
      </c>
      <c r="F542" s="94" t="s">
        <v>2261</v>
      </c>
      <c r="G542" s="94">
        <v>16380</v>
      </c>
      <c r="H542" s="94"/>
      <c r="I542" s="94"/>
      <c r="J542" s="94">
        <v>16380</v>
      </c>
      <c r="K542" s="94"/>
      <c r="L542" s="94"/>
      <c r="M542" s="94"/>
      <c r="N542" s="94">
        <f t="shared" si="10"/>
        <v>0</v>
      </c>
      <c r="O542" s="94" t="s">
        <v>610</v>
      </c>
      <c r="P542" s="94" t="s">
        <v>611</v>
      </c>
      <c r="Q542" s="93">
        <v>16380</v>
      </c>
      <c r="R542" s="4">
        <v>16380</v>
      </c>
      <c r="S542" s="4"/>
      <c r="T542" s="93"/>
    </row>
    <row r="543" spans="1:21">
      <c r="A543" s="165" t="s">
        <v>473</v>
      </c>
      <c r="B543" s="94">
        <v>659</v>
      </c>
      <c r="C543" s="165" t="s">
        <v>1264</v>
      </c>
      <c r="D543" s="165">
        <v>5</v>
      </c>
      <c r="E543" s="165" t="s">
        <v>1045</v>
      </c>
      <c r="F543" s="165" t="s">
        <v>2051</v>
      </c>
      <c r="G543" s="165"/>
      <c r="H543" s="165">
        <v>11340</v>
      </c>
      <c r="I543" s="165"/>
      <c r="J543" s="165">
        <v>11340</v>
      </c>
      <c r="K543" s="165"/>
      <c r="L543" s="165"/>
      <c r="M543" s="165"/>
      <c r="N543" s="165">
        <f t="shared" si="10"/>
        <v>0</v>
      </c>
      <c r="O543" s="165" t="s">
        <v>506</v>
      </c>
      <c r="P543" s="165" t="s">
        <v>826</v>
      </c>
      <c r="Q543" s="3">
        <v>11340</v>
      </c>
      <c r="R543" s="4">
        <v>11340</v>
      </c>
      <c r="S543" s="4"/>
    </row>
    <row r="544" spans="1:21">
      <c r="A544" s="165" t="s">
        <v>473</v>
      </c>
      <c r="B544" s="94">
        <v>660</v>
      </c>
      <c r="C544" s="165" t="s">
        <v>1264</v>
      </c>
      <c r="D544" s="165">
        <v>6</v>
      </c>
      <c r="E544" s="165" t="s">
        <v>131</v>
      </c>
      <c r="F544" s="165" t="s">
        <v>2190</v>
      </c>
      <c r="G544" s="165"/>
      <c r="H544" s="165">
        <v>11340</v>
      </c>
      <c r="I544" s="165"/>
      <c r="J544" s="165">
        <v>11340</v>
      </c>
      <c r="K544" s="165"/>
      <c r="L544" s="165"/>
      <c r="M544" s="165"/>
      <c r="N544" s="165">
        <f t="shared" si="10"/>
        <v>0</v>
      </c>
      <c r="O544" s="165" t="s">
        <v>627</v>
      </c>
      <c r="P544" s="165" t="s">
        <v>827</v>
      </c>
      <c r="Q544" s="3">
        <v>11340</v>
      </c>
      <c r="R544" s="4">
        <v>11340</v>
      </c>
      <c r="S544" s="4"/>
    </row>
    <row r="545" spans="1:22">
      <c r="A545" s="165" t="s">
        <v>473</v>
      </c>
      <c r="B545" s="94">
        <v>661</v>
      </c>
      <c r="C545" s="165" t="s">
        <v>1264</v>
      </c>
      <c r="D545" s="165">
        <v>7</v>
      </c>
      <c r="E545" s="165" t="s">
        <v>132</v>
      </c>
      <c r="F545" s="165" t="s">
        <v>2192</v>
      </c>
      <c r="G545" s="165"/>
      <c r="H545" s="165">
        <v>11340</v>
      </c>
      <c r="I545" s="165"/>
      <c r="J545" s="165">
        <v>11340</v>
      </c>
      <c r="K545" s="165"/>
      <c r="L545" s="165"/>
      <c r="M545" s="165"/>
      <c r="N545" s="165">
        <f t="shared" si="10"/>
        <v>0</v>
      </c>
      <c r="O545" s="165" t="s">
        <v>613</v>
      </c>
      <c r="P545" s="165" t="s">
        <v>614</v>
      </c>
      <c r="Q545" s="3">
        <v>11340</v>
      </c>
      <c r="R545" s="4">
        <v>11340</v>
      </c>
      <c r="S545" s="4"/>
    </row>
    <row r="546" spans="1:22">
      <c r="A546" s="165" t="s">
        <v>473</v>
      </c>
      <c r="B546" s="94">
        <v>662</v>
      </c>
      <c r="C546" s="165" t="s">
        <v>1264</v>
      </c>
      <c r="D546" s="165">
        <v>8</v>
      </c>
      <c r="E546" s="165" t="s">
        <v>133</v>
      </c>
      <c r="F546" s="165" t="s">
        <v>2194</v>
      </c>
      <c r="G546" s="165"/>
      <c r="H546" s="165">
        <v>11340</v>
      </c>
      <c r="I546" s="165"/>
      <c r="J546" s="165"/>
      <c r="K546" s="165">
        <v>11340</v>
      </c>
      <c r="L546" s="165"/>
      <c r="M546" s="165"/>
      <c r="N546" s="165">
        <f t="shared" si="10"/>
        <v>0</v>
      </c>
      <c r="O546" s="165" t="s">
        <v>621</v>
      </c>
      <c r="P546" s="165" t="s">
        <v>622</v>
      </c>
      <c r="Q546" s="3">
        <v>11340</v>
      </c>
      <c r="R546" s="4">
        <v>11340</v>
      </c>
      <c r="S546" s="4"/>
    </row>
    <row r="547" spans="1:22">
      <c r="A547" s="165" t="s">
        <v>506</v>
      </c>
      <c r="B547" s="94">
        <v>663</v>
      </c>
      <c r="C547" s="165" t="s">
        <v>1249</v>
      </c>
      <c r="D547" s="165">
        <v>13</v>
      </c>
      <c r="E547" s="165" t="s">
        <v>1046</v>
      </c>
      <c r="F547" s="165" t="s">
        <v>2229</v>
      </c>
      <c r="G547" s="165">
        <v>3780</v>
      </c>
      <c r="H547" s="165"/>
      <c r="I547" s="165"/>
      <c r="J547" s="165">
        <v>3780</v>
      </c>
      <c r="K547" s="165"/>
      <c r="L547" s="165"/>
      <c r="M547" s="165"/>
      <c r="N547" s="165">
        <f t="shared" si="10"/>
        <v>0</v>
      </c>
      <c r="O547" s="165" t="s">
        <v>610</v>
      </c>
      <c r="P547" s="165" t="s">
        <v>611</v>
      </c>
      <c r="Q547" s="3">
        <v>3780</v>
      </c>
      <c r="R547">
        <v>3780</v>
      </c>
    </row>
    <row r="548" spans="1:22" s="3" customFormat="1">
      <c r="A548" s="165" t="s">
        <v>506</v>
      </c>
      <c r="B548" s="94">
        <v>664</v>
      </c>
      <c r="C548" s="165" t="s">
        <v>1249</v>
      </c>
      <c r="D548" s="165">
        <v>14</v>
      </c>
      <c r="E548" s="165" t="s">
        <v>146</v>
      </c>
      <c r="F548" s="165" t="s">
        <v>826</v>
      </c>
      <c r="G548" s="165">
        <v>3780</v>
      </c>
      <c r="H548" s="165"/>
      <c r="I548" s="165"/>
      <c r="J548" s="165">
        <v>3780</v>
      </c>
      <c r="K548" s="165"/>
      <c r="L548" s="165"/>
      <c r="M548" s="165"/>
      <c r="N548" s="165">
        <f t="shared" si="10"/>
        <v>0</v>
      </c>
      <c r="O548" s="165" t="s">
        <v>610</v>
      </c>
      <c r="P548" s="165" t="s">
        <v>611</v>
      </c>
      <c r="Q548" s="3">
        <v>3780</v>
      </c>
      <c r="R548">
        <v>3780</v>
      </c>
      <c r="S548"/>
      <c r="U548"/>
      <c r="V548"/>
    </row>
    <row r="549" spans="1:22" s="3" customFormat="1">
      <c r="A549" s="165" t="s">
        <v>506</v>
      </c>
      <c r="B549" s="94">
        <v>665</v>
      </c>
      <c r="C549" s="165" t="s">
        <v>1249</v>
      </c>
      <c r="D549" s="165">
        <v>15</v>
      </c>
      <c r="E549" s="165" t="s">
        <v>147</v>
      </c>
      <c r="F549" s="165" t="s">
        <v>1047</v>
      </c>
      <c r="G549" s="165">
        <v>3780</v>
      </c>
      <c r="H549" s="165"/>
      <c r="I549" s="165"/>
      <c r="J549" s="165">
        <v>3780</v>
      </c>
      <c r="K549" s="165"/>
      <c r="L549" s="165"/>
      <c r="M549" s="165"/>
      <c r="N549" s="165">
        <f t="shared" si="10"/>
        <v>0</v>
      </c>
      <c r="O549" s="165" t="s">
        <v>631</v>
      </c>
      <c r="P549" s="165" t="s">
        <v>632</v>
      </c>
      <c r="Q549" s="3">
        <v>3780</v>
      </c>
      <c r="R549">
        <v>3780</v>
      </c>
      <c r="S549"/>
      <c r="U549"/>
      <c r="V549"/>
    </row>
    <row r="550" spans="1:22" s="3" customFormat="1">
      <c r="A550" s="165" t="s">
        <v>506</v>
      </c>
      <c r="B550" s="94">
        <v>666</v>
      </c>
      <c r="C550" s="165" t="s">
        <v>1249</v>
      </c>
      <c r="D550" s="165">
        <v>16</v>
      </c>
      <c r="E550" s="165" t="s">
        <v>148</v>
      </c>
      <c r="F550" s="165" t="s">
        <v>2232</v>
      </c>
      <c r="G550" s="165">
        <v>3780</v>
      </c>
      <c r="H550" s="165"/>
      <c r="I550" s="165"/>
      <c r="J550" s="165">
        <v>3780</v>
      </c>
      <c r="K550" s="165"/>
      <c r="L550" s="165"/>
      <c r="M550" s="165"/>
      <c r="N550" s="165">
        <f t="shared" si="10"/>
        <v>0</v>
      </c>
      <c r="O550" s="165" t="s">
        <v>2162</v>
      </c>
      <c r="P550" s="165" t="s">
        <v>1024</v>
      </c>
      <c r="Q550" s="3">
        <v>3780</v>
      </c>
      <c r="R550">
        <v>3780</v>
      </c>
      <c r="S550"/>
      <c r="U550"/>
      <c r="V550"/>
    </row>
    <row r="551" spans="1:22" s="3" customFormat="1">
      <c r="A551" s="165" t="s">
        <v>506</v>
      </c>
      <c r="B551" s="94">
        <v>667</v>
      </c>
      <c r="C551" s="165" t="s">
        <v>1249</v>
      </c>
      <c r="D551" s="165">
        <v>17</v>
      </c>
      <c r="E551" s="165" t="s">
        <v>149</v>
      </c>
      <c r="F551" s="165" t="s">
        <v>827</v>
      </c>
      <c r="G551" s="165">
        <v>3780</v>
      </c>
      <c r="H551" s="165"/>
      <c r="I551" s="165"/>
      <c r="J551" s="165">
        <v>3780</v>
      </c>
      <c r="K551" s="165"/>
      <c r="L551" s="165"/>
      <c r="M551" s="165"/>
      <c r="N551" s="165">
        <f t="shared" si="10"/>
        <v>0</v>
      </c>
      <c r="O551" s="165" t="s">
        <v>612</v>
      </c>
      <c r="P551" s="165" t="s">
        <v>2201</v>
      </c>
      <c r="Q551" s="3">
        <v>3780</v>
      </c>
      <c r="R551">
        <v>3780</v>
      </c>
      <c r="S551"/>
      <c r="U551"/>
      <c r="V551"/>
    </row>
    <row r="552" spans="1:22" s="3" customFormat="1">
      <c r="A552" s="165" t="s">
        <v>506</v>
      </c>
      <c r="B552" s="94">
        <v>668</v>
      </c>
      <c r="C552" s="165" t="s">
        <v>1249</v>
      </c>
      <c r="D552" s="165">
        <v>18</v>
      </c>
      <c r="E552" s="165" t="s">
        <v>1048</v>
      </c>
      <c r="F552" s="165" t="s">
        <v>1049</v>
      </c>
      <c r="G552" s="165">
        <v>3780</v>
      </c>
      <c r="H552" s="165"/>
      <c r="I552" s="165"/>
      <c r="J552" s="165">
        <v>3780</v>
      </c>
      <c r="K552" s="165"/>
      <c r="L552" s="165"/>
      <c r="M552" s="165"/>
      <c r="N552" s="165">
        <f t="shared" si="10"/>
        <v>0</v>
      </c>
      <c r="O552" s="165" t="s">
        <v>633</v>
      </c>
      <c r="P552" s="165" t="s">
        <v>634</v>
      </c>
      <c r="Q552" s="3">
        <v>3780</v>
      </c>
      <c r="R552">
        <v>3780</v>
      </c>
      <c r="S552"/>
      <c r="U552"/>
      <c r="V552"/>
    </row>
    <row r="553" spans="1:22" s="3" customFormat="1">
      <c r="A553" s="165" t="s">
        <v>506</v>
      </c>
      <c r="B553" s="94">
        <v>669</v>
      </c>
      <c r="C553" s="165" t="s">
        <v>1249</v>
      </c>
      <c r="D553" s="165">
        <v>19</v>
      </c>
      <c r="E553" s="165" t="s">
        <v>150</v>
      </c>
      <c r="F553" s="165" t="s">
        <v>2234</v>
      </c>
      <c r="G553" s="165">
        <v>3780</v>
      </c>
      <c r="H553" s="165"/>
      <c r="I553" s="165"/>
      <c r="J553" s="165">
        <v>3780</v>
      </c>
      <c r="K553" s="165"/>
      <c r="L553" s="165"/>
      <c r="M553" s="165"/>
      <c r="N553" s="165">
        <f t="shared" si="10"/>
        <v>0</v>
      </c>
      <c r="O553" s="165" t="s">
        <v>2164</v>
      </c>
      <c r="P553" s="165" t="s">
        <v>1025</v>
      </c>
      <c r="Q553" s="3">
        <v>3780</v>
      </c>
      <c r="R553">
        <v>3780</v>
      </c>
      <c r="S553"/>
      <c r="U553"/>
      <c r="V553"/>
    </row>
    <row r="554" spans="1:22" s="3" customFormat="1">
      <c r="A554" s="165" t="s">
        <v>506</v>
      </c>
      <c r="B554" s="94">
        <v>670</v>
      </c>
      <c r="C554" s="165" t="s">
        <v>1249</v>
      </c>
      <c r="D554" s="165">
        <v>20</v>
      </c>
      <c r="E554" s="165" t="s">
        <v>151</v>
      </c>
      <c r="F554" s="165" t="s">
        <v>2099</v>
      </c>
      <c r="G554" s="165">
        <v>3780</v>
      </c>
      <c r="H554" s="165"/>
      <c r="I554" s="165"/>
      <c r="J554" s="165">
        <v>3780</v>
      </c>
      <c r="K554" s="165"/>
      <c r="L554" s="165"/>
      <c r="M554" s="165"/>
      <c r="N554" s="165">
        <f t="shared" si="10"/>
        <v>0</v>
      </c>
      <c r="O554" s="165" t="s">
        <v>613</v>
      </c>
      <c r="P554" s="165" t="s">
        <v>614</v>
      </c>
      <c r="Q554" s="3">
        <v>3780</v>
      </c>
      <c r="R554">
        <v>3780</v>
      </c>
      <c r="S554"/>
      <c r="U554"/>
      <c r="V554"/>
    </row>
    <row r="555" spans="1:22" s="3" customFormat="1">
      <c r="A555" s="165" t="s">
        <v>506</v>
      </c>
      <c r="B555" s="94">
        <v>671</v>
      </c>
      <c r="C555" s="165" t="s">
        <v>1249</v>
      </c>
      <c r="D555" s="165">
        <v>21</v>
      </c>
      <c r="E555" s="165" t="s">
        <v>152</v>
      </c>
      <c r="F555" s="165" t="s">
        <v>1050</v>
      </c>
      <c r="G555" s="165">
        <v>3780</v>
      </c>
      <c r="H555" s="165"/>
      <c r="I555" s="165"/>
      <c r="J555" s="165">
        <v>3780</v>
      </c>
      <c r="K555" s="165"/>
      <c r="L555" s="165"/>
      <c r="M555" s="165"/>
      <c r="N555" s="165">
        <f t="shared" si="10"/>
        <v>0</v>
      </c>
      <c r="O555" s="165" t="s">
        <v>619</v>
      </c>
      <c r="P555" s="165" t="s">
        <v>620</v>
      </c>
      <c r="Q555" s="3">
        <v>3780</v>
      </c>
      <c r="R555">
        <v>3780</v>
      </c>
      <c r="S555"/>
      <c r="U555"/>
      <c r="V555"/>
    </row>
    <row r="556" spans="1:22" s="3" customFormat="1">
      <c r="A556" s="165" t="s">
        <v>506</v>
      </c>
      <c r="B556" s="94">
        <v>672</v>
      </c>
      <c r="C556" s="165" t="s">
        <v>1249</v>
      </c>
      <c r="D556" s="165">
        <v>22</v>
      </c>
      <c r="E556" s="165" t="s">
        <v>153</v>
      </c>
      <c r="F556" s="165" t="s">
        <v>2236</v>
      </c>
      <c r="G556" s="165">
        <v>3780</v>
      </c>
      <c r="H556" s="165"/>
      <c r="I556" s="165"/>
      <c r="J556" s="165">
        <v>3780</v>
      </c>
      <c r="K556" s="165"/>
      <c r="L556" s="165"/>
      <c r="M556" s="165"/>
      <c r="N556" s="165">
        <f t="shared" si="10"/>
        <v>0</v>
      </c>
      <c r="O556" s="165" t="s">
        <v>628</v>
      </c>
      <c r="P556" s="165" t="s">
        <v>629</v>
      </c>
      <c r="Q556" s="3">
        <v>3780</v>
      </c>
      <c r="R556">
        <v>3780</v>
      </c>
      <c r="S556"/>
      <c r="U556"/>
      <c r="V556"/>
    </row>
    <row r="557" spans="1:22" s="3" customFormat="1">
      <c r="A557" s="165" t="s">
        <v>506</v>
      </c>
      <c r="B557" s="94">
        <v>673</v>
      </c>
      <c r="C557" s="165" t="s">
        <v>1249</v>
      </c>
      <c r="D557" s="165">
        <v>23</v>
      </c>
      <c r="E557" s="165" t="s">
        <v>154</v>
      </c>
      <c r="F557" s="165" t="s">
        <v>1051</v>
      </c>
      <c r="G557" s="165">
        <v>3780</v>
      </c>
      <c r="H557" s="165"/>
      <c r="I557" s="165"/>
      <c r="J557" s="165"/>
      <c r="K557" s="165">
        <v>3780</v>
      </c>
      <c r="L557" s="165"/>
      <c r="M557" s="165"/>
      <c r="N557" s="165">
        <f t="shared" si="10"/>
        <v>0</v>
      </c>
      <c r="O557" s="165" t="s">
        <v>621</v>
      </c>
      <c r="P557" s="165" t="s">
        <v>622</v>
      </c>
      <c r="Q557" s="3">
        <v>3780</v>
      </c>
      <c r="R557">
        <v>3780</v>
      </c>
      <c r="S557"/>
      <c r="U557"/>
      <c r="V557"/>
    </row>
    <row r="558" spans="1:22" s="3" customFormat="1">
      <c r="A558" s="165" t="s">
        <v>506</v>
      </c>
      <c r="B558" s="94">
        <v>674</v>
      </c>
      <c r="C558" s="165" t="s">
        <v>1249</v>
      </c>
      <c r="D558" s="165">
        <v>24</v>
      </c>
      <c r="E558" s="165" t="s">
        <v>155</v>
      </c>
      <c r="F558" s="165" t="s">
        <v>1052</v>
      </c>
      <c r="G558" s="165">
        <v>3780</v>
      </c>
      <c r="H558" s="165"/>
      <c r="I558" s="165"/>
      <c r="J558" s="165"/>
      <c r="K558" s="165">
        <v>3780</v>
      </c>
      <c r="L558" s="165"/>
      <c r="M558" s="165"/>
      <c r="N558" s="165">
        <f t="shared" si="10"/>
        <v>0</v>
      </c>
      <c r="O558" s="165" t="s">
        <v>625</v>
      </c>
      <c r="P558" s="165" t="s">
        <v>626</v>
      </c>
      <c r="Q558" s="3">
        <v>3780</v>
      </c>
      <c r="R558">
        <v>3780</v>
      </c>
      <c r="S558"/>
      <c r="U558"/>
      <c r="V558"/>
    </row>
    <row r="559" spans="1:22" s="3" customFormat="1">
      <c r="A559" s="165" t="s">
        <v>507</v>
      </c>
      <c r="B559" s="94">
        <v>675</v>
      </c>
      <c r="C559" s="165" t="s">
        <v>7</v>
      </c>
      <c r="D559" s="165">
        <v>1</v>
      </c>
      <c r="E559" s="165" t="s">
        <v>1053</v>
      </c>
      <c r="F559" s="165" t="s">
        <v>2778</v>
      </c>
      <c r="G559" s="165">
        <v>13230</v>
      </c>
      <c r="H559" s="165"/>
      <c r="I559" s="165"/>
      <c r="J559" s="165">
        <v>13230</v>
      </c>
      <c r="K559" s="165"/>
      <c r="L559" s="165"/>
      <c r="M559" s="165"/>
      <c r="N559" s="165">
        <f t="shared" si="10"/>
        <v>0</v>
      </c>
      <c r="O559" s="165" t="s">
        <v>610</v>
      </c>
      <c r="P559" s="165" t="s">
        <v>611</v>
      </c>
      <c r="Q559" s="3">
        <v>13230</v>
      </c>
      <c r="R559">
        <v>13230</v>
      </c>
      <c r="S559"/>
      <c r="U559"/>
      <c r="V559"/>
    </row>
    <row r="560" spans="1:22" s="3" customFormat="1">
      <c r="A560" s="165" t="s">
        <v>507</v>
      </c>
      <c r="B560" s="94">
        <v>676</v>
      </c>
      <c r="C560" s="165" t="s">
        <v>7</v>
      </c>
      <c r="D560" s="165">
        <v>2</v>
      </c>
      <c r="E560" s="165" t="s">
        <v>141</v>
      </c>
      <c r="F560" s="165" t="s">
        <v>1007</v>
      </c>
      <c r="G560" s="165">
        <v>13230</v>
      </c>
      <c r="H560" s="165"/>
      <c r="I560" s="165"/>
      <c r="J560" s="165">
        <v>13230</v>
      </c>
      <c r="K560" s="165"/>
      <c r="L560" s="165"/>
      <c r="M560" s="165"/>
      <c r="N560" s="165">
        <f t="shared" si="10"/>
        <v>0</v>
      </c>
      <c r="O560" s="165" t="s">
        <v>627</v>
      </c>
      <c r="P560" s="165" t="s">
        <v>827</v>
      </c>
      <c r="Q560" s="3">
        <v>13230</v>
      </c>
      <c r="R560">
        <v>13230</v>
      </c>
      <c r="S560"/>
      <c r="U560"/>
      <c r="V560"/>
    </row>
    <row r="561" spans="1:22" s="3" customFormat="1">
      <c r="A561" s="165" t="s">
        <v>507</v>
      </c>
      <c r="B561" s="94">
        <v>677</v>
      </c>
      <c r="C561" s="165" t="s">
        <v>7</v>
      </c>
      <c r="D561" s="165">
        <v>3</v>
      </c>
      <c r="E561" s="165" t="s">
        <v>142</v>
      </c>
      <c r="F561" s="165" t="s">
        <v>1008</v>
      </c>
      <c r="G561" s="165">
        <v>13230</v>
      </c>
      <c r="H561" s="165"/>
      <c r="I561" s="165"/>
      <c r="J561" s="165">
        <v>13230</v>
      </c>
      <c r="K561" s="165"/>
      <c r="L561" s="165"/>
      <c r="M561" s="165"/>
      <c r="N561" s="165">
        <f t="shared" si="10"/>
        <v>0</v>
      </c>
      <c r="O561" s="165" t="s">
        <v>613</v>
      </c>
      <c r="P561" s="165" t="s">
        <v>614</v>
      </c>
      <c r="Q561" s="3">
        <v>13230</v>
      </c>
      <c r="R561">
        <v>13230</v>
      </c>
      <c r="S561"/>
      <c r="U561"/>
      <c r="V561"/>
    </row>
    <row r="562" spans="1:22" s="3" customFormat="1">
      <c r="A562" s="165" t="s">
        <v>507</v>
      </c>
      <c r="B562" s="94">
        <v>678</v>
      </c>
      <c r="C562" s="165" t="s">
        <v>7</v>
      </c>
      <c r="D562" s="165">
        <v>4</v>
      </c>
      <c r="E562" s="165" t="s">
        <v>143</v>
      </c>
      <c r="F562" s="165" t="s">
        <v>2166</v>
      </c>
      <c r="G562" s="165">
        <v>13230</v>
      </c>
      <c r="H562" s="165"/>
      <c r="I562" s="165"/>
      <c r="J562" s="165">
        <v>13230</v>
      </c>
      <c r="K562" s="165"/>
      <c r="L562" s="165"/>
      <c r="M562" s="165"/>
      <c r="N562" s="165">
        <f t="shared" si="10"/>
        <v>0</v>
      </c>
      <c r="O562" s="165" t="s">
        <v>621</v>
      </c>
      <c r="P562" s="165" t="s">
        <v>622</v>
      </c>
      <c r="Q562" s="3">
        <v>13230</v>
      </c>
      <c r="R562">
        <v>13230</v>
      </c>
      <c r="S562"/>
      <c r="U562"/>
      <c r="V562"/>
    </row>
    <row r="563" spans="1:22" s="3" customFormat="1">
      <c r="A563" s="165" t="s">
        <v>507</v>
      </c>
      <c r="B563" s="94">
        <v>679</v>
      </c>
      <c r="C563" s="165" t="s">
        <v>7</v>
      </c>
      <c r="D563" s="165">
        <v>5</v>
      </c>
      <c r="E563" s="165" t="s">
        <v>1054</v>
      </c>
      <c r="F563" s="165" t="s">
        <v>1010</v>
      </c>
      <c r="G563" s="165">
        <v>13230</v>
      </c>
      <c r="H563" s="165"/>
      <c r="I563" s="165"/>
      <c r="J563" s="165"/>
      <c r="K563" s="165">
        <v>13230</v>
      </c>
      <c r="L563" s="165"/>
      <c r="M563" s="165"/>
      <c r="N563" s="165">
        <f t="shared" si="10"/>
        <v>0</v>
      </c>
      <c r="O563" s="165" t="s">
        <v>3159</v>
      </c>
      <c r="P563" s="165" t="s">
        <v>3160</v>
      </c>
      <c r="Q563" s="3">
        <v>13230</v>
      </c>
      <c r="R563">
        <v>13230</v>
      </c>
      <c r="S563"/>
      <c r="U563"/>
      <c r="V563"/>
    </row>
    <row r="564" spans="1:22">
      <c r="A564" s="165" t="s">
        <v>507</v>
      </c>
      <c r="B564" s="94">
        <v>680</v>
      </c>
      <c r="C564" s="165" t="s">
        <v>7</v>
      </c>
      <c r="D564" s="165">
        <v>6</v>
      </c>
      <c r="E564" s="165" t="s">
        <v>144</v>
      </c>
      <c r="F564" s="165" t="s">
        <v>1011</v>
      </c>
      <c r="G564" s="165">
        <v>13230</v>
      </c>
      <c r="H564" s="165"/>
      <c r="I564" s="165"/>
      <c r="J564" s="165"/>
      <c r="K564" s="165">
        <v>13230</v>
      </c>
      <c r="L564" s="165"/>
      <c r="M564" s="165"/>
      <c r="N564" s="165">
        <f t="shared" si="10"/>
        <v>0</v>
      </c>
      <c r="O564" s="165" t="s">
        <v>3164</v>
      </c>
      <c r="P564" s="165" t="s">
        <v>808</v>
      </c>
      <c r="Q564" s="3">
        <v>13230</v>
      </c>
      <c r="R564">
        <v>13230</v>
      </c>
    </row>
    <row r="565" spans="1:22">
      <c r="A565" s="165" t="s">
        <v>507</v>
      </c>
      <c r="B565" s="94">
        <v>681</v>
      </c>
      <c r="C565" s="165" t="s">
        <v>7</v>
      </c>
      <c r="D565" s="165">
        <v>7</v>
      </c>
      <c r="E565" s="165" t="s">
        <v>1055</v>
      </c>
      <c r="F565" s="165" t="s">
        <v>1012</v>
      </c>
      <c r="G565" s="165">
        <v>13230</v>
      </c>
      <c r="H565" s="165"/>
      <c r="I565" s="165"/>
      <c r="J565" s="165"/>
      <c r="K565" s="165">
        <v>13230</v>
      </c>
      <c r="L565" s="165"/>
      <c r="M565" s="165"/>
      <c r="N565" s="165">
        <f t="shared" si="10"/>
        <v>0</v>
      </c>
      <c r="O565" s="165" t="s">
        <v>3165</v>
      </c>
      <c r="P565" s="165" t="s">
        <v>3166</v>
      </c>
      <c r="Q565" s="3">
        <v>13230</v>
      </c>
      <c r="R565">
        <v>13230</v>
      </c>
    </row>
    <row r="566" spans="1:22">
      <c r="A566" s="165" t="s">
        <v>507</v>
      </c>
      <c r="B566" s="94">
        <v>682</v>
      </c>
      <c r="C566" s="165" t="s">
        <v>7</v>
      </c>
      <c r="D566" s="165">
        <v>8</v>
      </c>
      <c r="E566" s="165" t="s">
        <v>145</v>
      </c>
      <c r="F566" s="165" t="s">
        <v>1056</v>
      </c>
      <c r="G566" s="165">
        <v>13230</v>
      </c>
      <c r="H566" s="165"/>
      <c r="I566" s="165"/>
      <c r="J566" s="165"/>
      <c r="K566" s="211">
        <v>13230</v>
      </c>
      <c r="L566" s="165"/>
      <c r="M566" s="211">
        <v>13230</v>
      </c>
      <c r="N566" s="165">
        <f t="shared" si="10"/>
        <v>0</v>
      </c>
      <c r="O566" s="165" t="s">
        <v>3171</v>
      </c>
      <c r="P566" s="165" t="s">
        <v>3172</v>
      </c>
      <c r="Q566" s="3">
        <v>13230</v>
      </c>
      <c r="R566">
        <v>13230</v>
      </c>
    </row>
    <row r="567" spans="1:22">
      <c r="A567" s="165" t="s">
        <v>1057</v>
      </c>
      <c r="B567" s="94">
        <v>683</v>
      </c>
      <c r="C567" s="165" t="s">
        <v>2422</v>
      </c>
      <c r="D567" s="165">
        <v>1</v>
      </c>
      <c r="E567" s="165" t="s">
        <v>1058</v>
      </c>
      <c r="F567" s="165" t="s">
        <v>1059</v>
      </c>
      <c r="G567" s="165">
        <v>13230</v>
      </c>
      <c r="H567" s="165"/>
      <c r="I567" s="165"/>
      <c r="J567" s="165">
        <v>13230</v>
      </c>
      <c r="K567" s="165"/>
      <c r="L567" s="165"/>
      <c r="M567" s="165"/>
      <c r="N567" s="165">
        <f t="shared" si="10"/>
        <v>0</v>
      </c>
      <c r="O567" s="165" t="s">
        <v>631</v>
      </c>
      <c r="P567" s="165" t="s">
        <v>632</v>
      </c>
      <c r="Q567" s="3">
        <v>13230</v>
      </c>
      <c r="R567">
        <v>13230</v>
      </c>
    </row>
    <row r="568" spans="1:22">
      <c r="A568" s="165" t="s">
        <v>1057</v>
      </c>
      <c r="B568" s="94">
        <v>684</v>
      </c>
      <c r="C568" s="165" t="s">
        <v>2422</v>
      </c>
      <c r="D568" s="165">
        <v>2</v>
      </c>
      <c r="E568" s="165" t="s">
        <v>134</v>
      </c>
      <c r="F568" s="165" t="s">
        <v>1060</v>
      </c>
      <c r="G568" s="165">
        <v>13230</v>
      </c>
      <c r="H568" s="165"/>
      <c r="I568" s="165"/>
      <c r="J568" s="165">
        <v>13230</v>
      </c>
      <c r="K568" s="165"/>
      <c r="L568" s="165"/>
      <c r="M568" s="165"/>
      <c r="N568" s="165">
        <f t="shared" si="10"/>
        <v>0</v>
      </c>
      <c r="O568" s="165" t="s">
        <v>633</v>
      </c>
      <c r="P568" s="165" t="s">
        <v>634</v>
      </c>
      <c r="Q568" s="3">
        <v>13230</v>
      </c>
      <c r="R568">
        <v>13230</v>
      </c>
    </row>
    <row r="569" spans="1:22">
      <c r="A569" s="165" t="s">
        <v>1057</v>
      </c>
      <c r="B569" s="94">
        <v>685</v>
      </c>
      <c r="C569" s="165" t="s">
        <v>2422</v>
      </c>
      <c r="D569" s="165">
        <v>3</v>
      </c>
      <c r="E569" s="165" t="s">
        <v>135</v>
      </c>
      <c r="F569" s="165" t="s">
        <v>1061</v>
      </c>
      <c r="G569" s="165">
        <v>13230</v>
      </c>
      <c r="H569" s="165"/>
      <c r="I569" s="165"/>
      <c r="J569" s="165">
        <v>13230</v>
      </c>
      <c r="K569" s="165"/>
      <c r="L569" s="165"/>
      <c r="M569" s="165"/>
      <c r="N569" s="165">
        <f t="shared" si="10"/>
        <v>0</v>
      </c>
      <c r="O569" s="165" t="s">
        <v>619</v>
      </c>
      <c r="P569" s="165" t="s">
        <v>620</v>
      </c>
      <c r="Q569" s="3">
        <v>13230</v>
      </c>
      <c r="R569">
        <v>13230</v>
      </c>
    </row>
    <row r="570" spans="1:22">
      <c r="A570" s="165" t="s">
        <v>1057</v>
      </c>
      <c r="B570" s="94">
        <v>686</v>
      </c>
      <c r="C570" s="165" t="s">
        <v>2422</v>
      </c>
      <c r="D570" s="165">
        <v>4</v>
      </c>
      <c r="E570" s="165" t="s">
        <v>136</v>
      </c>
      <c r="F570" s="165" t="s">
        <v>1062</v>
      </c>
      <c r="G570" s="165">
        <v>13230</v>
      </c>
      <c r="H570" s="165"/>
      <c r="I570" s="165"/>
      <c r="J570" s="165"/>
      <c r="K570" s="165">
        <v>13230</v>
      </c>
      <c r="L570" s="165"/>
      <c r="M570" s="165"/>
      <c r="N570" s="165">
        <f t="shared" si="10"/>
        <v>0</v>
      </c>
      <c r="O570" s="165" t="s">
        <v>625</v>
      </c>
      <c r="P570" s="165" t="s">
        <v>626</v>
      </c>
      <c r="Q570" s="3">
        <v>13230</v>
      </c>
      <c r="R570">
        <v>13230</v>
      </c>
    </row>
    <row r="571" spans="1:22">
      <c r="A571" s="165" t="s">
        <v>1057</v>
      </c>
      <c r="B571" s="94">
        <v>687</v>
      </c>
      <c r="C571" s="165" t="s">
        <v>2422</v>
      </c>
      <c r="D571" s="165">
        <v>5</v>
      </c>
      <c r="E571" s="165" t="s">
        <v>137</v>
      </c>
      <c r="F571" s="165" t="s">
        <v>1063</v>
      </c>
      <c r="G571" s="165">
        <v>13230</v>
      </c>
      <c r="H571" s="165"/>
      <c r="I571" s="165"/>
      <c r="J571" s="165"/>
      <c r="K571" s="165">
        <v>13230</v>
      </c>
      <c r="L571" s="165"/>
      <c r="M571" s="165"/>
      <c r="N571" s="165">
        <f t="shared" si="10"/>
        <v>0</v>
      </c>
      <c r="O571" s="165" t="s">
        <v>683</v>
      </c>
      <c r="P571" s="165" t="s">
        <v>3163</v>
      </c>
      <c r="Q571" s="3">
        <v>13230</v>
      </c>
      <c r="R571">
        <v>13230</v>
      </c>
    </row>
    <row r="572" spans="1:22">
      <c r="A572" s="165" t="s">
        <v>1057</v>
      </c>
      <c r="B572" s="94">
        <v>688</v>
      </c>
      <c r="C572" s="165" t="s">
        <v>2422</v>
      </c>
      <c r="D572" s="165">
        <v>6</v>
      </c>
      <c r="E572" s="165" t="s">
        <v>138</v>
      </c>
      <c r="F572" s="165" t="s">
        <v>1064</v>
      </c>
      <c r="G572" s="165">
        <v>13230</v>
      </c>
      <c r="H572" s="165"/>
      <c r="I572" s="165"/>
      <c r="J572" s="165"/>
      <c r="K572" s="165">
        <v>13230</v>
      </c>
      <c r="L572" s="165"/>
      <c r="M572" s="165"/>
      <c r="N572" s="165">
        <f t="shared" si="10"/>
        <v>0</v>
      </c>
      <c r="O572" s="165" t="s">
        <v>3167</v>
      </c>
      <c r="P572" s="165" t="s">
        <v>3168</v>
      </c>
      <c r="Q572" s="3">
        <v>13230</v>
      </c>
      <c r="R572">
        <v>13230</v>
      </c>
    </row>
    <row r="573" spans="1:22">
      <c r="A573" s="165" t="s">
        <v>1057</v>
      </c>
      <c r="B573" s="94">
        <v>689</v>
      </c>
      <c r="C573" s="165" t="s">
        <v>2422</v>
      </c>
      <c r="D573" s="165">
        <v>7</v>
      </c>
      <c r="E573" s="165" t="s">
        <v>139</v>
      </c>
      <c r="F573" s="165" t="s">
        <v>1065</v>
      </c>
      <c r="G573" s="165">
        <v>13230</v>
      </c>
      <c r="H573" s="165"/>
      <c r="I573" s="165"/>
      <c r="J573" s="165"/>
      <c r="K573" s="165">
        <v>13230</v>
      </c>
      <c r="L573" s="165"/>
      <c r="M573" s="165"/>
      <c r="N573" s="165">
        <f t="shared" si="10"/>
        <v>0</v>
      </c>
      <c r="O573" s="165" t="s">
        <v>3169</v>
      </c>
      <c r="P573" s="165" t="s">
        <v>3170</v>
      </c>
      <c r="Q573" s="3">
        <v>13230</v>
      </c>
      <c r="R573">
        <v>13230</v>
      </c>
    </row>
    <row r="574" spans="1:22">
      <c r="A574" s="165" t="s">
        <v>1057</v>
      </c>
      <c r="B574" s="94">
        <v>690</v>
      </c>
      <c r="C574" s="165" t="s">
        <v>2422</v>
      </c>
      <c r="D574" s="165">
        <v>8</v>
      </c>
      <c r="E574" s="165" t="s">
        <v>140</v>
      </c>
      <c r="F574" s="165" t="s">
        <v>1066</v>
      </c>
      <c r="G574" s="165">
        <v>13230</v>
      </c>
      <c r="H574" s="165"/>
      <c r="I574" s="165"/>
      <c r="J574" s="165"/>
      <c r="K574" s="165"/>
      <c r="L574" s="165">
        <v>13230</v>
      </c>
      <c r="M574" s="165"/>
      <c r="N574" s="165">
        <f t="shared" si="10"/>
        <v>0</v>
      </c>
      <c r="O574" s="165" t="s">
        <v>3934</v>
      </c>
      <c r="P574" s="165" t="s">
        <v>3935</v>
      </c>
      <c r="Q574" s="3">
        <v>13230</v>
      </c>
      <c r="R574">
        <v>13230</v>
      </c>
    </row>
    <row r="575" spans="1:22" s="163" customFormat="1">
      <c r="A575" s="281" t="s">
        <v>533</v>
      </c>
      <c r="B575" s="281"/>
      <c r="C575" s="281" t="s">
        <v>1532</v>
      </c>
      <c r="D575" s="281">
        <v>1</v>
      </c>
      <c r="E575" s="281" t="s">
        <v>1283</v>
      </c>
      <c r="F575" s="281" t="s">
        <v>533</v>
      </c>
      <c r="G575" s="284"/>
      <c r="H575" s="284"/>
      <c r="I575" s="284"/>
      <c r="J575" s="281"/>
      <c r="K575" s="281"/>
      <c r="L575" s="281"/>
      <c r="M575" s="281"/>
      <c r="N575" s="281">
        <f t="shared" si="10"/>
        <v>0</v>
      </c>
      <c r="O575" s="281" t="s">
        <v>533</v>
      </c>
      <c r="P575" s="281" t="s">
        <v>533</v>
      </c>
      <c r="Q575" s="281">
        <v>13500</v>
      </c>
      <c r="R575" s="281">
        <v>13485</v>
      </c>
      <c r="S575" s="281"/>
      <c r="T575" s="284">
        <v>15</v>
      </c>
    </row>
    <row r="576" spans="1:22">
      <c r="A576" s="165" t="s">
        <v>624</v>
      </c>
      <c r="B576" s="165">
        <v>691</v>
      </c>
      <c r="C576" s="165" t="s">
        <v>1013</v>
      </c>
      <c r="D576" s="165">
        <v>2</v>
      </c>
      <c r="E576" s="165" t="s">
        <v>638</v>
      </c>
      <c r="F576" s="165" t="s">
        <v>624</v>
      </c>
      <c r="G576" s="165">
        <v>126000</v>
      </c>
      <c r="H576" s="165"/>
      <c r="I576" s="165"/>
      <c r="J576" s="209">
        <v>126000</v>
      </c>
      <c r="K576" s="209"/>
      <c r="L576" s="209"/>
      <c r="M576" s="209"/>
      <c r="N576" s="209">
        <f t="shared" si="10"/>
        <v>0</v>
      </c>
      <c r="O576" s="165" t="s">
        <v>624</v>
      </c>
      <c r="P576" s="165" t="s">
        <v>609</v>
      </c>
      <c r="Q576" s="3">
        <v>126000</v>
      </c>
      <c r="R576">
        <v>126000</v>
      </c>
      <c r="U576" t="s">
        <v>639</v>
      </c>
    </row>
    <row r="577" spans="1:21" s="163" customFormat="1">
      <c r="A577" s="281" t="s">
        <v>609</v>
      </c>
      <c r="B577" s="281"/>
      <c r="C577" s="281" t="s">
        <v>1016</v>
      </c>
      <c r="D577" s="281">
        <v>2</v>
      </c>
      <c r="E577" s="281" t="s">
        <v>1283</v>
      </c>
      <c r="F577" s="281" t="s">
        <v>609</v>
      </c>
      <c r="G577" s="284"/>
      <c r="H577" s="284"/>
      <c r="I577" s="284"/>
      <c r="J577" s="281"/>
      <c r="K577" s="281"/>
      <c r="L577" s="281"/>
      <c r="M577" s="281"/>
      <c r="N577" s="281">
        <f t="shared" ref="N577:N640" si="11">G577+H577+I577-K577-J577-L577</f>
        <v>0</v>
      </c>
      <c r="O577" s="281" t="s">
        <v>609</v>
      </c>
      <c r="P577" s="281" t="s">
        <v>609</v>
      </c>
      <c r="Q577" s="281">
        <v>126000</v>
      </c>
      <c r="R577" s="281">
        <v>126000</v>
      </c>
      <c r="S577" s="281"/>
      <c r="T577" s="284"/>
      <c r="U577" s="163" t="s">
        <v>639</v>
      </c>
    </row>
    <row r="578" spans="1:21" s="5" customFormat="1">
      <c r="A578" s="94" t="s">
        <v>640</v>
      </c>
      <c r="B578" s="165">
        <v>692</v>
      </c>
      <c r="C578" s="94" t="s">
        <v>1232</v>
      </c>
      <c r="D578" s="94">
        <v>9</v>
      </c>
      <c r="E578" s="94" t="s">
        <v>641</v>
      </c>
      <c r="F578" s="94" t="s">
        <v>2109</v>
      </c>
      <c r="G578" s="94">
        <v>16380</v>
      </c>
      <c r="H578" s="94"/>
      <c r="I578" s="94"/>
      <c r="J578" s="94">
        <v>16380</v>
      </c>
      <c r="K578" s="94"/>
      <c r="L578" s="94"/>
      <c r="M578" s="94"/>
      <c r="N578" s="94">
        <f t="shared" si="11"/>
        <v>0</v>
      </c>
      <c r="O578" s="94" t="s">
        <v>610</v>
      </c>
      <c r="P578" s="94" t="s">
        <v>611</v>
      </c>
      <c r="Q578" s="93">
        <v>16380</v>
      </c>
      <c r="R578" s="4">
        <v>16380</v>
      </c>
      <c r="S578" s="4"/>
      <c r="T578" s="93"/>
    </row>
    <row r="579" spans="1:21" s="163" customFormat="1">
      <c r="A579" s="281" t="s">
        <v>2232</v>
      </c>
      <c r="B579" s="281"/>
      <c r="C579" s="281" t="s">
        <v>3825</v>
      </c>
      <c r="D579" s="281">
        <v>2</v>
      </c>
      <c r="E579" s="281" t="s">
        <v>1283</v>
      </c>
      <c r="F579" s="281" t="s">
        <v>2232</v>
      </c>
      <c r="G579" s="284"/>
      <c r="H579" s="284"/>
      <c r="I579" s="284"/>
      <c r="J579" s="281"/>
      <c r="K579" s="281"/>
      <c r="L579" s="281"/>
      <c r="M579" s="281"/>
      <c r="N579" s="281">
        <f t="shared" si="11"/>
        <v>0</v>
      </c>
      <c r="O579" s="281" t="s">
        <v>2232</v>
      </c>
      <c r="P579" s="281" t="s">
        <v>2232</v>
      </c>
      <c r="Q579" s="281">
        <v>14175</v>
      </c>
      <c r="R579" s="281">
        <v>14145</v>
      </c>
      <c r="S579" s="281"/>
      <c r="T579" s="284">
        <v>30</v>
      </c>
    </row>
    <row r="580" spans="1:21">
      <c r="A580" s="165" t="s">
        <v>2331</v>
      </c>
      <c r="B580" s="165">
        <v>693</v>
      </c>
      <c r="C580" s="165" t="s">
        <v>857</v>
      </c>
      <c r="D580" s="165">
        <v>1</v>
      </c>
      <c r="E580" s="165" t="s">
        <v>642</v>
      </c>
      <c r="F580" s="165" t="s">
        <v>1007</v>
      </c>
      <c r="G580" s="165">
        <v>14175</v>
      </c>
      <c r="H580" s="165"/>
      <c r="I580" s="165"/>
      <c r="J580" s="209">
        <v>14175</v>
      </c>
      <c r="K580" s="209"/>
      <c r="L580" s="209"/>
      <c r="M580" s="209"/>
      <c r="N580" s="209">
        <f t="shared" si="11"/>
        <v>0</v>
      </c>
      <c r="O580" s="165" t="s">
        <v>627</v>
      </c>
      <c r="P580" s="165" t="s">
        <v>827</v>
      </c>
      <c r="Q580" s="3">
        <v>14175</v>
      </c>
      <c r="R580" s="249">
        <v>14175</v>
      </c>
      <c r="S580" s="249"/>
    </row>
    <row r="581" spans="1:21">
      <c r="A581" s="165" t="s">
        <v>2331</v>
      </c>
      <c r="B581" s="165">
        <v>694</v>
      </c>
      <c r="C581" s="165" t="s">
        <v>857</v>
      </c>
      <c r="D581" s="165">
        <v>2</v>
      </c>
      <c r="E581" s="165" t="s">
        <v>643</v>
      </c>
      <c r="F581" s="165" t="s">
        <v>1008</v>
      </c>
      <c r="G581" s="165">
        <v>14175</v>
      </c>
      <c r="H581" s="165"/>
      <c r="I581" s="165"/>
      <c r="J581" s="209">
        <v>14175</v>
      </c>
      <c r="K581" s="209"/>
      <c r="L581" s="209"/>
      <c r="M581" s="209"/>
      <c r="N581" s="209">
        <f t="shared" si="11"/>
        <v>0</v>
      </c>
      <c r="O581" s="165" t="s">
        <v>613</v>
      </c>
      <c r="P581" s="165" t="s">
        <v>614</v>
      </c>
      <c r="Q581" s="3">
        <v>14175</v>
      </c>
      <c r="R581" s="94">
        <v>14175</v>
      </c>
      <c r="S581" s="94"/>
    </row>
    <row r="582" spans="1:21">
      <c r="A582" s="165" t="s">
        <v>2331</v>
      </c>
      <c r="B582" s="165">
        <v>695</v>
      </c>
      <c r="C582" s="165" t="s">
        <v>857</v>
      </c>
      <c r="D582" s="165">
        <v>3</v>
      </c>
      <c r="E582" s="165" t="s">
        <v>644</v>
      </c>
      <c r="F582" s="165" t="s">
        <v>645</v>
      </c>
      <c r="G582" s="165">
        <v>14175</v>
      </c>
      <c r="H582" s="165"/>
      <c r="I582" s="165"/>
      <c r="J582" s="209">
        <v>14175</v>
      </c>
      <c r="K582" s="209"/>
      <c r="L582" s="209"/>
      <c r="M582" s="209"/>
      <c r="N582" s="209">
        <f t="shared" si="11"/>
        <v>0</v>
      </c>
      <c r="O582" s="165" t="s">
        <v>621</v>
      </c>
      <c r="P582" s="165" t="s">
        <v>622</v>
      </c>
      <c r="Q582" s="3">
        <v>14175</v>
      </c>
      <c r="R582" s="3">
        <v>14175</v>
      </c>
      <c r="S582" s="3"/>
    </row>
    <row r="583" spans="1:21">
      <c r="A583" s="165" t="s">
        <v>2331</v>
      </c>
      <c r="B583" s="165">
        <v>696</v>
      </c>
      <c r="C583" s="165" t="s">
        <v>857</v>
      </c>
      <c r="D583" s="165">
        <v>4</v>
      </c>
      <c r="E583" s="165" t="s">
        <v>646</v>
      </c>
      <c r="F583" s="165" t="s">
        <v>647</v>
      </c>
      <c r="G583" s="165">
        <v>14175</v>
      </c>
      <c r="H583" s="165"/>
      <c r="I583" s="165"/>
      <c r="J583" s="209"/>
      <c r="K583" s="209">
        <v>14175</v>
      </c>
      <c r="L583" s="209"/>
      <c r="M583" s="209"/>
      <c r="N583" s="209">
        <f t="shared" si="11"/>
        <v>0</v>
      </c>
      <c r="O583" s="165" t="s">
        <v>3159</v>
      </c>
      <c r="P583" s="165" t="s">
        <v>3160</v>
      </c>
      <c r="Q583" s="3">
        <v>14175</v>
      </c>
      <c r="R583">
        <v>14175</v>
      </c>
    </row>
    <row r="584" spans="1:21">
      <c r="A584" s="165" t="s">
        <v>2331</v>
      </c>
      <c r="B584" s="165">
        <v>697</v>
      </c>
      <c r="C584" s="165" t="s">
        <v>857</v>
      </c>
      <c r="D584" s="165">
        <v>5</v>
      </c>
      <c r="E584" s="165" t="s">
        <v>648</v>
      </c>
      <c r="F584" s="165" t="s">
        <v>1011</v>
      </c>
      <c r="G584" s="165">
        <v>14175</v>
      </c>
      <c r="H584" s="165"/>
      <c r="I584" s="165"/>
      <c r="J584" s="209"/>
      <c r="K584" s="209">
        <v>14175</v>
      </c>
      <c r="L584" s="209"/>
      <c r="M584" s="209"/>
      <c r="N584" s="209">
        <f t="shared" si="11"/>
        <v>0</v>
      </c>
      <c r="O584" s="165" t="s">
        <v>3164</v>
      </c>
      <c r="P584" s="165" t="s">
        <v>808</v>
      </c>
      <c r="Q584" s="3">
        <v>14175</v>
      </c>
      <c r="R584">
        <v>14175</v>
      </c>
    </row>
    <row r="585" spans="1:21">
      <c r="A585" s="165" t="s">
        <v>2331</v>
      </c>
      <c r="B585" s="165">
        <v>698</v>
      </c>
      <c r="C585" s="165" t="s">
        <v>857</v>
      </c>
      <c r="D585" s="165">
        <v>6</v>
      </c>
      <c r="E585" s="165" t="s">
        <v>649</v>
      </c>
      <c r="F585" s="165" t="s">
        <v>1012</v>
      </c>
      <c r="G585" s="165">
        <v>14175</v>
      </c>
      <c r="H585" s="165"/>
      <c r="I585" s="165"/>
      <c r="J585" s="209"/>
      <c r="K585" s="209">
        <v>14175</v>
      </c>
      <c r="L585" s="209"/>
      <c r="M585" s="209"/>
      <c r="N585" s="209">
        <f t="shared" si="11"/>
        <v>0</v>
      </c>
      <c r="O585" s="165" t="s">
        <v>3165</v>
      </c>
      <c r="P585" s="165" t="s">
        <v>3166</v>
      </c>
      <c r="Q585" s="3">
        <v>14175</v>
      </c>
      <c r="R585">
        <v>14175</v>
      </c>
    </row>
    <row r="586" spans="1:21">
      <c r="A586" s="165" t="s">
        <v>2331</v>
      </c>
      <c r="B586" s="165">
        <v>699</v>
      </c>
      <c r="C586" s="165" t="s">
        <v>857</v>
      </c>
      <c r="D586" s="165">
        <v>7</v>
      </c>
      <c r="E586" s="165" t="s">
        <v>650</v>
      </c>
      <c r="F586" s="165" t="s">
        <v>651</v>
      </c>
      <c r="G586" s="165">
        <v>14175</v>
      </c>
      <c r="H586" s="165"/>
      <c r="I586" s="165"/>
      <c r="J586" s="209"/>
      <c r="K586" s="214">
        <v>14175</v>
      </c>
      <c r="L586" s="209"/>
      <c r="M586" s="214">
        <v>14175</v>
      </c>
      <c r="N586" s="209">
        <f t="shared" si="11"/>
        <v>0</v>
      </c>
      <c r="O586" s="165" t="s">
        <v>3171</v>
      </c>
      <c r="P586" s="165" t="s">
        <v>3172</v>
      </c>
      <c r="Q586" s="3">
        <v>14175</v>
      </c>
      <c r="R586">
        <v>14175</v>
      </c>
    </row>
    <row r="587" spans="1:21">
      <c r="A587" s="165" t="s">
        <v>2331</v>
      </c>
      <c r="B587" s="165">
        <v>700</v>
      </c>
      <c r="C587" s="165" t="s">
        <v>857</v>
      </c>
      <c r="D587" s="165">
        <v>8</v>
      </c>
      <c r="E587" s="165" t="s">
        <v>652</v>
      </c>
      <c r="F587" s="165" t="s">
        <v>653</v>
      </c>
      <c r="G587" s="165">
        <v>14175</v>
      </c>
      <c r="H587" s="165"/>
      <c r="I587" s="165"/>
      <c r="J587" s="209"/>
      <c r="K587" s="209"/>
      <c r="L587" s="209">
        <v>14175</v>
      </c>
      <c r="M587" s="209"/>
      <c r="N587" s="209">
        <f t="shared" si="11"/>
        <v>0</v>
      </c>
      <c r="O587" s="165" t="s">
        <v>3936</v>
      </c>
      <c r="P587" s="165" t="s">
        <v>3937</v>
      </c>
      <c r="Q587" s="3">
        <v>14175</v>
      </c>
      <c r="R587">
        <v>14175</v>
      </c>
    </row>
    <row r="588" spans="1:21">
      <c r="A588" s="165" t="s">
        <v>1024</v>
      </c>
      <c r="B588" s="165">
        <v>701</v>
      </c>
      <c r="C588" s="165" t="s">
        <v>1884</v>
      </c>
      <c r="D588" s="165">
        <v>1</v>
      </c>
      <c r="E588" s="165" t="s">
        <v>654</v>
      </c>
      <c r="F588" s="165" t="s">
        <v>2162</v>
      </c>
      <c r="G588" s="165">
        <v>14175</v>
      </c>
      <c r="H588" s="165"/>
      <c r="I588" s="165"/>
      <c r="J588" s="209">
        <v>14175</v>
      </c>
      <c r="K588" s="209"/>
      <c r="L588" s="209"/>
      <c r="M588" s="209"/>
      <c r="N588" s="209">
        <f t="shared" si="11"/>
        <v>0</v>
      </c>
      <c r="O588" s="165" t="s">
        <v>627</v>
      </c>
      <c r="P588" s="165" t="s">
        <v>827</v>
      </c>
      <c r="Q588" s="3">
        <v>14175</v>
      </c>
      <c r="R588">
        <v>14175</v>
      </c>
    </row>
    <row r="589" spans="1:21">
      <c r="A589" s="165" t="s">
        <v>1024</v>
      </c>
      <c r="B589" s="165">
        <v>702</v>
      </c>
      <c r="C589" s="165" t="s">
        <v>1884</v>
      </c>
      <c r="D589" s="165">
        <v>2</v>
      </c>
      <c r="E589" s="165" t="s">
        <v>655</v>
      </c>
      <c r="F589" s="165" t="s">
        <v>2363</v>
      </c>
      <c r="G589" s="165">
        <v>14175</v>
      </c>
      <c r="H589" s="165"/>
      <c r="I589" s="165"/>
      <c r="J589" s="209">
        <v>14175</v>
      </c>
      <c r="K589" s="209"/>
      <c r="L589" s="209"/>
      <c r="M589" s="209"/>
      <c r="N589" s="209">
        <f t="shared" si="11"/>
        <v>0</v>
      </c>
      <c r="O589" s="165" t="s">
        <v>633</v>
      </c>
      <c r="P589" s="165" t="s">
        <v>634</v>
      </c>
      <c r="Q589" s="3">
        <v>14175</v>
      </c>
      <c r="R589" s="3">
        <v>14175</v>
      </c>
      <c r="S589" s="3"/>
    </row>
    <row r="590" spans="1:21">
      <c r="A590" s="165" t="s">
        <v>1024</v>
      </c>
      <c r="B590" s="165">
        <v>703</v>
      </c>
      <c r="C590" s="165" t="s">
        <v>1884</v>
      </c>
      <c r="D590" s="165">
        <v>3</v>
      </c>
      <c r="E590" s="165" t="s">
        <v>656</v>
      </c>
      <c r="F590" s="165" t="s">
        <v>3737</v>
      </c>
      <c r="G590" s="165">
        <v>14175</v>
      </c>
      <c r="H590" s="165"/>
      <c r="I590" s="165"/>
      <c r="J590" s="209">
        <v>14175</v>
      </c>
      <c r="K590" s="209"/>
      <c r="L590" s="209"/>
      <c r="M590" s="209"/>
      <c r="N590" s="209">
        <f t="shared" si="11"/>
        <v>0</v>
      </c>
      <c r="O590" s="165" t="s">
        <v>619</v>
      </c>
      <c r="P590" s="165" t="s">
        <v>620</v>
      </c>
      <c r="Q590" s="3">
        <v>14175</v>
      </c>
      <c r="R590" s="3">
        <v>14175</v>
      </c>
      <c r="S590" s="3"/>
    </row>
    <row r="591" spans="1:21">
      <c r="A591" s="165" t="s">
        <v>1024</v>
      </c>
      <c r="B591" s="165">
        <v>704</v>
      </c>
      <c r="C591" s="165" t="s">
        <v>1884</v>
      </c>
      <c r="D591" s="165">
        <v>4</v>
      </c>
      <c r="E591" s="165" t="s">
        <v>657</v>
      </c>
      <c r="F591" s="165" t="s">
        <v>2166</v>
      </c>
      <c r="G591" s="165">
        <v>14175</v>
      </c>
      <c r="H591" s="165"/>
      <c r="I591" s="165"/>
      <c r="J591" s="209">
        <v>14175</v>
      </c>
      <c r="K591" s="209"/>
      <c r="L591" s="209"/>
      <c r="M591" s="209"/>
      <c r="N591" s="209">
        <f t="shared" si="11"/>
        <v>0</v>
      </c>
      <c r="O591" s="165" t="s">
        <v>621</v>
      </c>
      <c r="P591" s="165" t="s">
        <v>622</v>
      </c>
      <c r="Q591" s="3">
        <v>14175</v>
      </c>
      <c r="R591" s="3">
        <v>14175</v>
      </c>
      <c r="S591" s="3"/>
    </row>
    <row r="592" spans="1:21">
      <c r="A592" s="165" t="s">
        <v>1024</v>
      </c>
      <c r="B592" s="165">
        <v>705</v>
      </c>
      <c r="C592" s="165" t="s">
        <v>1884</v>
      </c>
      <c r="D592" s="165">
        <v>5</v>
      </c>
      <c r="E592" s="165" t="s">
        <v>658</v>
      </c>
      <c r="F592" s="165" t="s">
        <v>2365</v>
      </c>
      <c r="G592" s="165">
        <v>14175</v>
      </c>
      <c r="H592" s="165"/>
      <c r="I592" s="165"/>
      <c r="J592" s="209"/>
      <c r="K592" s="209">
        <v>14175</v>
      </c>
      <c r="L592" s="209"/>
      <c r="M592" s="209"/>
      <c r="N592" s="209">
        <f t="shared" si="11"/>
        <v>0</v>
      </c>
      <c r="O592" s="165" t="s">
        <v>625</v>
      </c>
      <c r="P592" s="165" t="s">
        <v>471</v>
      </c>
      <c r="Q592" s="3">
        <v>14175</v>
      </c>
      <c r="R592" s="3">
        <v>14175</v>
      </c>
      <c r="S592" s="3"/>
    </row>
    <row r="593" spans="1:21">
      <c r="A593" s="165" t="s">
        <v>1024</v>
      </c>
      <c r="B593" s="165">
        <v>706</v>
      </c>
      <c r="C593" s="165" t="s">
        <v>1884</v>
      </c>
      <c r="D593" s="165">
        <v>6</v>
      </c>
      <c r="E593" s="165" t="s">
        <v>660</v>
      </c>
      <c r="F593" s="165" t="s">
        <v>3738</v>
      </c>
      <c r="G593" s="165">
        <v>14175</v>
      </c>
      <c r="H593" s="165"/>
      <c r="I593" s="165"/>
      <c r="J593" s="209"/>
      <c r="K593" s="209">
        <v>14175</v>
      </c>
      <c r="L593" s="209"/>
      <c r="M593" s="209"/>
      <c r="N593" s="209">
        <f t="shared" si="11"/>
        <v>0</v>
      </c>
      <c r="O593" s="165" t="s">
        <v>3161</v>
      </c>
      <c r="P593" s="165" t="s">
        <v>3162</v>
      </c>
      <c r="Q593" s="3">
        <v>14175</v>
      </c>
      <c r="R593" s="3">
        <v>14175</v>
      </c>
      <c r="S593" s="3"/>
    </row>
    <row r="594" spans="1:21">
      <c r="A594" s="165" t="s">
        <v>1024</v>
      </c>
      <c r="B594" s="165">
        <v>707</v>
      </c>
      <c r="C594" s="165" t="s">
        <v>1884</v>
      </c>
      <c r="D594" s="165">
        <v>7</v>
      </c>
      <c r="E594" s="165" t="s">
        <v>661</v>
      </c>
      <c r="F594" s="165" t="s">
        <v>3739</v>
      </c>
      <c r="G594" s="165">
        <v>14175</v>
      </c>
      <c r="H594" s="165"/>
      <c r="I594" s="165"/>
      <c r="J594" s="165"/>
      <c r="K594" s="165">
        <v>14175</v>
      </c>
      <c r="L594" s="165"/>
      <c r="M594" s="165"/>
      <c r="N594" s="165">
        <f t="shared" si="11"/>
        <v>0</v>
      </c>
      <c r="O594" s="165" t="s">
        <v>3164</v>
      </c>
      <c r="P594" s="165" t="s">
        <v>808</v>
      </c>
      <c r="Q594" s="3">
        <v>14175</v>
      </c>
      <c r="R594" s="3">
        <v>14175</v>
      </c>
      <c r="S594" s="3"/>
    </row>
    <row r="595" spans="1:21">
      <c r="A595" s="165" t="s">
        <v>1024</v>
      </c>
      <c r="B595" s="165">
        <v>708</v>
      </c>
      <c r="C595" s="165" t="s">
        <v>1884</v>
      </c>
      <c r="D595" s="165">
        <v>8</v>
      </c>
      <c r="E595" s="165" t="s">
        <v>662</v>
      </c>
      <c r="F595" s="165" t="s">
        <v>2367</v>
      </c>
      <c r="G595" s="165">
        <v>14175</v>
      </c>
      <c r="H595" s="165"/>
      <c r="I595" s="165"/>
      <c r="J595" s="165"/>
      <c r="K595" s="165">
        <v>14175</v>
      </c>
      <c r="L595" s="165"/>
      <c r="M595" s="165"/>
      <c r="N595" s="165">
        <f t="shared" si="11"/>
        <v>0</v>
      </c>
      <c r="O595" s="165" t="s">
        <v>3173</v>
      </c>
      <c r="P595" s="165" t="s">
        <v>3174</v>
      </c>
      <c r="Q595" s="3">
        <v>14175</v>
      </c>
      <c r="R595" s="3">
        <v>14175</v>
      </c>
      <c r="S595" s="3"/>
    </row>
    <row r="596" spans="1:21" s="163" customFormat="1">
      <c r="A596" s="281" t="s">
        <v>664</v>
      </c>
      <c r="B596" s="281"/>
      <c r="C596" s="281" t="s">
        <v>1016</v>
      </c>
      <c r="D596" s="281">
        <v>1</v>
      </c>
      <c r="E596" s="281" t="s">
        <v>1283</v>
      </c>
      <c r="F596" s="281" t="s">
        <v>664</v>
      </c>
      <c r="G596" s="284"/>
      <c r="H596" s="284"/>
      <c r="I596" s="284"/>
      <c r="J596" s="281"/>
      <c r="K596" s="281"/>
      <c r="L596" s="281"/>
      <c r="M596" s="281"/>
      <c r="N596" s="281">
        <f t="shared" si="11"/>
        <v>0</v>
      </c>
      <c r="O596" s="281" t="s">
        <v>664</v>
      </c>
      <c r="P596" s="281" t="s">
        <v>664</v>
      </c>
      <c r="Q596" s="281">
        <v>63000</v>
      </c>
      <c r="R596" s="281">
        <v>63000</v>
      </c>
      <c r="S596" s="281"/>
      <c r="T596" s="284"/>
      <c r="U596" s="163" t="s">
        <v>665</v>
      </c>
    </row>
    <row r="597" spans="1:21" s="163" customFormat="1">
      <c r="A597" s="281" t="s">
        <v>666</v>
      </c>
      <c r="B597" s="281"/>
      <c r="C597" s="281" t="s">
        <v>1013</v>
      </c>
      <c r="D597" s="281">
        <v>1</v>
      </c>
      <c r="E597" s="281" t="s">
        <v>1283</v>
      </c>
      <c r="F597" s="281" t="s">
        <v>666</v>
      </c>
      <c r="G597" s="284"/>
      <c r="H597" s="284"/>
      <c r="I597" s="284"/>
      <c r="J597" s="281"/>
      <c r="K597" s="281"/>
      <c r="L597" s="281"/>
      <c r="M597" s="281"/>
      <c r="N597" s="281">
        <f t="shared" si="11"/>
        <v>0</v>
      </c>
      <c r="O597" s="281" t="s">
        <v>666</v>
      </c>
      <c r="P597" s="281" t="s">
        <v>666</v>
      </c>
      <c r="Q597" s="281">
        <v>63000</v>
      </c>
      <c r="R597" s="281">
        <v>63000</v>
      </c>
      <c r="S597" s="281"/>
      <c r="T597" s="284"/>
      <c r="U597" s="163" t="s">
        <v>665</v>
      </c>
    </row>
    <row r="598" spans="1:21">
      <c r="A598" s="165" t="s">
        <v>2190</v>
      </c>
      <c r="B598" s="165">
        <v>709</v>
      </c>
      <c r="C598" s="165" t="s">
        <v>2739</v>
      </c>
      <c r="D598" s="165">
        <v>1</v>
      </c>
      <c r="E598" s="165" t="s">
        <v>667</v>
      </c>
      <c r="F598" s="165" t="s">
        <v>2201</v>
      </c>
      <c r="G598" s="165">
        <v>11970</v>
      </c>
      <c r="H598" s="165"/>
      <c r="I598" s="165"/>
      <c r="J598" s="165">
        <v>11970</v>
      </c>
      <c r="K598" s="165"/>
      <c r="L598" s="165"/>
      <c r="M598" s="165"/>
      <c r="N598" s="165">
        <f t="shared" si="11"/>
        <v>0</v>
      </c>
      <c r="O598" s="165" t="s">
        <v>612</v>
      </c>
      <c r="P598" s="165" t="s">
        <v>2201</v>
      </c>
      <c r="Q598" s="3">
        <v>11970</v>
      </c>
      <c r="R598">
        <v>11970</v>
      </c>
    </row>
    <row r="599" spans="1:21">
      <c r="A599" s="165" t="s">
        <v>2190</v>
      </c>
      <c r="B599" s="165">
        <v>710</v>
      </c>
      <c r="C599" s="165" t="s">
        <v>2739</v>
      </c>
      <c r="D599" s="165">
        <v>2</v>
      </c>
      <c r="E599" s="165" t="s">
        <v>668</v>
      </c>
      <c r="F599" s="165" t="s">
        <v>2203</v>
      </c>
      <c r="G599" s="165">
        <v>11970</v>
      </c>
      <c r="H599" s="165"/>
      <c r="I599" s="165"/>
      <c r="J599" s="165">
        <v>11970</v>
      </c>
      <c r="K599" s="165"/>
      <c r="L599" s="165"/>
      <c r="M599" s="165"/>
      <c r="N599" s="165">
        <f t="shared" si="11"/>
        <v>0</v>
      </c>
      <c r="O599" s="165" t="s">
        <v>619</v>
      </c>
      <c r="P599" s="165" t="s">
        <v>620</v>
      </c>
      <c r="Q599" s="3">
        <v>11970</v>
      </c>
      <c r="R599" s="3">
        <v>11970</v>
      </c>
      <c r="S599" s="3"/>
    </row>
    <row r="600" spans="1:21">
      <c r="A600" s="165" t="s">
        <v>2190</v>
      </c>
      <c r="B600" s="165">
        <v>711</v>
      </c>
      <c r="C600" s="165" t="s">
        <v>2739</v>
      </c>
      <c r="D600" s="165">
        <v>3</v>
      </c>
      <c r="E600" s="165" t="s">
        <v>669</v>
      </c>
      <c r="F600" s="165" t="s">
        <v>2205</v>
      </c>
      <c r="G600" s="165">
        <v>11970</v>
      </c>
      <c r="H600" s="165"/>
      <c r="I600" s="165"/>
      <c r="J600" s="165"/>
      <c r="K600" s="165">
        <v>11970</v>
      </c>
      <c r="L600" s="165"/>
      <c r="M600" s="165"/>
      <c r="N600" s="165">
        <f t="shared" si="11"/>
        <v>0</v>
      </c>
      <c r="O600" s="165" t="s">
        <v>625</v>
      </c>
      <c r="P600" s="165" t="s">
        <v>626</v>
      </c>
      <c r="Q600" s="3">
        <v>11970</v>
      </c>
      <c r="R600" s="3">
        <v>11970</v>
      </c>
      <c r="S600" s="3"/>
    </row>
    <row r="601" spans="1:21">
      <c r="A601" s="165" t="s">
        <v>2190</v>
      </c>
      <c r="B601" s="165">
        <v>712</v>
      </c>
      <c r="C601" s="165" t="s">
        <v>2739</v>
      </c>
      <c r="D601" s="165">
        <v>4</v>
      </c>
      <c r="E601" s="165" t="s">
        <v>670</v>
      </c>
      <c r="F601" s="165" t="s">
        <v>1030</v>
      </c>
      <c r="G601" s="165">
        <v>11970</v>
      </c>
      <c r="H601" s="165"/>
      <c r="I601" s="165"/>
      <c r="J601" s="165"/>
      <c r="K601" s="165">
        <v>11970</v>
      </c>
      <c r="L601" s="165"/>
      <c r="M601" s="165"/>
      <c r="N601" s="165">
        <f t="shared" si="11"/>
        <v>0</v>
      </c>
      <c r="O601" s="165" t="s">
        <v>3161</v>
      </c>
      <c r="P601" s="165" t="s">
        <v>3162</v>
      </c>
      <c r="Q601" s="3">
        <v>11970</v>
      </c>
      <c r="R601">
        <v>11970</v>
      </c>
    </row>
    <row r="602" spans="1:21">
      <c r="A602" s="165" t="s">
        <v>2190</v>
      </c>
      <c r="B602" s="165">
        <v>713</v>
      </c>
      <c r="C602" s="165" t="s">
        <v>2739</v>
      </c>
      <c r="D602" s="165">
        <v>5</v>
      </c>
      <c r="E602" s="165" t="s">
        <v>671</v>
      </c>
      <c r="F602" s="165" t="s">
        <v>1031</v>
      </c>
      <c r="G602" s="165">
        <v>11970</v>
      </c>
      <c r="H602" s="165"/>
      <c r="I602" s="165"/>
      <c r="J602" s="165"/>
      <c r="K602" s="165">
        <v>11970</v>
      </c>
      <c r="L602" s="165"/>
      <c r="M602" s="165"/>
      <c r="N602" s="165">
        <f t="shared" si="11"/>
        <v>0</v>
      </c>
      <c r="O602" s="165" t="s">
        <v>3167</v>
      </c>
      <c r="P602" s="165" t="s">
        <v>3168</v>
      </c>
      <c r="Q602" s="3">
        <v>11970</v>
      </c>
      <c r="R602">
        <v>11970</v>
      </c>
    </row>
    <row r="603" spans="1:21">
      <c r="A603" s="165" t="s">
        <v>2190</v>
      </c>
      <c r="B603" s="165">
        <v>714</v>
      </c>
      <c r="C603" s="165" t="s">
        <v>2739</v>
      </c>
      <c r="D603" s="165">
        <v>6</v>
      </c>
      <c r="E603" s="165" t="s">
        <v>672</v>
      </c>
      <c r="F603" s="165" t="s">
        <v>1032</v>
      </c>
      <c r="G603" s="165">
        <v>11970</v>
      </c>
      <c r="H603" s="165"/>
      <c r="I603" s="165"/>
      <c r="J603" s="165"/>
      <c r="K603" s="165">
        <v>11970</v>
      </c>
      <c r="L603" s="165"/>
      <c r="M603" s="165"/>
      <c r="N603" s="165">
        <f t="shared" si="11"/>
        <v>0</v>
      </c>
      <c r="O603" s="165" t="s">
        <v>3169</v>
      </c>
      <c r="P603" s="165" t="s">
        <v>3170</v>
      </c>
      <c r="Q603" s="3">
        <v>11970</v>
      </c>
      <c r="R603">
        <v>11970</v>
      </c>
    </row>
    <row r="604" spans="1:21">
      <c r="A604" s="165" t="s">
        <v>2190</v>
      </c>
      <c r="B604" s="165">
        <v>715</v>
      </c>
      <c r="C604" s="165" t="s">
        <v>2739</v>
      </c>
      <c r="D604" s="165">
        <v>7</v>
      </c>
      <c r="E604" s="165" t="s">
        <v>673</v>
      </c>
      <c r="F604" s="165" t="s">
        <v>674</v>
      </c>
      <c r="G604" s="165">
        <v>11970</v>
      </c>
      <c r="H604" s="165"/>
      <c r="I604" s="165"/>
      <c r="J604" s="165"/>
      <c r="K604" s="165"/>
      <c r="L604" s="165">
        <v>11970</v>
      </c>
      <c r="M604" s="165"/>
      <c r="N604" s="165">
        <f t="shared" si="11"/>
        <v>0</v>
      </c>
      <c r="O604" s="165" t="s">
        <v>3938</v>
      </c>
      <c r="P604" s="165" t="s">
        <v>3939</v>
      </c>
      <c r="Q604" s="3">
        <v>11970</v>
      </c>
      <c r="R604">
        <v>11970</v>
      </c>
    </row>
    <row r="605" spans="1:21">
      <c r="A605" s="165" t="s">
        <v>2190</v>
      </c>
      <c r="B605" s="165">
        <v>716</v>
      </c>
      <c r="C605" s="165" t="s">
        <v>2739</v>
      </c>
      <c r="D605" s="165">
        <v>8</v>
      </c>
      <c r="E605" s="165" t="s">
        <v>675</v>
      </c>
      <c r="F605" s="165" t="s">
        <v>676</v>
      </c>
      <c r="G605" s="165">
        <v>11970</v>
      </c>
      <c r="H605" s="165"/>
      <c r="I605" s="165"/>
      <c r="J605" s="165"/>
      <c r="K605" s="165"/>
      <c r="L605" s="165">
        <v>11970</v>
      </c>
      <c r="M605" s="165"/>
      <c r="N605" s="165">
        <f t="shared" si="11"/>
        <v>0</v>
      </c>
      <c r="O605" s="165" t="s">
        <v>3940</v>
      </c>
      <c r="P605" s="165" t="s">
        <v>3941</v>
      </c>
      <c r="Q605" s="3">
        <v>11970</v>
      </c>
      <c r="R605">
        <v>11970</v>
      </c>
    </row>
    <row r="606" spans="1:21" s="163" customFormat="1">
      <c r="A606" s="281" t="s">
        <v>677</v>
      </c>
      <c r="B606" s="281"/>
      <c r="C606" s="281" t="s">
        <v>1532</v>
      </c>
      <c r="D606" s="281">
        <v>2</v>
      </c>
      <c r="E606" s="281" t="s">
        <v>1283</v>
      </c>
      <c r="F606" s="281" t="s">
        <v>677</v>
      </c>
      <c r="G606" s="284"/>
      <c r="H606" s="284"/>
      <c r="I606" s="284"/>
      <c r="J606" s="281"/>
      <c r="K606" s="281"/>
      <c r="L606" s="281"/>
      <c r="M606" s="281"/>
      <c r="N606" s="281">
        <f t="shared" si="11"/>
        <v>0</v>
      </c>
      <c r="O606" s="281" t="s">
        <v>677</v>
      </c>
      <c r="P606" s="281" t="s">
        <v>677</v>
      </c>
      <c r="Q606" s="281">
        <v>13500</v>
      </c>
      <c r="R606" s="281">
        <v>13485</v>
      </c>
      <c r="S606" s="281"/>
      <c r="T606" s="284">
        <v>15</v>
      </c>
    </row>
    <row r="607" spans="1:21">
      <c r="A607" s="165" t="s">
        <v>612</v>
      </c>
      <c r="B607" s="165">
        <v>717</v>
      </c>
      <c r="C607" s="165" t="s">
        <v>2041</v>
      </c>
      <c r="D607" s="165">
        <v>1</v>
      </c>
      <c r="E607" s="165" t="s">
        <v>678</v>
      </c>
      <c r="F607" s="165" t="s">
        <v>2190</v>
      </c>
      <c r="G607" s="165">
        <v>14175</v>
      </c>
      <c r="H607" s="165"/>
      <c r="I607" s="165"/>
      <c r="J607" s="165">
        <v>14175</v>
      </c>
      <c r="K607" s="165"/>
      <c r="L607" s="165"/>
      <c r="M607" s="165"/>
      <c r="N607" s="165">
        <f t="shared" si="11"/>
        <v>0</v>
      </c>
      <c r="O607" s="165" t="s">
        <v>633</v>
      </c>
      <c r="P607" s="165" t="s">
        <v>634</v>
      </c>
      <c r="Q607" s="3">
        <v>14175</v>
      </c>
      <c r="R607">
        <v>14175</v>
      </c>
    </row>
    <row r="608" spans="1:21">
      <c r="A608" s="165" t="s">
        <v>612</v>
      </c>
      <c r="B608" s="165">
        <v>718</v>
      </c>
      <c r="C608" s="165" t="s">
        <v>2041</v>
      </c>
      <c r="D608" s="165">
        <v>2</v>
      </c>
      <c r="E608" s="165" t="s">
        <v>679</v>
      </c>
      <c r="F608" s="165" t="s">
        <v>2192</v>
      </c>
      <c r="G608" s="165">
        <v>14175</v>
      </c>
      <c r="H608" s="165"/>
      <c r="I608" s="165"/>
      <c r="J608" s="165">
        <v>14175</v>
      </c>
      <c r="K608" s="165"/>
      <c r="L608" s="165"/>
      <c r="M608" s="165"/>
      <c r="N608" s="165">
        <f t="shared" si="11"/>
        <v>0</v>
      </c>
      <c r="O608" s="165" t="s">
        <v>613</v>
      </c>
      <c r="P608" s="165" t="s">
        <v>614</v>
      </c>
      <c r="Q608" s="3">
        <v>14175</v>
      </c>
      <c r="R608" s="3">
        <v>14175</v>
      </c>
      <c r="S608" s="3"/>
    </row>
    <row r="609" spans="1:21">
      <c r="A609" s="165" t="s">
        <v>612</v>
      </c>
      <c r="B609" s="165">
        <v>719</v>
      </c>
      <c r="C609" s="165" t="s">
        <v>2041</v>
      </c>
      <c r="D609" s="165">
        <v>3</v>
      </c>
      <c r="E609" s="165" t="s">
        <v>680</v>
      </c>
      <c r="F609" s="165" t="s">
        <v>2194</v>
      </c>
      <c r="G609" s="165">
        <v>14175</v>
      </c>
      <c r="H609" s="165"/>
      <c r="I609" s="165"/>
      <c r="J609" s="165"/>
      <c r="K609" s="165">
        <v>14175</v>
      </c>
      <c r="L609" s="165"/>
      <c r="M609" s="165"/>
      <c r="N609" s="165">
        <f t="shared" si="11"/>
        <v>0</v>
      </c>
      <c r="O609" s="165" t="s">
        <v>621</v>
      </c>
      <c r="P609" s="165" t="s">
        <v>622</v>
      </c>
      <c r="Q609" s="3">
        <v>14175</v>
      </c>
      <c r="R609" s="3">
        <v>14175</v>
      </c>
      <c r="S609" s="3"/>
    </row>
    <row r="610" spans="1:21">
      <c r="A610" s="165" t="s">
        <v>612</v>
      </c>
      <c r="B610" s="165">
        <v>720</v>
      </c>
      <c r="C610" s="165" t="s">
        <v>2041</v>
      </c>
      <c r="D610" s="165">
        <v>4</v>
      </c>
      <c r="E610" s="165" t="s">
        <v>681</v>
      </c>
      <c r="F610" s="165" t="s">
        <v>2325</v>
      </c>
      <c r="G610" s="165">
        <v>14175</v>
      </c>
      <c r="H610" s="165"/>
      <c r="I610" s="165"/>
      <c r="J610" s="165"/>
      <c r="K610" s="165">
        <v>14175</v>
      </c>
      <c r="L610" s="165"/>
      <c r="M610" s="165"/>
      <c r="N610" s="165">
        <f t="shared" si="11"/>
        <v>0</v>
      </c>
      <c r="O610" s="165" t="s">
        <v>3161</v>
      </c>
      <c r="P610" s="165" t="s">
        <v>3162</v>
      </c>
      <c r="Q610" s="3">
        <v>14175</v>
      </c>
      <c r="R610">
        <v>14175</v>
      </c>
    </row>
    <row r="611" spans="1:21">
      <c r="A611" s="165" t="s">
        <v>612</v>
      </c>
      <c r="B611" s="165">
        <v>721</v>
      </c>
      <c r="C611" s="165" t="s">
        <v>2041</v>
      </c>
      <c r="D611" s="165">
        <v>5</v>
      </c>
      <c r="E611" s="165" t="s">
        <v>682</v>
      </c>
      <c r="F611" s="165" t="s">
        <v>683</v>
      </c>
      <c r="G611" s="165">
        <v>14175</v>
      </c>
      <c r="H611" s="165"/>
      <c r="I611" s="165"/>
      <c r="J611" s="165"/>
      <c r="K611" s="165">
        <v>14175</v>
      </c>
      <c r="L611" s="165"/>
      <c r="M611" s="165"/>
      <c r="N611" s="165">
        <f t="shared" si="11"/>
        <v>0</v>
      </c>
      <c r="O611" s="165" t="s">
        <v>3164</v>
      </c>
      <c r="P611" s="165" t="s">
        <v>808</v>
      </c>
      <c r="Q611" s="3">
        <v>14175</v>
      </c>
      <c r="R611">
        <v>14175</v>
      </c>
    </row>
    <row r="612" spans="1:21">
      <c r="A612" s="165" t="s">
        <v>612</v>
      </c>
      <c r="B612" s="165">
        <v>722</v>
      </c>
      <c r="C612" s="165" t="s">
        <v>2041</v>
      </c>
      <c r="D612" s="165">
        <v>6</v>
      </c>
      <c r="E612" s="165" t="s">
        <v>684</v>
      </c>
      <c r="F612" s="164" t="s">
        <v>685</v>
      </c>
      <c r="G612" s="165">
        <v>14175</v>
      </c>
      <c r="H612" s="165"/>
      <c r="I612" s="165"/>
      <c r="J612" s="165"/>
      <c r="K612" s="165">
        <v>14175</v>
      </c>
      <c r="L612" s="165"/>
      <c r="M612" s="165"/>
      <c r="N612" s="165">
        <f t="shared" si="11"/>
        <v>0</v>
      </c>
      <c r="O612" s="165" t="s">
        <v>3165</v>
      </c>
      <c r="P612" s="165" t="s">
        <v>3166</v>
      </c>
      <c r="Q612" s="3">
        <v>14175</v>
      </c>
      <c r="R612">
        <v>14175</v>
      </c>
    </row>
    <row r="613" spans="1:21">
      <c r="A613" s="165" t="s">
        <v>612</v>
      </c>
      <c r="B613" s="165">
        <v>723</v>
      </c>
      <c r="C613" s="165" t="s">
        <v>2041</v>
      </c>
      <c r="D613" s="165">
        <v>7</v>
      </c>
      <c r="E613" s="165" t="s">
        <v>686</v>
      </c>
      <c r="F613" s="165" t="s">
        <v>687</v>
      </c>
      <c r="G613" s="165">
        <v>14175</v>
      </c>
      <c r="H613" s="165"/>
      <c r="I613" s="165"/>
      <c r="J613" s="165"/>
      <c r="K613" s="165"/>
      <c r="L613" s="165">
        <v>14175</v>
      </c>
      <c r="M613" s="165"/>
      <c r="N613" s="165">
        <f t="shared" si="11"/>
        <v>0</v>
      </c>
      <c r="O613" s="165" t="s">
        <v>3942</v>
      </c>
      <c r="P613" s="165" t="s">
        <v>3943</v>
      </c>
      <c r="Q613" s="3">
        <v>14175</v>
      </c>
      <c r="R613">
        <v>14175</v>
      </c>
    </row>
    <row r="614" spans="1:21">
      <c r="A614" s="165" t="s">
        <v>612</v>
      </c>
      <c r="B614" s="165">
        <v>724</v>
      </c>
      <c r="C614" s="165" t="s">
        <v>2041</v>
      </c>
      <c r="D614" s="165">
        <v>8</v>
      </c>
      <c r="E614" s="165" t="s">
        <v>688</v>
      </c>
      <c r="F614" s="165" t="s">
        <v>689</v>
      </c>
      <c r="G614" s="165">
        <v>14175</v>
      </c>
      <c r="H614" s="165"/>
      <c r="I614" s="165"/>
      <c r="J614" s="165"/>
      <c r="K614" s="165"/>
      <c r="L614" s="165">
        <v>14175</v>
      </c>
      <c r="M614" s="165"/>
      <c r="N614" s="165">
        <f t="shared" si="11"/>
        <v>0</v>
      </c>
      <c r="O614" s="165" t="s">
        <v>3944</v>
      </c>
      <c r="P614" s="165" t="s">
        <v>3945</v>
      </c>
      <c r="Q614" s="3">
        <v>14715</v>
      </c>
      <c r="R614">
        <v>14175</v>
      </c>
    </row>
    <row r="615" spans="1:21" s="283" customFormat="1">
      <c r="A615" s="279" t="s">
        <v>690</v>
      </c>
      <c r="B615" s="279"/>
      <c r="C615" s="279" t="s">
        <v>2060</v>
      </c>
      <c r="D615" s="279">
        <v>1</v>
      </c>
      <c r="E615" s="279" t="s">
        <v>1283</v>
      </c>
      <c r="F615" s="279" t="s">
        <v>690</v>
      </c>
      <c r="G615" s="280"/>
      <c r="H615" s="280"/>
      <c r="I615" s="280"/>
      <c r="J615" s="280"/>
      <c r="K615" s="280"/>
      <c r="L615" s="280"/>
      <c r="M615" s="280"/>
      <c r="N615" s="280">
        <f t="shared" si="11"/>
        <v>0</v>
      </c>
      <c r="O615" s="279" t="s">
        <v>690</v>
      </c>
      <c r="P615" s="279" t="s">
        <v>690</v>
      </c>
      <c r="Q615" s="279">
        <v>14175</v>
      </c>
      <c r="R615" s="279">
        <v>14175</v>
      </c>
      <c r="S615" s="279"/>
      <c r="T615" s="280">
        <v>0</v>
      </c>
      <c r="U615" s="282" t="s">
        <v>245</v>
      </c>
    </row>
    <row r="616" spans="1:21">
      <c r="A616" s="165" t="s">
        <v>1060</v>
      </c>
      <c r="B616" s="165">
        <v>725</v>
      </c>
      <c r="C616" s="165" t="s">
        <v>1300</v>
      </c>
      <c r="D616" s="165">
        <v>1</v>
      </c>
      <c r="E616" s="165" t="s">
        <v>691</v>
      </c>
      <c r="F616" s="165" t="s">
        <v>1061</v>
      </c>
      <c r="G616" s="165">
        <v>12600</v>
      </c>
      <c r="H616" s="165"/>
      <c r="I616" s="165"/>
      <c r="J616" s="165">
        <v>12600</v>
      </c>
      <c r="K616" s="165"/>
      <c r="L616" s="165"/>
      <c r="M616" s="165"/>
      <c r="N616" s="165">
        <f t="shared" si="11"/>
        <v>0</v>
      </c>
      <c r="O616" s="165" t="s">
        <v>619</v>
      </c>
      <c r="P616" s="165" t="s">
        <v>620</v>
      </c>
      <c r="Q616" s="3">
        <v>12600</v>
      </c>
      <c r="R616" s="3">
        <v>12600</v>
      </c>
      <c r="S616" s="3"/>
    </row>
    <row r="617" spans="1:21">
      <c r="A617" s="165" t="s">
        <v>1060</v>
      </c>
      <c r="B617" s="165">
        <v>726</v>
      </c>
      <c r="C617" s="165" t="s">
        <v>1300</v>
      </c>
      <c r="D617" s="165">
        <v>2</v>
      </c>
      <c r="E617" s="165" t="s">
        <v>692</v>
      </c>
      <c r="F617" s="165" t="s">
        <v>1062</v>
      </c>
      <c r="G617" s="165">
        <v>12600</v>
      </c>
      <c r="H617" s="165"/>
      <c r="I617" s="165"/>
      <c r="J617" s="165"/>
      <c r="K617" s="165">
        <v>12600</v>
      </c>
      <c r="L617" s="165"/>
      <c r="M617" s="165"/>
      <c r="N617" s="165">
        <f t="shared" si="11"/>
        <v>0</v>
      </c>
      <c r="O617" s="165" t="s">
        <v>625</v>
      </c>
      <c r="P617" s="165" t="s">
        <v>626</v>
      </c>
      <c r="Q617" s="3">
        <v>12600</v>
      </c>
      <c r="R617" s="3">
        <v>12600</v>
      </c>
      <c r="S617" s="3"/>
    </row>
    <row r="618" spans="1:21">
      <c r="A618" s="165" t="s">
        <v>1060</v>
      </c>
      <c r="B618" s="165">
        <v>727</v>
      </c>
      <c r="C618" s="165" t="s">
        <v>1300</v>
      </c>
      <c r="D618" s="165">
        <v>3</v>
      </c>
      <c r="E618" s="165" t="s">
        <v>693</v>
      </c>
      <c r="F618" s="165" t="s">
        <v>1063</v>
      </c>
      <c r="G618" s="165">
        <v>12600</v>
      </c>
      <c r="H618" s="165"/>
      <c r="I618" s="165"/>
      <c r="J618" s="165"/>
      <c r="K618" s="165">
        <v>12600</v>
      </c>
      <c r="L618" s="165"/>
      <c r="M618" s="165"/>
      <c r="N618" s="165">
        <f t="shared" si="11"/>
        <v>0</v>
      </c>
      <c r="O618" s="165" t="s">
        <v>683</v>
      </c>
      <c r="P618" s="165" t="s">
        <v>3163</v>
      </c>
      <c r="Q618" s="3">
        <v>12600</v>
      </c>
      <c r="R618">
        <v>12600</v>
      </c>
    </row>
    <row r="619" spans="1:21">
      <c r="A619" s="165" t="s">
        <v>1060</v>
      </c>
      <c r="B619" s="165">
        <v>728</v>
      </c>
      <c r="C619" s="165" t="s">
        <v>1300</v>
      </c>
      <c r="D619" s="165">
        <v>4</v>
      </c>
      <c r="E619" s="165" t="s">
        <v>694</v>
      </c>
      <c r="F619" s="165" t="s">
        <v>1064</v>
      </c>
      <c r="G619" s="165">
        <v>12600</v>
      </c>
      <c r="H619" s="165"/>
      <c r="I619" s="165"/>
      <c r="J619" s="165"/>
      <c r="K619" s="165">
        <v>12600</v>
      </c>
      <c r="L619" s="165"/>
      <c r="M619" s="165"/>
      <c r="N619" s="165">
        <f t="shared" si="11"/>
        <v>0</v>
      </c>
      <c r="O619" s="165" t="s">
        <v>3167</v>
      </c>
      <c r="P619" s="165" t="s">
        <v>3168</v>
      </c>
      <c r="Q619" s="3">
        <v>12600</v>
      </c>
      <c r="R619">
        <v>12600</v>
      </c>
    </row>
    <row r="620" spans="1:21">
      <c r="A620" s="165" t="s">
        <v>1060</v>
      </c>
      <c r="B620" s="165">
        <v>729</v>
      </c>
      <c r="C620" s="165" t="s">
        <v>1300</v>
      </c>
      <c r="D620" s="165">
        <v>5</v>
      </c>
      <c r="E620" s="165" t="s">
        <v>695</v>
      </c>
      <c r="F620" s="165" t="s">
        <v>1065</v>
      </c>
      <c r="G620" s="165">
        <v>12600</v>
      </c>
      <c r="H620" s="165"/>
      <c r="I620" s="165"/>
      <c r="J620" s="165"/>
      <c r="K620" s="165">
        <v>12600</v>
      </c>
      <c r="L620" s="165"/>
      <c r="M620" s="165"/>
      <c r="N620" s="165">
        <f t="shared" si="11"/>
        <v>0</v>
      </c>
      <c r="O620" s="165" t="s">
        <v>3169</v>
      </c>
      <c r="P620" s="165" t="s">
        <v>3170</v>
      </c>
      <c r="Q620" s="3">
        <v>12600</v>
      </c>
      <c r="R620">
        <v>12600</v>
      </c>
    </row>
    <row r="621" spans="1:21">
      <c r="A621" s="165" t="s">
        <v>1060</v>
      </c>
      <c r="B621" s="165">
        <v>730</v>
      </c>
      <c r="C621" s="165" t="s">
        <v>1300</v>
      </c>
      <c r="D621" s="165">
        <v>6</v>
      </c>
      <c r="E621" s="165" t="s">
        <v>696</v>
      </c>
      <c r="F621" s="165" t="s">
        <v>1066</v>
      </c>
      <c r="G621" s="165">
        <v>12600</v>
      </c>
      <c r="H621" s="165"/>
      <c r="I621" s="165"/>
      <c r="J621" s="165"/>
      <c r="K621" s="165"/>
      <c r="L621" s="165">
        <v>12600</v>
      </c>
      <c r="M621" s="165"/>
      <c r="N621" s="165">
        <f t="shared" si="11"/>
        <v>0</v>
      </c>
      <c r="O621" s="165" t="s">
        <v>3934</v>
      </c>
      <c r="P621" s="165" t="s">
        <v>3935</v>
      </c>
      <c r="Q621" s="3">
        <v>12600</v>
      </c>
      <c r="R621">
        <v>12600</v>
      </c>
    </row>
    <row r="622" spans="1:21">
      <c r="A622" s="165" t="s">
        <v>1060</v>
      </c>
      <c r="B622" s="165">
        <v>731</v>
      </c>
      <c r="C622" s="165" t="s">
        <v>1300</v>
      </c>
      <c r="D622" s="165">
        <v>7</v>
      </c>
      <c r="E622" s="165" t="s">
        <v>697</v>
      </c>
      <c r="F622" s="165" t="s">
        <v>698</v>
      </c>
      <c r="G622" s="165">
        <v>12600</v>
      </c>
      <c r="H622" s="165"/>
      <c r="I622" s="165"/>
      <c r="J622" s="165"/>
      <c r="K622" s="165"/>
      <c r="L622" s="165">
        <v>12600</v>
      </c>
      <c r="M622" s="165"/>
      <c r="N622" s="165">
        <f t="shared" si="11"/>
        <v>0</v>
      </c>
      <c r="O622" s="165" t="s">
        <v>3946</v>
      </c>
      <c r="P622" s="165" t="s">
        <v>3947</v>
      </c>
      <c r="Q622" s="3">
        <v>12600</v>
      </c>
      <c r="R622">
        <v>12600</v>
      </c>
    </row>
    <row r="623" spans="1:21">
      <c r="A623" s="165" t="s">
        <v>1060</v>
      </c>
      <c r="B623" s="165">
        <v>732</v>
      </c>
      <c r="C623" s="165" t="s">
        <v>1300</v>
      </c>
      <c r="D623" s="165">
        <v>8</v>
      </c>
      <c r="E623" s="165" t="s">
        <v>699</v>
      </c>
      <c r="F623" s="165" t="s">
        <v>700</v>
      </c>
      <c r="G623" s="165">
        <v>12600</v>
      </c>
      <c r="H623" s="165"/>
      <c r="I623" s="165"/>
      <c r="J623" s="165"/>
      <c r="K623" s="165"/>
      <c r="L623" s="165">
        <v>12600</v>
      </c>
      <c r="M623" s="165"/>
      <c r="N623" s="165">
        <f t="shared" si="11"/>
        <v>0</v>
      </c>
      <c r="O623" s="165" t="s">
        <v>3948</v>
      </c>
      <c r="P623" s="165" t="s">
        <v>3949</v>
      </c>
      <c r="Q623" s="3">
        <v>12600</v>
      </c>
      <c r="R623">
        <v>12600</v>
      </c>
    </row>
    <row r="624" spans="1:21" s="163" customFormat="1">
      <c r="A624" s="281" t="s">
        <v>634</v>
      </c>
      <c r="B624" s="281"/>
      <c r="C624" s="281" t="s">
        <v>2421</v>
      </c>
      <c r="D624" s="281">
        <v>1</v>
      </c>
      <c r="E624" s="281" t="s">
        <v>1283</v>
      </c>
      <c r="F624" s="281" t="s">
        <v>634</v>
      </c>
      <c r="G624" s="284"/>
      <c r="H624" s="284"/>
      <c r="I624" s="284"/>
      <c r="J624" s="281"/>
      <c r="K624" s="281"/>
      <c r="L624" s="281"/>
      <c r="M624" s="281"/>
      <c r="N624" s="281">
        <f t="shared" si="11"/>
        <v>0</v>
      </c>
      <c r="O624" s="281" t="s">
        <v>634</v>
      </c>
      <c r="P624" s="281" t="s">
        <v>634</v>
      </c>
      <c r="Q624" s="281">
        <v>13230</v>
      </c>
      <c r="R624" s="281">
        <v>13220</v>
      </c>
      <c r="S624" s="281"/>
      <c r="T624" s="284">
        <v>10</v>
      </c>
    </row>
    <row r="625" spans="1:21" s="163" customFormat="1">
      <c r="A625" s="281" t="s">
        <v>2234</v>
      </c>
      <c r="B625" s="281"/>
      <c r="C625" s="281" t="s">
        <v>3825</v>
      </c>
      <c r="D625" s="281">
        <v>3</v>
      </c>
      <c r="E625" s="281" t="s">
        <v>1283</v>
      </c>
      <c r="F625" s="281" t="s">
        <v>2234</v>
      </c>
      <c r="G625" s="284"/>
      <c r="H625" s="284"/>
      <c r="I625" s="284"/>
      <c r="J625" s="281"/>
      <c r="K625" s="281"/>
      <c r="L625" s="281"/>
      <c r="M625" s="281"/>
      <c r="N625" s="281">
        <f t="shared" si="11"/>
        <v>0</v>
      </c>
      <c r="O625" s="281" t="s">
        <v>2234</v>
      </c>
      <c r="P625" s="281" t="s">
        <v>2234</v>
      </c>
      <c r="Q625" s="281">
        <v>14175</v>
      </c>
      <c r="R625" s="281">
        <v>14145</v>
      </c>
      <c r="S625" s="281"/>
      <c r="T625" s="284">
        <v>30</v>
      </c>
    </row>
    <row r="626" spans="1:21">
      <c r="A626" s="165" t="s">
        <v>2332</v>
      </c>
      <c r="B626" s="165">
        <v>733</v>
      </c>
      <c r="C626" s="165" t="s">
        <v>701</v>
      </c>
      <c r="D626" s="165">
        <v>1</v>
      </c>
      <c r="E626" s="165" t="s">
        <v>702</v>
      </c>
      <c r="F626" s="165" t="s">
        <v>2363</v>
      </c>
      <c r="G626" s="165">
        <v>20475</v>
      </c>
      <c r="H626" s="165"/>
      <c r="I626" s="165"/>
      <c r="J626" s="165">
        <v>20475</v>
      </c>
      <c r="K626" s="165"/>
      <c r="L626" s="165"/>
      <c r="M626" s="165"/>
      <c r="N626" s="165">
        <f t="shared" si="11"/>
        <v>0</v>
      </c>
      <c r="O626" s="165" t="s">
        <v>2164</v>
      </c>
      <c r="P626" s="165" t="s">
        <v>1025</v>
      </c>
      <c r="Q626" s="3">
        <v>20475</v>
      </c>
      <c r="R626" s="3">
        <v>20475</v>
      </c>
      <c r="S626" s="3"/>
      <c r="U626" s="271" t="s">
        <v>2740</v>
      </c>
    </row>
    <row r="627" spans="1:21">
      <c r="A627" s="165" t="s">
        <v>2332</v>
      </c>
      <c r="B627" s="165">
        <v>734</v>
      </c>
      <c r="C627" s="165" t="s">
        <v>701</v>
      </c>
      <c r="D627" s="165">
        <v>2</v>
      </c>
      <c r="E627" s="165" t="s">
        <v>703</v>
      </c>
      <c r="F627" s="165" t="s">
        <v>2364</v>
      </c>
      <c r="G627" s="165">
        <v>20475</v>
      </c>
      <c r="H627" s="165"/>
      <c r="I627" s="165"/>
      <c r="J627" s="165">
        <v>20475</v>
      </c>
      <c r="K627" s="165"/>
      <c r="L627" s="165"/>
      <c r="M627" s="165"/>
      <c r="N627" s="165">
        <f t="shared" si="11"/>
        <v>0</v>
      </c>
      <c r="O627" s="165" t="s">
        <v>628</v>
      </c>
      <c r="P627" s="165" t="s">
        <v>629</v>
      </c>
      <c r="Q627" s="3">
        <v>20475</v>
      </c>
      <c r="R627" s="3">
        <v>20475</v>
      </c>
      <c r="S627" s="3"/>
      <c r="U627" s="271" t="s">
        <v>2740</v>
      </c>
    </row>
    <row r="628" spans="1:21">
      <c r="A628" s="165" t="s">
        <v>2332</v>
      </c>
      <c r="B628" s="165">
        <v>735</v>
      </c>
      <c r="C628" s="165" t="s">
        <v>701</v>
      </c>
      <c r="D628" s="165">
        <v>3</v>
      </c>
      <c r="E628" s="165" t="s">
        <v>704</v>
      </c>
      <c r="F628" s="165" t="s">
        <v>2365</v>
      </c>
      <c r="G628" s="165"/>
      <c r="H628" s="165"/>
      <c r="I628" s="165">
        <v>20475</v>
      </c>
      <c r="J628" s="165"/>
      <c r="K628" s="165">
        <v>20475</v>
      </c>
      <c r="L628" s="165"/>
      <c r="M628" s="165"/>
      <c r="N628" s="165">
        <f t="shared" si="11"/>
        <v>0</v>
      </c>
      <c r="O628" s="165" t="s">
        <v>625</v>
      </c>
      <c r="P628" s="165" t="s">
        <v>626</v>
      </c>
      <c r="Q628" s="3">
        <v>20475</v>
      </c>
      <c r="R628" s="3">
        <v>20475</v>
      </c>
      <c r="S628" s="3"/>
      <c r="U628" s="271" t="s">
        <v>2740</v>
      </c>
    </row>
    <row r="629" spans="1:21">
      <c r="A629" s="165" t="s">
        <v>2332</v>
      </c>
      <c r="B629" s="165">
        <v>736</v>
      </c>
      <c r="C629" s="165" t="s">
        <v>701</v>
      </c>
      <c r="D629" s="165">
        <v>4</v>
      </c>
      <c r="E629" s="165" t="s">
        <v>705</v>
      </c>
      <c r="F629" s="165" t="s">
        <v>2366</v>
      </c>
      <c r="G629" s="165"/>
      <c r="H629" s="165"/>
      <c r="I629" s="165">
        <v>20475</v>
      </c>
      <c r="J629" s="165"/>
      <c r="K629" s="165">
        <v>20475</v>
      </c>
      <c r="L629" s="165"/>
      <c r="M629" s="165"/>
      <c r="N629" s="165">
        <f t="shared" si="11"/>
        <v>0</v>
      </c>
      <c r="O629" s="165" t="s">
        <v>683</v>
      </c>
      <c r="P629" s="165" t="s">
        <v>3163</v>
      </c>
      <c r="Q629" s="3">
        <v>20475</v>
      </c>
      <c r="R629" s="3">
        <v>20475</v>
      </c>
      <c r="S629" s="3"/>
      <c r="U629" s="271" t="s">
        <v>2740</v>
      </c>
    </row>
    <row r="630" spans="1:21">
      <c r="A630" s="165" t="s">
        <v>2332</v>
      </c>
      <c r="B630" s="165">
        <v>737</v>
      </c>
      <c r="C630" s="165" t="s">
        <v>701</v>
      </c>
      <c r="D630" s="165">
        <v>5</v>
      </c>
      <c r="E630" s="165" t="s">
        <v>706</v>
      </c>
      <c r="F630" s="165" t="s">
        <v>2367</v>
      </c>
      <c r="G630" s="165"/>
      <c r="H630" s="165"/>
      <c r="I630" s="165">
        <v>20475</v>
      </c>
      <c r="J630" s="165"/>
      <c r="K630" s="165">
        <v>20475</v>
      </c>
      <c r="L630" s="165"/>
      <c r="M630" s="165"/>
      <c r="N630" s="165">
        <f t="shared" si="11"/>
        <v>0</v>
      </c>
      <c r="O630" s="165" t="s">
        <v>3167</v>
      </c>
      <c r="P630" s="165" t="s">
        <v>3168</v>
      </c>
      <c r="Q630" s="3">
        <v>20475</v>
      </c>
      <c r="R630" s="3">
        <v>20475</v>
      </c>
      <c r="S630" s="3"/>
      <c r="U630" s="271" t="s">
        <v>2740</v>
      </c>
    </row>
    <row r="631" spans="1:21">
      <c r="A631" s="165" t="s">
        <v>2332</v>
      </c>
      <c r="B631" s="165">
        <v>738</v>
      </c>
      <c r="C631" s="165" t="s">
        <v>701</v>
      </c>
      <c r="D631" s="165">
        <v>6</v>
      </c>
      <c r="E631" s="165" t="s">
        <v>707</v>
      </c>
      <c r="F631" s="165" t="s">
        <v>708</v>
      </c>
      <c r="G631" s="165"/>
      <c r="H631" s="165"/>
      <c r="I631" s="165">
        <v>20475</v>
      </c>
      <c r="J631" s="165"/>
      <c r="K631" s="165">
        <v>20475</v>
      </c>
      <c r="L631" s="165"/>
      <c r="M631" s="165"/>
      <c r="N631" s="165">
        <f t="shared" si="11"/>
        <v>0</v>
      </c>
      <c r="O631" s="165" t="s">
        <v>3169</v>
      </c>
      <c r="P631" s="165" t="s">
        <v>3170</v>
      </c>
      <c r="Q631" s="3">
        <v>20475</v>
      </c>
      <c r="R631" s="3">
        <v>20475</v>
      </c>
      <c r="S631" s="3"/>
      <c r="U631" s="271" t="s">
        <v>2740</v>
      </c>
    </row>
    <row r="632" spans="1:21">
      <c r="A632" s="165" t="s">
        <v>2332</v>
      </c>
      <c r="B632" s="165">
        <v>739</v>
      </c>
      <c r="C632" s="165" t="s">
        <v>701</v>
      </c>
      <c r="D632" s="165">
        <v>7</v>
      </c>
      <c r="E632" s="165" t="s">
        <v>709</v>
      </c>
      <c r="F632" s="165" t="s">
        <v>659</v>
      </c>
      <c r="G632" s="165">
        <v>20475</v>
      </c>
      <c r="H632" s="165"/>
      <c r="I632" s="165"/>
      <c r="J632" s="165"/>
      <c r="K632" s="165"/>
      <c r="L632" s="165">
        <v>20475</v>
      </c>
      <c r="M632" s="165"/>
      <c r="N632" s="165">
        <f t="shared" si="11"/>
        <v>0</v>
      </c>
      <c r="O632" s="165" t="s">
        <v>3934</v>
      </c>
      <c r="P632" s="165" t="s">
        <v>3935</v>
      </c>
      <c r="Q632" s="3">
        <v>20475</v>
      </c>
      <c r="R632" s="3">
        <v>20475</v>
      </c>
      <c r="U632" s="271" t="s">
        <v>2740</v>
      </c>
    </row>
    <row r="633" spans="1:21">
      <c r="A633" s="165" t="s">
        <v>2332</v>
      </c>
      <c r="B633" s="165">
        <v>740</v>
      </c>
      <c r="C633" s="165" t="s">
        <v>701</v>
      </c>
      <c r="D633" s="165">
        <v>8</v>
      </c>
      <c r="E633" s="165" t="s">
        <v>710</v>
      </c>
      <c r="F633" s="165" t="s">
        <v>711</v>
      </c>
      <c r="G633" s="165">
        <v>20475</v>
      </c>
      <c r="H633" s="165"/>
      <c r="I633" s="165"/>
      <c r="J633" s="165"/>
      <c r="K633" s="165"/>
      <c r="L633" s="165">
        <v>20475</v>
      </c>
      <c r="M633" s="165"/>
      <c r="N633" s="165">
        <f t="shared" si="11"/>
        <v>0</v>
      </c>
      <c r="O633" s="165" t="s">
        <v>3950</v>
      </c>
      <c r="P633" s="165" t="s">
        <v>3951</v>
      </c>
      <c r="Q633" s="3">
        <v>20475</v>
      </c>
      <c r="R633" s="3">
        <v>20475</v>
      </c>
      <c r="U633" s="271" t="s">
        <v>2740</v>
      </c>
    </row>
    <row r="634" spans="1:21" s="5" customFormat="1">
      <c r="A634" s="94" t="s">
        <v>1025</v>
      </c>
      <c r="B634" s="165">
        <v>741</v>
      </c>
      <c r="C634" s="94" t="s">
        <v>1232</v>
      </c>
      <c r="D634" s="94">
        <v>10</v>
      </c>
      <c r="E634" s="94" t="s">
        <v>712</v>
      </c>
      <c r="F634" s="94" t="s">
        <v>2164</v>
      </c>
      <c r="G634" s="94">
        <v>16380</v>
      </c>
      <c r="H634" s="94"/>
      <c r="I634" s="94"/>
      <c r="J634" s="94">
        <v>16380</v>
      </c>
      <c r="K634" s="94"/>
      <c r="L634" s="94"/>
      <c r="M634" s="94"/>
      <c r="N634" s="94">
        <f t="shared" si="11"/>
        <v>0</v>
      </c>
      <c r="O634" s="94" t="s">
        <v>613</v>
      </c>
      <c r="P634" s="94" t="s">
        <v>614</v>
      </c>
      <c r="Q634" s="93">
        <v>16380</v>
      </c>
      <c r="R634" s="4">
        <v>16380</v>
      </c>
      <c r="S634" s="4"/>
      <c r="T634" s="93"/>
    </row>
    <row r="635" spans="1:21" s="163" customFormat="1">
      <c r="A635" s="281" t="s">
        <v>537</v>
      </c>
      <c r="B635" s="281"/>
      <c r="C635" s="281" t="s">
        <v>1532</v>
      </c>
      <c r="D635" s="281">
        <v>3</v>
      </c>
      <c r="E635" s="281" t="s">
        <v>1283</v>
      </c>
      <c r="F635" s="281" t="s">
        <v>537</v>
      </c>
      <c r="G635" s="284"/>
      <c r="H635" s="284"/>
      <c r="I635" s="284"/>
      <c r="J635" s="281"/>
      <c r="K635" s="281"/>
      <c r="L635" s="281"/>
      <c r="M635" s="281"/>
      <c r="N635" s="281">
        <f t="shared" si="11"/>
        <v>0</v>
      </c>
      <c r="O635" s="281" t="s">
        <v>537</v>
      </c>
      <c r="P635" s="281" t="s">
        <v>537</v>
      </c>
      <c r="Q635" s="281">
        <v>13500</v>
      </c>
      <c r="R635" s="281">
        <v>13485</v>
      </c>
      <c r="S635" s="281"/>
      <c r="T635" s="284">
        <v>15</v>
      </c>
    </row>
    <row r="636" spans="1:21">
      <c r="A636" s="165" t="s">
        <v>713</v>
      </c>
      <c r="B636" s="165">
        <v>742</v>
      </c>
      <c r="C636" s="165" t="s">
        <v>1307</v>
      </c>
      <c r="D636" s="165">
        <v>1</v>
      </c>
      <c r="E636" s="165" t="s">
        <v>714</v>
      </c>
      <c r="F636" s="165" t="s">
        <v>715</v>
      </c>
      <c r="G636" s="165">
        <v>14175</v>
      </c>
      <c r="H636" s="165"/>
      <c r="I636" s="165"/>
      <c r="J636" s="165">
        <v>14175</v>
      </c>
      <c r="K636" s="165"/>
      <c r="L636" s="165"/>
      <c r="M636" s="165"/>
      <c r="N636" s="165">
        <f t="shared" si="11"/>
        <v>0</v>
      </c>
      <c r="O636" s="165" t="s">
        <v>619</v>
      </c>
      <c r="P636" s="165" t="s">
        <v>620</v>
      </c>
      <c r="Q636" s="3">
        <v>14175</v>
      </c>
      <c r="R636" s="3">
        <v>14175</v>
      </c>
      <c r="S636" s="3"/>
    </row>
    <row r="637" spans="1:21">
      <c r="A637" s="165" t="s">
        <v>713</v>
      </c>
      <c r="B637" s="165">
        <v>743</v>
      </c>
      <c r="C637" s="165" t="s">
        <v>1307</v>
      </c>
      <c r="D637" s="165">
        <v>2</v>
      </c>
      <c r="E637" s="165" t="s">
        <v>716</v>
      </c>
      <c r="F637" s="165" t="s">
        <v>717</v>
      </c>
      <c r="G637" s="165">
        <v>14175</v>
      </c>
      <c r="H637" s="165"/>
      <c r="I637" s="165"/>
      <c r="J637" s="165"/>
      <c r="K637" s="165">
        <v>14175</v>
      </c>
      <c r="L637" s="165"/>
      <c r="M637" s="165"/>
      <c r="N637" s="165">
        <f t="shared" si="11"/>
        <v>0</v>
      </c>
      <c r="O637" s="165" t="s">
        <v>621</v>
      </c>
      <c r="P637" s="165" t="s">
        <v>622</v>
      </c>
      <c r="Q637" s="3">
        <v>14175</v>
      </c>
      <c r="R637" s="3">
        <v>14175</v>
      </c>
      <c r="S637" s="3"/>
    </row>
    <row r="638" spans="1:21">
      <c r="A638" s="165" t="s">
        <v>713</v>
      </c>
      <c r="B638" s="165">
        <v>744</v>
      </c>
      <c r="C638" s="165" t="s">
        <v>1307</v>
      </c>
      <c r="D638" s="165">
        <v>3</v>
      </c>
      <c r="E638" s="165" t="s">
        <v>718</v>
      </c>
      <c r="F638" s="165" t="s">
        <v>719</v>
      </c>
      <c r="G638" s="165">
        <v>14175</v>
      </c>
      <c r="H638" s="165"/>
      <c r="I638" s="165"/>
      <c r="J638" s="165"/>
      <c r="K638" s="165">
        <v>14175</v>
      </c>
      <c r="L638" s="165"/>
      <c r="M638" s="165"/>
      <c r="N638" s="165">
        <f t="shared" si="11"/>
        <v>0</v>
      </c>
      <c r="O638" s="165" t="s">
        <v>3161</v>
      </c>
      <c r="P638" s="165" t="s">
        <v>3162</v>
      </c>
      <c r="Q638" s="3">
        <v>14175</v>
      </c>
      <c r="R638">
        <v>14175</v>
      </c>
    </row>
    <row r="639" spans="1:21">
      <c r="A639" s="165" t="s">
        <v>713</v>
      </c>
      <c r="B639" s="165">
        <v>745</v>
      </c>
      <c r="C639" s="165" t="s">
        <v>1307</v>
      </c>
      <c r="D639" s="165">
        <v>4</v>
      </c>
      <c r="E639" s="165" t="s">
        <v>720</v>
      </c>
      <c r="F639" s="165" t="s">
        <v>721</v>
      </c>
      <c r="G639" s="165">
        <v>14175</v>
      </c>
      <c r="H639" s="165"/>
      <c r="I639" s="165"/>
      <c r="J639" s="165"/>
      <c r="K639" s="165">
        <v>14175</v>
      </c>
      <c r="L639" s="165"/>
      <c r="M639" s="165"/>
      <c r="N639" s="165">
        <f t="shared" si="11"/>
        <v>0</v>
      </c>
      <c r="O639" s="165" t="s">
        <v>3164</v>
      </c>
      <c r="P639" s="165" t="s">
        <v>808</v>
      </c>
      <c r="Q639" s="3">
        <v>14175</v>
      </c>
      <c r="R639">
        <v>14175</v>
      </c>
    </row>
    <row r="640" spans="1:21">
      <c r="A640" s="165" t="s">
        <v>713</v>
      </c>
      <c r="B640" s="165">
        <v>746</v>
      </c>
      <c r="C640" s="165" t="s">
        <v>1307</v>
      </c>
      <c r="D640" s="165">
        <v>5</v>
      </c>
      <c r="E640" s="165" t="s">
        <v>722</v>
      </c>
      <c r="F640" s="165" t="s">
        <v>723</v>
      </c>
      <c r="G640" s="165">
        <v>14175</v>
      </c>
      <c r="H640" s="165"/>
      <c r="I640" s="165"/>
      <c r="J640" s="165"/>
      <c r="K640" s="165">
        <v>14175</v>
      </c>
      <c r="L640" s="165"/>
      <c r="M640" s="165"/>
      <c r="N640" s="165">
        <f t="shared" si="11"/>
        <v>0</v>
      </c>
      <c r="O640" s="165" t="s">
        <v>3165</v>
      </c>
      <c r="P640" s="165" t="s">
        <v>3166</v>
      </c>
      <c r="Q640" s="3">
        <v>14175</v>
      </c>
      <c r="R640">
        <v>14175</v>
      </c>
    </row>
    <row r="641" spans="1:21">
      <c r="A641" s="165" t="s">
        <v>713</v>
      </c>
      <c r="B641" s="165">
        <v>747</v>
      </c>
      <c r="C641" s="165" t="s">
        <v>1307</v>
      </c>
      <c r="D641" s="165">
        <v>6</v>
      </c>
      <c r="E641" s="165" t="s">
        <v>724</v>
      </c>
      <c r="F641" s="165" t="s">
        <v>725</v>
      </c>
      <c r="G641" s="165">
        <v>14175</v>
      </c>
      <c r="H641" s="165"/>
      <c r="I641" s="165"/>
      <c r="J641" s="165"/>
      <c r="K641" s="165"/>
      <c r="L641" s="165">
        <v>14175</v>
      </c>
      <c r="M641" s="165"/>
      <c r="N641" s="165">
        <f t="shared" ref="N641:N658" si="12">G641+H641+I641-K641-J641-L641</f>
        <v>0</v>
      </c>
      <c r="O641" s="165" t="s">
        <v>3942</v>
      </c>
      <c r="P641" s="165" t="s">
        <v>3943</v>
      </c>
      <c r="Q641" s="3">
        <v>14175</v>
      </c>
      <c r="R641">
        <v>14175</v>
      </c>
    </row>
    <row r="642" spans="1:21">
      <c r="A642" s="165" t="s">
        <v>713</v>
      </c>
      <c r="B642" s="165">
        <v>748</v>
      </c>
      <c r="C642" s="165" t="s">
        <v>1307</v>
      </c>
      <c r="D642" s="165">
        <v>7</v>
      </c>
      <c r="E642" s="165" t="s">
        <v>726</v>
      </c>
      <c r="F642" s="165" t="s">
        <v>727</v>
      </c>
      <c r="G642" s="165">
        <v>14175</v>
      </c>
      <c r="H642" s="165"/>
      <c r="I642" s="165"/>
      <c r="J642" s="165"/>
      <c r="K642" s="165"/>
      <c r="L642" s="165">
        <v>14175</v>
      </c>
      <c r="M642" s="165"/>
      <c r="N642" s="165">
        <f t="shared" si="12"/>
        <v>0</v>
      </c>
      <c r="O642" s="165" t="s">
        <v>3944</v>
      </c>
      <c r="P642" s="165" t="s">
        <v>3945</v>
      </c>
      <c r="Q642" s="3">
        <v>14175</v>
      </c>
      <c r="R642">
        <v>14175</v>
      </c>
    </row>
    <row r="643" spans="1:21">
      <c r="A643" s="165" t="s">
        <v>713</v>
      </c>
      <c r="B643" s="165">
        <v>749</v>
      </c>
      <c r="C643" s="165" t="s">
        <v>1307</v>
      </c>
      <c r="D643" s="165">
        <v>8</v>
      </c>
      <c r="E643" s="165" t="s">
        <v>728</v>
      </c>
      <c r="F643" s="165" t="s">
        <v>729</v>
      </c>
      <c r="G643" s="165">
        <v>14175</v>
      </c>
      <c r="H643" s="165"/>
      <c r="I643" s="165"/>
      <c r="J643" s="165"/>
      <c r="K643" s="165"/>
      <c r="L643" s="165">
        <v>14175</v>
      </c>
      <c r="M643" s="165"/>
      <c r="N643" s="165">
        <f t="shared" si="12"/>
        <v>0</v>
      </c>
      <c r="O643" s="165" t="s">
        <v>3952</v>
      </c>
      <c r="P643" s="165" t="s">
        <v>3953</v>
      </c>
      <c r="Q643" s="3">
        <v>14175</v>
      </c>
      <c r="R643">
        <v>14175</v>
      </c>
    </row>
    <row r="644" spans="1:21" s="283" customFormat="1">
      <c r="A644" s="279" t="s">
        <v>730</v>
      </c>
      <c r="B644" s="279"/>
      <c r="C644" s="279" t="s">
        <v>2060</v>
      </c>
      <c r="D644" s="279">
        <v>2</v>
      </c>
      <c r="E644" s="279" t="s">
        <v>1283</v>
      </c>
      <c r="F644" s="279" t="s">
        <v>730</v>
      </c>
      <c r="G644" s="280"/>
      <c r="H644" s="280"/>
      <c r="I644" s="280"/>
      <c r="J644" s="280"/>
      <c r="K644" s="280"/>
      <c r="L644" s="280"/>
      <c r="M644" s="280"/>
      <c r="N644" s="280">
        <f t="shared" si="12"/>
        <v>0</v>
      </c>
      <c r="O644" s="279" t="s">
        <v>730</v>
      </c>
      <c r="P644" s="279" t="s">
        <v>730</v>
      </c>
      <c r="Q644" s="279">
        <v>14175</v>
      </c>
      <c r="R644" s="279">
        <v>14175</v>
      </c>
      <c r="S644" s="279"/>
      <c r="T644" s="280">
        <v>0</v>
      </c>
      <c r="U644" s="282" t="s">
        <v>245</v>
      </c>
    </row>
    <row r="645" spans="1:21">
      <c r="A645" s="165" t="s">
        <v>731</v>
      </c>
      <c r="B645" s="165">
        <v>750</v>
      </c>
      <c r="C645" s="165" t="s">
        <v>701</v>
      </c>
      <c r="D645" s="165">
        <v>1</v>
      </c>
      <c r="E645" s="165" t="s">
        <v>732</v>
      </c>
      <c r="F645" s="165" t="s">
        <v>1061</v>
      </c>
      <c r="G645" s="165">
        <v>84000</v>
      </c>
      <c r="H645" s="165"/>
      <c r="I645" s="165"/>
      <c r="J645" s="165">
        <v>84000</v>
      </c>
      <c r="K645" s="165"/>
      <c r="L645" s="165"/>
      <c r="M645" s="165"/>
      <c r="N645" s="165">
        <f t="shared" si="12"/>
        <v>0</v>
      </c>
      <c r="O645" s="165" t="s">
        <v>619</v>
      </c>
      <c r="P645" s="165" t="s">
        <v>620</v>
      </c>
      <c r="Q645" s="3">
        <v>84000</v>
      </c>
      <c r="R645" s="3">
        <v>84000</v>
      </c>
      <c r="S645" s="3"/>
      <c r="U645" t="s">
        <v>1038</v>
      </c>
    </row>
    <row r="646" spans="1:21">
      <c r="A646" s="165" t="s">
        <v>731</v>
      </c>
      <c r="B646" s="165">
        <v>751</v>
      </c>
      <c r="C646" s="165" t="s">
        <v>701</v>
      </c>
      <c r="D646" s="165">
        <v>1</v>
      </c>
      <c r="E646" s="165" t="s">
        <v>733</v>
      </c>
      <c r="F646" s="165" t="s">
        <v>734</v>
      </c>
      <c r="G646" s="165">
        <v>3150</v>
      </c>
      <c r="H646" s="165"/>
      <c r="I646" s="165"/>
      <c r="J646" s="165">
        <v>3150</v>
      </c>
      <c r="K646" s="165"/>
      <c r="L646" s="165"/>
      <c r="M646" s="165"/>
      <c r="N646" s="165">
        <f t="shared" si="12"/>
        <v>0</v>
      </c>
      <c r="O646" s="165" t="s">
        <v>628</v>
      </c>
      <c r="P646" s="165" t="s">
        <v>629</v>
      </c>
      <c r="Q646" s="3">
        <v>3150</v>
      </c>
      <c r="R646" s="3">
        <v>3150</v>
      </c>
      <c r="S646" s="3"/>
      <c r="U646" t="s">
        <v>735</v>
      </c>
    </row>
    <row r="647" spans="1:21">
      <c r="A647" s="165" t="s">
        <v>736</v>
      </c>
      <c r="B647" s="165">
        <v>752</v>
      </c>
      <c r="C647" s="165" t="s">
        <v>1270</v>
      </c>
      <c r="D647" s="165">
        <v>5</v>
      </c>
      <c r="E647" s="165" t="s">
        <v>737</v>
      </c>
      <c r="F647" s="165" t="s">
        <v>738</v>
      </c>
      <c r="G647" s="165">
        <v>20475</v>
      </c>
      <c r="H647" s="165"/>
      <c r="I647" s="165"/>
      <c r="J647" s="165">
        <v>20475</v>
      </c>
      <c r="K647" s="165"/>
      <c r="L647" s="165"/>
      <c r="M647" s="165"/>
      <c r="N647" s="165">
        <f t="shared" si="12"/>
        <v>0</v>
      </c>
      <c r="O647" s="165" t="s">
        <v>619</v>
      </c>
      <c r="P647" s="165" t="s">
        <v>620</v>
      </c>
      <c r="Q647" s="3">
        <v>20475</v>
      </c>
      <c r="R647" s="3">
        <v>20475</v>
      </c>
      <c r="S647" s="3"/>
    </row>
    <row r="648" spans="1:21">
      <c r="A648" s="165" t="s">
        <v>736</v>
      </c>
      <c r="B648" s="165">
        <v>753</v>
      </c>
      <c r="C648" s="165" t="s">
        <v>1270</v>
      </c>
      <c r="D648" s="165">
        <v>6</v>
      </c>
      <c r="E648" s="165" t="s">
        <v>739</v>
      </c>
      <c r="F648" s="165" t="s">
        <v>740</v>
      </c>
      <c r="G648" s="165">
        <v>20475</v>
      </c>
      <c r="H648" s="165"/>
      <c r="I648" s="165"/>
      <c r="J648" s="165"/>
      <c r="K648" s="165">
        <v>20475</v>
      </c>
      <c r="L648" s="165"/>
      <c r="M648" s="165"/>
      <c r="N648" s="165">
        <f t="shared" si="12"/>
        <v>0</v>
      </c>
      <c r="O648" s="165" t="s">
        <v>625</v>
      </c>
      <c r="P648" s="165" t="s">
        <v>741</v>
      </c>
      <c r="Q648" s="3">
        <v>20475</v>
      </c>
      <c r="R648" s="3">
        <v>20475</v>
      </c>
      <c r="S648" s="3"/>
    </row>
    <row r="649" spans="1:21">
      <c r="A649" s="165" t="s">
        <v>736</v>
      </c>
      <c r="B649" s="165">
        <v>754</v>
      </c>
      <c r="C649" s="165" t="s">
        <v>1270</v>
      </c>
      <c r="D649" s="165">
        <v>7</v>
      </c>
      <c r="E649" s="165" t="s">
        <v>742</v>
      </c>
      <c r="F649" s="165" t="s">
        <v>743</v>
      </c>
      <c r="G649" s="165">
        <v>20475</v>
      </c>
      <c r="H649" s="165"/>
      <c r="I649" s="165"/>
      <c r="J649" s="165"/>
      <c r="K649" s="165">
        <v>20475</v>
      </c>
      <c r="L649" s="165"/>
      <c r="M649" s="165"/>
      <c r="N649" s="165">
        <f t="shared" si="12"/>
        <v>0</v>
      </c>
      <c r="O649" s="165" t="s">
        <v>683</v>
      </c>
      <c r="P649" s="165" t="s">
        <v>3163</v>
      </c>
      <c r="Q649" s="3">
        <v>20475</v>
      </c>
      <c r="R649" s="3">
        <v>20475</v>
      </c>
      <c r="S649" s="3"/>
    </row>
    <row r="650" spans="1:21">
      <c r="A650" s="165" t="s">
        <v>736</v>
      </c>
      <c r="B650" s="165">
        <v>755</v>
      </c>
      <c r="C650" s="165" t="s">
        <v>1270</v>
      </c>
      <c r="D650" s="165">
        <v>8</v>
      </c>
      <c r="E650" s="165" t="s">
        <v>744</v>
      </c>
      <c r="F650" s="165" t="s">
        <v>745</v>
      </c>
      <c r="G650" s="165">
        <v>20475</v>
      </c>
      <c r="H650" s="165"/>
      <c r="I650" s="165"/>
      <c r="J650" s="165"/>
      <c r="K650" s="165">
        <v>20475</v>
      </c>
      <c r="L650" s="165"/>
      <c r="M650" s="165"/>
      <c r="N650" s="165">
        <f t="shared" si="12"/>
        <v>0</v>
      </c>
      <c r="O650" s="165" t="s">
        <v>3167</v>
      </c>
      <c r="P650" s="165" t="s">
        <v>3168</v>
      </c>
      <c r="Q650" s="3">
        <v>20475</v>
      </c>
      <c r="R650" s="3">
        <v>20475</v>
      </c>
      <c r="S650" s="3"/>
    </row>
    <row r="651" spans="1:21" s="163" customFormat="1">
      <c r="A651" s="281" t="s">
        <v>1061</v>
      </c>
      <c r="B651" s="281"/>
      <c r="C651" s="281" t="s">
        <v>1013</v>
      </c>
      <c r="D651" s="281">
        <v>1</v>
      </c>
      <c r="E651" s="281" t="s">
        <v>1283</v>
      </c>
      <c r="F651" s="281" t="s">
        <v>1061</v>
      </c>
      <c r="G651" s="284"/>
      <c r="H651" s="284"/>
      <c r="I651" s="284"/>
      <c r="J651" s="281"/>
      <c r="K651" s="281"/>
      <c r="L651" s="281"/>
      <c r="M651" s="281"/>
      <c r="N651" s="281">
        <f t="shared" si="12"/>
        <v>0</v>
      </c>
      <c r="O651" s="281" t="s">
        <v>1061</v>
      </c>
      <c r="P651" s="281" t="s">
        <v>1061</v>
      </c>
      <c r="Q651" s="281">
        <v>75600</v>
      </c>
      <c r="R651" s="281">
        <v>75600</v>
      </c>
      <c r="S651" s="281"/>
      <c r="T651" s="284"/>
      <c r="U651" s="163" t="s">
        <v>746</v>
      </c>
    </row>
    <row r="652" spans="1:21" s="163" customFormat="1">
      <c r="A652" s="281" t="s">
        <v>1061</v>
      </c>
      <c r="B652" s="281"/>
      <c r="C652" s="281" t="s">
        <v>1016</v>
      </c>
      <c r="D652" s="281">
        <v>1</v>
      </c>
      <c r="E652" s="281" t="s">
        <v>1283</v>
      </c>
      <c r="F652" s="281" t="s">
        <v>1061</v>
      </c>
      <c r="G652" s="284"/>
      <c r="H652" s="284"/>
      <c r="I652" s="284"/>
      <c r="J652" s="281"/>
      <c r="K652" s="281"/>
      <c r="L652" s="281"/>
      <c r="M652" s="281"/>
      <c r="N652" s="281">
        <f t="shared" si="12"/>
        <v>0</v>
      </c>
      <c r="O652" s="281" t="s">
        <v>1061</v>
      </c>
      <c r="P652" s="281" t="s">
        <v>1061</v>
      </c>
      <c r="Q652" s="281">
        <v>3150</v>
      </c>
      <c r="R652" s="281">
        <v>3150</v>
      </c>
      <c r="S652" s="281"/>
      <c r="T652" s="284"/>
      <c r="U652" s="163" t="s">
        <v>735</v>
      </c>
    </row>
    <row r="653" spans="1:21" s="163" customFormat="1">
      <c r="A653" s="281" t="s">
        <v>1061</v>
      </c>
      <c r="B653" s="281"/>
      <c r="C653" s="281" t="s">
        <v>1016</v>
      </c>
      <c r="D653" s="281">
        <v>1</v>
      </c>
      <c r="E653" s="281" t="s">
        <v>1283</v>
      </c>
      <c r="F653" s="281" t="s">
        <v>1061</v>
      </c>
      <c r="G653" s="284"/>
      <c r="H653" s="284"/>
      <c r="I653" s="284"/>
      <c r="J653" s="281"/>
      <c r="K653" s="281"/>
      <c r="L653" s="281"/>
      <c r="M653" s="281"/>
      <c r="N653" s="281">
        <f t="shared" si="12"/>
        <v>0</v>
      </c>
      <c r="O653" s="281" t="s">
        <v>1061</v>
      </c>
      <c r="P653" s="281" t="s">
        <v>1061</v>
      </c>
      <c r="Q653" s="281">
        <v>75600</v>
      </c>
      <c r="R653" s="281">
        <v>75600</v>
      </c>
      <c r="S653" s="281"/>
      <c r="T653" s="284"/>
      <c r="U653" s="163" t="s">
        <v>746</v>
      </c>
    </row>
    <row r="654" spans="1:21" s="163" customFormat="1">
      <c r="A654" s="281" t="s">
        <v>1061</v>
      </c>
      <c r="B654" s="281"/>
      <c r="C654" s="281" t="s">
        <v>747</v>
      </c>
      <c r="D654" s="281">
        <v>1</v>
      </c>
      <c r="E654" s="281" t="s">
        <v>1283</v>
      </c>
      <c r="F654" s="281" t="s">
        <v>1061</v>
      </c>
      <c r="G654" s="284"/>
      <c r="H654" s="284"/>
      <c r="I654" s="284"/>
      <c r="J654" s="281"/>
      <c r="K654" s="281"/>
      <c r="L654" s="281"/>
      <c r="M654" s="281"/>
      <c r="N654" s="281">
        <f t="shared" si="12"/>
        <v>0</v>
      </c>
      <c r="O654" s="281" t="s">
        <v>1061</v>
      </c>
      <c r="P654" s="281" t="s">
        <v>1061</v>
      </c>
      <c r="Q654" s="281">
        <v>42000</v>
      </c>
      <c r="R654" s="281">
        <v>42000</v>
      </c>
      <c r="S654" s="281"/>
      <c r="T654" s="284"/>
      <c r="U654" s="163" t="s">
        <v>748</v>
      </c>
    </row>
    <row r="655" spans="1:21" s="163" customFormat="1">
      <c r="A655" s="281" t="s">
        <v>749</v>
      </c>
      <c r="B655" s="281"/>
      <c r="C655" s="281" t="s">
        <v>2421</v>
      </c>
      <c r="D655" s="281">
        <v>2</v>
      </c>
      <c r="E655" s="281" t="s">
        <v>1283</v>
      </c>
      <c r="F655" s="281" t="s">
        <v>749</v>
      </c>
      <c r="G655" s="284"/>
      <c r="H655" s="284"/>
      <c r="I655" s="284"/>
      <c r="J655" s="281"/>
      <c r="K655" s="281"/>
      <c r="L655" s="281"/>
      <c r="M655" s="281"/>
      <c r="N655" s="281">
        <f t="shared" si="12"/>
        <v>0</v>
      </c>
      <c r="O655" s="281" t="s">
        <v>749</v>
      </c>
      <c r="P655" s="281" t="s">
        <v>749</v>
      </c>
      <c r="Q655" s="281">
        <v>13230</v>
      </c>
      <c r="R655" s="281">
        <v>13220</v>
      </c>
      <c r="S655" s="281"/>
      <c r="T655" s="284">
        <v>10</v>
      </c>
    </row>
    <row r="656" spans="1:21" s="163" customFormat="1">
      <c r="A656" s="281" t="s">
        <v>734</v>
      </c>
      <c r="B656" s="281"/>
      <c r="C656" s="281" t="s">
        <v>1013</v>
      </c>
      <c r="D656" s="281">
        <v>1</v>
      </c>
      <c r="E656" s="281" t="s">
        <v>1283</v>
      </c>
      <c r="F656" s="281" t="s">
        <v>1061</v>
      </c>
      <c r="G656" s="284"/>
      <c r="H656" s="284"/>
      <c r="I656" s="284"/>
      <c r="J656" s="281"/>
      <c r="K656" s="281"/>
      <c r="L656" s="281"/>
      <c r="M656" s="281"/>
      <c r="N656" s="281">
        <f t="shared" si="12"/>
        <v>0</v>
      </c>
      <c r="O656" s="281" t="s">
        <v>734</v>
      </c>
      <c r="P656" s="281" t="s">
        <v>734</v>
      </c>
      <c r="Q656" s="281">
        <v>3150</v>
      </c>
      <c r="R656" s="281">
        <v>3150</v>
      </c>
      <c r="S656" s="281"/>
      <c r="T656" s="284"/>
      <c r="U656" s="163" t="s">
        <v>735</v>
      </c>
    </row>
    <row r="657" spans="1:21" s="163" customFormat="1">
      <c r="A657" s="281" t="s">
        <v>2236</v>
      </c>
      <c r="B657" s="281"/>
      <c r="C657" s="281" t="s">
        <v>3825</v>
      </c>
      <c r="D657" s="281">
        <v>4</v>
      </c>
      <c r="E657" s="281" t="s">
        <v>1283</v>
      </c>
      <c r="F657" s="281" t="s">
        <v>2236</v>
      </c>
      <c r="G657" s="284"/>
      <c r="H657" s="284"/>
      <c r="I657" s="284"/>
      <c r="J657" s="281"/>
      <c r="K657" s="281"/>
      <c r="L657" s="281"/>
      <c r="M657" s="281"/>
      <c r="N657" s="281">
        <f t="shared" si="12"/>
        <v>0</v>
      </c>
      <c r="O657" s="281" t="s">
        <v>2236</v>
      </c>
      <c r="P657" s="281" t="s">
        <v>2236</v>
      </c>
      <c r="Q657" s="281">
        <v>14175</v>
      </c>
      <c r="R657" s="281">
        <v>14145</v>
      </c>
      <c r="S657" s="281"/>
      <c r="T657" s="284">
        <v>30</v>
      </c>
    </row>
    <row r="658" spans="1:21" s="5" customFormat="1">
      <c r="A658" s="94" t="s">
        <v>628</v>
      </c>
      <c r="B658" s="94">
        <v>756</v>
      </c>
      <c r="C658" s="94" t="s">
        <v>1232</v>
      </c>
      <c r="D658" s="94">
        <v>11</v>
      </c>
      <c r="E658" s="94" t="s">
        <v>750</v>
      </c>
      <c r="F658" s="94" t="s">
        <v>1026</v>
      </c>
      <c r="G658" s="94">
        <v>16380</v>
      </c>
      <c r="H658" s="94"/>
      <c r="I658" s="94"/>
      <c r="J658" s="94">
        <v>16380</v>
      </c>
      <c r="K658" s="94"/>
      <c r="L658" s="94"/>
      <c r="M658" s="94"/>
      <c r="N658" s="94">
        <f t="shared" si="12"/>
        <v>0</v>
      </c>
      <c r="O658" s="94" t="s">
        <v>621</v>
      </c>
      <c r="P658" s="94" t="s">
        <v>622</v>
      </c>
      <c r="Q658" s="93">
        <v>16380</v>
      </c>
      <c r="R658" s="4">
        <v>16380</v>
      </c>
      <c r="S658" s="4"/>
      <c r="T658" s="93"/>
    </row>
    <row r="659" spans="1:21" s="5" customFormat="1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3"/>
      <c r="R659" s="4"/>
      <c r="S659" s="4"/>
      <c r="T659" s="93"/>
    </row>
    <row r="660" spans="1:21" s="176" customFormat="1" ht="20.25" customHeight="1">
      <c r="A660" s="203" t="s">
        <v>2614</v>
      </c>
      <c r="B660" s="200"/>
      <c r="C660" s="201"/>
      <c r="D660" s="202"/>
      <c r="E660" s="201"/>
      <c r="F660" s="185" t="s">
        <v>2378</v>
      </c>
      <c r="G660" s="185">
        <f>SUM(G662:G853)</f>
        <v>2482940</v>
      </c>
      <c r="H660" s="185">
        <f t="shared" ref="H660:T660" si="13">SUM(H662:H853)</f>
        <v>0</v>
      </c>
      <c r="I660" s="185">
        <f t="shared" si="13"/>
        <v>0</v>
      </c>
      <c r="J660" s="185">
        <f t="shared" si="13"/>
        <v>878195</v>
      </c>
      <c r="K660" s="185">
        <f>SUM(K662:K853)</f>
        <v>1128150</v>
      </c>
      <c r="L660" s="185">
        <f>SUM(L662:L853)</f>
        <v>476595</v>
      </c>
      <c r="M660" s="185">
        <f>SUM(M662:M853)</f>
        <v>0</v>
      </c>
      <c r="N660" s="185">
        <f t="shared" si="13"/>
        <v>0</v>
      </c>
      <c r="O660" s="185">
        <v>2736360</v>
      </c>
      <c r="P660" s="185">
        <f>N660+N511-O660</f>
        <v>-2736360</v>
      </c>
      <c r="Q660" s="185">
        <f t="shared" si="13"/>
        <v>3392320</v>
      </c>
      <c r="R660" s="185">
        <f>SUM(R662:R853)</f>
        <v>3392110</v>
      </c>
      <c r="S660" s="185">
        <f>SUM(S662:S853)</f>
        <v>937520</v>
      </c>
      <c r="T660" s="185">
        <f t="shared" si="13"/>
        <v>210</v>
      </c>
    </row>
    <row r="661" spans="1:21" s="270" customFormat="1">
      <c r="A661" s="269" t="s">
        <v>1281</v>
      </c>
      <c r="B661" s="269" t="s">
        <v>2435</v>
      </c>
      <c r="C661" s="269" t="s">
        <v>1385</v>
      </c>
      <c r="D661" s="269" t="s">
        <v>1275</v>
      </c>
      <c r="E661" s="269" t="s">
        <v>265</v>
      </c>
      <c r="F661" s="269" t="s">
        <v>1280</v>
      </c>
      <c r="G661" s="269" t="s">
        <v>3735</v>
      </c>
      <c r="H661" s="269" t="s">
        <v>3736</v>
      </c>
      <c r="I661" s="269" t="s">
        <v>3726</v>
      </c>
      <c r="J661" s="269" t="s">
        <v>878</v>
      </c>
      <c r="K661" s="269" t="s">
        <v>3991</v>
      </c>
      <c r="L661" s="269" t="s">
        <v>4470</v>
      </c>
      <c r="M661" s="269" t="s">
        <v>3728</v>
      </c>
      <c r="N661" s="269" t="s">
        <v>2438</v>
      </c>
      <c r="O661" s="269" t="s">
        <v>1282</v>
      </c>
      <c r="P661" s="269" t="s">
        <v>1386</v>
      </c>
      <c r="Q661" s="269" t="s">
        <v>576</v>
      </c>
      <c r="R661" s="269" t="s">
        <v>3593</v>
      </c>
      <c r="S661" s="269" t="s">
        <v>1283</v>
      </c>
      <c r="T661" s="269" t="s">
        <v>577</v>
      </c>
    </row>
    <row r="662" spans="1:21">
      <c r="A662" s="165" t="s">
        <v>751</v>
      </c>
      <c r="B662" s="94">
        <v>757</v>
      </c>
      <c r="C662" s="165" t="s">
        <v>3954</v>
      </c>
      <c r="D662" s="165">
        <v>1</v>
      </c>
      <c r="E662" s="165" t="s">
        <v>752</v>
      </c>
      <c r="F662" s="165" t="s">
        <v>740</v>
      </c>
      <c r="G662" s="165">
        <v>17325</v>
      </c>
      <c r="H662" s="165"/>
      <c r="I662" s="165"/>
      <c r="J662" s="165">
        <v>17325</v>
      </c>
      <c r="K662" s="165"/>
      <c r="L662" s="165"/>
      <c r="M662" s="165"/>
      <c r="N662" s="165">
        <f>G662+H662+I662-J662-K662</f>
        <v>0</v>
      </c>
      <c r="O662" s="165" t="s">
        <v>625</v>
      </c>
      <c r="P662" s="165" t="s">
        <v>625</v>
      </c>
      <c r="Q662" s="3">
        <v>17325</v>
      </c>
      <c r="R662" s="3">
        <v>17325</v>
      </c>
      <c r="S662" s="3"/>
    </row>
    <row r="663" spans="1:21">
      <c r="A663" s="165" t="s">
        <v>751</v>
      </c>
      <c r="B663" s="94">
        <v>758</v>
      </c>
      <c r="C663" s="165" t="s">
        <v>3954</v>
      </c>
      <c r="D663" s="165">
        <v>2</v>
      </c>
      <c r="E663" s="165" t="s">
        <v>753</v>
      </c>
      <c r="F663" s="165" t="s">
        <v>743</v>
      </c>
      <c r="G663" s="165">
        <v>17325</v>
      </c>
      <c r="H663" s="165"/>
      <c r="I663" s="165"/>
      <c r="J663" s="165">
        <v>17325</v>
      </c>
      <c r="K663" s="165"/>
      <c r="L663" s="165"/>
      <c r="M663" s="165"/>
      <c r="N663" s="165">
        <f t="shared" ref="N663:N725" si="14">G663+H663+I663-J663-K663</f>
        <v>0</v>
      </c>
      <c r="O663" s="165" t="s">
        <v>683</v>
      </c>
      <c r="P663" s="165" t="s">
        <v>3163</v>
      </c>
      <c r="Q663" s="3">
        <v>17325</v>
      </c>
      <c r="R663">
        <v>17325</v>
      </c>
    </row>
    <row r="664" spans="1:21">
      <c r="A664" s="165" t="s">
        <v>751</v>
      </c>
      <c r="B664" s="94">
        <v>759</v>
      </c>
      <c r="C664" s="165" t="s">
        <v>3954</v>
      </c>
      <c r="D664" s="165">
        <v>3</v>
      </c>
      <c r="E664" s="165" t="s">
        <v>754</v>
      </c>
      <c r="F664" s="165" t="s">
        <v>745</v>
      </c>
      <c r="G664" s="165">
        <v>17325</v>
      </c>
      <c r="H664" s="165"/>
      <c r="I664" s="165"/>
      <c r="J664" s="165">
        <v>17325</v>
      </c>
      <c r="K664" s="165"/>
      <c r="L664" s="165"/>
      <c r="M664" s="165"/>
      <c r="N664" s="165">
        <f t="shared" si="14"/>
        <v>0</v>
      </c>
      <c r="O664" s="165" t="s">
        <v>3167</v>
      </c>
      <c r="P664" s="165" t="s">
        <v>3168</v>
      </c>
      <c r="Q664" s="3">
        <v>17325</v>
      </c>
      <c r="R664">
        <v>17325</v>
      </c>
    </row>
    <row r="665" spans="1:21">
      <c r="A665" s="165" t="s">
        <v>751</v>
      </c>
      <c r="B665" s="94">
        <v>760</v>
      </c>
      <c r="C665" s="165" t="s">
        <v>3954</v>
      </c>
      <c r="D665" s="165">
        <v>4</v>
      </c>
      <c r="E665" s="165" t="s">
        <v>755</v>
      </c>
      <c r="F665" s="165" t="s">
        <v>756</v>
      </c>
      <c r="G665" s="165">
        <v>17325</v>
      </c>
      <c r="H665" s="165"/>
      <c r="I665" s="165"/>
      <c r="J665" s="165">
        <v>17325</v>
      </c>
      <c r="K665" s="165"/>
      <c r="L665" s="165"/>
      <c r="M665" s="165"/>
      <c r="N665" s="165">
        <f t="shared" si="14"/>
        <v>0</v>
      </c>
      <c r="O665" s="165" t="s">
        <v>3169</v>
      </c>
      <c r="P665" s="165" t="s">
        <v>3170</v>
      </c>
      <c r="Q665" s="3">
        <v>17325</v>
      </c>
      <c r="R665">
        <v>17325</v>
      </c>
    </row>
    <row r="666" spans="1:21">
      <c r="A666" s="165" t="s">
        <v>751</v>
      </c>
      <c r="B666" s="94">
        <v>761</v>
      </c>
      <c r="C666" s="165" t="s">
        <v>3954</v>
      </c>
      <c r="D666" s="165">
        <v>5</v>
      </c>
      <c r="E666" s="165" t="s">
        <v>757</v>
      </c>
      <c r="F666" s="165" t="s">
        <v>758</v>
      </c>
      <c r="G666" s="165">
        <v>17325</v>
      </c>
      <c r="H666" s="165"/>
      <c r="I666" s="165"/>
      <c r="J666" s="165"/>
      <c r="K666" s="165">
        <v>17325</v>
      </c>
      <c r="L666" s="165"/>
      <c r="M666" s="165"/>
      <c r="N666" s="165">
        <f t="shared" si="14"/>
        <v>0</v>
      </c>
      <c r="O666" s="165" t="s">
        <v>3934</v>
      </c>
      <c r="P666" s="165" t="s">
        <v>3935</v>
      </c>
      <c r="Q666" s="3">
        <v>17325</v>
      </c>
      <c r="R666">
        <v>17325</v>
      </c>
    </row>
    <row r="667" spans="1:21">
      <c r="A667" s="165" t="s">
        <v>751</v>
      </c>
      <c r="B667" s="94">
        <v>762</v>
      </c>
      <c r="C667" s="165" t="s">
        <v>3954</v>
      </c>
      <c r="D667" s="165">
        <v>6</v>
      </c>
      <c r="E667" s="165" t="s">
        <v>759</v>
      </c>
      <c r="F667" s="165" t="s">
        <v>760</v>
      </c>
      <c r="G667" s="165">
        <v>17325</v>
      </c>
      <c r="H667" s="165"/>
      <c r="I667" s="165"/>
      <c r="J667" s="165"/>
      <c r="K667" s="165">
        <v>17325</v>
      </c>
      <c r="L667" s="165"/>
      <c r="M667" s="165"/>
      <c r="N667" s="165">
        <f t="shared" si="14"/>
        <v>0</v>
      </c>
      <c r="O667" s="165" t="s">
        <v>3946</v>
      </c>
      <c r="P667" s="165" t="s">
        <v>3947</v>
      </c>
      <c r="Q667" s="3">
        <v>17325</v>
      </c>
      <c r="R667">
        <v>17325</v>
      </c>
    </row>
    <row r="668" spans="1:21">
      <c r="A668" s="165" t="s">
        <v>751</v>
      </c>
      <c r="B668" s="94">
        <v>763</v>
      </c>
      <c r="C668" s="165" t="s">
        <v>3954</v>
      </c>
      <c r="D668" s="165">
        <v>7</v>
      </c>
      <c r="E668" s="165" t="s">
        <v>761</v>
      </c>
      <c r="F668" s="165" t="s">
        <v>762</v>
      </c>
      <c r="G668" s="165">
        <v>17325</v>
      </c>
      <c r="H668" s="165"/>
      <c r="I668" s="165"/>
      <c r="J668" s="165"/>
      <c r="K668" s="165">
        <v>17325</v>
      </c>
      <c r="L668" s="165"/>
      <c r="M668" s="165"/>
      <c r="N668" s="165">
        <f t="shared" si="14"/>
        <v>0</v>
      </c>
      <c r="O668" s="165" t="s">
        <v>3955</v>
      </c>
      <c r="P668" s="165" t="s">
        <v>3956</v>
      </c>
      <c r="Q668" s="3">
        <v>17325</v>
      </c>
      <c r="R668">
        <v>17325</v>
      </c>
    </row>
    <row r="669" spans="1:21">
      <c r="A669" s="165" t="s">
        <v>751</v>
      </c>
      <c r="B669" s="94">
        <v>764</v>
      </c>
      <c r="C669" s="165" t="s">
        <v>3954</v>
      </c>
      <c r="D669" s="165">
        <v>8</v>
      </c>
      <c r="E669" s="165" t="s">
        <v>763</v>
      </c>
      <c r="F669" s="165" t="s">
        <v>764</v>
      </c>
      <c r="G669" s="165">
        <v>17325</v>
      </c>
      <c r="H669" s="165"/>
      <c r="I669" s="165"/>
      <c r="J669" s="165"/>
      <c r="K669" s="165">
        <v>17325</v>
      </c>
      <c r="L669" s="165"/>
      <c r="M669" s="165"/>
      <c r="N669" s="165">
        <f t="shared" si="14"/>
        <v>0</v>
      </c>
      <c r="O669" s="165" t="s">
        <v>3957</v>
      </c>
      <c r="P669" s="165" t="s">
        <v>3958</v>
      </c>
      <c r="Q669" s="3">
        <v>17325</v>
      </c>
      <c r="R669">
        <v>17325</v>
      </c>
    </row>
    <row r="670" spans="1:21" s="163" customFormat="1">
      <c r="A670" s="281" t="s">
        <v>539</v>
      </c>
      <c r="B670" s="281"/>
      <c r="C670" s="281" t="s">
        <v>1532</v>
      </c>
      <c r="D670" s="281">
        <v>4</v>
      </c>
      <c r="E670" s="281" t="s">
        <v>1283</v>
      </c>
      <c r="F670" s="281" t="s">
        <v>539</v>
      </c>
      <c r="G670" s="284"/>
      <c r="H670" s="284"/>
      <c r="I670" s="284"/>
      <c r="J670" s="281"/>
      <c r="K670" s="281"/>
      <c r="L670" s="281"/>
      <c r="M670" s="281"/>
      <c r="N670" s="281">
        <f t="shared" si="14"/>
        <v>0</v>
      </c>
      <c r="O670" s="281" t="s">
        <v>539</v>
      </c>
      <c r="P670" s="281" t="s">
        <v>539</v>
      </c>
      <c r="Q670" s="281">
        <v>13500</v>
      </c>
      <c r="R670" s="281">
        <v>13485</v>
      </c>
      <c r="S670" s="281">
        <v>13485</v>
      </c>
      <c r="T670" s="284">
        <v>15</v>
      </c>
    </row>
    <row r="671" spans="1:21" s="163" customFormat="1">
      <c r="A671" s="281" t="s">
        <v>765</v>
      </c>
      <c r="B671" s="281"/>
      <c r="C671" s="281" t="s">
        <v>747</v>
      </c>
      <c r="D671" s="281">
        <v>2</v>
      </c>
      <c r="E671" s="281" t="s">
        <v>1283</v>
      </c>
      <c r="F671" s="281" t="s">
        <v>765</v>
      </c>
      <c r="G671" s="284"/>
      <c r="H671" s="284"/>
      <c r="I671" s="284"/>
      <c r="J671" s="281"/>
      <c r="K671" s="281"/>
      <c r="L671" s="281"/>
      <c r="M671" s="281"/>
      <c r="N671" s="281">
        <f t="shared" si="14"/>
        <v>0</v>
      </c>
      <c r="O671" s="281" t="s">
        <v>765</v>
      </c>
      <c r="P671" s="281" t="s">
        <v>765</v>
      </c>
      <c r="Q671" s="281">
        <v>42000</v>
      </c>
      <c r="R671" s="281">
        <v>42000</v>
      </c>
      <c r="S671" s="281">
        <v>42000</v>
      </c>
      <c r="T671" s="284"/>
      <c r="U671" s="163" t="s">
        <v>748</v>
      </c>
    </row>
    <row r="672" spans="1:21" s="283" customFormat="1">
      <c r="A672" s="279" t="s">
        <v>3042</v>
      </c>
      <c r="B672" s="279"/>
      <c r="C672" s="279" t="s">
        <v>2060</v>
      </c>
      <c r="D672" s="279">
        <v>3</v>
      </c>
      <c r="E672" s="279" t="s">
        <v>1283</v>
      </c>
      <c r="F672" s="279" t="s">
        <v>765</v>
      </c>
      <c r="G672" s="280"/>
      <c r="H672" s="280"/>
      <c r="I672" s="280"/>
      <c r="J672" s="280"/>
      <c r="K672" s="280"/>
      <c r="L672" s="280"/>
      <c r="M672" s="280"/>
      <c r="N672" s="280">
        <f t="shared" si="14"/>
        <v>0</v>
      </c>
      <c r="O672" s="279" t="s">
        <v>3042</v>
      </c>
      <c r="P672" s="279" t="s">
        <v>3042</v>
      </c>
      <c r="Q672" s="279">
        <v>14175</v>
      </c>
      <c r="R672" s="279">
        <v>14175</v>
      </c>
      <c r="S672" s="279">
        <v>14175</v>
      </c>
      <c r="T672" s="280">
        <v>0</v>
      </c>
      <c r="U672" s="282" t="s">
        <v>245</v>
      </c>
    </row>
    <row r="673" spans="1:21" s="8" customFormat="1">
      <c r="A673" s="184" t="s">
        <v>765</v>
      </c>
      <c r="B673" s="304">
        <v>765</v>
      </c>
      <c r="C673" s="184" t="s">
        <v>2346</v>
      </c>
      <c r="D673" s="184"/>
      <c r="E673" s="184" t="s">
        <v>766</v>
      </c>
      <c r="F673" s="184" t="s">
        <v>767</v>
      </c>
      <c r="G673" s="184">
        <v>20000</v>
      </c>
      <c r="H673" s="184"/>
      <c r="I673" s="184"/>
      <c r="J673" s="184">
        <v>20000</v>
      </c>
      <c r="K673" s="184"/>
      <c r="L673" s="184"/>
      <c r="M673" s="184"/>
      <c r="N673" s="184">
        <f t="shared" si="14"/>
        <v>0</v>
      </c>
      <c r="O673" s="184" t="s">
        <v>765</v>
      </c>
      <c r="P673" s="184" t="s">
        <v>768</v>
      </c>
      <c r="Q673" s="184">
        <v>20000</v>
      </c>
      <c r="R673" s="184">
        <v>20000</v>
      </c>
      <c r="S673" s="184"/>
      <c r="T673" s="184"/>
      <c r="U673" s="8" t="s">
        <v>769</v>
      </c>
    </row>
    <row r="674" spans="1:21">
      <c r="A674" s="165" t="s">
        <v>767</v>
      </c>
      <c r="B674" s="94">
        <v>766</v>
      </c>
      <c r="C674" s="165" t="s">
        <v>606</v>
      </c>
      <c r="D674" s="165">
        <v>1</v>
      </c>
      <c r="E674" s="165" t="s">
        <v>770</v>
      </c>
      <c r="F674" s="165" t="s">
        <v>771</v>
      </c>
      <c r="G674" s="165">
        <v>13500</v>
      </c>
      <c r="H674" s="165"/>
      <c r="I674" s="165"/>
      <c r="J674" s="165">
        <v>13500</v>
      </c>
      <c r="K674" s="165"/>
      <c r="L674" s="165"/>
      <c r="M674" s="165"/>
      <c r="N674" s="165">
        <f t="shared" si="14"/>
        <v>0</v>
      </c>
      <c r="O674" s="165" t="s">
        <v>3159</v>
      </c>
      <c r="P674" s="165" t="s">
        <v>3160</v>
      </c>
      <c r="Q674" s="3">
        <v>13500</v>
      </c>
      <c r="R674">
        <v>13500</v>
      </c>
    </row>
    <row r="675" spans="1:21">
      <c r="A675" s="165" t="s">
        <v>767</v>
      </c>
      <c r="B675" s="94">
        <v>767</v>
      </c>
      <c r="C675" s="165" t="s">
        <v>606</v>
      </c>
      <c r="D675" s="165">
        <v>2</v>
      </c>
      <c r="E675" s="165" t="s">
        <v>772</v>
      </c>
      <c r="F675" s="165" t="s">
        <v>773</v>
      </c>
      <c r="G675" s="165">
        <v>13500</v>
      </c>
      <c r="H675" s="165"/>
      <c r="I675" s="165"/>
      <c r="J675" s="165">
        <v>13500</v>
      </c>
      <c r="K675" s="165"/>
      <c r="L675" s="165"/>
      <c r="M675" s="165"/>
      <c r="N675" s="165">
        <f t="shared" si="14"/>
        <v>0</v>
      </c>
      <c r="O675" s="165" t="s">
        <v>3164</v>
      </c>
      <c r="P675" s="165" t="s">
        <v>808</v>
      </c>
      <c r="Q675" s="3">
        <v>13500</v>
      </c>
      <c r="R675">
        <v>13500</v>
      </c>
    </row>
    <row r="676" spans="1:21">
      <c r="A676" s="165" t="s">
        <v>767</v>
      </c>
      <c r="B676" s="94">
        <v>768</v>
      </c>
      <c r="C676" s="165" t="s">
        <v>606</v>
      </c>
      <c r="D676" s="165">
        <v>3</v>
      </c>
      <c r="E676" s="165" t="s">
        <v>774</v>
      </c>
      <c r="F676" s="165" t="s">
        <v>775</v>
      </c>
      <c r="G676" s="165">
        <v>13500</v>
      </c>
      <c r="H676" s="165"/>
      <c r="I676" s="165"/>
      <c r="J676" s="165">
        <v>13500</v>
      </c>
      <c r="K676" s="165"/>
      <c r="L676" s="165"/>
      <c r="M676" s="165"/>
      <c r="N676" s="165">
        <f t="shared" si="14"/>
        <v>0</v>
      </c>
      <c r="O676" s="165" t="s">
        <v>3165</v>
      </c>
      <c r="P676" s="165" t="s">
        <v>3166</v>
      </c>
      <c r="Q676" s="3">
        <v>13500</v>
      </c>
      <c r="R676">
        <v>13500</v>
      </c>
    </row>
    <row r="677" spans="1:21">
      <c r="A677" s="165" t="s">
        <v>767</v>
      </c>
      <c r="B677" s="94">
        <v>769</v>
      </c>
      <c r="C677" s="165" t="s">
        <v>606</v>
      </c>
      <c r="D677" s="165">
        <v>4</v>
      </c>
      <c r="E677" s="165" t="s">
        <v>776</v>
      </c>
      <c r="F677" s="165" t="s">
        <v>777</v>
      </c>
      <c r="G677" s="165">
        <v>13500</v>
      </c>
      <c r="H677" s="165"/>
      <c r="I677" s="165"/>
      <c r="J677" s="165">
        <v>13500</v>
      </c>
      <c r="K677" s="165"/>
      <c r="L677" s="165"/>
      <c r="M677" s="165"/>
      <c r="N677" s="165">
        <f t="shared" si="14"/>
        <v>0</v>
      </c>
      <c r="O677" s="165" t="s">
        <v>3171</v>
      </c>
      <c r="P677" s="165" t="s">
        <v>3172</v>
      </c>
      <c r="Q677" s="3">
        <v>13500</v>
      </c>
      <c r="R677">
        <v>13500</v>
      </c>
    </row>
    <row r="678" spans="1:21">
      <c r="A678" s="165" t="s">
        <v>767</v>
      </c>
      <c r="B678" s="94">
        <v>770</v>
      </c>
      <c r="C678" s="165" t="s">
        <v>606</v>
      </c>
      <c r="D678" s="165">
        <v>5</v>
      </c>
      <c r="E678" s="165" t="s">
        <v>778</v>
      </c>
      <c r="F678" s="165" t="s">
        <v>779</v>
      </c>
      <c r="G678" s="165">
        <v>13500</v>
      </c>
      <c r="H678" s="165"/>
      <c r="I678" s="165"/>
      <c r="J678" s="165"/>
      <c r="K678" s="165">
        <v>13500</v>
      </c>
      <c r="L678" s="165"/>
      <c r="M678" s="165"/>
      <c r="N678" s="165">
        <f t="shared" si="14"/>
        <v>0</v>
      </c>
      <c r="O678" s="165" t="s">
        <v>3936</v>
      </c>
      <c r="P678" s="165" t="s">
        <v>3937</v>
      </c>
      <c r="Q678" s="3">
        <v>13500</v>
      </c>
      <c r="R678">
        <v>13500</v>
      </c>
    </row>
    <row r="679" spans="1:21">
      <c r="A679" s="165" t="s">
        <v>767</v>
      </c>
      <c r="B679" s="94">
        <v>771</v>
      </c>
      <c r="C679" s="165" t="s">
        <v>606</v>
      </c>
      <c r="D679" s="165">
        <v>6</v>
      </c>
      <c r="E679" s="165" t="s">
        <v>780</v>
      </c>
      <c r="F679" s="165" t="s">
        <v>781</v>
      </c>
      <c r="G679" s="165">
        <v>13500</v>
      </c>
      <c r="H679" s="165"/>
      <c r="I679" s="165"/>
      <c r="J679" s="165"/>
      <c r="K679" s="165">
        <v>13500</v>
      </c>
      <c r="L679" s="165"/>
      <c r="M679" s="165"/>
      <c r="N679" s="165">
        <f t="shared" si="14"/>
        <v>0</v>
      </c>
      <c r="O679" s="165" t="s">
        <v>3959</v>
      </c>
      <c r="P679" s="165" t="s">
        <v>3960</v>
      </c>
      <c r="Q679" s="3">
        <v>13500</v>
      </c>
      <c r="R679">
        <v>13500</v>
      </c>
    </row>
    <row r="680" spans="1:21">
      <c r="A680" s="165" t="s">
        <v>767</v>
      </c>
      <c r="B680" s="94">
        <v>772</v>
      </c>
      <c r="C680" s="165" t="s">
        <v>606</v>
      </c>
      <c r="D680" s="165">
        <v>7</v>
      </c>
      <c r="E680" s="165" t="s">
        <v>782</v>
      </c>
      <c r="F680" s="165" t="s">
        <v>783</v>
      </c>
      <c r="G680" s="165">
        <v>13500</v>
      </c>
      <c r="H680" s="165"/>
      <c r="I680" s="165"/>
      <c r="J680" s="165"/>
      <c r="K680" s="165">
        <v>13500</v>
      </c>
      <c r="L680" s="165"/>
      <c r="M680" s="165"/>
      <c r="N680" s="165">
        <f t="shared" si="14"/>
        <v>0</v>
      </c>
      <c r="O680" s="165" t="s">
        <v>3961</v>
      </c>
      <c r="P680" s="165" t="s">
        <v>3962</v>
      </c>
      <c r="Q680" s="3">
        <v>13500</v>
      </c>
      <c r="R680">
        <v>13500</v>
      </c>
    </row>
    <row r="681" spans="1:21">
      <c r="A681" s="165" t="s">
        <v>767</v>
      </c>
      <c r="B681" s="94">
        <v>773</v>
      </c>
      <c r="C681" s="165" t="s">
        <v>606</v>
      </c>
      <c r="D681" s="165">
        <v>8</v>
      </c>
      <c r="E681" s="165" t="s">
        <v>784</v>
      </c>
      <c r="F681" s="165" t="s">
        <v>785</v>
      </c>
      <c r="G681" s="165">
        <v>13500</v>
      </c>
      <c r="H681" s="165"/>
      <c r="I681" s="165"/>
      <c r="J681" s="165"/>
      <c r="K681" s="165">
        <v>13500</v>
      </c>
      <c r="L681" s="165"/>
      <c r="M681" s="165"/>
      <c r="N681" s="165">
        <f t="shared" si="14"/>
        <v>0</v>
      </c>
      <c r="O681" s="165" t="s">
        <v>3963</v>
      </c>
      <c r="P681" s="165" t="s">
        <v>3964</v>
      </c>
      <c r="Q681" s="3">
        <v>13500</v>
      </c>
      <c r="R681">
        <v>13500</v>
      </c>
    </row>
    <row r="682" spans="1:21" s="163" customFormat="1">
      <c r="A682" s="281" t="s">
        <v>2365</v>
      </c>
      <c r="B682" s="281"/>
      <c r="C682" s="281" t="s">
        <v>2421</v>
      </c>
      <c r="D682" s="281">
        <v>3</v>
      </c>
      <c r="E682" s="281" t="s">
        <v>1283</v>
      </c>
      <c r="F682" s="281" t="s">
        <v>2365</v>
      </c>
      <c r="G682" s="284"/>
      <c r="H682" s="284"/>
      <c r="I682" s="284"/>
      <c r="J682" s="281"/>
      <c r="K682" s="281"/>
      <c r="L682" s="281"/>
      <c r="M682" s="281"/>
      <c r="N682" s="281">
        <f t="shared" si="14"/>
        <v>0</v>
      </c>
      <c r="O682" s="281" t="s">
        <v>2365</v>
      </c>
      <c r="P682" s="281" t="s">
        <v>2365</v>
      </c>
      <c r="Q682" s="281">
        <v>13230</v>
      </c>
      <c r="R682" s="281">
        <v>13220</v>
      </c>
      <c r="S682" s="281">
        <v>13220</v>
      </c>
      <c r="T682" s="284">
        <v>10</v>
      </c>
    </row>
    <row r="683" spans="1:21">
      <c r="A683" s="165" t="s">
        <v>786</v>
      </c>
      <c r="B683" s="94">
        <v>774</v>
      </c>
      <c r="C683" s="165" t="s">
        <v>1302</v>
      </c>
      <c r="D683" s="165">
        <v>1</v>
      </c>
      <c r="E683" s="165" t="s">
        <v>787</v>
      </c>
      <c r="F683" s="165" t="s">
        <v>788</v>
      </c>
      <c r="G683" s="165">
        <v>11970</v>
      </c>
      <c r="H683" s="165"/>
      <c r="I683" s="165"/>
      <c r="J683" s="165">
        <v>11970</v>
      </c>
      <c r="K683" s="165"/>
      <c r="L683" s="165"/>
      <c r="M683" s="165"/>
      <c r="N683" s="165">
        <f t="shared" si="14"/>
        <v>0</v>
      </c>
      <c r="O683" s="165" t="s">
        <v>3161</v>
      </c>
      <c r="P683" s="165" t="s">
        <v>3162</v>
      </c>
      <c r="Q683" s="3">
        <v>11970</v>
      </c>
      <c r="R683">
        <v>11970</v>
      </c>
    </row>
    <row r="684" spans="1:21">
      <c r="A684" s="165" t="s">
        <v>786</v>
      </c>
      <c r="B684" s="94">
        <v>775</v>
      </c>
      <c r="C684" s="165" t="s">
        <v>1302</v>
      </c>
      <c r="D684" s="165">
        <v>2</v>
      </c>
      <c r="E684" s="165" t="s">
        <v>789</v>
      </c>
      <c r="F684" s="165" t="s">
        <v>790</v>
      </c>
      <c r="G684" s="165">
        <v>11970</v>
      </c>
      <c r="H684" s="165"/>
      <c r="I684" s="165"/>
      <c r="J684" s="165">
        <v>11970</v>
      </c>
      <c r="K684" s="165"/>
      <c r="L684" s="165"/>
      <c r="M684" s="165"/>
      <c r="N684" s="165">
        <f t="shared" si="14"/>
        <v>0</v>
      </c>
      <c r="O684" s="165" t="s">
        <v>3167</v>
      </c>
      <c r="P684" s="165" t="s">
        <v>3168</v>
      </c>
      <c r="Q684" s="3">
        <v>11970</v>
      </c>
      <c r="R684">
        <v>11970</v>
      </c>
    </row>
    <row r="685" spans="1:21">
      <c r="A685" s="165" t="s">
        <v>786</v>
      </c>
      <c r="B685" s="94">
        <v>776</v>
      </c>
      <c r="C685" s="165" t="s">
        <v>1302</v>
      </c>
      <c r="D685" s="165">
        <v>3</v>
      </c>
      <c r="E685" s="165" t="s">
        <v>791</v>
      </c>
      <c r="F685" s="165" t="s">
        <v>792</v>
      </c>
      <c r="G685" s="165">
        <v>11970</v>
      </c>
      <c r="H685" s="165"/>
      <c r="I685" s="165"/>
      <c r="J685" s="165">
        <v>11970</v>
      </c>
      <c r="K685" s="165"/>
      <c r="L685" s="165"/>
      <c r="M685" s="165"/>
      <c r="N685" s="165">
        <f t="shared" si="14"/>
        <v>0</v>
      </c>
      <c r="O685" s="165" t="s">
        <v>3165</v>
      </c>
      <c r="P685" s="165" t="s">
        <v>3166</v>
      </c>
      <c r="Q685" s="3">
        <v>11970</v>
      </c>
      <c r="R685">
        <v>11970</v>
      </c>
    </row>
    <row r="686" spans="1:21">
      <c r="A686" s="165" t="s">
        <v>786</v>
      </c>
      <c r="B686" s="94">
        <v>777</v>
      </c>
      <c r="C686" s="165" t="s">
        <v>1302</v>
      </c>
      <c r="D686" s="165">
        <v>4</v>
      </c>
      <c r="E686" s="165" t="s">
        <v>793</v>
      </c>
      <c r="F686" s="165" t="s">
        <v>794</v>
      </c>
      <c r="G686" s="165">
        <v>11970</v>
      </c>
      <c r="H686" s="165"/>
      <c r="I686" s="165"/>
      <c r="J686" s="165"/>
      <c r="K686" s="165">
        <v>11970</v>
      </c>
      <c r="L686" s="165"/>
      <c r="M686" s="165"/>
      <c r="N686" s="165">
        <f t="shared" si="14"/>
        <v>0</v>
      </c>
      <c r="O686" s="165" t="s">
        <v>3938</v>
      </c>
      <c r="P686" s="165" t="s">
        <v>3939</v>
      </c>
      <c r="Q686" s="3">
        <v>11970</v>
      </c>
      <c r="R686">
        <v>11970</v>
      </c>
    </row>
    <row r="687" spans="1:21">
      <c r="A687" s="165" t="s">
        <v>786</v>
      </c>
      <c r="B687" s="94">
        <v>778</v>
      </c>
      <c r="C687" s="165" t="s">
        <v>1302</v>
      </c>
      <c r="D687" s="165">
        <v>5</v>
      </c>
      <c r="E687" s="165" t="s">
        <v>795</v>
      </c>
      <c r="F687" s="165" t="s">
        <v>796</v>
      </c>
      <c r="G687" s="165">
        <v>11970</v>
      </c>
      <c r="H687" s="165"/>
      <c r="I687" s="165"/>
      <c r="J687" s="165"/>
      <c r="K687" s="165">
        <v>11970</v>
      </c>
      <c r="L687" s="165"/>
      <c r="M687" s="165"/>
      <c r="N687" s="165">
        <f t="shared" si="14"/>
        <v>0</v>
      </c>
      <c r="O687" s="165" t="s">
        <v>3944</v>
      </c>
      <c r="P687" s="165" t="s">
        <v>3945</v>
      </c>
      <c r="Q687" s="3">
        <v>11970</v>
      </c>
      <c r="R687">
        <v>11970</v>
      </c>
    </row>
    <row r="688" spans="1:21">
      <c r="A688" s="165" t="s">
        <v>786</v>
      </c>
      <c r="B688" s="94">
        <v>779</v>
      </c>
      <c r="C688" s="165" t="s">
        <v>1302</v>
      </c>
      <c r="D688" s="165">
        <v>6</v>
      </c>
      <c r="E688" s="165" t="s">
        <v>797</v>
      </c>
      <c r="F688" s="165" t="s">
        <v>798</v>
      </c>
      <c r="G688" s="165">
        <v>11970</v>
      </c>
      <c r="H688" s="165"/>
      <c r="I688" s="165"/>
      <c r="J688" s="165"/>
      <c r="K688" s="165">
        <v>11970</v>
      </c>
      <c r="L688" s="165"/>
      <c r="M688" s="165"/>
      <c r="N688" s="165">
        <f t="shared" si="14"/>
        <v>0</v>
      </c>
      <c r="O688" s="165" t="s">
        <v>3952</v>
      </c>
      <c r="P688" s="165" t="s">
        <v>3953</v>
      </c>
      <c r="Q688" s="3">
        <v>11970</v>
      </c>
      <c r="R688">
        <v>11970</v>
      </c>
    </row>
    <row r="689" spans="1:21">
      <c r="A689" s="165" t="s">
        <v>786</v>
      </c>
      <c r="B689" s="94">
        <v>780</v>
      </c>
      <c r="C689" s="165" t="s">
        <v>1302</v>
      </c>
      <c r="D689" s="165">
        <v>7</v>
      </c>
      <c r="E689" s="165" t="s">
        <v>799</v>
      </c>
      <c r="F689" s="165" t="s">
        <v>800</v>
      </c>
      <c r="G689" s="165">
        <v>11970</v>
      </c>
      <c r="H689" s="165"/>
      <c r="I689" s="165"/>
      <c r="J689" s="165"/>
      <c r="K689" s="165">
        <v>11970</v>
      </c>
      <c r="L689" s="165"/>
      <c r="M689" s="165"/>
      <c r="N689" s="165">
        <f t="shared" si="14"/>
        <v>0</v>
      </c>
      <c r="O689" s="165" t="s">
        <v>3965</v>
      </c>
      <c r="P689" s="165" t="s">
        <v>3966</v>
      </c>
      <c r="Q689" s="3">
        <v>11970</v>
      </c>
      <c r="R689">
        <v>11970</v>
      </c>
    </row>
    <row r="690" spans="1:21">
      <c r="A690" s="165" t="s">
        <v>786</v>
      </c>
      <c r="B690" s="94">
        <v>781</v>
      </c>
      <c r="C690" s="165" t="s">
        <v>1302</v>
      </c>
      <c r="D690" s="165">
        <v>8</v>
      </c>
      <c r="E690" s="165" t="s">
        <v>801</v>
      </c>
      <c r="F690" s="165" t="s">
        <v>802</v>
      </c>
      <c r="G690" s="165">
        <v>11970</v>
      </c>
      <c r="H690" s="165"/>
      <c r="I690" s="165"/>
      <c r="J690" s="165"/>
      <c r="K690" s="165"/>
      <c r="L690" s="165">
        <v>11970</v>
      </c>
      <c r="M690" s="165"/>
      <c r="N690" s="165">
        <f>G690+H690+I690-J690-K690-L690</f>
        <v>0</v>
      </c>
      <c r="O690" s="165" t="s">
        <v>4236</v>
      </c>
      <c r="P690" s="165" t="s">
        <v>4752</v>
      </c>
      <c r="Q690" s="3">
        <v>11970</v>
      </c>
      <c r="R690">
        <v>11970</v>
      </c>
    </row>
    <row r="691" spans="1:21" s="163" customFormat="1">
      <c r="A691" s="281" t="s">
        <v>3046</v>
      </c>
      <c r="B691" s="281"/>
      <c r="C691" s="281" t="s">
        <v>3825</v>
      </c>
      <c r="D691" s="281">
        <v>5</v>
      </c>
      <c r="E691" s="281" t="s">
        <v>1283</v>
      </c>
      <c r="F691" s="281" t="s">
        <v>3046</v>
      </c>
      <c r="G691" s="284"/>
      <c r="H691" s="284"/>
      <c r="I691" s="284"/>
      <c r="J691" s="281"/>
      <c r="K691" s="281"/>
      <c r="L691" s="281"/>
      <c r="M691" s="281"/>
      <c r="N691" s="281">
        <f t="shared" si="14"/>
        <v>0</v>
      </c>
      <c r="O691" s="281" t="s">
        <v>3046</v>
      </c>
      <c r="P691" s="281" t="s">
        <v>3046</v>
      </c>
      <c r="Q691" s="281">
        <v>14175</v>
      </c>
      <c r="R691" s="281">
        <v>14145</v>
      </c>
      <c r="S691" s="281">
        <v>14145</v>
      </c>
      <c r="T691" s="284">
        <v>30</v>
      </c>
    </row>
    <row r="692" spans="1:21" s="5" customFormat="1">
      <c r="A692" s="94" t="s">
        <v>803</v>
      </c>
      <c r="B692" s="94">
        <v>782</v>
      </c>
      <c r="C692" s="94" t="s">
        <v>1232</v>
      </c>
      <c r="D692" s="94">
        <v>12</v>
      </c>
      <c r="E692" s="94" t="s">
        <v>804</v>
      </c>
      <c r="F692" s="94" t="s">
        <v>719</v>
      </c>
      <c r="G692" s="94">
        <v>16380</v>
      </c>
      <c r="H692" s="94"/>
      <c r="I692" s="94"/>
      <c r="J692" s="94">
        <v>16380</v>
      </c>
      <c r="K692" s="94"/>
      <c r="L692" s="94"/>
      <c r="M692" s="94"/>
      <c r="N692" s="94">
        <f t="shared" si="14"/>
        <v>0</v>
      </c>
      <c r="O692" s="94" t="s">
        <v>3161</v>
      </c>
      <c r="P692" s="94" t="s">
        <v>3162</v>
      </c>
      <c r="Q692" s="93">
        <v>16380</v>
      </c>
      <c r="R692" s="5">
        <v>16380</v>
      </c>
      <c r="T692" s="93"/>
    </row>
    <row r="693" spans="1:21" s="114" customFormat="1">
      <c r="A693" s="214" t="s">
        <v>1010</v>
      </c>
      <c r="B693" s="305" t="s">
        <v>3175</v>
      </c>
      <c r="C693" s="305" t="s">
        <v>3176</v>
      </c>
      <c r="D693" s="214">
        <v>1</v>
      </c>
      <c r="E693" s="214" t="s">
        <v>1283</v>
      </c>
      <c r="F693" s="214" t="s">
        <v>1010</v>
      </c>
      <c r="G693" s="211"/>
      <c r="H693" s="211"/>
      <c r="I693" s="211"/>
      <c r="J693" s="214"/>
      <c r="K693" s="214"/>
      <c r="L693" s="214"/>
      <c r="M693" s="214"/>
      <c r="N693" s="214">
        <f t="shared" si="14"/>
        <v>0</v>
      </c>
      <c r="O693" s="214" t="s">
        <v>1010</v>
      </c>
      <c r="P693" s="214" t="s">
        <v>1010</v>
      </c>
      <c r="Q693" s="214">
        <v>37800</v>
      </c>
      <c r="R693" s="214">
        <v>37800</v>
      </c>
      <c r="S693" s="214">
        <v>37800</v>
      </c>
      <c r="T693" s="211"/>
    </row>
    <row r="694" spans="1:21" s="163" customFormat="1">
      <c r="A694" s="281" t="s">
        <v>3177</v>
      </c>
      <c r="B694" s="281"/>
      <c r="C694" s="281" t="s">
        <v>1013</v>
      </c>
      <c r="D694" s="281">
        <v>1</v>
      </c>
      <c r="E694" s="281" t="s">
        <v>1283</v>
      </c>
      <c r="F694" s="281" t="s">
        <v>3177</v>
      </c>
      <c r="G694" s="284"/>
      <c r="H694" s="284"/>
      <c r="I694" s="284"/>
      <c r="J694" s="281"/>
      <c r="K694" s="281"/>
      <c r="L694" s="281"/>
      <c r="M694" s="281"/>
      <c r="N694" s="281">
        <f t="shared" si="14"/>
        <v>0</v>
      </c>
      <c r="O694" s="281" t="s">
        <v>3177</v>
      </c>
      <c r="P694" s="281" t="s">
        <v>3177</v>
      </c>
      <c r="Q694" s="281">
        <v>105000</v>
      </c>
      <c r="R694" s="281">
        <v>105000</v>
      </c>
      <c r="S694" s="281">
        <v>105000</v>
      </c>
      <c r="T694" s="284"/>
      <c r="U694" s="163" t="s">
        <v>746</v>
      </c>
    </row>
    <row r="695" spans="1:21" s="163" customFormat="1">
      <c r="A695" s="281" t="s">
        <v>3733</v>
      </c>
      <c r="B695" s="281"/>
      <c r="C695" s="281" t="s">
        <v>1016</v>
      </c>
      <c r="D695" s="281">
        <v>1</v>
      </c>
      <c r="E695" s="281" t="s">
        <v>1283</v>
      </c>
      <c r="F695" s="281" t="s">
        <v>3733</v>
      </c>
      <c r="G695" s="284"/>
      <c r="H695" s="284"/>
      <c r="I695" s="284"/>
      <c r="J695" s="281"/>
      <c r="K695" s="281"/>
      <c r="L695" s="281"/>
      <c r="M695" s="281"/>
      <c r="N695" s="281">
        <f t="shared" si="14"/>
        <v>0</v>
      </c>
      <c r="O695" s="281" t="s">
        <v>3733</v>
      </c>
      <c r="P695" s="281" t="s">
        <v>3733</v>
      </c>
      <c r="Q695" s="281">
        <v>105000</v>
      </c>
      <c r="R695" s="281">
        <v>105000</v>
      </c>
      <c r="S695" s="281">
        <v>105000</v>
      </c>
      <c r="T695" s="284"/>
      <c r="U695" s="163" t="s">
        <v>746</v>
      </c>
    </row>
    <row r="696" spans="1:21" s="163" customFormat="1">
      <c r="A696" s="281" t="s">
        <v>3738</v>
      </c>
      <c r="B696" s="281"/>
      <c r="C696" s="281" t="s">
        <v>1016</v>
      </c>
      <c r="D696" s="281">
        <v>1</v>
      </c>
      <c r="E696" s="281" t="s">
        <v>1283</v>
      </c>
      <c r="F696" s="281" t="s">
        <v>3738</v>
      </c>
      <c r="G696" s="284"/>
      <c r="H696" s="284"/>
      <c r="I696" s="284"/>
      <c r="J696" s="281"/>
      <c r="K696" s="281"/>
      <c r="L696" s="281"/>
      <c r="M696" s="281"/>
      <c r="N696" s="281">
        <f t="shared" si="14"/>
        <v>0</v>
      </c>
      <c r="O696" s="281" t="s">
        <v>3738</v>
      </c>
      <c r="P696" s="281" t="s">
        <v>3738</v>
      </c>
      <c r="Q696" s="281">
        <v>20000</v>
      </c>
      <c r="R696" s="281">
        <v>20000</v>
      </c>
      <c r="S696" s="281">
        <v>20000</v>
      </c>
      <c r="T696" s="284"/>
      <c r="U696" s="163" t="s">
        <v>746</v>
      </c>
    </row>
    <row r="697" spans="1:21">
      <c r="A697" s="165" t="s">
        <v>805</v>
      </c>
      <c r="B697" s="94">
        <v>783</v>
      </c>
      <c r="C697" s="165" t="s">
        <v>1303</v>
      </c>
      <c r="D697" s="165">
        <v>1</v>
      </c>
      <c r="E697" s="165" t="s">
        <v>806</v>
      </c>
      <c r="F697" s="165" t="s">
        <v>1030</v>
      </c>
      <c r="G697" s="165">
        <v>13230</v>
      </c>
      <c r="H697" s="165"/>
      <c r="I697" s="165"/>
      <c r="J697" s="165">
        <v>13230</v>
      </c>
      <c r="K697" s="165"/>
      <c r="L697" s="165"/>
      <c r="M697" s="165"/>
      <c r="N697" s="165">
        <f t="shared" si="14"/>
        <v>0</v>
      </c>
      <c r="O697" s="165" t="s">
        <v>3161</v>
      </c>
      <c r="P697" s="165" t="s">
        <v>3162</v>
      </c>
      <c r="Q697" s="3">
        <v>13230</v>
      </c>
      <c r="R697">
        <v>13230</v>
      </c>
    </row>
    <row r="698" spans="1:21">
      <c r="A698" s="165" t="s">
        <v>805</v>
      </c>
      <c r="B698" s="94">
        <v>784</v>
      </c>
      <c r="C698" s="165" t="s">
        <v>1303</v>
      </c>
      <c r="D698" s="165">
        <v>2</v>
      </c>
      <c r="E698" s="165" t="s">
        <v>807</v>
      </c>
      <c r="F698" s="165" t="s">
        <v>808</v>
      </c>
      <c r="G698" s="165">
        <v>13230</v>
      </c>
      <c r="H698" s="165"/>
      <c r="I698" s="165"/>
      <c r="J698" s="165">
        <v>13230</v>
      </c>
      <c r="K698" s="165"/>
      <c r="L698" s="165"/>
      <c r="M698" s="165"/>
      <c r="N698" s="165">
        <f t="shared" si="14"/>
        <v>0</v>
      </c>
      <c r="O698" s="165" t="s">
        <v>3167</v>
      </c>
      <c r="P698" s="165" t="s">
        <v>3168</v>
      </c>
      <c r="Q698" s="3">
        <v>13230</v>
      </c>
      <c r="R698">
        <v>13230</v>
      </c>
    </row>
    <row r="699" spans="1:21">
      <c r="A699" s="165" t="s">
        <v>805</v>
      </c>
      <c r="B699" s="94">
        <v>785</v>
      </c>
      <c r="C699" s="165" t="s">
        <v>1303</v>
      </c>
      <c r="D699" s="165">
        <v>3</v>
      </c>
      <c r="E699" s="165" t="s">
        <v>809</v>
      </c>
      <c r="F699" s="165" t="s">
        <v>810</v>
      </c>
      <c r="G699" s="165">
        <v>13230</v>
      </c>
      <c r="H699" s="165"/>
      <c r="I699" s="165"/>
      <c r="J699" s="165">
        <v>13230</v>
      </c>
      <c r="K699" s="165"/>
      <c r="L699" s="165"/>
      <c r="M699" s="165"/>
      <c r="N699" s="165">
        <f t="shared" si="14"/>
        <v>0</v>
      </c>
      <c r="O699" s="165" t="s">
        <v>3169</v>
      </c>
      <c r="P699" s="165" t="s">
        <v>3170</v>
      </c>
      <c r="Q699" s="3">
        <v>13230</v>
      </c>
      <c r="R699">
        <v>13230</v>
      </c>
    </row>
    <row r="700" spans="1:21">
      <c r="A700" s="165" t="s">
        <v>805</v>
      </c>
      <c r="B700" s="94">
        <v>786</v>
      </c>
      <c r="C700" s="165" t="s">
        <v>1303</v>
      </c>
      <c r="D700" s="165">
        <v>4</v>
      </c>
      <c r="E700" s="165" t="s">
        <v>811</v>
      </c>
      <c r="F700" s="165" t="s">
        <v>812</v>
      </c>
      <c r="G700" s="165">
        <v>13230</v>
      </c>
      <c r="H700" s="165"/>
      <c r="I700" s="165"/>
      <c r="J700" s="165"/>
      <c r="K700" s="165">
        <v>13230</v>
      </c>
      <c r="L700" s="165"/>
      <c r="M700" s="165"/>
      <c r="N700" s="165">
        <f t="shared" si="14"/>
        <v>0</v>
      </c>
      <c r="O700" s="165" t="s">
        <v>3938</v>
      </c>
      <c r="P700" s="165" t="s">
        <v>3939</v>
      </c>
      <c r="Q700" s="3">
        <v>13230</v>
      </c>
      <c r="R700">
        <v>13230</v>
      </c>
    </row>
    <row r="701" spans="1:21">
      <c r="A701" s="165" t="s">
        <v>805</v>
      </c>
      <c r="B701" s="94">
        <v>787</v>
      </c>
      <c r="C701" s="165" t="s">
        <v>1303</v>
      </c>
      <c r="D701" s="165">
        <v>5</v>
      </c>
      <c r="E701" s="165" t="s">
        <v>3644</v>
      </c>
      <c r="F701" s="165" t="s">
        <v>676</v>
      </c>
      <c r="G701" s="165">
        <v>13230</v>
      </c>
      <c r="H701" s="165"/>
      <c r="I701" s="165"/>
      <c r="J701" s="165"/>
      <c r="K701" s="165">
        <v>13230</v>
      </c>
      <c r="L701" s="165"/>
      <c r="M701" s="165"/>
      <c r="N701" s="165">
        <f t="shared" si="14"/>
        <v>0</v>
      </c>
      <c r="O701" s="165" t="s">
        <v>3940</v>
      </c>
      <c r="P701" s="165" t="s">
        <v>3941</v>
      </c>
      <c r="Q701" s="3">
        <v>13230</v>
      </c>
      <c r="R701">
        <v>13230</v>
      </c>
    </row>
    <row r="702" spans="1:21">
      <c r="A702" s="165" t="s">
        <v>805</v>
      </c>
      <c r="B702" s="94">
        <v>788</v>
      </c>
      <c r="C702" s="165" t="s">
        <v>1303</v>
      </c>
      <c r="D702" s="165">
        <v>6</v>
      </c>
      <c r="E702" s="165" t="s">
        <v>3645</v>
      </c>
      <c r="F702" s="165" t="s">
        <v>3646</v>
      </c>
      <c r="G702" s="165">
        <v>13230</v>
      </c>
      <c r="H702" s="165"/>
      <c r="I702" s="165"/>
      <c r="J702" s="165"/>
      <c r="K702" s="165">
        <v>13230</v>
      </c>
      <c r="L702" s="165"/>
      <c r="M702" s="165"/>
      <c r="N702" s="165">
        <f t="shared" si="14"/>
        <v>0</v>
      </c>
      <c r="O702" s="165" t="s">
        <v>3948</v>
      </c>
      <c r="P702" s="165" t="s">
        <v>3949</v>
      </c>
      <c r="Q702" s="3">
        <v>13230</v>
      </c>
      <c r="R702">
        <v>13230</v>
      </c>
    </row>
    <row r="703" spans="1:21">
      <c r="A703" s="165" t="s">
        <v>805</v>
      </c>
      <c r="B703" s="94">
        <v>789</v>
      </c>
      <c r="C703" s="165" t="s">
        <v>1303</v>
      </c>
      <c r="D703" s="165">
        <v>7</v>
      </c>
      <c r="E703" s="165" t="s">
        <v>3647</v>
      </c>
      <c r="F703" s="165" t="s">
        <v>3648</v>
      </c>
      <c r="G703" s="165">
        <v>13230</v>
      </c>
      <c r="H703" s="165"/>
      <c r="I703" s="165"/>
      <c r="J703" s="165"/>
      <c r="K703" s="165">
        <v>13230</v>
      </c>
      <c r="L703" s="165"/>
      <c r="M703" s="165"/>
      <c r="N703" s="165">
        <f t="shared" si="14"/>
        <v>0</v>
      </c>
      <c r="O703" s="165" t="s">
        <v>3967</v>
      </c>
      <c r="P703" s="165" t="s">
        <v>3968</v>
      </c>
      <c r="Q703" s="3">
        <v>13230</v>
      </c>
      <c r="R703">
        <v>13230</v>
      </c>
    </row>
    <row r="704" spans="1:21">
      <c r="A704" s="165" t="s">
        <v>805</v>
      </c>
      <c r="B704" s="94">
        <v>790</v>
      </c>
      <c r="C704" s="165" t="s">
        <v>1303</v>
      </c>
      <c r="D704" s="165">
        <v>8</v>
      </c>
      <c r="E704" s="165" t="s">
        <v>3649</v>
      </c>
      <c r="F704" s="165" t="s">
        <v>3650</v>
      </c>
      <c r="G704" s="165">
        <v>13230</v>
      </c>
      <c r="H704" s="165"/>
      <c r="I704" s="165"/>
      <c r="J704" s="165"/>
      <c r="K704" s="165"/>
      <c r="L704" s="165">
        <v>13230</v>
      </c>
      <c r="M704" s="165"/>
      <c r="N704" s="165">
        <f>G704+H704+I704-J704-K704-L704</f>
        <v>0</v>
      </c>
      <c r="O704" s="165" t="s">
        <v>4236</v>
      </c>
      <c r="P704" s="165" t="s">
        <v>4580</v>
      </c>
      <c r="Q704" s="3">
        <v>13230</v>
      </c>
      <c r="R704">
        <v>13230</v>
      </c>
    </row>
    <row r="705" spans="1:21" s="283" customFormat="1">
      <c r="A705" s="279" t="s">
        <v>3074</v>
      </c>
      <c r="B705" s="279"/>
      <c r="C705" s="279" t="s">
        <v>2060</v>
      </c>
      <c r="D705" s="279">
        <v>4</v>
      </c>
      <c r="E705" s="279" t="s">
        <v>1283</v>
      </c>
      <c r="F705" s="279" t="s">
        <v>880</v>
      </c>
      <c r="G705" s="280"/>
      <c r="H705" s="280"/>
      <c r="I705" s="280"/>
      <c r="J705" s="280"/>
      <c r="K705" s="280"/>
      <c r="L705" s="280"/>
      <c r="M705" s="280"/>
      <c r="N705" s="280">
        <f t="shared" si="14"/>
        <v>0</v>
      </c>
      <c r="O705" s="279" t="s">
        <v>3074</v>
      </c>
      <c r="P705" s="279" t="s">
        <v>3074</v>
      </c>
      <c r="Q705" s="279">
        <v>14175</v>
      </c>
      <c r="R705" s="279">
        <v>14165</v>
      </c>
      <c r="S705" s="279">
        <v>14165</v>
      </c>
      <c r="T705" s="280">
        <v>10</v>
      </c>
      <c r="U705" s="282" t="s">
        <v>245</v>
      </c>
    </row>
    <row r="706" spans="1:21" s="163" customFormat="1">
      <c r="A706" s="281" t="s">
        <v>3178</v>
      </c>
      <c r="B706" s="281"/>
      <c r="C706" s="281" t="s">
        <v>1264</v>
      </c>
      <c r="D706" s="281">
        <v>1</v>
      </c>
      <c r="E706" s="281" t="s">
        <v>1283</v>
      </c>
      <c r="F706" s="281" t="s">
        <v>3178</v>
      </c>
      <c r="G706" s="284"/>
      <c r="H706" s="284"/>
      <c r="I706" s="284"/>
      <c r="J706" s="281"/>
      <c r="K706" s="281"/>
      <c r="L706" s="281"/>
      <c r="M706" s="281"/>
      <c r="N706" s="281">
        <f t="shared" si="14"/>
        <v>0</v>
      </c>
      <c r="O706" s="281" t="s">
        <v>3178</v>
      </c>
      <c r="P706" s="281" t="s">
        <v>3178</v>
      </c>
      <c r="Q706" s="281">
        <v>45360</v>
      </c>
      <c r="R706" s="281">
        <v>45360</v>
      </c>
      <c r="S706" s="281">
        <v>45360</v>
      </c>
      <c r="T706" s="284"/>
    </row>
    <row r="707" spans="1:21" s="163" customFormat="1">
      <c r="A707" s="281" t="s">
        <v>1063</v>
      </c>
      <c r="B707" s="281"/>
      <c r="C707" s="281" t="s">
        <v>1532</v>
      </c>
      <c r="D707" s="281">
        <v>5</v>
      </c>
      <c r="E707" s="281" t="s">
        <v>1283</v>
      </c>
      <c r="F707" s="281" t="s">
        <v>1063</v>
      </c>
      <c r="G707" s="284"/>
      <c r="H707" s="284"/>
      <c r="I707" s="284"/>
      <c r="J707" s="281"/>
      <c r="K707" s="281"/>
      <c r="L707" s="281"/>
      <c r="M707" s="281"/>
      <c r="N707" s="281">
        <f t="shared" si="14"/>
        <v>0</v>
      </c>
      <c r="O707" s="281" t="s">
        <v>1063</v>
      </c>
      <c r="P707" s="281" t="s">
        <v>1063</v>
      </c>
      <c r="Q707" s="281">
        <v>13500</v>
      </c>
      <c r="R707" s="281">
        <v>13485</v>
      </c>
      <c r="S707" s="281">
        <v>13485</v>
      </c>
      <c r="T707" s="284">
        <v>15</v>
      </c>
    </row>
    <row r="708" spans="1:21" s="114" customFormat="1">
      <c r="A708" s="214" t="s">
        <v>3179</v>
      </c>
      <c r="B708" s="305" t="s">
        <v>3175</v>
      </c>
      <c r="C708" s="305" t="s">
        <v>3176</v>
      </c>
      <c r="D708" s="214">
        <v>2</v>
      </c>
      <c r="E708" s="214" t="s">
        <v>1283</v>
      </c>
      <c r="F708" s="214" t="s">
        <v>3179</v>
      </c>
      <c r="G708" s="211"/>
      <c r="H708" s="211"/>
      <c r="I708" s="211"/>
      <c r="J708" s="214"/>
      <c r="K708" s="214"/>
      <c r="L708" s="214"/>
      <c r="M708" s="214"/>
      <c r="N708" s="214">
        <f t="shared" si="14"/>
        <v>0</v>
      </c>
      <c r="O708" s="214" t="s">
        <v>3179</v>
      </c>
      <c r="P708" s="214" t="s">
        <v>3179</v>
      </c>
      <c r="Q708" s="214">
        <v>75600</v>
      </c>
      <c r="R708" s="214">
        <v>75600</v>
      </c>
      <c r="S708" s="214">
        <v>75600</v>
      </c>
      <c r="T708" s="211"/>
    </row>
    <row r="709" spans="1:21">
      <c r="A709" s="165" t="s">
        <v>3180</v>
      </c>
      <c r="B709" s="94">
        <v>791</v>
      </c>
      <c r="C709" s="165" t="s">
        <v>2690</v>
      </c>
      <c r="D709" s="165">
        <v>1</v>
      </c>
      <c r="E709" s="165" t="s">
        <v>3181</v>
      </c>
      <c r="F709" s="165" t="s">
        <v>1030</v>
      </c>
      <c r="G709" s="165">
        <v>12600</v>
      </c>
      <c r="H709" s="165"/>
      <c r="I709" s="165"/>
      <c r="J709" s="165">
        <v>12600</v>
      </c>
      <c r="K709" s="165"/>
      <c r="L709" s="165"/>
      <c r="M709" s="165"/>
      <c r="N709" s="165">
        <f t="shared" si="14"/>
        <v>0</v>
      </c>
      <c r="O709" s="165" t="s">
        <v>683</v>
      </c>
      <c r="P709" s="165" t="s">
        <v>3163</v>
      </c>
      <c r="Q709" s="3">
        <v>12600</v>
      </c>
      <c r="R709">
        <v>12600</v>
      </c>
    </row>
    <row r="710" spans="1:21">
      <c r="A710" s="165" t="s">
        <v>3180</v>
      </c>
      <c r="B710" s="94">
        <v>792</v>
      </c>
      <c r="C710" s="165" t="s">
        <v>2690</v>
      </c>
      <c r="D710" s="165">
        <v>2</v>
      </c>
      <c r="E710" s="165" t="s">
        <v>3182</v>
      </c>
      <c r="F710" s="165" t="s">
        <v>1031</v>
      </c>
      <c r="G710" s="165">
        <v>12600</v>
      </c>
      <c r="H710" s="165"/>
      <c r="I710" s="165"/>
      <c r="J710" s="165">
        <v>12600</v>
      </c>
      <c r="K710" s="165"/>
      <c r="L710" s="165"/>
      <c r="M710" s="165"/>
      <c r="N710" s="165">
        <f t="shared" si="14"/>
        <v>0</v>
      </c>
      <c r="O710" s="165" t="s">
        <v>3167</v>
      </c>
      <c r="P710" s="165" t="s">
        <v>3168</v>
      </c>
      <c r="Q710" s="3">
        <v>12600</v>
      </c>
      <c r="R710">
        <v>12600</v>
      </c>
    </row>
    <row r="711" spans="1:21">
      <c r="A711" s="165" t="s">
        <v>3180</v>
      </c>
      <c r="B711" s="94">
        <v>793</v>
      </c>
      <c r="C711" s="165" t="s">
        <v>2690</v>
      </c>
      <c r="D711" s="165">
        <v>3</v>
      </c>
      <c r="E711" s="165" t="s">
        <v>3183</v>
      </c>
      <c r="F711" s="165" t="s">
        <v>1032</v>
      </c>
      <c r="G711" s="165">
        <v>12600</v>
      </c>
      <c r="H711" s="165"/>
      <c r="I711" s="165"/>
      <c r="J711" s="165">
        <v>12600</v>
      </c>
      <c r="K711" s="165"/>
      <c r="L711" s="165"/>
      <c r="M711" s="165"/>
      <c r="N711" s="165">
        <f t="shared" si="14"/>
        <v>0</v>
      </c>
      <c r="O711" s="165" t="s">
        <v>3169</v>
      </c>
      <c r="P711" s="165" t="s">
        <v>3170</v>
      </c>
      <c r="Q711" s="3">
        <v>12600</v>
      </c>
      <c r="R711">
        <v>12600</v>
      </c>
    </row>
    <row r="712" spans="1:21">
      <c r="A712" s="165" t="s">
        <v>3180</v>
      </c>
      <c r="B712" s="94">
        <v>794</v>
      </c>
      <c r="C712" s="165" t="s">
        <v>2690</v>
      </c>
      <c r="D712" s="165">
        <v>4</v>
      </c>
      <c r="E712" s="165" t="s">
        <v>3184</v>
      </c>
      <c r="F712" s="165" t="s">
        <v>674</v>
      </c>
      <c r="G712" s="165">
        <v>12600</v>
      </c>
      <c r="H712" s="165"/>
      <c r="I712" s="165"/>
      <c r="J712" s="165"/>
      <c r="K712" s="165">
        <v>12600</v>
      </c>
      <c r="L712" s="165"/>
      <c r="M712" s="165"/>
      <c r="N712" s="165">
        <f t="shared" si="14"/>
        <v>0</v>
      </c>
      <c r="O712" s="165" t="s">
        <v>3938</v>
      </c>
      <c r="P712" s="165" t="s">
        <v>3939</v>
      </c>
      <c r="Q712" s="3">
        <v>12600</v>
      </c>
      <c r="R712">
        <v>12600</v>
      </c>
    </row>
    <row r="713" spans="1:21">
      <c r="A713" s="165" t="s">
        <v>3180</v>
      </c>
      <c r="B713" s="94">
        <v>795</v>
      </c>
      <c r="C713" s="165" t="s">
        <v>2690</v>
      </c>
      <c r="D713" s="165">
        <v>5</v>
      </c>
      <c r="E713" s="165" t="s">
        <v>3185</v>
      </c>
      <c r="F713" s="165" t="s">
        <v>676</v>
      </c>
      <c r="G713" s="165">
        <v>12600</v>
      </c>
      <c r="H713" s="165"/>
      <c r="I713" s="165"/>
      <c r="J713" s="165"/>
      <c r="K713" s="165">
        <v>12600</v>
      </c>
      <c r="L713" s="165"/>
      <c r="M713" s="165"/>
      <c r="N713" s="165">
        <f t="shared" si="14"/>
        <v>0</v>
      </c>
      <c r="O713" s="165" t="s">
        <v>3940</v>
      </c>
      <c r="P713" s="165" t="s">
        <v>3941</v>
      </c>
      <c r="Q713" s="3">
        <v>12600</v>
      </c>
      <c r="R713">
        <v>12600</v>
      </c>
    </row>
    <row r="714" spans="1:21">
      <c r="A714" s="165" t="s">
        <v>3180</v>
      </c>
      <c r="B714" s="94">
        <v>796</v>
      </c>
      <c r="C714" s="165" t="s">
        <v>2690</v>
      </c>
      <c r="D714" s="165">
        <v>6</v>
      </c>
      <c r="E714" s="165" t="s">
        <v>3186</v>
      </c>
      <c r="F714" s="165" t="s">
        <v>3187</v>
      </c>
      <c r="G714" s="165">
        <v>12600</v>
      </c>
      <c r="H714" s="165"/>
      <c r="I714" s="165"/>
      <c r="J714" s="165"/>
      <c r="K714" s="165">
        <v>12600</v>
      </c>
      <c r="L714" s="165"/>
      <c r="M714" s="165"/>
      <c r="N714" s="165">
        <f t="shared" si="14"/>
        <v>0</v>
      </c>
      <c r="O714" s="165" t="s">
        <v>3948</v>
      </c>
      <c r="P714" s="165" t="s">
        <v>3949</v>
      </c>
      <c r="Q714" s="3">
        <v>12600</v>
      </c>
      <c r="R714">
        <v>12600</v>
      </c>
    </row>
    <row r="715" spans="1:21">
      <c r="A715" s="165" t="s">
        <v>3180</v>
      </c>
      <c r="B715" s="94">
        <v>797</v>
      </c>
      <c r="C715" s="165" t="s">
        <v>2690</v>
      </c>
      <c r="D715" s="165">
        <v>7</v>
      </c>
      <c r="E715" s="165" t="s">
        <v>3188</v>
      </c>
      <c r="F715" s="165" t="s">
        <v>3189</v>
      </c>
      <c r="G715" s="165">
        <v>12600</v>
      </c>
      <c r="H715" s="165"/>
      <c r="I715" s="165"/>
      <c r="J715" s="165"/>
      <c r="K715" s="165">
        <v>12600</v>
      </c>
      <c r="L715" s="165"/>
      <c r="M715" s="165"/>
      <c r="N715" s="165">
        <f t="shared" si="14"/>
        <v>0</v>
      </c>
      <c r="O715" s="165" t="s">
        <v>3967</v>
      </c>
      <c r="P715" s="165" t="s">
        <v>3968</v>
      </c>
      <c r="Q715" s="3">
        <v>12600</v>
      </c>
      <c r="R715">
        <v>12600</v>
      </c>
    </row>
    <row r="716" spans="1:21">
      <c r="A716" s="165" t="s">
        <v>3180</v>
      </c>
      <c r="B716" s="94">
        <v>798</v>
      </c>
      <c r="C716" s="165" t="s">
        <v>2690</v>
      </c>
      <c r="D716" s="165">
        <v>8</v>
      </c>
      <c r="E716" s="165" t="s">
        <v>3190</v>
      </c>
      <c r="F716" s="165" t="s">
        <v>3191</v>
      </c>
      <c r="G716" s="165">
        <v>12600</v>
      </c>
      <c r="H716" s="165"/>
      <c r="I716" s="165"/>
      <c r="J716" s="165"/>
      <c r="K716" s="165"/>
      <c r="L716" s="165">
        <v>12600</v>
      </c>
      <c r="M716" s="165"/>
      <c r="N716" s="165">
        <f>G716+H716+I716-J716-K716-L716</f>
        <v>0</v>
      </c>
      <c r="O716" s="165" t="s">
        <v>4433</v>
      </c>
      <c r="P716" s="165" t="s">
        <v>4779</v>
      </c>
      <c r="Q716" s="3">
        <v>12600</v>
      </c>
      <c r="R716">
        <v>12600</v>
      </c>
    </row>
    <row r="717" spans="1:21" s="163" customFormat="1">
      <c r="A717" s="281" t="s">
        <v>3192</v>
      </c>
      <c r="B717" s="281"/>
      <c r="C717" s="281" t="s">
        <v>2421</v>
      </c>
      <c r="D717" s="281">
        <v>4</v>
      </c>
      <c r="E717" s="281" t="s">
        <v>1283</v>
      </c>
      <c r="F717" s="281" t="s">
        <v>3192</v>
      </c>
      <c r="G717" s="284"/>
      <c r="H717" s="284"/>
      <c r="I717" s="284"/>
      <c r="J717" s="281"/>
      <c r="K717" s="281"/>
      <c r="L717" s="281"/>
      <c r="M717" s="281"/>
      <c r="N717" s="281">
        <f t="shared" si="14"/>
        <v>0</v>
      </c>
      <c r="O717" s="281" t="s">
        <v>3192</v>
      </c>
      <c r="P717" s="281" t="s">
        <v>3192</v>
      </c>
      <c r="Q717" s="281">
        <v>13230</v>
      </c>
      <c r="R717" s="281">
        <v>13220</v>
      </c>
      <c r="S717" s="281">
        <v>13220</v>
      </c>
      <c r="T717" s="284">
        <v>10</v>
      </c>
    </row>
    <row r="718" spans="1:21" s="163" customFormat="1">
      <c r="A718" s="281" t="s">
        <v>3078</v>
      </c>
      <c r="B718" s="281"/>
      <c r="C718" s="281" t="s">
        <v>3825</v>
      </c>
      <c r="D718" s="281">
        <v>6</v>
      </c>
      <c r="E718" s="281" t="s">
        <v>1283</v>
      </c>
      <c r="F718" s="281" t="s">
        <v>3078</v>
      </c>
      <c r="G718" s="284"/>
      <c r="H718" s="284"/>
      <c r="I718" s="284"/>
      <c r="J718" s="281"/>
      <c r="K718" s="281"/>
      <c r="L718" s="281"/>
      <c r="M718" s="281"/>
      <c r="N718" s="281">
        <f t="shared" si="14"/>
        <v>0</v>
      </c>
      <c r="O718" s="281" t="s">
        <v>3078</v>
      </c>
      <c r="P718" s="281" t="s">
        <v>3078</v>
      </c>
      <c r="Q718" s="281">
        <v>14175</v>
      </c>
      <c r="R718" s="281">
        <v>14145</v>
      </c>
      <c r="S718" s="281">
        <v>14145</v>
      </c>
      <c r="T718" s="284">
        <v>30</v>
      </c>
    </row>
    <row r="719" spans="1:21">
      <c r="A719" s="165" t="s">
        <v>3193</v>
      </c>
      <c r="B719" s="94">
        <v>799</v>
      </c>
      <c r="C719" s="165" t="s">
        <v>1781</v>
      </c>
      <c r="D719" s="165">
        <v>1</v>
      </c>
      <c r="E719" s="165" t="s">
        <v>3194</v>
      </c>
      <c r="F719" s="165" t="s">
        <v>3195</v>
      </c>
      <c r="G719" s="165">
        <v>14175</v>
      </c>
      <c r="H719" s="165"/>
      <c r="I719" s="165"/>
      <c r="J719" s="165">
        <v>14175</v>
      </c>
      <c r="K719" s="165"/>
      <c r="L719" s="165"/>
      <c r="M719" s="165"/>
      <c r="N719" s="165">
        <f t="shared" si="14"/>
        <v>0</v>
      </c>
      <c r="O719" s="165" t="s">
        <v>3164</v>
      </c>
      <c r="P719" s="165" t="s">
        <v>808</v>
      </c>
      <c r="Q719" s="3">
        <v>14175</v>
      </c>
      <c r="R719">
        <v>14175</v>
      </c>
    </row>
    <row r="720" spans="1:21">
      <c r="A720" s="165" t="s">
        <v>3193</v>
      </c>
      <c r="B720" s="94">
        <v>800</v>
      </c>
      <c r="C720" s="165" t="s">
        <v>1781</v>
      </c>
      <c r="D720" s="165">
        <v>2</v>
      </c>
      <c r="E720" s="165" t="s">
        <v>3196</v>
      </c>
      <c r="F720" s="165" t="s">
        <v>3197</v>
      </c>
      <c r="G720" s="165">
        <v>14175</v>
      </c>
      <c r="H720" s="165"/>
      <c r="I720" s="165"/>
      <c r="J720" s="165">
        <v>14175</v>
      </c>
      <c r="K720" s="165"/>
      <c r="L720" s="165"/>
      <c r="M720" s="165"/>
      <c r="N720" s="165">
        <f t="shared" si="14"/>
        <v>0</v>
      </c>
      <c r="O720" s="165" t="s">
        <v>3165</v>
      </c>
      <c r="P720" s="165" t="s">
        <v>3166</v>
      </c>
      <c r="Q720" s="3">
        <v>14175</v>
      </c>
      <c r="R720">
        <v>14175</v>
      </c>
    </row>
    <row r="721" spans="1:20">
      <c r="A721" s="165" t="s">
        <v>3193</v>
      </c>
      <c r="B721" s="94">
        <v>801</v>
      </c>
      <c r="C721" s="165" t="s">
        <v>1781</v>
      </c>
      <c r="D721" s="165">
        <v>3</v>
      </c>
      <c r="E721" s="165" t="s">
        <v>3198</v>
      </c>
      <c r="F721" s="165" t="s">
        <v>3199</v>
      </c>
      <c r="G721" s="165">
        <v>14175</v>
      </c>
      <c r="H721" s="165"/>
      <c r="I721" s="165"/>
      <c r="J721" s="165">
        <v>14175</v>
      </c>
      <c r="K721" s="165"/>
      <c r="L721" s="165"/>
      <c r="M721" s="165"/>
      <c r="N721" s="165">
        <f t="shared" si="14"/>
        <v>0</v>
      </c>
      <c r="O721" s="165" t="s">
        <v>3171</v>
      </c>
      <c r="P721" s="165" t="s">
        <v>3172</v>
      </c>
      <c r="Q721" s="3">
        <v>14175</v>
      </c>
      <c r="R721">
        <v>14175</v>
      </c>
    </row>
    <row r="722" spans="1:20">
      <c r="A722" s="165" t="s">
        <v>3193</v>
      </c>
      <c r="B722" s="94">
        <v>802</v>
      </c>
      <c r="C722" s="165" t="s">
        <v>1781</v>
      </c>
      <c r="D722" s="165">
        <v>4</v>
      </c>
      <c r="E722" s="165" t="s">
        <v>3200</v>
      </c>
      <c r="F722" s="165" t="s">
        <v>3201</v>
      </c>
      <c r="G722" s="165">
        <v>14175</v>
      </c>
      <c r="H722" s="165"/>
      <c r="I722" s="165"/>
      <c r="J722" s="165"/>
      <c r="K722" s="165">
        <v>14175</v>
      </c>
      <c r="L722" s="165"/>
      <c r="M722" s="165"/>
      <c r="N722" s="165">
        <f t="shared" si="14"/>
        <v>0</v>
      </c>
      <c r="O722" s="165" t="s">
        <v>3936</v>
      </c>
      <c r="P722" s="165" t="s">
        <v>3937</v>
      </c>
      <c r="Q722" s="3">
        <v>14175</v>
      </c>
      <c r="R722">
        <v>14175</v>
      </c>
      <c r="T722"/>
    </row>
    <row r="723" spans="1:20">
      <c r="A723" s="165" t="s">
        <v>3193</v>
      </c>
      <c r="B723" s="94">
        <v>803</v>
      </c>
      <c r="C723" s="165" t="s">
        <v>1781</v>
      </c>
      <c r="D723" s="165">
        <v>5</v>
      </c>
      <c r="E723" s="165" t="s">
        <v>3202</v>
      </c>
      <c r="F723" s="165" t="s">
        <v>3203</v>
      </c>
      <c r="G723" s="165">
        <v>14175</v>
      </c>
      <c r="H723" s="165"/>
      <c r="I723" s="165"/>
      <c r="J723" s="165"/>
      <c r="K723" s="165">
        <v>14175</v>
      </c>
      <c r="L723" s="165"/>
      <c r="M723" s="165"/>
      <c r="N723" s="165">
        <f t="shared" si="14"/>
        <v>0</v>
      </c>
      <c r="O723" s="165" t="s">
        <v>3969</v>
      </c>
      <c r="P723" s="165" t="s">
        <v>3960</v>
      </c>
      <c r="Q723" s="3">
        <v>14175</v>
      </c>
      <c r="R723">
        <v>14175</v>
      </c>
      <c r="T723"/>
    </row>
    <row r="724" spans="1:20">
      <c r="A724" s="165" t="s">
        <v>3193</v>
      </c>
      <c r="B724" s="94">
        <v>804</v>
      </c>
      <c r="C724" s="165" t="s">
        <v>1781</v>
      </c>
      <c r="D724" s="165">
        <v>6</v>
      </c>
      <c r="E724" s="165" t="s">
        <v>3204</v>
      </c>
      <c r="F724" s="165" t="s">
        <v>3205</v>
      </c>
      <c r="G724" s="165">
        <v>14175</v>
      </c>
      <c r="H724" s="165"/>
      <c r="I724" s="165"/>
      <c r="J724" s="165"/>
      <c r="K724" s="165">
        <v>14175</v>
      </c>
      <c r="L724" s="165"/>
      <c r="M724" s="165"/>
      <c r="N724" s="165">
        <f t="shared" si="14"/>
        <v>0</v>
      </c>
      <c r="O724" s="165" t="s">
        <v>3970</v>
      </c>
      <c r="P724" s="165" t="s">
        <v>3971</v>
      </c>
      <c r="Q724" s="3">
        <v>14175</v>
      </c>
      <c r="R724">
        <v>14175</v>
      </c>
      <c r="T724"/>
    </row>
    <row r="725" spans="1:20">
      <c r="A725" s="165" t="s">
        <v>3193</v>
      </c>
      <c r="B725" s="94">
        <v>805</v>
      </c>
      <c r="C725" s="165" t="s">
        <v>1781</v>
      </c>
      <c r="D725" s="165">
        <v>7</v>
      </c>
      <c r="E725" s="165" t="s">
        <v>3206</v>
      </c>
      <c r="F725" s="165" t="s">
        <v>3207</v>
      </c>
      <c r="G725" s="165">
        <v>14175</v>
      </c>
      <c r="H725" s="165"/>
      <c r="I725" s="165"/>
      <c r="J725" s="165"/>
      <c r="K725" s="165">
        <v>14175</v>
      </c>
      <c r="L725" s="165"/>
      <c r="M725" s="165"/>
      <c r="N725" s="165">
        <f t="shared" si="14"/>
        <v>0</v>
      </c>
      <c r="O725" s="165" t="s">
        <v>3972</v>
      </c>
      <c r="P725" s="165" t="s">
        <v>3973</v>
      </c>
      <c r="Q725" s="3">
        <v>14175</v>
      </c>
      <c r="R725">
        <v>14175</v>
      </c>
      <c r="T725"/>
    </row>
    <row r="726" spans="1:20">
      <c r="A726" s="165" t="s">
        <v>3193</v>
      </c>
      <c r="B726" s="94">
        <v>806</v>
      </c>
      <c r="C726" s="165" t="s">
        <v>1781</v>
      </c>
      <c r="D726" s="165">
        <v>8</v>
      </c>
      <c r="E726" s="165" t="s">
        <v>3208</v>
      </c>
      <c r="F726" s="165" t="s">
        <v>3209</v>
      </c>
      <c r="G726" s="165">
        <v>14175</v>
      </c>
      <c r="H726" s="165"/>
      <c r="I726" s="165"/>
      <c r="J726" s="165"/>
      <c r="K726" s="165"/>
      <c r="L726" s="165">
        <v>14175</v>
      </c>
      <c r="M726" s="165"/>
      <c r="N726" s="165">
        <f>G726+H726+I726-J726-K726-L726</f>
        <v>0</v>
      </c>
      <c r="O726" s="165" t="s">
        <v>4766</v>
      </c>
      <c r="P726" s="165" t="s">
        <v>4595</v>
      </c>
      <c r="Q726" s="3">
        <v>14175</v>
      </c>
      <c r="R726">
        <v>14175</v>
      </c>
      <c r="T726"/>
    </row>
    <row r="727" spans="1:20">
      <c r="A727" s="165" t="s">
        <v>3739</v>
      </c>
      <c r="B727" s="94">
        <v>807</v>
      </c>
      <c r="C727" s="165" t="s">
        <v>1232</v>
      </c>
      <c r="D727" s="165">
        <v>1</v>
      </c>
      <c r="E727" s="165" t="s">
        <v>3210</v>
      </c>
      <c r="F727" s="165" t="s">
        <v>3211</v>
      </c>
      <c r="G727" s="165">
        <v>16380</v>
      </c>
      <c r="H727" s="165"/>
      <c r="I727" s="165"/>
      <c r="J727" s="165">
        <v>16380</v>
      </c>
      <c r="K727" s="165"/>
      <c r="L727" s="165"/>
      <c r="M727" s="165"/>
      <c r="N727" s="165">
        <f t="shared" ref="N727:N790" si="15">G727+H727+I727-J727-K727</f>
        <v>0</v>
      </c>
      <c r="O727" s="165" t="s">
        <v>3164</v>
      </c>
      <c r="P727" s="165" t="s">
        <v>808</v>
      </c>
      <c r="Q727" s="3">
        <v>16380</v>
      </c>
      <c r="R727">
        <v>16380</v>
      </c>
      <c r="T727"/>
    </row>
    <row r="728" spans="1:20">
      <c r="A728" s="165" t="s">
        <v>721</v>
      </c>
      <c r="B728" s="94">
        <v>808</v>
      </c>
      <c r="C728" s="165" t="s">
        <v>2424</v>
      </c>
      <c r="D728" s="165">
        <v>1</v>
      </c>
      <c r="E728" s="165" t="s">
        <v>3212</v>
      </c>
      <c r="F728" s="165" t="s">
        <v>2366</v>
      </c>
      <c r="G728" s="165">
        <v>11340</v>
      </c>
      <c r="H728" s="165"/>
      <c r="I728" s="165"/>
      <c r="J728" s="165">
        <v>11340</v>
      </c>
      <c r="K728" s="165"/>
      <c r="L728" s="165"/>
      <c r="M728" s="165"/>
      <c r="N728" s="165">
        <f t="shared" si="15"/>
        <v>0</v>
      </c>
      <c r="O728" s="165" t="s">
        <v>3164</v>
      </c>
      <c r="P728" s="165" t="s">
        <v>808</v>
      </c>
      <c r="Q728" s="3">
        <v>11340</v>
      </c>
      <c r="R728">
        <v>11340</v>
      </c>
      <c r="T728"/>
    </row>
    <row r="729" spans="1:20">
      <c r="A729" s="165" t="s">
        <v>721</v>
      </c>
      <c r="B729" s="94">
        <v>809</v>
      </c>
      <c r="C729" s="165" t="s">
        <v>2424</v>
      </c>
      <c r="D729" s="165">
        <v>2</v>
      </c>
      <c r="E729" s="165" t="s">
        <v>3213</v>
      </c>
      <c r="F729" s="165" t="s">
        <v>2367</v>
      </c>
      <c r="G729" s="165">
        <v>11340</v>
      </c>
      <c r="H729" s="165"/>
      <c r="I729" s="165"/>
      <c r="J729" s="165">
        <v>11340</v>
      </c>
      <c r="K729" s="165"/>
      <c r="L729" s="165"/>
      <c r="M729" s="165"/>
      <c r="N729" s="165">
        <f t="shared" si="15"/>
        <v>0</v>
      </c>
      <c r="O729" s="165" t="s">
        <v>3167</v>
      </c>
      <c r="P729" s="165" t="s">
        <v>3168</v>
      </c>
      <c r="Q729" s="3">
        <v>11340</v>
      </c>
      <c r="R729">
        <v>11340</v>
      </c>
      <c r="T729"/>
    </row>
    <row r="730" spans="1:20">
      <c r="A730" s="165" t="s">
        <v>721</v>
      </c>
      <c r="B730" s="94">
        <v>810</v>
      </c>
      <c r="C730" s="165" t="s">
        <v>2424</v>
      </c>
      <c r="D730" s="165">
        <v>3</v>
      </c>
      <c r="E730" s="165" t="s">
        <v>3214</v>
      </c>
      <c r="F730" s="165" t="s">
        <v>708</v>
      </c>
      <c r="G730" s="165">
        <v>11340</v>
      </c>
      <c r="H730" s="165"/>
      <c r="I730" s="165"/>
      <c r="J730" s="165">
        <v>11340</v>
      </c>
      <c r="K730" s="165"/>
      <c r="L730" s="165"/>
      <c r="M730" s="165"/>
      <c r="N730" s="165">
        <f t="shared" si="15"/>
        <v>0</v>
      </c>
      <c r="O730" s="165" t="s">
        <v>3169</v>
      </c>
      <c r="P730" s="165" t="s">
        <v>3170</v>
      </c>
      <c r="Q730" s="3">
        <v>11340</v>
      </c>
      <c r="R730">
        <v>11340</v>
      </c>
      <c r="T730"/>
    </row>
    <row r="731" spans="1:20">
      <c r="A731" s="165" t="s">
        <v>721</v>
      </c>
      <c r="B731" s="94">
        <v>811</v>
      </c>
      <c r="C731" s="165" t="s">
        <v>2424</v>
      </c>
      <c r="D731" s="165">
        <v>4</v>
      </c>
      <c r="E731" s="165" t="s">
        <v>3215</v>
      </c>
      <c r="F731" s="165" t="s">
        <v>659</v>
      </c>
      <c r="G731" s="165">
        <v>11340</v>
      </c>
      <c r="H731" s="165"/>
      <c r="I731" s="165"/>
      <c r="J731" s="165"/>
      <c r="K731" s="165">
        <v>11340</v>
      </c>
      <c r="L731" s="165"/>
      <c r="M731" s="165"/>
      <c r="N731" s="165">
        <f t="shared" si="15"/>
        <v>0</v>
      </c>
      <c r="O731" s="165" t="s">
        <v>3934</v>
      </c>
      <c r="P731" s="165" t="s">
        <v>3935</v>
      </c>
      <c r="Q731" s="3">
        <v>11340</v>
      </c>
      <c r="R731">
        <v>11340</v>
      </c>
      <c r="T731"/>
    </row>
    <row r="732" spans="1:20">
      <c r="A732" s="165" t="s">
        <v>721</v>
      </c>
      <c r="B732" s="94">
        <v>812</v>
      </c>
      <c r="C732" s="165" t="s">
        <v>2424</v>
      </c>
      <c r="D732" s="165">
        <v>5</v>
      </c>
      <c r="E732" s="165" t="s">
        <v>3216</v>
      </c>
      <c r="F732" s="165" t="s">
        <v>711</v>
      </c>
      <c r="G732" s="165">
        <v>11340</v>
      </c>
      <c r="H732" s="165"/>
      <c r="I732" s="165"/>
      <c r="J732" s="165"/>
      <c r="K732" s="165">
        <v>11340</v>
      </c>
      <c r="L732" s="165"/>
      <c r="M732" s="165"/>
      <c r="N732" s="165">
        <f t="shared" si="15"/>
        <v>0</v>
      </c>
      <c r="O732" s="165" t="s">
        <v>3950</v>
      </c>
      <c r="P732" s="165" t="s">
        <v>3951</v>
      </c>
      <c r="Q732" s="3">
        <v>11340</v>
      </c>
      <c r="R732">
        <v>11340</v>
      </c>
      <c r="T732"/>
    </row>
    <row r="733" spans="1:20">
      <c r="A733" s="165" t="s">
        <v>721</v>
      </c>
      <c r="B733" s="94">
        <v>813</v>
      </c>
      <c r="C733" s="165" t="s">
        <v>2424</v>
      </c>
      <c r="D733" s="165">
        <v>6</v>
      </c>
      <c r="E733" s="165" t="s">
        <v>3217</v>
      </c>
      <c r="F733" s="165" t="s">
        <v>663</v>
      </c>
      <c r="G733" s="165">
        <v>11340</v>
      </c>
      <c r="H733" s="165"/>
      <c r="I733" s="165"/>
      <c r="J733" s="165"/>
      <c r="K733" s="165">
        <v>11340</v>
      </c>
      <c r="L733" s="165"/>
      <c r="M733" s="165"/>
      <c r="N733" s="165">
        <f t="shared" si="15"/>
        <v>0</v>
      </c>
      <c r="O733" s="165" t="s">
        <v>3955</v>
      </c>
      <c r="P733" s="165" t="s">
        <v>3956</v>
      </c>
      <c r="Q733" s="3">
        <v>11340</v>
      </c>
      <c r="R733">
        <v>11340</v>
      </c>
      <c r="T733"/>
    </row>
    <row r="734" spans="1:20">
      <c r="A734" s="165" t="s">
        <v>721</v>
      </c>
      <c r="B734" s="94">
        <v>814</v>
      </c>
      <c r="C734" s="165" t="s">
        <v>2424</v>
      </c>
      <c r="D734" s="165">
        <v>7</v>
      </c>
      <c r="E734" s="165" t="s">
        <v>3218</v>
      </c>
      <c r="F734" s="165" t="s">
        <v>3219</v>
      </c>
      <c r="G734" s="165">
        <v>11340</v>
      </c>
      <c r="H734" s="165"/>
      <c r="I734" s="165"/>
      <c r="J734" s="165"/>
      <c r="K734" s="165">
        <v>11340</v>
      </c>
      <c r="L734" s="165"/>
      <c r="M734" s="165"/>
      <c r="N734" s="165">
        <f t="shared" si="15"/>
        <v>0</v>
      </c>
      <c r="O734" s="165" t="s">
        <v>3957</v>
      </c>
      <c r="P734" s="165" t="s">
        <v>3958</v>
      </c>
      <c r="Q734" s="3">
        <v>11340</v>
      </c>
      <c r="R734">
        <v>11340</v>
      </c>
      <c r="T734"/>
    </row>
    <row r="735" spans="1:20">
      <c r="A735" s="165" t="s">
        <v>721</v>
      </c>
      <c r="B735" s="94">
        <v>815</v>
      </c>
      <c r="C735" s="165" t="s">
        <v>2424</v>
      </c>
      <c r="D735" s="165">
        <v>8</v>
      </c>
      <c r="E735" s="165" t="s">
        <v>3220</v>
      </c>
      <c r="F735" s="165" t="s">
        <v>3221</v>
      </c>
      <c r="G735" s="165">
        <v>11340</v>
      </c>
      <c r="H735" s="165"/>
      <c r="I735" s="165"/>
      <c r="J735" s="165"/>
      <c r="K735" s="165"/>
      <c r="L735" s="165">
        <v>11340</v>
      </c>
      <c r="M735" s="165"/>
      <c r="N735" s="165">
        <f>G735+H735+I735-J735-K735-L735</f>
        <v>0</v>
      </c>
      <c r="O735" s="165" t="s">
        <v>4434</v>
      </c>
      <c r="P735" s="165" t="s">
        <v>4102</v>
      </c>
      <c r="Q735" s="3">
        <v>11340</v>
      </c>
      <c r="R735">
        <v>11340</v>
      </c>
      <c r="T735"/>
    </row>
    <row r="736" spans="1:20">
      <c r="A736" s="165" t="s">
        <v>3222</v>
      </c>
      <c r="B736" s="94">
        <v>816</v>
      </c>
      <c r="C736" s="165" t="s">
        <v>2254</v>
      </c>
      <c r="D736" s="165">
        <v>1</v>
      </c>
      <c r="E736" s="165" t="s">
        <v>3223</v>
      </c>
      <c r="F736" s="165" t="s">
        <v>3224</v>
      </c>
      <c r="G736" s="165">
        <v>12600</v>
      </c>
      <c r="H736" s="165"/>
      <c r="I736" s="165"/>
      <c r="J736" s="165">
        <v>12600</v>
      </c>
      <c r="K736" s="165"/>
      <c r="L736" s="165"/>
      <c r="M736" s="165"/>
      <c r="N736" s="165">
        <f t="shared" si="15"/>
        <v>0</v>
      </c>
      <c r="O736" s="165" t="s">
        <v>3164</v>
      </c>
      <c r="P736" s="165" t="s">
        <v>808</v>
      </c>
      <c r="Q736" s="3">
        <v>12600</v>
      </c>
      <c r="R736">
        <v>12600</v>
      </c>
      <c r="T736"/>
    </row>
    <row r="737" spans="1:20">
      <c r="A737" s="165" t="s">
        <v>3222</v>
      </c>
      <c r="B737" s="94">
        <v>817</v>
      </c>
      <c r="C737" s="165" t="s">
        <v>2254</v>
      </c>
      <c r="D737" s="165">
        <v>2</v>
      </c>
      <c r="E737" s="165" t="s">
        <v>3225</v>
      </c>
      <c r="F737" s="165" t="s">
        <v>3226</v>
      </c>
      <c r="G737" s="165">
        <v>12600</v>
      </c>
      <c r="H737" s="165"/>
      <c r="I737" s="165"/>
      <c r="J737" s="165">
        <v>12600</v>
      </c>
      <c r="K737" s="165"/>
      <c r="L737" s="165"/>
      <c r="M737" s="165"/>
      <c r="N737" s="165">
        <f t="shared" si="15"/>
        <v>0</v>
      </c>
      <c r="O737" s="165" t="s">
        <v>3165</v>
      </c>
      <c r="P737" s="165" t="s">
        <v>3166</v>
      </c>
      <c r="Q737" s="3">
        <v>12600</v>
      </c>
      <c r="R737">
        <v>12600</v>
      </c>
      <c r="T737"/>
    </row>
    <row r="738" spans="1:20">
      <c r="A738" s="165" t="s">
        <v>3222</v>
      </c>
      <c r="B738" s="94">
        <v>818</v>
      </c>
      <c r="C738" s="165" t="s">
        <v>2254</v>
      </c>
      <c r="D738" s="165">
        <v>3</v>
      </c>
      <c r="E738" s="165" t="s">
        <v>3227</v>
      </c>
      <c r="F738" s="165" t="s">
        <v>3172</v>
      </c>
      <c r="G738" s="165">
        <v>12600</v>
      </c>
      <c r="H738" s="165"/>
      <c r="I738" s="165"/>
      <c r="J738" s="165"/>
      <c r="K738" s="165">
        <v>12600</v>
      </c>
      <c r="L738" s="165"/>
      <c r="M738" s="165"/>
      <c r="N738" s="165">
        <f t="shared" si="15"/>
        <v>0</v>
      </c>
      <c r="O738" s="165" t="s">
        <v>3942</v>
      </c>
      <c r="P738" s="165" t="s">
        <v>3943</v>
      </c>
      <c r="Q738" s="3">
        <v>12600</v>
      </c>
      <c r="R738">
        <v>12600</v>
      </c>
      <c r="T738"/>
    </row>
    <row r="739" spans="1:20">
      <c r="A739" s="165" t="s">
        <v>3222</v>
      </c>
      <c r="B739" s="94">
        <v>819</v>
      </c>
      <c r="C739" s="165" t="s">
        <v>2254</v>
      </c>
      <c r="D739" s="165">
        <v>4</v>
      </c>
      <c r="E739" s="165" t="s">
        <v>3228</v>
      </c>
      <c r="F739" s="165" t="s">
        <v>3229</v>
      </c>
      <c r="G739" s="165">
        <v>12600</v>
      </c>
      <c r="H739" s="165"/>
      <c r="I739" s="165"/>
      <c r="J739" s="165"/>
      <c r="K739" s="165">
        <v>12600</v>
      </c>
      <c r="L739" s="165"/>
      <c r="M739" s="165"/>
      <c r="N739" s="165">
        <f t="shared" si="15"/>
        <v>0</v>
      </c>
      <c r="O739" s="165" t="s">
        <v>3944</v>
      </c>
      <c r="P739" s="165" t="s">
        <v>3945</v>
      </c>
      <c r="Q739" s="3">
        <v>12600</v>
      </c>
      <c r="R739">
        <v>12600</v>
      </c>
      <c r="T739"/>
    </row>
    <row r="740" spans="1:20">
      <c r="A740" s="165" t="s">
        <v>3222</v>
      </c>
      <c r="B740" s="94">
        <v>820</v>
      </c>
      <c r="C740" s="165" t="s">
        <v>2254</v>
      </c>
      <c r="D740" s="165">
        <v>5</v>
      </c>
      <c r="E740" s="165" t="s">
        <v>3230</v>
      </c>
      <c r="F740" s="165" t="s">
        <v>3231</v>
      </c>
      <c r="G740" s="165">
        <v>12600</v>
      </c>
      <c r="H740" s="165"/>
      <c r="I740" s="165"/>
      <c r="J740" s="165"/>
      <c r="K740" s="165">
        <v>12600</v>
      </c>
      <c r="L740" s="165"/>
      <c r="M740" s="165"/>
      <c r="N740" s="165">
        <f t="shared" si="15"/>
        <v>0</v>
      </c>
      <c r="O740" s="165" t="s">
        <v>3952</v>
      </c>
      <c r="P740" s="165" t="s">
        <v>3953</v>
      </c>
      <c r="Q740" s="3">
        <v>12600</v>
      </c>
      <c r="R740">
        <v>12600</v>
      </c>
      <c r="T740"/>
    </row>
    <row r="741" spans="1:20">
      <c r="A741" s="165" t="s">
        <v>3222</v>
      </c>
      <c r="B741" s="94">
        <v>821</v>
      </c>
      <c r="C741" s="165" t="s">
        <v>2254</v>
      </c>
      <c r="D741" s="165">
        <v>6</v>
      </c>
      <c r="E741" s="165" t="s">
        <v>3232</v>
      </c>
      <c r="F741" s="165" t="s">
        <v>3233</v>
      </c>
      <c r="G741" s="165">
        <v>12600</v>
      </c>
      <c r="H741" s="165"/>
      <c r="I741" s="165"/>
      <c r="J741" s="165"/>
      <c r="K741" s="165">
        <v>12600</v>
      </c>
      <c r="L741" s="165"/>
      <c r="M741" s="165"/>
      <c r="N741" s="165">
        <f t="shared" si="15"/>
        <v>0</v>
      </c>
      <c r="O741" s="165" t="s">
        <v>3965</v>
      </c>
      <c r="P741" s="165" t="s">
        <v>3966</v>
      </c>
      <c r="Q741" s="3">
        <v>12600</v>
      </c>
      <c r="R741">
        <v>12600</v>
      </c>
      <c r="T741"/>
    </row>
    <row r="742" spans="1:20">
      <c r="A742" s="165" t="s">
        <v>3222</v>
      </c>
      <c r="B742" s="94">
        <v>822</v>
      </c>
      <c r="C742" s="165" t="s">
        <v>2254</v>
      </c>
      <c r="D742" s="165">
        <v>7</v>
      </c>
      <c r="E742" s="165" t="s">
        <v>3234</v>
      </c>
      <c r="F742" s="165" t="s">
        <v>3235</v>
      </c>
      <c r="G742" s="165">
        <v>12600</v>
      </c>
      <c r="H742" s="165"/>
      <c r="I742" s="165"/>
      <c r="J742" s="165"/>
      <c r="K742" s="165"/>
      <c r="L742" s="165">
        <v>12600</v>
      </c>
      <c r="M742" s="165"/>
      <c r="N742" s="165">
        <f>G742+H742+I742-J742-K742-L742</f>
        <v>0</v>
      </c>
      <c r="O742" s="165" t="s">
        <v>4236</v>
      </c>
      <c r="P742" s="165" t="s">
        <v>4752</v>
      </c>
      <c r="Q742" s="3">
        <v>12600</v>
      </c>
      <c r="R742">
        <v>12600</v>
      </c>
      <c r="T742"/>
    </row>
    <row r="743" spans="1:20">
      <c r="A743" s="165" t="s">
        <v>3222</v>
      </c>
      <c r="B743" s="94">
        <v>823</v>
      </c>
      <c r="C743" s="165" t="s">
        <v>2254</v>
      </c>
      <c r="D743" s="165">
        <v>8</v>
      </c>
      <c r="E743" s="165" t="s">
        <v>3236</v>
      </c>
      <c r="F743" s="165" t="s">
        <v>3237</v>
      </c>
      <c r="G743" s="165">
        <v>12600</v>
      </c>
      <c r="H743" s="165"/>
      <c r="I743" s="165"/>
      <c r="J743" s="165"/>
      <c r="K743" s="165"/>
      <c r="L743" s="165">
        <v>12600</v>
      </c>
      <c r="M743" s="165"/>
      <c r="N743" s="165">
        <f>G743+H743+I743-J743-K743-L743</f>
        <v>0</v>
      </c>
      <c r="O743" s="165" t="s">
        <v>4439</v>
      </c>
      <c r="P743" s="165" t="s">
        <v>4780</v>
      </c>
      <c r="Q743" s="3">
        <v>12600</v>
      </c>
      <c r="R743">
        <v>12600</v>
      </c>
      <c r="T743"/>
    </row>
    <row r="744" spans="1:20">
      <c r="A744" s="165" t="s">
        <v>3222</v>
      </c>
      <c r="B744" s="94">
        <v>824</v>
      </c>
      <c r="C744" s="165" t="s">
        <v>2270</v>
      </c>
      <c r="D744" s="165">
        <v>1</v>
      </c>
      <c r="E744" s="165" t="s">
        <v>3238</v>
      </c>
      <c r="F744" s="165" t="s">
        <v>3224</v>
      </c>
      <c r="G744" s="165">
        <v>17325</v>
      </c>
      <c r="H744" s="165"/>
      <c r="I744" s="165"/>
      <c r="J744" s="165">
        <v>17325</v>
      </c>
      <c r="K744" s="165"/>
      <c r="L744" s="165"/>
      <c r="M744" s="165"/>
      <c r="N744" s="165">
        <f t="shared" si="15"/>
        <v>0</v>
      </c>
      <c r="O744" s="165" t="s">
        <v>3164</v>
      </c>
      <c r="P744" s="165" t="s">
        <v>808</v>
      </c>
      <c r="Q744" s="3">
        <v>17325</v>
      </c>
      <c r="R744">
        <v>17325</v>
      </c>
      <c r="T744"/>
    </row>
    <row r="745" spans="1:20">
      <c r="A745" s="165" t="s">
        <v>3222</v>
      </c>
      <c r="B745" s="94">
        <v>825</v>
      </c>
      <c r="C745" s="165" t="s">
        <v>2270</v>
      </c>
      <c r="D745" s="165">
        <v>2</v>
      </c>
      <c r="E745" s="165" t="s">
        <v>3239</v>
      </c>
      <c r="F745" s="165" t="s">
        <v>3226</v>
      </c>
      <c r="G745" s="165">
        <v>17325</v>
      </c>
      <c r="H745" s="165"/>
      <c r="I745" s="165"/>
      <c r="J745" s="165">
        <v>17325</v>
      </c>
      <c r="K745" s="165"/>
      <c r="L745" s="165"/>
      <c r="M745" s="165"/>
      <c r="N745" s="165">
        <f t="shared" si="15"/>
        <v>0</v>
      </c>
      <c r="O745" s="165" t="s">
        <v>3165</v>
      </c>
      <c r="P745" s="165" t="s">
        <v>3166</v>
      </c>
      <c r="Q745" s="3">
        <v>17325</v>
      </c>
      <c r="R745">
        <v>17325</v>
      </c>
      <c r="T745"/>
    </row>
    <row r="746" spans="1:20">
      <c r="A746" s="165" t="s">
        <v>3222</v>
      </c>
      <c r="B746" s="94">
        <v>826</v>
      </c>
      <c r="C746" s="165" t="s">
        <v>2270</v>
      </c>
      <c r="D746" s="165">
        <v>3</v>
      </c>
      <c r="E746" s="165" t="s">
        <v>3240</v>
      </c>
      <c r="F746" s="165" t="s">
        <v>3172</v>
      </c>
      <c r="G746" s="165">
        <v>17325</v>
      </c>
      <c r="H746" s="165"/>
      <c r="I746" s="165"/>
      <c r="J746" s="165"/>
      <c r="K746" s="165">
        <v>17325</v>
      </c>
      <c r="L746" s="165"/>
      <c r="M746" s="165"/>
      <c r="N746" s="165">
        <f t="shared" si="15"/>
        <v>0</v>
      </c>
      <c r="O746" s="165" t="s">
        <v>3942</v>
      </c>
      <c r="P746" s="165" t="s">
        <v>3943</v>
      </c>
      <c r="Q746" s="3">
        <v>17325</v>
      </c>
      <c r="R746">
        <v>17325</v>
      </c>
      <c r="T746"/>
    </row>
    <row r="747" spans="1:20">
      <c r="A747" s="165" t="s">
        <v>3222</v>
      </c>
      <c r="B747" s="94">
        <v>827</v>
      </c>
      <c r="C747" s="165" t="s">
        <v>2270</v>
      </c>
      <c r="D747" s="165">
        <v>4</v>
      </c>
      <c r="E747" s="165" t="s">
        <v>3241</v>
      </c>
      <c r="F747" s="165" t="s">
        <v>3229</v>
      </c>
      <c r="G747" s="165">
        <v>17325</v>
      </c>
      <c r="H747" s="165"/>
      <c r="I747" s="165"/>
      <c r="J747" s="165"/>
      <c r="K747" s="165">
        <v>17325</v>
      </c>
      <c r="L747" s="165"/>
      <c r="M747" s="165"/>
      <c r="N747" s="165">
        <f t="shared" si="15"/>
        <v>0</v>
      </c>
      <c r="O747" s="165" t="s">
        <v>3944</v>
      </c>
      <c r="P747" s="165" t="s">
        <v>3945</v>
      </c>
      <c r="Q747" s="3">
        <v>17325</v>
      </c>
      <c r="R747">
        <v>17325</v>
      </c>
      <c r="T747"/>
    </row>
    <row r="748" spans="1:20">
      <c r="A748" s="165" t="s">
        <v>3222</v>
      </c>
      <c r="B748" s="94">
        <v>828</v>
      </c>
      <c r="C748" s="165" t="s">
        <v>2270</v>
      </c>
      <c r="D748" s="165">
        <v>5</v>
      </c>
      <c r="E748" s="165" t="s">
        <v>3242</v>
      </c>
      <c r="F748" s="165" t="s">
        <v>3231</v>
      </c>
      <c r="G748" s="165">
        <v>17325</v>
      </c>
      <c r="H748" s="165"/>
      <c r="I748" s="165"/>
      <c r="J748" s="165"/>
      <c r="K748" s="165">
        <v>17325</v>
      </c>
      <c r="L748" s="165"/>
      <c r="M748" s="165"/>
      <c r="N748" s="165">
        <f t="shared" si="15"/>
        <v>0</v>
      </c>
      <c r="O748" s="165" t="s">
        <v>3952</v>
      </c>
      <c r="P748" s="165" t="s">
        <v>3953</v>
      </c>
      <c r="Q748" s="3">
        <v>17325</v>
      </c>
      <c r="R748">
        <v>17325</v>
      </c>
      <c r="T748"/>
    </row>
    <row r="749" spans="1:20">
      <c r="A749" s="165" t="s">
        <v>3222</v>
      </c>
      <c r="B749" s="94">
        <v>829</v>
      </c>
      <c r="C749" s="165" t="s">
        <v>2270</v>
      </c>
      <c r="D749" s="165">
        <v>6</v>
      </c>
      <c r="E749" s="165" t="s">
        <v>3243</v>
      </c>
      <c r="F749" s="165" t="s">
        <v>3233</v>
      </c>
      <c r="G749" s="165">
        <v>17325</v>
      </c>
      <c r="H749" s="165"/>
      <c r="I749" s="165"/>
      <c r="J749" s="165"/>
      <c r="K749" s="165">
        <v>17325</v>
      </c>
      <c r="L749" s="165"/>
      <c r="M749" s="165"/>
      <c r="N749" s="165">
        <f t="shared" si="15"/>
        <v>0</v>
      </c>
      <c r="O749" s="165" t="s">
        <v>3965</v>
      </c>
      <c r="P749" s="165">
        <v>2015.1025999999999</v>
      </c>
      <c r="Q749" s="3">
        <v>17325</v>
      </c>
      <c r="R749">
        <v>17325</v>
      </c>
      <c r="T749"/>
    </row>
    <row r="750" spans="1:20">
      <c r="A750" s="165" t="s">
        <v>3222</v>
      </c>
      <c r="B750" s="94">
        <v>830</v>
      </c>
      <c r="C750" s="165" t="s">
        <v>2270</v>
      </c>
      <c r="D750" s="165">
        <v>7</v>
      </c>
      <c r="E750" s="165" t="s">
        <v>3244</v>
      </c>
      <c r="F750" s="165" t="s">
        <v>3235</v>
      </c>
      <c r="G750" s="165">
        <v>17325</v>
      </c>
      <c r="H750" s="165"/>
      <c r="I750" s="165"/>
      <c r="J750" s="165"/>
      <c r="K750" s="165"/>
      <c r="L750" s="165">
        <v>17325</v>
      </c>
      <c r="M750" s="165"/>
      <c r="N750" s="165">
        <f>G750+H750+I750-J750-K750-L750</f>
        <v>0</v>
      </c>
      <c r="O750" s="165" t="s">
        <v>4236</v>
      </c>
      <c r="P750" s="165" t="s">
        <v>4752</v>
      </c>
      <c r="Q750" s="3">
        <v>17325</v>
      </c>
      <c r="R750">
        <v>17325</v>
      </c>
      <c r="T750"/>
    </row>
    <row r="751" spans="1:20">
      <c r="A751" s="165" t="s">
        <v>3222</v>
      </c>
      <c r="B751" s="94">
        <v>831</v>
      </c>
      <c r="C751" s="165" t="s">
        <v>2270</v>
      </c>
      <c r="D751" s="165">
        <v>8</v>
      </c>
      <c r="E751" s="165" t="s">
        <v>3245</v>
      </c>
      <c r="F751" s="165" t="s">
        <v>3237</v>
      </c>
      <c r="G751" s="165">
        <v>17325</v>
      </c>
      <c r="H751" s="165"/>
      <c r="I751" s="165"/>
      <c r="J751" s="165"/>
      <c r="K751" s="165"/>
      <c r="L751" s="165">
        <v>17325</v>
      </c>
      <c r="M751" s="165"/>
      <c r="N751" s="165">
        <f>G751+H751+I751-J751-K751-L751</f>
        <v>0</v>
      </c>
      <c r="O751" s="165" t="s">
        <v>4439</v>
      </c>
      <c r="P751" s="165" t="s">
        <v>4780</v>
      </c>
      <c r="Q751" s="3">
        <v>17325</v>
      </c>
      <c r="R751">
        <v>17325</v>
      </c>
      <c r="T751"/>
    </row>
    <row r="752" spans="1:20">
      <c r="A752" s="165" t="s">
        <v>3246</v>
      </c>
      <c r="B752" s="94">
        <v>832</v>
      </c>
      <c r="C752" s="165" t="s">
        <v>8</v>
      </c>
      <c r="D752" s="165">
        <v>1</v>
      </c>
      <c r="E752" s="165" t="s">
        <v>3247</v>
      </c>
      <c r="F752" s="165" t="s">
        <v>3248</v>
      </c>
      <c r="G752" s="165">
        <v>14175</v>
      </c>
      <c r="H752" s="165"/>
      <c r="I752" s="165"/>
      <c r="J752" s="165">
        <v>14175</v>
      </c>
      <c r="K752" s="165"/>
      <c r="L752" s="165"/>
      <c r="M752" s="165"/>
      <c r="N752" s="165">
        <f t="shared" si="15"/>
        <v>0</v>
      </c>
      <c r="O752" s="165" t="s">
        <v>3167</v>
      </c>
      <c r="P752" s="165" t="s">
        <v>3168</v>
      </c>
      <c r="Q752" s="3">
        <v>14175</v>
      </c>
      <c r="R752">
        <v>14175</v>
      </c>
      <c r="T752"/>
    </row>
    <row r="753" spans="1:21">
      <c r="A753" s="165" t="s">
        <v>3246</v>
      </c>
      <c r="B753" s="94">
        <v>833</v>
      </c>
      <c r="C753" s="165" t="s">
        <v>8</v>
      </c>
      <c r="D753" s="165">
        <v>2</v>
      </c>
      <c r="E753" s="165" t="s">
        <v>3249</v>
      </c>
      <c r="F753" s="165" t="s">
        <v>3250</v>
      </c>
      <c r="G753" s="165">
        <v>14175</v>
      </c>
      <c r="H753" s="165"/>
      <c r="I753" s="165"/>
      <c r="J753" s="165">
        <v>14175</v>
      </c>
      <c r="K753" s="165"/>
      <c r="L753" s="165"/>
      <c r="M753" s="165"/>
      <c r="N753" s="165">
        <f t="shared" si="15"/>
        <v>0</v>
      </c>
      <c r="O753" s="165" t="s">
        <v>3169</v>
      </c>
      <c r="P753" s="165" t="s">
        <v>3170</v>
      </c>
      <c r="Q753" s="3">
        <v>14175</v>
      </c>
      <c r="R753">
        <v>14175</v>
      </c>
      <c r="T753"/>
    </row>
    <row r="754" spans="1:21">
      <c r="A754" s="165" t="s">
        <v>3246</v>
      </c>
      <c r="B754" s="94">
        <v>834</v>
      </c>
      <c r="C754" s="165" t="s">
        <v>8</v>
      </c>
      <c r="D754" s="165">
        <v>3</v>
      </c>
      <c r="E754" s="165" t="s">
        <v>3251</v>
      </c>
      <c r="F754" s="165" t="s">
        <v>3252</v>
      </c>
      <c r="G754" s="165">
        <v>14175</v>
      </c>
      <c r="H754" s="165"/>
      <c r="I754" s="165"/>
      <c r="J754" s="165"/>
      <c r="K754" s="165">
        <v>14175</v>
      </c>
      <c r="L754" s="165"/>
      <c r="M754" s="165"/>
      <c r="N754" s="165">
        <f t="shared" si="15"/>
        <v>0</v>
      </c>
      <c r="O754" s="165" t="s">
        <v>3934</v>
      </c>
      <c r="P754" s="165" t="s">
        <v>3935</v>
      </c>
      <c r="Q754" s="3">
        <v>14175</v>
      </c>
      <c r="R754">
        <v>14175</v>
      </c>
      <c r="T754"/>
    </row>
    <row r="755" spans="1:21">
      <c r="A755" s="165" t="s">
        <v>3246</v>
      </c>
      <c r="B755" s="94">
        <v>835</v>
      </c>
      <c r="C755" s="165" t="s">
        <v>8</v>
      </c>
      <c r="D755" s="165">
        <v>4</v>
      </c>
      <c r="E755" s="165" t="s">
        <v>3253</v>
      </c>
      <c r="F755" s="165" t="s">
        <v>3254</v>
      </c>
      <c r="G755" s="165">
        <v>14175</v>
      </c>
      <c r="H755" s="165"/>
      <c r="I755" s="165"/>
      <c r="J755" s="165"/>
      <c r="K755" s="165">
        <v>14175</v>
      </c>
      <c r="L755" s="165"/>
      <c r="M755" s="165"/>
      <c r="N755" s="165">
        <f t="shared" si="15"/>
        <v>0</v>
      </c>
      <c r="O755" s="165" t="s">
        <v>3946</v>
      </c>
      <c r="P755" s="165" t="s">
        <v>3947</v>
      </c>
      <c r="Q755" s="3">
        <v>14175</v>
      </c>
      <c r="R755">
        <v>14175</v>
      </c>
    </row>
    <row r="756" spans="1:21">
      <c r="A756" s="165" t="s">
        <v>3246</v>
      </c>
      <c r="B756" s="94">
        <v>836</v>
      </c>
      <c r="C756" s="165" t="s">
        <v>8</v>
      </c>
      <c r="D756" s="165">
        <v>5</v>
      </c>
      <c r="E756" s="165" t="s">
        <v>3255</v>
      </c>
      <c r="F756" s="165" t="s">
        <v>3256</v>
      </c>
      <c r="G756" s="165">
        <v>14175</v>
      </c>
      <c r="H756" s="165"/>
      <c r="I756" s="165"/>
      <c r="J756" s="165"/>
      <c r="K756" s="165">
        <v>14175</v>
      </c>
      <c r="L756" s="165"/>
      <c r="M756" s="165"/>
      <c r="N756" s="165">
        <f t="shared" si="15"/>
        <v>0</v>
      </c>
      <c r="O756" s="165" t="s">
        <v>3948</v>
      </c>
      <c r="P756" s="165" t="s">
        <v>3949</v>
      </c>
      <c r="Q756" s="3">
        <v>14175</v>
      </c>
      <c r="R756">
        <v>14175</v>
      </c>
    </row>
    <row r="757" spans="1:21">
      <c r="A757" s="165" t="s">
        <v>3246</v>
      </c>
      <c r="B757" s="94">
        <v>837</v>
      </c>
      <c r="C757" s="165" t="s">
        <v>8</v>
      </c>
      <c r="D757" s="165">
        <v>6</v>
      </c>
      <c r="E757" s="165" t="s">
        <v>3257</v>
      </c>
      <c r="F757" s="165" t="s">
        <v>3258</v>
      </c>
      <c r="G757" s="165">
        <v>14175</v>
      </c>
      <c r="H757" s="165"/>
      <c r="I757" s="165"/>
      <c r="J757" s="165"/>
      <c r="K757" s="165">
        <v>14175</v>
      </c>
      <c r="L757" s="165"/>
      <c r="M757" s="165"/>
      <c r="N757" s="165">
        <f t="shared" si="15"/>
        <v>0</v>
      </c>
      <c r="O757" s="165" t="s">
        <v>3957</v>
      </c>
      <c r="P757" s="165" t="s">
        <v>3958</v>
      </c>
      <c r="Q757" s="3">
        <v>14175</v>
      </c>
      <c r="R757">
        <v>14175</v>
      </c>
    </row>
    <row r="758" spans="1:21">
      <c r="A758" s="165" t="s">
        <v>3246</v>
      </c>
      <c r="B758" s="94">
        <v>838</v>
      </c>
      <c r="C758" s="165" t="s">
        <v>8</v>
      </c>
      <c r="D758" s="165">
        <v>7</v>
      </c>
      <c r="E758" s="165" t="s">
        <v>3259</v>
      </c>
      <c r="F758" s="165" t="s">
        <v>3260</v>
      </c>
      <c r="G758" s="165">
        <v>14175</v>
      </c>
      <c r="H758" s="165"/>
      <c r="I758" s="165"/>
      <c r="J758" s="165"/>
      <c r="K758" s="165"/>
      <c r="L758" s="165">
        <v>14175</v>
      </c>
      <c r="M758" s="165"/>
      <c r="N758" s="165">
        <f>G758+H758+I758-J758-K758-L758</f>
        <v>0</v>
      </c>
      <c r="O758" s="165" t="s">
        <v>4434</v>
      </c>
      <c r="P758" s="165" t="s">
        <v>4435</v>
      </c>
      <c r="Q758" s="3">
        <v>14175</v>
      </c>
      <c r="R758">
        <v>14175</v>
      </c>
    </row>
    <row r="759" spans="1:21">
      <c r="A759" s="165" t="s">
        <v>3246</v>
      </c>
      <c r="B759" s="94">
        <v>839</v>
      </c>
      <c r="C759" s="165" t="s">
        <v>8</v>
      </c>
      <c r="D759" s="165">
        <v>8</v>
      </c>
      <c r="E759" s="165" t="s">
        <v>3261</v>
      </c>
      <c r="F759" s="165" t="s">
        <v>3262</v>
      </c>
      <c r="G759" s="165">
        <v>14175</v>
      </c>
      <c r="H759" s="165"/>
      <c r="I759" s="165"/>
      <c r="J759" s="165"/>
      <c r="K759" s="165"/>
      <c r="L759" s="165">
        <v>14175</v>
      </c>
      <c r="M759" s="165"/>
      <c r="N759" s="165">
        <f>G759+H759+I759-J759-K759-L759</f>
        <v>0</v>
      </c>
      <c r="O759" s="165" t="s">
        <v>4588</v>
      </c>
      <c r="P759" s="165" t="s">
        <v>4781</v>
      </c>
      <c r="Q759" s="3">
        <v>14175</v>
      </c>
      <c r="R759">
        <v>14175</v>
      </c>
    </row>
    <row r="760" spans="1:21" s="283" customFormat="1">
      <c r="A760" s="279" t="s">
        <v>3112</v>
      </c>
      <c r="B760" s="279"/>
      <c r="C760" s="279" t="s">
        <v>2060</v>
      </c>
      <c r="D760" s="279">
        <v>5</v>
      </c>
      <c r="E760" s="279" t="s">
        <v>1283</v>
      </c>
      <c r="F760" s="279" t="s">
        <v>3112</v>
      </c>
      <c r="G760" s="280"/>
      <c r="H760" s="280"/>
      <c r="I760" s="280"/>
      <c r="J760" s="280"/>
      <c r="K760" s="280"/>
      <c r="L760" s="280"/>
      <c r="M760" s="280"/>
      <c r="N760" s="280">
        <f t="shared" si="15"/>
        <v>0</v>
      </c>
      <c r="O760" s="279" t="s">
        <v>3112</v>
      </c>
      <c r="P760" s="279" t="s">
        <v>3112</v>
      </c>
      <c r="Q760" s="279">
        <v>14175</v>
      </c>
      <c r="R760" s="279">
        <v>14165</v>
      </c>
      <c r="S760" s="279">
        <v>14165</v>
      </c>
      <c r="T760" s="280">
        <v>10</v>
      </c>
      <c r="U760" s="282" t="s">
        <v>245</v>
      </c>
    </row>
    <row r="761" spans="1:21">
      <c r="A761" s="165" t="s">
        <v>2341</v>
      </c>
      <c r="B761" s="94">
        <v>840</v>
      </c>
      <c r="C761" s="165" t="s">
        <v>1304</v>
      </c>
      <c r="D761" s="165">
        <v>1</v>
      </c>
      <c r="E761" s="165" t="s">
        <v>3263</v>
      </c>
      <c r="F761" s="165" t="s">
        <v>3264</v>
      </c>
      <c r="G761" s="165">
        <v>9450</v>
      </c>
      <c r="H761" s="165"/>
      <c r="I761" s="165"/>
      <c r="J761" s="165">
        <v>9450</v>
      </c>
      <c r="K761" s="165"/>
      <c r="L761" s="165"/>
      <c r="M761" s="165"/>
      <c r="N761" s="165">
        <f t="shared" si="15"/>
        <v>0</v>
      </c>
      <c r="O761" s="165" t="s">
        <v>3169</v>
      </c>
      <c r="P761" s="165" t="s">
        <v>3170</v>
      </c>
      <c r="Q761" s="3">
        <v>9450</v>
      </c>
      <c r="R761">
        <v>9450</v>
      </c>
    </row>
    <row r="762" spans="1:21">
      <c r="A762" s="165" t="s">
        <v>2341</v>
      </c>
      <c r="B762" s="94">
        <v>841</v>
      </c>
      <c r="C762" s="165" t="s">
        <v>1304</v>
      </c>
      <c r="D762" s="165">
        <v>2</v>
      </c>
      <c r="E762" s="165" t="s">
        <v>3265</v>
      </c>
      <c r="F762" s="165" t="s">
        <v>3266</v>
      </c>
      <c r="G762" s="165">
        <v>9450</v>
      </c>
      <c r="H762" s="165"/>
      <c r="I762" s="165"/>
      <c r="J762" s="165">
        <v>9450</v>
      </c>
      <c r="K762" s="165"/>
      <c r="L762" s="165"/>
      <c r="M762" s="165"/>
      <c r="N762" s="165">
        <f t="shared" si="15"/>
        <v>0</v>
      </c>
      <c r="O762" s="165" t="s">
        <v>3171</v>
      </c>
      <c r="P762" s="165" t="s">
        <v>3172</v>
      </c>
      <c r="Q762" s="3">
        <v>9450</v>
      </c>
      <c r="R762">
        <v>9450</v>
      </c>
    </row>
    <row r="763" spans="1:21">
      <c r="A763" s="165" t="s">
        <v>2341</v>
      </c>
      <c r="B763" s="94">
        <v>842</v>
      </c>
      <c r="C763" s="165" t="s">
        <v>4296</v>
      </c>
      <c r="D763" s="165">
        <v>3</v>
      </c>
      <c r="E763" s="165" t="s">
        <v>3267</v>
      </c>
      <c r="F763" s="165" t="s">
        <v>3268</v>
      </c>
      <c r="G763" s="165">
        <v>9450</v>
      </c>
      <c r="H763" s="165"/>
      <c r="I763" s="165"/>
      <c r="J763" s="165"/>
      <c r="K763" s="165">
        <v>9450</v>
      </c>
      <c r="L763" s="165"/>
      <c r="M763" s="165"/>
      <c r="N763" s="165">
        <f t="shared" si="15"/>
        <v>0</v>
      </c>
      <c r="O763" s="165" t="s">
        <v>3936</v>
      </c>
      <c r="P763" s="165" t="s">
        <v>3937</v>
      </c>
      <c r="Q763" s="3">
        <v>9450</v>
      </c>
      <c r="R763">
        <v>9450</v>
      </c>
    </row>
    <row r="764" spans="1:21">
      <c r="A764" s="165" t="s">
        <v>2341</v>
      </c>
      <c r="B764" s="94">
        <v>843</v>
      </c>
      <c r="C764" s="165" t="s">
        <v>1304</v>
      </c>
      <c r="D764" s="165">
        <v>4</v>
      </c>
      <c r="E764" s="165" t="s">
        <v>3269</v>
      </c>
      <c r="F764" s="165" t="s">
        <v>3270</v>
      </c>
      <c r="G764" s="165">
        <v>9450</v>
      </c>
      <c r="H764" s="165"/>
      <c r="I764" s="165"/>
      <c r="J764" s="165"/>
      <c r="K764" s="165">
        <v>9450</v>
      </c>
      <c r="L764" s="165"/>
      <c r="M764" s="165"/>
      <c r="N764" s="165">
        <f t="shared" si="15"/>
        <v>0</v>
      </c>
      <c r="O764" s="165" t="s">
        <v>3974</v>
      </c>
      <c r="P764" s="165" t="s">
        <v>3960</v>
      </c>
      <c r="Q764" s="3">
        <v>9450</v>
      </c>
      <c r="R764">
        <v>9450</v>
      </c>
    </row>
    <row r="765" spans="1:21">
      <c r="A765" s="165" t="s">
        <v>2341</v>
      </c>
      <c r="B765" s="94">
        <v>844</v>
      </c>
      <c r="C765" s="165" t="s">
        <v>1304</v>
      </c>
      <c r="D765" s="165">
        <v>5</v>
      </c>
      <c r="E765" s="165" t="s">
        <v>3271</v>
      </c>
      <c r="F765" s="165" t="s">
        <v>3272</v>
      </c>
      <c r="G765" s="165">
        <v>9450</v>
      </c>
      <c r="H765" s="165"/>
      <c r="I765" s="165"/>
      <c r="J765" s="165"/>
      <c r="K765" s="165">
        <v>9450</v>
      </c>
      <c r="L765" s="165"/>
      <c r="M765" s="165"/>
      <c r="N765" s="165">
        <f t="shared" si="15"/>
        <v>0</v>
      </c>
      <c r="O765" s="165" t="s">
        <v>3961</v>
      </c>
      <c r="P765" s="165" t="s">
        <v>3962</v>
      </c>
      <c r="Q765" s="3">
        <v>9450</v>
      </c>
      <c r="R765">
        <v>9450</v>
      </c>
    </row>
    <row r="766" spans="1:21">
      <c r="A766" s="165" t="s">
        <v>2341</v>
      </c>
      <c r="B766" s="94">
        <v>845</v>
      </c>
      <c r="C766" s="165" t="s">
        <v>1304</v>
      </c>
      <c r="D766" s="165">
        <v>6</v>
      </c>
      <c r="E766" s="165" t="s">
        <v>3273</v>
      </c>
      <c r="F766" s="165" t="s">
        <v>3274</v>
      </c>
      <c r="G766" s="165">
        <v>9450</v>
      </c>
      <c r="H766" s="165"/>
      <c r="I766" s="165"/>
      <c r="J766" s="165"/>
      <c r="K766" s="405">
        <v>9450</v>
      </c>
      <c r="L766" s="165"/>
      <c r="M766" s="165"/>
      <c r="N766" s="165">
        <f t="shared" si="15"/>
        <v>0</v>
      </c>
      <c r="O766" s="165"/>
      <c r="P766" s="165"/>
    </row>
    <row r="767" spans="1:21">
      <c r="A767" s="165" t="s">
        <v>2341</v>
      </c>
      <c r="B767" s="94">
        <v>846</v>
      </c>
      <c r="C767" s="165" t="s">
        <v>1304</v>
      </c>
      <c r="D767" s="165">
        <v>7</v>
      </c>
      <c r="E767" s="165" t="s">
        <v>3275</v>
      </c>
      <c r="F767" s="165" t="s">
        <v>3276</v>
      </c>
      <c r="G767" s="165">
        <v>9450</v>
      </c>
      <c r="H767" s="165"/>
      <c r="I767" s="165"/>
      <c r="J767" s="165"/>
      <c r="K767" s="405">
        <v>9450</v>
      </c>
      <c r="L767" s="165"/>
      <c r="M767" s="165"/>
      <c r="N767" s="165">
        <f t="shared" si="15"/>
        <v>0</v>
      </c>
      <c r="O767" s="165"/>
      <c r="P767" s="165"/>
    </row>
    <row r="768" spans="1:21">
      <c r="A768" s="165" t="s">
        <v>2341</v>
      </c>
      <c r="B768" s="94">
        <v>847</v>
      </c>
      <c r="C768" s="165" t="s">
        <v>1304</v>
      </c>
      <c r="D768" s="165">
        <v>8</v>
      </c>
      <c r="E768" s="165" t="s">
        <v>3277</v>
      </c>
      <c r="F768" s="165" t="s">
        <v>3278</v>
      </c>
      <c r="G768" s="165">
        <v>9450</v>
      </c>
      <c r="H768" s="165"/>
      <c r="I768" s="165"/>
      <c r="J768" s="165"/>
      <c r="K768" s="405">
        <v>9450</v>
      </c>
      <c r="L768" s="165"/>
      <c r="M768" s="165"/>
      <c r="N768" s="165">
        <f t="shared" si="15"/>
        <v>0</v>
      </c>
      <c r="O768" s="165"/>
      <c r="P768" s="165"/>
    </row>
    <row r="769" spans="1:20" s="163" customFormat="1">
      <c r="A769" s="281" t="s">
        <v>2356</v>
      </c>
      <c r="B769" s="281"/>
      <c r="C769" s="281" t="s">
        <v>1532</v>
      </c>
      <c r="D769" s="281">
        <v>6</v>
      </c>
      <c r="E769" s="281" t="s">
        <v>1283</v>
      </c>
      <c r="F769" s="281" t="s">
        <v>2356</v>
      </c>
      <c r="G769" s="284"/>
      <c r="H769" s="284"/>
      <c r="I769" s="284"/>
      <c r="J769" s="281"/>
      <c r="K769" s="281"/>
      <c r="L769" s="281"/>
      <c r="M769" s="281"/>
      <c r="N769" s="281">
        <f t="shared" si="15"/>
        <v>0</v>
      </c>
      <c r="O769" s="281" t="s">
        <v>2356</v>
      </c>
      <c r="P769" s="281" t="s">
        <v>2356</v>
      </c>
      <c r="Q769" s="281">
        <v>13500</v>
      </c>
      <c r="R769" s="281">
        <v>13485</v>
      </c>
      <c r="S769" s="281">
        <v>13485</v>
      </c>
      <c r="T769" s="284">
        <v>15</v>
      </c>
    </row>
    <row r="770" spans="1:20">
      <c r="A770" s="165" t="s">
        <v>3279</v>
      </c>
      <c r="B770" s="94">
        <v>848</v>
      </c>
      <c r="C770" s="165" t="s">
        <v>1232</v>
      </c>
      <c r="D770" s="165">
        <v>2</v>
      </c>
      <c r="E770" s="165" t="s">
        <v>3280</v>
      </c>
      <c r="F770" s="165" t="s">
        <v>3226</v>
      </c>
      <c r="G770" s="165">
        <v>16380</v>
      </c>
      <c r="H770" s="165"/>
      <c r="I770" s="165"/>
      <c r="J770" s="165">
        <v>16380</v>
      </c>
      <c r="K770" s="165"/>
      <c r="L770" s="165"/>
      <c r="M770" s="165"/>
      <c r="N770" s="165">
        <f t="shared" si="15"/>
        <v>0</v>
      </c>
      <c r="O770" s="165" t="s">
        <v>3169</v>
      </c>
      <c r="P770" s="165" t="s">
        <v>3170</v>
      </c>
      <c r="Q770" s="3">
        <v>16380</v>
      </c>
      <c r="R770">
        <v>16380</v>
      </c>
    </row>
    <row r="771" spans="1:20" s="163" customFormat="1">
      <c r="A771" s="281" t="s">
        <v>3281</v>
      </c>
      <c r="B771" s="281"/>
      <c r="C771" s="281" t="s">
        <v>2421</v>
      </c>
      <c r="D771" s="281">
        <v>5</v>
      </c>
      <c r="E771" s="281" t="s">
        <v>1283</v>
      </c>
      <c r="F771" s="281" t="s">
        <v>3281</v>
      </c>
      <c r="G771" s="284"/>
      <c r="H771" s="284"/>
      <c r="I771" s="284"/>
      <c r="J771" s="281"/>
      <c r="K771" s="281"/>
      <c r="L771" s="281"/>
      <c r="M771" s="281"/>
      <c r="N771" s="281">
        <f t="shared" si="15"/>
        <v>0</v>
      </c>
      <c r="O771" s="281" t="s">
        <v>3281</v>
      </c>
      <c r="P771" s="281" t="s">
        <v>3281</v>
      </c>
      <c r="Q771" s="281">
        <v>13230</v>
      </c>
      <c r="R771" s="281">
        <v>13220</v>
      </c>
      <c r="S771" s="281">
        <v>13220</v>
      </c>
      <c r="T771" s="284">
        <v>10</v>
      </c>
    </row>
    <row r="772" spans="1:20">
      <c r="A772" s="165" t="s">
        <v>3281</v>
      </c>
      <c r="B772" s="94">
        <v>849</v>
      </c>
      <c r="C772" s="165" t="s">
        <v>1301</v>
      </c>
      <c r="D772" s="165">
        <v>1</v>
      </c>
      <c r="E772" s="165" t="s">
        <v>3282</v>
      </c>
      <c r="F772" s="165" t="s">
        <v>792</v>
      </c>
      <c r="G772" s="165">
        <v>14175</v>
      </c>
      <c r="H772" s="165"/>
      <c r="I772" s="165"/>
      <c r="J772" s="165">
        <v>14175</v>
      </c>
      <c r="K772" s="165"/>
      <c r="L772" s="165"/>
      <c r="M772" s="165"/>
      <c r="N772" s="165">
        <f t="shared" si="15"/>
        <v>0</v>
      </c>
      <c r="O772" s="165" t="s">
        <v>3169</v>
      </c>
      <c r="P772" s="165" t="s">
        <v>3170</v>
      </c>
      <c r="Q772" s="3">
        <v>14175</v>
      </c>
      <c r="R772">
        <v>14175</v>
      </c>
    </row>
    <row r="773" spans="1:20">
      <c r="A773" s="165" t="s">
        <v>3281</v>
      </c>
      <c r="B773" s="94">
        <v>850</v>
      </c>
      <c r="C773" s="165" t="s">
        <v>1301</v>
      </c>
      <c r="D773" s="165">
        <v>2</v>
      </c>
      <c r="E773" s="165" t="s">
        <v>3283</v>
      </c>
      <c r="F773" s="165" t="s">
        <v>794</v>
      </c>
      <c r="G773" s="165">
        <v>14175</v>
      </c>
      <c r="H773" s="165"/>
      <c r="I773" s="165"/>
      <c r="J773" s="165">
        <v>14175</v>
      </c>
      <c r="K773" s="165"/>
      <c r="L773" s="165"/>
      <c r="M773" s="165"/>
      <c r="N773" s="165">
        <f t="shared" si="15"/>
        <v>0</v>
      </c>
      <c r="O773" s="165" t="s">
        <v>3938</v>
      </c>
      <c r="P773" s="165" t="s">
        <v>3939</v>
      </c>
      <c r="Q773" s="3">
        <v>14175</v>
      </c>
      <c r="R773" s="281">
        <v>14175</v>
      </c>
    </row>
    <row r="774" spans="1:20">
      <c r="A774" s="165" t="s">
        <v>3281</v>
      </c>
      <c r="B774" s="94">
        <v>851</v>
      </c>
      <c r="C774" s="165" t="s">
        <v>1301</v>
      </c>
      <c r="D774" s="165">
        <v>3</v>
      </c>
      <c r="E774" s="165" t="s">
        <v>3284</v>
      </c>
      <c r="F774" s="165" t="s">
        <v>796</v>
      </c>
      <c r="G774" s="165">
        <v>14175</v>
      </c>
      <c r="H774" s="165"/>
      <c r="I774" s="165"/>
      <c r="J774" s="165"/>
      <c r="K774" s="165">
        <v>14175</v>
      </c>
      <c r="L774" s="165"/>
      <c r="M774" s="165"/>
      <c r="N774" s="165">
        <f t="shared" si="15"/>
        <v>0</v>
      </c>
      <c r="O774" s="165" t="s">
        <v>3944</v>
      </c>
      <c r="P774" s="165" t="s">
        <v>3945</v>
      </c>
      <c r="Q774" s="3">
        <v>14175</v>
      </c>
      <c r="R774">
        <v>14175</v>
      </c>
    </row>
    <row r="775" spans="1:20">
      <c r="A775" s="165" t="s">
        <v>3281</v>
      </c>
      <c r="B775" s="94">
        <v>852</v>
      </c>
      <c r="C775" s="165" t="s">
        <v>1301</v>
      </c>
      <c r="D775" s="165">
        <v>4</v>
      </c>
      <c r="E775" s="165" t="s">
        <v>3285</v>
      </c>
      <c r="F775" s="165" t="s">
        <v>798</v>
      </c>
      <c r="G775" s="165">
        <v>14175</v>
      </c>
      <c r="H775" s="165"/>
      <c r="I775" s="165"/>
      <c r="J775" s="165"/>
      <c r="K775" s="165">
        <v>14175</v>
      </c>
      <c r="L775" s="165"/>
      <c r="M775" s="165"/>
      <c r="N775" s="165">
        <f t="shared" si="15"/>
        <v>0</v>
      </c>
      <c r="O775" s="165" t="s">
        <v>3952</v>
      </c>
      <c r="P775" s="165" t="s">
        <v>3953</v>
      </c>
      <c r="Q775" s="3">
        <v>14175</v>
      </c>
      <c r="R775" s="281">
        <v>14175</v>
      </c>
    </row>
    <row r="776" spans="1:20">
      <c r="A776" s="165" t="s">
        <v>3281</v>
      </c>
      <c r="B776" s="94">
        <v>853</v>
      </c>
      <c r="C776" s="165" t="s">
        <v>1301</v>
      </c>
      <c r="D776" s="165">
        <v>5</v>
      </c>
      <c r="E776" s="165" t="s">
        <v>3286</v>
      </c>
      <c r="F776" s="165" t="s">
        <v>800</v>
      </c>
      <c r="G776" s="165">
        <v>14175</v>
      </c>
      <c r="H776" s="165"/>
      <c r="I776" s="165"/>
      <c r="J776" s="165"/>
      <c r="K776" s="165">
        <v>14175</v>
      </c>
      <c r="L776" s="165"/>
      <c r="M776" s="165"/>
      <c r="N776" s="165">
        <f t="shared" si="15"/>
        <v>0</v>
      </c>
      <c r="O776" s="165" t="s">
        <v>3965</v>
      </c>
      <c r="P776" s="165" t="s">
        <v>3966</v>
      </c>
      <c r="Q776" s="3">
        <v>14175</v>
      </c>
      <c r="R776">
        <v>14175</v>
      </c>
    </row>
    <row r="777" spans="1:20">
      <c r="A777" s="165" t="s">
        <v>3281</v>
      </c>
      <c r="B777" s="94">
        <v>854</v>
      </c>
      <c r="C777" s="165" t="s">
        <v>1301</v>
      </c>
      <c r="D777" s="165">
        <v>6</v>
      </c>
      <c r="E777" s="165" t="s">
        <v>3287</v>
      </c>
      <c r="F777" s="165" t="s">
        <v>802</v>
      </c>
      <c r="G777" s="165">
        <v>14175</v>
      </c>
      <c r="H777" s="165"/>
      <c r="I777" s="165"/>
      <c r="J777" s="165"/>
      <c r="K777" s="165"/>
      <c r="L777" s="165">
        <v>14175</v>
      </c>
      <c r="M777" s="165"/>
      <c r="N777" s="165">
        <f>G777+H777+I777-J777-K777-L777</f>
        <v>0</v>
      </c>
      <c r="O777" s="165" t="s">
        <v>4236</v>
      </c>
      <c r="P777" s="165" t="s">
        <v>4752</v>
      </c>
      <c r="Q777" s="3">
        <v>14175</v>
      </c>
      <c r="R777" s="281">
        <v>14175</v>
      </c>
    </row>
    <row r="778" spans="1:20">
      <c r="A778" s="165" t="s">
        <v>3281</v>
      </c>
      <c r="B778" s="94">
        <v>855</v>
      </c>
      <c r="C778" s="165" t="s">
        <v>1301</v>
      </c>
      <c r="D778" s="165">
        <v>7</v>
      </c>
      <c r="E778" s="165" t="s">
        <v>3288</v>
      </c>
      <c r="F778" s="165" t="s">
        <v>3289</v>
      </c>
      <c r="G778" s="165">
        <v>14175</v>
      </c>
      <c r="H778" s="165"/>
      <c r="I778" s="165"/>
      <c r="J778" s="165"/>
      <c r="K778" s="165"/>
      <c r="L778" s="165">
        <v>14175</v>
      </c>
      <c r="M778" s="165"/>
      <c r="N778" s="165">
        <f>G778+H778+I778-J778-K778-L778</f>
        <v>0</v>
      </c>
      <c r="O778" s="165" t="s">
        <v>4439</v>
      </c>
      <c r="P778" s="165" t="s">
        <v>4780</v>
      </c>
      <c r="Q778" s="3">
        <v>14175</v>
      </c>
      <c r="R778">
        <v>14175</v>
      </c>
    </row>
    <row r="779" spans="1:20">
      <c r="A779" s="165" t="s">
        <v>3281</v>
      </c>
      <c r="B779" s="94">
        <v>856</v>
      </c>
      <c r="C779" s="165" t="s">
        <v>1301</v>
      </c>
      <c r="D779" s="165">
        <v>8</v>
      </c>
      <c r="E779" s="165" t="s">
        <v>3290</v>
      </c>
      <c r="F779" s="165" t="s">
        <v>3291</v>
      </c>
      <c r="G779" s="165">
        <v>14175</v>
      </c>
      <c r="H779" s="165"/>
      <c r="I779" s="165"/>
      <c r="J779" s="165"/>
      <c r="K779" s="165"/>
      <c r="L779" s="165">
        <v>14175</v>
      </c>
      <c r="M779" s="165"/>
      <c r="N779" s="165">
        <f>G779+H779+I779-J779-K779-L779</f>
        <v>0</v>
      </c>
      <c r="O779" s="165" t="s">
        <v>4769</v>
      </c>
      <c r="P779" s="165" t="s">
        <v>4783</v>
      </c>
      <c r="Q779" s="3">
        <v>14175</v>
      </c>
      <c r="R779" s="281">
        <v>14175</v>
      </c>
    </row>
    <row r="780" spans="1:20" s="163" customFormat="1">
      <c r="A780" s="281" t="s">
        <v>3108</v>
      </c>
      <c r="B780" s="281"/>
      <c r="C780" s="281" t="s">
        <v>3825</v>
      </c>
      <c r="D780" s="281">
        <v>7</v>
      </c>
      <c r="E780" s="281" t="s">
        <v>1283</v>
      </c>
      <c r="F780" s="281" t="s">
        <v>3108</v>
      </c>
      <c r="G780" s="284"/>
      <c r="H780" s="284"/>
      <c r="I780" s="284"/>
      <c r="J780" s="281"/>
      <c r="K780" s="281"/>
      <c r="L780" s="281"/>
      <c r="M780" s="281"/>
      <c r="N780" s="281">
        <f t="shared" si="15"/>
        <v>0</v>
      </c>
      <c r="O780" s="281" t="s">
        <v>3108</v>
      </c>
      <c r="P780" s="281" t="s">
        <v>3108</v>
      </c>
      <c r="Q780" s="281">
        <v>14175</v>
      </c>
      <c r="R780" s="281">
        <v>14145</v>
      </c>
      <c r="S780" s="281">
        <v>14145</v>
      </c>
      <c r="T780" s="284">
        <v>30</v>
      </c>
    </row>
    <row r="781" spans="1:20">
      <c r="A781" s="165" t="s">
        <v>810</v>
      </c>
      <c r="B781" s="94">
        <v>857</v>
      </c>
      <c r="C781" s="165" t="s">
        <v>264</v>
      </c>
      <c r="D781" s="165">
        <v>1</v>
      </c>
      <c r="E781" s="165" t="s">
        <v>3292</v>
      </c>
      <c r="F781" s="165" t="s">
        <v>3293</v>
      </c>
      <c r="G781" s="165">
        <v>11340</v>
      </c>
      <c r="H781" s="165"/>
      <c r="I781" s="165"/>
      <c r="J781" s="165">
        <v>11340</v>
      </c>
      <c r="K781" s="165"/>
      <c r="L781" s="165"/>
      <c r="M781" s="165"/>
      <c r="N781" s="165">
        <f t="shared" si="15"/>
        <v>0</v>
      </c>
      <c r="O781" s="165" t="s">
        <v>3169</v>
      </c>
      <c r="P781" s="165" t="s">
        <v>3170</v>
      </c>
      <c r="Q781" s="3">
        <v>11340</v>
      </c>
      <c r="R781">
        <v>11340</v>
      </c>
    </row>
    <row r="782" spans="1:20">
      <c r="A782" s="165" t="s">
        <v>810</v>
      </c>
      <c r="B782" s="94">
        <v>858</v>
      </c>
      <c r="C782" s="165" t="s">
        <v>264</v>
      </c>
      <c r="D782" s="165">
        <v>2</v>
      </c>
      <c r="E782" s="165" t="s">
        <v>3294</v>
      </c>
      <c r="F782" s="165" t="s">
        <v>1066</v>
      </c>
      <c r="G782" s="165">
        <v>11340</v>
      </c>
      <c r="H782" s="165"/>
      <c r="I782" s="165"/>
      <c r="J782" s="165"/>
      <c r="K782" s="165">
        <v>11340</v>
      </c>
      <c r="L782" s="165"/>
      <c r="M782" s="165"/>
      <c r="N782" s="165">
        <f t="shared" si="15"/>
        <v>0</v>
      </c>
      <c r="O782" s="165" t="s">
        <v>3934</v>
      </c>
      <c r="P782" s="165" t="s">
        <v>3935</v>
      </c>
      <c r="Q782" s="3">
        <v>11340</v>
      </c>
      <c r="R782">
        <v>11340</v>
      </c>
    </row>
    <row r="783" spans="1:20">
      <c r="A783" s="165" t="s">
        <v>810</v>
      </c>
      <c r="B783" s="94">
        <v>859</v>
      </c>
      <c r="C783" s="165" t="s">
        <v>264</v>
      </c>
      <c r="D783" s="165">
        <v>3</v>
      </c>
      <c r="E783" s="165" t="s">
        <v>3295</v>
      </c>
      <c r="F783" s="165" t="s">
        <v>698</v>
      </c>
      <c r="G783" s="165">
        <v>11340</v>
      </c>
      <c r="H783" s="165"/>
      <c r="I783" s="165"/>
      <c r="J783" s="165"/>
      <c r="K783" s="165">
        <v>11340</v>
      </c>
      <c r="L783" s="165"/>
      <c r="M783" s="165"/>
      <c r="N783" s="165">
        <f t="shared" si="15"/>
        <v>0</v>
      </c>
      <c r="O783" s="165" t="s">
        <v>3946</v>
      </c>
      <c r="P783" s="165" t="s">
        <v>3947</v>
      </c>
      <c r="Q783" s="3">
        <v>11340</v>
      </c>
      <c r="R783">
        <v>11340</v>
      </c>
    </row>
    <row r="784" spans="1:20">
      <c r="A784" s="165" t="s">
        <v>810</v>
      </c>
      <c r="B784" s="94">
        <v>860</v>
      </c>
      <c r="C784" s="165" t="s">
        <v>264</v>
      </c>
      <c r="D784" s="165">
        <v>4</v>
      </c>
      <c r="E784" s="165" t="s">
        <v>3296</v>
      </c>
      <c r="F784" s="165" t="s">
        <v>700</v>
      </c>
      <c r="G784" s="165">
        <v>11340</v>
      </c>
      <c r="H784" s="165"/>
      <c r="I784" s="165"/>
      <c r="J784" s="165"/>
      <c r="K784" s="165">
        <v>11340</v>
      </c>
      <c r="L784" s="165"/>
      <c r="M784" s="165"/>
      <c r="N784" s="165">
        <f t="shared" si="15"/>
        <v>0</v>
      </c>
      <c r="O784" s="165" t="s">
        <v>3948</v>
      </c>
      <c r="P784" s="165" t="s">
        <v>3949</v>
      </c>
      <c r="Q784" s="3">
        <v>11340</v>
      </c>
      <c r="R784">
        <v>11340</v>
      </c>
    </row>
    <row r="785" spans="1:20">
      <c r="A785" s="165" t="s">
        <v>810</v>
      </c>
      <c r="B785" s="94">
        <v>861</v>
      </c>
      <c r="C785" s="165" t="s">
        <v>264</v>
      </c>
      <c r="D785" s="165">
        <v>5</v>
      </c>
      <c r="E785" s="165" t="s">
        <v>3297</v>
      </c>
      <c r="F785" s="165" t="s">
        <v>3298</v>
      </c>
      <c r="G785" s="165">
        <v>11340</v>
      </c>
      <c r="H785" s="165"/>
      <c r="I785" s="165"/>
      <c r="J785" s="165"/>
      <c r="K785" s="165">
        <v>11340</v>
      </c>
      <c r="L785" s="165"/>
      <c r="M785" s="165"/>
      <c r="N785" s="165">
        <f t="shared" si="15"/>
        <v>0</v>
      </c>
      <c r="O785" s="165" t="s">
        <v>3975</v>
      </c>
      <c r="P785" s="165" t="s">
        <v>3958</v>
      </c>
      <c r="Q785" s="3">
        <v>11340</v>
      </c>
      <c r="R785">
        <v>11340</v>
      </c>
    </row>
    <row r="786" spans="1:20">
      <c r="A786" s="165" t="s">
        <v>810</v>
      </c>
      <c r="B786" s="94">
        <v>862</v>
      </c>
      <c r="C786" s="165" t="s">
        <v>264</v>
      </c>
      <c r="D786" s="165">
        <v>6</v>
      </c>
      <c r="E786" s="165" t="s">
        <v>3299</v>
      </c>
      <c r="F786" s="165" t="s">
        <v>3300</v>
      </c>
      <c r="G786" s="165">
        <v>11340</v>
      </c>
      <c r="H786" s="165"/>
      <c r="I786" s="165"/>
      <c r="J786" s="165"/>
      <c r="K786" s="165"/>
      <c r="L786" s="165">
        <v>11340</v>
      </c>
      <c r="M786" s="165"/>
      <c r="N786" s="165">
        <f>G786+H786+I786-J786-K786-L786</f>
        <v>0</v>
      </c>
      <c r="O786" s="165" t="s">
        <v>4434</v>
      </c>
      <c r="P786" s="165" t="s">
        <v>4435</v>
      </c>
      <c r="Q786" s="3">
        <v>11340</v>
      </c>
      <c r="R786">
        <v>11340</v>
      </c>
      <c r="T786"/>
    </row>
    <row r="787" spans="1:20">
      <c r="A787" s="165" t="s">
        <v>810</v>
      </c>
      <c r="B787" s="94">
        <v>863</v>
      </c>
      <c r="C787" s="165" t="s">
        <v>264</v>
      </c>
      <c r="D787" s="165">
        <v>7</v>
      </c>
      <c r="E787" s="165" t="s">
        <v>3301</v>
      </c>
      <c r="F787" s="165" t="s">
        <v>3302</v>
      </c>
      <c r="G787" s="165">
        <v>11340</v>
      </c>
      <c r="H787" s="165"/>
      <c r="I787" s="165"/>
      <c r="J787" s="165"/>
      <c r="K787" s="165"/>
      <c r="L787" s="165">
        <v>11340</v>
      </c>
      <c r="M787" s="165"/>
      <c r="N787" s="165">
        <f>G787+H787+I787-J787-K787-L787</f>
        <v>0</v>
      </c>
      <c r="O787" s="165" t="s">
        <v>4588</v>
      </c>
      <c r="P787" s="165" t="s">
        <v>4781</v>
      </c>
      <c r="Q787" s="3">
        <v>11340</v>
      </c>
      <c r="R787">
        <v>11340</v>
      </c>
      <c r="T787"/>
    </row>
    <row r="788" spans="1:20">
      <c r="A788" s="165" t="s">
        <v>810</v>
      </c>
      <c r="B788" s="94">
        <v>864</v>
      </c>
      <c r="C788" s="165" t="s">
        <v>264</v>
      </c>
      <c r="D788" s="165">
        <v>8</v>
      </c>
      <c r="E788" s="165" t="s">
        <v>3303</v>
      </c>
      <c r="F788" s="165" t="s">
        <v>3304</v>
      </c>
      <c r="G788" s="165">
        <v>11340</v>
      </c>
      <c r="H788" s="165"/>
      <c r="I788" s="165"/>
      <c r="J788" s="165"/>
      <c r="K788" s="165"/>
      <c r="L788" s="165">
        <v>11340</v>
      </c>
      <c r="M788" s="165"/>
      <c r="N788" s="165">
        <f>G788+H788+I788-J788-K788-L788</f>
        <v>0</v>
      </c>
      <c r="O788" s="165" t="s">
        <v>4771</v>
      </c>
      <c r="P788" s="165" t="s">
        <v>4785</v>
      </c>
      <c r="Q788" s="3">
        <v>11340</v>
      </c>
      <c r="R788">
        <v>11340</v>
      </c>
      <c r="T788"/>
    </row>
    <row r="789" spans="1:20">
      <c r="A789" s="165" t="s">
        <v>3305</v>
      </c>
      <c r="B789" s="94">
        <v>865</v>
      </c>
      <c r="C789" s="165" t="s">
        <v>1249</v>
      </c>
      <c r="D789" s="165">
        <v>1</v>
      </c>
      <c r="E789" s="165" t="s">
        <v>3306</v>
      </c>
      <c r="F789" s="165" t="s">
        <v>3305</v>
      </c>
      <c r="G789" s="165">
        <v>3780</v>
      </c>
      <c r="H789" s="165"/>
      <c r="I789" s="165"/>
      <c r="J789" s="165">
        <v>3780</v>
      </c>
      <c r="K789" s="165"/>
      <c r="L789" s="165"/>
      <c r="M789" s="165"/>
      <c r="N789" s="165">
        <f t="shared" si="15"/>
        <v>0</v>
      </c>
      <c r="O789" s="165" t="s">
        <v>3169</v>
      </c>
      <c r="P789" s="165" t="s">
        <v>3170</v>
      </c>
      <c r="Q789" s="3">
        <v>3780</v>
      </c>
      <c r="R789">
        <v>3780</v>
      </c>
      <c r="T789"/>
    </row>
    <row r="790" spans="1:20">
      <c r="A790" s="165" t="s">
        <v>3305</v>
      </c>
      <c r="B790" s="94">
        <v>866</v>
      </c>
      <c r="C790" s="165" t="s">
        <v>1249</v>
      </c>
      <c r="D790" s="165">
        <v>2</v>
      </c>
      <c r="E790" s="165" t="s">
        <v>3307</v>
      </c>
      <c r="F790" s="165" t="s">
        <v>3308</v>
      </c>
      <c r="G790" s="165">
        <v>3780</v>
      </c>
      <c r="H790" s="165"/>
      <c r="I790" s="165"/>
      <c r="J790" s="165">
        <v>3780</v>
      </c>
      <c r="K790" s="165"/>
      <c r="L790" s="165"/>
      <c r="M790" s="165"/>
      <c r="N790" s="165">
        <f t="shared" si="15"/>
        <v>0</v>
      </c>
      <c r="O790" s="165" t="s">
        <v>3171</v>
      </c>
      <c r="P790" s="165" t="s">
        <v>3172</v>
      </c>
      <c r="Q790" s="3">
        <v>3780</v>
      </c>
      <c r="R790">
        <v>3780</v>
      </c>
      <c r="T790"/>
    </row>
    <row r="791" spans="1:20">
      <c r="A791" s="165" t="s">
        <v>3305</v>
      </c>
      <c r="B791" s="94">
        <v>867</v>
      </c>
      <c r="C791" s="165" t="s">
        <v>1249</v>
      </c>
      <c r="D791" s="165">
        <v>3</v>
      </c>
      <c r="E791" s="165" t="s">
        <v>3309</v>
      </c>
      <c r="F791" s="165" t="s">
        <v>3310</v>
      </c>
      <c r="G791" s="165">
        <v>3780</v>
      </c>
      <c r="H791" s="165"/>
      <c r="I791" s="165"/>
      <c r="J791" s="165"/>
      <c r="K791" s="165">
        <v>3780</v>
      </c>
      <c r="L791" s="165"/>
      <c r="M791" s="165"/>
      <c r="N791" s="165">
        <f t="shared" ref="N791:N850" si="16">G791+H791+I791-J791-K791</f>
        <v>0</v>
      </c>
      <c r="O791" s="165" t="s">
        <v>3938</v>
      </c>
      <c r="P791" s="165" t="s">
        <v>3939</v>
      </c>
      <c r="Q791" s="3">
        <v>3780</v>
      </c>
      <c r="R791">
        <v>3780</v>
      </c>
      <c r="T791"/>
    </row>
    <row r="792" spans="1:20">
      <c r="A792" s="165" t="s">
        <v>3305</v>
      </c>
      <c r="B792" s="94">
        <v>868</v>
      </c>
      <c r="C792" s="165" t="s">
        <v>1249</v>
      </c>
      <c r="D792" s="165">
        <v>4</v>
      </c>
      <c r="E792" s="336" t="s">
        <v>3976</v>
      </c>
      <c r="F792" s="165" t="s">
        <v>3311</v>
      </c>
      <c r="G792" s="165">
        <v>3780</v>
      </c>
      <c r="H792" s="165"/>
      <c r="I792" s="165"/>
      <c r="J792" s="165"/>
      <c r="K792" s="165">
        <v>3780</v>
      </c>
      <c r="L792" s="165"/>
      <c r="M792" s="165"/>
      <c r="N792" s="165">
        <f t="shared" si="16"/>
        <v>0</v>
      </c>
      <c r="O792" s="165" t="s">
        <v>3934</v>
      </c>
      <c r="P792" s="165" t="s">
        <v>3935</v>
      </c>
      <c r="Q792" s="3">
        <v>3780</v>
      </c>
      <c r="R792">
        <v>3780</v>
      </c>
      <c r="T792"/>
    </row>
    <row r="793" spans="1:20">
      <c r="A793" s="165" t="s">
        <v>3305</v>
      </c>
      <c r="B793" s="94">
        <v>869</v>
      </c>
      <c r="C793" s="165" t="s">
        <v>1249</v>
      </c>
      <c r="D793" s="165">
        <v>5</v>
      </c>
      <c r="E793" s="336" t="s">
        <v>3977</v>
      </c>
      <c r="F793" s="165" t="s">
        <v>3312</v>
      </c>
      <c r="G793" s="165">
        <v>3780</v>
      </c>
      <c r="H793" s="165"/>
      <c r="I793" s="165"/>
      <c r="J793" s="165"/>
      <c r="K793" s="165">
        <v>3780</v>
      </c>
      <c r="L793" s="165"/>
      <c r="M793" s="165"/>
      <c r="N793" s="165">
        <f t="shared" si="16"/>
        <v>0</v>
      </c>
      <c r="O793" s="165" t="s">
        <v>3936</v>
      </c>
      <c r="P793" s="165" t="s">
        <v>3937</v>
      </c>
      <c r="Q793" s="3">
        <v>3780</v>
      </c>
      <c r="R793">
        <v>3780</v>
      </c>
      <c r="T793"/>
    </row>
    <row r="794" spans="1:20">
      <c r="A794" s="165" t="s">
        <v>3305</v>
      </c>
      <c r="B794" s="94">
        <v>870</v>
      </c>
      <c r="C794" s="165" t="s">
        <v>1249</v>
      </c>
      <c r="D794" s="165">
        <v>6</v>
      </c>
      <c r="E794" s="336" t="s">
        <v>3978</v>
      </c>
      <c r="F794" s="165" t="s">
        <v>3313</v>
      </c>
      <c r="G794" s="165">
        <v>3780</v>
      </c>
      <c r="H794" s="165"/>
      <c r="I794" s="165"/>
      <c r="J794" s="165"/>
      <c r="K794" s="165">
        <v>3780</v>
      </c>
      <c r="L794" s="165"/>
      <c r="M794" s="165"/>
      <c r="N794" s="165">
        <f t="shared" si="16"/>
        <v>0</v>
      </c>
      <c r="O794" s="165" t="s">
        <v>3944</v>
      </c>
      <c r="P794" s="165" t="s">
        <v>3945</v>
      </c>
      <c r="Q794" s="3">
        <v>3780</v>
      </c>
      <c r="R794">
        <v>3780</v>
      </c>
      <c r="T794"/>
    </row>
    <row r="795" spans="1:20">
      <c r="A795" s="165" t="s">
        <v>3305</v>
      </c>
      <c r="B795" s="94">
        <v>871</v>
      </c>
      <c r="C795" s="165" t="s">
        <v>1249</v>
      </c>
      <c r="D795" s="165">
        <v>7</v>
      </c>
      <c r="E795" s="165" t="s">
        <v>3979</v>
      </c>
      <c r="F795" s="165" t="s">
        <v>3314</v>
      </c>
      <c r="G795" s="165">
        <v>3780</v>
      </c>
      <c r="H795" s="165"/>
      <c r="I795" s="165"/>
      <c r="J795" s="165"/>
      <c r="K795" s="165">
        <v>3780</v>
      </c>
      <c r="L795" s="165"/>
      <c r="M795" s="165"/>
      <c r="N795" s="165">
        <f t="shared" si="16"/>
        <v>0</v>
      </c>
      <c r="O795" s="165" t="s">
        <v>3946</v>
      </c>
      <c r="P795" s="165" t="s">
        <v>3947</v>
      </c>
      <c r="Q795" s="3">
        <v>3780</v>
      </c>
      <c r="R795">
        <v>3780</v>
      </c>
      <c r="T795"/>
    </row>
    <row r="796" spans="1:20">
      <c r="A796" s="165" t="s">
        <v>3305</v>
      </c>
      <c r="B796" s="94">
        <v>872</v>
      </c>
      <c r="C796" s="165" t="s">
        <v>1249</v>
      </c>
      <c r="D796" s="165">
        <v>8</v>
      </c>
      <c r="E796" s="165" t="s">
        <v>3980</v>
      </c>
      <c r="F796" s="165" t="s">
        <v>3315</v>
      </c>
      <c r="G796" s="165">
        <v>3780</v>
      </c>
      <c r="H796" s="165"/>
      <c r="I796" s="165"/>
      <c r="J796" s="165"/>
      <c r="K796" s="165">
        <v>3780</v>
      </c>
      <c r="L796" s="165"/>
      <c r="M796" s="165"/>
      <c r="N796" s="165">
        <f t="shared" si="16"/>
        <v>0</v>
      </c>
      <c r="O796" s="165" t="s">
        <v>3981</v>
      </c>
      <c r="P796" s="165" t="s">
        <v>3960</v>
      </c>
      <c r="Q796" s="3">
        <v>3780</v>
      </c>
      <c r="R796">
        <v>3780</v>
      </c>
      <c r="T796"/>
    </row>
    <row r="797" spans="1:20">
      <c r="A797" s="165" t="s">
        <v>3305</v>
      </c>
      <c r="B797" s="94">
        <v>873</v>
      </c>
      <c r="C797" s="165" t="s">
        <v>1249</v>
      </c>
      <c r="D797" s="165">
        <v>9</v>
      </c>
      <c r="E797" s="165" t="s">
        <v>3982</v>
      </c>
      <c r="F797" s="165" t="s">
        <v>3316</v>
      </c>
      <c r="G797" s="165">
        <v>3780</v>
      </c>
      <c r="H797" s="165"/>
      <c r="I797" s="165"/>
      <c r="J797" s="165"/>
      <c r="K797" s="165">
        <v>3780</v>
      </c>
      <c r="L797" s="165"/>
      <c r="M797" s="165"/>
      <c r="N797" s="165">
        <f t="shared" si="16"/>
        <v>0</v>
      </c>
      <c r="O797" s="165" t="s">
        <v>3952</v>
      </c>
      <c r="P797" s="165" t="s">
        <v>3953</v>
      </c>
      <c r="Q797" s="3">
        <v>3780</v>
      </c>
      <c r="R797">
        <v>3780</v>
      </c>
      <c r="T797"/>
    </row>
    <row r="798" spans="1:20">
      <c r="A798" s="165" t="s">
        <v>3305</v>
      </c>
      <c r="B798" s="94">
        <v>874</v>
      </c>
      <c r="C798" s="165" t="s">
        <v>1249</v>
      </c>
      <c r="D798" s="165">
        <v>10</v>
      </c>
      <c r="E798" s="165" t="s">
        <v>3983</v>
      </c>
      <c r="F798" s="165" t="s">
        <v>3317</v>
      </c>
      <c r="G798" s="165">
        <v>3780</v>
      </c>
      <c r="H798" s="165"/>
      <c r="I798" s="165"/>
      <c r="J798" s="165"/>
      <c r="K798" s="165">
        <v>3780</v>
      </c>
      <c r="L798" s="165"/>
      <c r="M798" s="165"/>
      <c r="N798" s="165">
        <f t="shared" si="16"/>
        <v>0</v>
      </c>
      <c r="O798" s="165" t="s">
        <v>3948</v>
      </c>
      <c r="P798" s="165" t="s">
        <v>3949</v>
      </c>
      <c r="Q798" s="3">
        <v>3780</v>
      </c>
      <c r="R798">
        <v>3780</v>
      </c>
      <c r="T798"/>
    </row>
    <row r="799" spans="1:20">
      <c r="A799" s="165" t="s">
        <v>3305</v>
      </c>
      <c r="B799" s="94">
        <v>875</v>
      </c>
      <c r="C799" s="165" t="s">
        <v>1249</v>
      </c>
      <c r="D799" s="165">
        <v>11</v>
      </c>
      <c r="E799" s="165" t="s">
        <v>3984</v>
      </c>
      <c r="F799" s="165" t="s">
        <v>3318</v>
      </c>
      <c r="G799" s="165">
        <v>3780</v>
      </c>
      <c r="H799" s="165"/>
      <c r="I799" s="165"/>
      <c r="J799" s="165"/>
      <c r="K799" s="165">
        <v>3780</v>
      </c>
      <c r="L799" s="165"/>
      <c r="M799" s="165"/>
      <c r="N799" s="165">
        <f t="shared" si="16"/>
        <v>0</v>
      </c>
      <c r="O799" s="165" t="s">
        <v>3961</v>
      </c>
      <c r="P799" s="165" t="s">
        <v>3962</v>
      </c>
      <c r="Q799" s="3">
        <v>3780</v>
      </c>
      <c r="R799">
        <v>3780</v>
      </c>
      <c r="T799"/>
    </row>
    <row r="800" spans="1:20">
      <c r="A800" s="165" t="s">
        <v>3305</v>
      </c>
      <c r="B800" s="94">
        <v>876</v>
      </c>
      <c r="C800" s="165" t="s">
        <v>1249</v>
      </c>
      <c r="D800" s="165">
        <v>12</v>
      </c>
      <c r="E800" s="165" t="s">
        <v>3985</v>
      </c>
      <c r="F800" s="165" t="s">
        <v>3319</v>
      </c>
      <c r="G800" s="165">
        <v>3780</v>
      </c>
      <c r="H800" s="165"/>
      <c r="I800" s="165"/>
      <c r="J800" s="165"/>
      <c r="K800" s="165">
        <v>3780</v>
      </c>
      <c r="L800" s="165"/>
      <c r="M800" s="165"/>
      <c r="N800" s="165">
        <f t="shared" si="16"/>
        <v>0</v>
      </c>
      <c r="O800" s="165" t="s">
        <v>3965</v>
      </c>
      <c r="P800" s="165" t="s">
        <v>3966</v>
      </c>
      <c r="Q800" s="3">
        <v>3780</v>
      </c>
      <c r="R800">
        <v>3780</v>
      </c>
      <c r="T800"/>
    </row>
    <row r="801" spans="1:21">
      <c r="A801" s="165" t="s">
        <v>3320</v>
      </c>
      <c r="B801" s="94">
        <v>877</v>
      </c>
      <c r="C801" s="165" t="s">
        <v>1305</v>
      </c>
      <c r="D801" s="165">
        <v>1</v>
      </c>
      <c r="E801" s="165" t="s">
        <v>3321</v>
      </c>
      <c r="F801" s="165" t="s">
        <v>1042</v>
      </c>
      <c r="G801" s="165">
        <v>11340</v>
      </c>
      <c r="H801" s="165"/>
      <c r="I801" s="165"/>
      <c r="J801" s="165">
        <v>11340</v>
      </c>
      <c r="K801" s="165"/>
      <c r="L801" s="165"/>
      <c r="M801" s="165"/>
      <c r="N801" s="165">
        <f t="shared" si="16"/>
        <v>0</v>
      </c>
      <c r="O801" s="165" t="s">
        <v>3171</v>
      </c>
      <c r="P801" s="165" t="s">
        <v>3172</v>
      </c>
      <c r="Q801" s="3">
        <v>11340</v>
      </c>
      <c r="R801">
        <v>11340</v>
      </c>
      <c r="T801"/>
    </row>
    <row r="802" spans="1:21" s="163" customFormat="1">
      <c r="A802" s="281" t="s">
        <v>3137</v>
      </c>
      <c r="B802" s="281"/>
      <c r="C802" s="281" t="s">
        <v>701</v>
      </c>
      <c r="D802" s="281">
        <v>1</v>
      </c>
      <c r="E802" s="281" t="s">
        <v>1283</v>
      </c>
      <c r="F802" s="281" t="s">
        <v>3137</v>
      </c>
      <c r="G802" s="284"/>
      <c r="H802" s="284"/>
      <c r="I802" s="284"/>
      <c r="J802" s="281"/>
      <c r="K802" s="281"/>
      <c r="L802" s="281"/>
      <c r="M802" s="281"/>
      <c r="N802" s="281">
        <f t="shared" si="16"/>
        <v>0</v>
      </c>
      <c r="O802" s="281" t="s">
        <v>3137</v>
      </c>
      <c r="P802" s="281" t="s">
        <v>3137</v>
      </c>
      <c r="Q802" s="281">
        <v>84000</v>
      </c>
      <c r="R802" s="281">
        <v>84000</v>
      </c>
      <c r="S802" s="281">
        <v>84000</v>
      </c>
      <c r="T802" s="284"/>
    </row>
    <row r="803" spans="1:21" s="163" customFormat="1">
      <c r="A803" s="281" t="s">
        <v>3043</v>
      </c>
      <c r="B803" s="281"/>
      <c r="C803" s="281" t="s">
        <v>747</v>
      </c>
      <c r="D803" s="281">
        <v>3</v>
      </c>
      <c r="E803" s="281" t="s">
        <v>1283</v>
      </c>
      <c r="F803" s="281" t="s">
        <v>3043</v>
      </c>
      <c r="G803" s="284"/>
      <c r="H803" s="284"/>
      <c r="I803" s="284"/>
      <c r="J803" s="281"/>
      <c r="K803" s="281"/>
      <c r="L803" s="281"/>
      <c r="M803" s="281"/>
      <c r="N803" s="281">
        <f t="shared" si="16"/>
        <v>0</v>
      </c>
      <c r="O803" s="281" t="s">
        <v>3043</v>
      </c>
      <c r="P803" s="281" t="s">
        <v>3043</v>
      </c>
      <c r="Q803" s="281">
        <v>21000</v>
      </c>
      <c r="R803" s="281">
        <v>21000</v>
      </c>
      <c r="S803" s="281">
        <v>21000</v>
      </c>
      <c r="T803" s="284"/>
      <c r="U803" s="163" t="s">
        <v>748</v>
      </c>
    </row>
    <row r="804" spans="1:21" s="163" customFormat="1">
      <c r="A804" s="281" t="s">
        <v>3139</v>
      </c>
      <c r="B804" s="281"/>
      <c r="C804" s="281" t="s">
        <v>1013</v>
      </c>
      <c r="D804" s="281">
        <v>2</v>
      </c>
      <c r="E804" s="281" t="s">
        <v>1283</v>
      </c>
      <c r="F804" s="281" t="s">
        <v>3139</v>
      </c>
      <c r="G804" s="284"/>
      <c r="H804" s="284"/>
      <c r="I804" s="284"/>
      <c r="J804" s="281"/>
      <c r="K804" s="281"/>
      <c r="L804" s="281"/>
      <c r="M804" s="281"/>
      <c r="N804" s="281">
        <f t="shared" si="16"/>
        <v>0</v>
      </c>
      <c r="O804" s="281" t="s">
        <v>3139</v>
      </c>
      <c r="P804" s="281" t="s">
        <v>3139</v>
      </c>
      <c r="Q804" s="281">
        <v>105000</v>
      </c>
      <c r="R804" s="281">
        <v>105000</v>
      </c>
      <c r="S804" s="281">
        <v>105000</v>
      </c>
      <c r="T804" s="284"/>
      <c r="U804" s="163" t="s">
        <v>746</v>
      </c>
    </row>
    <row r="805" spans="1:21" s="163" customFormat="1">
      <c r="A805" s="281" t="s">
        <v>756</v>
      </c>
      <c r="B805" s="281"/>
      <c r="C805" s="281" t="s">
        <v>1016</v>
      </c>
      <c r="D805" s="281">
        <v>2</v>
      </c>
      <c r="E805" s="281" t="s">
        <v>1283</v>
      </c>
      <c r="F805" s="281" t="s">
        <v>756</v>
      </c>
      <c r="G805" s="284"/>
      <c r="H805" s="284"/>
      <c r="I805" s="284"/>
      <c r="J805" s="281"/>
      <c r="K805" s="281"/>
      <c r="L805" s="281"/>
      <c r="M805" s="281"/>
      <c r="N805" s="281">
        <f t="shared" si="16"/>
        <v>0</v>
      </c>
      <c r="O805" s="281" t="s">
        <v>756</v>
      </c>
      <c r="P805" s="281" t="s">
        <v>756</v>
      </c>
      <c r="Q805" s="281">
        <v>105000</v>
      </c>
      <c r="R805" s="281">
        <v>105000</v>
      </c>
      <c r="S805" s="281">
        <v>105000</v>
      </c>
      <c r="T805" s="284"/>
      <c r="U805" s="163" t="s">
        <v>746</v>
      </c>
    </row>
    <row r="806" spans="1:21">
      <c r="A806" s="165" t="s">
        <v>3322</v>
      </c>
      <c r="B806" s="94">
        <v>878</v>
      </c>
      <c r="C806" s="165" t="s">
        <v>2691</v>
      </c>
      <c r="D806" s="165">
        <v>1</v>
      </c>
      <c r="E806" s="165" t="s">
        <v>3323</v>
      </c>
      <c r="F806" s="165" t="s">
        <v>708</v>
      </c>
      <c r="G806" s="165">
        <v>14175</v>
      </c>
      <c r="H806" s="165"/>
      <c r="I806" s="165"/>
      <c r="J806" s="165">
        <v>14175</v>
      </c>
      <c r="K806" s="165"/>
      <c r="L806" s="165"/>
      <c r="M806" s="165"/>
      <c r="N806" s="165">
        <f t="shared" si="16"/>
        <v>0</v>
      </c>
      <c r="O806" s="165" t="s">
        <v>3171</v>
      </c>
      <c r="P806" s="165" t="s">
        <v>3172</v>
      </c>
      <c r="Q806" s="3">
        <v>14175</v>
      </c>
      <c r="R806">
        <v>14175</v>
      </c>
    </row>
    <row r="807" spans="1:21">
      <c r="A807" s="165" t="s">
        <v>3322</v>
      </c>
      <c r="B807" s="94">
        <v>879</v>
      </c>
      <c r="C807" s="165" t="s">
        <v>2691</v>
      </c>
      <c r="D807" s="165">
        <v>2</v>
      </c>
      <c r="E807" s="165" t="s">
        <v>3324</v>
      </c>
      <c r="F807" s="165" t="s">
        <v>659</v>
      </c>
      <c r="G807" s="165">
        <v>14175</v>
      </c>
      <c r="H807" s="165"/>
      <c r="I807" s="165"/>
      <c r="J807" s="165"/>
      <c r="K807" s="165">
        <v>14175</v>
      </c>
      <c r="L807" s="165"/>
      <c r="M807" s="165"/>
      <c r="N807" s="165">
        <f t="shared" si="16"/>
        <v>0</v>
      </c>
      <c r="O807" s="165" t="s">
        <v>3934</v>
      </c>
      <c r="P807" s="165" t="s">
        <v>3935</v>
      </c>
      <c r="Q807" s="3">
        <v>14175</v>
      </c>
      <c r="R807" s="281">
        <v>14175</v>
      </c>
    </row>
    <row r="808" spans="1:21">
      <c r="A808" s="165" t="s">
        <v>3322</v>
      </c>
      <c r="B808" s="94">
        <v>880</v>
      </c>
      <c r="C808" s="165" t="s">
        <v>2691</v>
      </c>
      <c r="D808" s="165">
        <v>3</v>
      </c>
      <c r="E808" s="165" t="s">
        <v>3325</v>
      </c>
      <c r="F808" s="165" t="s">
        <v>711</v>
      </c>
      <c r="G808" s="165">
        <v>14175</v>
      </c>
      <c r="H808" s="165"/>
      <c r="I808" s="165"/>
      <c r="J808" s="165"/>
      <c r="K808" s="165">
        <v>14175</v>
      </c>
      <c r="L808" s="165"/>
      <c r="M808" s="165"/>
      <c r="N808" s="165">
        <f t="shared" si="16"/>
        <v>0</v>
      </c>
      <c r="O808" s="165" t="s">
        <v>3946</v>
      </c>
      <c r="P808" s="165" t="s">
        <v>3947</v>
      </c>
      <c r="Q808" s="3">
        <v>14175</v>
      </c>
      <c r="R808" s="281">
        <v>14175</v>
      </c>
    </row>
    <row r="809" spans="1:21">
      <c r="A809" s="165" t="s">
        <v>3322</v>
      </c>
      <c r="B809" s="94">
        <v>881</v>
      </c>
      <c r="C809" s="165" t="s">
        <v>2691</v>
      </c>
      <c r="D809" s="165">
        <v>4</v>
      </c>
      <c r="E809" s="165" t="s">
        <v>3326</v>
      </c>
      <c r="F809" s="165" t="s">
        <v>663</v>
      </c>
      <c r="G809" s="165">
        <v>14175</v>
      </c>
      <c r="H809" s="165"/>
      <c r="I809" s="165"/>
      <c r="J809" s="165"/>
      <c r="K809" s="165">
        <v>14175</v>
      </c>
      <c r="L809" s="165"/>
      <c r="M809" s="165"/>
      <c r="N809" s="165">
        <f t="shared" si="16"/>
        <v>0</v>
      </c>
      <c r="O809" s="165" t="s">
        <v>3955</v>
      </c>
      <c r="P809" s="165" t="s">
        <v>3956</v>
      </c>
      <c r="Q809" s="3">
        <v>14175</v>
      </c>
      <c r="R809" s="281">
        <v>14175</v>
      </c>
    </row>
    <row r="810" spans="1:21">
      <c r="A810" s="165" t="s">
        <v>3322</v>
      </c>
      <c r="B810" s="94">
        <v>882</v>
      </c>
      <c r="C810" s="165" t="s">
        <v>2691</v>
      </c>
      <c r="D810" s="165">
        <v>5</v>
      </c>
      <c r="E810" s="165" t="s">
        <v>3327</v>
      </c>
      <c r="F810" s="165" t="s">
        <v>3219</v>
      </c>
      <c r="G810" s="165">
        <v>14175</v>
      </c>
      <c r="H810" s="165"/>
      <c r="I810" s="165"/>
      <c r="J810" s="165"/>
      <c r="K810" s="165">
        <v>14175</v>
      </c>
      <c r="L810" s="165"/>
      <c r="M810" s="165"/>
      <c r="N810" s="165">
        <f t="shared" si="16"/>
        <v>0</v>
      </c>
      <c r="O810" s="165" t="s">
        <v>3957</v>
      </c>
      <c r="P810" s="165" t="s">
        <v>3958</v>
      </c>
      <c r="Q810" s="3">
        <v>14175</v>
      </c>
      <c r="R810" s="281">
        <v>14175</v>
      </c>
    </row>
    <row r="811" spans="1:21">
      <c r="A811" s="165" t="s">
        <v>3322</v>
      </c>
      <c r="B811" s="94">
        <v>883</v>
      </c>
      <c r="C811" s="165" t="s">
        <v>2691</v>
      </c>
      <c r="D811" s="165">
        <v>6</v>
      </c>
      <c r="E811" s="165" t="s">
        <v>3328</v>
      </c>
      <c r="F811" s="165" t="s">
        <v>3221</v>
      </c>
      <c r="G811" s="165">
        <v>14175</v>
      </c>
      <c r="H811" s="165"/>
      <c r="I811" s="165"/>
      <c r="J811" s="165"/>
      <c r="K811" s="165"/>
      <c r="L811" s="165">
        <v>14175</v>
      </c>
      <c r="M811" s="165"/>
      <c r="N811" s="165">
        <f>G811+H811+I811-J811-K811-L811</f>
        <v>0</v>
      </c>
      <c r="O811" s="165" t="s">
        <v>4434</v>
      </c>
      <c r="P811" s="165" t="s">
        <v>4102</v>
      </c>
      <c r="Q811" s="3">
        <v>14175</v>
      </c>
      <c r="R811" s="281">
        <v>14175</v>
      </c>
    </row>
    <row r="812" spans="1:21">
      <c r="A812" s="165" t="s">
        <v>3322</v>
      </c>
      <c r="B812" s="94">
        <v>884</v>
      </c>
      <c r="C812" s="165" t="s">
        <v>2691</v>
      </c>
      <c r="D812" s="165">
        <v>7</v>
      </c>
      <c r="E812" s="165" t="s">
        <v>3329</v>
      </c>
      <c r="F812" s="165" t="s">
        <v>3330</v>
      </c>
      <c r="G812" s="165">
        <v>14175</v>
      </c>
      <c r="H812" s="165"/>
      <c r="I812" s="165"/>
      <c r="J812" s="165"/>
      <c r="K812" s="165"/>
      <c r="L812" s="165">
        <v>14175</v>
      </c>
      <c r="M812" s="165"/>
      <c r="N812" s="165">
        <f>G812+H812+I812-J812-K812-L812</f>
        <v>0</v>
      </c>
      <c r="O812" s="165" t="s">
        <v>4767</v>
      </c>
      <c r="P812" s="165" t="s">
        <v>4782</v>
      </c>
      <c r="Q812" s="3">
        <v>14175</v>
      </c>
      <c r="R812" s="281">
        <v>14175</v>
      </c>
    </row>
    <row r="813" spans="1:21">
      <c r="A813" s="165" t="s">
        <v>3322</v>
      </c>
      <c r="B813" s="94">
        <v>885</v>
      </c>
      <c r="C813" s="165" t="s">
        <v>2691</v>
      </c>
      <c r="D813" s="165">
        <v>8</v>
      </c>
      <c r="E813" s="165" t="s">
        <v>3331</v>
      </c>
      <c r="F813" s="165" t="s">
        <v>3332</v>
      </c>
      <c r="G813" s="165">
        <v>14175</v>
      </c>
      <c r="H813" s="165"/>
      <c r="I813" s="165"/>
      <c r="J813" s="165"/>
      <c r="K813" s="165"/>
      <c r="L813" s="165">
        <v>14175</v>
      </c>
      <c r="M813" s="165"/>
      <c r="N813" s="165">
        <f>G813+H813+I813-J813-K813-L813</f>
        <v>0</v>
      </c>
      <c r="O813" s="165" t="s">
        <v>4715</v>
      </c>
      <c r="P813" s="165" t="s">
        <v>4786</v>
      </c>
      <c r="Q813" s="3">
        <v>14175</v>
      </c>
      <c r="R813" s="281">
        <v>14175</v>
      </c>
    </row>
    <row r="814" spans="1:21">
      <c r="A814" s="165" t="s">
        <v>3333</v>
      </c>
      <c r="B814" s="94">
        <v>886</v>
      </c>
      <c r="C814" s="165" t="s">
        <v>1270</v>
      </c>
      <c r="D814" s="165">
        <v>1</v>
      </c>
      <c r="E814" s="165" t="s">
        <v>3334</v>
      </c>
      <c r="F814" s="165" t="s">
        <v>3199</v>
      </c>
      <c r="G814" s="165">
        <v>20475</v>
      </c>
      <c r="H814" s="165"/>
      <c r="I814" s="165"/>
      <c r="J814" s="165">
        <v>20475</v>
      </c>
      <c r="K814" s="165"/>
      <c r="L814" s="165"/>
      <c r="M814" s="165"/>
      <c r="N814" s="165">
        <f t="shared" si="16"/>
        <v>0</v>
      </c>
      <c r="O814" s="165" t="s">
        <v>3171</v>
      </c>
      <c r="P814" s="165" t="s">
        <v>3172</v>
      </c>
      <c r="Q814" s="3">
        <v>20475</v>
      </c>
      <c r="R814">
        <v>20475</v>
      </c>
    </row>
    <row r="815" spans="1:21">
      <c r="A815" s="165" t="s">
        <v>3333</v>
      </c>
      <c r="B815" s="94">
        <v>887</v>
      </c>
      <c r="C815" s="165" t="s">
        <v>1270</v>
      </c>
      <c r="D815" s="165">
        <v>2</v>
      </c>
      <c r="E815" s="165" t="s">
        <v>3335</v>
      </c>
      <c r="F815" s="165" t="s">
        <v>3201</v>
      </c>
      <c r="G815" s="165">
        <v>20475</v>
      </c>
      <c r="H815" s="165"/>
      <c r="I815" s="165"/>
      <c r="J815" s="165"/>
      <c r="K815" s="165">
        <v>20475</v>
      </c>
      <c r="L815" s="165"/>
      <c r="M815" s="165"/>
      <c r="N815" s="165">
        <f t="shared" si="16"/>
        <v>0</v>
      </c>
      <c r="O815" s="165" t="s">
        <v>3936</v>
      </c>
      <c r="P815" s="165" t="s">
        <v>3937</v>
      </c>
      <c r="Q815" s="3">
        <v>20475</v>
      </c>
      <c r="R815">
        <v>20475</v>
      </c>
    </row>
    <row r="816" spans="1:21">
      <c r="A816" s="165" t="s">
        <v>3333</v>
      </c>
      <c r="B816" s="94">
        <v>888</v>
      </c>
      <c r="C816" s="165" t="s">
        <v>1270</v>
      </c>
      <c r="D816" s="165">
        <v>3</v>
      </c>
      <c r="E816" s="165" t="s">
        <v>3336</v>
      </c>
      <c r="F816" s="165" t="s">
        <v>3203</v>
      </c>
      <c r="G816" s="165">
        <v>20475</v>
      </c>
      <c r="H816" s="165"/>
      <c r="I816" s="165"/>
      <c r="J816" s="165"/>
      <c r="K816" s="165">
        <v>20475</v>
      </c>
      <c r="L816" s="165"/>
      <c r="M816" s="165"/>
      <c r="N816" s="165">
        <f t="shared" si="16"/>
        <v>0</v>
      </c>
      <c r="O816" s="165" t="s">
        <v>3969</v>
      </c>
      <c r="P816" s="165" t="s">
        <v>3960</v>
      </c>
      <c r="Q816" s="3">
        <v>20475</v>
      </c>
      <c r="R816">
        <v>20475</v>
      </c>
    </row>
    <row r="817" spans="1:21">
      <c r="A817" s="165" t="s">
        <v>3333</v>
      </c>
      <c r="B817" s="94">
        <v>889</v>
      </c>
      <c r="C817" s="165" t="s">
        <v>1270</v>
      </c>
      <c r="D817" s="165">
        <v>4</v>
      </c>
      <c r="E817" s="165" t="s">
        <v>3337</v>
      </c>
      <c r="F817" s="165" t="s">
        <v>3205</v>
      </c>
      <c r="G817" s="165">
        <v>20475</v>
      </c>
      <c r="H817" s="165"/>
      <c r="I817" s="165"/>
      <c r="J817" s="165"/>
      <c r="K817" s="165">
        <v>20475</v>
      </c>
      <c r="L817" s="165"/>
      <c r="M817" s="165"/>
      <c r="N817" s="165">
        <f t="shared" si="16"/>
        <v>0</v>
      </c>
      <c r="O817" s="165" t="s">
        <v>3970</v>
      </c>
      <c r="P817" s="165" t="s">
        <v>3971</v>
      </c>
      <c r="Q817" s="3">
        <v>20475</v>
      </c>
      <c r="R817">
        <v>20475</v>
      </c>
    </row>
    <row r="818" spans="1:21" s="163" customFormat="1">
      <c r="A818" s="281" t="s">
        <v>1042</v>
      </c>
      <c r="B818" s="281"/>
      <c r="C818" s="281" t="s">
        <v>1532</v>
      </c>
      <c r="D818" s="281">
        <v>7</v>
      </c>
      <c r="E818" s="281" t="s">
        <v>1283</v>
      </c>
      <c r="F818" s="281" t="s">
        <v>1042</v>
      </c>
      <c r="G818" s="284"/>
      <c r="H818" s="284"/>
      <c r="I818" s="284"/>
      <c r="J818" s="281"/>
      <c r="K818" s="281"/>
      <c r="L818" s="281"/>
      <c r="M818" s="281"/>
      <c r="N818" s="281">
        <f t="shared" si="16"/>
        <v>0</v>
      </c>
      <c r="O818" s="281" t="s">
        <v>1042</v>
      </c>
      <c r="P818" s="281" t="s">
        <v>1042</v>
      </c>
      <c r="Q818" s="281">
        <v>13500</v>
      </c>
      <c r="R818" s="281">
        <v>13485</v>
      </c>
      <c r="S818" s="281">
        <v>13485</v>
      </c>
      <c r="T818" s="284">
        <v>15</v>
      </c>
    </row>
    <row r="819" spans="1:21">
      <c r="A819" s="165" t="s">
        <v>3338</v>
      </c>
      <c r="B819" s="94">
        <v>890</v>
      </c>
      <c r="C819" s="165" t="s">
        <v>2688</v>
      </c>
      <c r="D819" s="165">
        <v>1</v>
      </c>
      <c r="E819" s="165" t="s">
        <v>3339</v>
      </c>
      <c r="F819" s="165" t="s">
        <v>3171</v>
      </c>
      <c r="G819" s="165">
        <v>11340</v>
      </c>
      <c r="H819" s="165"/>
      <c r="I819" s="165"/>
      <c r="J819" s="165">
        <v>11340</v>
      </c>
      <c r="K819" s="165"/>
      <c r="L819" s="165"/>
      <c r="M819" s="165"/>
      <c r="N819" s="165">
        <f t="shared" si="16"/>
        <v>0</v>
      </c>
      <c r="O819" s="165" t="s">
        <v>3171</v>
      </c>
      <c r="P819" s="165" t="s">
        <v>3172</v>
      </c>
      <c r="Q819" s="3">
        <v>11340</v>
      </c>
      <c r="R819">
        <v>11340</v>
      </c>
    </row>
    <row r="820" spans="1:21">
      <c r="A820" s="165" t="s">
        <v>3338</v>
      </c>
      <c r="B820" s="94">
        <v>891</v>
      </c>
      <c r="C820" s="165" t="s">
        <v>2688</v>
      </c>
      <c r="D820" s="165">
        <v>2</v>
      </c>
      <c r="E820" s="165" t="s">
        <v>3340</v>
      </c>
      <c r="F820" s="165" t="s">
        <v>3341</v>
      </c>
      <c r="G820" s="165">
        <v>11340</v>
      </c>
      <c r="H820" s="165"/>
      <c r="I820" s="165"/>
      <c r="J820" s="165"/>
      <c r="K820" s="165">
        <v>11340</v>
      </c>
      <c r="L820" s="165"/>
      <c r="M820" s="165"/>
      <c r="N820" s="165">
        <f t="shared" si="16"/>
        <v>0</v>
      </c>
      <c r="O820" s="165" t="s">
        <v>3936</v>
      </c>
      <c r="P820" s="165" t="s">
        <v>3937</v>
      </c>
      <c r="Q820" s="3">
        <v>11340</v>
      </c>
      <c r="R820">
        <v>11340</v>
      </c>
    </row>
    <row r="821" spans="1:21">
      <c r="A821" s="165" t="s">
        <v>3338</v>
      </c>
      <c r="B821" s="94">
        <v>892</v>
      </c>
      <c r="C821" s="165" t="s">
        <v>2688</v>
      </c>
      <c r="D821" s="165">
        <v>3</v>
      </c>
      <c r="E821" s="165" t="s">
        <v>3342</v>
      </c>
      <c r="F821" s="165" t="s">
        <v>3343</v>
      </c>
      <c r="G821" s="165">
        <v>11340</v>
      </c>
      <c r="H821" s="165"/>
      <c r="I821" s="165"/>
      <c r="J821" s="165"/>
      <c r="K821" s="165">
        <v>11340</v>
      </c>
      <c r="L821" s="165"/>
      <c r="M821" s="165"/>
      <c r="N821" s="165">
        <f t="shared" si="16"/>
        <v>0</v>
      </c>
      <c r="O821" s="165" t="s">
        <v>3952</v>
      </c>
      <c r="P821" s="165" t="s">
        <v>3953</v>
      </c>
      <c r="Q821" s="3">
        <v>11340</v>
      </c>
      <c r="R821">
        <v>11340</v>
      </c>
    </row>
    <row r="822" spans="1:21">
      <c r="A822" s="165" t="s">
        <v>3338</v>
      </c>
      <c r="B822" s="94">
        <v>893</v>
      </c>
      <c r="C822" s="165" t="s">
        <v>2688</v>
      </c>
      <c r="D822" s="165">
        <v>4</v>
      </c>
      <c r="E822" s="165" t="s">
        <v>3344</v>
      </c>
      <c r="F822" s="165" t="s">
        <v>3345</v>
      </c>
      <c r="G822" s="165">
        <v>11340</v>
      </c>
      <c r="H822" s="165"/>
      <c r="I822" s="165"/>
      <c r="J822" s="165"/>
      <c r="K822" s="165">
        <v>11340</v>
      </c>
      <c r="L822" s="165"/>
      <c r="M822" s="165"/>
      <c r="N822" s="165">
        <f t="shared" si="16"/>
        <v>0</v>
      </c>
      <c r="O822" s="165" t="s">
        <v>3986</v>
      </c>
      <c r="P822" s="165" t="s">
        <v>3987</v>
      </c>
      <c r="Q822" s="3">
        <v>11340</v>
      </c>
      <c r="R822">
        <v>11340</v>
      </c>
    </row>
    <row r="823" spans="1:21">
      <c r="A823" s="165" t="s">
        <v>3338</v>
      </c>
      <c r="B823" s="94">
        <v>894</v>
      </c>
      <c r="C823" s="165" t="s">
        <v>2688</v>
      </c>
      <c r="D823" s="165">
        <v>5</v>
      </c>
      <c r="E823" s="165" t="s">
        <v>3346</v>
      </c>
      <c r="F823" s="165" t="s">
        <v>3347</v>
      </c>
      <c r="G823" s="165">
        <v>11340</v>
      </c>
      <c r="H823" s="165"/>
      <c r="I823" s="165"/>
      <c r="J823" s="165"/>
      <c r="K823" s="165">
        <v>11340</v>
      </c>
      <c r="L823" s="165"/>
      <c r="M823" s="165"/>
      <c r="N823" s="165">
        <f t="shared" si="16"/>
        <v>0</v>
      </c>
      <c r="O823" s="165" t="s">
        <v>3972</v>
      </c>
      <c r="P823" s="165" t="s">
        <v>3988</v>
      </c>
      <c r="Q823" s="3">
        <v>11340</v>
      </c>
      <c r="R823">
        <v>11340</v>
      </c>
    </row>
    <row r="824" spans="1:21">
      <c r="A824" s="165" t="s">
        <v>3338</v>
      </c>
      <c r="B824" s="94">
        <v>895</v>
      </c>
      <c r="C824" s="165" t="s">
        <v>2688</v>
      </c>
      <c r="D824" s="165">
        <v>6</v>
      </c>
      <c r="E824" s="165" t="s">
        <v>3348</v>
      </c>
      <c r="F824" s="165" t="s">
        <v>3349</v>
      </c>
      <c r="G824" s="165">
        <v>11340</v>
      </c>
      <c r="H824" s="165"/>
      <c r="I824" s="165"/>
      <c r="J824" s="165"/>
      <c r="K824" s="165"/>
      <c r="L824" s="165">
        <v>11340</v>
      </c>
      <c r="M824" s="165"/>
      <c r="N824" s="165">
        <f>G824+H824+I824-J824-K824-L824</f>
        <v>0</v>
      </c>
      <c r="O824" s="165" t="s">
        <v>4439</v>
      </c>
      <c r="P824" s="165" t="s">
        <v>4780</v>
      </c>
      <c r="Q824" s="3">
        <v>11340</v>
      </c>
      <c r="R824">
        <v>11340</v>
      </c>
    </row>
    <row r="825" spans="1:21">
      <c r="A825" s="165" t="s">
        <v>3338</v>
      </c>
      <c r="B825" s="94">
        <v>896</v>
      </c>
      <c r="C825" s="165" t="s">
        <v>2688</v>
      </c>
      <c r="D825" s="165">
        <v>7</v>
      </c>
      <c r="E825" s="165" t="s">
        <v>3350</v>
      </c>
      <c r="F825" s="165" t="s">
        <v>3351</v>
      </c>
      <c r="G825" s="165">
        <v>11340</v>
      </c>
      <c r="H825" s="165"/>
      <c r="I825" s="165"/>
      <c r="J825" s="165"/>
      <c r="K825" s="165"/>
      <c r="L825" s="165">
        <v>11340</v>
      </c>
      <c r="M825" s="165"/>
      <c r="N825" s="165">
        <f>G825+H825+I825-J825-K825-L825</f>
        <v>0</v>
      </c>
      <c r="O825" s="165" t="s">
        <v>4768</v>
      </c>
      <c r="P825" s="165" t="s">
        <v>4677</v>
      </c>
      <c r="Q825" s="3">
        <v>11340</v>
      </c>
      <c r="R825">
        <v>11340</v>
      </c>
    </row>
    <row r="826" spans="1:21">
      <c r="A826" s="165" t="s">
        <v>3338</v>
      </c>
      <c r="B826" s="94">
        <v>897</v>
      </c>
      <c r="C826" s="165" t="s">
        <v>2688</v>
      </c>
      <c r="D826" s="165">
        <v>8</v>
      </c>
      <c r="E826" s="165" t="s">
        <v>3352</v>
      </c>
      <c r="F826" s="165" t="s">
        <v>3353</v>
      </c>
      <c r="G826" s="165">
        <v>11340</v>
      </c>
      <c r="H826" s="165"/>
      <c r="I826" s="165"/>
      <c r="J826" s="165"/>
      <c r="K826" s="165"/>
      <c r="L826" s="165">
        <v>11340</v>
      </c>
      <c r="M826" s="165"/>
      <c r="N826" s="165">
        <f>G826+H826+I826-J826-K826-L826</f>
        <v>0</v>
      </c>
      <c r="O826" s="165" t="s">
        <v>4772</v>
      </c>
      <c r="P826" s="165" t="s">
        <v>4088</v>
      </c>
      <c r="Q826" s="3">
        <v>11340</v>
      </c>
      <c r="R826">
        <v>11340</v>
      </c>
    </row>
    <row r="827" spans="1:21" s="163" customFormat="1">
      <c r="A827" s="281" t="s">
        <v>1056</v>
      </c>
      <c r="B827" s="281"/>
      <c r="C827" s="281" t="s">
        <v>2421</v>
      </c>
      <c r="D827" s="281">
        <v>6</v>
      </c>
      <c r="E827" s="281" t="s">
        <v>1283</v>
      </c>
      <c r="F827" s="281" t="s">
        <v>1056</v>
      </c>
      <c r="G827" s="284"/>
      <c r="H827" s="284"/>
      <c r="I827" s="284"/>
      <c r="J827" s="281"/>
      <c r="K827" s="281"/>
      <c r="L827" s="281"/>
      <c r="M827" s="281"/>
      <c r="N827" s="281">
        <f t="shared" si="16"/>
        <v>0</v>
      </c>
      <c r="O827" s="281" t="s">
        <v>1056</v>
      </c>
      <c r="P827" s="281" t="s">
        <v>1056</v>
      </c>
      <c r="Q827" s="281">
        <v>13230</v>
      </c>
      <c r="R827" s="281">
        <v>13220</v>
      </c>
      <c r="S827" s="281">
        <v>13220</v>
      </c>
      <c r="T827" s="284">
        <v>10</v>
      </c>
    </row>
    <row r="828" spans="1:21">
      <c r="A828" s="165" t="s">
        <v>651</v>
      </c>
      <c r="B828" s="94">
        <v>898</v>
      </c>
      <c r="C828" s="165" t="s">
        <v>1016</v>
      </c>
      <c r="D828" s="165">
        <v>1</v>
      </c>
      <c r="E828" s="165" t="s">
        <v>3354</v>
      </c>
      <c r="F828" s="165" t="s">
        <v>3355</v>
      </c>
      <c r="G828" s="165">
        <v>113400</v>
      </c>
      <c r="H828" s="165"/>
      <c r="I828" s="165"/>
      <c r="J828" s="165">
        <v>113400</v>
      </c>
      <c r="K828" s="165"/>
      <c r="L828" s="165"/>
      <c r="M828" s="165"/>
      <c r="N828" s="165">
        <f t="shared" si="16"/>
        <v>0</v>
      </c>
      <c r="O828" s="165" t="s">
        <v>3171</v>
      </c>
      <c r="P828" s="165" t="s">
        <v>3172</v>
      </c>
      <c r="Q828" s="3">
        <v>113400</v>
      </c>
      <c r="R828">
        <v>113400</v>
      </c>
    </row>
    <row r="829" spans="1:21">
      <c r="A829" s="165" t="s">
        <v>651</v>
      </c>
      <c r="B829" s="94">
        <v>899</v>
      </c>
      <c r="C829" s="165" t="s">
        <v>1013</v>
      </c>
      <c r="D829" s="165">
        <v>1</v>
      </c>
      <c r="E829" s="165" t="s">
        <v>3356</v>
      </c>
      <c r="F829" s="165" t="s">
        <v>3357</v>
      </c>
      <c r="G829" s="165">
        <v>113400</v>
      </c>
      <c r="H829" s="165"/>
      <c r="I829" s="165"/>
      <c r="J829" s="165">
        <v>113400</v>
      </c>
      <c r="K829" s="165"/>
      <c r="L829" s="165"/>
      <c r="M829" s="165"/>
      <c r="N829" s="165">
        <f t="shared" si="16"/>
        <v>0</v>
      </c>
      <c r="O829" s="165" t="s">
        <v>3171</v>
      </c>
      <c r="P829" s="165" t="s">
        <v>3172</v>
      </c>
      <c r="Q829" s="3">
        <v>113400</v>
      </c>
      <c r="R829">
        <v>113400</v>
      </c>
    </row>
    <row r="830" spans="1:21">
      <c r="A830" s="165" t="s">
        <v>651</v>
      </c>
      <c r="B830" s="94">
        <v>900</v>
      </c>
      <c r="C830" s="165" t="s">
        <v>1016</v>
      </c>
      <c r="D830" s="165">
        <v>1</v>
      </c>
      <c r="E830" s="165" t="s">
        <v>3358</v>
      </c>
      <c r="F830" s="165" t="s">
        <v>3359</v>
      </c>
      <c r="G830" s="165">
        <v>20475</v>
      </c>
      <c r="H830" s="165"/>
      <c r="I830" s="165"/>
      <c r="J830" s="165">
        <v>20475</v>
      </c>
      <c r="K830" s="165"/>
      <c r="L830" s="165"/>
      <c r="M830" s="165"/>
      <c r="N830" s="165">
        <f t="shared" si="16"/>
        <v>0</v>
      </c>
      <c r="O830" s="165" t="s">
        <v>3171</v>
      </c>
      <c r="P830" s="165" t="s">
        <v>3172</v>
      </c>
      <c r="Q830" s="3">
        <v>20475</v>
      </c>
      <c r="R830">
        <v>20475</v>
      </c>
      <c r="U830" s="271" t="s">
        <v>2740</v>
      </c>
    </row>
    <row r="831" spans="1:21">
      <c r="A831" s="165" t="s">
        <v>651</v>
      </c>
      <c r="B831" s="94">
        <v>901</v>
      </c>
      <c r="C831" s="165" t="s">
        <v>1016</v>
      </c>
      <c r="D831" s="165">
        <v>2</v>
      </c>
      <c r="E831" s="165" t="s">
        <v>3360</v>
      </c>
      <c r="F831" s="165" t="s">
        <v>3361</v>
      </c>
      <c r="G831" s="165">
        <v>20475</v>
      </c>
      <c r="H831" s="165"/>
      <c r="I831" s="165"/>
      <c r="J831" s="165"/>
      <c r="K831" s="165">
        <v>20475</v>
      </c>
      <c r="L831" s="165"/>
      <c r="M831" s="165"/>
      <c r="N831" s="165">
        <f t="shared" si="16"/>
        <v>0</v>
      </c>
      <c r="O831" s="165" t="s">
        <v>3938</v>
      </c>
      <c r="P831" s="165" t="s">
        <v>3939</v>
      </c>
      <c r="Q831" s="3">
        <v>20475</v>
      </c>
      <c r="R831">
        <v>20475</v>
      </c>
      <c r="U831" s="271" t="s">
        <v>2740</v>
      </c>
    </row>
    <row r="832" spans="1:21">
      <c r="A832" s="165" t="s">
        <v>651</v>
      </c>
      <c r="B832" s="94">
        <v>902</v>
      </c>
      <c r="C832" s="165" t="s">
        <v>1016</v>
      </c>
      <c r="D832" s="165">
        <v>3</v>
      </c>
      <c r="E832" s="165" t="s">
        <v>3362</v>
      </c>
      <c r="F832" s="165" t="s">
        <v>3363</v>
      </c>
      <c r="G832" s="165">
        <v>20475</v>
      </c>
      <c r="H832" s="165"/>
      <c r="I832" s="165"/>
      <c r="J832" s="165"/>
      <c r="K832" s="165">
        <v>20475</v>
      </c>
      <c r="L832" s="165"/>
      <c r="M832" s="165"/>
      <c r="N832" s="165">
        <f t="shared" si="16"/>
        <v>0</v>
      </c>
      <c r="O832" s="165" t="s">
        <v>3940</v>
      </c>
      <c r="P832" s="165" t="s">
        <v>3941</v>
      </c>
      <c r="Q832" s="3">
        <v>20475</v>
      </c>
      <c r="R832">
        <v>20475</v>
      </c>
      <c r="U832" s="271" t="s">
        <v>2740</v>
      </c>
    </row>
    <row r="833" spans="1:21">
      <c r="A833" s="165" t="s">
        <v>651</v>
      </c>
      <c r="B833" s="94">
        <v>903</v>
      </c>
      <c r="C833" s="165" t="s">
        <v>1016</v>
      </c>
      <c r="D833" s="165">
        <v>4</v>
      </c>
      <c r="E833" s="165" t="s">
        <v>3364</v>
      </c>
      <c r="F833" s="165" t="s">
        <v>3365</v>
      </c>
      <c r="G833" s="165">
        <v>20475</v>
      </c>
      <c r="H833" s="165"/>
      <c r="I833" s="165"/>
      <c r="J833" s="165"/>
      <c r="K833" s="165">
        <v>20475</v>
      </c>
      <c r="L833" s="165"/>
      <c r="M833" s="165"/>
      <c r="N833" s="165">
        <f t="shared" si="16"/>
        <v>0</v>
      </c>
      <c r="O833" s="165" t="s">
        <v>3948</v>
      </c>
      <c r="P833" s="165" t="s">
        <v>3949</v>
      </c>
      <c r="Q833" s="3">
        <v>20475</v>
      </c>
      <c r="R833">
        <v>20475</v>
      </c>
      <c r="U833" s="271" t="s">
        <v>2740</v>
      </c>
    </row>
    <row r="834" spans="1:21">
      <c r="A834" s="165" t="s">
        <v>651</v>
      </c>
      <c r="B834" s="94">
        <v>904</v>
      </c>
      <c r="C834" s="165" t="s">
        <v>1016</v>
      </c>
      <c r="D834" s="165">
        <v>5</v>
      </c>
      <c r="E834" s="165" t="s">
        <v>3366</v>
      </c>
      <c r="F834" s="165" t="s">
        <v>3367</v>
      </c>
      <c r="G834" s="165">
        <v>20475</v>
      </c>
      <c r="H834" s="165"/>
      <c r="I834" s="165"/>
      <c r="J834" s="165"/>
      <c r="K834" s="165">
        <v>20475</v>
      </c>
      <c r="L834" s="165"/>
      <c r="M834" s="165"/>
      <c r="N834" s="165">
        <f t="shared" si="16"/>
        <v>0</v>
      </c>
      <c r="O834" s="165" t="s">
        <v>3967</v>
      </c>
      <c r="P834" s="165" t="s">
        <v>3968</v>
      </c>
      <c r="Q834" s="3">
        <v>20475</v>
      </c>
      <c r="R834">
        <v>20475</v>
      </c>
      <c r="U834" s="271" t="s">
        <v>2740</v>
      </c>
    </row>
    <row r="835" spans="1:21">
      <c r="A835" s="165" t="s">
        <v>651</v>
      </c>
      <c r="B835" s="94">
        <v>905</v>
      </c>
      <c r="C835" s="165" t="s">
        <v>1016</v>
      </c>
      <c r="D835" s="165">
        <v>6</v>
      </c>
      <c r="E835" s="165" t="s">
        <v>3368</v>
      </c>
      <c r="F835" s="165" t="s">
        <v>3369</v>
      </c>
      <c r="G835" s="565">
        <v>20475</v>
      </c>
      <c r="H835" s="165"/>
      <c r="I835" s="165"/>
      <c r="J835" s="165"/>
      <c r="K835" s="165"/>
      <c r="L835" s="165">
        <v>20475</v>
      </c>
      <c r="M835" s="165"/>
      <c r="N835" s="165">
        <f>G835+H835+I835-J835-K835-L835</f>
        <v>0</v>
      </c>
      <c r="O835" s="165" t="s">
        <v>4433</v>
      </c>
      <c r="P835" s="165" t="s">
        <v>4779</v>
      </c>
      <c r="Q835" s="3">
        <v>20475</v>
      </c>
      <c r="R835">
        <v>20475</v>
      </c>
      <c r="U835" s="271" t="s">
        <v>2740</v>
      </c>
    </row>
    <row r="836" spans="1:21">
      <c r="A836" s="165" t="s">
        <v>651</v>
      </c>
      <c r="B836" s="94">
        <v>906</v>
      </c>
      <c r="C836" s="165" t="s">
        <v>1016</v>
      </c>
      <c r="D836" s="165">
        <v>7</v>
      </c>
      <c r="E836" s="165" t="s">
        <v>3370</v>
      </c>
      <c r="F836" s="165" t="s">
        <v>3371</v>
      </c>
      <c r="G836" s="565">
        <v>20475</v>
      </c>
      <c r="H836" s="165"/>
      <c r="I836" s="165"/>
      <c r="J836" s="165"/>
      <c r="K836" s="165"/>
      <c r="L836" s="165">
        <v>20475</v>
      </c>
      <c r="M836" s="165"/>
      <c r="N836" s="165">
        <f>G836+H836+I836-J836-K836-L836</f>
        <v>0</v>
      </c>
      <c r="O836" s="165" t="s">
        <v>4588</v>
      </c>
      <c r="P836" s="165" t="s">
        <v>4781</v>
      </c>
      <c r="Q836" s="3">
        <v>20475</v>
      </c>
      <c r="R836">
        <v>20475</v>
      </c>
      <c r="U836" s="271" t="s">
        <v>2740</v>
      </c>
    </row>
    <row r="837" spans="1:21">
      <c r="A837" s="165" t="s">
        <v>651</v>
      </c>
      <c r="B837" s="94">
        <v>907</v>
      </c>
      <c r="C837" s="165" t="s">
        <v>1016</v>
      </c>
      <c r="D837" s="165">
        <v>8</v>
      </c>
      <c r="E837" s="165" t="s">
        <v>3372</v>
      </c>
      <c r="F837" s="165" t="s">
        <v>3373</v>
      </c>
      <c r="G837" s="565">
        <v>20475</v>
      </c>
      <c r="H837" s="165"/>
      <c r="I837" s="165"/>
      <c r="J837" s="165"/>
      <c r="K837" s="165"/>
      <c r="L837" s="165">
        <v>20475</v>
      </c>
      <c r="M837" s="165"/>
      <c r="N837" s="165">
        <f>G837+H837+I837-J837-K837-L837</f>
        <v>0</v>
      </c>
      <c r="O837" s="165" t="s">
        <v>4770</v>
      </c>
      <c r="P837" s="165" t="s">
        <v>4680</v>
      </c>
      <c r="Q837" s="3">
        <v>20475</v>
      </c>
      <c r="R837">
        <v>20475</v>
      </c>
      <c r="U837" s="271" t="s">
        <v>2740</v>
      </c>
    </row>
    <row r="838" spans="1:21">
      <c r="A838" s="165" t="s">
        <v>651</v>
      </c>
      <c r="B838" s="94">
        <v>908</v>
      </c>
      <c r="C838" s="165" t="s">
        <v>1013</v>
      </c>
      <c r="D838" s="165">
        <v>1</v>
      </c>
      <c r="E838" s="165" t="s">
        <v>3374</v>
      </c>
      <c r="F838" s="165" t="s">
        <v>3359</v>
      </c>
      <c r="G838" s="165">
        <v>20475</v>
      </c>
      <c r="H838" s="165"/>
      <c r="I838" s="165"/>
      <c r="J838" s="165">
        <v>20475</v>
      </c>
      <c r="K838" s="165"/>
      <c r="L838" s="165"/>
      <c r="M838" s="165"/>
      <c r="N838" s="165">
        <f t="shared" si="16"/>
        <v>0</v>
      </c>
      <c r="O838" s="165" t="s">
        <v>3171</v>
      </c>
      <c r="P838" s="165" t="s">
        <v>3172</v>
      </c>
      <c r="Q838" s="3">
        <v>20475</v>
      </c>
      <c r="R838">
        <v>20475</v>
      </c>
      <c r="U838" s="271" t="s">
        <v>2740</v>
      </c>
    </row>
    <row r="839" spans="1:21">
      <c r="A839" s="165" t="s">
        <v>651</v>
      </c>
      <c r="B839" s="94">
        <v>909</v>
      </c>
      <c r="C839" s="165" t="s">
        <v>1013</v>
      </c>
      <c r="D839" s="165">
        <v>2</v>
      </c>
      <c r="E839" s="165" t="s">
        <v>3375</v>
      </c>
      <c r="F839" s="165" t="s">
        <v>3361</v>
      </c>
      <c r="G839" s="165">
        <v>20475</v>
      </c>
      <c r="H839" s="165"/>
      <c r="I839" s="165"/>
      <c r="J839" s="165"/>
      <c r="K839" s="165">
        <v>20475</v>
      </c>
      <c r="L839" s="165"/>
      <c r="M839" s="165"/>
      <c r="N839" s="165">
        <f t="shared" si="16"/>
        <v>0</v>
      </c>
      <c r="O839" s="165" t="s">
        <v>3938</v>
      </c>
      <c r="P839" s="165" t="s">
        <v>3939</v>
      </c>
      <c r="Q839" s="3">
        <v>20475</v>
      </c>
      <c r="R839">
        <v>20475</v>
      </c>
      <c r="U839" s="271" t="s">
        <v>2740</v>
      </c>
    </row>
    <row r="840" spans="1:21">
      <c r="A840" s="165" t="s">
        <v>651</v>
      </c>
      <c r="B840" s="94">
        <v>910</v>
      </c>
      <c r="C840" s="165" t="s">
        <v>1013</v>
      </c>
      <c r="D840" s="165">
        <v>3</v>
      </c>
      <c r="E840" s="165" t="s">
        <v>3376</v>
      </c>
      <c r="F840" s="165" t="s">
        <v>3363</v>
      </c>
      <c r="G840" s="165">
        <v>20475</v>
      </c>
      <c r="H840" s="165"/>
      <c r="I840" s="165"/>
      <c r="J840" s="165"/>
      <c r="K840" s="165">
        <v>20475</v>
      </c>
      <c r="L840" s="165"/>
      <c r="M840" s="165"/>
      <c r="N840" s="165">
        <f t="shared" si="16"/>
        <v>0</v>
      </c>
      <c r="O840" s="165" t="s">
        <v>3940</v>
      </c>
      <c r="P840" s="165" t="s">
        <v>3941</v>
      </c>
      <c r="Q840" s="3">
        <v>20475</v>
      </c>
      <c r="R840">
        <v>20475</v>
      </c>
      <c r="U840" s="271" t="s">
        <v>2740</v>
      </c>
    </row>
    <row r="841" spans="1:21">
      <c r="A841" s="165" t="s">
        <v>651</v>
      </c>
      <c r="B841" s="94">
        <v>911</v>
      </c>
      <c r="C841" s="165" t="s">
        <v>1013</v>
      </c>
      <c r="D841" s="165">
        <v>4</v>
      </c>
      <c r="E841" s="165" t="s">
        <v>3377</v>
      </c>
      <c r="F841" s="165" t="s">
        <v>3365</v>
      </c>
      <c r="G841" s="165">
        <v>20475</v>
      </c>
      <c r="H841" s="165"/>
      <c r="I841" s="165"/>
      <c r="J841" s="165"/>
      <c r="K841" s="165">
        <v>20475</v>
      </c>
      <c r="L841" s="165"/>
      <c r="M841" s="165"/>
      <c r="N841" s="165">
        <f t="shared" si="16"/>
        <v>0</v>
      </c>
      <c r="O841" s="165" t="s">
        <v>3948</v>
      </c>
      <c r="P841" s="165" t="s">
        <v>3949</v>
      </c>
      <c r="Q841" s="3">
        <v>20475</v>
      </c>
      <c r="R841">
        <v>20475</v>
      </c>
      <c r="U841" s="271" t="s">
        <v>2740</v>
      </c>
    </row>
    <row r="842" spans="1:21">
      <c r="A842" s="165" t="s">
        <v>651</v>
      </c>
      <c r="B842" s="94">
        <v>912</v>
      </c>
      <c r="C842" s="165" t="s">
        <v>1013</v>
      </c>
      <c r="D842" s="165">
        <v>5</v>
      </c>
      <c r="E842" s="165" t="s">
        <v>3378</v>
      </c>
      <c r="F842" s="165" t="s">
        <v>3367</v>
      </c>
      <c r="G842" s="165">
        <v>20475</v>
      </c>
      <c r="H842" s="165"/>
      <c r="I842" s="165"/>
      <c r="J842" s="165"/>
      <c r="K842" s="165">
        <v>20475</v>
      </c>
      <c r="L842" s="165"/>
      <c r="M842" s="165"/>
      <c r="N842" s="165">
        <f t="shared" si="16"/>
        <v>0</v>
      </c>
      <c r="O842" s="165" t="s">
        <v>3967</v>
      </c>
      <c r="P842" s="165" t="s">
        <v>3968</v>
      </c>
      <c r="Q842" s="3">
        <v>20475</v>
      </c>
      <c r="R842">
        <v>20475</v>
      </c>
      <c r="U842" s="271" t="s">
        <v>2740</v>
      </c>
    </row>
    <row r="843" spans="1:21">
      <c r="A843" s="165" t="s">
        <v>651</v>
      </c>
      <c r="B843" s="94">
        <v>913</v>
      </c>
      <c r="C843" s="165" t="s">
        <v>1013</v>
      </c>
      <c r="D843" s="165">
        <v>6</v>
      </c>
      <c r="E843" s="165" t="s">
        <v>3379</v>
      </c>
      <c r="F843" s="165" t="s">
        <v>3369</v>
      </c>
      <c r="G843" s="565">
        <v>20475</v>
      </c>
      <c r="H843" s="165"/>
      <c r="I843" s="165"/>
      <c r="J843" s="165"/>
      <c r="K843" s="165"/>
      <c r="L843" s="165">
        <v>20475</v>
      </c>
      <c r="M843" s="165"/>
      <c r="N843" s="165">
        <f>G843+H843+I843-J843-K843-L843</f>
        <v>0</v>
      </c>
      <c r="O843" s="165" t="s">
        <v>4433</v>
      </c>
      <c r="P843" s="165" t="s">
        <v>4779</v>
      </c>
      <c r="Q843" s="3">
        <v>20475</v>
      </c>
      <c r="R843">
        <v>20475</v>
      </c>
      <c r="U843" s="271" t="s">
        <v>2740</v>
      </c>
    </row>
    <row r="844" spans="1:21">
      <c r="A844" s="165" t="s">
        <v>651</v>
      </c>
      <c r="B844" s="94">
        <v>914</v>
      </c>
      <c r="C844" s="165" t="s">
        <v>1013</v>
      </c>
      <c r="D844" s="165">
        <v>7</v>
      </c>
      <c r="E844" s="165" t="s">
        <v>3380</v>
      </c>
      <c r="F844" s="165" t="s">
        <v>3371</v>
      </c>
      <c r="G844" s="565">
        <v>20475</v>
      </c>
      <c r="H844" s="165"/>
      <c r="I844" s="165"/>
      <c r="J844" s="165"/>
      <c r="K844" s="165"/>
      <c r="L844" s="165">
        <v>20475</v>
      </c>
      <c r="M844" s="165"/>
      <c r="N844" s="165">
        <f>G844+H844+I844-J844-K844-L844</f>
        <v>0</v>
      </c>
      <c r="O844" s="165" t="s">
        <v>4588</v>
      </c>
      <c r="P844" s="165" t="s">
        <v>4781</v>
      </c>
      <c r="Q844" s="3">
        <v>20475</v>
      </c>
      <c r="R844">
        <v>20475</v>
      </c>
      <c r="U844" s="271" t="s">
        <v>2740</v>
      </c>
    </row>
    <row r="845" spans="1:21">
      <c r="A845" s="165" t="s">
        <v>651</v>
      </c>
      <c r="B845" s="94">
        <v>915</v>
      </c>
      <c r="C845" s="165" t="s">
        <v>1013</v>
      </c>
      <c r="D845" s="165">
        <v>8</v>
      </c>
      <c r="E845" s="165" t="s">
        <v>3381</v>
      </c>
      <c r="F845" s="165" t="s">
        <v>3373</v>
      </c>
      <c r="G845" s="565">
        <v>20475</v>
      </c>
      <c r="H845" s="165"/>
      <c r="I845" s="165"/>
      <c r="J845" s="165"/>
      <c r="K845" s="165"/>
      <c r="L845" s="165">
        <v>20475</v>
      </c>
      <c r="M845" s="165"/>
      <c r="N845" s="165">
        <f>G845+H845+I845-J845-K845-L845</f>
        <v>0</v>
      </c>
      <c r="O845" s="165" t="s">
        <v>4770</v>
      </c>
      <c r="P845" s="165" t="s">
        <v>4784</v>
      </c>
      <c r="Q845" s="3">
        <v>20475</v>
      </c>
      <c r="R845">
        <v>20475</v>
      </c>
      <c r="U845" s="271" t="s">
        <v>2740</v>
      </c>
    </row>
    <row r="846" spans="1:21">
      <c r="A846" s="165" t="s">
        <v>651</v>
      </c>
      <c r="B846" s="94">
        <v>916</v>
      </c>
      <c r="C846" s="165" t="s">
        <v>1016</v>
      </c>
      <c r="D846" s="165">
        <v>1</v>
      </c>
      <c r="E846" s="165" t="s">
        <v>3382</v>
      </c>
      <c r="F846" s="165" t="s">
        <v>3359</v>
      </c>
      <c r="G846" s="165">
        <v>16380</v>
      </c>
      <c r="H846" s="165"/>
      <c r="I846" s="165"/>
      <c r="J846" s="165">
        <v>16380</v>
      </c>
      <c r="K846" s="165"/>
      <c r="L846" s="165"/>
      <c r="M846" s="165"/>
      <c r="N846" s="165">
        <f t="shared" si="16"/>
        <v>0</v>
      </c>
      <c r="O846" s="165" t="s">
        <v>3171</v>
      </c>
      <c r="P846" s="165" t="s">
        <v>3172</v>
      </c>
      <c r="Q846" s="3">
        <v>16380</v>
      </c>
      <c r="R846">
        <v>16380</v>
      </c>
      <c r="U846" s="271" t="s">
        <v>2740</v>
      </c>
    </row>
    <row r="847" spans="1:21">
      <c r="A847" s="165" t="s">
        <v>651</v>
      </c>
      <c r="B847" s="94">
        <v>917</v>
      </c>
      <c r="C847" s="165" t="s">
        <v>1016</v>
      </c>
      <c r="D847" s="165">
        <v>2</v>
      </c>
      <c r="E847" s="165" t="s">
        <v>3383</v>
      </c>
      <c r="F847" s="165" t="s">
        <v>3384</v>
      </c>
      <c r="G847" s="165">
        <v>16380</v>
      </c>
      <c r="H847" s="165"/>
      <c r="I847" s="165"/>
      <c r="J847" s="165"/>
      <c r="K847" s="165">
        <v>16380</v>
      </c>
      <c r="L847" s="165"/>
      <c r="M847" s="165"/>
      <c r="N847" s="165">
        <f t="shared" si="16"/>
        <v>0</v>
      </c>
      <c r="O847" s="165" t="s">
        <v>3934</v>
      </c>
      <c r="P847" s="165" t="s">
        <v>3935</v>
      </c>
      <c r="Q847" s="3">
        <v>16380</v>
      </c>
      <c r="R847">
        <v>16380</v>
      </c>
      <c r="U847" s="271" t="s">
        <v>2740</v>
      </c>
    </row>
    <row r="848" spans="1:21">
      <c r="A848" s="165" t="s">
        <v>651</v>
      </c>
      <c r="B848" s="94">
        <v>918</v>
      </c>
      <c r="C848" s="165" t="s">
        <v>1016</v>
      </c>
      <c r="D848" s="165">
        <v>3</v>
      </c>
      <c r="E848" s="165" t="s">
        <v>3385</v>
      </c>
      <c r="F848" s="165" t="s">
        <v>3386</v>
      </c>
      <c r="G848" s="165">
        <v>16380</v>
      </c>
      <c r="H848" s="165"/>
      <c r="I848" s="165"/>
      <c r="J848" s="165"/>
      <c r="K848" s="165">
        <v>16380</v>
      </c>
      <c r="L848" s="165"/>
      <c r="M848" s="165"/>
      <c r="N848" s="165">
        <f t="shared" si="16"/>
        <v>0</v>
      </c>
      <c r="O848" s="165" t="s">
        <v>3946</v>
      </c>
      <c r="P848" s="165" t="s">
        <v>3947</v>
      </c>
      <c r="Q848" s="3">
        <v>16380</v>
      </c>
      <c r="R848">
        <v>16380</v>
      </c>
      <c r="U848" s="271" t="s">
        <v>2740</v>
      </c>
    </row>
    <row r="849" spans="1:22">
      <c r="A849" s="165" t="s">
        <v>651</v>
      </c>
      <c r="B849" s="94">
        <v>919</v>
      </c>
      <c r="C849" s="165" t="s">
        <v>1016</v>
      </c>
      <c r="D849" s="165">
        <v>4</v>
      </c>
      <c r="E849" s="165" t="s">
        <v>3387</v>
      </c>
      <c r="F849" s="165" t="s">
        <v>3388</v>
      </c>
      <c r="G849" s="165">
        <v>16380</v>
      </c>
      <c r="H849" s="165"/>
      <c r="I849" s="165"/>
      <c r="J849" s="165"/>
      <c r="K849" s="165">
        <v>16380</v>
      </c>
      <c r="L849" s="165"/>
      <c r="M849" s="165"/>
      <c r="N849" s="165">
        <f t="shared" si="16"/>
        <v>0</v>
      </c>
      <c r="O849" s="165" t="s">
        <v>3948</v>
      </c>
      <c r="P849" s="165" t="s">
        <v>3949</v>
      </c>
      <c r="Q849" s="3">
        <v>16380</v>
      </c>
      <c r="R849">
        <v>16380</v>
      </c>
      <c r="U849" s="271" t="s">
        <v>2740</v>
      </c>
    </row>
    <row r="850" spans="1:22">
      <c r="A850" s="165" t="s">
        <v>651</v>
      </c>
      <c r="B850" s="94">
        <v>920</v>
      </c>
      <c r="C850" s="165" t="s">
        <v>1016</v>
      </c>
      <c r="D850" s="165">
        <v>5</v>
      </c>
      <c r="E850" s="165" t="s">
        <v>3389</v>
      </c>
      <c r="F850" s="165" t="s">
        <v>3390</v>
      </c>
      <c r="G850" s="165">
        <v>16380</v>
      </c>
      <c r="H850" s="165"/>
      <c r="I850" s="165"/>
      <c r="J850" s="165"/>
      <c r="K850" s="165">
        <v>16380</v>
      </c>
      <c r="L850" s="165"/>
      <c r="M850" s="165"/>
      <c r="N850" s="165">
        <f t="shared" si="16"/>
        <v>0</v>
      </c>
      <c r="O850" s="165" t="s">
        <v>3989</v>
      </c>
      <c r="P850" s="165" t="s">
        <v>3958</v>
      </c>
      <c r="Q850" s="3">
        <v>16380</v>
      </c>
      <c r="R850">
        <v>16380</v>
      </c>
      <c r="U850" s="271" t="s">
        <v>2740</v>
      </c>
    </row>
    <row r="851" spans="1:22">
      <c r="A851" s="165" t="s">
        <v>651</v>
      </c>
      <c r="B851" s="94">
        <v>921</v>
      </c>
      <c r="C851" s="165" t="s">
        <v>1016</v>
      </c>
      <c r="D851" s="165">
        <v>6</v>
      </c>
      <c r="E851" s="165" t="s">
        <v>3391</v>
      </c>
      <c r="F851" s="165" t="s">
        <v>3392</v>
      </c>
      <c r="G851" s="565">
        <v>16380</v>
      </c>
      <c r="H851" s="165"/>
      <c r="I851" s="165"/>
      <c r="J851" s="165"/>
      <c r="K851" s="165"/>
      <c r="L851" s="165">
        <v>16380</v>
      </c>
      <c r="M851" s="165"/>
      <c r="N851" s="165">
        <f>G851+H851+I851-J851-K851-L851</f>
        <v>0</v>
      </c>
      <c r="O851" s="165" t="s">
        <v>4434</v>
      </c>
      <c r="P851" s="165" t="s">
        <v>4435</v>
      </c>
      <c r="Q851" s="3">
        <v>16380</v>
      </c>
      <c r="R851">
        <v>16380</v>
      </c>
      <c r="U851" s="271" t="s">
        <v>2740</v>
      </c>
    </row>
    <row r="852" spans="1:22">
      <c r="A852" s="165" t="s">
        <v>651</v>
      </c>
      <c r="B852" s="94">
        <v>922</v>
      </c>
      <c r="C852" s="165" t="s">
        <v>1016</v>
      </c>
      <c r="D852" s="165">
        <v>7</v>
      </c>
      <c r="E852" s="165" t="s">
        <v>3393</v>
      </c>
      <c r="F852" s="165" t="s">
        <v>3394</v>
      </c>
      <c r="G852" s="565">
        <v>16380</v>
      </c>
      <c r="H852" s="165"/>
      <c r="I852" s="165"/>
      <c r="J852" s="165"/>
      <c r="K852" s="165"/>
      <c r="L852" s="165">
        <v>16380</v>
      </c>
      <c r="M852" s="165"/>
      <c r="N852" s="165">
        <f>G852+H852+I852-J852-K852-L852</f>
        <v>0</v>
      </c>
      <c r="O852" s="165" t="s">
        <v>4588</v>
      </c>
      <c r="P852" s="165" t="s">
        <v>4781</v>
      </c>
      <c r="Q852" s="3">
        <v>16380</v>
      </c>
      <c r="R852">
        <v>16380</v>
      </c>
      <c r="U852" s="271" t="s">
        <v>2740</v>
      </c>
    </row>
    <row r="853" spans="1:22" s="3" customFormat="1">
      <c r="A853" s="165" t="s">
        <v>651</v>
      </c>
      <c r="B853" s="94">
        <v>923</v>
      </c>
      <c r="C853" s="165" t="s">
        <v>1016</v>
      </c>
      <c r="D853" s="165">
        <v>8</v>
      </c>
      <c r="E853" s="165" t="s">
        <v>3395</v>
      </c>
      <c r="F853" s="165" t="s">
        <v>3396</v>
      </c>
      <c r="G853" s="565">
        <v>16380</v>
      </c>
      <c r="H853" s="165"/>
      <c r="I853" s="165"/>
      <c r="J853" s="165"/>
      <c r="K853" s="165"/>
      <c r="L853" s="165">
        <v>16380</v>
      </c>
      <c r="M853" s="165"/>
      <c r="N853" s="165">
        <f>G853+H853+I853-J853-K853-L853</f>
        <v>0</v>
      </c>
      <c r="O853" s="165" t="s">
        <v>4771</v>
      </c>
      <c r="P853" s="165" t="s">
        <v>4785</v>
      </c>
      <c r="Q853" s="3">
        <v>16380</v>
      </c>
      <c r="R853">
        <v>16380</v>
      </c>
      <c r="S853"/>
      <c r="U853" s="271" t="s">
        <v>2740</v>
      </c>
      <c r="V853"/>
    </row>
    <row r="854" spans="1:22" s="3" customFormat="1">
      <c r="A854" s="165"/>
      <c r="B854" s="94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R854"/>
      <c r="S854"/>
      <c r="U854"/>
      <c r="V854"/>
    </row>
    <row r="855" spans="1:22" s="3" customFormat="1">
      <c r="A855" s="165"/>
      <c r="B855" s="94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R855"/>
      <c r="S855"/>
      <c r="U855"/>
      <c r="V855"/>
    </row>
    <row r="856" spans="1:22" s="3" customFormat="1">
      <c r="A856" s="7"/>
      <c r="B856" s="165"/>
      <c r="C856" s="165"/>
      <c r="D856" s="165"/>
      <c r="E856" s="165"/>
      <c r="F856" s="165"/>
      <c r="G856" s="165"/>
      <c r="H856" s="165">
        <v>220815</v>
      </c>
      <c r="I856" s="165"/>
      <c r="J856" s="165"/>
      <c r="K856" s="165"/>
      <c r="L856" s="165"/>
      <c r="M856" s="165"/>
      <c r="N856" s="165"/>
      <c r="O856" s="165"/>
      <c r="P856" s="165"/>
      <c r="R856"/>
      <c r="S856"/>
      <c r="U856"/>
      <c r="V856"/>
    </row>
    <row r="857" spans="1:22" s="176" customFormat="1" ht="20.25" customHeight="1">
      <c r="A857" s="203" t="s">
        <v>3990</v>
      </c>
      <c r="B857" s="200"/>
      <c r="C857" s="201"/>
      <c r="D857" s="202"/>
      <c r="E857" s="201"/>
      <c r="F857" s="185" t="s">
        <v>2378</v>
      </c>
      <c r="G857" s="185">
        <f t="shared" ref="G857:N857" si="17">SUM(G859:G1023)</f>
        <v>1757235</v>
      </c>
      <c r="H857" s="185">
        <f t="shared" si="17"/>
        <v>263190</v>
      </c>
      <c r="I857" s="185">
        <f t="shared" si="17"/>
        <v>20475</v>
      </c>
      <c r="J857" s="185">
        <f t="shared" si="17"/>
        <v>784080</v>
      </c>
      <c r="K857" s="185">
        <f t="shared" si="17"/>
        <v>940695</v>
      </c>
      <c r="L857" s="185">
        <f t="shared" si="17"/>
        <v>316125</v>
      </c>
      <c r="M857" s="185">
        <f t="shared" si="17"/>
        <v>0</v>
      </c>
      <c r="N857" s="185">
        <f t="shared" si="17"/>
        <v>0</v>
      </c>
      <c r="O857" s="185">
        <f>SUM(O859:O1023)</f>
        <v>0</v>
      </c>
      <c r="P857" s="185"/>
      <c r="Q857" s="185"/>
      <c r="R857" s="185">
        <f>SUM(R859:R1023)</f>
        <v>2558195</v>
      </c>
      <c r="S857" s="185">
        <f>SUM(S859:S1023)</f>
        <v>2558000</v>
      </c>
      <c r="T857" s="185">
        <f>SUM(T859:T1023)</f>
        <v>517100</v>
      </c>
      <c r="U857" s="185">
        <f>SUM(U859:U1023)</f>
        <v>205</v>
      </c>
    </row>
    <row r="858" spans="1:22" s="270" customFormat="1">
      <c r="A858" s="269" t="s">
        <v>1281</v>
      </c>
      <c r="B858" s="269" t="s">
        <v>2435</v>
      </c>
      <c r="C858" s="269" t="s">
        <v>1385</v>
      </c>
      <c r="D858" s="269" t="s">
        <v>1275</v>
      </c>
      <c r="E858" s="269" t="s">
        <v>265</v>
      </c>
      <c r="F858" s="269" t="s">
        <v>1280</v>
      </c>
      <c r="G858" s="269" t="s">
        <v>4416</v>
      </c>
      <c r="H858" s="269" t="s">
        <v>4468</v>
      </c>
      <c r="I858" s="269" t="s">
        <v>4447</v>
      </c>
      <c r="J858" s="269" t="s">
        <v>3991</v>
      </c>
      <c r="K858" s="269" t="s">
        <v>4470</v>
      </c>
      <c r="L858" s="269" t="s">
        <v>4471</v>
      </c>
      <c r="M858" s="269" t="s">
        <v>4841</v>
      </c>
      <c r="N858" s="269" t="s">
        <v>3728</v>
      </c>
      <c r="O858" s="269" t="s">
        <v>2438</v>
      </c>
      <c r="P858" s="269" t="s">
        <v>1282</v>
      </c>
      <c r="Q858" s="269" t="s">
        <v>1386</v>
      </c>
      <c r="R858" s="269" t="s">
        <v>576</v>
      </c>
      <c r="S858" s="269" t="s">
        <v>3593</v>
      </c>
      <c r="T858" s="269" t="s">
        <v>1283</v>
      </c>
      <c r="U858" s="269" t="s">
        <v>577</v>
      </c>
    </row>
    <row r="859" spans="1:22">
      <c r="A859" s="165" t="s">
        <v>3992</v>
      </c>
      <c r="B859" s="94">
        <v>924</v>
      </c>
      <c r="C859" s="165" t="s">
        <v>1232</v>
      </c>
      <c r="D859" s="165">
        <v>3</v>
      </c>
      <c r="E859" s="165" t="s">
        <v>3993</v>
      </c>
      <c r="F859" s="165" t="s">
        <v>3994</v>
      </c>
      <c r="G859" s="165"/>
      <c r="H859" s="165">
        <v>16380</v>
      </c>
      <c r="I859" s="165"/>
      <c r="J859" s="165">
        <v>16380</v>
      </c>
      <c r="K859" s="165"/>
      <c r="L859" s="165"/>
      <c r="M859" s="165"/>
      <c r="N859" s="165"/>
      <c r="O859" s="165">
        <f t="shared" ref="O859:O888" si="18">G859+H859+I859-J859-K859</f>
        <v>0</v>
      </c>
      <c r="P859" s="165" t="s">
        <v>3938</v>
      </c>
      <c r="Q859" s="165" t="s">
        <v>3939</v>
      </c>
      <c r="R859" s="3">
        <v>16380</v>
      </c>
      <c r="S859" s="407">
        <v>16380</v>
      </c>
      <c r="T859"/>
      <c r="U859" s="3"/>
    </row>
    <row r="860" spans="1:22" s="339" customFormat="1">
      <c r="A860" s="337" t="s">
        <v>3995</v>
      </c>
      <c r="B860" s="94">
        <v>925</v>
      </c>
      <c r="C860" s="337" t="s">
        <v>1013</v>
      </c>
      <c r="D860" s="337"/>
      <c r="E860" s="337" t="s">
        <v>3996</v>
      </c>
      <c r="F860" s="337" t="s">
        <v>3942</v>
      </c>
      <c r="G860" s="338"/>
      <c r="H860" s="338">
        <v>26250</v>
      </c>
      <c r="I860" s="338"/>
      <c r="J860" s="337">
        <v>26250</v>
      </c>
      <c r="K860" s="337"/>
      <c r="L860" s="337"/>
      <c r="M860" s="337"/>
      <c r="N860" s="337"/>
      <c r="O860" s="337">
        <f t="shared" si="18"/>
        <v>0</v>
      </c>
      <c r="P860" s="337" t="s">
        <v>3938</v>
      </c>
      <c r="Q860" s="337" t="s">
        <v>3939</v>
      </c>
      <c r="R860" s="337">
        <v>26250</v>
      </c>
      <c r="S860" s="409">
        <v>26250</v>
      </c>
      <c r="T860" s="337"/>
      <c r="U860" s="338"/>
      <c r="V860" s="339" t="s">
        <v>3997</v>
      </c>
    </row>
    <row r="861" spans="1:22" s="283" customFormat="1">
      <c r="A861" s="279" t="s">
        <v>3995</v>
      </c>
      <c r="B861" s="279"/>
      <c r="C861" s="279" t="s">
        <v>2060</v>
      </c>
      <c r="D861" s="279">
        <v>6</v>
      </c>
      <c r="E861" s="279" t="s">
        <v>1283</v>
      </c>
      <c r="F861" s="279" t="s">
        <v>3995</v>
      </c>
      <c r="G861" s="280"/>
      <c r="H861" s="280"/>
      <c r="I861" s="280"/>
      <c r="J861" s="280"/>
      <c r="K861" s="280"/>
      <c r="L861" s="280"/>
      <c r="M861" s="280"/>
      <c r="N861" s="280"/>
      <c r="O861" s="280">
        <f t="shared" si="18"/>
        <v>0</v>
      </c>
      <c r="P861" s="279" t="s">
        <v>3995</v>
      </c>
      <c r="Q861" s="279" t="s">
        <v>3995</v>
      </c>
      <c r="R861" s="279">
        <v>14175</v>
      </c>
      <c r="S861" s="408">
        <v>14175</v>
      </c>
      <c r="T861" s="279">
        <v>14175</v>
      </c>
      <c r="U861" s="280"/>
      <c r="V861" s="282" t="s">
        <v>245</v>
      </c>
    </row>
    <row r="862" spans="1:22" s="163" customFormat="1">
      <c r="A862" s="281" t="s">
        <v>3998</v>
      </c>
      <c r="B862" s="281"/>
      <c r="C862" s="281" t="s">
        <v>3825</v>
      </c>
      <c r="D862" s="281">
        <v>8</v>
      </c>
      <c r="E862" s="281" t="s">
        <v>1283</v>
      </c>
      <c r="F862" s="281" t="s">
        <v>3998</v>
      </c>
      <c r="G862" s="284"/>
      <c r="H862" s="284"/>
      <c r="I862" s="284"/>
      <c r="J862" s="281"/>
      <c r="K862" s="281"/>
      <c r="L862" s="281"/>
      <c r="M862" s="281"/>
      <c r="N862" s="281"/>
      <c r="O862" s="281">
        <f t="shared" si="18"/>
        <v>0</v>
      </c>
      <c r="P862" s="281" t="s">
        <v>3998</v>
      </c>
      <c r="Q862" s="281" t="s">
        <v>3998</v>
      </c>
      <c r="R862" s="281">
        <v>14175</v>
      </c>
      <c r="S862" s="406">
        <v>14145</v>
      </c>
      <c r="T862" s="406">
        <v>14145</v>
      </c>
      <c r="U862" s="284">
        <v>30</v>
      </c>
    </row>
    <row r="863" spans="1:22" s="339" customFormat="1">
      <c r="A863" s="337" t="s">
        <v>3999</v>
      </c>
      <c r="B863" s="337">
        <v>926</v>
      </c>
      <c r="C863" s="337" t="s">
        <v>4000</v>
      </c>
      <c r="D863" s="337"/>
      <c r="E863" s="337" t="s">
        <v>4001</v>
      </c>
      <c r="F863" s="337" t="s">
        <v>3995</v>
      </c>
      <c r="G863" s="338"/>
      <c r="H863" s="338">
        <v>26250</v>
      </c>
      <c r="I863" s="338"/>
      <c r="J863" s="337">
        <v>26250</v>
      </c>
      <c r="K863" s="337"/>
      <c r="L863" s="337"/>
      <c r="M863" s="337"/>
      <c r="N863" s="337"/>
      <c r="O863" s="337">
        <f t="shared" si="18"/>
        <v>0</v>
      </c>
      <c r="P863" s="337" t="s">
        <v>3938</v>
      </c>
      <c r="Q863" s="337" t="s">
        <v>3939</v>
      </c>
      <c r="R863" s="337">
        <v>26250</v>
      </c>
      <c r="S863" s="409">
        <v>26250</v>
      </c>
      <c r="T863" s="337"/>
      <c r="U863" s="338"/>
      <c r="V863" s="339" t="s">
        <v>3997</v>
      </c>
    </row>
    <row r="864" spans="1:22">
      <c r="A864" s="165" t="s">
        <v>4002</v>
      </c>
      <c r="B864" s="337">
        <v>927</v>
      </c>
      <c r="C864" s="165" t="s">
        <v>1775</v>
      </c>
      <c r="D864" s="165">
        <v>1</v>
      </c>
      <c r="E864" s="165" t="s">
        <v>4003</v>
      </c>
      <c r="F864" s="165" t="s">
        <v>4004</v>
      </c>
      <c r="G864" s="165"/>
      <c r="H864" s="165">
        <v>13500</v>
      </c>
      <c r="I864" s="165"/>
      <c r="J864" s="165">
        <v>13500</v>
      </c>
      <c r="K864" s="165"/>
      <c r="L864" s="165"/>
      <c r="M864" s="165"/>
      <c r="N864" s="165"/>
      <c r="O864" s="165">
        <f t="shared" si="18"/>
        <v>0</v>
      </c>
      <c r="P864" s="165" t="s">
        <v>3938</v>
      </c>
      <c r="Q864" s="165" t="s">
        <v>3939</v>
      </c>
      <c r="R864" s="3">
        <v>13500</v>
      </c>
      <c r="S864">
        <v>13500</v>
      </c>
      <c r="T864"/>
      <c r="U864" s="3"/>
    </row>
    <row r="865" spans="1:22">
      <c r="A865" s="165" t="s">
        <v>4002</v>
      </c>
      <c r="B865" s="337">
        <v>928</v>
      </c>
      <c r="C865" s="165" t="s">
        <v>1775</v>
      </c>
      <c r="D865" s="165">
        <v>2</v>
      </c>
      <c r="E865" s="165" t="s">
        <v>4005</v>
      </c>
      <c r="F865" s="165" t="s">
        <v>4006</v>
      </c>
      <c r="G865" s="165"/>
      <c r="H865" s="165">
        <v>13500</v>
      </c>
      <c r="I865" s="165"/>
      <c r="J865" s="165">
        <v>13500</v>
      </c>
      <c r="K865" s="165"/>
      <c r="L865" s="165"/>
      <c r="M865" s="165"/>
      <c r="N865" s="165"/>
      <c r="O865" s="165">
        <f t="shared" si="18"/>
        <v>0</v>
      </c>
      <c r="P865" s="165" t="s">
        <v>3934</v>
      </c>
      <c r="Q865" s="165" t="s">
        <v>3935</v>
      </c>
      <c r="R865" s="3">
        <v>13500</v>
      </c>
      <c r="S865">
        <v>13500</v>
      </c>
      <c r="T865"/>
      <c r="U865" s="3"/>
    </row>
    <row r="866" spans="1:22">
      <c r="A866" s="165" t="s">
        <v>4002</v>
      </c>
      <c r="B866" s="337">
        <v>929</v>
      </c>
      <c r="C866" s="165" t="s">
        <v>1775</v>
      </c>
      <c r="D866" s="165">
        <v>3</v>
      </c>
      <c r="E866" s="165" t="s">
        <v>4007</v>
      </c>
      <c r="F866" s="165" t="s">
        <v>4008</v>
      </c>
      <c r="G866" s="165"/>
      <c r="H866" s="165">
        <v>13500</v>
      </c>
      <c r="I866" s="165"/>
      <c r="J866" s="165">
        <v>13500</v>
      </c>
      <c r="K866" s="165"/>
      <c r="L866" s="165"/>
      <c r="M866" s="165"/>
      <c r="N866" s="165"/>
      <c r="O866" s="165">
        <f t="shared" si="18"/>
        <v>0</v>
      </c>
      <c r="P866" s="165" t="s">
        <v>3950</v>
      </c>
      <c r="Q866" s="165" t="s">
        <v>3951</v>
      </c>
      <c r="R866" s="3">
        <v>13500</v>
      </c>
      <c r="S866">
        <v>13500</v>
      </c>
      <c r="T866"/>
      <c r="U866" s="3"/>
    </row>
    <row r="867" spans="1:22">
      <c r="A867" s="165" t="s">
        <v>4002</v>
      </c>
      <c r="B867" s="337">
        <v>930</v>
      </c>
      <c r="C867" s="165" t="s">
        <v>1775</v>
      </c>
      <c r="D867" s="165">
        <v>4</v>
      </c>
      <c r="E867" s="165" t="s">
        <v>4009</v>
      </c>
      <c r="F867" s="165" t="s">
        <v>4010</v>
      </c>
      <c r="G867" s="165"/>
      <c r="H867" s="165">
        <v>13500</v>
      </c>
      <c r="I867" s="165"/>
      <c r="J867" s="165">
        <v>13500</v>
      </c>
      <c r="K867" s="165"/>
      <c r="L867" s="165"/>
      <c r="M867" s="165"/>
      <c r="N867" s="165"/>
      <c r="O867" s="165">
        <f t="shared" si="18"/>
        <v>0</v>
      </c>
      <c r="P867" s="165" t="s">
        <v>3955</v>
      </c>
      <c r="Q867" s="165" t="s">
        <v>3956</v>
      </c>
      <c r="R867" s="3">
        <v>13500</v>
      </c>
      <c r="S867">
        <v>13500</v>
      </c>
      <c r="T867"/>
      <c r="U867" s="3"/>
    </row>
    <row r="868" spans="1:22">
      <c r="A868" s="165" t="s">
        <v>4002</v>
      </c>
      <c r="B868" s="337">
        <v>931</v>
      </c>
      <c r="C868" s="165" t="s">
        <v>1775</v>
      </c>
      <c r="D868" s="165">
        <v>5</v>
      </c>
      <c r="E868" s="165" t="s">
        <v>4011</v>
      </c>
      <c r="F868" s="165" t="s">
        <v>4012</v>
      </c>
      <c r="G868" s="165"/>
      <c r="H868" s="165">
        <v>13500</v>
      </c>
      <c r="I868" s="165"/>
      <c r="J868" s="165">
        <v>13500</v>
      </c>
      <c r="K868" s="165"/>
      <c r="L868" s="165"/>
      <c r="M868" s="165"/>
      <c r="N868" s="165"/>
      <c r="O868" s="165">
        <f t="shared" si="18"/>
        <v>0</v>
      </c>
      <c r="P868" s="165" t="s">
        <v>3957</v>
      </c>
      <c r="Q868" s="165" t="s">
        <v>3958</v>
      </c>
      <c r="R868" s="3">
        <v>13500</v>
      </c>
      <c r="S868">
        <v>13500</v>
      </c>
      <c r="T868"/>
      <c r="U868" s="3"/>
    </row>
    <row r="869" spans="1:22">
      <c r="A869" s="165" t="s">
        <v>4002</v>
      </c>
      <c r="B869" s="337">
        <v>932</v>
      </c>
      <c r="C869" s="165" t="s">
        <v>1775</v>
      </c>
      <c r="D869" s="165">
        <v>6</v>
      </c>
      <c r="E869" s="165" t="s">
        <v>4013</v>
      </c>
      <c r="F869" s="165" t="s">
        <v>4014</v>
      </c>
      <c r="G869" s="165"/>
      <c r="H869" s="165">
        <v>13500</v>
      </c>
      <c r="I869" s="165"/>
      <c r="J869" s="165"/>
      <c r="K869" s="165">
        <v>13500</v>
      </c>
      <c r="L869" s="165"/>
      <c r="M869" s="165"/>
      <c r="N869" s="165"/>
      <c r="O869" s="165">
        <f t="shared" si="18"/>
        <v>0</v>
      </c>
      <c r="P869" s="165" t="s">
        <v>4766</v>
      </c>
      <c r="Q869" s="165" t="s">
        <v>4595</v>
      </c>
      <c r="R869" s="3">
        <v>13500</v>
      </c>
      <c r="S869">
        <v>13500</v>
      </c>
      <c r="T869"/>
      <c r="U869" s="3"/>
    </row>
    <row r="870" spans="1:22">
      <c r="A870" s="165" t="s">
        <v>4002</v>
      </c>
      <c r="B870" s="337">
        <v>933</v>
      </c>
      <c r="C870" s="165" t="s">
        <v>1775</v>
      </c>
      <c r="D870" s="165">
        <v>7</v>
      </c>
      <c r="E870" s="165" t="s">
        <v>4015</v>
      </c>
      <c r="F870" s="165" t="s">
        <v>4016</v>
      </c>
      <c r="G870" s="165"/>
      <c r="H870" s="165">
        <v>13500</v>
      </c>
      <c r="I870" s="165"/>
      <c r="J870" s="165"/>
      <c r="K870" s="165">
        <v>13500</v>
      </c>
      <c r="L870" s="165"/>
      <c r="M870" s="165"/>
      <c r="N870" s="165"/>
      <c r="O870" s="165">
        <f t="shared" si="18"/>
        <v>0</v>
      </c>
      <c r="P870" s="165" t="s">
        <v>4767</v>
      </c>
      <c r="Q870" s="165" t="s">
        <v>4782</v>
      </c>
      <c r="R870" s="3">
        <v>13500</v>
      </c>
      <c r="S870">
        <v>13500</v>
      </c>
      <c r="T870"/>
      <c r="U870" s="3"/>
    </row>
    <row r="871" spans="1:22">
      <c r="A871" s="165" t="s">
        <v>4002</v>
      </c>
      <c r="B871" s="337">
        <v>934</v>
      </c>
      <c r="C871" s="165" t="s">
        <v>1775</v>
      </c>
      <c r="D871" s="165">
        <v>8</v>
      </c>
      <c r="E871" s="165" t="s">
        <v>4017</v>
      </c>
      <c r="F871" s="165" t="s">
        <v>4018</v>
      </c>
      <c r="G871" s="165"/>
      <c r="H871" s="165">
        <v>13500</v>
      </c>
      <c r="I871" s="165"/>
      <c r="J871" s="165"/>
      <c r="K871" s="165">
        <v>13500</v>
      </c>
      <c r="L871" s="165"/>
      <c r="M871" s="165"/>
      <c r="N871" s="165"/>
      <c r="O871" s="165">
        <f t="shared" si="18"/>
        <v>0</v>
      </c>
      <c r="P871" s="165" t="s">
        <v>4715</v>
      </c>
      <c r="Q871" s="165" t="s">
        <v>4786</v>
      </c>
      <c r="R871" s="3">
        <v>13500</v>
      </c>
      <c r="S871">
        <v>13500</v>
      </c>
      <c r="T871"/>
      <c r="U871" s="3"/>
    </row>
    <row r="872" spans="1:22">
      <c r="A872" s="165" t="s">
        <v>4019</v>
      </c>
      <c r="B872" s="337">
        <v>935</v>
      </c>
      <c r="C872" s="165" t="s">
        <v>906</v>
      </c>
      <c r="D872" s="165">
        <v>1</v>
      </c>
      <c r="E872" s="165" t="s">
        <v>4020</v>
      </c>
      <c r="F872" s="165" t="s">
        <v>4021</v>
      </c>
      <c r="G872" s="165">
        <v>14175</v>
      </c>
      <c r="H872" s="165"/>
      <c r="I872" s="165"/>
      <c r="J872" s="165">
        <v>14175</v>
      </c>
      <c r="K872" s="165"/>
      <c r="L872" s="165"/>
      <c r="M872" s="165"/>
      <c r="N872" s="165"/>
      <c r="O872" s="165">
        <f t="shared" si="18"/>
        <v>0</v>
      </c>
      <c r="P872" s="165" t="s">
        <v>3936</v>
      </c>
      <c r="Q872" s="165" t="s">
        <v>3937</v>
      </c>
      <c r="R872" s="3">
        <v>14175</v>
      </c>
      <c r="S872">
        <v>14175</v>
      </c>
      <c r="T872"/>
      <c r="U872" s="3"/>
    </row>
    <row r="873" spans="1:22">
      <c r="A873" s="165" t="s">
        <v>4019</v>
      </c>
      <c r="B873" s="337">
        <v>936</v>
      </c>
      <c r="C873" s="165" t="s">
        <v>906</v>
      </c>
      <c r="D873" s="165">
        <v>2</v>
      </c>
      <c r="E873" s="165" t="s">
        <v>4022</v>
      </c>
      <c r="F873" s="165" t="s">
        <v>4023</v>
      </c>
      <c r="G873" s="165">
        <v>14175</v>
      </c>
      <c r="H873" s="165"/>
      <c r="I873" s="165"/>
      <c r="J873" s="165">
        <v>14175</v>
      </c>
      <c r="K873" s="165"/>
      <c r="L873" s="165"/>
      <c r="M873" s="165"/>
      <c r="N873" s="165"/>
      <c r="O873" s="165">
        <f t="shared" si="18"/>
        <v>0</v>
      </c>
      <c r="P873" s="165" t="s">
        <v>3950</v>
      </c>
      <c r="Q873" s="165" t="s">
        <v>3951</v>
      </c>
      <c r="R873" s="3">
        <v>14175</v>
      </c>
      <c r="S873">
        <v>14175</v>
      </c>
      <c r="T873"/>
      <c r="U873" s="3"/>
    </row>
    <row r="874" spans="1:22">
      <c r="A874" s="165" t="s">
        <v>4019</v>
      </c>
      <c r="B874" s="337">
        <v>937</v>
      </c>
      <c r="C874" s="165" t="s">
        <v>906</v>
      </c>
      <c r="D874" s="165">
        <v>3</v>
      </c>
      <c r="E874" s="165" t="s">
        <v>4024</v>
      </c>
      <c r="F874" s="165" t="s">
        <v>3955</v>
      </c>
      <c r="G874" s="165">
        <v>14175</v>
      </c>
      <c r="H874" s="165"/>
      <c r="I874" s="165"/>
      <c r="J874" s="165">
        <v>14175</v>
      </c>
      <c r="K874" s="165"/>
      <c r="L874" s="165"/>
      <c r="M874" s="165"/>
      <c r="N874" s="165"/>
      <c r="O874" s="165">
        <f t="shared" si="18"/>
        <v>0</v>
      </c>
      <c r="P874" s="165" t="s">
        <v>3955</v>
      </c>
      <c r="Q874" s="165" t="s">
        <v>3956</v>
      </c>
      <c r="R874" s="3">
        <v>14175</v>
      </c>
      <c r="S874">
        <v>14175</v>
      </c>
      <c r="T874"/>
      <c r="U874" s="3"/>
    </row>
    <row r="875" spans="1:22">
      <c r="A875" s="165" t="s">
        <v>4019</v>
      </c>
      <c r="B875" s="337">
        <v>938</v>
      </c>
      <c r="C875" s="165" t="s">
        <v>906</v>
      </c>
      <c r="D875" s="165">
        <v>4</v>
      </c>
      <c r="E875" s="165" t="s">
        <v>4025</v>
      </c>
      <c r="F875" s="165" t="s">
        <v>3957</v>
      </c>
      <c r="G875" s="165">
        <v>14175</v>
      </c>
      <c r="H875" s="165"/>
      <c r="I875" s="165"/>
      <c r="J875" s="165">
        <v>14175</v>
      </c>
      <c r="K875" s="165"/>
      <c r="L875" s="165"/>
      <c r="M875" s="165"/>
      <c r="N875" s="165"/>
      <c r="O875" s="165">
        <f t="shared" si="18"/>
        <v>0</v>
      </c>
      <c r="P875" s="165" t="s">
        <v>3963</v>
      </c>
      <c r="Q875" s="165" t="s">
        <v>3964</v>
      </c>
      <c r="R875" s="3">
        <v>14175</v>
      </c>
      <c r="S875">
        <v>14175</v>
      </c>
      <c r="T875"/>
      <c r="U875" s="3"/>
    </row>
    <row r="876" spans="1:22">
      <c r="A876" s="165" t="s">
        <v>4019</v>
      </c>
      <c r="B876" s="337">
        <v>939</v>
      </c>
      <c r="C876" s="165" t="s">
        <v>906</v>
      </c>
      <c r="D876" s="165">
        <v>5</v>
      </c>
      <c r="E876" s="165" t="s">
        <v>4026</v>
      </c>
      <c r="F876" s="165" t="s">
        <v>4027</v>
      </c>
      <c r="G876" s="165">
        <v>14175</v>
      </c>
      <c r="H876" s="165"/>
      <c r="I876" s="165"/>
      <c r="J876" s="165"/>
      <c r="K876" s="165">
        <v>14175</v>
      </c>
      <c r="L876" s="165"/>
      <c r="M876" s="165"/>
      <c r="N876" s="165"/>
      <c r="O876" s="165">
        <f t="shared" si="18"/>
        <v>0</v>
      </c>
      <c r="P876" s="165" t="s">
        <v>4766</v>
      </c>
      <c r="Q876" s="165" t="s">
        <v>4595</v>
      </c>
      <c r="R876" s="3">
        <v>14175</v>
      </c>
      <c r="S876">
        <v>14175</v>
      </c>
      <c r="T876"/>
      <c r="U876" s="3"/>
    </row>
    <row r="877" spans="1:22">
      <c r="A877" s="165" t="s">
        <v>4019</v>
      </c>
      <c r="B877" s="337">
        <v>940</v>
      </c>
      <c r="C877" s="165" t="s">
        <v>906</v>
      </c>
      <c r="D877" s="165">
        <v>6</v>
      </c>
      <c r="E877" s="165" t="s">
        <v>4028</v>
      </c>
      <c r="F877" s="165" t="s">
        <v>4029</v>
      </c>
      <c r="G877" s="165">
        <v>14175</v>
      </c>
      <c r="H877" s="165"/>
      <c r="I877" s="165"/>
      <c r="J877" s="165"/>
      <c r="K877" s="165">
        <v>14175</v>
      </c>
      <c r="L877" s="165"/>
      <c r="M877" s="165"/>
      <c r="N877" s="165"/>
      <c r="O877" s="165">
        <f t="shared" si="18"/>
        <v>0</v>
      </c>
      <c r="P877" s="165" t="s">
        <v>4767</v>
      </c>
      <c r="Q877" s="165" t="s">
        <v>4782</v>
      </c>
      <c r="R877" s="3">
        <v>14175</v>
      </c>
      <c r="S877">
        <v>14175</v>
      </c>
      <c r="T877"/>
      <c r="U877" s="3"/>
    </row>
    <row r="878" spans="1:22">
      <c r="A878" s="165" t="s">
        <v>4019</v>
      </c>
      <c r="B878" s="337">
        <v>941</v>
      </c>
      <c r="C878" s="165" t="s">
        <v>906</v>
      </c>
      <c r="D878" s="165">
        <v>7</v>
      </c>
      <c r="E878" s="165" t="s">
        <v>4030</v>
      </c>
      <c r="F878" s="165" t="s">
        <v>4031</v>
      </c>
      <c r="G878" s="165">
        <v>14175</v>
      </c>
      <c r="H878" s="165"/>
      <c r="I878" s="165"/>
      <c r="J878" s="165"/>
      <c r="K878" s="165">
        <v>14175</v>
      </c>
      <c r="L878" s="165"/>
      <c r="M878" s="165"/>
      <c r="N878" s="165"/>
      <c r="O878" s="165">
        <f t="shared" si="18"/>
        <v>0</v>
      </c>
      <c r="P878" s="165" t="s">
        <v>4715</v>
      </c>
      <c r="Q878" s="165" t="s">
        <v>4786</v>
      </c>
      <c r="R878" s="3">
        <v>14175</v>
      </c>
      <c r="S878">
        <v>14175</v>
      </c>
      <c r="T878"/>
      <c r="U878" s="3"/>
    </row>
    <row r="879" spans="1:22">
      <c r="A879" s="165" t="s">
        <v>4019</v>
      </c>
      <c r="B879" s="337">
        <v>942</v>
      </c>
      <c r="C879" s="165" t="s">
        <v>906</v>
      </c>
      <c r="D879" s="165">
        <v>8</v>
      </c>
      <c r="E879" s="165" t="s">
        <v>4032</v>
      </c>
      <c r="F879" s="165" t="s">
        <v>4033</v>
      </c>
      <c r="G879" s="165">
        <v>14175</v>
      </c>
      <c r="H879" s="165"/>
      <c r="I879" s="165"/>
      <c r="J879" s="165"/>
      <c r="K879" s="165">
        <v>14175</v>
      </c>
      <c r="L879" s="165"/>
      <c r="M879" s="165"/>
      <c r="N879" s="165"/>
      <c r="O879" s="165">
        <f t="shared" si="18"/>
        <v>0</v>
      </c>
      <c r="P879" s="165" t="s">
        <v>4190</v>
      </c>
      <c r="Q879" s="165" t="s">
        <v>4033</v>
      </c>
      <c r="R879" s="3">
        <v>14175</v>
      </c>
      <c r="S879">
        <v>14175</v>
      </c>
      <c r="T879"/>
      <c r="U879" s="3"/>
    </row>
    <row r="880" spans="1:22" s="283" customFormat="1">
      <c r="A880" s="279" t="s">
        <v>4034</v>
      </c>
      <c r="B880" s="279"/>
      <c r="C880" s="279" t="s">
        <v>2060</v>
      </c>
      <c r="D880" s="279">
        <v>7</v>
      </c>
      <c r="E880" s="279" t="s">
        <v>1283</v>
      </c>
      <c r="F880" s="279" t="s">
        <v>4034</v>
      </c>
      <c r="G880" s="280"/>
      <c r="H880" s="280"/>
      <c r="I880" s="280"/>
      <c r="J880" s="280"/>
      <c r="K880" s="280"/>
      <c r="L880" s="280"/>
      <c r="M880" s="280"/>
      <c r="N880" s="280"/>
      <c r="O880" s="280">
        <f t="shared" si="18"/>
        <v>0</v>
      </c>
      <c r="P880" s="279" t="s">
        <v>4034</v>
      </c>
      <c r="Q880" s="279" t="s">
        <v>4034</v>
      </c>
      <c r="R880" s="279">
        <v>14175</v>
      </c>
      <c r="S880" s="279">
        <v>14175</v>
      </c>
      <c r="T880" s="279">
        <v>14175</v>
      </c>
      <c r="U880" s="280"/>
      <c r="V880" s="282" t="s">
        <v>245</v>
      </c>
    </row>
    <row r="881" spans="1:22">
      <c r="A881" s="165" t="s">
        <v>3935</v>
      </c>
      <c r="B881" s="94">
        <v>943</v>
      </c>
      <c r="C881" s="165" t="s">
        <v>1305</v>
      </c>
      <c r="D881" s="165">
        <v>2</v>
      </c>
      <c r="E881" s="165" t="s">
        <v>4035</v>
      </c>
      <c r="F881" s="165" t="s">
        <v>4036</v>
      </c>
      <c r="G881" s="165"/>
      <c r="H881" s="165">
        <v>11340</v>
      </c>
      <c r="I881" s="165"/>
      <c r="J881" s="165">
        <v>11340</v>
      </c>
      <c r="K881" s="165"/>
      <c r="L881" s="165"/>
      <c r="M881" s="165"/>
      <c r="N881" s="165"/>
      <c r="O881" s="165">
        <f t="shared" si="18"/>
        <v>0</v>
      </c>
      <c r="P881" s="165" t="s">
        <v>3944</v>
      </c>
      <c r="Q881" s="165" t="s">
        <v>3945</v>
      </c>
      <c r="R881" s="3">
        <v>11340</v>
      </c>
      <c r="S881" s="405">
        <v>11340</v>
      </c>
      <c r="T881"/>
      <c r="U881" s="3"/>
    </row>
    <row r="882" spans="1:22">
      <c r="A882" s="165" t="s">
        <v>4037</v>
      </c>
      <c r="B882" s="94">
        <v>944</v>
      </c>
      <c r="C882" s="165" t="s">
        <v>4038</v>
      </c>
      <c r="D882" s="165">
        <v>1</v>
      </c>
      <c r="E882" s="165" t="s">
        <v>4039</v>
      </c>
      <c r="F882" s="165" t="s">
        <v>4040</v>
      </c>
      <c r="G882" s="165">
        <v>14175</v>
      </c>
      <c r="H882" s="165"/>
      <c r="I882" s="165"/>
      <c r="J882" s="165">
        <v>14175</v>
      </c>
      <c r="K882" s="165"/>
      <c r="L882" s="165"/>
      <c r="M882" s="165"/>
      <c r="N882" s="165"/>
      <c r="O882" s="165">
        <f t="shared" si="18"/>
        <v>0</v>
      </c>
      <c r="P882" s="165" t="s">
        <v>3944</v>
      </c>
      <c r="Q882" s="165" t="s">
        <v>3945</v>
      </c>
      <c r="R882" s="3">
        <v>14175</v>
      </c>
      <c r="S882" s="3">
        <v>14175</v>
      </c>
      <c r="T882"/>
      <c r="U882" s="3"/>
    </row>
    <row r="883" spans="1:22">
      <c r="A883" s="165" t="s">
        <v>4037</v>
      </c>
      <c r="B883" s="94">
        <v>945</v>
      </c>
      <c r="C883" s="165" t="s">
        <v>4038</v>
      </c>
      <c r="D883" s="165">
        <v>2</v>
      </c>
      <c r="E883" s="165" t="s">
        <v>4041</v>
      </c>
      <c r="F883" s="165" t="s">
        <v>4042</v>
      </c>
      <c r="G883" s="165">
        <v>14175</v>
      </c>
      <c r="H883" s="165"/>
      <c r="I883" s="165"/>
      <c r="J883" s="165">
        <v>14175</v>
      </c>
      <c r="K883" s="165"/>
      <c r="L883" s="165"/>
      <c r="M883" s="165"/>
      <c r="N883" s="165"/>
      <c r="O883" s="165">
        <f t="shared" si="18"/>
        <v>0</v>
      </c>
      <c r="P883" s="165" t="s">
        <v>3952</v>
      </c>
      <c r="Q883" s="165" t="s">
        <v>3953</v>
      </c>
      <c r="R883" s="3">
        <v>14175</v>
      </c>
      <c r="S883" s="3">
        <v>14175</v>
      </c>
      <c r="T883"/>
      <c r="U883" s="3"/>
    </row>
    <row r="884" spans="1:22">
      <c r="A884" s="165" t="s">
        <v>4037</v>
      </c>
      <c r="B884" s="94">
        <v>946</v>
      </c>
      <c r="C884" s="165" t="s">
        <v>4038</v>
      </c>
      <c r="D884" s="165">
        <v>3</v>
      </c>
      <c r="E884" s="165" t="s">
        <v>4043</v>
      </c>
      <c r="F884" s="165" t="s">
        <v>4044</v>
      </c>
      <c r="G884" s="165">
        <v>14175</v>
      </c>
      <c r="H884" s="165"/>
      <c r="I884" s="165"/>
      <c r="J884" s="165">
        <v>14175</v>
      </c>
      <c r="K884" s="165"/>
      <c r="L884" s="165"/>
      <c r="M884" s="165"/>
      <c r="N884" s="165"/>
      <c r="O884" s="165">
        <f t="shared" si="18"/>
        <v>0</v>
      </c>
      <c r="P884" s="165" t="s">
        <v>3965</v>
      </c>
      <c r="Q884" s="165" t="s">
        <v>3966</v>
      </c>
      <c r="R884" s="3">
        <v>14175</v>
      </c>
      <c r="S884" s="3">
        <v>14175</v>
      </c>
      <c r="T884"/>
      <c r="U884" s="3"/>
    </row>
    <row r="885" spans="1:22">
      <c r="A885" s="165" t="s">
        <v>4037</v>
      </c>
      <c r="B885" s="94">
        <v>947</v>
      </c>
      <c r="C885" s="165" t="s">
        <v>4038</v>
      </c>
      <c r="D885" s="165">
        <v>4</v>
      </c>
      <c r="E885" s="165" t="s">
        <v>4045</v>
      </c>
      <c r="F885" s="165" t="s">
        <v>4046</v>
      </c>
      <c r="G885" s="165">
        <v>14175</v>
      </c>
      <c r="H885" s="165"/>
      <c r="I885" s="165"/>
      <c r="J885" s="165"/>
      <c r="K885" s="165">
        <v>14175</v>
      </c>
      <c r="L885" s="165"/>
      <c r="M885" s="165"/>
      <c r="N885" s="165"/>
      <c r="O885" s="165">
        <f t="shared" si="18"/>
        <v>0</v>
      </c>
      <c r="P885" s="165" t="s">
        <v>4433</v>
      </c>
      <c r="Q885" s="165" t="s">
        <v>4580</v>
      </c>
      <c r="R885" s="3">
        <v>14175</v>
      </c>
      <c r="S885" s="3">
        <v>14175</v>
      </c>
      <c r="T885"/>
      <c r="U885" s="3"/>
    </row>
    <row r="886" spans="1:22">
      <c r="A886" s="165" t="s">
        <v>4037</v>
      </c>
      <c r="B886" s="94">
        <v>948</v>
      </c>
      <c r="C886" s="165" t="s">
        <v>4038</v>
      </c>
      <c r="D886" s="165">
        <v>5</v>
      </c>
      <c r="E886" s="165" t="s">
        <v>4047</v>
      </c>
      <c r="F886" s="165" t="s">
        <v>4048</v>
      </c>
      <c r="G886" s="165">
        <v>14175</v>
      </c>
      <c r="H886" s="165"/>
      <c r="I886" s="165"/>
      <c r="J886" s="165"/>
      <c r="K886" s="165">
        <v>14175</v>
      </c>
      <c r="L886" s="165"/>
      <c r="M886" s="165"/>
      <c r="N886" s="165"/>
      <c r="O886" s="165">
        <f t="shared" si="18"/>
        <v>0</v>
      </c>
      <c r="P886" s="165" t="s">
        <v>4439</v>
      </c>
      <c r="Q886" s="165" t="s">
        <v>4780</v>
      </c>
      <c r="R886" s="3">
        <v>14175</v>
      </c>
      <c r="S886" s="3">
        <v>14175</v>
      </c>
      <c r="T886"/>
      <c r="U886" s="3"/>
    </row>
    <row r="887" spans="1:22">
      <c r="A887" s="165" t="s">
        <v>4037</v>
      </c>
      <c r="B887" s="94">
        <v>949</v>
      </c>
      <c r="C887" s="165" t="s">
        <v>4038</v>
      </c>
      <c r="D887" s="165">
        <v>6</v>
      </c>
      <c r="E887" s="165" t="s">
        <v>4049</v>
      </c>
      <c r="F887" s="165" t="s">
        <v>4050</v>
      </c>
      <c r="G887" s="165">
        <v>14175</v>
      </c>
      <c r="H887" s="165"/>
      <c r="I887" s="165"/>
      <c r="J887" s="165"/>
      <c r="K887" s="165">
        <v>14175</v>
      </c>
      <c r="L887" s="165"/>
      <c r="M887" s="165"/>
      <c r="N887" s="165"/>
      <c r="O887" s="165">
        <f t="shared" si="18"/>
        <v>0</v>
      </c>
      <c r="P887" s="165" t="s">
        <v>4769</v>
      </c>
      <c r="Q887" s="165" t="s">
        <v>4783</v>
      </c>
      <c r="R887" s="3">
        <v>14175</v>
      </c>
      <c r="S887" s="3">
        <v>14175</v>
      </c>
      <c r="T887"/>
      <c r="U887" s="3"/>
    </row>
    <row r="888" spans="1:22">
      <c r="A888" s="165" t="s">
        <v>4037</v>
      </c>
      <c r="B888" s="94">
        <v>950</v>
      </c>
      <c r="C888" s="165" t="s">
        <v>4038</v>
      </c>
      <c r="D888" s="165">
        <v>7</v>
      </c>
      <c r="E888" s="165" t="s">
        <v>4051</v>
      </c>
      <c r="F888" s="165" t="s">
        <v>4052</v>
      </c>
      <c r="G888" s="165">
        <v>14175</v>
      </c>
      <c r="H888" s="165"/>
      <c r="I888" s="165"/>
      <c r="J888" s="165"/>
      <c r="K888" s="165">
        <v>14175</v>
      </c>
      <c r="L888" s="165"/>
      <c r="M888" s="165"/>
      <c r="N888" s="165"/>
      <c r="O888" s="165">
        <f t="shared" si="18"/>
        <v>0</v>
      </c>
      <c r="P888" s="165" t="s">
        <v>4777</v>
      </c>
      <c r="Q888" s="165" t="s">
        <v>4127</v>
      </c>
      <c r="R888" s="3">
        <v>14175</v>
      </c>
      <c r="S888" s="3">
        <v>14175</v>
      </c>
      <c r="T888"/>
      <c r="U888" s="3"/>
    </row>
    <row r="889" spans="1:22">
      <c r="A889" s="165" t="s">
        <v>4037</v>
      </c>
      <c r="B889" s="94">
        <v>951</v>
      </c>
      <c r="C889" s="165" t="s">
        <v>4038</v>
      </c>
      <c r="D889" s="165">
        <v>8</v>
      </c>
      <c r="E889" s="165" t="s">
        <v>4053</v>
      </c>
      <c r="F889" s="165" t="s">
        <v>4054</v>
      </c>
      <c r="G889" s="165">
        <v>14175</v>
      </c>
      <c r="H889" s="165"/>
      <c r="I889" s="165"/>
      <c r="J889" s="165"/>
      <c r="K889" s="165"/>
      <c r="L889" s="165">
        <v>14175</v>
      </c>
      <c r="M889" s="165"/>
      <c r="N889" s="165"/>
      <c r="O889" s="165">
        <f>G889+H889+I889-J889-K889-L889</f>
        <v>0</v>
      </c>
      <c r="P889" s="165" t="s">
        <v>5298</v>
      </c>
      <c r="Q889" s="165" t="s">
        <v>5299</v>
      </c>
      <c r="R889" s="3">
        <v>14175</v>
      </c>
      <c r="S889" s="3">
        <v>14175</v>
      </c>
      <c r="T889"/>
      <c r="U889" s="3"/>
    </row>
    <row r="890" spans="1:22">
      <c r="A890" s="165" t="s">
        <v>4055</v>
      </c>
      <c r="B890" s="94">
        <v>952</v>
      </c>
      <c r="C890" s="165" t="s">
        <v>4056</v>
      </c>
      <c r="D890" s="165">
        <v>1</v>
      </c>
      <c r="E890" s="165" t="s">
        <v>4057</v>
      </c>
      <c r="F890" s="165" t="s">
        <v>4058</v>
      </c>
      <c r="G890" s="165">
        <v>20475</v>
      </c>
      <c r="H890" s="165"/>
      <c r="I890" s="165"/>
      <c r="J890" s="165">
        <v>20475</v>
      </c>
      <c r="K890" s="165"/>
      <c r="L890" s="165"/>
      <c r="M890" s="165"/>
      <c r="N890" s="165"/>
      <c r="O890" s="165">
        <f t="shared" ref="O890:O896" si="19">G890+H890+I890-J890-K890</f>
        <v>0</v>
      </c>
      <c r="P890" s="165" t="s">
        <v>3940</v>
      </c>
      <c r="Q890" s="165" t="s">
        <v>3941</v>
      </c>
      <c r="R890" s="3">
        <v>20475</v>
      </c>
      <c r="S890" s="3">
        <v>20475</v>
      </c>
      <c r="T890"/>
      <c r="U890" s="3"/>
      <c r="V890" s="271" t="s">
        <v>2740</v>
      </c>
    </row>
    <row r="891" spans="1:22">
      <c r="A891" s="165" t="s">
        <v>4055</v>
      </c>
      <c r="B891" s="94">
        <v>953</v>
      </c>
      <c r="C891" s="165" t="s">
        <v>4056</v>
      </c>
      <c r="D891" s="165">
        <v>2</v>
      </c>
      <c r="E891" s="165" t="s">
        <v>4059</v>
      </c>
      <c r="F891" s="165" t="s">
        <v>4060</v>
      </c>
      <c r="G891" s="165">
        <v>20475</v>
      </c>
      <c r="H891" s="165"/>
      <c r="I891" s="165"/>
      <c r="J891" s="165">
        <v>20475</v>
      </c>
      <c r="K891" s="165"/>
      <c r="L891" s="165"/>
      <c r="M891" s="165"/>
      <c r="N891" s="165"/>
      <c r="O891" s="165">
        <f t="shared" si="19"/>
        <v>0</v>
      </c>
      <c r="P891" s="165" t="s">
        <v>3952</v>
      </c>
      <c r="Q891" s="165" t="s">
        <v>3953</v>
      </c>
      <c r="R891" s="3">
        <v>20475</v>
      </c>
      <c r="S891" s="3">
        <v>20475</v>
      </c>
      <c r="T891"/>
      <c r="U891" s="3"/>
      <c r="V891" s="271" t="s">
        <v>2740</v>
      </c>
    </row>
    <row r="892" spans="1:22">
      <c r="A892" s="165" t="s">
        <v>4055</v>
      </c>
      <c r="B892" s="94">
        <v>954</v>
      </c>
      <c r="C892" s="165" t="s">
        <v>4056</v>
      </c>
      <c r="D892" s="165">
        <v>3</v>
      </c>
      <c r="E892" s="165" t="s">
        <v>4061</v>
      </c>
      <c r="F892" s="165" t="s">
        <v>4062</v>
      </c>
      <c r="G892" s="165">
        <v>20475</v>
      </c>
      <c r="H892" s="165"/>
      <c r="I892" s="165"/>
      <c r="J892" s="165">
        <v>20475</v>
      </c>
      <c r="K892" s="165"/>
      <c r="L892" s="165"/>
      <c r="M892" s="165"/>
      <c r="N892" s="165"/>
      <c r="O892" s="165">
        <f t="shared" si="19"/>
        <v>0</v>
      </c>
      <c r="P892" s="165" t="s">
        <v>3965</v>
      </c>
      <c r="Q892" s="165" t="s">
        <v>3966</v>
      </c>
      <c r="R892" s="3">
        <v>20475</v>
      </c>
      <c r="S892" s="3">
        <v>20475</v>
      </c>
      <c r="T892"/>
      <c r="U892" s="3"/>
      <c r="V892" s="271" t="s">
        <v>2740</v>
      </c>
    </row>
    <row r="893" spans="1:22">
      <c r="A893" s="165" t="s">
        <v>4055</v>
      </c>
      <c r="B893" s="94">
        <v>955</v>
      </c>
      <c r="C893" s="165" t="s">
        <v>4056</v>
      </c>
      <c r="D893" s="165">
        <v>4</v>
      </c>
      <c r="E893" s="165" t="s">
        <v>4063</v>
      </c>
      <c r="F893" s="165" t="s">
        <v>4064</v>
      </c>
      <c r="G893" s="165">
        <v>20475</v>
      </c>
      <c r="H893" s="165"/>
      <c r="I893" s="165"/>
      <c r="J893" s="165"/>
      <c r="K893" s="165">
        <v>20475</v>
      </c>
      <c r="L893" s="165"/>
      <c r="M893" s="165"/>
      <c r="N893" s="165"/>
      <c r="O893" s="165">
        <f t="shared" si="19"/>
        <v>0</v>
      </c>
      <c r="P893" s="165" t="s">
        <v>4236</v>
      </c>
      <c r="Q893" s="165" t="s">
        <v>4752</v>
      </c>
      <c r="R893" s="3">
        <v>20475</v>
      </c>
      <c r="S893" s="3">
        <v>20475</v>
      </c>
      <c r="T893"/>
      <c r="U893" s="3"/>
      <c r="V893" s="271" t="s">
        <v>2740</v>
      </c>
    </row>
    <row r="894" spans="1:22">
      <c r="A894" s="165" t="s">
        <v>4055</v>
      </c>
      <c r="B894" s="94">
        <v>956</v>
      </c>
      <c r="C894" s="165" t="s">
        <v>4056</v>
      </c>
      <c r="D894" s="165">
        <v>5</v>
      </c>
      <c r="E894" s="165" t="s">
        <v>4065</v>
      </c>
      <c r="F894" s="165" t="s">
        <v>4066</v>
      </c>
      <c r="G894" s="165">
        <v>20475</v>
      </c>
      <c r="H894" s="165"/>
      <c r="I894" s="165"/>
      <c r="J894" s="165"/>
      <c r="K894" s="165">
        <v>20475</v>
      </c>
      <c r="L894" s="165"/>
      <c r="M894" s="165"/>
      <c r="N894" s="165"/>
      <c r="O894" s="165">
        <f t="shared" si="19"/>
        <v>0</v>
      </c>
      <c r="P894" s="165" t="s">
        <v>4439</v>
      </c>
      <c r="Q894" s="165" t="s">
        <v>4780</v>
      </c>
      <c r="R894" s="3">
        <v>20475</v>
      </c>
      <c r="S894" s="3">
        <v>20475</v>
      </c>
      <c r="T894"/>
      <c r="U894" s="3"/>
      <c r="V894" s="271" t="s">
        <v>2740</v>
      </c>
    </row>
    <row r="895" spans="1:22">
      <c r="A895" s="165" t="s">
        <v>4055</v>
      </c>
      <c r="B895" s="94">
        <v>957</v>
      </c>
      <c r="C895" s="165" t="s">
        <v>4056</v>
      </c>
      <c r="D895" s="165">
        <v>6</v>
      </c>
      <c r="E895" s="165" t="s">
        <v>4067</v>
      </c>
      <c r="F895" s="165" t="s">
        <v>4068</v>
      </c>
      <c r="G895" s="165">
        <v>20475</v>
      </c>
      <c r="H895" s="165"/>
      <c r="I895" s="165"/>
      <c r="J895" s="165"/>
      <c r="K895" s="165">
        <v>20475</v>
      </c>
      <c r="L895" s="165"/>
      <c r="M895" s="165"/>
      <c r="N895" s="165"/>
      <c r="O895" s="165">
        <f t="shared" si="19"/>
        <v>0</v>
      </c>
      <c r="P895" s="165" t="s">
        <v>4768</v>
      </c>
      <c r="Q895" s="165" t="s">
        <v>4677</v>
      </c>
      <c r="R895" s="3">
        <v>20475</v>
      </c>
      <c r="S895" s="3">
        <v>20475</v>
      </c>
      <c r="T895"/>
      <c r="U895" s="3"/>
      <c r="V895" s="271" t="s">
        <v>2740</v>
      </c>
    </row>
    <row r="896" spans="1:22">
      <c r="A896" s="165" t="s">
        <v>4055</v>
      </c>
      <c r="B896" s="94">
        <v>958</v>
      </c>
      <c r="C896" s="165" t="s">
        <v>4056</v>
      </c>
      <c r="D896" s="165">
        <v>7</v>
      </c>
      <c r="E896" s="165" t="s">
        <v>4069</v>
      </c>
      <c r="F896" s="165" t="s">
        <v>4070</v>
      </c>
      <c r="G896" s="165">
        <v>20475</v>
      </c>
      <c r="H896" s="165"/>
      <c r="I896" s="165"/>
      <c r="J896" s="165"/>
      <c r="K896" s="165">
        <v>20475</v>
      </c>
      <c r="L896" s="165"/>
      <c r="M896" s="165"/>
      <c r="N896" s="165"/>
      <c r="O896" s="165">
        <f t="shared" si="19"/>
        <v>0</v>
      </c>
      <c r="P896" s="165" t="s">
        <v>4777</v>
      </c>
      <c r="Q896" s="165" t="s">
        <v>4127</v>
      </c>
      <c r="R896" s="3">
        <v>20475</v>
      </c>
      <c r="S896" s="3">
        <v>20475</v>
      </c>
      <c r="T896"/>
      <c r="U896" s="3"/>
      <c r="V896" s="271" t="s">
        <v>2740</v>
      </c>
    </row>
    <row r="897" spans="1:22">
      <c r="A897" s="165" t="s">
        <v>4055</v>
      </c>
      <c r="B897" s="94">
        <v>959</v>
      </c>
      <c r="C897" s="165" t="s">
        <v>4056</v>
      </c>
      <c r="D897" s="165">
        <v>8</v>
      </c>
      <c r="E897" s="165" t="s">
        <v>4071</v>
      </c>
      <c r="F897" s="165" t="s">
        <v>4072</v>
      </c>
      <c r="G897" s="165"/>
      <c r="H897" s="165"/>
      <c r="I897" s="165">
        <v>20475</v>
      </c>
      <c r="J897" s="165"/>
      <c r="K897" s="165"/>
      <c r="L897" s="165">
        <v>20475</v>
      </c>
      <c r="M897" s="165"/>
      <c r="N897" s="165"/>
      <c r="O897" s="165">
        <f>G897+H897+I897-J897-K897-L897</f>
        <v>0</v>
      </c>
      <c r="P897" s="165" t="s">
        <v>5294</v>
      </c>
      <c r="Q897" s="165" t="s">
        <v>4072</v>
      </c>
      <c r="R897" s="3">
        <v>20475</v>
      </c>
      <c r="S897" s="3">
        <v>20475</v>
      </c>
      <c r="T897"/>
      <c r="U897" s="3"/>
      <c r="V897" s="271" t="s">
        <v>2740</v>
      </c>
    </row>
    <row r="898" spans="1:22" s="163" customFormat="1">
      <c r="A898" s="281" t="s">
        <v>4073</v>
      </c>
      <c r="B898" s="281"/>
      <c r="C898" s="281" t="s">
        <v>2421</v>
      </c>
      <c r="D898" s="281">
        <v>7</v>
      </c>
      <c r="E898" s="281" t="s">
        <v>1283</v>
      </c>
      <c r="F898" s="281" t="s">
        <v>4073</v>
      </c>
      <c r="G898" s="284"/>
      <c r="H898" s="284"/>
      <c r="I898" s="284"/>
      <c r="J898" s="281"/>
      <c r="K898" s="281"/>
      <c r="L898" s="281"/>
      <c r="M898" s="281"/>
      <c r="N898" s="281"/>
      <c r="O898" s="281">
        <f t="shared" ref="O898:O905" si="20">G898+H898+I898-J898-K898</f>
        <v>0</v>
      </c>
      <c r="P898" s="281" t="s">
        <v>4073</v>
      </c>
      <c r="Q898" s="281" t="s">
        <v>4073</v>
      </c>
      <c r="R898" s="281">
        <v>13230</v>
      </c>
      <c r="S898" s="281">
        <v>13220</v>
      </c>
      <c r="T898" s="406">
        <v>13220</v>
      </c>
      <c r="U898" s="284">
        <v>10</v>
      </c>
    </row>
    <row r="899" spans="1:22">
      <c r="A899" s="165" t="s">
        <v>4074</v>
      </c>
      <c r="B899" s="165">
        <v>960</v>
      </c>
      <c r="C899" s="165" t="s">
        <v>4075</v>
      </c>
      <c r="D899" s="165">
        <v>1</v>
      </c>
      <c r="E899" s="165" t="s">
        <v>4076</v>
      </c>
      <c r="F899" s="165" t="s">
        <v>3936</v>
      </c>
      <c r="G899" s="165">
        <v>14175</v>
      </c>
      <c r="H899" s="165"/>
      <c r="I899" s="165"/>
      <c r="J899" s="165">
        <v>14175</v>
      </c>
      <c r="K899" s="165"/>
      <c r="L899" s="165"/>
      <c r="M899" s="165"/>
      <c r="N899" s="165"/>
      <c r="O899" s="165">
        <f t="shared" si="20"/>
        <v>0</v>
      </c>
      <c r="P899" s="165" t="s">
        <v>3944</v>
      </c>
      <c r="Q899" s="165" t="s">
        <v>3945</v>
      </c>
      <c r="R899" s="3">
        <v>14175</v>
      </c>
      <c r="S899" s="3">
        <v>14175</v>
      </c>
      <c r="T899"/>
      <c r="U899" s="3"/>
    </row>
    <row r="900" spans="1:22">
      <c r="A900" s="165" t="s">
        <v>4074</v>
      </c>
      <c r="B900" s="165">
        <v>961</v>
      </c>
      <c r="C900" s="165" t="s">
        <v>4075</v>
      </c>
      <c r="D900" s="165">
        <v>2</v>
      </c>
      <c r="E900" s="165" t="s">
        <v>4077</v>
      </c>
      <c r="F900" s="165" t="s">
        <v>4078</v>
      </c>
      <c r="G900" s="165">
        <v>14175</v>
      </c>
      <c r="H900" s="165"/>
      <c r="I900" s="165"/>
      <c r="J900" s="165">
        <v>14175</v>
      </c>
      <c r="K900" s="165"/>
      <c r="L900" s="165"/>
      <c r="M900" s="165"/>
      <c r="N900" s="165"/>
      <c r="O900" s="165">
        <f t="shared" si="20"/>
        <v>0</v>
      </c>
      <c r="P900" s="165" t="s">
        <v>4079</v>
      </c>
      <c r="Q900" s="165" t="s">
        <v>3953</v>
      </c>
      <c r="R900" s="3">
        <v>14175</v>
      </c>
      <c r="S900" s="3">
        <v>14175</v>
      </c>
      <c r="T900"/>
      <c r="U900" s="3"/>
    </row>
    <row r="901" spans="1:22">
      <c r="A901" s="165" t="s">
        <v>4074</v>
      </c>
      <c r="B901" s="165">
        <v>962</v>
      </c>
      <c r="C901" s="165" t="s">
        <v>4075</v>
      </c>
      <c r="D901" s="165">
        <v>3</v>
      </c>
      <c r="E901" s="165" t="s">
        <v>4080</v>
      </c>
      <c r="F901" s="165" t="s">
        <v>4081</v>
      </c>
      <c r="G901" s="165">
        <v>14175</v>
      </c>
      <c r="H901" s="165"/>
      <c r="I901" s="165"/>
      <c r="J901" s="165">
        <v>14175</v>
      </c>
      <c r="K901" s="165"/>
      <c r="L901" s="165"/>
      <c r="M901" s="165"/>
      <c r="N901" s="165"/>
      <c r="O901" s="165">
        <f t="shared" si="20"/>
        <v>0</v>
      </c>
      <c r="P901" s="165" t="s">
        <v>3986</v>
      </c>
      <c r="Q901" s="165" t="s">
        <v>3987</v>
      </c>
      <c r="R901" s="3">
        <v>14175</v>
      </c>
      <c r="S901" s="3">
        <v>14175</v>
      </c>
      <c r="T901"/>
      <c r="U901" s="3"/>
    </row>
    <row r="902" spans="1:22">
      <c r="A902" s="165" t="s">
        <v>4074</v>
      </c>
      <c r="B902" s="165">
        <v>963</v>
      </c>
      <c r="C902" s="165" t="s">
        <v>4075</v>
      </c>
      <c r="D902" s="165">
        <v>4</v>
      </c>
      <c r="E902" s="165" t="s">
        <v>4082</v>
      </c>
      <c r="F902" s="165" t="s">
        <v>3973</v>
      </c>
      <c r="G902" s="165">
        <v>14175</v>
      </c>
      <c r="H902" s="165"/>
      <c r="I902" s="165"/>
      <c r="J902" s="165">
        <v>14175</v>
      </c>
      <c r="K902" s="165"/>
      <c r="L902" s="165"/>
      <c r="M902" s="165"/>
      <c r="N902" s="165"/>
      <c r="O902" s="165">
        <f t="shared" si="20"/>
        <v>0</v>
      </c>
      <c r="P902" s="165" t="s">
        <v>3972</v>
      </c>
      <c r="Q902" s="165" t="s">
        <v>3973</v>
      </c>
      <c r="R902" s="3">
        <v>14175</v>
      </c>
      <c r="S902" s="3">
        <v>14175</v>
      </c>
      <c r="T902"/>
      <c r="U902" s="3"/>
    </row>
    <row r="903" spans="1:22">
      <c r="A903" s="165" t="s">
        <v>4074</v>
      </c>
      <c r="B903" s="165">
        <v>964</v>
      </c>
      <c r="C903" s="165" t="s">
        <v>4075</v>
      </c>
      <c r="D903" s="165">
        <v>5</v>
      </c>
      <c r="E903" s="165" t="s">
        <v>4083</v>
      </c>
      <c r="F903" s="165" t="s">
        <v>4084</v>
      </c>
      <c r="G903" s="165">
        <v>14175</v>
      </c>
      <c r="H903" s="165"/>
      <c r="I903" s="165"/>
      <c r="J903" s="165"/>
      <c r="K903" s="165">
        <v>14175</v>
      </c>
      <c r="L903" s="165"/>
      <c r="M903" s="165"/>
      <c r="N903" s="165"/>
      <c r="O903" s="165">
        <f t="shared" si="20"/>
        <v>0</v>
      </c>
      <c r="P903" s="165" t="s">
        <v>4439</v>
      </c>
      <c r="Q903" s="165" t="s">
        <v>4780</v>
      </c>
      <c r="R903" s="3">
        <v>14175</v>
      </c>
      <c r="S903" s="3">
        <v>14175</v>
      </c>
      <c r="T903"/>
      <c r="U903" s="3"/>
    </row>
    <row r="904" spans="1:22">
      <c r="A904" s="165" t="s">
        <v>4074</v>
      </c>
      <c r="B904" s="165">
        <v>965</v>
      </c>
      <c r="C904" s="165" t="s">
        <v>4075</v>
      </c>
      <c r="D904" s="165">
        <v>6</v>
      </c>
      <c r="E904" s="165" t="s">
        <v>4085</v>
      </c>
      <c r="F904" s="165" t="s">
        <v>4086</v>
      </c>
      <c r="G904" s="165">
        <v>14175</v>
      </c>
      <c r="H904" s="165"/>
      <c r="I904" s="165"/>
      <c r="J904" s="165"/>
      <c r="K904" s="165">
        <v>14175</v>
      </c>
      <c r="L904" s="165"/>
      <c r="M904" s="165"/>
      <c r="N904" s="165"/>
      <c r="O904" s="165">
        <f t="shared" si="20"/>
        <v>0</v>
      </c>
      <c r="P904" s="165" t="s">
        <v>4768</v>
      </c>
      <c r="Q904" s="165" t="s">
        <v>4677</v>
      </c>
      <c r="R904" s="3">
        <v>14175</v>
      </c>
      <c r="S904" s="3">
        <v>14175</v>
      </c>
      <c r="T904"/>
      <c r="U904" s="3"/>
    </row>
    <row r="905" spans="1:22">
      <c r="A905" s="165" t="s">
        <v>4074</v>
      </c>
      <c r="B905" s="165">
        <v>966</v>
      </c>
      <c r="C905" s="165" t="s">
        <v>4075</v>
      </c>
      <c r="D905" s="165">
        <v>7</v>
      </c>
      <c r="E905" s="165" t="s">
        <v>4087</v>
      </c>
      <c r="F905" s="165" t="s">
        <v>4088</v>
      </c>
      <c r="G905" s="165">
        <v>14175</v>
      </c>
      <c r="H905" s="165"/>
      <c r="I905" s="165"/>
      <c r="J905" s="165"/>
      <c r="K905" s="165">
        <v>14175</v>
      </c>
      <c r="L905" s="165"/>
      <c r="M905" s="165"/>
      <c r="N905" s="165"/>
      <c r="O905" s="165">
        <f t="shared" si="20"/>
        <v>0</v>
      </c>
      <c r="P905" s="165" t="s">
        <v>4772</v>
      </c>
      <c r="Q905" s="165" t="s">
        <v>4088</v>
      </c>
      <c r="R905" s="3">
        <v>14175</v>
      </c>
      <c r="S905" s="3">
        <v>14175</v>
      </c>
      <c r="T905"/>
      <c r="U905" s="3"/>
    </row>
    <row r="906" spans="1:22">
      <c r="A906" s="165" t="s">
        <v>4074</v>
      </c>
      <c r="B906" s="165">
        <v>967</v>
      </c>
      <c r="C906" s="165" t="s">
        <v>4075</v>
      </c>
      <c r="D906" s="165">
        <v>8</v>
      </c>
      <c r="E906" s="165" t="s">
        <v>4089</v>
      </c>
      <c r="F906" s="165" t="s">
        <v>4090</v>
      </c>
      <c r="G906" s="165">
        <v>14175</v>
      </c>
      <c r="H906" s="165"/>
      <c r="I906" s="165"/>
      <c r="J906" s="165"/>
      <c r="K906" s="165"/>
      <c r="L906" s="165">
        <v>14175</v>
      </c>
      <c r="M906" s="165"/>
      <c r="N906" s="165"/>
      <c r="O906" s="165">
        <f>G906+H906+I906-J906-K906-L906</f>
        <v>0</v>
      </c>
      <c r="P906" s="165" t="s">
        <v>5294</v>
      </c>
      <c r="Q906" s="165" t="s">
        <v>4788</v>
      </c>
      <c r="R906" s="3">
        <v>14175</v>
      </c>
      <c r="S906" s="3">
        <v>14175</v>
      </c>
      <c r="T906"/>
      <c r="U906" s="3"/>
    </row>
    <row r="907" spans="1:22">
      <c r="A907" s="165" t="s">
        <v>4091</v>
      </c>
      <c r="B907" s="165">
        <v>968</v>
      </c>
      <c r="C907" s="165" t="s">
        <v>1232</v>
      </c>
      <c r="D907" s="165">
        <v>4</v>
      </c>
      <c r="E907" s="165" t="s">
        <v>4092</v>
      </c>
      <c r="F907" s="165" t="s">
        <v>4093</v>
      </c>
      <c r="G907" s="165">
        <v>16380</v>
      </c>
      <c r="H907" s="165"/>
      <c r="I907" s="165"/>
      <c r="J907" s="165">
        <v>16380</v>
      </c>
      <c r="K907" s="165"/>
      <c r="L907" s="165"/>
      <c r="M907" s="165"/>
      <c r="N907" s="165"/>
      <c r="O907" s="165">
        <f t="shared" ref="O907:O915" si="21">G907+H907+I907-J907-K907</f>
        <v>0</v>
      </c>
      <c r="P907" s="165" t="s">
        <v>3944</v>
      </c>
      <c r="Q907" s="165" t="s">
        <v>3945</v>
      </c>
      <c r="R907" s="3">
        <v>16380</v>
      </c>
      <c r="S907" s="3">
        <v>16380</v>
      </c>
      <c r="T907"/>
      <c r="U907" s="3"/>
    </row>
    <row r="908" spans="1:22" s="163" customFormat="1">
      <c r="A908" s="281" t="s">
        <v>4040</v>
      </c>
      <c r="B908" s="281"/>
      <c r="C908" s="281" t="s">
        <v>1532</v>
      </c>
      <c r="D908" s="281">
        <v>8</v>
      </c>
      <c r="E908" s="281" t="s">
        <v>1283</v>
      </c>
      <c r="F908" s="281" t="s">
        <v>4040</v>
      </c>
      <c r="G908" s="284"/>
      <c r="H908" s="284"/>
      <c r="I908" s="284"/>
      <c r="J908" s="281"/>
      <c r="K908" s="281"/>
      <c r="L908" s="281"/>
      <c r="M908" s="281"/>
      <c r="N908" s="281"/>
      <c r="O908" s="281">
        <f t="shared" si="21"/>
        <v>0</v>
      </c>
      <c r="P908" s="281" t="s">
        <v>4040</v>
      </c>
      <c r="Q908" s="281" t="s">
        <v>4040</v>
      </c>
      <c r="R908" s="281">
        <v>13500</v>
      </c>
      <c r="S908" s="281">
        <v>13485</v>
      </c>
      <c r="T908" s="406">
        <v>13485</v>
      </c>
      <c r="U908" s="284">
        <v>15</v>
      </c>
    </row>
    <row r="909" spans="1:22">
      <c r="A909" s="165" t="s">
        <v>4058</v>
      </c>
      <c r="B909" s="165">
        <v>969</v>
      </c>
      <c r="C909" s="165" t="s">
        <v>4094</v>
      </c>
      <c r="D909" s="165">
        <v>1</v>
      </c>
      <c r="E909" s="165" t="s">
        <v>4095</v>
      </c>
      <c r="F909" s="165" t="s">
        <v>4096</v>
      </c>
      <c r="G909" s="165">
        <v>13230</v>
      </c>
      <c r="H909" s="165"/>
      <c r="I909" s="165"/>
      <c r="J909" s="165">
        <v>13230</v>
      </c>
      <c r="K909" s="165"/>
      <c r="L909" s="165"/>
      <c r="M909" s="165"/>
      <c r="N909" s="165"/>
      <c r="O909" s="165">
        <f t="shared" si="21"/>
        <v>0</v>
      </c>
      <c r="P909" s="165" t="s">
        <v>3946</v>
      </c>
      <c r="Q909" s="165" t="s">
        <v>3947</v>
      </c>
      <c r="R909" s="3">
        <v>13230</v>
      </c>
      <c r="S909" s="3">
        <v>13230</v>
      </c>
      <c r="T909"/>
      <c r="U909" s="3"/>
    </row>
    <row r="910" spans="1:22">
      <c r="A910" s="165" t="s">
        <v>4058</v>
      </c>
      <c r="B910" s="165">
        <v>970</v>
      </c>
      <c r="C910" s="165" t="s">
        <v>4094</v>
      </c>
      <c r="D910" s="165">
        <v>2</v>
      </c>
      <c r="E910" s="165" t="s">
        <v>4097</v>
      </c>
      <c r="F910" s="165" t="s">
        <v>4098</v>
      </c>
      <c r="G910" s="165">
        <v>13230</v>
      </c>
      <c r="H910" s="165"/>
      <c r="I910" s="165"/>
      <c r="J910" s="165">
        <v>13230</v>
      </c>
      <c r="K910" s="165"/>
      <c r="L910" s="165"/>
      <c r="M910" s="165"/>
      <c r="N910" s="165"/>
      <c r="O910" s="165">
        <f t="shared" si="21"/>
        <v>0</v>
      </c>
      <c r="P910" s="165" t="s">
        <v>3955</v>
      </c>
      <c r="Q910" s="165" t="s">
        <v>3956</v>
      </c>
      <c r="R910" s="3">
        <v>13230</v>
      </c>
      <c r="S910" s="3">
        <v>13230</v>
      </c>
      <c r="T910"/>
      <c r="U910" s="3"/>
    </row>
    <row r="911" spans="1:22">
      <c r="A911" s="165" t="s">
        <v>4058</v>
      </c>
      <c r="B911" s="165">
        <v>971</v>
      </c>
      <c r="C911" s="165" t="s">
        <v>4094</v>
      </c>
      <c r="D911" s="165">
        <v>3</v>
      </c>
      <c r="E911" s="165" t="s">
        <v>4099</v>
      </c>
      <c r="F911" s="165" t="s">
        <v>4100</v>
      </c>
      <c r="G911" s="165">
        <v>13230</v>
      </c>
      <c r="H911" s="165"/>
      <c r="I911" s="165"/>
      <c r="J911" s="165">
        <v>13230</v>
      </c>
      <c r="K911" s="165"/>
      <c r="L911" s="165"/>
      <c r="M911" s="165"/>
      <c r="N911" s="165"/>
      <c r="O911" s="165">
        <f t="shared" si="21"/>
        <v>0</v>
      </c>
      <c r="P911" s="165" t="s">
        <v>3957</v>
      </c>
      <c r="Q911" s="165" t="s">
        <v>3958</v>
      </c>
      <c r="R911" s="3">
        <v>13230</v>
      </c>
      <c r="S911" s="3">
        <v>13230</v>
      </c>
      <c r="T911"/>
      <c r="U911" s="3"/>
    </row>
    <row r="912" spans="1:22">
      <c r="A912" s="165" t="s">
        <v>4058</v>
      </c>
      <c r="B912" s="165">
        <v>972</v>
      </c>
      <c r="C912" s="165" t="s">
        <v>4094</v>
      </c>
      <c r="D912" s="165">
        <v>4</v>
      </c>
      <c r="E912" s="165" t="s">
        <v>4101</v>
      </c>
      <c r="F912" s="165" t="s">
        <v>4102</v>
      </c>
      <c r="G912" s="165">
        <v>13230</v>
      </c>
      <c r="H912" s="165"/>
      <c r="I912" s="165"/>
      <c r="J912" s="165"/>
      <c r="K912" s="165">
        <v>13230</v>
      </c>
      <c r="L912" s="165"/>
      <c r="M912" s="165"/>
      <c r="N912" s="165"/>
      <c r="O912" s="165">
        <f t="shared" si="21"/>
        <v>0</v>
      </c>
      <c r="P912" s="165" t="s">
        <v>4434</v>
      </c>
      <c r="Q912" s="165" t="s">
        <v>4102</v>
      </c>
      <c r="R912" s="3">
        <v>13230</v>
      </c>
      <c r="S912" s="3">
        <v>13230</v>
      </c>
      <c r="T912"/>
      <c r="U912" s="3"/>
    </row>
    <row r="913" spans="1:21">
      <c r="A913" s="165" t="s">
        <v>4058</v>
      </c>
      <c r="B913" s="165">
        <v>973</v>
      </c>
      <c r="C913" s="165" t="s">
        <v>4094</v>
      </c>
      <c r="D913" s="165">
        <v>5</v>
      </c>
      <c r="E913" s="165" t="s">
        <v>4103</v>
      </c>
      <c r="F913" s="165" t="s">
        <v>4104</v>
      </c>
      <c r="G913" s="165">
        <v>13230</v>
      </c>
      <c r="H913" s="165"/>
      <c r="I913" s="165"/>
      <c r="J913" s="165"/>
      <c r="K913" s="165">
        <v>13230</v>
      </c>
      <c r="L913" s="165"/>
      <c r="M913" s="165"/>
      <c r="N913" s="165"/>
      <c r="O913" s="165">
        <f t="shared" si="21"/>
        <v>0</v>
      </c>
      <c r="P913" s="165" t="s">
        <v>4767</v>
      </c>
      <c r="Q913" s="165" t="s">
        <v>4782</v>
      </c>
      <c r="R913" s="3">
        <v>13230</v>
      </c>
      <c r="S913" s="3">
        <v>13230</v>
      </c>
      <c r="T913"/>
      <c r="U913" s="3"/>
    </row>
    <row r="914" spans="1:21">
      <c r="A914" s="165" t="s">
        <v>4058</v>
      </c>
      <c r="B914" s="165">
        <v>974</v>
      </c>
      <c r="C914" s="165" t="s">
        <v>4094</v>
      </c>
      <c r="D914" s="165">
        <v>6</v>
      </c>
      <c r="E914" s="165" t="s">
        <v>4105</v>
      </c>
      <c r="F914" s="165" t="s">
        <v>4106</v>
      </c>
      <c r="G914" s="165">
        <v>13230</v>
      </c>
      <c r="H914" s="165"/>
      <c r="I914" s="165"/>
      <c r="J914" s="165"/>
      <c r="K914" s="165">
        <v>13230</v>
      </c>
      <c r="L914" s="165"/>
      <c r="M914" s="165"/>
      <c r="N914" s="165"/>
      <c r="O914" s="165">
        <f t="shared" si="21"/>
        <v>0</v>
      </c>
      <c r="P914" s="165" t="s">
        <v>4715</v>
      </c>
      <c r="Q914" s="165" t="s">
        <v>4786</v>
      </c>
      <c r="R914" s="3">
        <v>13230</v>
      </c>
      <c r="S914" s="3">
        <v>13230</v>
      </c>
      <c r="T914"/>
      <c r="U914" s="3"/>
    </row>
    <row r="915" spans="1:21">
      <c r="A915" s="165" t="s">
        <v>4058</v>
      </c>
      <c r="B915" s="165">
        <v>975</v>
      </c>
      <c r="C915" s="165" t="s">
        <v>4094</v>
      </c>
      <c r="D915" s="165">
        <v>7</v>
      </c>
      <c r="E915" s="165" t="s">
        <v>4107</v>
      </c>
      <c r="F915" s="165" t="s">
        <v>4108</v>
      </c>
      <c r="G915" s="165">
        <v>13230</v>
      </c>
      <c r="H915" s="165"/>
      <c r="I915" s="165"/>
      <c r="J915" s="165"/>
      <c r="K915" s="165">
        <v>13230</v>
      </c>
      <c r="L915" s="165"/>
      <c r="M915" s="165"/>
      <c r="N915" s="165"/>
      <c r="O915" s="165">
        <f t="shared" si="21"/>
        <v>0</v>
      </c>
      <c r="P915" s="165" t="s">
        <v>4190</v>
      </c>
      <c r="Q915" s="165" t="s">
        <v>4033</v>
      </c>
      <c r="R915" s="3">
        <v>13230</v>
      </c>
      <c r="S915" s="3">
        <v>13230</v>
      </c>
      <c r="T915"/>
      <c r="U915" s="3"/>
    </row>
    <row r="916" spans="1:21">
      <c r="A916" s="165" t="s">
        <v>4058</v>
      </c>
      <c r="B916" s="165">
        <v>976</v>
      </c>
      <c r="C916" s="165" t="s">
        <v>4094</v>
      </c>
      <c r="D916" s="165">
        <v>8</v>
      </c>
      <c r="E916" s="165" t="s">
        <v>4109</v>
      </c>
      <c r="F916" s="165" t="s">
        <v>4110</v>
      </c>
      <c r="G916" s="165">
        <v>13230</v>
      </c>
      <c r="H916" s="165"/>
      <c r="I916" s="165"/>
      <c r="J916" s="165"/>
      <c r="K916" s="165"/>
      <c r="L916" s="165">
        <v>13230</v>
      </c>
      <c r="M916" s="165"/>
      <c r="N916" s="165"/>
      <c r="O916" s="165">
        <f>G916+H916+I916-J916-K916-L916</f>
        <v>0</v>
      </c>
      <c r="P916" s="165" t="s">
        <v>4651</v>
      </c>
      <c r="Q916" s="165" t="s">
        <v>4793</v>
      </c>
      <c r="R916" s="3">
        <v>13230</v>
      </c>
      <c r="S916" s="3">
        <v>13230</v>
      </c>
      <c r="T916"/>
      <c r="U916" s="3"/>
    </row>
    <row r="917" spans="1:21" s="163" customFormat="1">
      <c r="A917" s="281" t="s">
        <v>3940</v>
      </c>
      <c r="B917" s="281"/>
      <c r="C917" s="281" t="s">
        <v>1264</v>
      </c>
      <c r="D917" s="340" t="s">
        <v>4111</v>
      </c>
      <c r="E917" s="281" t="s">
        <v>1283</v>
      </c>
      <c r="F917" s="281" t="s">
        <v>3940</v>
      </c>
      <c r="G917" s="284"/>
      <c r="H917" s="284"/>
      <c r="I917" s="284"/>
      <c r="J917" s="281"/>
      <c r="K917" s="281"/>
      <c r="L917" s="281"/>
      <c r="M917" s="281"/>
      <c r="N917" s="281"/>
      <c r="O917" s="281">
        <f t="shared" ref="O917:O925" si="22">G917+H917+I917-J917-K917</f>
        <v>0</v>
      </c>
      <c r="P917" s="281" t="s">
        <v>3940</v>
      </c>
      <c r="Q917" s="281" t="s">
        <v>3940</v>
      </c>
      <c r="R917" s="281">
        <v>45360</v>
      </c>
      <c r="S917" s="406">
        <v>45360</v>
      </c>
      <c r="T917" s="405">
        <v>45360</v>
      </c>
      <c r="U917" s="284"/>
    </row>
    <row r="918" spans="1:21" s="163" customFormat="1">
      <c r="A918" s="281" t="s">
        <v>4112</v>
      </c>
      <c r="B918" s="281"/>
      <c r="C918" s="281" t="s">
        <v>3825</v>
      </c>
      <c r="D918" s="281">
        <v>1</v>
      </c>
      <c r="E918" s="281" t="s">
        <v>1283</v>
      </c>
      <c r="F918" s="281" t="s">
        <v>4112</v>
      </c>
      <c r="G918" s="284"/>
      <c r="H918" s="284"/>
      <c r="I918" s="284"/>
      <c r="J918" s="281"/>
      <c r="K918" s="281"/>
      <c r="L918" s="281"/>
      <c r="M918" s="281"/>
      <c r="N918" s="281"/>
      <c r="O918" s="281">
        <f t="shared" si="22"/>
        <v>0</v>
      </c>
      <c r="P918" s="281" t="s">
        <v>4112</v>
      </c>
      <c r="Q918" s="281" t="s">
        <v>4112</v>
      </c>
      <c r="R918" s="281">
        <v>14175</v>
      </c>
      <c r="S918" s="281">
        <v>14145</v>
      </c>
      <c r="T918" s="406">
        <v>14145</v>
      </c>
      <c r="U918" s="284">
        <v>30</v>
      </c>
    </row>
    <row r="919" spans="1:21">
      <c r="A919" s="165" t="s">
        <v>4112</v>
      </c>
      <c r="B919" s="165">
        <v>977</v>
      </c>
      <c r="C919" s="165" t="s">
        <v>4113</v>
      </c>
      <c r="D919" s="165">
        <v>1</v>
      </c>
      <c r="E919" s="165" t="s">
        <v>4114</v>
      </c>
      <c r="F919" s="165" t="s">
        <v>4115</v>
      </c>
      <c r="G919" s="165">
        <v>13230</v>
      </c>
      <c r="H919" s="165"/>
      <c r="I919" s="165"/>
      <c r="J919" s="165">
        <v>13230</v>
      </c>
      <c r="K919" s="165"/>
      <c r="L919" s="165"/>
      <c r="M919" s="165"/>
      <c r="N919" s="165"/>
      <c r="O919" s="165">
        <f t="shared" si="22"/>
        <v>0</v>
      </c>
      <c r="P919" s="165" t="s">
        <v>3946</v>
      </c>
      <c r="Q919" s="165" t="s">
        <v>3947</v>
      </c>
      <c r="R919" s="3">
        <v>13230</v>
      </c>
      <c r="S919" s="3">
        <v>13230</v>
      </c>
      <c r="T919"/>
      <c r="U919" s="3"/>
    </row>
    <row r="920" spans="1:21">
      <c r="A920" s="165" t="s">
        <v>4112</v>
      </c>
      <c r="B920" s="165">
        <v>978</v>
      </c>
      <c r="C920" s="165" t="s">
        <v>4113</v>
      </c>
      <c r="D920" s="165">
        <v>2</v>
      </c>
      <c r="E920" s="165" t="s">
        <v>4116</v>
      </c>
      <c r="F920" s="165" t="s">
        <v>4117</v>
      </c>
      <c r="G920" s="165">
        <v>13230</v>
      </c>
      <c r="H920" s="165"/>
      <c r="I920" s="165"/>
      <c r="J920" s="165">
        <v>13230</v>
      </c>
      <c r="K920" s="165"/>
      <c r="L920" s="165"/>
      <c r="M920" s="165"/>
      <c r="N920" s="165"/>
      <c r="O920" s="165">
        <f t="shared" si="22"/>
        <v>0</v>
      </c>
      <c r="P920" s="165" t="s">
        <v>3948</v>
      </c>
      <c r="Q920" s="165" t="s">
        <v>3949</v>
      </c>
      <c r="R920" s="3">
        <v>13230</v>
      </c>
      <c r="S920" s="3">
        <v>13230</v>
      </c>
      <c r="T920"/>
      <c r="U920" s="3"/>
    </row>
    <row r="921" spans="1:21">
      <c r="A921" s="165" t="s">
        <v>4112</v>
      </c>
      <c r="B921" s="165">
        <v>979</v>
      </c>
      <c r="C921" s="165" t="s">
        <v>4113</v>
      </c>
      <c r="D921" s="165">
        <v>3</v>
      </c>
      <c r="E921" s="165" t="s">
        <v>4118</v>
      </c>
      <c r="F921" s="165" t="s">
        <v>4119</v>
      </c>
      <c r="G921" s="165">
        <v>13230</v>
      </c>
      <c r="H921" s="165"/>
      <c r="I921" s="165"/>
      <c r="J921" s="165">
        <v>13230</v>
      </c>
      <c r="K921" s="165"/>
      <c r="L921" s="165"/>
      <c r="M921" s="165"/>
      <c r="N921" s="165"/>
      <c r="O921" s="165">
        <f t="shared" si="22"/>
        <v>0</v>
      </c>
      <c r="P921" s="165" t="s">
        <v>3967</v>
      </c>
      <c r="Q921" s="165" t="s">
        <v>3968</v>
      </c>
      <c r="R921" s="3">
        <v>13230</v>
      </c>
      <c r="S921" s="3">
        <v>13230</v>
      </c>
      <c r="T921"/>
      <c r="U921" s="3"/>
    </row>
    <row r="922" spans="1:21">
      <c r="A922" s="165" t="s">
        <v>4112</v>
      </c>
      <c r="B922" s="165">
        <v>980</v>
      </c>
      <c r="C922" s="165" t="s">
        <v>4113</v>
      </c>
      <c r="D922" s="165">
        <v>4</v>
      </c>
      <c r="E922" s="165" t="s">
        <v>4120</v>
      </c>
      <c r="F922" s="165" t="s">
        <v>4121</v>
      </c>
      <c r="G922" s="165">
        <v>13230</v>
      </c>
      <c r="H922" s="165"/>
      <c r="I922" s="165"/>
      <c r="J922" s="165"/>
      <c r="K922" s="165">
        <v>13230</v>
      </c>
      <c r="L922" s="165"/>
      <c r="M922" s="165"/>
      <c r="N922" s="165"/>
      <c r="O922" s="165">
        <f t="shared" si="22"/>
        <v>0</v>
      </c>
      <c r="P922" s="165" t="s">
        <v>4433</v>
      </c>
      <c r="Q922" s="165" t="s">
        <v>4779</v>
      </c>
      <c r="R922" s="3">
        <v>13230</v>
      </c>
      <c r="S922" s="3">
        <v>13230</v>
      </c>
      <c r="T922"/>
      <c r="U922" s="3"/>
    </row>
    <row r="923" spans="1:21">
      <c r="A923" s="165" t="s">
        <v>4112</v>
      </c>
      <c r="B923" s="165">
        <v>981</v>
      </c>
      <c r="C923" s="165" t="s">
        <v>4113</v>
      </c>
      <c r="D923" s="165">
        <v>5</v>
      </c>
      <c r="E923" s="165" t="s">
        <v>4122</v>
      </c>
      <c r="F923" s="165" t="s">
        <v>4123</v>
      </c>
      <c r="G923" s="165">
        <v>13230</v>
      </c>
      <c r="H923" s="165"/>
      <c r="I923" s="165"/>
      <c r="J923" s="165"/>
      <c r="K923" s="165">
        <v>13230</v>
      </c>
      <c r="L923" s="165"/>
      <c r="M923" s="165"/>
      <c r="N923" s="165"/>
      <c r="O923" s="165">
        <f t="shared" si="22"/>
        <v>0</v>
      </c>
      <c r="P923" s="165" t="s">
        <v>4588</v>
      </c>
      <c r="Q923" s="165" t="s">
        <v>4781</v>
      </c>
      <c r="R923" s="3">
        <v>13230</v>
      </c>
      <c r="S923" s="3">
        <v>13230</v>
      </c>
      <c r="T923"/>
      <c r="U923" s="3"/>
    </row>
    <row r="924" spans="1:21">
      <c r="A924" s="165" t="s">
        <v>4112</v>
      </c>
      <c r="B924" s="165">
        <v>982</v>
      </c>
      <c r="C924" s="165" t="s">
        <v>4113</v>
      </c>
      <c r="D924" s="165">
        <v>6</v>
      </c>
      <c r="E924" s="165" t="s">
        <v>4124</v>
      </c>
      <c r="F924" s="165" t="s">
        <v>4125</v>
      </c>
      <c r="G924" s="165">
        <v>13230</v>
      </c>
      <c r="H924" s="165"/>
      <c r="I924" s="165"/>
      <c r="J924" s="165"/>
      <c r="K924" s="165">
        <v>13230</v>
      </c>
      <c r="L924" s="165"/>
      <c r="M924" s="165"/>
      <c r="N924" s="165"/>
      <c r="O924" s="165">
        <f t="shared" si="22"/>
        <v>0</v>
      </c>
      <c r="P924" s="165" t="s">
        <v>4770</v>
      </c>
      <c r="Q924" s="165" t="s">
        <v>4784</v>
      </c>
      <c r="R924" s="3">
        <v>13230</v>
      </c>
      <c r="S924" s="3">
        <v>13230</v>
      </c>
      <c r="T924"/>
      <c r="U924" s="3"/>
    </row>
    <row r="925" spans="1:21">
      <c r="A925" s="165" t="s">
        <v>4112</v>
      </c>
      <c r="B925" s="165">
        <v>983</v>
      </c>
      <c r="C925" s="165" t="s">
        <v>4113</v>
      </c>
      <c r="D925" s="165">
        <v>7</v>
      </c>
      <c r="E925" s="165" t="s">
        <v>4126</v>
      </c>
      <c r="F925" s="165" t="s">
        <v>4127</v>
      </c>
      <c r="G925" s="165">
        <v>13230</v>
      </c>
      <c r="H925" s="165"/>
      <c r="I925" s="165"/>
      <c r="J925" s="165"/>
      <c r="K925" s="165">
        <v>13230</v>
      </c>
      <c r="L925" s="165"/>
      <c r="M925" s="165"/>
      <c r="N925" s="165"/>
      <c r="O925" s="165">
        <f t="shared" si="22"/>
        <v>0</v>
      </c>
      <c r="P925" s="165" t="s">
        <v>4777</v>
      </c>
      <c r="Q925" s="165" t="s">
        <v>4127</v>
      </c>
      <c r="R925" s="3">
        <v>13230</v>
      </c>
      <c r="S925" s="3">
        <v>13230</v>
      </c>
      <c r="T925"/>
      <c r="U925" s="3"/>
    </row>
    <row r="926" spans="1:21">
      <c r="A926" s="165" t="s">
        <v>4112</v>
      </c>
      <c r="B926" s="165">
        <v>984</v>
      </c>
      <c r="C926" s="165" t="s">
        <v>4113</v>
      </c>
      <c r="D926" s="165">
        <v>8</v>
      </c>
      <c r="E926" s="165" t="s">
        <v>4128</v>
      </c>
      <c r="F926" s="165" t="s">
        <v>4129</v>
      </c>
      <c r="G926" s="165">
        <v>13230</v>
      </c>
      <c r="H926" s="165"/>
      <c r="I926" s="165"/>
      <c r="J926" s="165"/>
      <c r="K926" s="165"/>
      <c r="L926" s="165">
        <v>13230</v>
      </c>
      <c r="M926" s="165"/>
      <c r="N926" s="165"/>
      <c r="O926" s="165">
        <f>G926+H926+I926-J926-K926-L926</f>
        <v>0</v>
      </c>
      <c r="P926" s="165" t="s">
        <v>4791</v>
      </c>
      <c r="Q926" s="165" t="s">
        <v>5317</v>
      </c>
      <c r="R926" s="3">
        <v>13230</v>
      </c>
      <c r="S926" s="3">
        <v>13230</v>
      </c>
      <c r="T926"/>
      <c r="U926" s="3"/>
    </row>
    <row r="927" spans="1:21">
      <c r="A927" s="165" t="s">
        <v>4130</v>
      </c>
      <c r="B927" s="165">
        <v>985</v>
      </c>
      <c r="C927" s="165" t="s">
        <v>4131</v>
      </c>
      <c r="D927" s="165">
        <v>1</v>
      </c>
      <c r="E927" s="165" t="s">
        <v>4132</v>
      </c>
      <c r="F927" s="165" t="s">
        <v>4133</v>
      </c>
      <c r="G927" s="165">
        <v>14175</v>
      </c>
      <c r="H927" s="165"/>
      <c r="I927" s="165"/>
      <c r="J927" s="165">
        <v>14175</v>
      </c>
      <c r="K927" s="165"/>
      <c r="L927" s="165"/>
      <c r="M927" s="165"/>
      <c r="N927" s="165"/>
      <c r="O927" s="165">
        <f t="shared" ref="O927:O932" si="23">G927+H927+I927-J927-K927</f>
        <v>0</v>
      </c>
      <c r="P927" s="165" t="s">
        <v>4134</v>
      </c>
      <c r="Q927" s="165" t="s">
        <v>3960</v>
      </c>
      <c r="R927" s="3">
        <v>14175</v>
      </c>
      <c r="S927" s="3">
        <v>14175</v>
      </c>
      <c r="T927"/>
      <c r="U927" s="3"/>
    </row>
    <row r="928" spans="1:21">
      <c r="A928" s="165" t="s">
        <v>4130</v>
      </c>
      <c r="B928" s="165">
        <v>986</v>
      </c>
      <c r="C928" s="165" t="s">
        <v>4131</v>
      </c>
      <c r="D928" s="165">
        <v>2</v>
      </c>
      <c r="E928" s="165" t="s">
        <v>4135</v>
      </c>
      <c r="F928" s="165" t="s">
        <v>4136</v>
      </c>
      <c r="G928" s="165">
        <v>14175</v>
      </c>
      <c r="H928" s="165"/>
      <c r="I928" s="165"/>
      <c r="J928" s="165">
        <v>14175</v>
      </c>
      <c r="K928" s="165"/>
      <c r="L928" s="165"/>
      <c r="M928" s="165"/>
      <c r="N928" s="165"/>
      <c r="O928" s="165">
        <f t="shared" si="23"/>
        <v>0</v>
      </c>
      <c r="P928" s="165" t="s">
        <v>3970</v>
      </c>
      <c r="Q928" s="165" t="s">
        <v>4136</v>
      </c>
      <c r="R928" s="3">
        <v>14175</v>
      </c>
      <c r="S928" s="3">
        <v>14175</v>
      </c>
      <c r="T928"/>
      <c r="U928" s="3"/>
    </row>
    <row r="929" spans="1:22">
      <c r="A929" s="165" t="s">
        <v>4130</v>
      </c>
      <c r="B929" s="165">
        <v>987</v>
      </c>
      <c r="C929" s="165" t="s">
        <v>4131</v>
      </c>
      <c r="D929" s="165">
        <v>3</v>
      </c>
      <c r="E929" s="165" t="s">
        <v>4137</v>
      </c>
      <c r="F929" s="165" t="s">
        <v>4138</v>
      </c>
      <c r="G929" s="165">
        <v>14175</v>
      </c>
      <c r="H929" s="165"/>
      <c r="I929" s="165"/>
      <c r="J929" s="165">
        <v>14175</v>
      </c>
      <c r="K929" s="165"/>
      <c r="L929" s="165"/>
      <c r="M929" s="165"/>
      <c r="N929" s="165"/>
      <c r="O929" s="165">
        <f t="shared" si="23"/>
        <v>0</v>
      </c>
      <c r="P929" s="165" t="s">
        <v>3972</v>
      </c>
      <c r="Q929" s="165" t="s">
        <v>3973</v>
      </c>
      <c r="R929" s="3">
        <v>14175</v>
      </c>
      <c r="S929" s="3">
        <v>14175</v>
      </c>
      <c r="T929"/>
      <c r="U929" s="3"/>
    </row>
    <row r="930" spans="1:22">
      <c r="A930" s="165" t="s">
        <v>4130</v>
      </c>
      <c r="B930" s="165">
        <v>988</v>
      </c>
      <c r="C930" s="165" t="s">
        <v>4131</v>
      </c>
      <c r="D930" s="165">
        <v>4</v>
      </c>
      <c r="E930" s="165" t="s">
        <v>4139</v>
      </c>
      <c r="F930" s="165" t="s">
        <v>4073</v>
      </c>
      <c r="G930" s="165">
        <v>14175</v>
      </c>
      <c r="H930" s="165"/>
      <c r="I930" s="165"/>
      <c r="J930" s="165"/>
      <c r="K930" s="165">
        <v>14175</v>
      </c>
      <c r="L930" s="165"/>
      <c r="M930" s="165"/>
      <c r="N930" s="165"/>
      <c r="O930" s="165">
        <f t="shared" si="23"/>
        <v>0</v>
      </c>
      <c r="P930" s="165" t="s">
        <v>4439</v>
      </c>
      <c r="Q930" s="165" t="s">
        <v>4780</v>
      </c>
      <c r="R930" s="3">
        <v>14175</v>
      </c>
      <c r="S930" s="3">
        <v>14175</v>
      </c>
      <c r="T930"/>
      <c r="U930" s="3"/>
    </row>
    <row r="931" spans="1:22">
      <c r="A931" s="165" t="s">
        <v>4130</v>
      </c>
      <c r="B931" s="165">
        <v>989</v>
      </c>
      <c r="C931" s="165" t="s">
        <v>4131</v>
      </c>
      <c r="D931" s="165">
        <v>5</v>
      </c>
      <c r="E931" s="165" t="s">
        <v>4140</v>
      </c>
      <c r="F931" s="165" t="s">
        <v>4141</v>
      </c>
      <c r="G931" s="165">
        <v>14175</v>
      </c>
      <c r="H931" s="165"/>
      <c r="I931" s="165"/>
      <c r="J931" s="165"/>
      <c r="K931" s="165">
        <v>14175</v>
      </c>
      <c r="L931" s="165"/>
      <c r="M931" s="165"/>
      <c r="N931" s="165"/>
      <c r="O931" s="165">
        <f t="shared" si="23"/>
        <v>0</v>
      </c>
      <c r="P931" s="165" t="s">
        <v>4768</v>
      </c>
      <c r="Q931" s="165" t="s">
        <v>4677</v>
      </c>
      <c r="R931" s="3">
        <v>14175</v>
      </c>
      <c r="S931" s="3">
        <v>14175</v>
      </c>
      <c r="T931"/>
      <c r="U931" s="3"/>
    </row>
    <row r="932" spans="1:22">
      <c r="A932" s="165" t="s">
        <v>4130</v>
      </c>
      <c r="B932" s="165">
        <v>990</v>
      </c>
      <c r="C932" s="165" t="s">
        <v>4131</v>
      </c>
      <c r="D932" s="165">
        <v>6</v>
      </c>
      <c r="E932" s="165" t="s">
        <v>4142</v>
      </c>
      <c r="F932" s="165" t="s">
        <v>4143</v>
      </c>
      <c r="G932" s="165">
        <v>14175</v>
      </c>
      <c r="H932" s="165"/>
      <c r="I932" s="165"/>
      <c r="J932" s="165"/>
      <c r="K932" s="165">
        <v>14175</v>
      </c>
      <c r="L932" s="165"/>
      <c r="M932" s="165"/>
      <c r="N932" s="165"/>
      <c r="O932" s="165">
        <f t="shared" si="23"/>
        <v>0</v>
      </c>
      <c r="P932" s="165" t="s">
        <v>4772</v>
      </c>
      <c r="Q932" s="165" t="s">
        <v>4088</v>
      </c>
      <c r="R932" s="3">
        <v>14175</v>
      </c>
      <c r="S932" s="3">
        <v>14175</v>
      </c>
      <c r="T932"/>
      <c r="U932" s="3"/>
    </row>
    <row r="933" spans="1:22">
      <c r="A933" s="165" t="s">
        <v>4130</v>
      </c>
      <c r="B933" s="165">
        <v>991</v>
      </c>
      <c r="C933" s="165" t="s">
        <v>4131</v>
      </c>
      <c r="D933" s="165">
        <v>7</v>
      </c>
      <c r="E933" s="165" t="s">
        <v>4144</v>
      </c>
      <c r="F933" s="165" t="s">
        <v>4145</v>
      </c>
      <c r="G933" s="165">
        <v>14175</v>
      </c>
      <c r="H933" s="165"/>
      <c r="I933" s="165"/>
      <c r="J933" s="165"/>
      <c r="K933" s="165"/>
      <c r="L933" s="165">
        <v>14175</v>
      </c>
      <c r="M933" s="165"/>
      <c r="N933" s="165"/>
      <c r="O933" s="165">
        <f>G933+H933+I933-J933-K933-L933</f>
        <v>0</v>
      </c>
      <c r="P933" s="165" t="s">
        <v>5294</v>
      </c>
      <c r="Q933" s="165" t="s">
        <v>4788</v>
      </c>
      <c r="R933" s="3">
        <v>14175</v>
      </c>
      <c r="S933" s="3">
        <v>14175</v>
      </c>
      <c r="T933"/>
      <c r="U933" s="3"/>
    </row>
    <row r="934" spans="1:22">
      <c r="A934" s="165" t="s">
        <v>4130</v>
      </c>
      <c r="B934" s="165">
        <v>992</v>
      </c>
      <c r="C934" s="165" t="s">
        <v>4131</v>
      </c>
      <c r="D934" s="165">
        <v>8</v>
      </c>
      <c r="E934" s="165" t="s">
        <v>4146</v>
      </c>
      <c r="F934" s="165" t="s">
        <v>4147</v>
      </c>
      <c r="G934" s="165">
        <v>14175</v>
      </c>
      <c r="H934" s="165"/>
      <c r="I934" s="165"/>
      <c r="J934" s="165"/>
      <c r="K934" s="165"/>
      <c r="L934" s="165">
        <v>14175</v>
      </c>
      <c r="M934" s="165"/>
      <c r="N934" s="165"/>
      <c r="O934" s="165">
        <f>G934+H934+I934-J934-K934-L934</f>
        <v>0</v>
      </c>
      <c r="P934" s="165" t="s">
        <v>5333</v>
      </c>
      <c r="Q934" s="165" t="s">
        <v>4795</v>
      </c>
      <c r="R934" s="3">
        <v>14175</v>
      </c>
      <c r="S934" s="3">
        <v>14175</v>
      </c>
      <c r="T934"/>
      <c r="U934" s="3"/>
    </row>
    <row r="935" spans="1:22" s="283" customFormat="1">
      <c r="A935" s="279" t="s">
        <v>4148</v>
      </c>
      <c r="B935" s="279"/>
      <c r="C935" s="279" t="s">
        <v>2060</v>
      </c>
      <c r="D935" s="279">
        <v>8</v>
      </c>
      <c r="E935" s="279" t="s">
        <v>1283</v>
      </c>
      <c r="F935" s="279" t="s">
        <v>4148</v>
      </c>
      <c r="G935" s="280"/>
      <c r="H935" s="280"/>
      <c r="I935" s="280"/>
      <c r="J935" s="280"/>
      <c r="K935" s="280"/>
      <c r="L935" s="280"/>
      <c r="M935" s="280"/>
      <c r="N935" s="280"/>
      <c r="O935" s="280">
        <f t="shared" ref="O935:O942" si="24">G935+H935+I935-J935-K935</f>
        <v>0</v>
      </c>
      <c r="P935" s="279" t="s">
        <v>4148</v>
      </c>
      <c r="Q935" s="279" t="s">
        <v>4148</v>
      </c>
      <c r="R935" s="279">
        <v>14175</v>
      </c>
      <c r="S935" s="279">
        <v>14175</v>
      </c>
      <c r="T935" s="279">
        <v>14175</v>
      </c>
      <c r="U935" s="280"/>
      <c r="V935" s="282" t="s">
        <v>245</v>
      </c>
    </row>
    <row r="936" spans="1:22">
      <c r="A936" s="165" t="s">
        <v>3946</v>
      </c>
      <c r="B936" s="165">
        <v>993</v>
      </c>
      <c r="C936" s="165" t="s">
        <v>4149</v>
      </c>
      <c r="D936" s="165">
        <v>1</v>
      </c>
      <c r="E936" s="165" t="s">
        <v>4150</v>
      </c>
      <c r="F936" s="165" t="s">
        <v>4008</v>
      </c>
      <c r="G936" s="165">
        <v>14175</v>
      </c>
      <c r="H936" s="165"/>
      <c r="I936" s="165"/>
      <c r="J936" s="165">
        <v>14175</v>
      </c>
      <c r="K936" s="165"/>
      <c r="L936" s="165"/>
      <c r="M936" s="165"/>
      <c r="N936" s="165"/>
      <c r="O936" s="165">
        <f t="shared" si="24"/>
        <v>0</v>
      </c>
      <c r="P936" s="165" t="s">
        <v>3950</v>
      </c>
      <c r="Q936" s="165" t="s">
        <v>3951</v>
      </c>
      <c r="R936" s="3">
        <v>14175</v>
      </c>
      <c r="S936" s="3">
        <v>14175</v>
      </c>
      <c r="T936"/>
      <c r="U936" s="3"/>
    </row>
    <row r="937" spans="1:22">
      <c r="A937" s="165" t="s">
        <v>3946</v>
      </c>
      <c r="B937" s="165">
        <v>994</v>
      </c>
      <c r="C937" s="165" t="s">
        <v>4149</v>
      </c>
      <c r="D937" s="165">
        <v>2</v>
      </c>
      <c r="E937" s="165" t="s">
        <v>4151</v>
      </c>
      <c r="F937" s="165" t="s">
        <v>4117</v>
      </c>
      <c r="G937" s="165">
        <v>14175</v>
      </c>
      <c r="H937" s="165"/>
      <c r="I937" s="165"/>
      <c r="J937" s="165">
        <v>14175</v>
      </c>
      <c r="K937" s="165"/>
      <c r="L937" s="165"/>
      <c r="M937" s="165"/>
      <c r="N937" s="165"/>
      <c r="O937" s="165">
        <f t="shared" si="24"/>
        <v>0</v>
      </c>
      <c r="P937" s="165" t="s">
        <v>3948</v>
      </c>
      <c r="Q937" s="165" t="s">
        <v>3949</v>
      </c>
      <c r="R937" s="3">
        <v>14175</v>
      </c>
      <c r="S937" s="3">
        <v>14175</v>
      </c>
      <c r="T937"/>
      <c r="U937" s="3"/>
    </row>
    <row r="938" spans="1:22">
      <c r="A938" s="165" t="s">
        <v>3946</v>
      </c>
      <c r="B938" s="165">
        <v>995</v>
      </c>
      <c r="C938" s="165" t="s">
        <v>4149</v>
      </c>
      <c r="D938" s="165">
        <v>3</v>
      </c>
      <c r="E938" s="165" t="s">
        <v>4152</v>
      </c>
      <c r="F938" s="165" t="s">
        <v>4153</v>
      </c>
      <c r="G938" s="165">
        <v>14175</v>
      </c>
      <c r="H938" s="165"/>
      <c r="I938" s="165"/>
      <c r="J938" s="165">
        <v>14175</v>
      </c>
      <c r="K938" s="165"/>
      <c r="L938" s="165"/>
      <c r="M938" s="165"/>
      <c r="N938" s="165"/>
      <c r="O938" s="165">
        <f t="shared" si="24"/>
        <v>0</v>
      </c>
      <c r="P938" s="165" t="s">
        <v>3967</v>
      </c>
      <c r="Q938" s="165" t="s">
        <v>3968</v>
      </c>
      <c r="R938" s="3">
        <v>14175</v>
      </c>
      <c r="S938" s="3">
        <v>14175</v>
      </c>
      <c r="T938"/>
      <c r="U938" s="3"/>
    </row>
    <row r="939" spans="1:22">
      <c r="A939" s="165" t="s">
        <v>3946</v>
      </c>
      <c r="B939" s="165">
        <v>996</v>
      </c>
      <c r="C939" s="165" t="s">
        <v>4149</v>
      </c>
      <c r="D939" s="165">
        <v>4</v>
      </c>
      <c r="E939" s="165" t="s">
        <v>4154</v>
      </c>
      <c r="F939" s="165" t="s">
        <v>4121</v>
      </c>
      <c r="G939" s="165">
        <v>14175</v>
      </c>
      <c r="H939" s="165"/>
      <c r="I939" s="165"/>
      <c r="J939" s="165"/>
      <c r="K939" s="165">
        <v>14175</v>
      </c>
      <c r="L939" s="165"/>
      <c r="M939" s="165"/>
      <c r="N939" s="165"/>
      <c r="O939" s="165">
        <f t="shared" si="24"/>
        <v>0</v>
      </c>
      <c r="P939" s="165" t="s">
        <v>4433</v>
      </c>
      <c r="Q939" s="165" t="s">
        <v>4779</v>
      </c>
      <c r="R939" s="3">
        <v>14175</v>
      </c>
      <c r="S939" s="3">
        <v>14175</v>
      </c>
      <c r="T939"/>
      <c r="U939" s="3"/>
    </row>
    <row r="940" spans="1:22">
      <c r="A940" s="165" t="s">
        <v>3946</v>
      </c>
      <c r="B940" s="165">
        <v>997</v>
      </c>
      <c r="C940" s="165" t="s">
        <v>4149</v>
      </c>
      <c r="D940" s="165">
        <v>5</v>
      </c>
      <c r="E940" s="165" t="s">
        <v>4155</v>
      </c>
      <c r="F940" s="165" t="s">
        <v>4123</v>
      </c>
      <c r="G940" s="165">
        <v>14175</v>
      </c>
      <c r="H940" s="165"/>
      <c r="I940" s="165"/>
      <c r="J940" s="165"/>
      <c r="K940" s="165">
        <v>14175</v>
      </c>
      <c r="L940" s="165"/>
      <c r="M940" s="165"/>
      <c r="N940" s="165"/>
      <c r="O940" s="165">
        <f t="shared" si="24"/>
        <v>0</v>
      </c>
      <c r="P940" s="165" t="s">
        <v>4588</v>
      </c>
      <c r="Q940" s="165" t="s">
        <v>4781</v>
      </c>
      <c r="R940" s="3">
        <v>14175</v>
      </c>
      <c r="S940" s="3">
        <v>14175</v>
      </c>
      <c r="T940"/>
      <c r="U940" s="3"/>
    </row>
    <row r="941" spans="1:22">
      <c r="A941" s="165" t="s">
        <v>3946</v>
      </c>
      <c r="B941" s="165">
        <v>998</v>
      </c>
      <c r="C941" s="165" t="s">
        <v>4149</v>
      </c>
      <c r="D941" s="165">
        <v>6</v>
      </c>
      <c r="E941" s="165" t="s">
        <v>4156</v>
      </c>
      <c r="F941" s="165" t="s">
        <v>4125</v>
      </c>
      <c r="G941" s="165">
        <v>14175</v>
      </c>
      <c r="H941" s="165"/>
      <c r="I941" s="165"/>
      <c r="J941" s="165"/>
      <c r="K941" s="165">
        <v>14175</v>
      </c>
      <c r="L941" s="165"/>
      <c r="M941" s="165"/>
      <c r="N941" s="165"/>
      <c r="O941" s="165">
        <f t="shared" si="24"/>
        <v>0</v>
      </c>
      <c r="P941" s="165" t="s">
        <v>4770</v>
      </c>
      <c r="Q941" s="165" t="s">
        <v>4784</v>
      </c>
      <c r="R941" s="3">
        <v>14175</v>
      </c>
      <c r="S941" s="3">
        <v>14175</v>
      </c>
      <c r="T941"/>
      <c r="U941" s="3"/>
    </row>
    <row r="942" spans="1:22">
      <c r="A942" s="165" t="s">
        <v>3946</v>
      </c>
      <c r="B942" s="165">
        <v>999</v>
      </c>
      <c r="C942" s="165" t="s">
        <v>4149</v>
      </c>
      <c r="D942" s="165">
        <v>7</v>
      </c>
      <c r="E942" s="165" t="s">
        <v>4157</v>
      </c>
      <c r="F942" s="165" t="s">
        <v>4127</v>
      </c>
      <c r="G942" s="165">
        <v>14175</v>
      </c>
      <c r="H942" s="165"/>
      <c r="I942" s="165"/>
      <c r="J942" s="165"/>
      <c r="K942" s="165">
        <v>14175</v>
      </c>
      <c r="L942" s="165"/>
      <c r="M942" s="165"/>
      <c r="N942" s="165"/>
      <c r="O942" s="165">
        <f t="shared" si="24"/>
        <v>0</v>
      </c>
      <c r="P942" s="165" t="s">
        <v>4777</v>
      </c>
      <c r="Q942" s="165" t="s">
        <v>4127</v>
      </c>
      <c r="R942" s="3">
        <v>14175</v>
      </c>
      <c r="S942" s="3">
        <v>14175</v>
      </c>
      <c r="T942"/>
      <c r="U942" s="3"/>
    </row>
    <row r="943" spans="1:22">
      <c r="A943" s="165" t="s">
        <v>3946</v>
      </c>
      <c r="B943" s="165">
        <v>1000</v>
      </c>
      <c r="C943" s="165" t="s">
        <v>4149</v>
      </c>
      <c r="D943" s="165">
        <v>8</v>
      </c>
      <c r="E943" s="165" t="s">
        <v>4158</v>
      </c>
      <c r="F943" s="165" t="s">
        <v>4129</v>
      </c>
      <c r="G943" s="165">
        <v>14175</v>
      </c>
      <c r="H943" s="165"/>
      <c r="I943" s="165"/>
      <c r="J943" s="165"/>
      <c r="K943" s="165"/>
      <c r="L943" s="165">
        <v>14175</v>
      </c>
      <c r="M943" s="165"/>
      <c r="N943" s="165"/>
      <c r="O943" s="165">
        <f>G943+H943+I943-J943-K943-L943</f>
        <v>0</v>
      </c>
      <c r="P943" s="165" t="s">
        <v>4791</v>
      </c>
      <c r="Q943" s="165" t="s">
        <v>5317</v>
      </c>
      <c r="R943" s="3">
        <v>14175</v>
      </c>
      <c r="S943" s="3">
        <v>14175</v>
      </c>
      <c r="T943"/>
      <c r="U943" s="3"/>
    </row>
    <row r="944" spans="1:22">
      <c r="A944" s="165" t="s">
        <v>4159</v>
      </c>
      <c r="B944" s="165">
        <v>1001</v>
      </c>
      <c r="C944" s="165" t="s">
        <v>1305</v>
      </c>
      <c r="D944" s="165">
        <v>3</v>
      </c>
      <c r="E944" s="165" t="s">
        <v>4160</v>
      </c>
      <c r="F944" s="165" t="s">
        <v>4161</v>
      </c>
      <c r="G944" s="165"/>
      <c r="H944" s="165">
        <v>11340</v>
      </c>
      <c r="I944" s="165"/>
      <c r="J944" s="165">
        <v>11340</v>
      </c>
      <c r="K944" s="165"/>
      <c r="L944" s="165"/>
      <c r="M944" s="165"/>
      <c r="N944" s="165"/>
      <c r="O944" s="165">
        <f t="shared" ref="O944:O961" si="25">G944+H944+I944-J944-K944</f>
        <v>0</v>
      </c>
      <c r="P944" s="165" t="s">
        <v>3952</v>
      </c>
      <c r="Q944" s="165" t="s">
        <v>3953</v>
      </c>
      <c r="R944" s="3">
        <v>11340</v>
      </c>
      <c r="S944" s="405">
        <v>11340</v>
      </c>
      <c r="T944"/>
      <c r="U944" s="3"/>
    </row>
    <row r="945" spans="1:22">
      <c r="A945" s="165" t="s">
        <v>3981</v>
      </c>
      <c r="B945" s="165">
        <v>1002</v>
      </c>
      <c r="C945" s="165" t="s">
        <v>4162</v>
      </c>
      <c r="D945" s="165">
        <v>1</v>
      </c>
      <c r="E945" s="165" t="s">
        <v>4163</v>
      </c>
      <c r="F945" s="165" t="s">
        <v>4164</v>
      </c>
      <c r="G945" s="165">
        <v>13230</v>
      </c>
      <c r="H945" s="165"/>
      <c r="I945" s="165"/>
      <c r="J945" s="165">
        <v>13230</v>
      </c>
      <c r="K945" s="165"/>
      <c r="L945" s="165"/>
      <c r="M945" s="165"/>
      <c r="N945" s="165"/>
      <c r="O945" s="165">
        <f t="shared" si="25"/>
        <v>0</v>
      </c>
      <c r="P945" s="165" t="s">
        <v>4134</v>
      </c>
      <c r="Q945" s="165" t="s">
        <v>3960</v>
      </c>
      <c r="R945" s="3">
        <v>13230</v>
      </c>
      <c r="S945" s="3">
        <v>13230</v>
      </c>
      <c r="T945"/>
      <c r="U945" s="3"/>
    </row>
    <row r="946" spans="1:22">
      <c r="A946" s="165" t="s">
        <v>3981</v>
      </c>
      <c r="B946" s="165">
        <v>1003</v>
      </c>
      <c r="C946" s="165" t="s">
        <v>4162</v>
      </c>
      <c r="D946" s="165">
        <v>2</v>
      </c>
      <c r="E946" s="165" t="s">
        <v>4165</v>
      </c>
      <c r="F946" s="165" t="s">
        <v>3940</v>
      </c>
      <c r="G946" s="165">
        <v>13230</v>
      </c>
      <c r="H946" s="165"/>
      <c r="I946" s="165"/>
      <c r="J946" s="165">
        <v>13230</v>
      </c>
      <c r="K946" s="165"/>
      <c r="L946" s="165"/>
      <c r="M946" s="165"/>
      <c r="N946" s="165"/>
      <c r="O946" s="165">
        <f t="shared" si="25"/>
        <v>0</v>
      </c>
      <c r="P946" s="165" t="s">
        <v>4134</v>
      </c>
      <c r="Q946" s="165" t="s">
        <v>3960</v>
      </c>
      <c r="R946" s="3">
        <v>13230</v>
      </c>
      <c r="S946" s="3">
        <v>13230</v>
      </c>
      <c r="T946"/>
      <c r="U946" s="3"/>
    </row>
    <row r="947" spans="1:22">
      <c r="A947" s="165" t="s">
        <v>3981</v>
      </c>
      <c r="B947" s="165">
        <v>1004</v>
      </c>
      <c r="C947" s="165" t="s">
        <v>4162</v>
      </c>
      <c r="D947" s="165">
        <v>3</v>
      </c>
      <c r="E947" s="165" t="s">
        <v>4166</v>
      </c>
      <c r="F947" s="165" t="s">
        <v>4167</v>
      </c>
      <c r="G947" s="165">
        <v>13230</v>
      </c>
      <c r="H947" s="165"/>
      <c r="I947" s="165"/>
      <c r="J947" s="165">
        <v>13230</v>
      </c>
      <c r="K947" s="165"/>
      <c r="L947" s="165"/>
      <c r="M947" s="165"/>
      <c r="N947" s="165"/>
      <c r="O947" s="165">
        <f t="shared" si="25"/>
        <v>0</v>
      </c>
      <c r="P947" s="165" t="s">
        <v>3948</v>
      </c>
      <c r="Q947" s="165" t="s">
        <v>3949</v>
      </c>
      <c r="R947" s="3">
        <v>13230</v>
      </c>
      <c r="S947" s="3">
        <v>13230</v>
      </c>
      <c r="T947"/>
      <c r="U947" s="3"/>
    </row>
    <row r="948" spans="1:22">
      <c r="A948" s="165" t="s">
        <v>3981</v>
      </c>
      <c r="B948" s="165">
        <v>1005</v>
      </c>
      <c r="C948" s="165" t="s">
        <v>4162</v>
      </c>
      <c r="D948" s="165">
        <v>4</v>
      </c>
      <c r="E948" s="165" t="s">
        <v>4168</v>
      </c>
      <c r="F948" s="165" t="s">
        <v>4169</v>
      </c>
      <c r="G948" s="165">
        <v>13230</v>
      </c>
      <c r="H948" s="165"/>
      <c r="I948" s="165"/>
      <c r="J948" s="165">
        <v>13230</v>
      </c>
      <c r="K948" s="165"/>
      <c r="L948" s="165"/>
      <c r="M948" s="165"/>
      <c r="N948" s="165"/>
      <c r="O948" s="165">
        <f t="shared" si="25"/>
        <v>0</v>
      </c>
      <c r="P948" s="165" t="s">
        <v>3957</v>
      </c>
      <c r="Q948" s="165" t="s">
        <v>3958</v>
      </c>
      <c r="R948" s="3">
        <v>13230</v>
      </c>
      <c r="S948" s="3">
        <v>13230</v>
      </c>
      <c r="T948"/>
      <c r="U948" s="3"/>
    </row>
    <row r="949" spans="1:22">
      <c r="A949" s="165" t="s">
        <v>3981</v>
      </c>
      <c r="B949" s="165">
        <v>1006</v>
      </c>
      <c r="C949" s="165" t="s">
        <v>4162</v>
      </c>
      <c r="D949" s="165">
        <v>5</v>
      </c>
      <c r="E949" s="165" t="s">
        <v>4170</v>
      </c>
      <c r="F949" s="165" t="s">
        <v>4171</v>
      </c>
      <c r="G949" s="165">
        <v>13230</v>
      </c>
      <c r="H949" s="165"/>
      <c r="I949" s="165"/>
      <c r="J949" s="165"/>
      <c r="K949" s="165">
        <v>13230</v>
      </c>
      <c r="L949" s="165"/>
      <c r="M949" s="165"/>
      <c r="N949" s="165"/>
      <c r="O949" s="165">
        <f t="shared" si="25"/>
        <v>0</v>
      </c>
      <c r="P949" s="165" t="s">
        <v>4434</v>
      </c>
      <c r="Q949" s="165" t="s">
        <v>4435</v>
      </c>
      <c r="R949" s="3">
        <v>13230</v>
      </c>
      <c r="S949" s="3">
        <v>13230</v>
      </c>
      <c r="T949"/>
      <c r="U949" s="3"/>
    </row>
    <row r="950" spans="1:22">
      <c r="A950" s="165" t="s">
        <v>3981</v>
      </c>
      <c r="B950" s="165">
        <v>1007</v>
      </c>
      <c r="C950" s="165" t="s">
        <v>4162</v>
      </c>
      <c r="D950" s="165">
        <v>6</v>
      </c>
      <c r="E950" s="165" t="s">
        <v>4172</v>
      </c>
      <c r="F950" s="165" t="s">
        <v>4173</v>
      </c>
      <c r="G950" s="165">
        <v>13230</v>
      </c>
      <c r="H950" s="165"/>
      <c r="I950" s="165"/>
      <c r="J950" s="165"/>
      <c r="K950" s="165">
        <v>13230</v>
      </c>
      <c r="L950" s="165"/>
      <c r="M950" s="165"/>
      <c r="N950" s="165"/>
      <c r="O950" s="165">
        <f t="shared" si="25"/>
        <v>0</v>
      </c>
      <c r="P950" s="165" t="s">
        <v>4588</v>
      </c>
      <c r="Q950" s="165" t="s">
        <v>4781</v>
      </c>
      <c r="R950" s="3">
        <v>13230</v>
      </c>
      <c r="S950" s="3">
        <v>13230</v>
      </c>
      <c r="T950"/>
      <c r="U950" s="3"/>
    </row>
    <row r="951" spans="1:22">
      <c r="A951" s="165" t="s">
        <v>3981</v>
      </c>
      <c r="B951" s="165">
        <v>1008</v>
      </c>
      <c r="C951" s="165" t="s">
        <v>4162</v>
      </c>
      <c r="D951" s="165">
        <v>7</v>
      </c>
      <c r="E951" s="165" t="s">
        <v>4174</v>
      </c>
      <c r="F951" s="165" t="s">
        <v>4175</v>
      </c>
      <c r="G951" s="165">
        <v>13230</v>
      </c>
      <c r="H951" s="165"/>
      <c r="I951" s="165"/>
      <c r="J951" s="165"/>
      <c r="K951" s="165">
        <v>13230</v>
      </c>
      <c r="L951" s="165"/>
      <c r="M951" s="165"/>
      <c r="N951" s="165"/>
      <c r="O951" s="165">
        <f t="shared" si="25"/>
        <v>0</v>
      </c>
      <c r="P951" s="165" t="s">
        <v>4771</v>
      </c>
      <c r="Q951" s="165" t="s">
        <v>4785</v>
      </c>
      <c r="R951" s="3">
        <v>13230</v>
      </c>
      <c r="S951" s="3">
        <v>13230</v>
      </c>
      <c r="T951"/>
      <c r="U951" s="3"/>
    </row>
    <row r="952" spans="1:22">
      <c r="A952" s="165" t="s">
        <v>3981</v>
      </c>
      <c r="B952" s="165">
        <v>1009</v>
      </c>
      <c r="C952" s="165" t="s">
        <v>4162</v>
      </c>
      <c r="D952" s="165">
        <v>8</v>
      </c>
      <c r="E952" s="165" t="s">
        <v>4176</v>
      </c>
      <c r="F952" s="165" t="s">
        <v>4177</v>
      </c>
      <c r="G952" s="165">
        <v>13230</v>
      </c>
      <c r="H952" s="165"/>
      <c r="I952" s="165"/>
      <c r="J952" s="165"/>
      <c r="K952" s="165">
        <v>13230</v>
      </c>
      <c r="L952" s="165"/>
      <c r="M952" s="165"/>
      <c r="N952" s="165"/>
      <c r="O952" s="165">
        <f t="shared" si="25"/>
        <v>0</v>
      </c>
      <c r="P952" s="165" t="s">
        <v>4190</v>
      </c>
      <c r="Q952" s="165" t="s">
        <v>4033</v>
      </c>
      <c r="R952" s="3">
        <v>13230</v>
      </c>
      <c r="S952" s="3">
        <v>13230</v>
      </c>
      <c r="T952"/>
      <c r="U952" s="3"/>
    </row>
    <row r="953" spans="1:22">
      <c r="A953" s="165" t="s">
        <v>4178</v>
      </c>
      <c r="B953" s="165">
        <v>1010</v>
      </c>
      <c r="C953" s="165" t="s">
        <v>1232</v>
      </c>
      <c r="D953" s="165">
        <v>5</v>
      </c>
      <c r="E953" s="165" t="s">
        <v>4179</v>
      </c>
      <c r="F953" s="165" t="s">
        <v>4180</v>
      </c>
      <c r="G953" s="165">
        <v>16380</v>
      </c>
      <c r="H953" s="165"/>
      <c r="I953" s="165"/>
      <c r="J953" s="165">
        <v>16380</v>
      </c>
      <c r="K953" s="165"/>
      <c r="L953" s="165"/>
      <c r="M953" s="165"/>
      <c r="N953" s="165"/>
      <c r="O953" s="165">
        <f t="shared" si="25"/>
        <v>0</v>
      </c>
      <c r="P953" s="165" t="s">
        <v>3952</v>
      </c>
      <c r="Q953" s="165" t="s">
        <v>3953</v>
      </c>
      <c r="R953" s="3">
        <v>16380</v>
      </c>
      <c r="S953" s="3">
        <v>16380</v>
      </c>
      <c r="T953"/>
      <c r="U953" s="3"/>
    </row>
    <row r="954" spans="1:22" s="163" customFormat="1">
      <c r="A954" s="281" t="s">
        <v>4133</v>
      </c>
      <c r="B954" s="281"/>
      <c r="C954" s="281" t="s">
        <v>2421</v>
      </c>
      <c r="D954" s="281">
        <v>8</v>
      </c>
      <c r="E954" s="281" t="s">
        <v>1283</v>
      </c>
      <c r="F954" s="281" t="s">
        <v>4133</v>
      </c>
      <c r="G954" s="284"/>
      <c r="H954" s="284"/>
      <c r="I954" s="284"/>
      <c r="J954" s="281"/>
      <c r="K954" s="281"/>
      <c r="L954" s="281"/>
      <c r="M954" s="281"/>
      <c r="N954" s="281"/>
      <c r="O954" s="281">
        <f t="shared" si="25"/>
        <v>0</v>
      </c>
      <c r="P954" s="281" t="s">
        <v>4133</v>
      </c>
      <c r="Q954" s="281" t="s">
        <v>4133</v>
      </c>
      <c r="R954" s="281">
        <v>13230</v>
      </c>
      <c r="S954" s="281">
        <v>13220</v>
      </c>
      <c r="T954" s="406">
        <v>13220</v>
      </c>
      <c r="U954" s="284">
        <v>10</v>
      </c>
    </row>
    <row r="955" spans="1:22" s="283" customFormat="1">
      <c r="A955" s="279" t="s">
        <v>4117</v>
      </c>
      <c r="B955" s="279"/>
      <c r="C955" s="279" t="s">
        <v>2060</v>
      </c>
      <c r="D955" s="279">
        <v>1</v>
      </c>
      <c r="E955" s="279" t="s">
        <v>1283</v>
      </c>
      <c r="F955" s="279" t="s">
        <v>4117</v>
      </c>
      <c r="G955" s="280"/>
      <c r="H955" s="280"/>
      <c r="I955" s="280"/>
      <c r="J955" s="280"/>
      <c r="K955" s="280"/>
      <c r="L955" s="280"/>
      <c r="M955" s="280"/>
      <c r="N955" s="280"/>
      <c r="O955" s="280">
        <f t="shared" si="25"/>
        <v>0</v>
      </c>
      <c r="P955" s="279" t="s">
        <v>4117</v>
      </c>
      <c r="Q955" s="279" t="s">
        <v>4117</v>
      </c>
      <c r="R955" s="279">
        <v>13230</v>
      </c>
      <c r="S955" s="279">
        <v>13230</v>
      </c>
      <c r="T955" s="408">
        <v>13230</v>
      </c>
      <c r="U955" s="280"/>
      <c r="V955" s="282" t="s">
        <v>245</v>
      </c>
    </row>
    <row r="956" spans="1:22">
      <c r="A956" s="165" t="s">
        <v>4181</v>
      </c>
      <c r="B956" s="165">
        <v>1011</v>
      </c>
      <c r="C956" s="165" t="s">
        <v>4182</v>
      </c>
      <c r="D956" s="165">
        <v>1</v>
      </c>
      <c r="E956" s="165" t="s">
        <v>4183</v>
      </c>
      <c r="F956" s="165" t="s">
        <v>4010</v>
      </c>
      <c r="G956" s="165">
        <v>11970</v>
      </c>
      <c r="H956" s="165"/>
      <c r="I956" s="165"/>
      <c r="J956" s="165">
        <v>11970</v>
      </c>
      <c r="K956" s="165"/>
      <c r="L956" s="165"/>
      <c r="M956" s="165"/>
      <c r="N956" s="165"/>
      <c r="O956" s="165">
        <f t="shared" si="25"/>
        <v>0</v>
      </c>
      <c r="P956" s="165" t="s">
        <v>3955</v>
      </c>
      <c r="Q956" s="165" t="s">
        <v>3956</v>
      </c>
      <c r="R956" s="3">
        <v>11970</v>
      </c>
      <c r="S956" s="3">
        <v>11970</v>
      </c>
      <c r="T956"/>
      <c r="U956" s="3"/>
    </row>
    <row r="957" spans="1:22">
      <c r="A957" s="165" t="s">
        <v>4181</v>
      </c>
      <c r="B957" s="165">
        <v>1012</v>
      </c>
      <c r="C957" s="165" t="s">
        <v>4182</v>
      </c>
      <c r="D957" s="165">
        <v>2</v>
      </c>
      <c r="E957" s="165" t="s">
        <v>4184</v>
      </c>
      <c r="F957" s="165" t="s">
        <v>4185</v>
      </c>
      <c r="G957" s="165">
        <v>11970</v>
      </c>
      <c r="H957" s="165"/>
      <c r="I957" s="165"/>
      <c r="J957" s="165">
        <v>11970</v>
      </c>
      <c r="K957" s="165"/>
      <c r="L957" s="165"/>
      <c r="M957" s="165"/>
      <c r="N957" s="165"/>
      <c r="O957" s="165">
        <f t="shared" si="25"/>
        <v>0</v>
      </c>
      <c r="P957" s="165" t="s">
        <v>3957</v>
      </c>
      <c r="Q957" s="165" t="s">
        <v>3958</v>
      </c>
      <c r="R957" s="3">
        <v>11970</v>
      </c>
      <c r="S957" s="3">
        <v>11970</v>
      </c>
      <c r="T957"/>
      <c r="U957" s="3"/>
    </row>
    <row r="958" spans="1:22">
      <c r="A958" s="165" t="s">
        <v>4181</v>
      </c>
      <c r="B958" s="165">
        <v>1013</v>
      </c>
      <c r="C958" s="165" t="s">
        <v>4182</v>
      </c>
      <c r="D958" s="165">
        <v>3</v>
      </c>
      <c r="E958" s="165" t="s">
        <v>4186</v>
      </c>
      <c r="F958" s="165" t="s">
        <v>4014</v>
      </c>
      <c r="G958" s="165">
        <v>11970</v>
      </c>
      <c r="H958" s="165"/>
      <c r="I958" s="165"/>
      <c r="J958" s="165"/>
      <c r="K958" s="165">
        <v>11970</v>
      </c>
      <c r="L958" s="165"/>
      <c r="M958" s="165"/>
      <c r="N958" s="165"/>
      <c r="O958" s="165">
        <f t="shared" si="25"/>
        <v>0</v>
      </c>
      <c r="P958" s="165" t="s">
        <v>4766</v>
      </c>
      <c r="Q958" s="165" t="s">
        <v>4595</v>
      </c>
      <c r="R958" s="3">
        <v>11970</v>
      </c>
      <c r="S958" s="3">
        <v>11970</v>
      </c>
      <c r="T958"/>
      <c r="U958" s="3"/>
    </row>
    <row r="959" spans="1:22">
      <c r="A959" s="165" t="s">
        <v>4181</v>
      </c>
      <c r="B959" s="165">
        <v>1014</v>
      </c>
      <c r="C959" s="165" t="s">
        <v>4182</v>
      </c>
      <c r="D959" s="165">
        <v>4</v>
      </c>
      <c r="E959" s="165" t="s">
        <v>4187</v>
      </c>
      <c r="F959" s="165" t="s">
        <v>4016</v>
      </c>
      <c r="G959" s="165">
        <v>11970</v>
      </c>
      <c r="H959" s="165"/>
      <c r="I959" s="165"/>
      <c r="J959" s="165"/>
      <c r="K959" s="165">
        <v>11970</v>
      </c>
      <c r="L959" s="165"/>
      <c r="M959" s="165"/>
      <c r="N959" s="165"/>
      <c r="O959" s="165">
        <f t="shared" si="25"/>
        <v>0</v>
      </c>
      <c r="P959" s="165" t="s">
        <v>4767</v>
      </c>
      <c r="Q959" s="165" t="s">
        <v>4782</v>
      </c>
      <c r="R959" s="3">
        <v>11970</v>
      </c>
      <c r="S959" s="3">
        <v>11970</v>
      </c>
      <c r="T959"/>
      <c r="U959" s="3"/>
    </row>
    <row r="960" spans="1:22">
      <c r="A960" s="165" t="s">
        <v>4181</v>
      </c>
      <c r="B960" s="165">
        <v>1015</v>
      </c>
      <c r="C960" s="165" t="s">
        <v>4182</v>
      </c>
      <c r="D960" s="165">
        <v>5</v>
      </c>
      <c r="E960" s="165" t="s">
        <v>4188</v>
      </c>
      <c r="F960" s="165" t="s">
        <v>4018</v>
      </c>
      <c r="G960" s="165">
        <v>11970</v>
      </c>
      <c r="H960" s="165"/>
      <c r="I960" s="165"/>
      <c r="J960" s="165"/>
      <c r="K960" s="165">
        <v>11970</v>
      </c>
      <c r="L960" s="165"/>
      <c r="M960" s="165"/>
      <c r="N960" s="165"/>
      <c r="O960" s="165">
        <f t="shared" si="25"/>
        <v>0</v>
      </c>
      <c r="P960" s="165" t="s">
        <v>4715</v>
      </c>
      <c r="Q960" s="165" t="s">
        <v>4786</v>
      </c>
      <c r="R960" s="3">
        <v>11970</v>
      </c>
      <c r="S960" s="3">
        <v>11970</v>
      </c>
      <c r="T960"/>
      <c r="U960" s="3"/>
    </row>
    <row r="961" spans="1:22">
      <c r="A961" s="165" t="s">
        <v>4181</v>
      </c>
      <c r="B961" s="165">
        <v>1016</v>
      </c>
      <c r="C961" s="165" t="s">
        <v>4182</v>
      </c>
      <c r="D961" s="165">
        <v>6</v>
      </c>
      <c r="E961" s="165" t="s">
        <v>4189</v>
      </c>
      <c r="F961" s="165" t="s">
        <v>4190</v>
      </c>
      <c r="G961" s="165">
        <v>11970</v>
      </c>
      <c r="H961" s="165"/>
      <c r="I961" s="165"/>
      <c r="J961" s="165"/>
      <c r="K961" s="165">
        <v>11970</v>
      </c>
      <c r="L961" s="165"/>
      <c r="M961" s="165"/>
      <c r="N961" s="165"/>
      <c r="O961" s="165">
        <f t="shared" si="25"/>
        <v>0</v>
      </c>
      <c r="P961" s="165" t="s">
        <v>5318</v>
      </c>
      <c r="Q961" s="165" t="s">
        <v>4033</v>
      </c>
      <c r="R961" s="3">
        <v>11970</v>
      </c>
      <c r="S961" s="3">
        <v>11970</v>
      </c>
      <c r="T961"/>
      <c r="U961" s="3"/>
    </row>
    <row r="962" spans="1:22">
      <c r="A962" s="165" t="s">
        <v>4181</v>
      </c>
      <c r="B962" s="165">
        <v>1017</v>
      </c>
      <c r="C962" s="165" t="s">
        <v>4182</v>
      </c>
      <c r="D962" s="165">
        <v>7</v>
      </c>
      <c r="E962" s="165" t="s">
        <v>4191</v>
      </c>
      <c r="F962" s="165" t="s">
        <v>4192</v>
      </c>
      <c r="G962" s="165">
        <v>11970</v>
      </c>
      <c r="H962" s="165"/>
      <c r="I962" s="165"/>
      <c r="J962" s="165"/>
      <c r="K962" s="165"/>
      <c r="L962" s="165">
        <v>11970</v>
      </c>
      <c r="M962" s="165"/>
      <c r="N962" s="165"/>
      <c r="O962" s="165">
        <f>G962+H962+I962-J962-K962-L962</f>
        <v>0</v>
      </c>
      <c r="P962" s="165" t="s">
        <v>4651</v>
      </c>
      <c r="Q962" s="165" t="s">
        <v>4793</v>
      </c>
      <c r="R962" s="3">
        <v>11970</v>
      </c>
      <c r="S962" s="3">
        <v>11970</v>
      </c>
      <c r="T962"/>
      <c r="U962" s="3"/>
    </row>
    <row r="963" spans="1:22">
      <c r="A963" s="165" t="s">
        <v>4181</v>
      </c>
      <c r="B963" s="165">
        <v>1018</v>
      </c>
      <c r="C963" s="165" t="s">
        <v>4182</v>
      </c>
      <c r="D963" s="165">
        <v>8</v>
      </c>
      <c r="E963" s="165" t="s">
        <v>4193</v>
      </c>
      <c r="F963" s="165" t="s">
        <v>4194</v>
      </c>
      <c r="G963" s="165">
        <v>11970</v>
      </c>
      <c r="H963" s="165"/>
      <c r="I963" s="165"/>
      <c r="J963" s="165"/>
      <c r="K963" s="165"/>
      <c r="L963" s="165">
        <v>11970</v>
      </c>
      <c r="M963" s="165"/>
      <c r="N963" s="165"/>
      <c r="O963" s="165">
        <f>G963+H963+I963-J963-K963-L963</f>
        <v>0</v>
      </c>
      <c r="P963" s="165" t="s">
        <v>4806</v>
      </c>
      <c r="Q963" s="165" t="s">
        <v>4194</v>
      </c>
      <c r="R963" s="3">
        <v>11970</v>
      </c>
      <c r="S963" s="3">
        <v>11970</v>
      </c>
      <c r="T963"/>
      <c r="U963" s="3"/>
    </row>
    <row r="964" spans="1:22" s="163" customFormat="1">
      <c r="A964" s="281" t="s">
        <v>4195</v>
      </c>
      <c r="B964" s="281"/>
      <c r="C964" s="281" t="s">
        <v>3825</v>
      </c>
      <c r="D964" s="281">
        <v>2</v>
      </c>
      <c r="E964" s="281" t="s">
        <v>1283</v>
      </c>
      <c r="F964" s="281" t="s">
        <v>4195</v>
      </c>
      <c r="G964" s="284"/>
      <c r="H964" s="284"/>
      <c r="I964" s="284"/>
      <c r="J964" s="281"/>
      <c r="K964" s="281"/>
      <c r="L964" s="281"/>
      <c r="M964" s="281"/>
      <c r="N964" s="281"/>
      <c r="O964" s="281">
        <f t="shared" ref="O964:O976" si="26">G964+H964+I964-J964-K964</f>
        <v>0</v>
      </c>
      <c r="P964" s="281" t="s">
        <v>4195</v>
      </c>
      <c r="Q964" s="281" t="s">
        <v>4195</v>
      </c>
      <c r="R964" s="281">
        <v>14175</v>
      </c>
      <c r="S964" s="281">
        <v>14145</v>
      </c>
      <c r="T964" s="406">
        <v>14145</v>
      </c>
      <c r="U964" s="284">
        <v>30</v>
      </c>
    </row>
    <row r="965" spans="1:22">
      <c r="A965" s="165" t="s">
        <v>3955</v>
      </c>
      <c r="B965" s="94">
        <v>1019</v>
      </c>
      <c r="C965" s="165" t="s">
        <v>1305</v>
      </c>
      <c r="D965" s="165">
        <v>4</v>
      </c>
      <c r="E965" s="165" t="s">
        <v>4196</v>
      </c>
      <c r="F965" s="165" t="s">
        <v>4197</v>
      </c>
      <c r="G965" s="165"/>
      <c r="H965" s="165">
        <v>11340</v>
      </c>
      <c r="I965" s="165"/>
      <c r="J965" s="165">
        <v>11340</v>
      </c>
      <c r="K965" s="165"/>
      <c r="L965" s="165"/>
      <c r="M965" s="165"/>
      <c r="N965" s="165"/>
      <c r="O965" s="165">
        <f t="shared" si="26"/>
        <v>0</v>
      </c>
      <c r="P965" s="165" t="s">
        <v>3986</v>
      </c>
      <c r="Q965" s="165" t="s">
        <v>3987</v>
      </c>
      <c r="R965" s="3">
        <v>11340</v>
      </c>
      <c r="S965" s="405">
        <v>11340</v>
      </c>
      <c r="T965"/>
      <c r="U965" s="3"/>
    </row>
    <row r="966" spans="1:22" s="163" customFormat="1">
      <c r="A966" s="281" t="s">
        <v>4197</v>
      </c>
      <c r="B966" s="281"/>
      <c r="C966" s="281" t="s">
        <v>1532</v>
      </c>
      <c r="D966" s="281">
        <v>1</v>
      </c>
      <c r="E966" s="281" t="s">
        <v>1283</v>
      </c>
      <c r="F966" s="281" t="s">
        <v>4197</v>
      </c>
      <c r="G966" s="284"/>
      <c r="H966" s="284"/>
      <c r="I966" s="284"/>
      <c r="J966" s="281"/>
      <c r="K966" s="281"/>
      <c r="L966" s="281"/>
      <c r="M966" s="281"/>
      <c r="N966" s="281"/>
      <c r="O966" s="281">
        <f t="shared" si="26"/>
        <v>0</v>
      </c>
      <c r="P966" s="281" t="s">
        <v>4197</v>
      </c>
      <c r="Q966" s="281" t="s">
        <v>4197</v>
      </c>
      <c r="R966" s="281">
        <v>13500</v>
      </c>
      <c r="S966" s="281">
        <v>13485</v>
      </c>
      <c r="T966" s="406">
        <v>13485</v>
      </c>
      <c r="U966" s="284">
        <v>15</v>
      </c>
    </row>
    <row r="967" spans="1:22">
      <c r="A967" s="165" t="s">
        <v>3970</v>
      </c>
      <c r="B967" s="94">
        <v>1020</v>
      </c>
      <c r="C967" s="165" t="s">
        <v>1232</v>
      </c>
      <c r="D967" s="165">
        <v>6</v>
      </c>
      <c r="E967" s="165" t="s">
        <v>4198</v>
      </c>
      <c r="F967" s="165" t="s">
        <v>4081</v>
      </c>
      <c r="G967" s="165">
        <v>16380</v>
      </c>
      <c r="H967" s="165"/>
      <c r="I967" s="165"/>
      <c r="J967" s="165">
        <v>16380</v>
      </c>
      <c r="K967" s="165"/>
      <c r="L967" s="165"/>
      <c r="M967" s="165"/>
      <c r="N967" s="165"/>
      <c r="O967" s="165">
        <f t="shared" si="26"/>
        <v>0</v>
      </c>
      <c r="P967" s="165" t="s">
        <v>3986</v>
      </c>
      <c r="Q967" s="165" t="s">
        <v>3987</v>
      </c>
      <c r="R967" s="3">
        <v>16380</v>
      </c>
      <c r="S967" s="3">
        <v>16380</v>
      </c>
      <c r="T967"/>
      <c r="U967" s="3"/>
    </row>
    <row r="968" spans="1:22" s="163" customFormat="1">
      <c r="A968" s="281" t="s">
        <v>3965</v>
      </c>
      <c r="B968" s="281"/>
      <c r="C968" s="281" t="s">
        <v>4000</v>
      </c>
      <c r="D968" s="281"/>
      <c r="E968" s="281" t="s">
        <v>1283</v>
      </c>
      <c r="F968" s="281" t="s">
        <v>3965</v>
      </c>
      <c r="G968" s="284"/>
      <c r="H968" s="284"/>
      <c r="I968" s="284"/>
      <c r="J968" s="281"/>
      <c r="K968" s="281"/>
      <c r="L968" s="281"/>
      <c r="M968" s="281"/>
      <c r="N968" s="281"/>
      <c r="O968" s="281">
        <f t="shared" si="26"/>
        <v>0</v>
      </c>
      <c r="P968" s="281" t="s">
        <v>3965</v>
      </c>
      <c r="Q968" s="281" t="s">
        <v>3965</v>
      </c>
      <c r="R968" s="281">
        <v>113400</v>
      </c>
      <c r="S968" s="281">
        <v>113390</v>
      </c>
      <c r="T968" s="406">
        <v>113390</v>
      </c>
      <c r="U968" s="284">
        <v>10</v>
      </c>
      <c r="V968" s="163" t="s">
        <v>4199</v>
      </c>
    </row>
    <row r="969" spans="1:22" s="163" customFormat="1">
      <c r="A969" s="281" t="s">
        <v>4200</v>
      </c>
      <c r="B969" s="281"/>
      <c r="C969" s="281" t="s">
        <v>4201</v>
      </c>
      <c r="D969" s="281"/>
      <c r="E969" s="281" t="s">
        <v>1283</v>
      </c>
      <c r="F969" s="281" t="s">
        <v>4200</v>
      </c>
      <c r="G969" s="284"/>
      <c r="H969" s="284"/>
      <c r="I969" s="284"/>
      <c r="J969" s="281"/>
      <c r="K969" s="281"/>
      <c r="L969" s="281"/>
      <c r="M969" s="281"/>
      <c r="N969" s="281"/>
      <c r="O969" s="281">
        <f t="shared" si="26"/>
        <v>0</v>
      </c>
      <c r="P969" s="281" t="s">
        <v>4200</v>
      </c>
      <c r="Q969" s="281" t="s">
        <v>4200</v>
      </c>
      <c r="R969" s="281">
        <v>113400</v>
      </c>
      <c r="S969" s="281">
        <v>113400</v>
      </c>
      <c r="T969" s="406">
        <v>113400</v>
      </c>
      <c r="U969" s="284"/>
      <c r="V969" s="163" t="s">
        <v>4202</v>
      </c>
    </row>
    <row r="970" spans="1:22" s="283" customFormat="1">
      <c r="A970" s="279" t="s">
        <v>4203</v>
      </c>
      <c r="B970" s="279"/>
      <c r="C970" s="279" t="s">
        <v>2060</v>
      </c>
      <c r="D970" s="279">
        <v>2</v>
      </c>
      <c r="E970" s="279" t="s">
        <v>1283</v>
      </c>
      <c r="F970" s="279" t="s">
        <v>4203</v>
      </c>
      <c r="G970" s="280"/>
      <c r="H970" s="280"/>
      <c r="I970" s="280"/>
      <c r="J970" s="280"/>
      <c r="K970" s="280"/>
      <c r="L970" s="280"/>
      <c r="M970" s="280"/>
      <c r="N970" s="280"/>
      <c r="O970" s="280">
        <f t="shared" si="26"/>
        <v>0</v>
      </c>
      <c r="P970" s="279" t="s">
        <v>4203</v>
      </c>
      <c r="Q970" s="279" t="s">
        <v>4203</v>
      </c>
      <c r="R970" s="279">
        <v>13230</v>
      </c>
      <c r="S970" s="279">
        <v>13230</v>
      </c>
      <c r="T970" s="408">
        <v>13230</v>
      </c>
      <c r="U970" s="280"/>
      <c r="V970" s="282" t="s">
        <v>245</v>
      </c>
    </row>
    <row r="971" spans="1:22">
      <c r="A971" s="165" t="s">
        <v>3967</v>
      </c>
      <c r="B971" s="165">
        <v>1021</v>
      </c>
      <c r="C971" s="165" t="s">
        <v>4204</v>
      </c>
      <c r="D971" s="165">
        <v>1</v>
      </c>
      <c r="E971" s="165" t="s">
        <v>4205</v>
      </c>
      <c r="F971" s="165" t="s">
        <v>4200</v>
      </c>
      <c r="G971" s="165">
        <v>20475</v>
      </c>
      <c r="H971" s="165"/>
      <c r="I971" s="165"/>
      <c r="J971" s="165">
        <v>20475</v>
      </c>
      <c r="K971" s="165"/>
      <c r="L971" s="165"/>
      <c r="M971" s="165"/>
      <c r="N971" s="165"/>
      <c r="O971" s="165">
        <f t="shared" si="26"/>
        <v>0</v>
      </c>
      <c r="P971" s="165" t="s">
        <v>3957</v>
      </c>
      <c r="Q971" s="165" t="s">
        <v>3958</v>
      </c>
      <c r="R971" s="3">
        <v>20475</v>
      </c>
      <c r="S971" s="209">
        <v>20475</v>
      </c>
      <c r="T971"/>
      <c r="U971" s="3"/>
      <c r="V971" s="271" t="s">
        <v>2740</v>
      </c>
    </row>
    <row r="972" spans="1:22">
      <c r="A972" s="165" t="s">
        <v>3967</v>
      </c>
      <c r="B972" s="165">
        <v>1022</v>
      </c>
      <c r="C972" s="165" t="s">
        <v>4204</v>
      </c>
      <c r="D972" s="165">
        <v>2</v>
      </c>
      <c r="E972" s="165" t="s">
        <v>4206</v>
      </c>
      <c r="F972" s="165" t="s">
        <v>4100</v>
      </c>
      <c r="G972" s="165">
        <v>20475</v>
      </c>
      <c r="H972" s="165"/>
      <c r="I972" s="165"/>
      <c r="J972" s="165">
        <v>20475</v>
      </c>
      <c r="K972" s="165"/>
      <c r="L972" s="165"/>
      <c r="M972" s="165"/>
      <c r="N972" s="165"/>
      <c r="O972" s="165">
        <f t="shared" si="26"/>
        <v>0</v>
      </c>
      <c r="P972" s="165" t="s">
        <v>3957</v>
      </c>
      <c r="Q972" s="165" t="s">
        <v>3958</v>
      </c>
      <c r="R972" s="3">
        <v>20475</v>
      </c>
      <c r="S972" s="209">
        <v>20475</v>
      </c>
      <c r="T972"/>
      <c r="U972" s="3"/>
      <c r="V972" s="271" t="s">
        <v>2740</v>
      </c>
    </row>
    <row r="973" spans="1:22">
      <c r="A973" s="165" t="s">
        <v>3967</v>
      </c>
      <c r="B973" s="165">
        <v>1023</v>
      </c>
      <c r="C973" s="165" t="s">
        <v>4204</v>
      </c>
      <c r="D973" s="165">
        <v>3</v>
      </c>
      <c r="E973" s="165" t="s">
        <v>4207</v>
      </c>
      <c r="F973" s="165" t="s">
        <v>4102</v>
      </c>
      <c r="G973" s="565">
        <v>20475</v>
      </c>
      <c r="H973" s="165"/>
      <c r="I973" s="165"/>
      <c r="J973" s="165"/>
      <c r="K973" s="165">
        <v>20475</v>
      </c>
      <c r="L973" s="165"/>
      <c r="M973" s="165"/>
      <c r="N973" s="165"/>
      <c r="O973" s="165">
        <f t="shared" si="26"/>
        <v>0</v>
      </c>
      <c r="P973" s="165" t="s">
        <v>4434</v>
      </c>
      <c r="Q973" s="165" t="s">
        <v>4102</v>
      </c>
      <c r="R973" s="3">
        <v>20475</v>
      </c>
      <c r="S973" s="625">
        <v>20475</v>
      </c>
      <c r="T973"/>
      <c r="U973" s="3"/>
      <c r="V973" s="271" t="s">
        <v>2740</v>
      </c>
    </row>
    <row r="974" spans="1:22">
      <c r="A974" s="165" t="s">
        <v>3967</v>
      </c>
      <c r="B974" s="165">
        <v>1024</v>
      </c>
      <c r="C974" s="165" t="s">
        <v>4204</v>
      </c>
      <c r="D974" s="165">
        <v>4</v>
      </c>
      <c r="E974" s="165" t="s">
        <v>4208</v>
      </c>
      <c r="F974" s="165" t="s">
        <v>4104</v>
      </c>
      <c r="G974" s="565">
        <v>20475</v>
      </c>
      <c r="H974" s="165"/>
      <c r="I974" s="165"/>
      <c r="J974" s="165"/>
      <c r="K974" s="165">
        <v>20475</v>
      </c>
      <c r="L974" s="165"/>
      <c r="M974" s="165"/>
      <c r="N974" s="165"/>
      <c r="O974" s="165">
        <f t="shared" si="26"/>
        <v>0</v>
      </c>
      <c r="P974" s="165" t="s">
        <v>4767</v>
      </c>
      <c r="Q974" s="165" t="s">
        <v>4782</v>
      </c>
      <c r="R974" s="3">
        <v>20475</v>
      </c>
      <c r="S974" s="625">
        <v>20475</v>
      </c>
      <c r="T974"/>
      <c r="U974" s="3"/>
      <c r="V974" s="271" t="s">
        <v>2740</v>
      </c>
    </row>
    <row r="975" spans="1:22">
      <c r="A975" s="165" t="s">
        <v>3967</v>
      </c>
      <c r="B975" s="165">
        <v>1025</v>
      </c>
      <c r="C975" s="165" t="s">
        <v>4204</v>
      </c>
      <c r="D975" s="165">
        <v>5</v>
      </c>
      <c r="E975" s="165" t="s">
        <v>4209</v>
      </c>
      <c r="F975" s="165" t="s">
        <v>4106</v>
      </c>
      <c r="G975" s="565">
        <v>20475</v>
      </c>
      <c r="H975" s="165"/>
      <c r="I975" s="165"/>
      <c r="J975" s="165"/>
      <c r="K975" s="165">
        <v>20475</v>
      </c>
      <c r="L975" s="165"/>
      <c r="M975" s="165"/>
      <c r="N975" s="165"/>
      <c r="O975" s="165">
        <f t="shared" si="26"/>
        <v>0</v>
      </c>
      <c r="P975" s="165" t="s">
        <v>4715</v>
      </c>
      <c r="Q975" s="165" t="s">
        <v>4786</v>
      </c>
      <c r="R975" s="3">
        <v>20475</v>
      </c>
      <c r="S975" s="625">
        <v>20475</v>
      </c>
      <c r="T975"/>
      <c r="U975" s="3"/>
      <c r="V975" s="271" t="s">
        <v>2740</v>
      </c>
    </row>
    <row r="976" spans="1:22">
      <c r="A976" s="165" t="s">
        <v>3967</v>
      </c>
      <c r="B976" s="165">
        <v>1026</v>
      </c>
      <c r="C976" s="165" t="s">
        <v>4204</v>
      </c>
      <c r="D976" s="165">
        <v>6</v>
      </c>
      <c r="E976" s="165" t="s">
        <v>4210</v>
      </c>
      <c r="F976" s="165" t="s">
        <v>4108</v>
      </c>
      <c r="G976" s="565">
        <v>20475</v>
      </c>
      <c r="H976" s="165"/>
      <c r="I976" s="165"/>
      <c r="J976" s="165"/>
      <c r="K976" s="165">
        <v>20475</v>
      </c>
      <c r="L976" s="165"/>
      <c r="M976" s="165"/>
      <c r="N976" s="165"/>
      <c r="O976" s="165">
        <f t="shared" si="26"/>
        <v>0</v>
      </c>
      <c r="P976" s="165" t="s">
        <v>4190</v>
      </c>
      <c r="Q976" s="165" t="s">
        <v>4033</v>
      </c>
      <c r="R976" s="3">
        <v>20475</v>
      </c>
      <c r="S976" s="625">
        <v>20475</v>
      </c>
      <c r="T976"/>
      <c r="U976" s="3"/>
      <c r="V976" s="271" t="s">
        <v>2740</v>
      </c>
    </row>
    <row r="977" spans="1:22">
      <c r="A977" s="165" t="s">
        <v>3967</v>
      </c>
      <c r="B977" s="165">
        <v>1027</v>
      </c>
      <c r="C977" s="165" t="s">
        <v>4204</v>
      </c>
      <c r="D977" s="165">
        <v>7</v>
      </c>
      <c r="E977" s="165" t="s">
        <v>4211</v>
      </c>
      <c r="F977" s="165" t="s">
        <v>4110</v>
      </c>
      <c r="G977" s="165"/>
      <c r="H977" s="165">
        <v>20475</v>
      </c>
      <c r="I977" s="165"/>
      <c r="J977" s="165"/>
      <c r="K977" s="165"/>
      <c r="L977" s="165">
        <v>20475</v>
      </c>
      <c r="M977" s="165"/>
      <c r="N977" s="165"/>
      <c r="O977" s="165">
        <f>G977+H977+I977-J977-K977-L977</f>
        <v>0</v>
      </c>
      <c r="P977" s="165" t="s">
        <v>4651</v>
      </c>
      <c r="Q977" s="165" t="s">
        <v>5323</v>
      </c>
      <c r="R977" s="3">
        <v>20475</v>
      </c>
      <c r="S977" s="625">
        <v>20475</v>
      </c>
      <c r="T977"/>
      <c r="U977" s="3"/>
      <c r="V977" s="271" t="s">
        <v>2740</v>
      </c>
    </row>
    <row r="978" spans="1:22">
      <c r="A978" s="165" t="s">
        <v>3967</v>
      </c>
      <c r="B978" s="165">
        <v>1028</v>
      </c>
      <c r="C978" s="165" t="s">
        <v>4204</v>
      </c>
      <c r="D978" s="165">
        <v>8</v>
      </c>
      <c r="E978" s="165" t="s">
        <v>4212</v>
      </c>
      <c r="F978" s="165" t="s">
        <v>4213</v>
      </c>
      <c r="G978" s="165"/>
      <c r="H978" s="165">
        <v>20475</v>
      </c>
      <c r="I978" s="165"/>
      <c r="J978" s="165"/>
      <c r="K978" s="165"/>
      <c r="L978" s="165">
        <v>20475</v>
      </c>
      <c r="M978" s="165"/>
      <c r="N978" s="165"/>
      <c r="O978" s="165">
        <f>G978+H978+I978-J978-K978-L978</f>
        <v>0</v>
      </c>
      <c r="P978" s="165" t="s">
        <v>4806</v>
      </c>
      <c r="Q978" s="165" t="s">
        <v>4213</v>
      </c>
      <c r="R978" s="3">
        <v>20475</v>
      </c>
      <c r="S978" s="625">
        <v>20475</v>
      </c>
      <c r="T978"/>
      <c r="U978" s="3"/>
      <c r="V978" s="271" t="s">
        <v>2740</v>
      </c>
    </row>
    <row r="979" spans="1:22" s="163" customFormat="1">
      <c r="A979" s="281" t="s">
        <v>4214</v>
      </c>
      <c r="B979" s="281"/>
      <c r="C979" s="281" t="s">
        <v>3825</v>
      </c>
      <c r="D979" s="281">
        <v>3</v>
      </c>
      <c r="E979" s="281" t="s">
        <v>1283</v>
      </c>
      <c r="F979" s="281" t="s">
        <v>4214</v>
      </c>
      <c r="G979" s="284"/>
      <c r="H979" s="284"/>
      <c r="I979" s="284"/>
      <c r="J979" s="281"/>
      <c r="K979" s="281"/>
      <c r="L979" s="281"/>
      <c r="M979" s="281"/>
      <c r="N979" s="281"/>
      <c r="O979" s="281">
        <f t="shared" ref="O979:O985" si="27">G979+H979+I979-J979-K979</f>
        <v>0</v>
      </c>
      <c r="P979" s="281" t="s">
        <v>4214</v>
      </c>
      <c r="Q979" s="281" t="s">
        <v>4214</v>
      </c>
      <c r="R979" s="281">
        <v>14175</v>
      </c>
      <c r="S979" s="281">
        <v>14145</v>
      </c>
      <c r="T979" s="406">
        <v>14145</v>
      </c>
      <c r="U979" s="284">
        <v>30</v>
      </c>
    </row>
    <row r="980" spans="1:22" s="163" customFormat="1">
      <c r="A980" s="281" t="s">
        <v>4215</v>
      </c>
      <c r="B980" s="281"/>
      <c r="C980" s="281" t="s">
        <v>1532</v>
      </c>
      <c r="D980" s="281">
        <v>2</v>
      </c>
      <c r="E980" s="281" t="s">
        <v>1283</v>
      </c>
      <c r="F980" s="281" t="s">
        <v>4215</v>
      </c>
      <c r="G980" s="284"/>
      <c r="H980" s="284"/>
      <c r="I980" s="284"/>
      <c r="J980" s="281"/>
      <c r="K980" s="281"/>
      <c r="L980" s="281"/>
      <c r="M980" s="281"/>
      <c r="N980" s="281"/>
      <c r="O980" s="281">
        <f t="shared" si="27"/>
        <v>0</v>
      </c>
      <c r="P980" s="281" t="s">
        <v>4215</v>
      </c>
      <c r="Q980" s="281" t="s">
        <v>4215</v>
      </c>
      <c r="R980" s="281">
        <v>13500</v>
      </c>
      <c r="S980" s="281">
        <v>13485</v>
      </c>
      <c r="T980" s="406">
        <v>13485</v>
      </c>
      <c r="U980" s="284">
        <v>15</v>
      </c>
    </row>
    <row r="981" spans="1:22">
      <c r="A981" s="165" t="s">
        <v>4216</v>
      </c>
      <c r="B981" s="165">
        <v>1029</v>
      </c>
      <c r="C981" s="165" t="s">
        <v>831</v>
      </c>
      <c r="D981" s="165">
        <v>1</v>
      </c>
      <c r="E981" s="165" t="s">
        <v>4217</v>
      </c>
      <c r="F981" s="165" t="s">
        <v>4185</v>
      </c>
      <c r="G981" s="165">
        <v>11400</v>
      </c>
      <c r="H981" s="165"/>
      <c r="I981" s="165"/>
      <c r="J981" s="165">
        <v>11400</v>
      </c>
      <c r="K981" s="165"/>
      <c r="L981" s="165"/>
      <c r="M981" s="165"/>
      <c r="N981" s="165"/>
      <c r="O981" s="165">
        <f t="shared" si="27"/>
        <v>0</v>
      </c>
      <c r="P981" s="165" t="s">
        <v>3957</v>
      </c>
      <c r="Q981" s="165" t="s">
        <v>3958</v>
      </c>
      <c r="R981" s="3">
        <v>11400</v>
      </c>
      <c r="S981" s="3">
        <v>11400</v>
      </c>
      <c r="T981"/>
      <c r="U981" s="3"/>
    </row>
    <row r="982" spans="1:22">
      <c r="A982" s="165" t="s">
        <v>4216</v>
      </c>
      <c r="B982" s="165">
        <v>1030</v>
      </c>
      <c r="C982" s="165" t="s">
        <v>831</v>
      </c>
      <c r="D982" s="165">
        <v>2</v>
      </c>
      <c r="E982" s="165" t="s">
        <v>4218</v>
      </c>
      <c r="F982" s="165" t="s">
        <v>4219</v>
      </c>
      <c r="G982" s="165">
        <v>11400</v>
      </c>
      <c r="H982" s="165"/>
      <c r="I982" s="165"/>
      <c r="J982" s="165"/>
      <c r="K982" s="165">
        <v>11400</v>
      </c>
      <c r="L982" s="165"/>
      <c r="M982" s="165"/>
      <c r="N982" s="165"/>
      <c r="O982" s="165">
        <f t="shared" si="27"/>
        <v>0</v>
      </c>
      <c r="P982" s="165" t="s">
        <v>4766</v>
      </c>
      <c r="Q982" s="165" t="s">
        <v>4595</v>
      </c>
      <c r="R982" s="3">
        <v>11400</v>
      </c>
      <c r="S982" s="3">
        <v>11400</v>
      </c>
      <c r="T982"/>
      <c r="U982" s="3"/>
    </row>
    <row r="983" spans="1:22">
      <c r="A983" s="165" t="s">
        <v>4216</v>
      </c>
      <c r="B983" s="165">
        <v>1031</v>
      </c>
      <c r="C983" s="165" t="s">
        <v>831</v>
      </c>
      <c r="D983" s="165">
        <v>3</v>
      </c>
      <c r="E983" s="165" t="s">
        <v>4220</v>
      </c>
      <c r="F983" s="165" t="s">
        <v>4016</v>
      </c>
      <c r="G983" s="165">
        <v>11400</v>
      </c>
      <c r="H983" s="165"/>
      <c r="I983" s="165"/>
      <c r="J983" s="165"/>
      <c r="K983" s="165">
        <v>11400</v>
      </c>
      <c r="L983" s="165"/>
      <c r="M983" s="165"/>
      <c r="N983" s="165"/>
      <c r="O983" s="165">
        <f t="shared" si="27"/>
        <v>0</v>
      </c>
      <c r="P983" s="165" t="s">
        <v>4767</v>
      </c>
      <c r="Q983" s="165" t="s">
        <v>4782</v>
      </c>
      <c r="R983" s="3">
        <v>11400</v>
      </c>
      <c r="S983" s="3">
        <v>11400</v>
      </c>
      <c r="T983"/>
      <c r="U983" s="3"/>
    </row>
    <row r="984" spans="1:22">
      <c r="A984" s="165" t="s">
        <v>4216</v>
      </c>
      <c r="B984" s="165">
        <v>1032</v>
      </c>
      <c r="C984" s="165" t="s">
        <v>831</v>
      </c>
      <c r="D984" s="165">
        <v>4</v>
      </c>
      <c r="E984" s="165" t="s">
        <v>4221</v>
      </c>
      <c r="F984" s="165" t="s">
        <v>4018</v>
      </c>
      <c r="G984" s="165">
        <v>11400</v>
      </c>
      <c r="H984" s="165"/>
      <c r="I984" s="165"/>
      <c r="J984" s="165"/>
      <c r="K984" s="165">
        <v>11400</v>
      </c>
      <c r="L984" s="165"/>
      <c r="M984" s="165"/>
      <c r="N984" s="165"/>
      <c r="O984" s="165">
        <f t="shared" si="27"/>
        <v>0</v>
      </c>
      <c r="P984" s="165" t="s">
        <v>4715</v>
      </c>
      <c r="Q984" s="165" t="s">
        <v>4786</v>
      </c>
      <c r="R984" s="3">
        <v>11400</v>
      </c>
      <c r="S984" s="3">
        <v>11400</v>
      </c>
      <c r="T984"/>
      <c r="U984" s="3"/>
    </row>
    <row r="985" spans="1:22">
      <c r="A985" s="165" t="s">
        <v>4216</v>
      </c>
      <c r="B985" s="165">
        <v>1033</v>
      </c>
      <c r="C985" s="165" t="s">
        <v>831</v>
      </c>
      <c r="D985" s="165">
        <v>5</v>
      </c>
      <c r="E985" s="165" t="s">
        <v>4222</v>
      </c>
      <c r="F985" s="165" t="s">
        <v>4190</v>
      </c>
      <c r="G985" s="165">
        <v>11400</v>
      </c>
      <c r="H985" s="165"/>
      <c r="I985" s="165"/>
      <c r="J985" s="165"/>
      <c r="K985" s="165">
        <v>11400</v>
      </c>
      <c r="L985" s="165"/>
      <c r="M985" s="165"/>
      <c r="N985" s="165"/>
      <c r="O985" s="165">
        <f t="shared" si="27"/>
        <v>0</v>
      </c>
      <c r="P985" s="165" t="s">
        <v>4190</v>
      </c>
      <c r="Q985" s="165" t="s">
        <v>4033</v>
      </c>
      <c r="R985" s="3">
        <v>11400</v>
      </c>
      <c r="S985" s="3">
        <v>11400</v>
      </c>
      <c r="T985"/>
      <c r="U985" s="3"/>
    </row>
    <row r="986" spans="1:22">
      <c r="A986" s="165" t="s">
        <v>4216</v>
      </c>
      <c r="B986" s="165">
        <v>1034</v>
      </c>
      <c r="C986" s="165" t="s">
        <v>831</v>
      </c>
      <c r="D986" s="165">
        <v>6</v>
      </c>
      <c r="E986" s="165" t="s">
        <v>4223</v>
      </c>
      <c r="F986" s="165" t="s">
        <v>4192</v>
      </c>
      <c r="G986" s="165">
        <v>11400</v>
      </c>
      <c r="H986" s="165"/>
      <c r="I986" s="165"/>
      <c r="J986" s="165"/>
      <c r="K986" s="165"/>
      <c r="L986" s="165">
        <v>11400</v>
      </c>
      <c r="M986" s="165"/>
      <c r="N986" s="165"/>
      <c r="O986" s="165">
        <f>G986+H986+I986-J986-K986-L986</f>
        <v>0</v>
      </c>
      <c r="P986" s="165" t="s">
        <v>4651</v>
      </c>
      <c r="Q986" s="165" t="s">
        <v>4793</v>
      </c>
      <c r="R986" s="3">
        <v>11400</v>
      </c>
      <c r="S986" s="3">
        <v>11400</v>
      </c>
      <c r="T986"/>
      <c r="U986" s="3"/>
    </row>
    <row r="987" spans="1:22">
      <c r="A987" s="165" t="s">
        <v>4216</v>
      </c>
      <c r="B987" s="165">
        <v>1035</v>
      </c>
      <c r="C987" s="165" t="s">
        <v>831</v>
      </c>
      <c r="D987" s="165">
        <v>7</v>
      </c>
      <c r="E987" s="165" t="s">
        <v>4224</v>
      </c>
      <c r="F987" s="165" t="s">
        <v>4194</v>
      </c>
      <c r="G987" s="165">
        <v>11400</v>
      </c>
      <c r="H987" s="165"/>
      <c r="I987" s="165"/>
      <c r="J987" s="165"/>
      <c r="K987" s="165"/>
      <c r="L987" s="165">
        <v>11400</v>
      </c>
      <c r="M987" s="165"/>
      <c r="N987" s="165"/>
      <c r="O987" s="165">
        <f>G987+H987+I987-J987-K987-L987</f>
        <v>0</v>
      </c>
      <c r="P987" s="165" t="s">
        <v>4806</v>
      </c>
      <c r="Q987" s="165" t="s">
        <v>4194</v>
      </c>
      <c r="R987" s="3">
        <v>11400</v>
      </c>
      <c r="S987" s="3">
        <v>11400</v>
      </c>
      <c r="T987"/>
      <c r="U987" s="3"/>
    </row>
    <row r="988" spans="1:22">
      <c r="A988" s="165" t="s">
        <v>4216</v>
      </c>
      <c r="B988" s="165">
        <v>1036</v>
      </c>
      <c r="C988" s="165" t="s">
        <v>831</v>
      </c>
      <c r="D988" s="165">
        <v>8</v>
      </c>
      <c r="E988" s="165" t="s">
        <v>4225</v>
      </c>
      <c r="F988" s="165" t="s">
        <v>4226</v>
      </c>
      <c r="G988" s="165">
        <v>11400</v>
      </c>
      <c r="H988" s="165"/>
      <c r="I988" s="165"/>
      <c r="J988" s="165"/>
      <c r="K988" s="165"/>
      <c r="L988" s="165">
        <v>11400</v>
      </c>
      <c r="M988" s="165"/>
      <c r="N988" s="165"/>
      <c r="O988" s="165">
        <f>G988+H988+I988-J988-K988-L988</f>
        <v>0</v>
      </c>
      <c r="P988" s="165" t="s">
        <v>5500</v>
      </c>
      <c r="Q988" s="165" t="s">
        <v>4226</v>
      </c>
      <c r="R988" s="3">
        <v>11400</v>
      </c>
      <c r="S988" s="3">
        <v>11400</v>
      </c>
      <c r="T988"/>
      <c r="U988" s="3"/>
    </row>
    <row r="989" spans="1:22">
      <c r="A989" s="165" t="s">
        <v>3958</v>
      </c>
      <c r="B989" s="165">
        <v>1037</v>
      </c>
      <c r="C989" s="165" t="s">
        <v>1305</v>
      </c>
      <c r="D989" s="165">
        <v>5</v>
      </c>
      <c r="E989" s="165" t="s">
        <v>4227</v>
      </c>
      <c r="F989" s="165" t="s">
        <v>4228</v>
      </c>
      <c r="G989" s="165"/>
      <c r="H989" s="165">
        <v>11340</v>
      </c>
      <c r="I989" s="165"/>
      <c r="J989" s="165">
        <v>11340</v>
      </c>
      <c r="K989" s="165"/>
      <c r="L989" s="165"/>
      <c r="M989" s="165"/>
      <c r="N989" s="165"/>
      <c r="O989" s="165">
        <f t="shared" ref="O989:O1006" si="28">G989+H989+I989-J989-K989</f>
        <v>0</v>
      </c>
      <c r="P989" s="165" t="s">
        <v>3972</v>
      </c>
      <c r="Q989" s="165" t="s">
        <v>3973</v>
      </c>
      <c r="R989" s="3">
        <v>11340</v>
      </c>
      <c r="S989" s="405">
        <v>11340</v>
      </c>
      <c r="T989"/>
      <c r="U989" s="3"/>
    </row>
    <row r="990" spans="1:22">
      <c r="A990" s="165" t="s">
        <v>4229</v>
      </c>
      <c r="B990" s="165">
        <v>1038</v>
      </c>
      <c r="C990" s="165" t="s">
        <v>4230</v>
      </c>
      <c r="D990" s="165">
        <v>13</v>
      </c>
      <c r="E990" s="165" t="s">
        <v>4231</v>
      </c>
      <c r="F990" s="165" t="s">
        <v>4232</v>
      </c>
      <c r="G990" s="165">
        <v>3780</v>
      </c>
      <c r="H990" s="165"/>
      <c r="I990" s="165"/>
      <c r="J990" s="165">
        <v>3780</v>
      </c>
      <c r="K990" s="165"/>
      <c r="L990" s="165"/>
      <c r="M990" s="165"/>
      <c r="N990" s="165"/>
      <c r="O990" s="165">
        <f t="shared" si="28"/>
        <v>0</v>
      </c>
      <c r="P990" s="165" t="s">
        <v>3963</v>
      </c>
      <c r="Q990" s="165" t="s">
        <v>3964</v>
      </c>
      <c r="R990" s="3">
        <v>3780</v>
      </c>
      <c r="S990" s="3">
        <v>3780</v>
      </c>
      <c r="T990"/>
      <c r="U990" s="3"/>
    </row>
    <row r="991" spans="1:22">
      <c r="A991" s="165" t="s">
        <v>4229</v>
      </c>
      <c r="B991" s="165">
        <v>1039</v>
      </c>
      <c r="C991" s="165" t="s">
        <v>4230</v>
      </c>
      <c r="D991" s="165">
        <v>14</v>
      </c>
      <c r="E991" s="165" t="s">
        <v>4233</v>
      </c>
      <c r="F991" s="165" t="s">
        <v>4234</v>
      </c>
      <c r="G991" s="165">
        <v>3780</v>
      </c>
      <c r="H991" s="165"/>
      <c r="I991" s="165"/>
      <c r="J991" s="165">
        <v>3780</v>
      </c>
      <c r="K991" s="165"/>
      <c r="L991" s="165"/>
      <c r="M991" s="165"/>
      <c r="N991" s="165"/>
      <c r="O991" s="165">
        <f t="shared" si="28"/>
        <v>0</v>
      </c>
      <c r="P991" s="165" t="s">
        <v>3963</v>
      </c>
      <c r="Q991" s="165" t="s">
        <v>3964</v>
      </c>
      <c r="R991" s="3">
        <v>3780</v>
      </c>
      <c r="S991" s="3">
        <v>3780</v>
      </c>
      <c r="T991"/>
      <c r="U991" s="3"/>
    </row>
    <row r="992" spans="1:22">
      <c r="A992" s="165" t="s">
        <v>4229</v>
      </c>
      <c r="B992" s="165">
        <v>1040</v>
      </c>
      <c r="C992" s="165" t="s">
        <v>4230</v>
      </c>
      <c r="D992" s="165">
        <v>15</v>
      </c>
      <c r="E992" s="165" t="s">
        <v>4235</v>
      </c>
      <c r="F992" s="165" t="s">
        <v>4236</v>
      </c>
      <c r="G992" s="165">
        <v>3780</v>
      </c>
      <c r="H992" s="165"/>
      <c r="I992" s="165"/>
      <c r="J992" s="165"/>
      <c r="K992" s="165">
        <v>3780</v>
      </c>
      <c r="L992" s="165"/>
      <c r="M992" s="165"/>
      <c r="N992" s="165"/>
      <c r="O992" s="165">
        <f t="shared" si="28"/>
        <v>0</v>
      </c>
      <c r="P992" s="165" t="s">
        <v>4236</v>
      </c>
      <c r="Q992" s="165" t="s">
        <v>4752</v>
      </c>
      <c r="R992" s="3">
        <v>3780</v>
      </c>
      <c r="S992" s="3">
        <v>3780</v>
      </c>
      <c r="T992"/>
      <c r="U992" s="3"/>
    </row>
    <row r="993" spans="1:21">
      <c r="A993" s="165" t="s">
        <v>4229</v>
      </c>
      <c r="B993" s="165">
        <v>1041</v>
      </c>
      <c r="C993" s="165" t="s">
        <v>4230</v>
      </c>
      <c r="D993" s="165">
        <v>16</v>
      </c>
      <c r="E993" s="165" t="s">
        <v>4237</v>
      </c>
      <c r="F993" s="165" t="s">
        <v>4238</v>
      </c>
      <c r="G993" s="165">
        <v>3780</v>
      </c>
      <c r="H993" s="165"/>
      <c r="I993" s="165"/>
      <c r="J993" s="165"/>
      <c r="K993" s="165">
        <v>3780</v>
      </c>
      <c r="L993" s="165"/>
      <c r="M993" s="165"/>
      <c r="N993" s="165"/>
      <c r="O993" s="165">
        <f t="shared" si="28"/>
        <v>0</v>
      </c>
      <c r="P993" s="165" t="s">
        <v>4434</v>
      </c>
      <c r="Q993" s="165" t="s">
        <v>4435</v>
      </c>
      <c r="R993" s="3">
        <v>3780</v>
      </c>
      <c r="S993" s="3">
        <v>3780</v>
      </c>
      <c r="T993"/>
      <c r="U993" s="3"/>
    </row>
    <row r="994" spans="1:21">
      <c r="A994" s="165" t="s">
        <v>4229</v>
      </c>
      <c r="B994" s="165">
        <v>1042</v>
      </c>
      <c r="C994" s="165" t="s">
        <v>4230</v>
      </c>
      <c r="D994" s="165">
        <v>17</v>
      </c>
      <c r="E994" s="165" t="s">
        <v>4239</v>
      </c>
      <c r="F994" s="165" t="s">
        <v>4027</v>
      </c>
      <c r="G994" s="165">
        <v>3780</v>
      </c>
      <c r="H994" s="165"/>
      <c r="I994" s="165"/>
      <c r="J994" s="165"/>
      <c r="K994" s="165">
        <v>3780</v>
      </c>
      <c r="L994" s="165"/>
      <c r="M994" s="165"/>
      <c r="N994" s="165"/>
      <c r="O994" s="165">
        <f t="shared" si="28"/>
        <v>0</v>
      </c>
      <c r="P994" s="165" t="s">
        <v>4766</v>
      </c>
      <c r="Q994" s="165" t="s">
        <v>4595</v>
      </c>
      <c r="R994" s="3">
        <v>3780</v>
      </c>
      <c r="S994" s="3">
        <v>3780</v>
      </c>
      <c r="T994"/>
    </row>
    <row r="995" spans="1:21">
      <c r="A995" s="165" t="s">
        <v>4229</v>
      </c>
      <c r="B995" s="165">
        <v>1043</v>
      </c>
      <c r="C995" s="165" t="s">
        <v>4230</v>
      </c>
      <c r="D995" s="165">
        <v>18</v>
      </c>
      <c r="E995" s="165" t="s">
        <v>4240</v>
      </c>
      <c r="F995" s="165" t="s">
        <v>4241</v>
      </c>
      <c r="G995" s="165">
        <v>3780</v>
      </c>
      <c r="H995" s="165"/>
      <c r="I995" s="165"/>
      <c r="J995" s="165"/>
      <c r="K995" s="165">
        <v>3780</v>
      </c>
      <c r="L995" s="165"/>
      <c r="M995" s="165"/>
      <c r="N995" s="165"/>
      <c r="O995" s="165">
        <f t="shared" si="28"/>
        <v>0</v>
      </c>
      <c r="P995" s="165" t="s">
        <v>4439</v>
      </c>
      <c r="Q995" s="165" t="s">
        <v>4780</v>
      </c>
      <c r="R995" s="3">
        <v>3780</v>
      </c>
      <c r="S995" s="3">
        <v>3780</v>
      </c>
      <c r="T995"/>
    </row>
    <row r="996" spans="1:21">
      <c r="A996" s="165" t="s">
        <v>4229</v>
      </c>
      <c r="B996" s="165">
        <v>1044</v>
      </c>
      <c r="C996" s="165" t="s">
        <v>4230</v>
      </c>
      <c r="D996" s="165">
        <v>19</v>
      </c>
      <c r="E996" s="165" t="s">
        <v>4242</v>
      </c>
      <c r="F996" s="165" t="s">
        <v>4243</v>
      </c>
      <c r="G996" s="165">
        <v>3780</v>
      </c>
      <c r="H996" s="165"/>
      <c r="I996" s="165"/>
      <c r="J996" s="165"/>
      <c r="K996" s="165">
        <v>3780</v>
      </c>
      <c r="L996" s="165"/>
      <c r="M996" s="165"/>
      <c r="N996" s="165"/>
      <c r="O996" s="165">
        <f t="shared" si="28"/>
        <v>0</v>
      </c>
      <c r="P996" s="165" t="s">
        <v>4588</v>
      </c>
      <c r="Q996" s="165" t="s">
        <v>4781</v>
      </c>
      <c r="R996" s="3">
        <v>3780</v>
      </c>
      <c r="S996" s="3">
        <v>3780</v>
      </c>
      <c r="T996"/>
    </row>
    <row r="997" spans="1:21">
      <c r="A997" s="165" t="s">
        <v>4229</v>
      </c>
      <c r="B997" s="165">
        <v>1045</v>
      </c>
      <c r="C997" s="165" t="s">
        <v>4230</v>
      </c>
      <c r="D997" s="165">
        <v>20</v>
      </c>
      <c r="E997" s="165" t="s">
        <v>4244</v>
      </c>
      <c r="F997" s="165" t="s">
        <v>4245</v>
      </c>
      <c r="G997" s="165">
        <v>3780</v>
      </c>
      <c r="H997" s="165"/>
      <c r="I997" s="165"/>
      <c r="J997" s="165"/>
      <c r="K997" s="165">
        <v>3780</v>
      </c>
      <c r="L997" s="165"/>
      <c r="M997" s="165"/>
      <c r="N997" s="165"/>
      <c r="O997" s="165">
        <f t="shared" si="28"/>
        <v>0</v>
      </c>
      <c r="P997" s="165" t="s">
        <v>4767</v>
      </c>
      <c r="Q997" s="165" t="s">
        <v>4782</v>
      </c>
      <c r="R997" s="3">
        <v>3780</v>
      </c>
      <c r="S997" s="3">
        <v>3780</v>
      </c>
      <c r="T997"/>
    </row>
    <row r="998" spans="1:21">
      <c r="A998" s="165" t="s">
        <v>4229</v>
      </c>
      <c r="B998" s="165">
        <v>1046</v>
      </c>
      <c r="C998" s="165" t="s">
        <v>4230</v>
      </c>
      <c r="D998" s="165">
        <v>21</v>
      </c>
      <c r="E998" s="165" t="s">
        <v>4246</v>
      </c>
      <c r="F998" s="165" t="s">
        <v>4247</v>
      </c>
      <c r="G998" s="165">
        <v>3780</v>
      </c>
      <c r="H998" s="165"/>
      <c r="I998" s="165"/>
      <c r="J998" s="165"/>
      <c r="K998" s="165">
        <v>3780</v>
      </c>
      <c r="L998" s="165"/>
      <c r="M998" s="165"/>
      <c r="N998" s="165"/>
      <c r="O998" s="165">
        <f t="shared" si="28"/>
        <v>0</v>
      </c>
      <c r="P998" s="165" t="s">
        <v>4769</v>
      </c>
      <c r="Q998" s="165" t="s">
        <v>4783</v>
      </c>
      <c r="R998" s="3">
        <v>3780</v>
      </c>
      <c r="S998" s="3">
        <v>3780</v>
      </c>
      <c r="T998"/>
    </row>
    <row r="999" spans="1:21">
      <c r="A999" s="165" t="s">
        <v>4229</v>
      </c>
      <c r="B999" s="165">
        <v>1047</v>
      </c>
      <c r="C999" s="165" t="s">
        <v>4230</v>
      </c>
      <c r="D999" s="165">
        <v>22</v>
      </c>
      <c r="E999" s="165" t="s">
        <v>4248</v>
      </c>
      <c r="F999" s="165" t="s">
        <v>4249</v>
      </c>
      <c r="G999" s="165">
        <v>3780</v>
      </c>
      <c r="H999" s="165"/>
      <c r="I999" s="165"/>
      <c r="J999" s="165"/>
      <c r="K999" s="165">
        <v>3780</v>
      </c>
      <c r="L999" s="165"/>
      <c r="M999" s="165"/>
      <c r="N999" s="165"/>
      <c r="O999" s="165">
        <f t="shared" si="28"/>
        <v>0</v>
      </c>
      <c r="P999" s="165" t="s">
        <v>4771</v>
      </c>
      <c r="Q999" s="165" t="s">
        <v>4785</v>
      </c>
      <c r="R999" s="3">
        <v>3780</v>
      </c>
      <c r="S999" s="3">
        <v>3780</v>
      </c>
      <c r="T999"/>
    </row>
    <row r="1000" spans="1:21">
      <c r="A1000" s="165" t="s">
        <v>4229</v>
      </c>
      <c r="B1000" s="165">
        <v>1048</v>
      </c>
      <c r="C1000" s="165" t="s">
        <v>4230</v>
      </c>
      <c r="D1000" s="165">
        <v>23</v>
      </c>
      <c r="E1000" s="165" t="s">
        <v>4250</v>
      </c>
      <c r="F1000" s="165" t="s">
        <v>4251</v>
      </c>
      <c r="G1000" s="165">
        <v>3780</v>
      </c>
      <c r="H1000" s="165"/>
      <c r="I1000" s="165"/>
      <c r="J1000" s="165"/>
      <c r="K1000" s="165">
        <v>3780</v>
      </c>
      <c r="L1000" s="165"/>
      <c r="M1000" s="165"/>
      <c r="N1000" s="165"/>
      <c r="O1000" s="165">
        <f t="shared" si="28"/>
        <v>0</v>
      </c>
      <c r="P1000" s="165" t="s">
        <v>4772</v>
      </c>
      <c r="Q1000" s="165" t="s">
        <v>4088</v>
      </c>
      <c r="R1000" s="3">
        <v>3780</v>
      </c>
      <c r="S1000" s="3">
        <v>3780</v>
      </c>
      <c r="T1000"/>
    </row>
    <row r="1001" spans="1:21">
      <c r="A1001" s="165" t="s">
        <v>4229</v>
      </c>
      <c r="B1001" s="165">
        <v>1049</v>
      </c>
      <c r="C1001" s="165" t="s">
        <v>4230</v>
      </c>
      <c r="D1001" s="165">
        <v>24</v>
      </c>
      <c r="E1001" s="165" t="s">
        <v>4252</v>
      </c>
      <c r="F1001" s="165" t="s">
        <v>4253</v>
      </c>
      <c r="G1001" s="165">
        <v>3780</v>
      </c>
      <c r="H1001" s="165"/>
      <c r="I1001" s="165"/>
      <c r="J1001" s="165"/>
      <c r="K1001" s="165">
        <v>3780</v>
      </c>
      <c r="L1001" s="165"/>
      <c r="M1001" s="165"/>
      <c r="N1001" s="165"/>
      <c r="O1001" s="165">
        <f t="shared" si="28"/>
        <v>0</v>
      </c>
      <c r="P1001" s="165" t="s">
        <v>4777</v>
      </c>
      <c r="Q1001" s="165" t="s">
        <v>4127</v>
      </c>
      <c r="R1001" s="3">
        <v>3780</v>
      </c>
      <c r="S1001" s="3">
        <v>3780</v>
      </c>
      <c r="T1001"/>
    </row>
    <row r="1002" spans="1:21">
      <c r="A1002" s="165" t="s">
        <v>4254</v>
      </c>
      <c r="B1002" s="165">
        <v>1050</v>
      </c>
      <c r="C1002" s="165" t="s">
        <v>4255</v>
      </c>
      <c r="D1002" s="165">
        <v>1</v>
      </c>
      <c r="E1002" s="165" t="s">
        <v>4256</v>
      </c>
      <c r="F1002" s="165" t="s">
        <v>3975</v>
      </c>
      <c r="G1002" s="165">
        <v>14175</v>
      </c>
      <c r="H1002" s="165"/>
      <c r="I1002" s="165"/>
      <c r="J1002" s="165">
        <v>14175</v>
      </c>
      <c r="K1002" s="165"/>
      <c r="L1002" s="165"/>
      <c r="M1002" s="165"/>
      <c r="N1002" s="165"/>
      <c r="O1002" s="165">
        <f t="shared" si="28"/>
        <v>0</v>
      </c>
      <c r="P1002" s="165" t="s">
        <v>3963</v>
      </c>
      <c r="Q1002" s="165" t="s">
        <v>3964</v>
      </c>
      <c r="R1002" s="3">
        <v>14175</v>
      </c>
      <c r="S1002" s="3">
        <v>14175</v>
      </c>
      <c r="T1002"/>
    </row>
    <row r="1003" spans="1:21">
      <c r="A1003" s="165" t="s">
        <v>4254</v>
      </c>
      <c r="B1003" s="165">
        <v>1051</v>
      </c>
      <c r="C1003" s="165" t="s">
        <v>4255</v>
      </c>
      <c r="D1003" s="165">
        <v>2</v>
      </c>
      <c r="E1003" s="165" t="s">
        <v>4257</v>
      </c>
      <c r="F1003" s="165" t="s">
        <v>4258</v>
      </c>
      <c r="G1003" s="165">
        <v>14175</v>
      </c>
      <c r="H1003" s="165"/>
      <c r="I1003" s="165"/>
      <c r="J1003" s="165"/>
      <c r="K1003" s="165">
        <v>14175</v>
      </c>
      <c r="L1003" s="165"/>
      <c r="M1003" s="165"/>
      <c r="N1003" s="165"/>
      <c r="O1003" s="165">
        <f t="shared" si="28"/>
        <v>0</v>
      </c>
      <c r="P1003" s="165" t="s">
        <v>4434</v>
      </c>
      <c r="Q1003" s="165" t="s">
        <v>4435</v>
      </c>
      <c r="R1003" s="3">
        <v>14175</v>
      </c>
      <c r="S1003" s="3">
        <v>14175</v>
      </c>
      <c r="T1003"/>
    </row>
    <row r="1004" spans="1:21">
      <c r="A1004" s="165" t="s">
        <v>4254</v>
      </c>
      <c r="B1004" s="165">
        <v>1052</v>
      </c>
      <c r="C1004" s="165" t="s">
        <v>4255</v>
      </c>
      <c r="D1004" s="165">
        <v>3</v>
      </c>
      <c r="E1004" s="165" t="s">
        <v>4259</v>
      </c>
      <c r="F1004" s="165" t="s">
        <v>4260</v>
      </c>
      <c r="G1004" s="165">
        <v>14175</v>
      </c>
      <c r="H1004" s="165"/>
      <c r="I1004" s="165"/>
      <c r="J1004" s="165"/>
      <c r="K1004" s="165">
        <v>14175</v>
      </c>
      <c r="L1004" s="165"/>
      <c r="M1004" s="165"/>
      <c r="N1004" s="165"/>
      <c r="O1004" s="165">
        <f t="shared" si="28"/>
        <v>0</v>
      </c>
      <c r="P1004" s="165" t="s">
        <v>4588</v>
      </c>
      <c r="Q1004" s="165" t="s">
        <v>4781</v>
      </c>
      <c r="R1004" s="3">
        <v>14175</v>
      </c>
      <c r="S1004" s="3">
        <v>14175</v>
      </c>
      <c r="T1004"/>
    </row>
    <row r="1005" spans="1:21">
      <c r="A1005" s="165" t="s">
        <v>4254</v>
      </c>
      <c r="B1005" s="165">
        <v>1053</v>
      </c>
      <c r="C1005" s="165" t="s">
        <v>4255</v>
      </c>
      <c r="D1005" s="165">
        <v>4</v>
      </c>
      <c r="E1005" s="165" t="s">
        <v>4261</v>
      </c>
      <c r="F1005" s="165" t="s">
        <v>4262</v>
      </c>
      <c r="G1005" s="165">
        <v>14175</v>
      </c>
      <c r="H1005" s="165"/>
      <c r="I1005" s="165"/>
      <c r="J1005" s="165"/>
      <c r="K1005" s="165">
        <v>14175</v>
      </c>
      <c r="L1005" s="165"/>
      <c r="M1005" s="165"/>
      <c r="N1005" s="165"/>
      <c r="O1005" s="165">
        <f t="shared" si="28"/>
        <v>0</v>
      </c>
      <c r="P1005" s="165" t="s">
        <v>4771</v>
      </c>
      <c r="Q1005" s="165" t="s">
        <v>4785</v>
      </c>
      <c r="R1005" s="3">
        <v>14175</v>
      </c>
      <c r="S1005" s="3">
        <v>14175</v>
      </c>
      <c r="T1005"/>
    </row>
    <row r="1006" spans="1:21">
      <c r="A1006" s="165" t="s">
        <v>4254</v>
      </c>
      <c r="B1006" s="165">
        <v>1054</v>
      </c>
      <c r="C1006" s="165" t="s">
        <v>4255</v>
      </c>
      <c r="D1006" s="165">
        <v>5</v>
      </c>
      <c r="E1006" s="165" t="s">
        <v>4263</v>
      </c>
      <c r="F1006" s="165" t="s">
        <v>4264</v>
      </c>
      <c r="G1006" s="165">
        <v>14175</v>
      </c>
      <c r="H1006" s="165"/>
      <c r="I1006" s="165"/>
      <c r="J1006" s="165"/>
      <c r="K1006" s="165">
        <v>14175</v>
      </c>
      <c r="L1006" s="165"/>
      <c r="M1006" s="165"/>
      <c r="N1006" s="165"/>
      <c r="O1006" s="165">
        <f t="shared" si="28"/>
        <v>0</v>
      </c>
      <c r="P1006" s="165" t="s">
        <v>4190</v>
      </c>
      <c r="Q1006" s="165" t="s">
        <v>4033</v>
      </c>
      <c r="R1006" s="3">
        <v>14175</v>
      </c>
      <c r="S1006" s="3">
        <v>14175</v>
      </c>
      <c r="T1006"/>
    </row>
    <row r="1007" spans="1:21">
      <c r="A1007" s="165" t="s">
        <v>4254</v>
      </c>
      <c r="B1007" s="165">
        <v>1055</v>
      </c>
      <c r="C1007" s="165" t="s">
        <v>4255</v>
      </c>
      <c r="D1007" s="165">
        <v>6</v>
      </c>
      <c r="E1007" s="165" t="s">
        <v>4265</v>
      </c>
      <c r="F1007" s="165" t="s">
        <v>4266</v>
      </c>
      <c r="G1007" s="165">
        <v>14175</v>
      </c>
      <c r="H1007" s="165"/>
      <c r="I1007" s="165"/>
      <c r="J1007" s="165"/>
      <c r="K1007" s="165"/>
      <c r="L1007" s="165">
        <v>14175</v>
      </c>
      <c r="M1007" s="165"/>
      <c r="N1007" s="165"/>
      <c r="O1007" s="165">
        <f>G1007+H1007+I1007-J1007-K1007-L1007</f>
        <v>0</v>
      </c>
      <c r="P1007" s="165" t="s">
        <v>4651</v>
      </c>
      <c r="Q1007" s="165" t="s">
        <v>4793</v>
      </c>
      <c r="R1007" s="3">
        <v>14175</v>
      </c>
      <c r="S1007" s="3">
        <v>14175</v>
      </c>
      <c r="T1007"/>
    </row>
    <row r="1008" spans="1:21">
      <c r="A1008" s="165" t="s">
        <v>4254</v>
      </c>
      <c r="B1008" s="165">
        <v>1056</v>
      </c>
      <c r="C1008" s="165" t="s">
        <v>4255</v>
      </c>
      <c r="D1008" s="165">
        <v>7</v>
      </c>
      <c r="E1008" s="165" t="s">
        <v>4267</v>
      </c>
      <c r="F1008" s="165" t="s">
        <v>4268</v>
      </c>
      <c r="G1008" s="165">
        <v>14175</v>
      </c>
      <c r="H1008" s="165"/>
      <c r="I1008" s="165"/>
      <c r="J1008" s="165"/>
      <c r="K1008" s="165"/>
      <c r="L1008" s="165">
        <v>14175</v>
      </c>
      <c r="M1008" s="165"/>
      <c r="N1008" s="165"/>
      <c r="O1008" s="165">
        <f>G1008+H1008+I1008-J1008-K1008-L1008</f>
        <v>0</v>
      </c>
      <c r="P1008" s="165" t="s">
        <v>4806</v>
      </c>
      <c r="Q1008" s="165" t="s">
        <v>4268</v>
      </c>
      <c r="R1008" s="3">
        <v>14175</v>
      </c>
      <c r="S1008" s="3">
        <v>14175</v>
      </c>
      <c r="T1008"/>
    </row>
    <row r="1009" spans="1:22">
      <c r="A1009" s="165" t="s">
        <v>4254</v>
      </c>
      <c r="B1009" s="165">
        <v>1057</v>
      </c>
      <c r="C1009" s="165" t="s">
        <v>4255</v>
      </c>
      <c r="D1009" s="165">
        <v>8</v>
      </c>
      <c r="E1009" s="165" t="s">
        <v>4269</v>
      </c>
      <c r="F1009" s="165" t="s">
        <v>4270</v>
      </c>
      <c r="G1009" s="165">
        <v>14175</v>
      </c>
      <c r="H1009" s="165"/>
      <c r="I1009" s="165"/>
      <c r="J1009" s="165"/>
      <c r="K1009" s="165"/>
      <c r="L1009" s="165">
        <v>14175</v>
      </c>
      <c r="M1009" s="165"/>
      <c r="N1009" s="165"/>
      <c r="O1009" s="165">
        <f>G1009+H1009+I1009-J1009-K1009-L1009</f>
        <v>0</v>
      </c>
      <c r="P1009" s="165" t="s">
        <v>5500</v>
      </c>
      <c r="Q1009" s="165" t="s">
        <v>4270</v>
      </c>
      <c r="R1009" s="3">
        <v>14175</v>
      </c>
      <c r="S1009" s="3">
        <v>14175</v>
      </c>
      <c r="T1009"/>
    </row>
    <row r="1010" spans="1:22">
      <c r="A1010" s="165" t="s">
        <v>4234</v>
      </c>
      <c r="B1010" s="165">
        <v>1058</v>
      </c>
      <c r="C1010" s="165" t="s">
        <v>4271</v>
      </c>
      <c r="D1010" s="165">
        <v>5</v>
      </c>
      <c r="E1010" s="165" t="s">
        <v>4272</v>
      </c>
      <c r="F1010" s="165" t="s">
        <v>4273</v>
      </c>
      <c r="G1010" s="165">
        <v>20475</v>
      </c>
      <c r="H1010" s="165"/>
      <c r="I1010" s="165"/>
      <c r="J1010" s="165">
        <v>20475</v>
      </c>
      <c r="K1010" s="165"/>
      <c r="L1010" s="165"/>
      <c r="M1010" s="165"/>
      <c r="N1010" s="165"/>
      <c r="O1010" s="165">
        <f t="shared" ref="O1010:O1017" si="29">G1010+H1010+I1010-J1010-K1010</f>
        <v>0</v>
      </c>
      <c r="P1010" s="165" t="s">
        <v>3963</v>
      </c>
      <c r="Q1010" s="165" t="s">
        <v>4274</v>
      </c>
      <c r="R1010" s="3">
        <v>20475</v>
      </c>
      <c r="S1010" s="3">
        <v>20475</v>
      </c>
      <c r="T1010"/>
    </row>
    <row r="1011" spans="1:22">
      <c r="A1011" s="165" t="s">
        <v>4234</v>
      </c>
      <c r="B1011" s="165">
        <v>1059</v>
      </c>
      <c r="C1011" s="165" t="s">
        <v>4271</v>
      </c>
      <c r="D1011" s="165">
        <v>6</v>
      </c>
      <c r="E1011" s="165" t="s">
        <v>4275</v>
      </c>
      <c r="F1011" s="165" t="s">
        <v>4276</v>
      </c>
      <c r="G1011" s="165">
        <v>20475</v>
      </c>
      <c r="H1011" s="165"/>
      <c r="I1011" s="165"/>
      <c r="J1011" s="165"/>
      <c r="K1011" s="165">
        <v>20475</v>
      </c>
      <c r="L1011" s="165"/>
      <c r="M1011" s="165"/>
      <c r="N1011" s="165"/>
      <c r="O1011" s="165">
        <f t="shared" si="29"/>
        <v>0</v>
      </c>
      <c r="P1011" s="165" t="s">
        <v>4766</v>
      </c>
      <c r="Q1011" s="165" t="s">
        <v>4595</v>
      </c>
      <c r="R1011" s="3">
        <v>20475</v>
      </c>
      <c r="S1011" s="3">
        <v>20475</v>
      </c>
      <c r="T1011"/>
      <c r="U1011" s="3"/>
    </row>
    <row r="1012" spans="1:22">
      <c r="A1012" s="165" t="s">
        <v>4234</v>
      </c>
      <c r="B1012" s="165">
        <v>1060</v>
      </c>
      <c r="C1012" s="165" t="s">
        <v>4271</v>
      </c>
      <c r="D1012" s="165">
        <v>7</v>
      </c>
      <c r="E1012" s="165" t="s">
        <v>4277</v>
      </c>
      <c r="F1012" s="165" t="s">
        <v>4278</v>
      </c>
      <c r="G1012" s="165">
        <v>20475</v>
      </c>
      <c r="H1012" s="165"/>
      <c r="I1012" s="165"/>
      <c r="J1012" s="165"/>
      <c r="K1012" s="165">
        <v>20475</v>
      </c>
      <c r="L1012" s="165"/>
      <c r="M1012" s="165"/>
      <c r="N1012" s="165"/>
      <c r="O1012" s="165">
        <f t="shared" si="29"/>
        <v>0</v>
      </c>
      <c r="P1012" s="165" t="s">
        <v>4767</v>
      </c>
      <c r="Q1012" s="165" t="s">
        <v>4782</v>
      </c>
      <c r="R1012" s="3">
        <v>20475</v>
      </c>
      <c r="S1012" s="3">
        <v>20475</v>
      </c>
      <c r="T1012"/>
      <c r="U1012" s="3"/>
    </row>
    <row r="1013" spans="1:22">
      <c r="A1013" s="165" t="s">
        <v>4234</v>
      </c>
      <c r="B1013" s="165">
        <v>1061</v>
      </c>
      <c r="C1013" s="165" t="s">
        <v>4271</v>
      </c>
      <c r="D1013" s="165">
        <v>8</v>
      </c>
      <c r="E1013" s="165" t="s">
        <v>4279</v>
      </c>
      <c r="F1013" s="165" t="s">
        <v>4280</v>
      </c>
      <c r="G1013" s="165">
        <v>20475</v>
      </c>
      <c r="H1013" s="165"/>
      <c r="I1013" s="165"/>
      <c r="J1013" s="165"/>
      <c r="K1013" s="165">
        <v>20475</v>
      </c>
      <c r="L1013" s="165"/>
      <c r="M1013" s="165"/>
      <c r="N1013" s="165"/>
      <c r="O1013" s="165">
        <f t="shared" si="29"/>
        <v>0</v>
      </c>
      <c r="P1013" s="165" t="s">
        <v>4772</v>
      </c>
      <c r="Q1013" s="165" t="s">
        <v>4088</v>
      </c>
      <c r="R1013" s="3">
        <v>20475</v>
      </c>
      <c r="S1013" s="3">
        <v>20475</v>
      </c>
      <c r="T1013"/>
      <c r="U1013" s="3"/>
    </row>
    <row r="1014" spans="1:22">
      <c r="A1014" s="165" t="s">
        <v>4281</v>
      </c>
      <c r="B1014" s="165">
        <v>1062</v>
      </c>
      <c r="C1014" s="165" t="s">
        <v>4282</v>
      </c>
      <c r="D1014" s="165">
        <v>1</v>
      </c>
      <c r="E1014" s="165" t="s">
        <v>4283</v>
      </c>
      <c r="F1014" s="165" t="s">
        <v>4121</v>
      </c>
      <c r="G1014" s="165">
        <v>14175</v>
      </c>
      <c r="H1014" s="165"/>
      <c r="I1014" s="165"/>
      <c r="J1014" s="165"/>
      <c r="K1014" s="165">
        <v>14175</v>
      </c>
      <c r="L1014" s="165"/>
      <c r="M1014" s="165"/>
      <c r="N1014" s="165"/>
      <c r="O1014" s="165">
        <f t="shared" si="29"/>
        <v>0</v>
      </c>
      <c r="P1014" s="165" t="s">
        <v>4433</v>
      </c>
      <c r="Q1014" s="165" t="s">
        <v>4779</v>
      </c>
      <c r="R1014" s="3">
        <v>14175</v>
      </c>
      <c r="S1014" s="3">
        <v>14175</v>
      </c>
      <c r="T1014"/>
      <c r="U1014" s="3"/>
    </row>
    <row r="1015" spans="1:22">
      <c r="A1015" s="165" t="s">
        <v>4281</v>
      </c>
      <c r="B1015" s="165">
        <v>1063</v>
      </c>
      <c r="C1015" s="165" t="s">
        <v>4282</v>
      </c>
      <c r="D1015" s="165">
        <v>2</v>
      </c>
      <c r="E1015" s="165" t="s">
        <v>4284</v>
      </c>
      <c r="F1015" s="165" t="s">
        <v>4123</v>
      </c>
      <c r="G1015" s="165">
        <v>14175</v>
      </c>
      <c r="H1015" s="165"/>
      <c r="I1015" s="165"/>
      <c r="J1015" s="165"/>
      <c r="K1015" s="165">
        <v>14175</v>
      </c>
      <c r="L1015" s="165"/>
      <c r="M1015" s="165"/>
      <c r="N1015" s="165"/>
      <c r="O1015" s="165">
        <f t="shared" si="29"/>
        <v>0</v>
      </c>
      <c r="P1015" s="165" t="s">
        <v>4588</v>
      </c>
      <c r="Q1015" s="165" t="s">
        <v>4781</v>
      </c>
      <c r="R1015" s="3">
        <v>14175</v>
      </c>
      <c r="S1015" s="3">
        <v>14175</v>
      </c>
      <c r="T1015"/>
      <c r="U1015" s="3"/>
    </row>
    <row r="1016" spans="1:22">
      <c r="A1016" s="165" t="s">
        <v>4281</v>
      </c>
      <c r="B1016" s="165">
        <v>1064</v>
      </c>
      <c r="C1016" s="165" t="s">
        <v>4282</v>
      </c>
      <c r="D1016" s="165">
        <v>3</v>
      </c>
      <c r="E1016" s="165" t="s">
        <v>4285</v>
      </c>
      <c r="F1016" s="165" t="s">
        <v>4125</v>
      </c>
      <c r="G1016" s="165">
        <v>14175</v>
      </c>
      <c r="H1016" s="165"/>
      <c r="I1016" s="165"/>
      <c r="J1016" s="165"/>
      <c r="K1016" s="165">
        <v>14175</v>
      </c>
      <c r="L1016" s="165"/>
      <c r="M1016" s="165"/>
      <c r="N1016" s="165"/>
      <c r="O1016" s="165">
        <f t="shared" si="29"/>
        <v>0</v>
      </c>
      <c r="P1016" s="165" t="s">
        <v>4770</v>
      </c>
      <c r="Q1016" s="165" t="s">
        <v>4784</v>
      </c>
      <c r="R1016" s="3">
        <v>14175</v>
      </c>
      <c r="S1016" s="3">
        <v>14175</v>
      </c>
      <c r="T1016"/>
      <c r="U1016" s="3"/>
    </row>
    <row r="1017" spans="1:22">
      <c r="A1017" s="165" t="s">
        <v>4281</v>
      </c>
      <c r="B1017" s="165">
        <v>1065</v>
      </c>
      <c r="C1017" s="165" t="s">
        <v>4282</v>
      </c>
      <c r="D1017" s="165">
        <v>4</v>
      </c>
      <c r="E1017" s="165" t="s">
        <v>4286</v>
      </c>
      <c r="F1017" s="165" t="s">
        <v>4127</v>
      </c>
      <c r="G1017" s="165">
        <v>14175</v>
      </c>
      <c r="H1017" s="165"/>
      <c r="I1017" s="165"/>
      <c r="J1017" s="165"/>
      <c r="K1017" s="165">
        <v>14175</v>
      </c>
      <c r="L1017" s="165"/>
      <c r="M1017" s="165"/>
      <c r="N1017" s="165"/>
      <c r="O1017" s="165">
        <f t="shared" si="29"/>
        <v>0</v>
      </c>
      <c r="P1017" s="165" t="s">
        <v>4777</v>
      </c>
      <c r="Q1017" s="165" t="s">
        <v>4127</v>
      </c>
      <c r="R1017" s="3">
        <v>14175</v>
      </c>
      <c r="S1017" s="3">
        <v>14175</v>
      </c>
      <c r="T1017"/>
      <c r="U1017" s="3"/>
    </row>
    <row r="1018" spans="1:22">
      <c r="A1018" s="165" t="s">
        <v>4281</v>
      </c>
      <c r="B1018" s="165">
        <v>1066</v>
      </c>
      <c r="C1018" s="165" t="s">
        <v>4282</v>
      </c>
      <c r="D1018" s="165">
        <v>5</v>
      </c>
      <c r="E1018" s="165" t="s">
        <v>4287</v>
      </c>
      <c r="F1018" s="165" t="s">
        <v>4129</v>
      </c>
      <c r="G1018" s="165">
        <v>14175</v>
      </c>
      <c r="H1018" s="165"/>
      <c r="I1018" s="165"/>
      <c r="J1018" s="165"/>
      <c r="K1018" s="165"/>
      <c r="L1018" s="165">
        <v>14175</v>
      </c>
      <c r="M1018" s="165"/>
      <c r="N1018" s="165"/>
      <c r="O1018" s="165">
        <f>G1018+H1018+I1018-J1018-K1018-L1018</f>
        <v>0</v>
      </c>
      <c r="P1018" s="165" t="s">
        <v>4791</v>
      </c>
      <c r="Q1018" s="165" t="s">
        <v>5317</v>
      </c>
      <c r="R1018" s="3">
        <v>14175</v>
      </c>
      <c r="S1018" s="3">
        <v>14175</v>
      </c>
      <c r="T1018"/>
      <c r="U1018" s="3"/>
    </row>
    <row r="1019" spans="1:22">
      <c r="A1019" s="165" t="s">
        <v>4281</v>
      </c>
      <c r="B1019" s="165">
        <v>1067</v>
      </c>
      <c r="C1019" s="165" t="s">
        <v>4282</v>
      </c>
      <c r="D1019" s="165">
        <v>6</v>
      </c>
      <c r="E1019" s="165" t="s">
        <v>4288</v>
      </c>
      <c r="F1019" s="165" t="s">
        <v>4289</v>
      </c>
      <c r="G1019" s="165">
        <v>14175</v>
      </c>
      <c r="H1019" s="165"/>
      <c r="I1019" s="165"/>
      <c r="J1019" s="165"/>
      <c r="K1019" s="165"/>
      <c r="L1019" s="165">
        <v>14175</v>
      </c>
      <c r="M1019" s="165"/>
      <c r="N1019" s="165"/>
      <c r="O1019" s="165">
        <f>G1019+H1019+I1019-J1019-K1019-L1019</f>
        <v>0</v>
      </c>
      <c r="P1019" s="165" t="s">
        <v>4802</v>
      </c>
      <c r="Q1019" s="165" t="s">
        <v>4804</v>
      </c>
      <c r="R1019" s="3">
        <v>14175</v>
      </c>
      <c r="S1019" s="3">
        <v>14175</v>
      </c>
      <c r="T1019"/>
      <c r="U1019" s="3"/>
    </row>
    <row r="1020" spans="1:22">
      <c r="A1020" s="165" t="s">
        <v>4281</v>
      </c>
      <c r="B1020" s="165">
        <v>1068</v>
      </c>
      <c r="C1020" s="165" t="s">
        <v>4282</v>
      </c>
      <c r="D1020" s="165">
        <v>7</v>
      </c>
      <c r="E1020" s="165" t="s">
        <v>4290</v>
      </c>
      <c r="F1020" s="165" t="s">
        <v>4291</v>
      </c>
      <c r="G1020" s="165">
        <v>14175</v>
      </c>
      <c r="H1020" s="165"/>
      <c r="I1020" s="165"/>
      <c r="J1020" s="165"/>
      <c r="K1020" s="165"/>
      <c r="L1020" s="165">
        <v>14175</v>
      </c>
      <c r="M1020" s="165"/>
      <c r="N1020" s="165"/>
      <c r="O1020" s="165">
        <f>G1020+H1020+I1020-J1020-K1020-L1020</f>
        <v>0</v>
      </c>
      <c r="P1020" s="165" t="s">
        <v>5488</v>
      </c>
      <c r="Q1020" s="165" t="s">
        <v>4291</v>
      </c>
      <c r="R1020" s="3">
        <v>14175</v>
      </c>
      <c r="S1020" s="3">
        <v>14175</v>
      </c>
      <c r="T1020"/>
      <c r="U1020" s="3"/>
    </row>
    <row r="1021" spans="1:22">
      <c r="A1021" s="165" t="s">
        <v>4281</v>
      </c>
      <c r="B1021" s="165">
        <v>1069</v>
      </c>
      <c r="C1021" s="165" t="s">
        <v>4282</v>
      </c>
      <c r="D1021" s="165">
        <v>8</v>
      </c>
      <c r="E1021" s="165" t="s">
        <v>4292</v>
      </c>
      <c r="F1021" s="165" t="s">
        <v>4293</v>
      </c>
      <c r="G1021" s="165">
        <v>14175</v>
      </c>
      <c r="H1021" s="165"/>
      <c r="I1021" s="165"/>
      <c r="J1021" s="165"/>
      <c r="K1021" s="165"/>
      <c r="L1021" s="165">
        <v>14175</v>
      </c>
      <c r="M1021" s="165"/>
      <c r="N1021" s="165"/>
      <c r="O1021" s="165">
        <f>G1021+H1021+I1021-J1021-K1021-L1021</f>
        <v>0</v>
      </c>
      <c r="P1021" s="165" t="s">
        <v>5263</v>
      </c>
      <c r="Q1021" s="165" t="s">
        <v>4293</v>
      </c>
      <c r="R1021" s="3">
        <v>14175</v>
      </c>
      <c r="S1021" s="3">
        <v>14175</v>
      </c>
      <c r="T1021"/>
      <c r="U1021" s="3"/>
    </row>
    <row r="1022" spans="1:22">
      <c r="A1022" s="165" t="s">
        <v>4274</v>
      </c>
      <c r="B1022" s="165">
        <v>1070</v>
      </c>
      <c r="C1022" s="165" t="s">
        <v>1232</v>
      </c>
      <c r="D1022" s="165">
        <v>7</v>
      </c>
      <c r="E1022" s="165" t="s">
        <v>4294</v>
      </c>
      <c r="F1022" s="405" t="s">
        <v>4472</v>
      </c>
      <c r="G1022" s="165">
        <v>16380</v>
      </c>
      <c r="H1022" s="165"/>
      <c r="I1022" s="165"/>
      <c r="J1022" s="165"/>
      <c r="K1022" s="165">
        <v>16380</v>
      </c>
      <c r="L1022" s="165"/>
      <c r="M1022" s="165"/>
      <c r="N1022" s="165"/>
      <c r="O1022" s="165">
        <f>G1022+H1022+I1022-J1022-K1022</f>
        <v>0</v>
      </c>
      <c r="P1022" s="165" t="s">
        <v>4236</v>
      </c>
      <c r="Q1022" s="165" t="s">
        <v>4752</v>
      </c>
      <c r="R1022" s="3">
        <v>16380</v>
      </c>
      <c r="S1022" s="3">
        <v>16380</v>
      </c>
      <c r="T1022"/>
      <c r="U1022" s="3"/>
    </row>
    <row r="1023" spans="1:22" s="163" customFormat="1">
      <c r="A1023" s="281" t="s">
        <v>3973</v>
      </c>
      <c r="B1023" s="281"/>
      <c r="C1023" s="281" t="s">
        <v>4201</v>
      </c>
      <c r="D1023" s="281"/>
      <c r="E1023" s="281" t="s">
        <v>1283</v>
      </c>
      <c r="F1023" s="281" t="s">
        <v>3973</v>
      </c>
      <c r="G1023" s="284"/>
      <c r="H1023" s="284"/>
      <c r="I1023" s="284"/>
      <c r="J1023" s="281"/>
      <c r="K1023" s="281"/>
      <c r="L1023" s="281"/>
      <c r="M1023" s="281"/>
      <c r="N1023" s="281"/>
      <c r="O1023" s="281">
        <f>G1023+H1023+I1023-J1023-K1023</f>
        <v>0</v>
      </c>
      <c r="P1023" s="281" t="s">
        <v>3973</v>
      </c>
      <c r="Q1023" s="281" t="s">
        <v>3973</v>
      </c>
      <c r="R1023" s="281">
        <v>52490</v>
      </c>
      <c r="S1023" s="281">
        <v>52490</v>
      </c>
      <c r="T1023" s="406">
        <v>52490</v>
      </c>
      <c r="U1023" s="556">
        <v>10</v>
      </c>
      <c r="V1023" s="163" t="s">
        <v>4295</v>
      </c>
    </row>
    <row r="1024" spans="1:22">
      <c r="A1024" s="165"/>
      <c r="B1024" s="94"/>
      <c r="C1024" s="165"/>
      <c r="D1024" s="165"/>
      <c r="E1024" s="165"/>
      <c r="F1024" s="165"/>
      <c r="G1024" s="165"/>
      <c r="H1024" s="165"/>
      <c r="I1024" s="165"/>
      <c r="J1024" s="165"/>
      <c r="K1024" s="165"/>
      <c r="L1024" s="165"/>
      <c r="M1024" s="165"/>
      <c r="N1024" s="165"/>
      <c r="O1024" s="165"/>
      <c r="P1024" s="165"/>
      <c r="T1024" s="3" t="s">
        <v>4462</v>
      </c>
    </row>
    <row r="1025" spans="1:22">
      <c r="A1025" s="165"/>
      <c r="B1025" s="94"/>
      <c r="C1025" s="165"/>
      <c r="D1025" s="165"/>
      <c r="E1025" s="165"/>
      <c r="F1025" s="165"/>
      <c r="G1025" s="165"/>
      <c r="H1025" s="165"/>
      <c r="I1025" s="165"/>
      <c r="J1025" s="165"/>
      <c r="K1025" s="165"/>
      <c r="L1025" s="165"/>
      <c r="M1025" s="165"/>
      <c r="N1025" s="165"/>
      <c r="O1025" s="165"/>
      <c r="P1025" s="165"/>
    </row>
    <row r="1026" spans="1:22">
      <c r="A1026" s="165"/>
      <c r="B1026" s="94"/>
      <c r="C1026" s="165"/>
      <c r="D1026" s="165"/>
      <c r="E1026" s="165"/>
      <c r="F1026" s="165"/>
      <c r="G1026" s="165"/>
      <c r="H1026" s="165"/>
      <c r="I1026" s="165"/>
      <c r="J1026" s="165"/>
      <c r="K1026" s="165"/>
      <c r="L1026" s="165"/>
      <c r="M1026" s="165"/>
      <c r="N1026" s="165"/>
      <c r="O1026" s="165"/>
      <c r="P1026" s="165"/>
    </row>
    <row r="1027" spans="1:22">
      <c r="A1027" s="165"/>
      <c r="B1027" s="94"/>
      <c r="C1027" s="165"/>
      <c r="D1027" s="165"/>
      <c r="E1027" s="165"/>
      <c r="F1027" s="165"/>
      <c r="G1027" s="165"/>
      <c r="H1027" s="165"/>
      <c r="I1027" s="165"/>
      <c r="J1027" s="165"/>
      <c r="K1027" s="165"/>
      <c r="L1027" s="165"/>
      <c r="M1027" s="165"/>
      <c r="N1027" s="165"/>
      <c r="O1027" s="165"/>
      <c r="P1027" s="165"/>
    </row>
    <row r="1028" spans="1:22">
      <c r="A1028" s="165"/>
      <c r="B1028" s="165"/>
      <c r="C1028" s="165"/>
      <c r="D1028" s="165"/>
      <c r="E1028" s="165"/>
      <c r="F1028" s="165"/>
      <c r="G1028" s="165"/>
      <c r="H1028" s="165"/>
      <c r="I1028" s="165"/>
      <c r="J1028" s="165"/>
      <c r="K1028" s="165"/>
      <c r="L1028" s="165"/>
      <c r="M1028" s="165"/>
      <c r="N1028" s="165"/>
      <c r="O1028" s="165"/>
      <c r="P1028" s="165"/>
    </row>
    <row r="1029" spans="1:22" s="176" customFormat="1" ht="20.25" customHeight="1">
      <c r="A1029" s="203" t="s">
        <v>4501</v>
      </c>
      <c r="B1029" s="200"/>
      <c r="C1029" s="201"/>
      <c r="D1029" s="202"/>
      <c r="E1029" s="201"/>
      <c r="F1029" s="185" t="s">
        <v>2378</v>
      </c>
      <c r="G1029" s="185">
        <f t="shared" ref="G1029:O1029" si="30">SUM(G1034:G1157)</f>
        <v>1086120</v>
      </c>
      <c r="H1029" s="185">
        <f t="shared" si="30"/>
        <v>463365</v>
      </c>
      <c r="I1029" s="185">
        <f t="shared" si="30"/>
        <v>110565</v>
      </c>
      <c r="J1029" s="185">
        <f t="shared" si="30"/>
        <v>547470</v>
      </c>
      <c r="K1029" s="185">
        <f t="shared" si="30"/>
        <v>767655</v>
      </c>
      <c r="L1029" s="185">
        <f t="shared" si="30"/>
        <v>344925</v>
      </c>
      <c r="M1029" s="185">
        <f t="shared" si="30"/>
        <v>0</v>
      </c>
      <c r="N1029" s="185">
        <f t="shared" si="30"/>
        <v>0</v>
      </c>
      <c r="O1029" s="185">
        <f t="shared" si="30"/>
        <v>0</v>
      </c>
      <c r="P1029" s="185"/>
      <c r="Q1029" s="185"/>
      <c r="R1029" s="185">
        <f>SUM(R1034:R1157)</f>
        <v>2171700</v>
      </c>
      <c r="S1029" s="185">
        <f>SUM(S1034:S1157)</f>
        <v>2171510</v>
      </c>
      <c r="T1029" s="185">
        <f>SUM(T1034:T1157)</f>
        <v>511460</v>
      </c>
      <c r="U1029" s="185">
        <f>SUM(U1034:U1157)</f>
        <v>190</v>
      </c>
    </row>
    <row r="1030" spans="1:22" s="270" customFormat="1">
      <c r="A1030" s="269" t="s">
        <v>1281</v>
      </c>
      <c r="B1030" s="269" t="s">
        <v>2435</v>
      </c>
      <c r="C1030" s="269" t="s">
        <v>1385</v>
      </c>
      <c r="D1030" s="269" t="s">
        <v>1275</v>
      </c>
      <c r="E1030" s="269" t="s">
        <v>265</v>
      </c>
      <c r="F1030" s="269" t="s">
        <v>1280</v>
      </c>
      <c r="G1030" s="269" t="s">
        <v>4502</v>
      </c>
      <c r="H1030" s="269" t="s">
        <v>4468</v>
      </c>
      <c r="I1030" s="269" t="s">
        <v>4447</v>
      </c>
      <c r="J1030" s="269" t="s">
        <v>4470</v>
      </c>
      <c r="K1030" s="269" t="s">
        <v>4471</v>
      </c>
      <c r="L1030" s="269" t="s">
        <v>9596</v>
      </c>
      <c r="M1030" s="269" t="s">
        <v>4841</v>
      </c>
      <c r="N1030" s="269" t="s">
        <v>3728</v>
      </c>
      <c r="O1030" s="269" t="s">
        <v>2438</v>
      </c>
      <c r="P1030" s="269" t="s">
        <v>1282</v>
      </c>
      <c r="Q1030" s="269" t="s">
        <v>1386</v>
      </c>
      <c r="R1030" s="269" t="s">
        <v>576</v>
      </c>
      <c r="S1030" s="269" t="s">
        <v>3593</v>
      </c>
      <c r="T1030" s="269" t="s">
        <v>1283</v>
      </c>
      <c r="U1030" s="269" t="s">
        <v>577</v>
      </c>
    </row>
    <row r="1031" spans="1:22" s="163" customFormat="1">
      <c r="A1031" s="281" t="s">
        <v>4752</v>
      </c>
      <c r="B1031" s="281"/>
      <c r="C1031" s="281" t="s">
        <v>3825</v>
      </c>
      <c r="D1031" s="281">
        <v>4</v>
      </c>
      <c r="E1031" s="281" t="s">
        <v>1283</v>
      </c>
      <c r="F1031" s="281" t="s">
        <v>4752</v>
      </c>
      <c r="G1031" s="284"/>
      <c r="H1031" s="284"/>
      <c r="I1031" s="284"/>
      <c r="J1031" s="281"/>
      <c r="K1031" s="281"/>
      <c r="L1031" s="281"/>
      <c r="M1031" s="281"/>
      <c r="N1031" s="281"/>
      <c r="O1031" s="281">
        <f>G1031+H1031+I1031-J1031-K1031-L1031</f>
        <v>0</v>
      </c>
      <c r="P1031" s="281" t="s">
        <v>4752</v>
      </c>
      <c r="Q1031" s="281" t="s">
        <v>4752</v>
      </c>
      <c r="R1031" s="281">
        <v>14175</v>
      </c>
      <c r="S1031" s="281">
        <v>14145</v>
      </c>
      <c r="T1031" s="406">
        <v>14145</v>
      </c>
      <c r="U1031" s="556">
        <v>30</v>
      </c>
    </row>
    <row r="1032" spans="1:22" s="163" customFormat="1">
      <c r="A1032" s="281" t="s">
        <v>4753</v>
      </c>
      <c r="B1032" s="281"/>
      <c r="C1032" s="281" t="s">
        <v>4000</v>
      </c>
      <c r="D1032" s="281"/>
      <c r="E1032" s="281" t="s">
        <v>1283</v>
      </c>
      <c r="F1032" s="281" t="s">
        <v>4753</v>
      </c>
      <c r="G1032" s="284"/>
      <c r="H1032" s="284"/>
      <c r="I1032" s="284"/>
      <c r="J1032" s="281"/>
      <c r="K1032" s="281"/>
      <c r="L1032" s="281"/>
      <c r="M1032" s="281"/>
      <c r="N1032" s="281"/>
      <c r="O1032" s="281">
        <f t="shared" ref="O1032:O1095" si="31">G1032+H1032+I1032-J1032-K1032-L1032</f>
        <v>0</v>
      </c>
      <c r="P1032" s="281" t="s">
        <v>4753</v>
      </c>
      <c r="Q1032" s="281" t="s">
        <v>4753</v>
      </c>
      <c r="R1032" s="281">
        <v>52500</v>
      </c>
      <c r="S1032" s="281">
        <v>52490</v>
      </c>
      <c r="T1032" s="406">
        <v>52490</v>
      </c>
      <c r="U1032" s="556">
        <v>10</v>
      </c>
      <c r="V1032" s="163" t="s">
        <v>4754</v>
      </c>
    </row>
    <row r="1033" spans="1:22" s="163" customFormat="1">
      <c r="A1033" s="281" t="s">
        <v>4433</v>
      </c>
      <c r="B1033" s="281"/>
      <c r="C1033" s="281" t="s">
        <v>4204</v>
      </c>
      <c r="D1033" s="281"/>
      <c r="E1033" s="281" t="s">
        <v>1283</v>
      </c>
      <c r="F1033" s="281" t="s">
        <v>4433</v>
      </c>
      <c r="G1033" s="284"/>
      <c r="H1033" s="284"/>
      <c r="I1033" s="284"/>
      <c r="J1033" s="281"/>
      <c r="K1033" s="281"/>
      <c r="L1033" s="281"/>
      <c r="M1033" s="281"/>
      <c r="N1033" s="281"/>
      <c r="O1033" s="281">
        <f t="shared" si="31"/>
        <v>0</v>
      </c>
      <c r="P1033" s="281" t="s">
        <v>4433</v>
      </c>
      <c r="Q1033" s="281" t="s">
        <v>4433</v>
      </c>
      <c r="R1033" s="281">
        <v>42000</v>
      </c>
      <c r="S1033" s="281">
        <v>42000</v>
      </c>
      <c r="T1033" s="406">
        <v>42000</v>
      </c>
      <c r="U1033" s="281"/>
      <c r="V1033" s="163" t="s">
        <v>4755</v>
      </c>
    </row>
    <row r="1034" spans="1:22">
      <c r="A1034" s="165" t="s">
        <v>4580</v>
      </c>
      <c r="B1034" s="94">
        <v>1071</v>
      </c>
      <c r="C1034" s="165" t="s">
        <v>3954</v>
      </c>
      <c r="D1034" s="165">
        <v>1</v>
      </c>
      <c r="E1034" s="165" t="s">
        <v>4578</v>
      </c>
      <c r="F1034" s="165" t="s">
        <v>4579</v>
      </c>
      <c r="G1034" s="165"/>
      <c r="H1034" s="165">
        <v>17325</v>
      </c>
      <c r="I1034" s="165"/>
      <c r="J1034" s="165">
        <v>17325</v>
      </c>
      <c r="K1034" s="165"/>
      <c r="L1034" s="165"/>
      <c r="M1034" s="165"/>
      <c r="N1034" s="165"/>
      <c r="O1034" s="337">
        <f t="shared" si="31"/>
        <v>0</v>
      </c>
      <c r="P1034" s="165" t="s">
        <v>4434</v>
      </c>
      <c r="Q1034" s="165" t="s">
        <v>4435</v>
      </c>
      <c r="R1034" s="3">
        <f t="shared" ref="R1034:R1041" si="32">H1034</f>
        <v>17325</v>
      </c>
      <c r="S1034" s="337">
        <v>17325</v>
      </c>
      <c r="T1034"/>
      <c r="U1034" s="3"/>
    </row>
    <row r="1035" spans="1:22">
      <c r="A1035" s="165" t="s">
        <v>4580</v>
      </c>
      <c r="B1035" s="94">
        <v>1072</v>
      </c>
      <c r="C1035" s="165" t="s">
        <v>3954</v>
      </c>
      <c r="D1035" s="165">
        <v>2</v>
      </c>
      <c r="E1035" s="165" t="s">
        <v>4581</v>
      </c>
      <c r="F1035" s="165" t="s">
        <v>4588</v>
      </c>
      <c r="G1035" s="165"/>
      <c r="H1035" s="165">
        <v>17325</v>
      </c>
      <c r="I1035" s="165"/>
      <c r="J1035" s="165">
        <v>17325</v>
      </c>
      <c r="K1035" s="165"/>
      <c r="L1035" s="165"/>
      <c r="M1035" s="165"/>
      <c r="N1035" s="165"/>
      <c r="O1035" s="337">
        <f t="shared" si="31"/>
        <v>0</v>
      </c>
      <c r="P1035" s="165" t="s">
        <v>4588</v>
      </c>
      <c r="Q1035" s="165" t="s">
        <v>4781</v>
      </c>
      <c r="R1035" s="3">
        <f t="shared" si="32"/>
        <v>17325</v>
      </c>
      <c r="S1035" s="337">
        <v>17325</v>
      </c>
      <c r="T1035"/>
      <c r="U1035" s="3"/>
    </row>
    <row r="1036" spans="1:22">
      <c r="A1036" s="165" t="s">
        <v>4580</v>
      </c>
      <c r="B1036" s="94">
        <v>1073</v>
      </c>
      <c r="C1036" s="165" t="s">
        <v>3954</v>
      </c>
      <c r="D1036" s="165">
        <v>3</v>
      </c>
      <c r="E1036" s="165" t="s">
        <v>4582</v>
      </c>
      <c r="F1036" s="165" t="s">
        <v>4589</v>
      </c>
      <c r="G1036" s="165"/>
      <c r="H1036" s="165">
        <v>17325</v>
      </c>
      <c r="I1036" s="165"/>
      <c r="J1036" s="165">
        <v>17325</v>
      </c>
      <c r="K1036" s="165"/>
      <c r="L1036" s="165"/>
      <c r="M1036" s="165"/>
      <c r="N1036" s="165"/>
      <c r="O1036" s="337">
        <f t="shared" si="31"/>
        <v>0</v>
      </c>
      <c r="P1036" s="165" t="s">
        <v>4771</v>
      </c>
      <c r="Q1036" s="165" t="s">
        <v>4785</v>
      </c>
      <c r="R1036" s="3">
        <f t="shared" si="32"/>
        <v>17325</v>
      </c>
      <c r="S1036" s="337">
        <v>17325</v>
      </c>
      <c r="T1036"/>
      <c r="U1036" s="3"/>
    </row>
    <row r="1037" spans="1:22">
      <c r="A1037" s="165" t="s">
        <v>4580</v>
      </c>
      <c r="B1037" s="94">
        <v>1074</v>
      </c>
      <c r="C1037" s="165" t="s">
        <v>3954</v>
      </c>
      <c r="D1037" s="165">
        <v>4</v>
      </c>
      <c r="E1037" s="165" t="s">
        <v>4583</v>
      </c>
      <c r="F1037" s="165" t="s">
        <v>4590</v>
      </c>
      <c r="G1037" s="165"/>
      <c r="H1037" s="165">
        <v>17325</v>
      </c>
      <c r="I1037" s="165"/>
      <c r="J1037" s="165">
        <v>17325</v>
      </c>
      <c r="K1037" s="165"/>
      <c r="L1037" s="165"/>
      <c r="M1037" s="165"/>
      <c r="N1037" s="165"/>
      <c r="O1037" s="337">
        <f t="shared" si="31"/>
        <v>0</v>
      </c>
      <c r="P1037" s="165" t="s">
        <v>4190</v>
      </c>
      <c r="Q1037" s="165" t="s">
        <v>4033</v>
      </c>
      <c r="R1037" s="3">
        <f t="shared" si="32"/>
        <v>17325</v>
      </c>
      <c r="S1037" s="337">
        <v>17325</v>
      </c>
      <c r="T1037"/>
      <c r="U1037" s="3"/>
    </row>
    <row r="1038" spans="1:22">
      <c r="A1038" s="165" t="s">
        <v>4580</v>
      </c>
      <c r="B1038" s="94">
        <v>1075</v>
      </c>
      <c r="C1038" s="165" t="s">
        <v>3954</v>
      </c>
      <c r="D1038" s="165">
        <v>5</v>
      </c>
      <c r="E1038" s="165" t="s">
        <v>4584</v>
      </c>
      <c r="F1038" s="165" t="s">
        <v>4591</v>
      </c>
      <c r="G1038" s="165"/>
      <c r="H1038" s="165">
        <v>17325</v>
      </c>
      <c r="I1038" s="165"/>
      <c r="J1038" s="165"/>
      <c r="K1038" s="165">
        <v>17325</v>
      </c>
      <c r="L1038" s="165"/>
      <c r="M1038" s="165"/>
      <c r="N1038" s="165"/>
      <c r="O1038" s="337">
        <f t="shared" si="31"/>
        <v>0</v>
      </c>
      <c r="P1038" s="165" t="s">
        <v>4651</v>
      </c>
      <c r="Q1038" s="165" t="s">
        <v>4793</v>
      </c>
      <c r="R1038" s="3">
        <f t="shared" si="32"/>
        <v>17325</v>
      </c>
      <c r="S1038" s="337">
        <v>17325</v>
      </c>
      <c r="T1038"/>
      <c r="U1038" s="3"/>
    </row>
    <row r="1039" spans="1:22">
      <c r="A1039" s="165" t="s">
        <v>4580</v>
      </c>
      <c r="B1039" s="94">
        <v>1076</v>
      </c>
      <c r="C1039" s="165" t="s">
        <v>3954</v>
      </c>
      <c r="D1039" s="165">
        <v>6</v>
      </c>
      <c r="E1039" s="165" t="s">
        <v>4585</v>
      </c>
      <c r="F1039" s="165" t="s">
        <v>4592</v>
      </c>
      <c r="G1039" s="165"/>
      <c r="H1039" s="165">
        <v>17325</v>
      </c>
      <c r="I1039" s="165"/>
      <c r="J1039" s="165"/>
      <c r="K1039" s="165">
        <v>17325</v>
      </c>
      <c r="L1039" s="165"/>
      <c r="M1039" s="165"/>
      <c r="N1039" s="165"/>
      <c r="O1039" s="337">
        <f t="shared" si="31"/>
        <v>0</v>
      </c>
      <c r="P1039" s="165" t="s">
        <v>4806</v>
      </c>
      <c r="Q1039" s="165" t="s">
        <v>5436</v>
      </c>
      <c r="R1039" s="3">
        <f t="shared" si="32"/>
        <v>17325</v>
      </c>
      <c r="S1039" s="337">
        <v>17325</v>
      </c>
      <c r="T1039"/>
      <c r="U1039" s="3"/>
    </row>
    <row r="1040" spans="1:22">
      <c r="A1040" s="165" t="s">
        <v>4580</v>
      </c>
      <c r="B1040" s="94">
        <v>1077</v>
      </c>
      <c r="C1040" s="165" t="s">
        <v>3954</v>
      </c>
      <c r="D1040" s="165">
        <v>7</v>
      </c>
      <c r="E1040" s="165" t="s">
        <v>4586</v>
      </c>
      <c r="F1040" s="165" t="s">
        <v>4593</v>
      </c>
      <c r="G1040" s="165"/>
      <c r="H1040" s="165">
        <v>17325</v>
      </c>
      <c r="I1040" s="165"/>
      <c r="J1040" s="165"/>
      <c r="K1040" s="165">
        <v>17325</v>
      </c>
      <c r="L1040" s="165"/>
      <c r="M1040" s="165"/>
      <c r="N1040" s="165"/>
      <c r="O1040" s="337">
        <f t="shared" si="31"/>
        <v>0</v>
      </c>
      <c r="P1040" s="165" t="s">
        <v>5500</v>
      </c>
      <c r="Q1040" s="165" t="s">
        <v>5501</v>
      </c>
      <c r="R1040" s="3">
        <f t="shared" si="32"/>
        <v>17325</v>
      </c>
      <c r="S1040" s="337">
        <v>17325</v>
      </c>
      <c r="T1040"/>
      <c r="U1040" s="3"/>
    </row>
    <row r="1041" spans="1:22">
      <c r="A1041" s="165" t="s">
        <v>4580</v>
      </c>
      <c r="B1041" s="94">
        <v>1078</v>
      </c>
      <c r="C1041" s="165" t="s">
        <v>3954</v>
      </c>
      <c r="D1041" s="165">
        <v>8</v>
      </c>
      <c r="E1041" s="165" t="s">
        <v>4587</v>
      </c>
      <c r="F1041" s="165" t="s">
        <v>4594</v>
      </c>
      <c r="G1041" s="165"/>
      <c r="H1041" s="165">
        <v>17325</v>
      </c>
      <c r="I1041" s="165"/>
      <c r="J1041" s="165"/>
      <c r="K1041" s="165">
        <v>17325</v>
      </c>
      <c r="L1041" s="165"/>
      <c r="M1041" s="165"/>
      <c r="N1041" s="165"/>
      <c r="O1041" s="337">
        <f t="shared" si="31"/>
        <v>0</v>
      </c>
      <c r="P1041" s="165" t="s">
        <v>5551</v>
      </c>
      <c r="Q1041" s="165" t="s">
        <v>4594</v>
      </c>
      <c r="R1041" s="3">
        <f t="shared" si="32"/>
        <v>17325</v>
      </c>
      <c r="S1041" s="337">
        <v>17325</v>
      </c>
      <c r="T1041"/>
      <c r="U1041" s="3"/>
    </row>
    <row r="1042" spans="1:22" s="163" customFormat="1">
      <c r="A1042" s="281" t="s">
        <v>4258</v>
      </c>
      <c r="B1042" s="281"/>
      <c r="C1042" s="281" t="s">
        <v>1532</v>
      </c>
      <c r="D1042" s="281">
        <v>3</v>
      </c>
      <c r="E1042" s="281" t="s">
        <v>1283</v>
      </c>
      <c r="F1042" s="281" t="s">
        <v>4258</v>
      </c>
      <c r="G1042" s="284"/>
      <c r="H1042" s="284"/>
      <c r="I1042" s="284"/>
      <c r="J1042" s="281"/>
      <c r="K1042" s="281"/>
      <c r="L1042" s="281"/>
      <c r="M1042" s="281"/>
      <c r="N1042" s="281"/>
      <c r="O1042" s="664">
        <f t="shared" si="31"/>
        <v>0</v>
      </c>
      <c r="P1042" s="281" t="s">
        <v>4258</v>
      </c>
      <c r="Q1042" s="281" t="s">
        <v>4258</v>
      </c>
      <c r="R1042" s="281">
        <v>13500</v>
      </c>
      <c r="S1042" s="281">
        <v>13485</v>
      </c>
      <c r="T1042" s="406">
        <v>13485</v>
      </c>
      <c r="U1042" s="556">
        <v>15</v>
      </c>
    </row>
    <row r="1043" spans="1:22">
      <c r="A1043" s="165" t="s">
        <v>4595</v>
      </c>
      <c r="B1043" s="165">
        <v>1079</v>
      </c>
      <c r="C1043" s="165" t="s">
        <v>1232</v>
      </c>
      <c r="D1043" s="165">
        <v>8</v>
      </c>
      <c r="E1043" s="165" t="s">
        <v>4596</v>
      </c>
      <c r="F1043" s="165" t="s">
        <v>4437</v>
      </c>
      <c r="G1043" s="165">
        <v>16380</v>
      </c>
      <c r="H1043" s="165"/>
      <c r="I1043" s="165"/>
      <c r="J1043" s="165">
        <v>16380</v>
      </c>
      <c r="K1043" s="165"/>
      <c r="L1043" s="165"/>
      <c r="M1043" s="165"/>
      <c r="N1043" s="165"/>
      <c r="O1043" s="337">
        <f t="shared" si="31"/>
        <v>0</v>
      </c>
      <c r="P1043" s="165" t="s">
        <v>4439</v>
      </c>
      <c r="Q1043" s="165" t="s">
        <v>4780</v>
      </c>
      <c r="R1043" s="3">
        <f>G1043</f>
        <v>16380</v>
      </c>
      <c r="S1043" s="165">
        <v>16380</v>
      </c>
      <c r="T1043"/>
      <c r="U1043" s="3"/>
    </row>
    <row r="1044" spans="1:22" s="163" customFormat="1">
      <c r="A1044" s="281" t="s">
        <v>4756</v>
      </c>
      <c r="B1044" s="281"/>
      <c r="C1044" s="281" t="s">
        <v>4517</v>
      </c>
      <c r="D1044" s="340" t="s">
        <v>4302</v>
      </c>
      <c r="E1044" s="281" t="s">
        <v>1283</v>
      </c>
      <c r="F1044" s="281" t="s">
        <v>4756</v>
      </c>
      <c r="G1044" s="284"/>
      <c r="H1044" s="284"/>
      <c r="I1044" s="284"/>
      <c r="J1044" s="281"/>
      <c r="K1044" s="281"/>
      <c r="L1044" s="281"/>
      <c r="M1044" s="281"/>
      <c r="N1044" s="281"/>
      <c r="O1044" s="664">
        <f t="shared" si="31"/>
        <v>0</v>
      </c>
      <c r="P1044" s="281" t="s">
        <v>4756</v>
      </c>
      <c r="Q1044" s="281" t="s">
        <v>4756</v>
      </c>
      <c r="R1044" s="281">
        <v>108000</v>
      </c>
      <c r="S1044" s="281">
        <v>108000</v>
      </c>
      <c r="T1044" s="406">
        <v>108000</v>
      </c>
      <c r="U1044" s="284"/>
    </row>
    <row r="1045" spans="1:22" s="163" customFormat="1">
      <c r="A1045" s="165" t="s">
        <v>4436</v>
      </c>
      <c r="B1045" s="281"/>
      <c r="C1045" s="281" t="s">
        <v>456</v>
      </c>
      <c r="D1045" s="281">
        <v>3</v>
      </c>
      <c r="E1045" s="281" t="s">
        <v>1283</v>
      </c>
      <c r="F1045" s="281" t="s">
        <v>4436</v>
      </c>
      <c r="G1045" s="284"/>
      <c r="H1045" s="284"/>
      <c r="I1045" s="284"/>
      <c r="J1045" s="281"/>
      <c r="K1045" s="281"/>
      <c r="L1045" s="281"/>
      <c r="M1045" s="281"/>
      <c r="N1045" s="281"/>
      <c r="O1045" s="664">
        <f t="shared" si="31"/>
        <v>0</v>
      </c>
      <c r="P1045" s="281" t="s">
        <v>4436</v>
      </c>
      <c r="Q1045" s="281" t="s">
        <v>4436</v>
      </c>
      <c r="R1045" s="281">
        <v>13230</v>
      </c>
      <c r="S1045" s="281">
        <v>13230</v>
      </c>
      <c r="T1045" s="406">
        <v>13230</v>
      </c>
      <c r="U1045" s="284"/>
      <c r="V1045" s="282" t="s">
        <v>245</v>
      </c>
    </row>
    <row r="1046" spans="1:22">
      <c r="A1046" s="165" t="s">
        <v>4241</v>
      </c>
      <c r="B1046" s="165">
        <v>1080</v>
      </c>
      <c r="C1046" s="165" t="s">
        <v>4418</v>
      </c>
      <c r="D1046" s="165">
        <v>6</v>
      </c>
      <c r="E1046" s="165" t="s">
        <v>4597</v>
      </c>
      <c r="F1046" s="165" t="s">
        <v>4598</v>
      </c>
      <c r="G1046" s="165"/>
      <c r="H1046" s="165">
        <v>11340</v>
      </c>
      <c r="I1046" s="165"/>
      <c r="J1046" s="165">
        <v>11340</v>
      </c>
      <c r="K1046" s="165"/>
      <c r="L1046" s="165"/>
      <c r="M1046" s="165"/>
      <c r="N1046" s="165"/>
      <c r="O1046" s="337">
        <f t="shared" si="31"/>
        <v>0</v>
      </c>
      <c r="P1046" s="165" t="s">
        <v>4439</v>
      </c>
      <c r="Q1046" s="165" t="s">
        <v>4780</v>
      </c>
      <c r="R1046" s="3">
        <f>H1046</f>
        <v>11340</v>
      </c>
      <c r="S1046" s="337">
        <v>11340</v>
      </c>
      <c r="T1046"/>
      <c r="U1046" s="3"/>
    </row>
    <row r="1047" spans="1:22" s="163" customFormat="1">
      <c r="A1047" s="281" t="s">
        <v>4438</v>
      </c>
      <c r="B1047" s="281"/>
      <c r="C1047" s="281" t="s">
        <v>2421</v>
      </c>
      <c r="D1047" s="281">
        <v>1</v>
      </c>
      <c r="E1047" s="281" t="s">
        <v>1283</v>
      </c>
      <c r="F1047" s="281" t="s">
        <v>4438</v>
      </c>
      <c r="G1047" s="284"/>
      <c r="H1047" s="284"/>
      <c r="I1047" s="284"/>
      <c r="J1047" s="281"/>
      <c r="K1047" s="281"/>
      <c r="L1047" s="281"/>
      <c r="M1047" s="281"/>
      <c r="N1047" s="281"/>
      <c r="O1047" s="664">
        <f t="shared" si="31"/>
        <v>0</v>
      </c>
      <c r="P1047" s="281" t="s">
        <v>4438</v>
      </c>
      <c r="Q1047" s="281" t="s">
        <v>4438</v>
      </c>
      <c r="R1047" s="281">
        <v>14175</v>
      </c>
      <c r="S1047" s="281">
        <v>14165</v>
      </c>
      <c r="T1047" s="406">
        <v>14165</v>
      </c>
      <c r="U1047" s="556">
        <v>10</v>
      </c>
    </row>
    <row r="1048" spans="1:22">
      <c r="A1048" s="165" t="s">
        <v>4439</v>
      </c>
      <c r="B1048" s="94">
        <v>1081</v>
      </c>
      <c r="C1048" s="165" t="s">
        <v>4513</v>
      </c>
      <c r="D1048" s="165">
        <v>1</v>
      </c>
      <c r="E1048" s="165" t="s">
        <v>4599</v>
      </c>
      <c r="F1048" s="165" t="s">
        <v>4600</v>
      </c>
      <c r="G1048" s="165">
        <v>11970</v>
      </c>
      <c r="H1048" s="165"/>
      <c r="I1048" s="165"/>
      <c r="J1048" s="165">
        <v>11970</v>
      </c>
      <c r="K1048" s="165"/>
      <c r="L1048" s="165"/>
      <c r="M1048" s="165"/>
      <c r="N1048" s="165"/>
      <c r="O1048" s="337">
        <f t="shared" si="31"/>
        <v>0</v>
      </c>
      <c r="P1048" s="165" t="s">
        <v>4767</v>
      </c>
      <c r="Q1048" s="165" t="s">
        <v>4782</v>
      </c>
      <c r="R1048" s="3">
        <f t="shared" ref="R1048:R1056" si="33">G1048</f>
        <v>11970</v>
      </c>
      <c r="S1048" s="337">
        <v>11970</v>
      </c>
      <c r="T1048"/>
      <c r="U1048" s="3"/>
    </row>
    <row r="1049" spans="1:22">
      <c r="A1049" s="165" t="s">
        <v>4439</v>
      </c>
      <c r="B1049" s="94">
        <v>1082</v>
      </c>
      <c r="C1049" s="165" t="s">
        <v>4513</v>
      </c>
      <c r="D1049" s="165">
        <v>2</v>
      </c>
      <c r="E1049" s="165" t="s">
        <v>4601</v>
      </c>
      <c r="F1049" s="165" t="s">
        <v>4602</v>
      </c>
      <c r="G1049" s="165">
        <v>11970</v>
      </c>
      <c r="H1049" s="165"/>
      <c r="I1049" s="165"/>
      <c r="J1049" s="165">
        <v>11970</v>
      </c>
      <c r="K1049" s="165"/>
      <c r="L1049" s="165"/>
      <c r="M1049" s="165"/>
      <c r="N1049" s="165"/>
      <c r="O1049" s="337">
        <f t="shared" si="31"/>
        <v>0</v>
      </c>
      <c r="P1049" s="165" t="s">
        <v>4772</v>
      </c>
      <c r="Q1049" s="165" t="s">
        <v>4088</v>
      </c>
      <c r="R1049" s="3">
        <f t="shared" si="33"/>
        <v>11970</v>
      </c>
      <c r="S1049" s="337">
        <v>11970</v>
      </c>
      <c r="T1049"/>
      <c r="U1049" s="3"/>
    </row>
    <row r="1050" spans="1:22">
      <c r="A1050" s="165" t="s">
        <v>4439</v>
      </c>
      <c r="B1050" s="94">
        <v>1083</v>
      </c>
      <c r="C1050" s="165" t="s">
        <v>4513</v>
      </c>
      <c r="D1050" s="165">
        <v>3</v>
      </c>
      <c r="E1050" s="165" t="s">
        <v>4603</v>
      </c>
      <c r="F1050" s="165" t="s">
        <v>4609</v>
      </c>
      <c r="G1050" s="165">
        <v>11970</v>
      </c>
      <c r="H1050" s="165"/>
      <c r="I1050" s="165"/>
      <c r="J1050" s="165"/>
      <c r="K1050" s="165">
        <v>11970</v>
      </c>
      <c r="L1050" s="165"/>
      <c r="M1050" s="165"/>
      <c r="N1050" s="165"/>
      <c r="O1050" s="337">
        <f t="shared" si="31"/>
        <v>0</v>
      </c>
      <c r="P1050" s="165" t="s">
        <v>5294</v>
      </c>
      <c r="Q1050" s="165" t="s">
        <v>4788</v>
      </c>
      <c r="R1050" s="3">
        <f t="shared" si="33"/>
        <v>11970</v>
      </c>
      <c r="S1050" s="337">
        <v>11970</v>
      </c>
      <c r="T1050"/>
      <c r="U1050" s="3"/>
    </row>
    <row r="1051" spans="1:22">
      <c r="A1051" s="165" t="s">
        <v>4439</v>
      </c>
      <c r="B1051" s="94">
        <v>1084</v>
      </c>
      <c r="C1051" s="165" t="s">
        <v>4513</v>
      </c>
      <c r="D1051" s="165">
        <v>4</v>
      </c>
      <c r="E1051" s="165" t="s">
        <v>4604</v>
      </c>
      <c r="F1051" s="165" t="s">
        <v>4610</v>
      </c>
      <c r="G1051" s="165">
        <v>11970</v>
      </c>
      <c r="H1051" s="165"/>
      <c r="I1051" s="165"/>
      <c r="J1051" s="165"/>
      <c r="K1051" s="165">
        <v>11970</v>
      </c>
      <c r="L1051" s="165"/>
      <c r="M1051" s="165"/>
      <c r="N1051" s="165"/>
      <c r="O1051" s="337">
        <f t="shared" si="31"/>
        <v>0</v>
      </c>
      <c r="P1051" s="165" t="s">
        <v>5333</v>
      </c>
      <c r="Q1051" s="165" t="s">
        <v>4795</v>
      </c>
      <c r="R1051" s="3">
        <f t="shared" si="33"/>
        <v>11970</v>
      </c>
      <c r="S1051" s="337">
        <v>11970</v>
      </c>
      <c r="T1051"/>
      <c r="U1051" s="3"/>
    </row>
    <row r="1052" spans="1:22">
      <c r="A1052" s="165" t="s">
        <v>4439</v>
      </c>
      <c r="B1052" s="94">
        <v>1085</v>
      </c>
      <c r="C1052" s="165" t="s">
        <v>4513</v>
      </c>
      <c r="D1052" s="165">
        <v>5</v>
      </c>
      <c r="E1052" s="165" t="s">
        <v>4605</v>
      </c>
      <c r="F1052" s="165" t="s">
        <v>4611</v>
      </c>
      <c r="G1052" s="165">
        <v>11970</v>
      </c>
      <c r="H1052" s="165"/>
      <c r="I1052" s="165"/>
      <c r="J1052" s="165"/>
      <c r="K1052" s="165">
        <v>11970</v>
      </c>
      <c r="L1052" s="165"/>
      <c r="M1052" s="165"/>
      <c r="N1052" s="165"/>
      <c r="O1052" s="337">
        <f t="shared" si="31"/>
        <v>0</v>
      </c>
      <c r="P1052" s="165" t="s">
        <v>5453</v>
      </c>
      <c r="Q1052" s="165" t="s">
        <v>5465</v>
      </c>
      <c r="R1052" s="3">
        <f t="shared" si="33"/>
        <v>11970</v>
      </c>
      <c r="S1052" s="337">
        <v>11970</v>
      </c>
      <c r="T1052"/>
      <c r="U1052" s="3"/>
    </row>
    <row r="1053" spans="1:22">
      <c r="A1053" s="165" t="s">
        <v>4439</v>
      </c>
      <c r="B1053" s="94">
        <v>1086</v>
      </c>
      <c r="C1053" s="165" t="s">
        <v>4513</v>
      </c>
      <c r="D1053" s="165">
        <v>6</v>
      </c>
      <c r="E1053" s="165" t="s">
        <v>4606</v>
      </c>
      <c r="F1053" s="165" t="s">
        <v>4612</v>
      </c>
      <c r="G1053" s="165">
        <v>11970</v>
      </c>
      <c r="H1053" s="165"/>
      <c r="I1053" s="165"/>
      <c r="J1053" s="165"/>
      <c r="K1053" s="165">
        <v>11970</v>
      </c>
      <c r="L1053" s="165"/>
      <c r="M1053" s="165"/>
      <c r="N1053" s="165"/>
      <c r="O1053" s="337">
        <f t="shared" si="31"/>
        <v>0</v>
      </c>
      <c r="P1053" s="165" t="s">
        <v>5504</v>
      </c>
      <c r="Q1053" s="165" t="s">
        <v>5531</v>
      </c>
      <c r="R1053" s="3">
        <f t="shared" si="33"/>
        <v>11970</v>
      </c>
      <c r="S1053" s="337">
        <v>11970</v>
      </c>
      <c r="T1053"/>
      <c r="U1053" s="3"/>
    </row>
    <row r="1054" spans="1:22">
      <c r="A1054" s="165" t="s">
        <v>4439</v>
      </c>
      <c r="B1054" s="94">
        <v>1087</v>
      </c>
      <c r="C1054" s="165" t="s">
        <v>4513</v>
      </c>
      <c r="D1054" s="165">
        <v>7</v>
      </c>
      <c r="E1054" s="165" t="s">
        <v>4607</v>
      </c>
      <c r="F1054" s="165" t="s">
        <v>4613</v>
      </c>
      <c r="G1054" s="165">
        <v>11970</v>
      </c>
      <c r="H1054" s="165"/>
      <c r="I1054" s="165"/>
      <c r="J1054" s="165"/>
      <c r="K1054" s="165">
        <v>11970</v>
      </c>
      <c r="L1054" s="165"/>
      <c r="M1054" s="165"/>
      <c r="N1054" s="165"/>
      <c r="O1054" s="337">
        <f t="shared" si="31"/>
        <v>0</v>
      </c>
      <c r="P1054" s="165" t="s">
        <v>5289</v>
      </c>
      <c r="Q1054" s="165" t="s">
        <v>5290</v>
      </c>
      <c r="R1054" s="3">
        <f t="shared" si="33"/>
        <v>11970</v>
      </c>
      <c r="S1054" s="337">
        <v>11970</v>
      </c>
      <c r="T1054"/>
      <c r="U1054" s="3"/>
    </row>
    <row r="1055" spans="1:22">
      <c r="A1055" s="165" t="s">
        <v>4439</v>
      </c>
      <c r="B1055" s="94">
        <v>1088</v>
      </c>
      <c r="C1055" s="165" t="s">
        <v>4513</v>
      </c>
      <c r="D1055" s="165">
        <v>8</v>
      </c>
      <c r="E1055" s="165" t="s">
        <v>4608</v>
      </c>
      <c r="F1055" s="165" t="s">
        <v>4614</v>
      </c>
      <c r="G1055" s="165">
        <v>11970</v>
      </c>
      <c r="H1055" s="165"/>
      <c r="I1055" s="165"/>
      <c r="J1055" s="165"/>
      <c r="K1055" s="165"/>
      <c r="L1055" s="165">
        <v>11970</v>
      </c>
      <c r="M1055" s="165"/>
      <c r="N1055" s="165"/>
      <c r="O1055" s="337">
        <f t="shared" si="31"/>
        <v>0</v>
      </c>
      <c r="P1055" s="165" t="s">
        <v>5615</v>
      </c>
      <c r="Q1055" s="165" t="s">
        <v>5615</v>
      </c>
      <c r="R1055" s="3">
        <f t="shared" si="33"/>
        <v>11970</v>
      </c>
      <c r="S1055" s="337">
        <v>11970</v>
      </c>
      <c r="T1055"/>
      <c r="U1055" s="3"/>
    </row>
    <row r="1056" spans="1:22">
      <c r="A1056" s="165" t="s">
        <v>4615</v>
      </c>
      <c r="B1056" s="94">
        <v>1089</v>
      </c>
      <c r="C1056" s="165" t="s">
        <v>4528</v>
      </c>
      <c r="D1056" s="165">
        <v>1</v>
      </c>
      <c r="E1056" s="165" t="s">
        <v>4616</v>
      </c>
      <c r="F1056" s="165" t="s">
        <v>4016</v>
      </c>
      <c r="G1056" s="165">
        <v>12600</v>
      </c>
      <c r="H1056" s="165"/>
      <c r="I1056" s="165"/>
      <c r="J1056" s="165">
        <v>12600</v>
      </c>
      <c r="K1056" s="165"/>
      <c r="L1056" s="165"/>
      <c r="M1056" s="165"/>
      <c r="N1056" s="165"/>
      <c r="O1056" s="337">
        <f t="shared" si="31"/>
        <v>0</v>
      </c>
      <c r="P1056" s="165" t="s">
        <v>4767</v>
      </c>
      <c r="Q1056" s="165" t="s">
        <v>4782</v>
      </c>
      <c r="R1056" s="3">
        <f t="shared" si="33"/>
        <v>12600</v>
      </c>
      <c r="S1056" s="165">
        <v>12600</v>
      </c>
      <c r="T1056"/>
      <c r="U1056" s="3"/>
    </row>
    <row r="1057" spans="1:22" s="163" customFormat="1">
      <c r="A1057" s="281" t="s">
        <v>4750</v>
      </c>
      <c r="B1057" s="281"/>
      <c r="C1057" s="281" t="s">
        <v>456</v>
      </c>
      <c r="D1057" s="281">
        <v>4</v>
      </c>
      <c r="E1057" s="281" t="s">
        <v>1283</v>
      </c>
      <c r="F1057" s="281" t="s">
        <v>4750</v>
      </c>
      <c r="G1057" s="284"/>
      <c r="H1057" s="284"/>
      <c r="I1057" s="284"/>
      <c r="J1057" s="281"/>
      <c r="K1057" s="281"/>
      <c r="L1057" s="281"/>
      <c r="M1057" s="281"/>
      <c r="N1057" s="281"/>
      <c r="O1057" s="664">
        <f t="shared" si="31"/>
        <v>0</v>
      </c>
      <c r="P1057" s="281" t="s">
        <v>4750</v>
      </c>
      <c r="Q1057" s="281" t="s">
        <v>4750</v>
      </c>
      <c r="R1057" s="281">
        <v>13230</v>
      </c>
      <c r="S1057" s="281">
        <v>13230</v>
      </c>
      <c r="T1057" s="406">
        <v>13230</v>
      </c>
      <c r="U1057" s="284"/>
      <c r="V1057" s="282" t="s">
        <v>245</v>
      </c>
    </row>
    <row r="1058" spans="1:22" s="163" customFormat="1">
      <c r="A1058" s="281" t="s">
        <v>4757</v>
      </c>
      <c r="B1058" s="281"/>
      <c r="C1058" s="281" t="s">
        <v>3825</v>
      </c>
      <c r="D1058" s="281">
        <v>5</v>
      </c>
      <c r="E1058" s="281" t="s">
        <v>1283</v>
      </c>
      <c r="F1058" s="281" t="s">
        <v>4757</v>
      </c>
      <c r="G1058" s="284"/>
      <c r="H1058" s="284"/>
      <c r="I1058" s="284"/>
      <c r="J1058" s="281"/>
      <c r="K1058" s="281"/>
      <c r="L1058" s="281"/>
      <c r="M1058" s="281"/>
      <c r="N1058" s="281"/>
      <c r="O1058" s="664">
        <f t="shared" si="31"/>
        <v>0</v>
      </c>
      <c r="P1058" s="281" t="s">
        <v>4757</v>
      </c>
      <c r="Q1058" s="281" t="s">
        <v>4757</v>
      </c>
      <c r="R1058" s="281">
        <v>14175</v>
      </c>
      <c r="S1058" s="281">
        <v>14145</v>
      </c>
      <c r="T1058" s="406">
        <v>14145</v>
      </c>
      <c r="U1058" s="556">
        <v>30</v>
      </c>
    </row>
    <row r="1059" spans="1:22" s="163" customFormat="1">
      <c r="A1059" s="281" t="s">
        <v>4758</v>
      </c>
      <c r="B1059" s="281"/>
      <c r="C1059" s="281" t="s">
        <v>1532</v>
      </c>
      <c r="D1059" s="281">
        <v>4</v>
      </c>
      <c r="E1059" s="281" t="s">
        <v>1283</v>
      </c>
      <c r="F1059" s="281" t="s">
        <v>4758</v>
      </c>
      <c r="G1059" s="284"/>
      <c r="H1059" s="284"/>
      <c r="I1059" s="284"/>
      <c r="J1059" s="281"/>
      <c r="K1059" s="281"/>
      <c r="L1059" s="281"/>
      <c r="M1059" s="281"/>
      <c r="N1059" s="281"/>
      <c r="O1059" s="664">
        <f t="shared" si="31"/>
        <v>0</v>
      </c>
      <c r="P1059" s="281" t="s">
        <v>4758</v>
      </c>
      <c r="Q1059" s="281" t="s">
        <v>4758</v>
      </c>
      <c r="R1059" s="281">
        <v>13500</v>
      </c>
      <c r="S1059" s="281">
        <v>13485</v>
      </c>
      <c r="T1059" s="406">
        <v>13485</v>
      </c>
      <c r="U1059" s="556">
        <v>15</v>
      </c>
    </row>
    <row r="1060" spans="1:22">
      <c r="A1060" s="165" t="s">
        <v>4615</v>
      </c>
      <c r="B1060" s="94">
        <v>1090</v>
      </c>
      <c r="C1060" s="165" t="s">
        <v>4528</v>
      </c>
      <c r="D1060" s="165">
        <v>2</v>
      </c>
      <c r="E1060" s="165" t="s">
        <v>4617</v>
      </c>
      <c r="F1060" s="165" t="s">
        <v>4018</v>
      </c>
      <c r="G1060" s="165">
        <v>12600</v>
      </c>
      <c r="H1060" s="165"/>
      <c r="I1060" s="165"/>
      <c r="J1060" s="165">
        <v>12600</v>
      </c>
      <c r="K1060" s="165"/>
      <c r="L1060" s="165"/>
      <c r="M1060" s="165"/>
      <c r="N1060" s="165"/>
      <c r="O1060" s="337">
        <f t="shared" si="31"/>
        <v>0</v>
      </c>
      <c r="P1060" s="165" t="s">
        <v>4715</v>
      </c>
      <c r="Q1060" s="165" t="s">
        <v>4786</v>
      </c>
      <c r="R1060" s="3">
        <f t="shared" ref="R1060:R1090" si="34">G1060</f>
        <v>12600</v>
      </c>
      <c r="S1060" s="337">
        <v>12600</v>
      </c>
      <c r="T1060"/>
      <c r="U1060" s="3"/>
    </row>
    <row r="1061" spans="1:22">
      <c r="A1061" s="165" t="s">
        <v>4615</v>
      </c>
      <c r="B1061" s="94">
        <v>1091</v>
      </c>
      <c r="C1061" s="165" t="s">
        <v>4528</v>
      </c>
      <c r="D1061" s="165">
        <v>3</v>
      </c>
      <c r="E1061" s="165" t="s">
        <v>4618</v>
      </c>
      <c r="F1061" s="165" t="s">
        <v>4190</v>
      </c>
      <c r="G1061" s="165">
        <v>12600</v>
      </c>
      <c r="H1061" s="165"/>
      <c r="I1061" s="165"/>
      <c r="J1061" s="165">
        <v>12600</v>
      </c>
      <c r="K1061" s="165"/>
      <c r="L1061" s="165"/>
      <c r="M1061" s="165"/>
      <c r="N1061" s="165"/>
      <c r="O1061" s="337">
        <f t="shared" si="31"/>
        <v>0</v>
      </c>
      <c r="P1061" s="165" t="s">
        <v>4190</v>
      </c>
      <c r="Q1061" s="165" t="s">
        <v>4033</v>
      </c>
      <c r="R1061" s="3">
        <f t="shared" si="34"/>
        <v>12600</v>
      </c>
      <c r="S1061" s="337">
        <v>12600</v>
      </c>
      <c r="T1061"/>
      <c r="U1061" s="3"/>
    </row>
    <row r="1062" spans="1:22">
      <c r="A1062" s="165" t="s">
        <v>4615</v>
      </c>
      <c r="B1062" s="94">
        <v>1092</v>
      </c>
      <c r="C1062" s="165" t="s">
        <v>4528</v>
      </c>
      <c r="D1062" s="165">
        <v>4</v>
      </c>
      <c r="E1062" s="165" t="s">
        <v>4619</v>
      </c>
      <c r="F1062" s="165" t="s">
        <v>4192</v>
      </c>
      <c r="G1062" s="165">
        <v>12600</v>
      </c>
      <c r="H1062" s="165"/>
      <c r="I1062" s="165"/>
      <c r="J1062" s="165"/>
      <c r="K1062" s="165">
        <v>12600</v>
      </c>
      <c r="L1062" s="165"/>
      <c r="M1062" s="165"/>
      <c r="N1062" s="165"/>
      <c r="O1062" s="337">
        <f t="shared" si="31"/>
        <v>0</v>
      </c>
      <c r="P1062" s="165" t="s">
        <v>4651</v>
      </c>
      <c r="Q1062" s="165" t="s">
        <v>4793</v>
      </c>
      <c r="R1062" s="3">
        <f t="shared" si="34"/>
        <v>12600</v>
      </c>
      <c r="S1062" s="337">
        <v>12600</v>
      </c>
      <c r="T1062"/>
      <c r="U1062" s="3"/>
    </row>
    <row r="1063" spans="1:22">
      <c r="A1063" s="165" t="s">
        <v>4615</v>
      </c>
      <c r="B1063" s="94">
        <v>1093</v>
      </c>
      <c r="C1063" s="165" t="s">
        <v>4528</v>
      </c>
      <c r="D1063" s="165">
        <v>5</v>
      </c>
      <c r="E1063" s="165" t="s">
        <v>4620</v>
      </c>
      <c r="F1063" s="165" t="s">
        <v>4194</v>
      </c>
      <c r="G1063" s="165">
        <v>12600</v>
      </c>
      <c r="H1063" s="165"/>
      <c r="I1063" s="165"/>
      <c r="J1063" s="165"/>
      <c r="K1063" s="165">
        <v>12600</v>
      </c>
      <c r="L1063" s="165"/>
      <c r="M1063" s="165"/>
      <c r="N1063" s="165"/>
      <c r="O1063" s="337">
        <f t="shared" si="31"/>
        <v>0</v>
      </c>
      <c r="P1063" s="165" t="s">
        <v>4806</v>
      </c>
      <c r="Q1063" s="165" t="s">
        <v>4194</v>
      </c>
      <c r="R1063" s="3">
        <f t="shared" si="34"/>
        <v>12600</v>
      </c>
      <c r="S1063" s="337">
        <v>12600</v>
      </c>
      <c r="T1063"/>
      <c r="U1063" s="3"/>
    </row>
    <row r="1064" spans="1:22">
      <c r="A1064" s="165" t="s">
        <v>4615</v>
      </c>
      <c r="B1064" s="94">
        <v>1094</v>
      </c>
      <c r="C1064" s="165" t="s">
        <v>4528</v>
      </c>
      <c r="D1064" s="165">
        <v>6</v>
      </c>
      <c r="E1064" s="165" t="s">
        <v>4621</v>
      </c>
      <c r="F1064" s="165" t="s">
        <v>4226</v>
      </c>
      <c r="G1064" s="165">
        <v>12600</v>
      </c>
      <c r="H1064" s="165"/>
      <c r="I1064" s="165"/>
      <c r="J1064" s="165"/>
      <c r="K1064" s="165">
        <v>12600</v>
      </c>
      <c r="L1064" s="165"/>
      <c r="M1064" s="165"/>
      <c r="N1064" s="165"/>
      <c r="O1064" s="337">
        <f t="shared" si="31"/>
        <v>0</v>
      </c>
      <c r="P1064" s="165" t="s">
        <v>5500</v>
      </c>
      <c r="Q1064" s="165" t="s">
        <v>4226</v>
      </c>
      <c r="R1064" s="3">
        <f t="shared" si="34"/>
        <v>12600</v>
      </c>
      <c r="S1064" s="165">
        <v>12600</v>
      </c>
      <c r="T1064"/>
      <c r="U1064" s="3"/>
    </row>
    <row r="1065" spans="1:22">
      <c r="A1065" s="165" t="s">
        <v>4615</v>
      </c>
      <c r="B1065" s="94">
        <v>1095</v>
      </c>
      <c r="C1065" s="165" t="s">
        <v>4528</v>
      </c>
      <c r="D1065" s="165">
        <v>7</v>
      </c>
      <c r="E1065" s="165" t="s">
        <v>4622</v>
      </c>
      <c r="F1065" s="165" t="s">
        <v>4624</v>
      </c>
      <c r="G1065" s="165">
        <v>12600</v>
      </c>
      <c r="H1065" s="165"/>
      <c r="I1065" s="165"/>
      <c r="J1065" s="165"/>
      <c r="K1065" s="165">
        <v>12600</v>
      </c>
      <c r="L1065" s="165"/>
      <c r="M1065" s="165"/>
      <c r="N1065" s="165"/>
      <c r="O1065" s="337">
        <f t="shared" si="31"/>
        <v>0</v>
      </c>
      <c r="P1065" s="165" t="s">
        <v>5551</v>
      </c>
      <c r="Q1065" s="165" t="s">
        <v>4624</v>
      </c>
      <c r="R1065" s="3">
        <f t="shared" si="34"/>
        <v>12600</v>
      </c>
      <c r="S1065" s="165">
        <v>12600</v>
      </c>
      <c r="T1065"/>
      <c r="U1065" s="3"/>
    </row>
    <row r="1066" spans="1:22">
      <c r="A1066" s="165" t="s">
        <v>4615</v>
      </c>
      <c r="B1066" s="94">
        <v>1096</v>
      </c>
      <c r="C1066" s="165" t="s">
        <v>4528</v>
      </c>
      <c r="D1066" s="165">
        <v>8</v>
      </c>
      <c r="E1066" s="165" t="s">
        <v>4623</v>
      </c>
      <c r="F1066" s="165" t="s">
        <v>4625</v>
      </c>
      <c r="G1066" s="165">
        <v>12600</v>
      </c>
      <c r="H1066" s="165"/>
      <c r="I1066" s="165"/>
      <c r="J1066" s="165"/>
      <c r="K1066" s="165"/>
      <c r="L1066" s="165">
        <v>12600</v>
      </c>
      <c r="M1066" s="165"/>
      <c r="N1066" s="165"/>
      <c r="O1066" s="337">
        <f t="shared" si="31"/>
        <v>0</v>
      </c>
      <c r="P1066" s="165" t="s">
        <v>4655</v>
      </c>
      <c r="Q1066" s="165" t="s">
        <v>4655</v>
      </c>
      <c r="R1066" s="3">
        <f t="shared" si="34"/>
        <v>12600</v>
      </c>
      <c r="S1066" s="165">
        <v>12600</v>
      </c>
      <c r="T1066"/>
      <c r="U1066" s="3"/>
    </row>
    <row r="1067" spans="1:22">
      <c r="A1067" s="165" t="s">
        <v>4626</v>
      </c>
      <c r="B1067" s="94">
        <v>1097</v>
      </c>
      <c r="C1067" s="165" t="s">
        <v>4539</v>
      </c>
      <c r="D1067" s="165">
        <v>1</v>
      </c>
      <c r="E1067" s="165" t="s">
        <v>4627</v>
      </c>
      <c r="F1067" s="165" t="s">
        <v>4628</v>
      </c>
      <c r="G1067" s="165">
        <v>13230</v>
      </c>
      <c r="H1067" s="165"/>
      <c r="I1067" s="165"/>
      <c r="J1067" s="165">
        <v>13230</v>
      </c>
      <c r="K1067" s="165"/>
      <c r="L1067" s="165"/>
      <c r="M1067" s="165"/>
      <c r="N1067" s="165"/>
      <c r="O1067" s="337">
        <f t="shared" si="31"/>
        <v>0</v>
      </c>
      <c r="P1067" s="165" t="s">
        <v>4770</v>
      </c>
      <c r="Q1067" s="165" t="s">
        <v>4784</v>
      </c>
      <c r="R1067" s="3">
        <f t="shared" si="34"/>
        <v>13230</v>
      </c>
      <c r="S1067" s="165">
        <v>13230</v>
      </c>
      <c r="T1067"/>
      <c r="U1067" s="3"/>
    </row>
    <row r="1068" spans="1:22">
      <c r="A1068" s="165" t="s">
        <v>4626</v>
      </c>
      <c r="B1068" s="94">
        <v>1098</v>
      </c>
      <c r="C1068" s="165" t="s">
        <v>4539</v>
      </c>
      <c r="D1068" s="165">
        <v>2</v>
      </c>
      <c r="E1068" s="165" t="s">
        <v>4629</v>
      </c>
      <c r="F1068" s="165" t="s">
        <v>4636</v>
      </c>
      <c r="G1068" s="165">
        <v>13230</v>
      </c>
      <c r="H1068" s="165"/>
      <c r="I1068" s="165"/>
      <c r="J1068" s="165">
        <v>13230</v>
      </c>
      <c r="K1068" s="165"/>
      <c r="L1068" s="165"/>
      <c r="M1068" s="165"/>
      <c r="N1068" s="165"/>
      <c r="O1068" s="337">
        <f t="shared" si="31"/>
        <v>0</v>
      </c>
      <c r="P1068" s="165" t="s">
        <v>4777</v>
      </c>
      <c r="Q1068" s="165" t="s">
        <v>4127</v>
      </c>
      <c r="R1068" s="3">
        <f t="shared" si="34"/>
        <v>13230</v>
      </c>
      <c r="S1068" s="165">
        <v>13230</v>
      </c>
      <c r="T1068"/>
      <c r="U1068" s="3"/>
    </row>
    <row r="1069" spans="1:22">
      <c r="A1069" s="165" t="s">
        <v>4626</v>
      </c>
      <c r="B1069" s="94">
        <v>1099</v>
      </c>
      <c r="C1069" s="165" t="s">
        <v>4539</v>
      </c>
      <c r="D1069" s="165">
        <v>3</v>
      </c>
      <c r="E1069" s="165" t="s">
        <v>4630</v>
      </c>
      <c r="F1069" s="165" t="s">
        <v>4637</v>
      </c>
      <c r="G1069" s="165">
        <v>13230</v>
      </c>
      <c r="H1069" s="165"/>
      <c r="I1069" s="165"/>
      <c r="J1069" s="165"/>
      <c r="K1069" s="165">
        <v>13230</v>
      </c>
      <c r="L1069" s="165"/>
      <c r="M1069" s="165"/>
      <c r="N1069" s="165"/>
      <c r="O1069" s="337">
        <f t="shared" si="31"/>
        <v>0</v>
      </c>
      <c r="P1069" s="165" t="s">
        <v>4791</v>
      </c>
      <c r="Q1069" s="165" t="s">
        <v>5317</v>
      </c>
      <c r="R1069" s="3">
        <f t="shared" si="34"/>
        <v>13230</v>
      </c>
      <c r="S1069" s="165">
        <v>13230</v>
      </c>
      <c r="T1069"/>
      <c r="U1069" s="3"/>
    </row>
    <row r="1070" spans="1:22">
      <c r="A1070" s="165" t="s">
        <v>4626</v>
      </c>
      <c r="B1070" s="94">
        <v>1100</v>
      </c>
      <c r="C1070" s="165" t="s">
        <v>4539</v>
      </c>
      <c r="D1070" s="165">
        <v>4</v>
      </c>
      <c r="E1070" s="165" t="s">
        <v>4631</v>
      </c>
      <c r="F1070" s="165" t="s">
        <v>4289</v>
      </c>
      <c r="G1070" s="165">
        <v>13230</v>
      </c>
      <c r="H1070" s="165"/>
      <c r="I1070" s="165"/>
      <c r="J1070" s="165"/>
      <c r="K1070" s="165">
        <v>13230</v>
      </c>
      <c r="L1070" s="165"/>
      <c r="M1070" s="165"/>
      <c r="N1070" s="165"/>
      <c r="O1070" s="337">
        <f t="shared" si="31"/>
        <v>0</v>
      </c>
      <c r="P1070" s="165" t="s">
        <v>4802</v>
      </c>
      <c r="Q1070" s="165" t="s">
        <v>4804</v>
      </c>
      <c r="R1070" s="3">
        <f t="shared" si="34"/>
        <v>13230</v>
      </c>
      <c r="S1070" s="165">
        <v>13230</v>
      </c>
      <c r="T1070"/>
      <c r="U1070" s="3"/>
    </row>
    <row r="1071" spans="1:22">
      <c r="A1071" s="165" t="s">
        <v>4626</v>
      </c>
      <c r="B1071" s="94">
        <v>1101</v>
      </c>
      <c r="C1071" s="165" t="s">
        <v>4539</v>
      </c>
      <c r="D1071" s="165">
        <v>5</v>
      </c>
      <c r="E1071" s="165" t="s">
        <v>4632</v>
      </c>
      <c r="F1071" s="165" t="s">
        <v>4638</v>
      </c>
      <c r="G1071" s="165">
        <v>13230</v>
      </c>
      <c r="H1071" s="165"/>
      <c r="I1071" s="165"/>
      <c r="J1071" s="165"/>
      <c r="K1071" s="165">
        <v>13230</v>
      </c>
      <c r="L1071" s="165"/>
      <c r="M1071" s="165"/>
      <c r="N1071" s="165"/>
      <c r="O1071" s="337">
        <f t="shared" si="31"/>
        <v>0</v>
      </c>
      <c r="P1071" s="165" t="s">
        <v>5488</v>
      </c>
      <c r="Q1071" s="165" t="s">
        <v>4291</v>
      </c>
      <c r="R1071" s="3">
        <f t="shared" si="34"/>
        <v>13230</v>
      </c>
      <c r="S1071" s="165">
        <v>13230</v>
      </c>
      <c r="T1071"/>
      <c r="U1071" s="3"/>
    </row>
    <row r="1072" spans="1:22">
      <c r="A1072" s="165" t="s">
        <v>4626</v>
      </c>
      <c r="B1072" s="94">
        <v>1102</v>
      </c>
      <c r="C1072" s="165" t="s">
        <v>4539</v>
      </c>
      <c r="D1072" s="165">
        <v>6</v>
      </c>
      <c r="E1072" s="165" t="s">
        <v>4633</v>
      </c>
      <c r="F1072" s="165" t="s">
        <v>4639</v>
      </c>
      <c r="G1072" s="165">
        <v>13230</v>
      </c>
      <c r="H1072" s="165"/>
      <c r="I1072" s="165"/>
      <c r="J1072" s="165"/>
      <c r="K1072" s="165">
        <v>13230</v>
      </c>
      <c r="L1072" s="165"/>
      <c r="M1072" s="165"/>
      <c r="N1072" s="165"/>
      <c r="O1072" s="337">
        <f t="shared" si="31"/>
        <v>0</v>
      </c>
      <c r="P1072" s="165" t="s">
        <v>5263</v>
      </c>
      <c r="Q1072" s="165" t="s">
        <v>4639</v>
      </c>
      <c r="R1072" s="3">
        <f t="shared" si="34"/>
        <v>13230</v>
      </c>
      <c r="S1072" s="165">
        <v>13230</v>
      </c>
      <c r="T1072"/>
      <c r="U1072" s="3"/>
    </row>
    <row r="1073" spans="1:21">
      <c r="A1073" s="165" t="s">
        <v>4626</v>
      </c>
      <c r="B1073" s="94">
        <v>1103</v>
      </c>
      <c r="C1073" s="165" t="s">
        <v>4539</v>
      </c>
      <c r="D1073" s="165">
        <v>7</v>
      </c>
      <c r="E1073" s="165" t="s">
        <v>4634</v>
      </c>
      <c r="F1073" s="165" t="s">
        <v>4640</v>
      </c>
      <c r="G1073" s="165">
        <v>13230</v>
      </c>
      <c r="H1073" s="165"/>
      <c r="I1073" s="165"/>
      <c r="J1073" s="165"/>
      <c r="K1073" s="165"/>
      <c r="L1073" s="165">
        <v>13230</v>
      </c>
      <c r="M1073" s="165"/>
      <c r="N1073" s="165"/>
      <c r="O1073" s="337">
        <f t="shared" si="31"/>
        <v>0</v>
      </c>
      <c r="P1073" s="165" t="s">
        <v>4640</v>
      </c>
      <c r="Q1073" s="165" t="s">
        <v>4640</v>
      </c>
      <c r="R1073" s="3">
        <f t="shared" si="34"/>
        <v>13230</v>
      </c>
      <c r="S1073" s="165">
        <v>13230</v>
      </c>
      <c r="T1073"/>
      <c r="U1073" s="3"/>
    </row>
    <row r="1074" spans="1:21">
      <c r="A1074" s="165" t="s">
        <v>4626</v>
      </c>
      <c r="B1074" s="94">
        <v>1104</v>
      </c>
      <c r="C1074" s="165" t="s">
        <v>4539</v>
      </c>
      <c r="D1074" s="165">
        <v>8</v>
      </c>
      <c r="E1074" s="165" t="s">
        <v>4635</v>
      </c>
      <c r="F1074" s="165" t="s">
        <v>4641</v>
      </c>
      <c r="G1074" s="165">
        <v>13230</v>
      </c>
      <c r="H1074" s="165"/>
      <c r="I1074" s="165"/>
      <c r="J1074" s="165"/>
      <c r="K1074" s="165"/>
      <c r="L1074" s="165">
        <v>13230</v>
      </c>
      <c r="M1074" s="165"/>
      <c r="N1074" s="165"/>
      <c r="O1074" s="337">
        <f t="shared" si="31"/>
        <v>0</v>
      </c>
      <c r="P1074" s="165" t="s">
        <v>4641</v>
      </c>
      <c r="Q1074" s="165" t="s">
        <v>4641</v>
      </c>
      <c r="R1074" s="3">
        <f t="shared" si="34"/>
        <v>13230</v>
      </c>
      <c r="S1074" s="165">
        <v>13230</v>
      </c>
      <c r="T1074"/>
      <c r="U1074" s="3"/>
    </row>
    <row r="1075" spans="1:21">
      <c r="A1075" s="165" t="s">
        <v>4642</v>
      </c>
      <c r="B1075" s="94">
        <v>1105</v>
      </c>
      <c r="C1075" s="165" t="s">
        <v>4537</v>
      </c>
      <c r="D1075" s="165">
        <v>1</v>
      </c>
      <c r="E1075" s="165" t="s">
        <v>4643</v>
      </c>
      <c r="F1075" s="165" t="s">
        <v>4031</v>
      </c>
      <c r="G1075" s="165">
        <v>12600</v>
      </c>
      <c r="H1075" s="165"/>
      <c r="I1075" s="165"/>
      <c r="J1075" s="165">
        <v>12600</v>
      </c>
      <c r="K1075" s="165"/>
      <c r="L1075" s="165"/>
      <c r="M1075" s="165"/>
      <c r="N1075" s="165"/>
      <c r="O1075" s="337">
        <f t="shared" si="31"/>
        <v>0</v>
      </c>
      <c r="P1075" s="165" t="s">
        <v>4715</v>
      </c>
      <c r="Q1075" s="165" t="s">
        <v>4786</v>
      </c>
      <c r="R1075" s="3">
        <f t="shared" si="34"/>
        <v>12600</v>
      </c>
      <c r="S1075" s="165">
        <v>12600</v>
      </c>
      <c r="T1075"/>
      <c r="U1075" s="3"/>
    </row>
    <row r="1076" spans="1:21">
      <c r="A1076" s="165" t="s">
        <v>4642</v>
      </c>
      <c r="B1076" s="94">
        <v>1106</v>
      </c>
      <c r="C1076" s="165" t="s">
        <v>4537</v>
      </c>
      <c r="D1076" s="165">
        <v>2</v>
      </c>
      <c r="E1076" s="165" t="s">
        <v>4644</v>
      </c>
      <c r="F1076" s="165" t="s">
        <v>4033</v>
      </c>
      <c r="G1076" s="165">
        <v>12600</v>
      </c>
      <c r="H1076" s="165"/>
      <c r="I1076" s="165"/>
      <c r="J1076" s="165">
        <v>12600</v>
      </c>
      <c r="K1076" s="165"/>
      <c r="L1076" s="165"/>
      <c r="M1076" s="165"/>
      <c r="N1076" s="165"/>
      <c r="O1076" s="337">
        <f t="shared" si="31"/>
        <v>0</v>
      </c>
      <c r="P1076" s="165" t="s">
        <v>4190</v>
      </c>
      <c r="Q1076" s="165" t="s">
        <v>4033</v>
      </c>
      <c r="R1076" s="3">
        <f t="shared" si="34"/>
        <v>12600</v>
      </c>
      <c r="S1076" s="165">
        <v>12600</v>
      </c>
      <c r="T1076"/>
      <c r="U1076" s="3"/>
    </row>
    <row r="1077" spans="1:21">
      <c r="A1077" s="165" t="s">
        <v>4642</v>
      </c>
      <c r="B1077" s="94">
        <v>1107</v>
      </c>
      <c r="C1077" s="165" t="s">
        <v>4537</v>
      </c>
      <c r="D1077" s="165">
        <v>3</v>
      </c>
      <c r="E1077" s="165" t="s">
        <v>4645</v>
      </c>
      <c r="F1077" s="165" t="s">
        <v>4651</v>
      </c>
      <c r="G1077" s="165">
        <v>12600</v>
      </c>
      <c r="H1077" s="165"/>
      <c r="I1077" s="165"/>
      <c r="J1077" s="165"/>
      <c r="K1077" s="165">
        <v>12600</v>
      </c>
      <c r="L1077" s="165"/>
      <c r="M1077" s="165"/>
      <c r="N1077" s="165"/>
      <c r="O1077" s="337">
        <f t="shared" si="31"/>
        <v>0</v>
      </c>
      <c r="P1077" s="165" t="s">
        <v>4651</v>
      </c>
      <c r="Q1077" s="165" t="s">
        <v>4793</v>
      </c>
      <c r="R1077" s="3">
        <f t="shared" si="34"/>
        <v>12600</v>
      </c>
      <c r="S1077" s="165">
        <v>12600</v>
      </c>
      <c r="T1077"/>
      <c r="U1077" s="3"/>
    </row>
    <row r="1078" spans="1:21">
      <c r="A1078" s="165" t="s">
        <v>4642</v>
      </c>
      <c r="B1078" s="94">
        <v>1108</v>
      </c>
      <c r="C1078" s="165" t="s">
        <v>4537</v>
      </c>
      <c r="D1078" s="165">
        <v>4</v>
      </c>
      <c r="E1078" s="165" t="s">
        <v>4646</v>
      </c>
      <c r="F1078" s="165" t="s">
        <v>4652</v>
      </c>
      <c r="G1078" s="165">
        <v>12600</v>
      </c>
      <c r="H1078" s="165"/>
      <c r="I1078" s="165"/>
      <c r="J1078" s="165"/>
      <c r="K1078" s="165">
        <v>12600</v>
      </c>
      <c r="L1078" s="165"/>
      <c r="M1078" s="165"/>
      <c r="N1078" s="165"/>
      <c r="O1078" s="337">
        <f t="shared" si="31"/>
        <v>0</v>
      </c>
      <c r="P1078" s="165" t="s">
        <v>4806</v>
      </c>
      <c r="Q1078" s="165" t="s">
        <v>4652</v>
      </c>
      <c r="R1078" s="3">
        <f t="shared" si="34"/>
        <v>12600</v>
      </c>
      <c r="S1078" s="165">
        <v>12600</v>
      </c>
      <c r="T1078"/>
      <c r="U1078" s="3"/>
    </row>
    <row r="1079" spans="1:21">
      <c r="A1079" s="165" t="s">
        <v>4642</v>
      </c>
      <c r="B1079" s="94">
        <v>1109</v>
      </c>
      <c r="C1079" s="165" t="s">
        <v>4537</v>
      </c>
      <c r="D1079" s="165">
        <v>5</v>
      </c>
      <c r="E1079" s="165" t="s">
        <v>4647</v>
      </c>
      <c r="F1079" s="165" t="s">
        <v>4653</v>
      </c>
      <c r="G1079" s="165">
        <v>12600</v>
      </c>
      <c r="H1079" s="165"/>
      <c r="I1079" s="165"/>
      <c r="J1079" s="165"/>
      <c r="K1079" s="165">
        <v>12600</v>
      </c>
      <c r="L1079" s="165"/>
      <c r="M1079" s="165"/>
      <c r="N1079" s="165"/>
      <c r="O1079" s="337">
        <f t="shared" si="31"/>
        <v>0</v>
      </c>
      <c r="P1079" s="165" t="s">
        <v>5500</v>
      </c>
      <c r="Q1079" s="165" t="s">
        <v>4653</v>
      </c>
      <c r="R1079" s="3">
        <f t="shared" si="34"/>
        <v>12600</v>
      </c>
      <c r="S1079" s="165">
        <v>12600</v>
      </c>
      <c r="T1079"/>
      <c r="U1079" s="3"/>
    </row>
    <row r="1080" spans="1:21">
      <c r="A1080" s="165" t="s">
        <v>4642</v>
      </c>
      <c r="B1080" s="94">
        <v>1110</v>
      </c>
      <c r="C1080" s="165" t="s">
        <v>4537</v>
      </c>
      <c r="D1080" s="165">
        <v>6</v>
      </c>
      <c r="E1080" s="165" t="s">
        <v>4648</v>
      </c>
      <c r="F1080" s="165" t="s">
        <v>4654</v>
      </c>
      <c r="G1080" s="165">
        <v>12600</v>
      </c>
      <c r="H1080" s="165"/>
      <c r="I1080" s="165"/>
      <c r="J1080" s="165"/>
      <c r="K1080" s="165">
        <v>12600</v>
      </c>
      <c r="L1080" s="165"/>
      <c r="M1080" s="165"/>
      <c r="N1080" s="165"/>
      <c r="O1080" s="337">
        <f t="shared" si="31"/>
        <v>0</v>
      </c>
      <c r="P1080" s="165" t="s">
        <v>5551</v>
      </c>
      <c r="Q1080" s="165" t="s">
        <v>4654</v>
      </c>
      <c r="R1080" s="3">
        <f t="shared" si="34"/>
        <v>12600</v>
      </c>
      <c r="S1080" s="165">
        <v>12600</v>
      </c>
      <c r="T1080"/>
      <c r="U1080" s="3"/>
    </row>
    <row r="1081" spans="1:21">
      <c r="A1081" s="165" t="s">
        <v>4642</v>
      </c>
      <c r="B1081" s="94">
        <v>1111</v>
      </c>
      <c r="C1081" s="165" t="s">
        <v>4537</v>
      </c>
      <c r="D1081" s="165">
        <v>7</v>
      </c>
      <c r="E1081" s="165" t="s">
        <v>4649</v>
      </c>
      <c r="F1081" s="165" t="s">
        <v>4655</v>
      </c>
      <c r="G1081" s="165">
        <v>12600</v>
      </c>
      <c r="H1081" s="165"/>
      <c r="I1081" s="165"/>
      <c r="J1081" s="165"/>
      <c r="K1081" s="165"/>
      <c r="L1081" s="165">
        <v>12600</v>
      </c>
      <c r="M1081" s="165"/>
      <c r="N1081" s="165"/>
      <c r="O1081" s="337">
        <f t="shared" si="31"/>
        <v>0</v>
      </c>
      <c r="P1081" s="165" t="s">
        <v>4655</v>
      </c>
      <c r="Q1081" s="165" t="s">
        <v>4655</v>
      </c>
      <c r="R1081" s="3">
        <f t="shared" si="34"/>
        <v>12600</v>
      </c>
      <c r="S1081" s="165">
        <v>12600</v>
      </c>
      <c r="T1081"/>
      <c r="U1081" s="3"/>
    </row>
    <row r="1082" spans="1:21">
      <c r="A1082" s="165" t="s">
        <v>4642</v>
      </c>
      <c r="B1082" s="94">
        <v>1112</v>
      </c>
      <c r="C1082" s="165" t="s">
        <v>4537</v>
      </c>
      <c r="D1082" s="165">
        <v>8</v>
      </c>
      <c r="E1082" s="165" t="s">
        <v>4650</v>
      </c>
      <c r="F1082" s="165" t="s">
        <v>4656</v>
      </c>
      <c r="G1082" s="165">
        <v>12600</v>
      </c>
      <c r="H1082" s="165"/>
      <c r="I1082" s="165"/>
      <c r="J1082" s="165"/>
      <c r="K1082" s="165"/>
      <c r="L1082" s="165">
        <v>12600</v>
      </c>
      <c r="M1082" s="165"/>
      <c r="N1082" s="165"/>
      <c r="O1082" s="337">
        <f t="shared" si="31"/>
        <v>0</v>
      </c>
      <c r="P1082" s="165" t="s">
        <v>4656</v>
      </c>
      <c r="Q1082" s="165" t="s">
        <v>4656</v>
      </c>
      <c r="R1082" s="3">
        <f t="shared" si="34"/>
        <v>12600</v>
      </c>
      <c r="S1082" s="165">
        <v>12600</v>
      </c>
      <c r="T1082"/>
      <c r="U1082" s="3"/>
    </row>
    <row r="1083" spans="1:21">
      <c r="A1083" s="165" t="s">
        <v>4657</v>
      </c>
      <c r="B1083" s="94">
        <v>1113</v>
      </c>
      <c r="C1083" s="165" t="s">
        <v>4530</v>
      </c>
      <c r="D1083" s="165">
        <v>1</v>
      </c>
      <c r="E1083" s="165" t="s">
        <v>4658</v>
      </c>
      <c r="F1083" s="165" t="s">
        <v>4278</v>
      </c>
      <c r="G1083" s="165">
        <v>14175</v>
      </c>
      <c r="H1083" s="165"/>
      <c r="I1083" s="165"/>
      <c r="J1083" s="165">
        <v>14175</v>
      </c>
      <c r="K1083" s="165"/>
      <c r="L1083" s="165"/>
      <c r="M1083" s="165"/>
      <c r="N1083" s="165"/>
      <c r="O1083" s="337">
        <f t="shared" si="31"/>
        <v>0</v>
      </c>
      <c r="P1083" s="165" t="s">
        <v>4767</v>
      </c>
      <c r="Q1083" s="165" t="s">
        <v>4782</v>
      </c>
      <c r="R1083" s="3">
        <f t="shared" si="34"/>
        <v>14175</v>
      </c>
      <c r="S1083" s="165">
        <v>14175</v>
      </c>
      <c r="T1083"/>
      <c r="U1083" s="3"/>
    </row>
    <row r="1084" spans="1:21">
      <c r="A1084" s="165" t="s">
        <v>4657</v>
      </c>
      <c r="B1084" s="94">
        <v>1114</v>
      </c>
      <c r="C1084" s="165" t="s">
        <v>4530</v>
      </c>
      <c r="D1084" s="165">
        <v>2</v>
      </c>
      <c r="E1084" s="165" t="s">
        <v>4659</v>
      </c>
      <c r="F1084" s="165" t="s">
        <v>4280</v>
      </c>
      <c r="G1084" s="165">
        <v>14175</v>
      </c>
      <c r="H1084" s="165"/>
      <c r="I1084" s="165"/>
      <c r="J1084" s="165">
        <v>14175</v>
      </c>
      <c r="K1084" s="165"/>
      <c r="L1084" s="165"/>
      <c r="M1084" s="165"/>
      <c r="N1084" s="165"/>
      <c r="O1084" s="337">
        <f t="shared" si="31"/>
        <v>0</v>
      </c>
      <c r="P1084" s="165" t="s">
        <v>4772</v>
      </c>
      <c r="Q1084" s="165" t="s">
        <v>4088</v>
      </c>
      <c r="R1084" s="3">
        <f t="shared" si="34"/>
        <v>14175</v>
      </c>
      <c r="S1084" s="165">
        <v>14175</v>
      </c>
      <c r="T1084"/>
      <c r="U1084" s="3"/>
    </row>
    <row r="1085" spans="1:21">
      <c r="A1085" s="165" t="s">
        <v>4657</v>
      </c>
      <c r="B1085" s="94">
        <v>1115</v>
      </c>
      <c r="C1085" s="165" t="s">
        <v>4530</v>
      </c>
      <c r="D1085" s="165">
        <v>3</v>
      </c>
      <c r="E1085" s="165" t="s">
        <v>4660</v>
      </c>
      <c r="F1085" s="165" t="s">
        <v>4666</v>
      </c>
      <c r="G1085" s="165">
        <v>14175</v>
      </c>
      <c r="H1085" s="165"/>
      <c r="I1085" s="165"/>
      <c r="J1085" s="165"/>
      <c r="K1085" s="165">
        <v>14175</v>
      </c>
      <c r="L1085" s="165"/>
      <c r="M1085" s="165"/>
      <c r="N1085" s="165"/>
      <c r="O1085" s="337">
        <f t="shared" si="31"/>
        <v>0</v>
      </c>
      <c r="P1085" s="165" t="s">
        <v>5294</v>
      </c>
      <c r="Q1085" s="165" t="s">
        <v>4788</v>
      </c>
      <c r="R1085" s="3">
        <f t="shared" si="34"/>
        <v>14175</v>
      </c>
      <c r="S1085" s="165">
        <v>14175</v>
      </c>
      <c r="T1085"/>
      <c r="U1085" s="3"/>
    </row>
    <row r="1086" spans="1:21">
      <c r="A1086" s="165" t="s">
        <v>4657</v>
      </c>
      <c r="B1086" s="94">
        <v>1116</v>
      </c>
      <c r="C1086" s="165" t="s">
        <v>4530</v>
      </c>
      <c r="D1086" s="165">
        <v>4</v>
      </c>
      <c r="E1086" s="165" t="s">
        <v>4661</v>
      </c>
      <c r="F1086" s="165" t="s">
        <v>4667</v>
      </c>
      <c r="G1086" s="165">
        <v>14175</v>
      </c>
      <c r="H1086" s="165"/>
      <c r="I1086" s="165"/>
      <c r="J1086" s="165"/>
      <c r="K1086" s="165">
        <v>14175</v>
      </c>
      <c r="L1086" s="165"/>
      <c r="M1086" s="165"/>
      <c r="N1086" s="165"/>
      <c r="O1086" s="337">
        <f t="shared" si="31"/>
        <v>0</v>
      </c>
      <c r="P1086" s="165" t="s">
        <v>5333</v>
      </c>
      <c r="Q1086" s="165" t="s">
        <v>4795</v>
      </c>
      <c r="R1086" s="3">
        <f t="shared" si="34"/>
        <v>14175</v>
      </c>
      <c r="S1086" s="165">
        <v>14175</v>
      </c>
      <c r="T1086"/>
      <c r="U1086" s="3"/>
    </row>
    <row r="1087" spans="1:21">
      <c r="A1087" s="165" t="s">
        <v>4657</v>
      </c>
      <c r="B1087" s="94">
        <v>1117</v>
      </c>
      <c r="C1087" s="165" t="s">
        <v>4530</v>
      </c>
      <c r="D1087" s="165">
        <v>5</v>
      </c>
      <c r="E1087" s="165" t="s">
        <v>4662</v>
      </c>
      <c r="F1087" s="165" t="s">
        <v>4668</v>
      </c>
      <c r="G1087" s="165">
        <v>14175</v>
      </c>
      <c r="H1087" s="165"/>
      <c r="I1087" s="165"/>
      <c r="J1087" s="165"/>
      <c r="K1087" s="165">
        <v>14175</v>
      </c>
      <c r="L1087" s="165"/>
      <c r="M1087" s="165"/>
      <c r="N1087" s="165"/>
      <c r="O1087" s="337">
        <f t="shared" si="31"/>
        <v>0</v>
      </c>
      <c r="P1087" s="165" t="s">
        <v>5453</v>
      </c>
      <c r="Q1087" s="165" t="s">
        <v>4668</v>
      </c>
      <c r="R1087" s="3">
        <f t="shared" si="34"/>
        <v>14175</v>
      </c>
      <c r="S1087" s="165">
        <v>14175</v>
      </c>
      <c r="T1087"/>
      <c r="U1087" s="3"/>
    </row>
    <row r="1088" spans="1:21">
      <c r="A1088" s="165" t="s">
        <v>4657</v>
      </c>
      <c r="B1088" s="94">
        <v>1118</v>
      </c>
      <c r="C1088" s="165" t="s">
        <v>4530</v>
      </c>
      <c r="D1088" s="165">
        <v>6</v>
      </c>
      <c r="E1088" s="165" t="s">
        <v>4663</v>
      </c>
      <c r="F1088" s="165" t="s">
        <v>4669</v>
      </c>
      <c r="G1088" s="165">
        <v>14175</v>
      </c>
      <c r="H1088" s="165"/>
      <c r="I1088" s="165"/>
      <c r="J1088" s="165"/>
      <c r="K1088" s="165">
        <v>14175</v>
      </c>
      <c r="L1088" s="165"/>
      <c r="M1088" s="165"/>
      <c r="N1088" s="165"/>
      <c r="O1088" s="337">
        <f t="shared" si="31"/>
        <v>0</v>
      </c>
      <c r="P1088" s="165" t="s">
        <v>5504</v>
      </c>
      <c r="Q1088" s="165" t="s">
        <v>4669</v>
      </c>
      <c r="R1088" s="3">
        <f t="shared" si="34"/>
        <v>14175</v>
      </c>
      <c r="S1088" s="165">
        <v>14175</v>
      </c>
      <c r="T1088"/>
      <c r="U1088" s="3"/>
    </row>
    <row r="1089" spans="1:21">
      <c r="A1089" s="165" t="s">
        <v>4657</v>
      </c>
      <c r="B1089" s="94">
        <v>1119</v>
      </c>
      <c r="C1089" s="165" t="s">
        <v>4530</v>
      </c>
      <c r="D1089" s="165">
        <v>7</v>
      </c>
      <c r="E1089" s="165" t="s">
        <v>4664</v>
      </c>
      <c r="F1089" s="165" t="s">
        <v>4670</v>
      </c>
      <c r="G1089" s="165">
        <v>14175</v>
      </c>
      <c r="H1089" s="165"/>
      <c r="I1089" s="165"/>
      <c r="J1089" s="165"/>
      <c r="K1089" s="165">
        <v>14175</v>
      </c>
      <c r="L1089" s="165"/>
      <c r="M1089" s="165"/>
      <c r="N1089" s="165"/>
      <c r="O1089" s="337">
        <f t="shared" si="31"/>
        <v>0</v>
      </c>
      <c r="P1089" s="165" t="s">
        <v>5289</v>
      </c>
      <c r="Q1089" s="165" t="s">
        <v>4670</v>
      </c>
      <c r="R1089" s="3">
        <f t="shared" si="34"/>
        <v>14175</v>
      </c>
      <c r="S1089" s="165">
        <v>14175</v>
      </c>
      <c r="T1089"/>
      <c r="U1089" s="3"/>
    </row>
    <row r="1090" spans="1:21">
      <c r="A1090" s="165" t="s">
        <v>4657</v>
      </c>
      <c r="B1090" s="94">
        <v>1120</v>
      </c>
      <c r="C1090" s="165" t="s">
        <v>4530</v>
      </c>
      <c r="D1090" s="165">
        <v>8</v>
      </c>
      <c r="E1090" s="165" t="s">
        <v>4665</v>
      </c>
      <c r="F1090" s="165" t="s">
        <v>4671</v>
      </c>
      <c r="G1090" s="165">
        <v>14175</v>
      </c>
      <c r="H1090" s="165"/>
      <c r="I1090" s="165"/>
      <c r="J1090" s="165"/>
      <c r="K1090" s="165"/>
      <c r="L1090" s="165">
        <v>14175</v>
      </c>
      <c r="M1090" s="165"/>
      <c r="N1090" s="165"/>
      <c r="O1090" s="337">
        <f t="shared" si="31"/>
        <v>0</v>
      </c>
      <c r="P1090" s="165" t="s">
        <v>4671</v>
      </c>
      <c r="Q1090" s="165" t="s">
        <v>4671</v>
      </c>
      <c r="R1090" s="3">
        <f t="shared" si="34"/>
        <v>14175</v>
      </c>
      <c r="S1090" s="165">
        <v>14175</v>
      </c>
      <c r="T1090"/>
      <c r="U1090" s="3"/>
    </row>
    <row r="1091" spans="1:21">
      <c r="A1091" s="165" t="s">
        <v>4278</v>
      </c>
      <c r="B1091" s="94">
        <v>1121</v>
      </c>
      <c r="C1091" s="165" t="s">
        <v>4418</v>
      </c>
      <c r="D1091" s="165">
        <v>7</v>
      </c>
      <c r="E1091" s="165" t="s">
        <v>4672</v>
      </c>
      <c r="F1091" s="165" t="s">
        <v>4673</v>
      </c>
      <c r="G1091" s="165"/>
      <c r="H1091" s="165">
        <v>11340</v>
      </c>
      <c r="I1091" s="165"/>
      <c r="J1091" s="165">
        <v>11340</v>
      </c>
      <c r="K1091" s="165"/>
      <c r="L1091" s="165"/>
      <c r="M1091" s="165"/>
      <c r="N1091" s="165"/>
      <c r="O1091" s="337">
        <f t="shared" si="31"/>
        <v>0</v>
      </c>
      <c r="P1091" s="165" t="s">
        <v>4767</v>
      </c>
      <c r="Q1091" s="165" t="s">
        <v>4782</v>
      </c>
      <c r="R1091" s="3">
        <f>H1091</f>
        <v>11340</v>
      </c>
      <c r="S1091" s="7">
        <v>11340</v>
      </c>
      <c r="T1091"/>
      <c r="U1091" s="3"/>
    </row>
    <row r="1092" spans="1:21">
      <c r="A1092" s="165" t="s">
        <v>4674</v>
      </c>
      <c r="B1092" s="94">
        <v>1122</v>
      </c>
      <c r="C1092" s="165" t="s">
        <v>1232</v>
      </c>
      <c r="D1092" s="165">
        <v>9</v>
      </c>
      <c r="E1092" s="165" t="s">
        <v>4675</v>
      </c>
      <c r="F1092" s="165" t="s">
        <v>4676</v>
      </c>
      <c r="G1092" s="165">
        <v>16380</v>
      </c>
      <c r="H1092" s="165"/>
      <c r="I1092" s="165"/>
      <c r="J1092" s="165">
        <v>16380</v>
      </c>
      <c r="K1092" s="165"/>
      <c r="L1092" s="165"/>
      <c r="M1092" s="165"/>
      <c r="N1092" s="165"/>
      <c r="O1092" s="337">
        <f t="shared" si="31"/>
        <v>0</v>
      </c>
      <c r="P1092" s="165" t="s">
        <v>4769</v>
      </c>
      <c r="Q1092" s="165" t="s">
        <v>4783</v>
      </c>
      <c r="R1092" s="3">
        <f t="shared" ref="R1092:R1108" si="35">G1092</f>
        <v>16380</v>
      </c>
      <c r="S1092" s="7">
        <v>16380</v>
      </c>
      <c r="T1092"/>
      <c r="U1092" s="3"/>
    </row>
    <row r="1093" spans="1:21">
      <c r="A1093" s="165" t="s">
        <v>4677</v>
      </c>
      <c r="B1093" s="94">
        <v>1123</v>
      </c>
      <c r="C1093" s="165" t="s">
        <v>4678</v>
      </c>
      <c r="D1093" s="165">
        <v>1</v>
      </c>
      <c r="E1093" s="165" t="s">
        <v>4679</v>
      </c>
      <c r="F1093" s="165" t="s">
        <v>4680</v>
      </c>
      <c r="G1093" s="165">
        <v>17325</v>
      </c>
      <c r="H1093" s="165"/>
      <c r="I1093" s="165"/>
      <c r="J1093" s="165">
        <v>17325</v>
      </c>
      <c r="K1093" s="165"/>
      <c r="L1093" s="165"/>
      <c r="M1093" s="165"/>
      <c r="N1093" s="165"/>
      <c r="O1093" s="337">
        <f t="shared" si="31"/>
        <v>0</v>
      </c>
      <c r="P1093" s="165" t="s">
        <v>4771</v>
      </c>
      <c r="Q1093" s="165" t="s">
        <v>4785</v>
      </c>
      <c r="R1093" s="3">
        <f t="shared" si="35"/>
        <v>17325</v>
      </c>
      <c r="S1093" s="7">
        <v>17325</v>
      </c>
      <c r="T1093"/>
      <c r="U1093" s="3"/>
    </row>
    <row r="1094" spans="1:21">
      <c r="A1094" s="165" t="s">
        <v>4677</v>
      </c>
      <c r="B1094" s="94">
        <v>1124</v>
      </c>
      <c r="C1094" s="165" t="s">
        <v>4678</v>
      </c>
      <c r="D1094" s="165">
        <v>2</v>
      </c>
      <c r="E1094" s="165" t="s">
        <v>4681</v>
      </c>
      <c r="F1094" s="165" t="s">
        <v>4688</v>
      </c>
      <c r="G1094" s="165">
        <v>17325</v>
      </c>
      <c r="H1094" s="165"/>
      <c r="I1094" s="165"/>
      <c r="J1094" s="165">
        <v>17325</v>
      </c>
      <c r="K1094" s="165"/>
      <c r="L1094" s="165"/>
      <c r="M1094" s="165"/>
      <c r="N1094" s="165"/>
      <c r="O1094" s="337">
        <f t="shared" si="31"/>
        <v>0</v>
      </c>
      <c r="P1094" s="165" t="s">
        <v>4190</v>
      </c>
      <c r="Q1094" s="165" t="s">
        <v>4033</v>
      </c>
      <c r="R1094" s="3">
        <f t="shared" si="35"/>
        <v>17325</v>
      </c>
      <c r="S1094" s="7">
        <v>17325</v>
      </c>
      <c r="T1094"/>
      <c r="U1094" s="3"/>
    </row>
    <row r="1095" spans="1:21">
      <c r="A1095" s="165" t="s">
        <v>4677</v>
      </c>
      <c r="B1095" s="94">
        <v>1125</v>
      </c>
      <c r="C1095" s="165" t="s">
        <v>4678</v>
      </c>
      <c r="D1095" s="165">
        <v>3</v>
      </c>
      <c r="E1095" s="165" t="s">
        <v>4682</v>
      </c>
      <c r="F1095" s="165" t="s">
        <v>4692</v>
      </c>
      <c r="G1095" s="165">
        <v>17325</v>
      </c>
      <c r="H1095" s="165"/>
      <c r="I1095" s="165"/>
      <c r="J1095" s="165"/>
      <c r="K1095" s="165">
        <v>17325</v>
      </c>
      <c r="L1095" s="165"/>
      <c r="M1095" s="165"/>
      <c r="N1095" s="165"/>
      <c r="O1095" s="337">
        <f t="shared" si="31"/>
        <v>0</v>
      </c>
      <c r="P1095" s="165" t="s">
        <v>4791</v>
      </c>
      <c r="Q1095" s="165" t="s">
        <v>4789</v>
      </c>
      <c r="R1095" s="3">
        <f t="shared" si="35"/>
        <v>17325</v>
      </c>
      <c r="S1095" s="7">
        <v>17325</v>
      </c>
      <c r="T1095"/>
      <c r="U1095" s="3"/>
    </row>
    <row r="1096" spans="1:21">
      <c r="A1096" s="165" t="s">
        <v>4677</v>
      </c>
      <c r="B1096" s="94">
        <v>1126</v>
      </c>
      <c r="C1096" s="165" t="s">
        <v>4678</v>
      </c>
      <c r="D1096" s="165">
        <v>4</v>
      </c>
      <c r="E1096" s="165" t="s">
        <v>4683</v>
      </c>
      <c r="F1096" s="165" t="s">
        <v>4689</v>
      </c>
      <c r="G1096" s="165">
        <v>17325</v>
      </c>
      <c r="H1096" s="165"/>
      <c r="I1096" s="165"/>
      <c r="J1096" s="165"/>
      <c r="K1096" s="165">
        <v>17325</v>
      </c>
      <c r="L1096" s="165"/>
      <c r="M1096" s="165"/>
      <c r="N1096" s="165"/>
      <c r="O1096" s="337">
        <f t="shared" ref="O1096:O1157" si="36">G1096+H1096+I1096-J1096-K1096-L1096</f>
        <v>0</v>
      </c>
      <c r="P1096" s="165" t="s">
        <v>4804</v>
      </c>
      <c r="Q1096" s="165" t="s">
        <v>4689</v>
      </c>
      <c r="R1096" s="3">
        <f t="shared" si="35"/>
        <v>17325</v>
      </c>
      <c r="S1096" s="7">
        <v>17325</v>
      </c>
      <c r="T1096"/>
      <c r="U1096" s="3"/>
    </row>
    <row r="1097" spans="1:21">
      <c r="A1097" s="165" t="s">
        <v>4677</v>
      </c>
      <c r="B1097" s="94">
        <v>1127</v>
      </c>
      <c r="C1097" s="165" t="s">
        <v>4678</v>
      </c>
      <c r="D1097" s="165">
        <v>5</v>
      </c>
      <c r="E1097" s="165" t="s">
        <v>4684</v>
      </c>
      <c r="F1097" s="165" t="s">
        <v>4690</v>
      </c>
      <c r="G1097" s="165">
        <v>17325</v>
      </c>
      <c r="H1097" s="165"/>
      <c r="I1097" s="165"/>
      <c r="J1097" s="165"/>
      <c r="K1097" s="165">
        <v>17325</v>
      </c>
      <c r="L1097" s="165"/>
      <c r="M1097" s="165"/>
      <c r="N1097" s="165"/>
      <c r="O1097" s="337">
        <f t="shared" si="36"/>
        <v>0</v>
      </c>
      <c r="P1097" s="165" t="s">
        <v>5488</v>
      </c>
      <c r="Q1097" s="165" t="s">
        <v>5499</v>
      </c>
      <c r="R1097" s="3">
        <f t="shared" si="35"/>
        <v>17325</v>
      </c>
      <c r="S1097" s="7">
        <v>17325</v>
      </c>
      <c r="T1097"/>
      <c r="U1097" s="3"/>
    </row>
    <row r="1098" spans="1:21">
      <c r="A1098" s="165" t="s">
        <v>4677</v>
      </c>
      <c r="B1098" s="94">
        <v>1128</v>
      </c>
      <c r="C1098" s="165" t="s">
        <v>4678</v>
      </c>
      <c r="D1098" s="165">
        <v>6</v>
      </c>
      <c r="E1098" s="165" t="s">
        <v>4685</v>
      </c>
      <c r="F1098" s="165" t="s">
        <v>4691</v>
      </c>
      <c r="G1098" s="165">
        <v>17325</v>
      </c>
      <c r="H1098" s="165"/>
      <c r="I1098" s="165"/>
      <c r="J1098" s="165"/>
      <c r="K1098" s="165">
        <v>17325</v>
      </c>
      <c r="L1098" s="165"/>
      <c r="M1098" s="165"/>
      <c r="N1098" s="165"/>
      <c r="O1098" s="337">
        <f t="shared" si="36"/>
        <v>0</v>
      </c>
      <c r="P1098" s="165" t="s">
        <v>5263</v>
      </c>
      <c r="Q1098" s="165" t="s">
        <v>5550</v>
      </c>
      <c r="R1098" s="3">
        <f t="shared" si="35"/>
        <v>17325</v>
      </c>
      <c r="S1098" s="7">
        <v>17325</v>
      </c>
      <c r="T1098"/>
      <c r="U1098" s="3"/>
    </row>
    <row r="1099" spans="1:21">
      <c r="A1099" s="165" t="s">
        <v>4677</v>
      </c>
      <c r="B1099" s="94">
        <v>1129</v>
      </c>
      <c r="C1099" s="165" t="s">
        <v>4678</v>
      </c>
      <c r="D1099" s="165">
        <v>7</v>
      </c>
      <c r="E1099" s="165" t="s">
        <v>4686</v>
      </c>
      <c r="F1099" s="165" t="s">
        <v>4694</v>
      </c>
      <c r="G1099" s="165">
        <v>17325</v>
      </c>
      <c r="H1099" s="165"/>
      <c r="I1099" s="165"/>
      <c r="J1099" s="165"/>
      <c r="K1099" s="165"/>
      <c r="L1099" s="165">
        <v>17325</v>
      </c>
      <c r="M1099" s="165"/>
      <c r="N1099" s="165"/>
      <c r="O1099" s="337">
        <f t="shared" si="36"/>
        <v>0</v>
      </c>
      <c r="P1099" s="165" t="s">
        <v>4694</v>
      </c>
      <c r="Q1099" s="165" t="s">
        <v>4694</v>
      </c>
      <c r="R1099" s="3">
        <f t="shared" si="35"/>
        <v>17325</v>
      </c>
      <c r="S1099" s="7">
        <v>17325</v>
      </c>
      <c r="T1099"/>
      <c r="U1099" s="3"/>
    </row>
    <row r="1100" spans="1:21">
      <c r="A1100" s="165" t="s">
        <v>4677</v>
      </c>
      <c r="B1100" s="94">
        <v>1130</v>
      </c>
      <c r="C1100" s="165" t="s">
        <v>4678</v>
      </c>
      <c r="D1100" s="165">
        <v>8</v>
      </c>
      <c r="E1100" s="165" t="s">
        <v>4687</v>
      </c>
      <c r="F1100" s="165" t="s">
        <v>4693</v>
      </c>
      <c r="G1100" s="165">
        <v>17325</v>
      </c>
      <c r="H1100" s="165"/>
      <c r="I1100" s="165"/>
      <c r="J1100" s="165"/>
      <c r="K1100" s="165"/>
      <c r="L1100" s="165">
        <v>17325</v>
      </c>
      <c r="M1100" s="165"/>
      <c r="N1100" s="165"/>
      <c r="O1100" s="337">
        <f t="shared" si="36"/>
        <v>0</v>
      </c>
      <c r="P1100" s="165" t="s">
        <v>5617</v>
      </c>
      <c r="Q1100" s="165" t="s">
        <v>5617</v>
      </c>
      <c r="R1100" s="3">
        <f t="shared" si="35"/>
        <v>17325</v>
      </c>
      <c r="S1100" s="7">
        <v>17325</v>
      </c>
      <c r="T1100"/>
      <c r="U1100" s="3"/>
    </row>
    <row r="1101" spans="1:21">
      <c r="A1101" s="165" t="s">
        <v>4677</v>
      </c>
      <c r="B1101" s="94">
        <v>1131</v>
      </c>
      <c r="C1101" s="165" t="s">
        <v>4695</v>
      </c>
      <c r="D1101" s="165">
        <v>1</v>
      </c>
      <c r="E1101" s="165" t="s">
        <v>4696</v>
      </c>
      <c r="F1101" s="165" t="s">
        <v>4680</v>
      </c>
      <c r="G1101" s="165">
        <v>12600</v>
      </c>
      <c r="H1101" s="165"/>
      <c r="I1101" s="165"/>
      <c r="J1101" s="165">
        <v>12600</v>
      </c>
      <c r="K1101" s="165"/>
      <c r="L1101" s="165"/>
      <c r="M1101" s="165"/>
      <c r="N1101" s="165"/>
      <c r="O1101" s="337">
        <f t="shared" si="36"/>
        <v>0</v>
      </c>
      <c r="P1101" s="165" t="s">
        <v>4771</v>
      </c>
      <c r="Q1101" s="165" t="s">
        <v>4785</v>
      </c>
      <c r="R1101" s="3">
        <f t="shared" si="35"/>
        <v>12600</v>
      </c>
      <c r="S1101" s="7">
        <v>12600</v>
      </c>
      <c r="T1101"/>
      <c r="U1101" s="3"/>
    </row>
    <row r="1102" spans="1:21">
      <c r="A1102" s="165" t="s">
        <v>4677</v>
      </c>
      <c r="B1102" s="94">
        <v>1132</v>
      </c>
      <c r="C1102" s="165" t="s">
        <v>4695</v>
      </c>
      <c r="D1102" s="165">
        <v>2</v>
      </c>
      <c r="E1102" s="165" t="s">
        <v>4697</v>
      </c>
      <c r="F1102" s="165" t="s">
        <v>4688</v>
      </c>
      <c r="G1102" s="165">
        <v>12600</v>
      </c>
      <c r="H1102" s="165"/>
      <c r="I1102" s="165"/>
      <c r="J1102" s="165">
        <v>12600</v>
      </c>
      <c r="K1102" s="165"/>
      <c r="L1102" s="165"/>
      <c r="M1102" s="165"/>
      <c r="N1102" s="165"/>
      <c r="O1102" s="337">
        <f t="shared" si="36"/>
        <v>0</v>
      </c>
      <c r="P1102" s="165" t="s">
        <v>4190</v>
      </c>
      <c r="Q1102" s="165" t="s">
        <v>4033</v>
      </c>
      <c r="R1102" s="3">
        <f t="shared" si="35"/>
        <v>12600</v>
      </c>
      <c r="S1102" s="7">
        <v>12600</v>
      </c>
      <c r="T1102"/>
      <c r="U1102" s="3"/>
    </row>
    <row r="1103" spans="1:21">
      <c r="A1103" s="165" t="s">
        <v>4677</v>
      </c>
      <c r="B1103" s="94">
        <v>1133</v>
      </c>
      <c r="C1103" s="165" t="s">
        <v>4695</v>
      </c>
      <c r="D1103" s="165">
        <v>3</v>
      </c>
      <c r="E1103" s="165" t="s">
        <v>4698</v>
      </c>
      <c r="F1103" s="165" t="s">
        <v>4692</v>
      </c>
      <c r="G1103" s="165">
        <v>12600</v>
      </c>
      <c r="H1103" s="165"/>
      <c r="I1103" s="165"/>
      <c r="J1103" s="165"/>
      <c r="K1103" s="165">
        <v>12600</v>
      </c>
      <c r="L1103" s="165"/>
      <c r="M1103" s="165"/>
      <c r="N1103" s="165"/>
      <c r="O1103" s="337">
        <f t="shared" si="36"/>
        <v>0</v>
      </c>
      <c r="P1103" s="165" t="s">
        <v>4791</v>
      </c>
      <c r="Q1103" s="165" t="s">
        <v>4789</v>
      </c>
      <c r="R1103" s="3">
        <f t="shared" si="35"/>
        <v>12600</v>
      </c>
      <c r="S1103" s="7">
        <v>12600</v>
      </c>
      <c r="T1103"/>
      <c r="U1103" s="3"/>
    </row>
    <row r="1104" spans="1:21">
      <c r="A1104" s="165" t="s">
        <v>4677</v>
      </c>
      <c r="B1104" s="94">
        <v>1134</v>
      </c>
      <c r="C1104" s="165" t="s">
        <v>4695</v>
      </c>
      <c r="D1104" s="165">
        <v>4</v>
      </c>
      <c r="E1104" s="165" t="s">
        <v>4699</v>
      </c>
      <c r="F1104" s="165" t="s">
        <v>4689</v>
      </c>
      <c r="G1104" s="165">
        <v>12600</v>
      </c>
      <c r="H1104" s="165"/>
      <c r="I1104" s="165"/>
      <c r="J1104" s="165"/>
      <c r="K1104" s="165">
        <v>12600</v>
      </c>
      <c r="L1104" s="165"/>
      <c r="M1104" s="165"/>
      <c r="N1104" s="165"/>
      <c r="O1104" s="337">
        <f t="shared" si="36"/>
        <v>0</v>
      </c>
      <c r="P1104" s="165" t="s">
        <v>4804</v>
      </c>
      <c r="Q1104" s="165" t="s">
        <v>4689</v>
      </c>
      <c r="R1104" s="3">
        <f t="shared" si="35"/>
        <v>12600</v>
      </c>
      <c r="S1104" s="7">
        <v>12600</v>
      </c>
      <c r="T1104"/>
      <c r="U1104" s="3"/>
    </row>
    <row r="1105" spans="1:22">
      <c r="A1105" s="165" t="s">
        <v>4677</v>
      </c>
      <c r="B1105" s="94">
        <v>1135</v>
      </c>
      <c r="C1105" s="165" t="s">
        <v>4695</v>
      </c>
      <c r="D1105" s="165">
        <v>5</v>
      </c>
      <c r="E1105" s="165" t="s">
        <v>4700</v>
      </c>
      <c r="F1105" s="165" t="s">
        <v>4690</v>
      </c>
      <c r="G1105" s="165">
        <v>12600</v>
      </c>
      <c r="H1105" s="165"/>
      <c r="I1105" s="165"/>
      <c r="J1105" s="165"/>
      <c r="K1105" s="165">
        <v>12600</v>
      </c>
      <c r="L1105" s="165"/>
      <c r="M1105" s="165"/>
      <c r="N1105" s="165"/>
      <c r="O1105" s="337">
        <f t="shared" si="36"/>
        <v>0</v>
      </c>
      <c r="P1105" s="165" t="s">
        <v>5488</v>
      </c>
      <c r="Q1105" s="165" t="s">
        <v>5499</v>
      </c>
      <c r="R1105" s="3">
        <f t="shared" si="35"/>
        <v>12600</v>
      </c>
      <c r="S1105" s="7">
        <v>12600</v>
      </c>
      <c r="T1105"/>
      <c r="U1105" s="3"/>
    </row>
    <row r="1106" spans="1:22">
      <c r="A1106" s="165" t="s">
        <v>4677</v>
      </c>
      <c r="B1106" s="94">
        <v>1136</v>
      </c>
      <c r="C1106" s="165" t="s">
        <v>4695</v>
      </c>
      <c r="D1106" s="165">
        <v>6</v>
      </c>
      <c r="E1106" s="165" t="s">
        <v>4701</v>
      </c>
      <c r="F1106" s="165" t="s">
        <v>4691</v>
      </c>
      <c r="G1106" s="165">
        <v>12600</v>
      </c>
      <c r="H1106" s="165"/>
      <c r="I1106" s="165"/>
      <c r="J1106" s="165"/>
      <c r="K1106" s="165">
        <v>12600</v>
      </c>
      <c r="L1106" s="165"/>
      <c r="M1106" s="165"/>
      <c r="N1106" s="165"/>
      <c r="O1106" s="337">
        <f t="shared" si="36"/>
        <v>0</v>
      </c>
      <c r="P1106" s="165" t="s">
        <v>5263</v>
      </c>
      <c r="Q1106" s="165" t="s">
        <v>5550</v>
      </c>
      <c r="R1106" s="3">
        <f t="shared" si="35"/>
        <v>12600</v>
      </c>
      <c r="S1106" s="7">
        <v>12600</v>
      </c>
      <c r="T1106"/>
      <c r="U1106" s="3"/>
    </row>
    <row r="1107" spans="1:22">
      <c r="A1107" s="165" t="s">
        <v>4677</v>
      </c>
      <c r="B1107" s="94">
        <v>1137</v>
      </c>
      <c r="C1107" s="165" t="s">
        <v>4695</v>
      </c>
      <c r="D1107" s="165">
        <v>7</v>
      </c>
      <c r="E1107" s="165" t="s">
        <v>4702</v>
      </c>
      <c r="F1107" s="165" t="s">
        <v>4694</v>
      </c>
      <c r="G1107" s="165">
        <v>12600</v>
      </c>
      <c r="H1107" s="165"/>
      <c r="I1107" s="165"/>
      <c r="J1107" s="165"/>
      <c r="K1107" s="165"/>
      <c r="L1107" s="165">
        <v>12600</v>
      </c>
      <c r="M1107" s="165"/>
      <c r="N1107" s="165"/>
      <c r="O1107" s="337">
        <f t="shared" si="36"/>
        <v>0</v>
      </c>
      <c r="P1107" s="165" t="s">
        <v>4694</v>
      </c>
      <c r="Q1107" s="165" t="s">
        <v>4694</v>
      </c>
      <c r="R1107" s="3">
        <f t="shared" si="35"/>
        <v>12600</v>
      </c>
      <c r="S1107" s="7">
        <v>12600</v>
      </c>
      <c r="T1107"/>
      <c r="U1107" s="3"/>
    </row>
    <row r="1108" spans="1:22">
      <c r="A1108" s="165" t="s">
        <v>4677</v>
      </c>
      <c r="B1108" s="94">
        <v>1138</v>
      </c>
      <c r="C1108" s="165" t="s">
        <v>4695</v>
      </c>
      <c r="D1108" s="165">
        <v>8</v>
      </c>
      <c r="E1108" s="165" t="s">
        <v>4703</v>
      </c>
      <c r="F1108" s="165" t="s">
        <v>4693</v>
      </c>
      <c r="G1108" s="165">
        <v>12600</v>
      </c>
      <c r="H1108" s="165"/>
      <c r="I1108" s="165"/>
      <c r="J1108" s="165"/>
      <c r="K1108" s="165"/>
      <c r="L1108" s="165">
        <v>12600</v>
      </c>
      <c r="M1108" s="165"/>
      <c r="N1108" s="165"/>
      <c r="O1108" s="337">
        <f t="shared" si="36"/>
        <v>0</v>
      </c>
      <c r="P1108" s="165" t="s">
        <v>5617</v>
      </c>
      <c r="Q1108" s="165" t="s">
        <v>5617</v>
      </c>
      <c r="R1108" s="3">
        <f t="shared" si="35"/>
        <v>12600</v>
      </c>
      <c r="S1108" s="7">
        <v>12600</v>
      </c>
      <c r="T1108"/>
      <c r="U1108" s="3"/>
    </row>
    <row r="1109" spans="1:22" s="163" customFormat="1">
      <c r="A1109" s="281" t="s">
        <v>4759</v>
      </c>
      <c r="B1109" s="281"/>
      <c r="C1109" s="281" t="s">
        <v>2421</v>
      </c>
      <c r="D1109" s="281">
        <v>2</v>
      </c>
      <c r="E1109" s="281" t="s">
        <v>1283</v>
      </c>
      <c r="F1109" s="281" t="s">
        <v>4759</v>
      </c>
      <c r="G1109" s="284"/>
      <c r="H1109" s="284"/>
      <c r="I1109" s="284"/>
      <c r="J1109" s="281"/>
      <c r="K1109" s="281"/>
      <c r="L1109" s="281"/>
      <c r="M1109" s="281"/>
      <c r="N1109" s="281"/>
      <c r="O1109" s="664">
        <f t="shared" si="36"/>
        <v>0</v>
      </c>
      <c r="P1109" s="281" t="s">
        <v>4759</v>
      </c>
      <c r="Q1109" s="281" t="s">
        <v>4759</v>
      </c>
      <c r="R1109" s="281">
        <v>14175</v>
      </c>
      <c r="S1109" s="281">
        <v>14165</v>
      </c>
      <c r="T1109" s="406">
        <v>14165</v>
      </c>
      <c r="U1109" s="556">
        <v>10</v>
      </c>
    </row>
    <row r="1110" spans="1:22" s="163" customFormat="1">
      <c r="A1110" s="281" t="s">
        <v>4249</v>
      </c>
      <c r="B1110" s="281"/>
      <c r="C1110" s="281" t="s">
        <v>3825</v>
      </c>
      <c r="D1110" s="281">
        <v>6</v>
      </c>
      <c r="E1110" s="281" t="s">
        <v>1283</v>
      </c>
      <c r="F1110" s="281" t="s">
        <v>4249</v>
      </c>
      <c r="G1110" s="284"/>
      <c r="H1110" s="284"/>
      <c r="I1110" s="284"/>
      <c r="J1110" s="281"/>
      <c r="K1110" s="281"/>
      <c r="L1110" s="281"/>
      <c r="M1110" s="281"/>
      <c r="N1110" s="281"/>
      <c r="O1110" s="664">
        <f t="shared" si="36"/>
        <v>0</v>
      </c>
      <c r="P1110" s="281" t="s">
        <v>4249</v>
      </c>
      <c r="Q1110" s="281" t="s">
        <v>4249</v>
      </c>
      <c r="R1110" s="281">
        <v>14175</v>
      </c>
      <c r="S1110" s="281">
        <v>14145</v>
      </c>
      <c r="T1110" s="406">
        <v>14145</v>
      </c>
      <c r="U1110" s="556">
        <v>30</v>
      </c>
    </row>
    <row r="1111" spans="1:22" s="163" customFormat="1">
      <c r="A1111" s="281" t="s">
        <v>4262</v>
      </c>
      <c r="B1111" s="281"/>
      <c r="C1111" s="281" t="s">
        <v>1532</v>
      </c>
      <c r="D1111" s="281">
        <v>5</v>
      </c>
      <c r="E1111" s="281" t="s">
        <v>1283</v>
      </c>
      <c r="F1111" s="281" t="s">
        <v>4262</v>
      </c>
      <c r="G1111" s="284"/>
      <c r="H1111" s="284"/>
      <c r="I1111" s="284"/>
      <c r="J1111" s="281"/>
      <c r="K1111" s="281"/>
      <c r="L1111" s="281"/>
      <c r="M1111" s="281"/>
      <c r="N1111" s="281"/>
      <c r="O1111" s="664">
        <f t="shared" si="36"/>
        <v>0</v>
      </c>
      <c r="P1111" s="281" t="s">
        <v>4262</v>
      </c>
      <c r="Q1111" s="281" t="s">
        <v>4262</v>
      </c>
      <c r="R1111" s="281">
        <v>13500</v>
      </c>
      <c r="S1111" s="281">
        <v>13485</v>
      </c>
      <c r="T1111" s="406">
        <v>13485</v>
      </c>
      <c r="U1111" s="556">
        <v>15</v>
      </c>
    </row>
    <row r="1112" spans="1:22" s="163" customFormat="1">
      <c r="A1112" s="281" t="s">
        <v>4262</v>
      </c>
      <c r="B1112" s="281"/>
      <c r="C1112" s="281" t="s">
        <v>1264</v>
      </c>
      <c r="D1112" s="340" t="s">
        <v>4330</v>
      </c>
      <c r="E1112" s="281" t="s">
        <v>1283</v>
      </c>
      <c r="F1112" s="281" t="s">
        <v>4262</v>
      </c>
      <c r="G1112" s="284"/>
      <c r="H1112" s="284"/>
      <c r="I1112" s="284"/>
      <c r="J1112" s="281"/>
      <c r="K1112" s="281"/>
      <c r="L1112" s="281"/>
      <c r="M1112" s="281"/>
      <c r="N1112" s="281"/>
      <c r="O1112" s="664">
        <f t="shared" si="36"/>
        <v>0</v>
      </c>
      <c r="P1112" s="281" t="s">
        <v>4262</v>
      </c>
      <c r="Q1112" s="281" t="s">
        <v>4262</v>
      </c>
      <c r="R1112" s="281">
        <v>11340</v>
      </c>
      <c r="S1112" s="281">
        <v>11340</v>
      </c>
      <c r="T1112" s="405">
        <v>11340</v>
      </c>
      <c r="U1112" s="284"/>
      <c r="V1112" s="163" t="s">
        <v>4760</v>
      </c>
    </row>
    <row r="1113" spans="1:22">
      <c r="A1113" s="165" t="s">
        <v>4773</v>
      </c>
      <c r="B1113" s="165">
        <v>1139</v>
      </c>
      <c r="C1113" s="165" t="s">
        <v>1232</v>
      </c>
      <c r="D1113" s="165">
        <v>10</v>
      </c>
      <c r="E1113" s="165" t="s">
        <v>4774</v>
      </c>
      <c r="F1113" s="165" t="s">
        <v>4602</v>
      </c>
      <c r="G1113" s="165">
        <v>16380</v>
      </c>
      <c r="H1113" s="165"/>
      <c r="I1113" s="165"/>
      <c r="J1113" s="165">
        <v>16380</v>
      </c>
      <c r="K1113" s="165"/>
      <c r="L1113" s="165"/>
      <c r="M1113" s="165"/>
      <c r="N1113" s="165"/>
      <c r="O1113" s="337">
        <f t="shared" si="36"/>
        <v>0</v>
      </c>
      <c r="P1113" s="165" t="s">
        <v>4772</v>
      </c>
      <c r="Q1113" s="165" t="s">
        <v>4088</v>
      </c>
      <c r="R1113" s="3">
        <f>G1113</f>
        <v>16380</v>
      </c>
      <c r="S1113" s="337">
        <v>16380</v>
      </c>
      <c r="T1113"/>
      <c r="U1113" s="3"/>
    </row>
    <row r="1114" spans="1:22" s="163" customFormat="1">
      <c r="A1114" s="281" t="s">
        <v>4761</v>
      </c>
      <c r="B1114" s="281"/>
      <c r="C1114" s="281" t="s">
        <v>4204</v>
      </c>
      <c r="D1114" s="281"/>
      <c r="E1114" s="281" t="s">
        <v>1283</v>
      </c>
      <c r="F1114" s="281" t="s">
        <v>4761</v>
      </c>
      <c r="G1114" s="284"/>
      <c r="H1114" s="284"/>
      <c r="I1114" s="284"/>
      <c r="J1114" s="281"/>
      <c r="K1114" s="281"/>
      <c r="L1114" s="281"/>
      <c r="M1114" s="281"/>
      <c r="N1114" s="281"/>
      <c r="O1114" s="337">
        <f t="shared" si="36"/>
        <v>0</v>
      </c>
      <c r="P1114" s="281" t="s">
        <v>4761</v>
      </c>
      <c r="Q1114" s="281" t="s">
        <v>4761</v>
      </c>
      <c r="R1114" s="281">
        <v>75600</v>
      </c>
      <c r="S1114" s="281">
        <v>75600</v>
      </c>
      <c r="T1114" s="406">
        <v>75600</v>
      </c>
      <c r="U1114" s="281"/>
      <c r="V1114" s="163" t="s">
        <v>4762</v>
      </c>
    </row>
    <row r="1115" spans="1:22">
      <c r="A1115" s="165" t="s">
        <v>4715</v>
      </c>
      <c r="B1115" s="165">
        <v>1140</v>
      </c>
      <c r="C1115" s="165" t="s">
        <v>4418</v>
      </c>
      <c r="D1115" s="165">
        <v>8</v>
      </c>
      <c r="E1115" s="165" t="s">
        <v>4775</v>
      </c>
      <c r="F1115" s="165" t="s">
        <v>4776</v>
      </c>
      <c r="G1115" s="165"/>
      <c r="H1115" s="165">
        <v>11340</v>
      </c>
      <c r="I1115" s="165"/>
      <c r="J1115" s="165">
        <v>11340</v>
      </c>
      <c r="K1115" s="165"/>
      <c r="L1115" s="165"/>
      <c r="M1115" s="165"/>
      <c r="N1115" s="165"/>
      <c r="O1115" s="337">
        <f t="shared" si="36"/>
        <v>0</v>
      </c>
      <c r="P1115" s="165" t="s">
        <v>4772</v>
      </c>
      <c r="Q1115" s="165" t="s">
        <v>4088</v>
      </c>
      <c r="R1115" s="3">
        <f>H1115</f>
        <v>11340</v>
      </c>
      <c r="S1115" s="337">
        <v>11340</v>
      </c>
      <c r="T1115"/>
      <c r="U1115" s="3"/>
    </row>
    <row r="1116" spans="1:22">
      <c r="A1116" s="165" t="s">
        <v>4704</v>
      </c>
      <c r="B1116" s="165">
        <v>1141</v>
      </c>
      <c r="C1116" s="165" t="s">
        <v>4555</v>
      </c>
      <c r="D1116" s="165">
        <v>1</v>
      </c>
      <c r="E1116" s="165" t="s">
        <v>4705</v>
      </c>
      <c r="F1116" s="165" t="s">
        <v>4031</v>
      </c>
      <c r="G1116" s="165">
        <v>11340</v>
      </c>
      <c r="H1116" s="165"/>
      <c r="I1116" s="165"/>
      <c r="J1116" s="165">
        <v>11340</v>
      </c>
      <c r="K1116" s="165"/>
      <c r="L1116" s="165"/>
      <c r="M1116" s="165"/>
      <c r="N1116" s="165"/>
      <c r="O1116" s="337">
        <f t="shared" si="36"/>
        <v>0</v>
      </c>
      <c r="P1116" s="165" t="s">
        <v>4772</v>
      </c>
      <c r="Q1116" s="165" t="s">
        <v>4088</v>
      </c>
      <c r="R1116" s="3">
        <f t="shared" ref="R1116:R1123" si="37">G1116</f>
        <v>11340</v>
      </c>
      <c r="S1116" s="337">
        <v>11340</v>
      </c>
      <c r="T1116"/>
      <c r="U1116" s="3"/>
    </row>
    <row r="1117" spans="1:22">
      <c r="A1117" s="165" t="s">
        <v>4704</v>
      </c>
      <c r="B1117" s="165">
        <v>1142</v>
      </c>
      <c r="C1117" s="165" t="s">
        <v>4555</v>
      </c>
      <c r="D1117" s="165">
        <v>2</v>
      </c>
      <c r="E1117" s="165" t="s">
        <v>4706</v>
      </c>
      <c r="F1117" s="165" t="s">
        <v>4033</v>
      </c>
      <c r="G1117" s="165">
        <v>11340</v>
      </c>
      <c r="H1117" s="165"/>
      <c r="I1117" s="165"/>
      <c r="J1117" s="165">
        <v>11340</v>
      </c>
      <c r="K1117" s="165"/>
      <c r="L1117" s="165"/>
      <c r="M1117" s="165"/>
      <c r="N1117" s="165"/>
      <c r="O1117" s="337">
        <f t="shared" si="36"/>
        <v>0</v>
      </c>
      <c r="P1117" s="165" t="s">
        <v>4190</v>
      </c>
      <c r="Q1117" s="165" t="s">
        <v>4033</v>
      </c>
      <c r="R1117" s="3">
        <f t="shared" si="37"/>
        <v>11340</v>
      </c>
      <c r="S1117" s="337">
        <v>11340</v>
      </c>
      <c r="T1117"/>
      <c r="U1117" s="3"/>
    </row>
    <row r="1118" spans="1:22">
      <c r="A1118" s="165" t="s">
        <v>4704</v>
      </c>
      <c r="B1118" s="165">
        <v>1143</v>
      </c>
      <c r="C1118" s="165" t="s">
        <v>4555</v>
      </c>
      <c r="D1118" s="165">
        <v>3</v>
      </c>
      <c r="E1118" s="165" t="s">
        <v>4707</v>
      </c>
      <c r="F1118" s="165" t="s">
        <v>4651</v>
      </c>
      <c r="G1118" s="165">
        <v>11340</v>
      </c>
      <c r="H1118" s="165"/>
      <c r="I1118" s="165"/>
      <c r="J1118" s="165"/>
      <c r="K1118" s="165">
        <v>11340</v>
      </c>
      <c r="L1118" s="165"/>
      <c r="M1118" s="165"/>
      <c r="N1118" s="165"/>
      <c r="O1118" s="337">
        <f t="shared" si="36"/>
        <v>0</v>
      </c>
      <c r="P1118" s="165" t="s">
        <v>4651</v>
      </c>
      <c r="Q1118" s="165" t="s">
        <v>4793</v>
      </c>
      <c r="R1118" s="3">
        <f t="shared" si="37"/>
        <v>11340</v>
      </c>
      <c r="S1118" s="337">
        <v>11340</v>
      </c>
      <c r="T1118"/>
      <c r="U1118" s="3"/>
    </row>
    <row r="1119" spans="1:22">
      <c r="A1119" s="165" t="s">
        <v>4704</v>
      </c>
      <c r="B1119" s="165">
        <v>1144</v>
      </c>
      <c r="C1119" s="165" t="s">
        <v>4555</v>
      </c>
      <c r="D1119" s="165">
        <v>4</v>
      </c>
      <c r="E1119" s="165" t="s">
        <v>4708</v>
      </c>
      <c r="F1119" s="165" t="s">
        <v>4652</v>
      </c>
      <c r="G1119" s="165">
        <v>11340</v>
      </c>
      <c r="H1119" s="165"/>
      <c r="I1119" s="165"/>
      <c r="J1119" s="165"/>
      <c r="K1119" s="165">
        <v>11340</v>
      </c>
      <c r="L1119" s="165"/>
      <c r="M1119" s="165"/>
      <c r="N1119" s="165"/>
      <c r="O1119" s="337">
        <f t="shared" si="36"/>
        <v>0</v>
      </c>
      <c r="P1119" s="165" t="s">
        <v>4806</v>
      </c>
      <c r="Q1119" s="165" t="s">
        <v>4652</v>
      </c>
      <c r="R1119" s="3">
        <f t="shared" si="37"/>
        <v>11340</v>
      </c>
      <c r="S1119" s="337">
        <v>11340</v>
      </c>
      <c r="T1119"/>
      <c r="U1119" s="3"/>
    </row>
    <row r="1120" spans="1:22">
      <c r="A1120" s="165" t="s">
        <v>4704</v>
      </c>
      <c r="B1120" s="165">
        <v>1145</v>
      </c>
      <c r="C1120" s="165" t="s">
        <v>4555</v>
      </c>
      <c r="D1120" s="165">
        <v>5</v>
      </c>
      <c r="E1120" s="165" t="s">
        <v>4709</v>
      </c>
      <c r="F1120" s="165" t="s">
        <v>4653</v>
      </c>
      <c r="G1120" s="165">
        <v>11340</v>
      </c>
      <c r="H1120" s="165"/>
      <c r="I1120" s="165"/>
      <c r="J1120" s="165"/>
      <c r="K1120" s="165">
        <v>11340</v>
      </c>
      <c r="L1120" s="165"/>
      <c r="M1120" s="165"/>
      <c r="N1120" s="165"/>
      <c r="O1120" s="337">
        <f t="shared" si="36"/>
        <v>0</v>
      </c>
      <c r="P1120" s="165" t="s">
        <v>5500</v>
      </c>
      <c r="Q1120" s="165" t="s">
        <v>4226</v>
      </c>
      <c r="R1120" s="3">
        <f t="shared" si="37"/>
        <v>11340</v>
      </c>
      <c r="S1120" s="337">
        <v>11340</v>
      </c>
      <c r="T1120"/>
      <c r="U1120" s="3"/>
    </row>
    <row r="1121" spans="1:22">
      <c r="A1121" s="165" t="s">
        <v>4704</v>
      </c>
      <c r="B1121" s="165">
        <v>1146</v>
      </c>
      <c r="C1121" s="165" t="s">
        <v>4555</v>
      </c>
      <c r="D1121" s="165">
        <v>6</v>
      </c>
      <c r="E1121" s="165" t="s">
        <v>4710</v>
      </c>
      <c r="F1121" s="165" t="s">
        <v>4654</v>
      </c>
      <c r="G1121" s="165">
        <v>11340</v>
      </c>
      <c r="H1121" s="165"/>
      <c r="I1121" s="165"/>
      <c r="J1121" s="165"/>
      <c r="K1121" s="165">
        <v>11340</v>
      </c>
      <c r="L1121" s="165"/>
      <c r="M1121" s="165"/>
      <c r="N1121" s="165"/>
      <c r="O1121" s="337">
        <f t="shared" si="36"/>
        <v>0</v>
      </c>
      <c r="P1121" s="165" t="s">
        <v>5551</v>
      </c>
      <c r="Q1121" s="165" t="s">
        <v>4654</v>
      </c>
      <c r="R1121" s="3">
        <f t="shared" si="37"/>
        <v>11340</v>
      </c>
      <c r="S1121" s="337">
        <v>11340</v>
      </c>
      <c r="T1121"/>
      <c r="U1121" s="3"/>
    </row>
    <row r="1122" spans="1:22">
      <c r="A1122" s="165" t="s">
        <v>4704</v>
      </c>
      <c r="B1122" s="165">
        <v>1147</v>
      </c>
      <c r="C1122" s="165" t="s">
        <v>4555</v>
      </c>
      <c r="D1122" s="165">
        <v>7</v>
      </c>
      <c r="E1122" s="165" t="s">
        <v>4711</v>
      </c>
      <c r="F1122" s="165" t="s">
        <v>4655</v>
      </c>
      <c r="G1122" s="165">
        <v>11340</v>
      </c>
      <c r="H1122" s="165"/>
      <c r="I1122" s="165"/>
      <c r="J1122" s="165"/>
      <c r="K1122" s="165"/>
      <c r="L1122" s="165">
        <v>11340</v>
      </c>
      <c r="M1122" s="165"/>
      <c r="N1122" s="165"/>
      <c r="O1122" s="337">
        <f t="shared" si="36"/>
        <v>0</v>
      </c>
      <c r="P1122" s="165" t="s">
        <v>4655</v>
      </c>
      <c r="Q1122" s="165" t="s">
        <v>4655</v>
      </c>
      <c r="R1122" s="3">
        <f t="shared" si="37"/>
        <v>11340</v>
      </c>
      <c r="S1122" s="337">
        <v>11340</v>
      </c>
      <c r="T1122"/>
      <c r="U1122" s="3"/>
    </row>
    <row r="1123" spans="1:22">
      <c r="A1123" s="165" t="s">
        <v>4704</v>
      </c>
      <c r="B1123" s="165">
        <v>1148</v>
      </c>
      <c r="C1123" s="165" t="s">
        <v>4555</v>
      </c>
      <c r="D1123" s="165">
        <v>8</v>
      </c>
      <c r="E1123" s="165" t="s">
        <v>4712</v>
      </c>
      <c r="F1123" s="165" t="s">
        <v>4656</v>
      </c>
      <c r="G1123" s="165">
        <v>11340</v>
      </c>
      <c r="H1123" s="165"/>
      <c r="I1123" s="165"/>
      <c r="J1123" s="165"/>
      <c r="K1123" s="165"/>
      <c r="L1123" s="165">
        <v>11340</v>
      </c>
      <c r="M1123" s="165"/>
      <c r="N1123" s="165"/>
      <c r="O1123" s="337">
        <f t="shared" si="36"/>
        <v>0</v>
      </c>
      <c r="P1123" s="165" t="s">
        <v>4656</v>
      </c>
      <c r="Q1123" s="165" t="s">
        <v>4656</v>
      </c>
      <c r="R1123" s="3">
        <f t="shared" si="37"/>
        <v>11340</v>
      </c>
      <c r="S1123" s="337">
        <v>11340</v>
      </c>
      <c r="T1123"/>
      <c r="U1123" s="3"/>
    </row>
    <row r="1124" spans="1:22" s="163" customFormat="1">
      <c r="A1124" s="281" t="s">
        <v>4764</v>
      </c>
      <c r="B1124" s="281"/>
      <c r="C1124" s="281" t="s">
        <v>2421</v>
      </c>
      <c r="D1124" s="281">
        <v>3</v>
      </c>
      <c r="E1124" s="281" t="s">
        <v>1283</v>
      </c>
      <c r="F1124" s="281" t="s">
        <v>4764</v>
      </c>
      <c r="G1124" s="284"/>
      <c r="H1124" s="284"/>
      <c r="I1124" s="284"/>
      <c r="J1124" s="281"/>
      <c r="K1124" s="281"/>
      <c r="L1124" s="281"/>
      <c r="M1124" s="281"/>
      <c r="N1124" s="281"/>
      <c r="O1124" s="664">
        <f t="shared" si="36"/>
        <v>0</v>
      </c>
      <c r="P1124" s="281" t="s">
        <v>4764</v>
      </c>
      <c r="Q1124" s="281" t="s">
        <v>4764</v>
      </c>
      <c r="R1124" s="281">
        <v>14175</v>
      </c>
      <c r="S1124" s="281">
        <v>14165</v>
      </c>
      <c r="T1124" s="406">
        <v>14165</v>
      </c>
      <c r="U1124" s="556">
        <v>10</v>
      </c>
    </row>
    <row r="1125" spans="1:22" s="163" customFormat="1">
      <c r="A1125" s="281" t="s">
        <v>4177</v>
      </c>
      <c r="B1125" s="281"/>
      <c r="C1125" s="281" t="s">
        <v>1264</v>
      </c>
      <c r="D1125" s="340" t="s">
        <v>4763</v>
      </c>
      <c r="E1125" s="281" t="s">
        <v>1283</v>
      </c>
      <c r="F1125" s="281" t="s">
        <v>4177</v>
      </c>
      <c r="G1125" s="284"/>
      <c r="H1125" s="284"/>
      <c r="I1125" s="284"/>
      <c r="J1125" s="281"/>
      <c r="K1125" s="281"/>
      <c r="L1125" s="281"/>
      <c r="M1125" s="281"/>
      <c r="N1125" s="281"/>
      <c r="O1125" s="664">
        <f t="shared" si="36"/>
        <v>0</v>
      </c>
      <c r="P1125" s="281" t="s">
        <v>4177</v>
      </c>
      <c r="Q1125" s="281" t="s">
        <v>4177</v>
      </c>
      <c r="R1125" s="281">
        <v>11340</v>
      </c>
      <c r="S1125" s="281">
        <v>11340</v>
      </c>
      <c r="T1125" s="405">
        <v>11340</v>
      </c>
      <c r="U1125" s="284"/>
      <c r="V1125" s="163" t="s">
        <v>4760</v>
      </c>
    </row>
    <row r="1126" spans="1:22" s="163" customFormat="1">
      <c r="A1126" s="281" t="s">
        <v>4765</v>
      </c>
      <c r="B1126" s="281"/>
      <c r="C1126" s="281" t="s">
        <v>3825</v>
      </c>
      <c r="D1126" s="281">
        <v>7</v>
      </c>
      <c r="E1126" s="281" t="s">
        <v>1283</v>
      </c>
      <c r="F1126" s="281" t="s">
        <v>4765</v>
      </c>
      <c r="G1126" s="284"/>
      <c r="H1126" s="284"/>
      <c r="I1126" s="284"/>
      <c r="J1126" s="281"/>
      <c r="K1126" s="281"/>
      <c r="L1126" s="281"/>
      <c r="M1126" s="281"/>
      <c r="N1126" s="281"/>
      <c r="O1126" s="664">
        <f t="shared" si="36"/>
        <v>0</v>
      </c>
      <c r="P1126" s="281" t="s">
        <v>4765</v>
      </c>
      <c r="Q1126" s="281" t="s">
        <v>4765</v>
      </c>
      <c r="R1126" s="281">
        <v>14175</v>
      </c>
      <c r="S1126" s="281">
        <v>14145</v>
      </c>
      <c r="T1126" s="406">
        <v>14145</v>
      </c>
      <c r="U1126" s="556">
        <v>30</v>
      </c>
    </row>
    <row r="1127" spans="1:22" s="163" customFormat="1">
      <c r="A1127" s="281" t="s">
        <v>4264</v>
      </c>
      <c r="B1127" s="281"/>
      <c r="C1127" s="281" t="s">
        <v>1532</v>
      </c>
      <c r="D1127" s="281">
        <v>6</v>
      </c>
      <c r="E1127" s="281" t="s">
        <v>1283</v>
      </c>
      <c r="F1127" s="281" t="s">
        <v>4264</v>
      </c>
      <c r="G1127" s="284"/>
      <c r="H1127" s="284"/>
      <c r="I1127" s="284"/>
      <c r="J1127" s="281"/>
      <c r="K1127" s="281"/>
      <c r="L1127" s="281"/>
      <c r="M1127" s="281"/>
      <c r="N1127" s="281"/>
      <c r="O1127" s="664">
        <f t="shared" si="36"/>
        <v>0</v>
      </c>
      <c r="P1127" s="281" t="s">
        <v>4264</v>
      </c>
      <c r="Q1127" s="281" t="s">
        <v>4264</v>
      </c>
      <c r="R1127" s="281">
        <v>13500</v>
      </c>
      <c r="S1127" s="281">
        <v>13485</v>
      </c>
      <c r="T1127" s="406">
        <v>13485</v>
      </c>
      <c r="U1127" s="556">
        <v>15</v>
      </c>
    </row>
    <row r="1128" spans="1:22" s="163" customFormat="1">
      <c r="A1128" s="281" t="s">
        <v>4751</v>
      </c>
      <c r="B1128" s="281"/>
      <c r="C1128" s="281" t="s">
        <v>456</v>
      </c>
      <c r="D1128" s="281">
        <v>5</v>
      </c>
      <c r="E1128" s="281" t="s">
        <v>1283</v>
      </c>
      <c r="F1128" s="281" t="s">
        <v>4751</v>
      </c>
      <c r="G1128" s="284"/>
      <c r="H1128" s="284"/>
      <c r="I1128" s="284"/>
      <c r="J1128" s="281"/>
      <c r="K1128" s="281"/>
      <c r="L1128" s="281"/>
      <c r="M1128" s="281"/>
      <c r="N1128" s="281"/>
      <c r="O1128" s="664">
        <f t="shared" si="36"/>
        <v>0</v>
      </c>
      <c r="P1128" s="281" t="s">
        <v>4751</v>
      </c>
      <c r="Q1128" s="281" t="s">
        <v>4751</v>
      </c>
      <c r="R1128" s="281">
        <v>13230</v>
      </c>
      <c r="S1128" s="281">
        <v>13230</v>
      </c>
      <c r="T1128" s="406">
        <v>13230</v>
      </c>
      <c r="U1128" s="284"/>
      <c r="V1128" s="282" t="s">
        <v>245</v>
      </c>
    </row>
    <row r="1129" spans="1:22" s="163" customFormat="1">
      <c r="A1129" s="281" t="s">
        <v>4751</v>
      </c>
      <c r="B1129" s="281"/>
      <c r="C1129" s="281" t="s">
        <v>456</v>
      </c>
      <c r="D1129" s="281">
        <v>6</v>
      </c>
      <c r="E1129" s="281" t="s">
        <v>1283</v>
      </c>
      <c r="F1129" s="281" t="s">
        <v>4751</v>
      </c>
      <c r="G1129" s="284"/>
      <c r="H1129" s="284"/>
      <c r="I1129" s="284"/>
      <c r="J1129" s="281"/>
      <c r="K1129" s="281"/>
      <c r="L1129" s="281"/>
      <c r="M1129" s="281"/>
      <c r="N1129" s="281"/>
      <c r="O1129" s="664">
        <f t="shared" si="36"/>
        <v>0</v>
      </c>
      <c r="P1129" s="281" t="s">
        <v>4751</v>
      </c>
      <c r="Q1129" s="281" t="s">
        <v>4751</v>
      </c>
      <c r="R1129" s="281">
        <v>13230</v>
      </c>
      <c r="S1129" s="281">
        <v>13230</v>
      </c>
      <c r="T1129" s="406">
        <v>13230</v>
      </c>
      <c r="U1129" s="284"/>
      <c r="V1129" s="282" t="s">
        <v>245</v>
      </c>
    </row>
    <row r="1130" spans="1:22">
      <c r="A1130" s="165" t="s">
        <v>4714</v>
      </c>
      <c r="B1130" s="165">
        <v>1149</v>
      </c>
      <c r="C1130" s="165" t="s">
        <v>1232</v>
      </c>
      <c r="D1130" s="165">
        <v>11</v>
      </c>
      <c r="E1130" s="165" t="s">
        <v>4713</v>
      </c>
      <c r="F1130" s="165" t="s">
        <v>4609</v>
      </c>
      <c r="G1130" s="165">
        <v>16380</v>
      </c>
      <c r="H1130" s="165"/>
      <c r="I1130" s="165"/>
      <c r="J1130" s="165"/>
      <c r="K1130" s="165">
        <v>16380</v>
      </c>
      <c r="L1130" s="165"/>
      <c r="M1130" s="165"/>
      <c r="N1130" s="165"/>
      <c r="O1130" s="337">
        <f t="shared" si="36"/>
        <v>0</v>
      </c>
      <c r="P1130" s="165" t="s">
        <v>5294</v>
      </c>
      <c r="Q1130" s="165" t="s">
        <v>4788</v>
      </c>
      <c r="R1130" s="3">
        <f>G1130</f>
        <v>16380</v>
      </c>
      <c r="S1130" s="337">
        <v>16380</v>
      </c>
      <c r="T1130" s="337"/>
      <c r="U1130" s="3"/>
    </row>
    <row r="1131" spans="1:22" s="163" customFormat="1">
      <c r="A1131" s="281" t="s">
        <v>4190</v>
      </c>
      <c r="B1131" s="281"/>
      <c r="C1131" s="281" t="s">
        <v>4201</v>
      </c>
      <c r="D1131" s="281"/>
      <c r="E1131" s="281" t="s">
        <v>1283</v>
      </c>
      <c r="F1131" s="281" t="s">
        <v>4190</v>
      </c>
      <c r="G1131" s="284"/>
      <c r="H1131" s="284"/>
      <c r="I1131" s="284"/>
      <c r="J1131" s="281"/>
      <c r="K1131" s="281"/>
      <c r="L1131" s="281"/>
      <c r="M1131" s="281"/>
      <c r="N1131" s="281"/>
      <c r="O1131" s="664">
        <f t="shared" si="36"/>
        <v>0</v>
      </c>
      <c r="P1131" s="281" t="s">
        <v>4190</v>
      </c>
      <c r="Q1131" s="281" t="s">
        <v>4190</v>
      </c>
      <c r="R1131" s="281">
        <v>113400</v>
      </c>
      <c r="S1131" s="281">
        <v>113390</v>
      </c>
      <c r="T1131" s="406">
        <v>113390</v>
      </c>
      <c r="U1131" s="556">
        <v>10</v>
      </c>
      <c r="V1131" s="163" t="s">
        <v>4778</v>
      </c>
    </row>
    <row r="1132" spans="1:22">
      <c r="A1132" s="165" t="s">
        <v>4716</v>
      </c>
      <c r="B1132" s="94">
        <v>1150</v>
      </c>
      <c r="C1132" s="165" t="s">
        <v>4201</v>
      </c>
      <c r="D1132" s="165">
        <v>1</v>
      </c>
      <c r="E1132" s="165" t="s">
        <v>4718</v>
      </c>
      <c r="F1132" s="165" t="s">
        <v>4717</v>
      </c>
      <c r="G1132" s="165">
        <v>20475</v>
      </c>
      <c r="H1132" s="165"/>
      <c r="I1132" s="165"/>
      <c r="J1132" s="165">
        <v>20475</v>
      </c>
      <c r="K1132" s="165"/>
      <c r="L1132" s="165"/>
      <c r="M1132" s="165"/>
      <c r="N1132" s="165"/>
      <c r="O1132" s="337">
        <f t="shared" si="36"/>
        <v>0</v>
      </c>
      <c r="P1132" s="165" t="s">
        <v>4716</v>
      </c>
      <c r="Q1132" s="165" t="s">
        <v>4787</v>
      </c>
      <c r="R1132" s="3">
        <f>G1132</f>
        <v>20475</v>
      </c>
      <c r="S1132" s="337">
        <v>20475</v>
      </c>
      <c r="T1132"/>
      <c r="U1132" s="3"/>
      <c r="V1132" s="271" t="s">
        <v>2740</v>
      </c>
    </row>
    <row r="1133" spans="1:22">
      <c r="A1133" s="165" t="s">
        <v>4716</v>
      </c>
      <c r="B1133" s="94">
        <v>1151</v>
      </c>
      <c r="C1133" s="165" t="s">
        <v>4201</v>
      </c>
      <c r="D1133" s="165">
        <v>2</v>
      </c>
      <c r="E1133" s="165" t="s">
        <v>4719</v>
      </c>
      <c r="F1133" s="165" t="s">
        <v>4692</v>
      </c>
      <c r="G1133" s="165"/>
      <c r="H1133" s="165">
        <v>20475</v>
      </c>
      <c r="I1133" s="165"/>
      <c r="J1133" s="165"/>
      <c r="K1133" s="165">
        <v>20475</v>
      </c>
      <c r="L1133" s="165"/>
      <c r="M1133" s="165"/>
      <c r="N1133" s="165"/>
      <c r="O1133" s="337">
        <f t="shared" si="36"/>
        <v>0</v>
      </c>
      <c r="P1133" s="165" t="s">
        <v>4791</v>
      </c>
      <c r="Q1133" s="165" t="s">
        <v>4789</v>
      </c>
      <c r="R1133" s="3">
        <f t="shared" ref="R1133:R1139" si="38">H1133</f>
        <v>20475</v>
      </c>
      <c r="S1133" s="337">
        <v>20475</v>
      </c>
      <c r="T1133"/>
      <c r="U1133" s="3"/>
      <c r="V1133" s="271" t="s">
        <v>2740</v>
      </c>
    </row>
    <row r="1134" spans="1:22">
      <c r="A1134" s="165" t="s">
        <v>4716</v>
      </c>
      <c r="B1134" s="94">
        <v>1152</v>
      </c>
      <c r="C1134" s="165" t="s">
        <v>4201</v>
      </c>
      <c r="D1134" s="165">
        <v>3</v>
      </c>
      <c r="E1134" s="165" t="s">
        <v>4720</v>
      </c>
      <c r="F1134" s="165" t="s">
        <v>4689</v>
      </c>
      <c r="G1134" s="165"/>
      <c r="H1134" s="165">
        <v>20475</v>
      </c>
      <c r="I1134" s="165"/>
      <c r="J1134" s="165"/>
      <c r="K1134" s="165">
        <v>20475</v>
      </c>
      <c r="L1134" s="165"/>
      <c r="M1134" s="165"/>
      <c r="N1134" s="165"/>
      <c r="O1134" s="337">
        <f t="shared" si="36"/>
        <v>0</v>
      </c>
      <c r="P1134" s="165" t="s">
        <v>4804</v>
      </c>
      <c r="Q1134" s="165" t="s">
        <v>4689</v>
      </c>
      <c r="R1134" s="3">
        <f t="shared" si="38"/>
        <v>20475</v>
      </c>
      <c r="S1134" s="337">
        <v>20475</v>
      </c>
      <c r="T1134"/>
      <c r="U1134" s="3"/>
      <c r="V1134" s="271" t="s">
        <v>2740</v>
      </c>
    </row>
    <row r="1135" spans="1:22">
      <c r="A1135" s="165" t="s">
        <v>4716</v>
      </c>
      <c r="B1135" s="94">
        <v>1153</v>
      </c>
      <c r="C1135" s="165" t="s">
        <v>4201</v>
      </c>
      <c r="D1135" s="165">
        <v>4</v>
      </c>
      <c r="E1135" s="165" t="s">
        <v>4721</v>
      </c>
      <c r="F1135" s="165" t="s">
        <v>4690</v>
      </c>
      <c r="G1135" s="165"/>
      <c r="H1135" s="165">
        <v>20475</v>
      </c>
      <c r="I1135" s="165"/>
      <c r="J1135" s="165"/>
      <c r="K1135" s="165">
        <v>20475</v>
      </c>
      <c r="L1135" s="165"/>
      <c r="M1135" s="165"/>
      <c r="N1135" s="165"/>
      <c r="O1135" s="337">
        <f t="shared" si="36"/>
        <v>0</v>
      </c>
      <c r="P1135" s="165" t="s">
        <v>5488</v>
      </c>
      <c r="Q1135" s="165" t="s">
        <v>5499</v>
      </c>
      <c r="R1135" s="3">
        <f t="shared" si="38"/>
        <v>20475</v>
      </c>
      <c r="S1135" s="337">
        <v>20475</v>
      </c>
      <c r="T1135"/>
      <c r="U1135" s="3"/>
      <c r="V1135" s="271" t="s">
        <v>2740</v>
      </c>
    </row>
    <row r="1136" spans="1:22">
      <c r="A1136" s="165" t="s">
        <v>4716</v>
      </c>
      <c r="B1136" s="94">
        <v>1154</v>
      </c>
      <c r="C1136" s="165" t="s">
        <v>4201</v>
      </c>
      <c r="D1136" s="165">
        <v>5</v>
      </c>
      <c r="E1136" s="165" t="s">
        <v>4722</v>
      </c>
      <c r="F1136" s="165" t="s">
        <v>4691</v>
      </c>
      <c r="G1136" s="165"/>
      <c r="H1136" s="165">
        <v>20475</v>
      </c>
      <c r="I1136" s="165"/>
      <c r="J1136" s="165"/>
      <c r="K1136" s="165">
        <v>20475</v>
      </c>
      <c r="L1136" s="165"/>
      <c r="M1136" s="165"/>
      <c r="N1136" s="165"/>
      <c r="O1136" s="337">
        <f t="shared" si="36"/>
        <v>0</v>
      </c>
      <c r="P1136" s="165" t="s">
        <v>5263</v>
      </c>
      <c r="Q1136" s="165" t="s">
        <v>5550</v>
      </c>
      <c r="R1136" s="3">
        <f t="shared" si="38"/>
        <v>20475</v>
      </c>
      <c r="S1136" s="337">
        <v>20475</v>
      </c>
      <c r="T1136"/>
      <c r="U1136" s="3"/>
      <c r="V1136" s="271" t="s">
        <v>2740</v>
      </c>
    </row>
    <row r="1137" spans="1:22">
      <c r="A1137" s="165" t="s">
        <v>4716</v>
      </c>
      <c r="B1137" s="94">
        <v>1155</v>
      </c>
      <c r="C1137" s="165" t="s">
        <v>4201</v>
      </c>
      <c r="D1137" s="165">
        <v>6</v>
      </c>
      <c r="E1137" s="165" t="s">
        <v>4723</v>
      </c>
      <c r="F1137" s="165">
        <v>201802.05</v>
      </c>
      <c r="G1137" s="165"/>
      <c r="H1137" s="165">
        <v>20475</v>
      </c>
      <c r="I1137" s="165"/>
      <c r="J1137" s="165"/>
      <c r="K1137" s="165"/>
      <c r="L1137" s="165">
        <v>20475</v>
      </c>
      <c r="M1137" s="165"/>
      <c r="N1137" s="165"/>
      <c r="O1137" s="337">
        <f t="shared" si="36"/>
        <v>0</v>
      </c>
      <c r="P1137" s="165" t="s">
        <v>4694</v>
      </c>
      <c r="Q1137" s="165" t="s">
        <v>4694</v>
      </c>
      <c r="R1137" s="3">
        <f t="shared" si="38"/>
        <v>20475</v>
      </c>
      <c r="S1137" s="337">
        <v>20475</v>
      </c>
      <c r="T1137"/>
      <c r="U1137" s="3"/>
      <c r="V1137" s="271" t="s">
        <v>2740</v>
      </c>
    </row>
    <row r="1138" spans="1:22">
      <c r="A1138" s="165" t="s">
        <v>4716</v>
      </c>
      <c r="B1138" s="94">
        <v>1156</v>
      </c>
      <c r="C1138" s="165" t="s">
        <v>4201</v>
      </c>
      <c r="D1138" s="165">
        <v>7</v>
      </c>
      <c r="E1138" s="165" t="s">
        <v>4724</v>
      </c>
      <c r="F1138" s="165" t="s">
        <v>4693</v>
      </c>
      <c r="G1138" s="165"/>
      <c r="H1138" s="165">
        <v>20475</v>
      </c>
      <c r="I1138" s="165"/>
      <c r="J1138" s="165"/>
      <c r="K1138" s="165"/>
      <c r="L1138" s="165">
        <v>20475</v>
      </c>
      <c r="M1138" s="165"/>
      <c r="N1138" s="165"/>
      <c r="O1138" s="337">
        <f t="shared" si="36"/>
        <v>0</v>
      </c>
      <c r="P1138" s="165" t="s">
        <v>5617</v>
      </c>
      <c r="Q1138" s="165" t="s">
        <v>5617</v>
      </c>
      <c r="R1138" s="3">
        <f t="shared" si="38"/>
        <v>20475</v>
      </c>
      <c r="S1138" s="337">
        <v>20475</v>
      </c>
      <c r="T1138"/>
      <c r="U1138" s="3"/>
      <c r="V1138" s="271" t="s">
        <v>2740</v>
      </c>
    </row>
    <row r="1139" spans="1:22">
      <c r="A1139" s="165" t="s">
        <v>4716</v>
      </c>
      <c r="B1139" s="94">
        <v>1157</v>
      </c>
      <c r="C1139" s="165" t="s">
        <v>4201</v>
      </c>
      <c r="D1139" s="165">
        <v>8</v>
      </c>
      <c r="E1139" s="165" t="s">
        <v>4725</v>
      </c>
      <c r="F1139" s="165" t="s">
        <v>4726</v>
      </c>
      <c r="G1139" s="165"/>
      <c r="H1139" s="165">
        <v>20475</v>
      </c>
      <c r="I1139" s="165"/>
      <c r="J1139" s="165"/>
      <c r="K1139" s="165"/>
      <c r="L1139" s="165">
        <v>20475</v>
      </c>
      <c r="M1139" s="165"/>
      <c r="N1139" s="165"/>
      <c r="O1139" s="337">
        <f t="shared" si="36"/>
        <v>0</v>
      </c>
      <c r="P1139" s="165" t="s">
        <v>9721</v>
      </c>
      <c r="Q1139" s="165" t="s">
        <v>9721</v>
      </c>
      <c r="R1139" s="3">
        <f t="shared" si="38"/>
        <v>20475</v>
      </c>
      <c r="S1139" s="337">
        <v>20475</v>
      </c>
      <c r="T1139"/>
      <c r="U1139" s="3"/>
      <c r="V1139" s="271" t="s">
        <v>2740</v>
      </c>
    </row>
    <row r="1140" spans="1:22">
      <c r="A1140" s="165" t="s">
        <v>4716</v>
      </c>
      <c r="B1140" s="94">
        <v>1158</v>
      </c>
      <c r="C1140" s="165" t="s">
        <v>4000</v>
      </c>
      <c r="D1140" s="165">
        <v>1</v>
      </c>
      <c r="E1140" s="165" t="s">
        <v>4727</v>
      </c>
      <c r="F1140" s="165" t="s">
        <v>4108</v>
      </c>
      <c r="G1140" s="165">
        <v>20475</v>
      </c>
      <c r="H1140" s="165"/>
      <c r="I1140" s="165"/>
      <c r="J1140" s="165">
        <v>20475</v>
      </c>
      <c r="K1140" s="165"/>
      <c r="L1140" s="165"/>
      <c r="M1140" s="165"/>
      <c r="N1140" s="165"/>
      <c r="O1140" s="337">
        <f t="shared" si="36"/>
        <v>0</v>
      </c>
      <c r="P1140" s="165" t="s">
        <v>4716</v>
      </c>
      <c r="Q1140" s="165" t="s">
        <v>4787</v>
      </c>
      <c r="R1140" s="3">
        <f>G1140</f>
        <v>20475</v>
      </c>
      <c r="S1140" s="7">
        <v>20475</v>
      </c>
      <c r="T1140"/>
      <c r="U1140" s="3"/>
      <c r="V1140" s="271" t="s">
        <v>2740</v>
      </c>
    </row>
    <row r="1141" spans="1:22">
      <c r="A1141" s="165" t="s">
        <v>4716</v>
      </c>
      <c r="B1141" s="94">
        <v>1159</v>
      </c>
      <c r="C1141" s="165" t="s">
        <v>4000</v>
      </c>
      <c r="D1141" s="165">
        <v>2</v>
      </c>
      <c r="E1141" s="165" t="s">
        <v>4728</v>
      </c>
      <c r="F1141" s="165" t="s">
        <v>4110</v>
      </c>
      <c r="G1141" s="165"/>
      <c r="H1141" s="165">
        <v>20475</v>
      </c>
      <c r="I1141" s="165"/>
      <c r="J1141" s="165"/>
      <c r="K1141" s="165">
        <v>20475</v>
      </c>
      <c r="L1141" s="165"/>
      <c r="M1141" s="165"/>
      <c r="N1141" s="165"/>
      <c r="O1141" s="337">
        <f t="shared" si="36"/>
        <v>0</v>
      </c>
      <c r="P1141" s="165" t="s">
        <v>4651</v>
      </c>
      <c r="Q1141" s="165" t="s">
        <v>4793</v>
      </c>
      <c r="R1141" s="3">
        <f>H1141</f>
        <v>20475</v>
      </c>
      <c r="S1141" s="7">
        <v>20475</v>
      </c>
      <c r="T1141"/>
      <c r="U1141" s="3"/>
      <c r="V1141" s="271" t="s">
        <v>2740</v>
      </c>
    </row>
    <row r="1142" spans="1:22">
      <c r="A1142" s="165" t="s">
        <v>4716</v>
      </c>
      <c r="B1142" s="94">
        <v>1160</v>
      </c>
      <c r="C1142" s="165" t="s">
        <v>4000</v>
      </c>
      <c r="D1142" s="165">
        <v>3</v>
      </c>
      <c r="E1142" s="165" t="s">
        <v>4729</v>
      </c>
      <c r="F1142" s="165" t="s">
        <v>4213</v>
      </c>
      <c r="G1142" s="165"/>
      <c r="H1142" s="165">
        <v>20475</v>
      </c>
      <c r="I1142" s="165"/>
      <c r="J1142" s="165"/>
      <c r="K1142" s="165">
        <v>20475</v>
      </c>
      <c r="L1142" s="165"/>
      <c r="M1142" s="165"/>
      <c r="N1142" s="165"/>
      <c r="O1142" s="337">
        <f t="shared" si="36"/>
        <v>0</v>
      </c>
      <c r="P1142" s="165" t="s">
        <v>4806</v>
      </c>
      <c r="Q1142" s="165" t="s">
        <v>4213</v>
      </c>
      <c r="R1142" s="3">
        <f>H1142</f>
        <v>20475</v>
      </c>
      <c r="S1142" s="7">
        <v>20475</v>
      </c>
      <c r="T1142"/>
      <c r="U1142" s="3"/>
      <c r="V1142" s="271" t="s">
        <v>2740</v>
      </c>
    </row>
    <row r="1143" spans="1:22">
      <c r="A1143" s="165" t="s">
        <v>4716</v>
      </c>
      <c r="B1143" s="94">
        <v>1161</v>
      </c>
      <c r="C1143" s="165" t="s">
        <v>4000</v>
      </c>
      <c r="D1143" s="165">
        <v>4</v>
      </c>
      <c r="E1143" s="165" t="s">
        <v>4730</v>
      </c>
      <c r="F1143" s="165" t="s">
        <v>4735</v>
      </c>
      <c r="G1143" s="165"/>
      <c r="H1143" s="165">
        <v>20475</v>
      </c>
      <c r="I1143" s="165"/>
      <c r="J1143" s="165"/>
      <c r="K1143" s="165">
        <v>20475</v>
      </c>
      <c r="L1143" s="165"/>
      <c r="M1143" s="165"/>
      <c r="N1143" s="165"/>
      <c r="O1143" s="337">
        <f t="shared" si="36"/>
        <v>0</v>
      </c>
      <c r="P1143" s="165" t="s">
        <v>5500</v>
      </c>
      <c r="Q1143" s="165" t="s">
        <v>4735</v>
      </c>
      <c r="R1143" s="3">
        <f>H1143</f>
        <v>20475</v>
      </c>
      <c r="S1143" s="7">
        <v>20475</v>
      </c>
      <c r="T1143"/>
      <c r="U1143" s="3"/>
      <c r="V1143" s="271" t="s">
        <v>2740</v>
      </c>
    </row>
    <row r="1144" spans="1:22">
      <c r="A1144" s="165" t="s">
        <v>4716</v>
      </c>
      <c r="B1144" s="94">
        <v>1162</v>
      </c>
      <c r="C1144" s="165" t="s">
        <v>4000</v>
      </c>
      <c r="D1144" s="165">
        <v>5</v>
      </c>
      <c r="E1144" s="165" t="s">
        <v>4731</v>
      </c>
      <c r="F1144" s="165" t="s">
        <v>4736</v>
      </c>
      <c r="G1144" s="165"/>
      <c r="H1144" s="165">
        <v>20475</v>
      </c>
      <c r="I1144" s="165"/>
      <c r="J1144" s="165"/>
      <c r="K1144" s="165">
        <v>20475</v>
      </c>
      <c r="L1144" s="165"/>
      <c r="M1144" s="165"/>
      <c r="N1144" s="165"/>
      <c r="O1144" s="337">
        <f t="shared" si="36"/>
        <v>0</v>
      </c>
      <c r="P1144" s="165" t="s">
        <v>5551</v>
      </c>
      <c r="Q1144" s="165" t="s">
        <v>5552</v>
      </c>
      <c r="R1144" s="3">
        <f>H1144</f>
        <v>20475</v>
      </c>
      <c r="S1144" s="7">
        <v>20475</v>
      </c>
      <c r="T1144"/>
      <c r="U1144" s="3"/>
      <c r="V1144" s="271" t="s">
        <v>2740</v>
      </c>
    </row>
    <row r="1145" spans="1:22">
      <c r="A1145" s="165" t="s">
        <v>4716</v>
      </c>
      <c r="B1145" s="94">
        <v>1163</v>
      </c>
      <c r="C1145" s="165" t="s">
        <v>4000</v>
      </c>
      <c r="D1145" s="165">
        <v>6</v>
      </c>
      <c r="E1145" s="165" t="s">
        <v>4732</v>
      </c>
      <c r="F1145" s="165">
        <v>201802.25</v>
      </c>
      <c r="G1145" s="165"/>
      <c r="H1145" s="165"/>
      <c r="I1145" s="165">
        <v>20475</v>
      </c>
      <c r="J1145" s="165"/>
      <c r="K1145" s="165"/>
      <c r="L1145" s="165">
        <v>20475</v>
      </c>
      <c r="M1145" s="165"/>
      <c r="N1145" s="165"/>
      <c r="O1145" s="337">
        <f t="shared" si="36"/>
        <v>0</v>
      </c>
      <c r="P1145" s="165" t="s">
        <v>5612</v>
      </c>
      <c r="Q1145" s="165" t="s">
        <v>5612</v>
      </c>
      <c r="R1145" s="3">
        <f>G1145+H1145+I1145</f>
        <v>20475</v>
      </c>
      <c r="S1145" s="7">
        <v>20475</v>
      </c>
      <c r="T1145"/>
      <c r="U1145" s="3"/>
      <c r="V1145" s="271" t="s">
        <v>2740</v>
      </c>
    </row>
    <row r="1146" spans="1:22">
      <c r="A1146" s="165" t="s">
        <v>4716</v>
      </c>
      <c r="B1146" s="94">
        <v>1164</v>
      </c>
      <c r="C1146" s="165" t="s">
        <v>4000</v>
      </c>
      <c r="D1146" s="165">
        <v>7</v>
      </c>
      <c r="E1146" s="165" t="s">
        <v>4733</v>
      </c>
      <c r="F1146" s="165" t="s">
        <v>4737</v>
      </c>
      <c r="G1146" s="165"/>
      <c r="H1146" s="165"/>
      <c r="I1146" s="165">
        <v>20475</v>
      </c>
      <c r="J1146" s="165"/>
      <c r="K1146" s="165"/>
      <c r="L1146" s="165">
        <v>20475</v>
      </c>
      <c r="M1146" s="165"/>
      <c r="N1146" s="165"/>
      <c r="O1146" s="337">
        <f t="shared" si="36"/>
        <v>0</v>
      </c>
      <c r="P1146" s="165" t="s">
        <v>4737</v>
      </c>
      <c r="Q1146" s="165" t="s">
        <v>4737</v>
      </c>
      <c r="R1146" s="3">
        <f>G1146+H1146+I1146</f>
        <v>20475</v>
      </c>
      <c r="S1146" s="7">
        <v>20475</v>
      </c>
      <c r="T1146"/>
      <c r="U1146" s="3"/>
      <c r="V1146" s="271" t="s">
        <v>2740</v>
      </c>
    </row>
    <row r="1147" spans="1:22">
      <c r="A1147" s="165" t="s">
        <v>4716</v>
      </c>
      <c r="B1147" s="94">
        <v>1165</v>
      </c>
      <c r="C1147" s="165" t="s">
        <v>4000</v>
      </c>
      <c r="D1147" s="165">
        <v>8</v>
      </c>
      <c r="E1147" s="165" t="s">
        <v>4734</v>
      </c>
      <c r="F1147" s="165" t="s">
        <v>4738</v>
      </c>
      <c r="G1147" s="165"/>
      <c r="H1147" s="165"/>
      <c r="I1147" s="165">
        <v>20475</v>
      </c>
      <c r="J1147" s="165"/>
      <c r="K1147" s="165"/>
      <c r="L1147" s="165">
        <v>20475</v>
      </c>
      <c r="M1147" s="165"/>
      <c r="N1147" s="165"/>
      <c r="O1147" s="337">
        <f t="shared" si="36"/>
        <v>0</v>
      </c>
      <c r="P1147" s="165" t="s">
        <v>9775</v>
      </c>
      <c r="Q1147" s="165" t="s">
        <v>9775</v>
      </c>
      <c r="R1147" s="3">
        <f>G1147+H1147+I1147</f>
        <v>20475</v>
      </c>
      <c r="S1147" s="7">
        <v>20475</v>
      </c>
      <c r="T1147"/>
      <c r="U1147" s="3"/>
      <c r="V1147" s="271" t="s">
        <v>2740</v>
      </c>
    </row>
    <row r="1148" spans="1:22">
      <c r="A1148" s="165" t="s">
        <v>4716</v>
      </c>
      <c r="B1148" s="94">
        <v>1166</v>
      </c>
      <c r="C1148" s="165" t="s">
        <v>4739</v>
      </c>
      <c r="D1148" s="165">
        <v>1</v>
      </c>
      <c r="E1148" s="165" t="s">
        <v>4740</v>
      </c>
      <c r="F1148" s="165" t="s">
        <v>4108</v>
      </c>
      <c r="G1148" s="165">
        <v>16380</v>
      </c>
      <c r="H1148" s="165"/>
      <c r="I1148" s="165"/>
      <c r="J1148" s="165">
        <v>16380</v>
      </c>
      <c r="K1148" s="165"/>
      <c r="L1148" s="165"/>
      <c r="M1148" s="165"/>
      <c r="N1148" s="165"/>
      <c r="O1148" s="337">
        <f t="shared" si="36"/>
        <v>0</v>
      </c>
      <c r="P1148" s="165" t="s">
        <v>4716</v>
      </c>
      <c r="Q1148" s="165" t="s">
        <v>4787</v>
      </c>
      <c r="R1148" s="3">
        <f>G1148</f>
        <v>16380</v>
      </c>
      <c r="S1148" s="7">
        <v>16380</v>
      </c>
      <c r="T1148"/>
      <c r="U1148" s="3"/>
      <c r="V1148" s="271" t="s">
        <v>2740</v>
      </c>
    </row>
    <row r="1149" spans="1:22">
      <c r="A1149" s="165" t="s">
        <v>4716</v>
      </c>
      <c r="B1149" s="94">
        <v>1167</v>
      </c>
      <c r="C1149" s="165" t="s">
        <v>4739</v>
      </c>
      <c r="D1149" s="165">
        <v>2</v>
      </c>
      <c r="E1149" s="165" t="s">
        <v>4741</v>
      </c>
      <c r="F1149" s="165" t="s">
        <v>4110</v>
      </c>
      <c r="G1149" s="165"/>
      <c r="H1149" s="165">
        <v>16380</v>
      </c>
      <c r="I1149" s="165"/>
      <c r="J1149" s="165"/>
      <c r="K1149" s="165">
        <v>16380</v>
      </c>
      <c r="L1149" s="165"/>
      <c r="M1149" s="165"/>
      <c r="N1149" s="165"/>
      <c r="O1149" s="337">
        <f t="shared" si="36"/>
        <v>0</v>
      </c>
      <c r="P1149" s="165" t="s">
        <v>4651</v>
      </c>
      <c r="Q1149" s="165" t="s">
        <v>4793</v>
      </c>
      <c r="R1149" s="3">
        <f>H1149</f>
        <v>16380</v>
      </c>
      <c r="S1149" s="7">
        <v>16380</v>
      </c>
      <c r="T1149"/>
      <c r="U1149" s="3"/>
      <c r="V1149" s="271" t="s">
        <v>2740</v>
      </c>
    </row>
    <row r="1150" spans="1:22">
      <c r="A1150" s="165" t="s">
        <v>4716</v>
      </c>
      <c r="B1150" s="94">
        <v>1168</v>
      </c>
      <c r="C1150" s="165" t="s">
        <v>4739</v>
      </c>
      <c r="D1150" s="165">
        <v>3</v>
      </c>
      <c r="E1150" s="165" t="s">
        <v>4742</v>
      </c>
      <c r="F1150" s="165" t="s">
        <v>4213</v>
      </c>
      <c r="G1150" s="165"/>
      <c r="H1150" s="165">
        <v>16380</v>
      </c>
      <c r="I1150" s="165"/>
      <c r="J1150" s="165"/>
      <c r="K1150" s="165">
        <v>16380</v>
      </c>
      <c r="L1150" s="165"/>
      <c r="M1150" s="165"/>
      <c r="N1150" s="165"/>
      <c r="O1150" s="337">
        <f t="shared" si="36"/>
        <v>0</v>
      </c>
      <c r="P1150" s="165" t="s">
        <v>4806</v>
      </c>
      <c r="Q1150" s="165" t="s">
        <v>4213</v>
      </c>
      <c r="R1150" s="3">
        <f>H1150</f>
        <v>16380</v>
      </c>
      <c r="S1150" s="7">
        <v>16380</v>
      </c>
      <c r="T1150"/>
      <c r="U1150" s="3"/>
      <c r="V1150" s="271" t="s">
        <v>2740</v>
      </c>
    </row>
    <row r="1151" spans="1:22">
      <c r="A1151" s="165" t="s">
        <v>4716</v>
      </c>
      <c r="B1151" s="94">
        <v>1169</v>
      </c>
      <c r="C1151" s="165" t="s">
        <v>4739</v>
      </c>
      <c r="D1151" s="165">
        <v>4</v>
      </c>
      <c r="E1151" s="165" t="s">
        <v>4743</v>
      </c>
      <c r="F1151" s="165" t="s">
        <v>4735</v>
      </c>
      <c r="G1151" s="165"/>
      <c r="H1151" s="165">
        <v>16380</v>
      </c>
      <c r="I1151" s="165"/>
      <c r="J1151" s="165"/>
      <c r="K1151" s="165">
        <v>16380</v>
      </c>
      <c r="L1151" s="165"/>
      <c r="M1151" s="165"/>
      <c r="N1151" s="165"/>
      <c r="O1151" s="337">
        <f t="shared" si="36"/>
        <v>0</v>
      </c>
      <c r="P1151" s="165" t="s">
        <v>5500</v>
      </c>
      <c r="Q1151" s="165" t="s">
        <v>4735</v>
      </c>
      <c r="R1151" s="3">
        <f>H1151</f>
        <v>16380</v>
      </c>
      <c r="S1151" s="7">
        <v>16380</v>
      </c>
      <c r="T1151"/>
      <c r="U1151" s="3"/>
      <c r="V1151" s="271" t="s">
        <v>2740</v>
      </c>
    </row>
    <row r="1152" spans="1:22">
      <c r="A1152" s="165" t="s">
        <v>4716</v>
      </c>
      <c r="B1152" s="94">
        <v>1170</v>
      </c>
      <c r="C1152" s="165" t="s">
        <v>4739</v>
      </c>
      <c r="D1152" s="165">
        <v>5</v>
      </c>
      <c r="E1152" s="165" t="s">
        <v>4744</v>
      </c>
      <c r="F1152" s="165" t="s">
        <v>4736</v>
      </c>
      <c r="G1152" s="165"/>
      <c r="H1152" s="165">
        <v>16380</v>
      </c>
      <c r="I1152" s="165"/>
      <c r="J1152" s="165"/>
      <c r="K1152" s="165">
        <v>16380</v>
      </c>
      <c r="L1152" s="165"/>
      <c r="M1152" s="165"/>
      <c r="N1152" s="165"/>
      <c r="O1152" s="337">
        <f t="shared" si="36"/>
        <v>0</v>
      </c>
      <c r="P1152" s="165" t="s">
        <v>5551</v>
      </c>
      <c r="Q1152" s="165" t="s">
        <v>5552</v>
      </c>
      <c r="R1152" s="3">
        <f>H1152</f>
        <v>16380</v>
      </c>
      <c r="S1152" s="7">
        <v>16380</v>
      </c>
      <c r="T1152"/>
      <c r="U1152" s="3"/>
      <c r="V1152" s="271" t="s">
        <v>2740</v>
      </c>
    </row>
    <row r="1153" spans="1:22">
      <c r="A1153" s="165" t="s">
        <v>4716</v>
      </c>
      <c r="B1153" s="94">
        <v>1171</v>
      </c>
      <c r="C1153" s="165" t="s">
        <v>4739</v>
      </c>
      <c r="D1153" s="165">
        <v>6</v>
      </c>
      <c r="E1153" s="165" t="s">
        <v>4745</v>
      </c>
      <c r="F1153" s="165">
        <v>201802.25</v>
      </c>
      <c r="G1153" s="165"/>
      <c r="H1153" s="165"/>
      <c r="I1153" s="165">
        <v>16380</v>
      </c>
      <c r="J1153" s="165"/>
      <c r="K1153" s="165"/>
      <c r="L1153" s="165">
        <v>16380</v>
      </c>
      <c r="M1153" s="165"/>
      <c r="N1153" s="165"/>
      <c r="O1153" s="337">
        <f t="shared" si="36"/>
        <v>0</v>
      </c>
      <c r="P1153" s="165" t="s">
        <v>5612</v>
      </c>
      <c r="Q1153" s="165" t="s">
        <v>5612</v>
      </c>
      <c r="R1153" s="3">
        <f>G1153+H1153+I1153</f>
        <v>16380</v>
      </c>
      <c r="S1153" s="7">
        <v>16380</v>
      </c>
      <c r="T1153"/>
      <c r="U1153" s="3"/>
      <c r="V1153" s="271" t="s">
        <v>2740</v>
      </c>
    </row>
    <row r="1154" spans="1:22">
      <c r="A1154" s="165" t="s">
        <v>4716</v>
      </c>
      <c r="B1154" s="94">
        <v>1172</v>
      </c>
      <c r="C1154" s="165" t="s">
        <v>4739</v>
      </c>
      <c r="D1154" s="165">
        <v>7</v>
      </c>
      <c r="E1154" s="165" t="s">
        <v>4746</v>
      </c>
      <c r="F1154" s="165" t="s">
        <v>4737</v>
      </c>
      <c r="G1154" s="165"/>
      <c r="H1154" s="165"/>
      <c r="I1154" s="165">
        <v>16380</v>
      </c>
      <c r="J1154" s="165"/>
      <c r="K1154" s="165"/>
      <c r="L1154" s="165">
        <v>16380</v>
      </c>
      <c r="M1154" s="165"/>
      <c r="N1154" s="165"/>
      <c r="O1154" s="337">
        <f t="shared" si="36"/>
        <v>0</v>
      </c>
      <c r="P1154" s="165" t="s">
        <v>4737</v>
      </c>
      <c r="Q1154" s="165" t="s">
        <v>4737</v>
      </c>
      <c r="R1154" s="3">
        <f>G1154+H1154+I1154</f>
        <v>16380</v>
      </c>
      <c r="S1154" s="7">
        <v>16380</v>
      </c>
      <c r="T1154"/>
      <c r="U1154" s="3"/>
      <c r="V1154" s="271" t="s">
        <v>2740</v>
      </c>
    </row>
    <row r="1155" spans="1:22">
      <c r="A1155" s="165" t="s">
        <v>4716</v>
      </c>
      <c r="B1155" s="94">
        <v>1173</v>
      </c>
      <c r="C1155" s="165" t="s">
        <v>4739</v>
      </c>
      <c r="D1155" s="165">
        <v>8</v>
      </c>
      <c r="E1155" s="165" t="s">
        <v>4747</v>
      </c>
      <c r="F1155" s="165" t="s">
        <v>4738</v>
      </c>
      <c r="G1155" s="165"/>
      <c r="H1155" s="165"/>
      <c r="I1155" s="165">
        <v>16380</v>
      </c>
      <c r="J1155" s="165"/>
      <c r="K1155" s="165"/>
      <c r="L1155" s="165">
        <v>16380</v>
      </c>
      <c r="M1155" s="165"/>
      <c r="N1155" s="165"/>
      <c r="O1155" s="337">
        <f t="shared" si="36"/>
        <v>0</v>
      </c>
      <c r="P1155" s="165" t="s">
        <v>9775</v>
      </c>
      <c r="Q1155" s="165" t="s">
        <v>9775</v>
      </c>
      <c r="R1155" s="3">
        <f>G1155+H1155+I1155</f>
        <v>16380</v>
      </c>
      <c r="S1155" s="7">
        <v>16380</v>
      </c>
      <c r="T1155"/>
      <c r="U1155" s="3"/>
      <c r="V1155" s="271" t="s">
        <v>2740</v>
      </c>
    </row>
    <row r="1156" spans="1:22">
      <c r="A1156" s="165" t="s">
        <v>4716</v>
      </c>
      <c r="B1156" s="94">
        <v>1174</v>
      </c>
      <c r="C1156" s="165" t="s">
        <v>4000</v>
      </c>
      <c r="D1156" s="165"/>
      <c r="E1156" s="165" t="s">
        <v>4748</v>
      </c>
      <c r="F1156" s="165" t="s">
        <v>4190</v>
      </c>
      <c r="G1156" s="165">
        <v>113400</v>
      </c>
      <c r="H1156" s="165"/>
      <c r="I1156" s="165"/>
      <c r="J1156" s="165">
        <v>113400</v>
      </c>
      <c r="K1156" s="165"/>
      <c r="L1156" s="165"/>
      <c r="M1156" s="165"/>
      <c r="N1156" s="165"/>
      <c r="O1156" s="337">
        <f t="shared" si="36"/>
        <v>0</v>
      </c>
      <c r="P1156" s="165" t="s">
        <v>4716</v>
      </c>
      <c r="Q1156" s="165" t="s">
        <v>4787</v>
      </c>
      <c r="R1156" s="3">
        <f>G1156</f>
        <v>113400</v>
      </c>
      <c r="S1156" s="7">
        <v>113400</v>
      </c>
      <c r="T1156"/>
      <c r="U1156" s="3"/>
    </row>
    <row r="1157" spans="1:22">
      <c r="A1157" s="165" t="s">
        <v>4666</v>
      </c>
      <c r="B1157" s="94">
        <v>1175</v>
      </c>
      <c r="C1157" s="165" t="s">
        <v>4567</v>
      </c>
      <c r="D1157" s="165"/>
      <c r="E1157" s="165" t="s">
        <v>4749</v>
      </c>
      <c r="F1157" s="165" t="s">
        <v>4666</v>
      </c>
      <c r="G1157" s="165">
        <v>3150</v>
      </c>
      <c r="H1157" s="165"/>
      <c r="I1157" s="165"/>
      <c r="J1157" s="165"/>
      <c r="K1157" s="165">
        <v>3150</v>
      </c>
      <c r="L1157" s="165"/>
      <c r="M1157" s="165"/>
      <c r="N1157" s="165"/>
      <c r="O1157" s="337">
        <f t="shared" si="36"/>
        <v>0</v>
      </c>
      <c r="P1157" s="165" t="s">
        <v>5294</v>
      </c>
      <c r="Q1157" s="165" t="s">
        <v>4788</v>
      </c>
      <c r="R1157" s="3">
        <f>G1157</f>
        <v>3150</v>
      </c>
      <c r="S1157" s="7">
        <v>3150</v>
      </c>
      <c r="T1157"/>
      <c r="U1157" s="3"/>
      <c r="V1157" s="338" t="s">
        <v>5295</v>
      </c>
    </row>
    <row r="1158" spans="1:22">
      <c r="A1158" s="165"/>
      <c r="B1158" s="165"/>
      <c r="C1158" s="165"/>
      <c r="D1158" s="165"/>
      <c r="E1158" s="165"/>
      <c r="F1158" s="165"/>
      <c r="G1158" s="165"/>
      <c r="H1158" s="165"/>
      <c r="I1158" s="165"/>
      <c r="J1158" s="165"/>
      <c r="K1158" s="165"/>
      <c r="L1158" s="165"/>
      <c r="M1158" s="165"/>
      <c r="N1158" s="165"/>
      <c r="O1158" s="165"/>
      <c r="P1158" s="165"/>
    </row>
    <row r="1159" spans="1:22">
      <c r="A1159" s="165"/>
      <c r="B1159" s="165"/>
      <c r="C1159" s="165"/>
      <c r="D1159" s="165"/>
      <c r="E1159" s="165"/>
      <c r="F1159" s="165"/>
      <c r="G1159" s="165"/>
      <c r="H1159" s="165"/>
      <c r="I1159" s="165"/>
      <c r="J1159" s="165"/>
      <c r="K1159" s="165"/>
      <c r="L1159" s="165"/>
      <c r="M1159" s="165"/>
      <c r="N1159" s="165"/>
      <c r="O1159" s="165"/>
      <c r="P1159" s="165"/>
    </row>
    <row r="1160" spans="1:22">
      <c r="A1160" s="165"/>
      <c r="B1160" s="165"/>
      <c r="C1160" s="165"/>
      <c r="D1160" s="165"/>
      <c r="E1160" s="165"/>
      <c r="F1160" s="165"/>
      <c r="G1160" s="165"/>
      <c r="H1160" s="165"/>
      <c r="I1160" s="165"/>
      <c r="J1160" s="165"/>
      <c r="K1160" s="165"/>
      <c r="L1160" s="165"/>
      <c r="M1160" s="165"/>
      <c r="N1160" s="165"/>
      <c r="O1160" s="165"/>
      <c r="P1160" s="165"/>
    </row>
    <row r="1161" spans="1:22" s="176" customFormat="1" ht="20.25" customHeight="1">
      <c r="A1161" s="203" t="s">
        <v>5170</v>
      </c>
      <c r="B1161" s="200"/>
      <c r="C1161" s="201"/>
      <c r="D1161" s="202"/>
      <c r="E1161" s="201"/>
      <c r="F1161" s="185" t="s">
        <v>2378</v>
      </c>
      <c r="G1161" s="185">
        <f t="shared" ref="G1161:O1161" si="39">SUM(G1163:G1349)</f>
        <v>28350</v>
      </c>
      <c r="H1161" s="185">
        <f t="shared" si="39"/>
        <v>2264880</v>
      </c>
      <c r="I1161" s="185">
        <f t="shared" si="39"/>
        <v>245700</v>
      </c>
      <c r="J1161" s="185">
        <f t="shared" si="39"/>
        <v>20475</v>
      </c>
      <c r="K1161" s="185">
        <f t="shared" si="39"/>
        <v>1189680</v>
      </c>
      <c r="L1161" s="185">
        <f t="shared" si="39"/>
        <v>1328775</v>
      </c>
      <c r="M1161" s="185">
        <f t="shared" si="39"/>
        <v>0</v>
      </c>
      <c r="N1161" s="185">
        <f t="shared" si="39"/>
        <v>0</v>
      </c>
      <c r="O1161" s="185">
        <f t="shared" si="39"/>
        <v>0</v>
      </c>
      <c r="P1161" s="185"/>
      <c r="Q1161" s="185"/>
      <c r="R1161" s="185">
        <f>SUM(R1163:R1349)</f>
        <v>3087840</v>
      </c>
      <c r="S1161" s="185">
        <f>SUM(S1163:S1349)</f>
        <v>3115985</v>
      </c>
      <c r="T1161" s="185">
        <f>SUM(T1163:T1349)</f>
        <v>577055</v>
      </c>
      <c r="U1161" s="185">
        <f>SUM(U1163:U1349)</f>
        <v>205</v>
      </c>
    </row>
    <row r="1162" spans="1:22" s="270" customFormat="1">
      <c r="A1162" s="269" t="s">
        <v>1281</v>
      </c>
      <c r="B1162" s="269" t="s">
        <v>2435</v>
      </c>
      <c r="C1162" s="269" t="s">
        <v>1385</v>
      </c>
      <c r="D1162" s="269" t="s">
        <v>1275</v>
      </c>
      <c r="E1162" s="269" t="s">
        <v>265</v>
      </c>
      <c r="F1162" s="269" t="s">
        <v>1280</v>
      </c>
      <c r="G1162" s="269" t="s">
        <v>4502</v>
      </c>
      <c r="H1162" s="269" t="s">
        <v>4468</v>
      </c>
      <c r="I1162" s="269" t="s">
        <v>4447</v>
      </c>
      <c r="J1162" s="269" t="s">
        <v>4470</v>
      </c>
      <c r="K1162" s="269" t="s">
        <v>4471</v>
      </c>
      <c r="L1162" s="269" t="s">
        <v>9596</v>
      </c>
      <c r="M1162" s="269" t="s">
        <v>4841</v>
      </c>
      <c r="N1162" s="269" t="s">
        <v>3728</v>
      </c>
      <c r="O1162" s="269" t="s">
        <v>2438</v>
      </c>
      <c r="P1162" s="269" t="s">
        <v>1282</v>
      </c>
      <c r="Q1162" s="269" t="s">
        <v>1386</v>
      </c>
      <c r="R1162" s="269" t="s">
        <v>576</v>
      </c>
      <c r="S1162" s="269" t="s">
        <v>3593</v>
      </c>
      <c r="T1162" s="269" t="s">
        <v>1283</v>
      </c>
      <c r="U1162" s="269" t="s">
        <v>577</v>
      </c>
    </row>
    <row r="1163" spans="1:22" s="163" customFormat="1">
      <c r="A1163" s="281" t="s">
        <v>4788</v>
      </c>
      <c r="B1163" s="281"/>
      <c r="C1163" s="281" t="s">
        <v>1264</v>
      </c>
      <c r="D1163" s="340" t="s">
        <v>4824</v>
      </c>
      <c r="E1163" s="281" t="s">
        <v>1283</v>
      </c>
      <c r="F1163" s="281" t="s">
        <v>4788</v>
      </c>
      <c r="G1163" s="284"/>
      <c r="H1163" s="284"/>
      <c r="I1163" s="284"/>
      <c r="J1163" s="281"/>
      <c r="K1163" s="281"/>
      <c r="L1163" s="281"/>
      <c r="M1163" s="281"/>
      <c r="N1163" s="281"/>
      <c r="O1163" s="281">
        <f>G1163+H1163+I1163-J1163-K1163-L1163</f>
        <v>0</v>
      </c>
      <c r="P1163" s="281" t="s">
        <v>4788</v>
      </c>
      <c r="Q1163" s="281" t="s">
        <v>4788</v>
      </c>
      <c r="R1163" s="281">
        <v>11340</v>
      </c>
      <c r="S1163" s="281">
        <v>11340</v>
      </c>
      <c r="T1163" s="405">
        <v>11340</v>
      </c>
      <c r="U1163" s="284"/>
      <c r="V1163" s="163" t="s">
        <v>4760</v>
      </c>
    </row>
    <row r="1164" spans="1:22" s="163" customFormat="1">
      <c r="A1164" s="281" t="s">
        <v>4790</v>
      </c>
      <c r="B1164" s="281"/>
      <c r="C1164" s="281" t="s">
        <v>2421</v>
      </c>
      <c r="D1164" s="281">
        <v>4</v>
      </c>
      <c r="E1164" s="281" t="s">
        <v>1283</v>
      </c>
      <c r="F1164" s="281" t="s">
        <v>4790</v>
      </c>
      <c r="G1164" s="284"/>
      <c r="H1164" s="284"/>
      <c r="I1164" s="284"/>
      <c r="J1164" s="281"/>
      <c r="K1164" s="281"/>
      <c r="L1164" s="281"/>
      <c r="M1164" s="281"/>
      <c r="N1164" s="281"/>
      <c r="O1164" s="281">
        <f t="shared" ref="O1164:O1227" si="40">G1164+H1164+I1164-J1164-K1164-L1164</f>
        <v>0</v>
      </c>
      <c r="P1164" s="281" t="s">
        <v>4790</v>
      </c>
      <c r="Q1164" s="281" t="s">
        <v>4790</v>
      </c>
      <c r="R1164" s="281">
        <v>14175</v>
      </c>
      <c r="S1164" s="281">
        <v>14165</v>
      </c>
      <c r="T1164" s="406">
        <v>14165</v>
      </c>
      <c r="U1164" s="556">
        <v>10</v>
      </c>
      <c r="V1164" s="281"/>
    </row>
    <row r="1165" spans="1:22" s="163" customFormat="1">
      <c r="A1165" s="281" t="s">
        <v>5261</v>
      </c>
      <c r="B1165" s="281"/>
      <c r="C1165" s="281" t="s">
        <v>456</v>
      </c>
      <c r="D1165" s="281">
        <v>7</v>
      </c>
      <c r="E1165" s="281" t="s">
        <v>1283</v>
      </c>
      <c r="F1165" s="281" t="s">
        <v>5261</v>
      </c>
      <c r="G1165" s="284"/>
      <c r="H1165" s="284"/>
      <c r="I1165" s="284"/>
      <c r="J1165" s="281"/>
      <c r="K1165" s="281"/>
      <c r="L1165" s="281"/>
      <c r="M1165" s="281"/>
      <c r="N1165" s="281"/>
      <c r="O1165" s="281">
        <f t="shared" si="40"/>
        <v>0</v>
      </c>
      <c r="P1165" s="281" t="s">
        <v>5261</v>
      </c>
      <c r="Q1165" s="281" t="s">
        <v>5261</v>
      </c>
      <c r="R1165" s="281">
        <v>13230</v>
      </c>
      <c r="S1165" s="281">
        <v>13230</v>
      </c>
      <c r="T1165" s="406">
        <v>13230</v>
      </c>
      <c r="U1165" s="338"/>
    </row>
    <row r="1166" spans="1:22" s="163" customFormat="1">
      <c r="A1166" s="281" t="s">
        <v>5261</v>
      </c>
      <c r="B1166" s="281"/>
      <c r="C1166" s="281" t="s">
        <v>3825</v>
      </c>
      <c r="D1166" s="281">
        <v>8</v>
      </c>
      <c r="E1166" s="281" t="s">
        <v>1283</v>
      </c>
      <c r="F1166" s="281" t="s">
        <v>5261</v>
      </c>
      <c r="G1166" s="284"/>
      <c r="H1166" s="284"/>
      <c r="I1166" s="284"/>
      <c r="J1166" s="281"/>
      <c r="K1166" s="281"/>
      <c r="L1166" s="281"/>
      <c r="M1166" s="281"/>
      <c r="N1166" s="281"/>
      <c r="O1166" s="281">
        <f t="shared" si="40"/>
        <v>0</v>
      </c>
      <c r="P1166" s="281" t="s">
        <v>5261</v>
      </c>
      <c r="Q1166" s="281" t="s">
        <v>5261</v>
      </c>
      <c r="R1166" s="281">
        <v>14175</v>
      </c>
      <c r="S1166" s="281">
        <v>14145</v>
      </c>
      <c r="T1166" s="406">
        <v>14145</v>
      </c>
      <c r="U1166" s="556">
        <v>30</v>
      </c>
    </row>
    <row r="1167" spans="1:22" s="163" customFormat="1">
      <c r="A1167" s="281" t="s">
        <v>4266</v>
      </c>
      <c r="B1167" s="281"/>
      <c r="C1167" s="281" t="s">
        <v>1532</v>
      </c>
      <c r="D1167" s="281">
        <v>7</v>
      </c>
      <c r="E1167" s="281" t="s">
        <v>1283</v>
      </c>
      <c r="F1167" s="281" t="s">
        <v>4266</v>
      </c>
      <c r="G1167" s="284"/>
      <c r="H1167" s="284"/>
      <c r="I1167" s="284"/>
      <c r="J1167" s="281"/>
      <c r="K1167" s="281"/>
      <c r="L1167" s="281"/>
      <c r="M1167" s="281"/>
      <c r="N1167" s="281"/>
      <c r="O1167" s="281">
        <f t="shared" si="40"/>
        <v>0</v>
      </c>
      <c r="P1167" s="281" t="s">
        <v>4266</v>
      </c>
      <c r="Q1167" s="281" t="s">
        <v>4266</v>
      </c>
      <c r="R1167" s="281">
        <v>13500</v>
      </c>
      <c r="S1167" s="281">
        <v>13485</v>
      </c>
      <c r="T1167" s="406">
        <v>13485</v>
      </c>
      <c r="U1167" s="556">
        <v>15</v>
      </c>
    </row>
    <row r="1168" spans="1:22" s="163" customFormat="1">
      <c r="A1168" s="281" t="s">
        <v>4610</v>
      </c>
      <c r="B1168" s="281"/>
      <c r="C1168" s="281" t="s">
        <v>1264</v>
      </c>
      <c r="D1168" s="340" t="s">
        <v>4810</v>
      </c>
      <c r="E1168" s="281" t="s">
        <v>1283</v>
      </c>
      <c r="F1168" s="281" t="s">
        <v>4610</v>
      </c>
      <c r="G1168" s="284"/>
      <c r="H1168" s="284"/>
      <c r="I1168" s="284"/>
      <c r="J1168" s="281"/>
      <c r="K1168" s="281"/>
      <c r="L1168" s="281"/>
      <c r="M1168" s="281"/>
      <c r="N1168" s="281"/>
      <c r="O1168" s="281">
        <f t="shared" si="40"/>
        <v>0</v>
      </c>
      <c r="P1168" s="281" t="s">
        <v>4610</v>
      </c>
      <c r="Q1168" s="281" t="s">
        <v>4610</v>
      </c>
      <c r="R1168" s="281">
        <v>11340</v>
      </c>
      <c r="S1168" s="281">
        <v>11340</v>
      </c>
      <c r="T1168" s="405">
        <v>11340</v>
      </c>
      <c r="U1168" s="284"/>
      <c r="V1168" s="163" t="s">
        <v>4760</v>
      </c>
    </row>
    <row r="1169" spans="1:22" s="163" customFormat="1">
      <c r="A1169" s="281" t="s">
        <v>5266</v>
      </c>
      <c r="B1169" s="281"/>
      <c r="C1169" s="281" t="s">
        <v>1532</v>
      </c>
      <c r="D1169" s="281">
        <v>8</v>
      </c>
      <c r="E1169" s="281" t="s">
        <v>1283</v>
      </c>
      <c r="F1169" s="281" t="s">
        <v>5266</v>
      </c>
      <c r="G1169" s="284"/>
      <c r="H1169" s="284"/>
      <c r="I1169" s="284"/>
      <c r="J1169" s="281"/>
      <c r="K1169" s="281"/>
      <c r="L1169" s="281"/>
      <c r="M1169" s="281"/>
      <c r="N1169" s="281"/>
      <c r="O1169" s="281">
        <f t="shared" si="40"/>
        <v>0</v>
      </c>
      <c r="P1169" s="281" t="s">
        <v>5266</v>
      </c>
      <c r="Q1169" s="281" t="s">
        <v>5266</v>
      </c>
      <c r="R1169" s="281">
        <v>13500</v>
      </c>
      <c r="S1169" s="281">
        <v>13485</v>
      </c>
      <c r="T1169" s="406">
        <v>13485</v>
      </c>
      <c r="U1169" s="556">
        <v>15</v>
      </c>
    </row>
    <row r="1170" spans="1:22" s="163" customFormat="1">
      <c r="A1170" s="281" t="s">
        <v>4802</v>
      </c>
      <c r="B1170" s="281"/>
      <c r="C1170" s="281" t="s">
        <v>2421</v>
      </c>
      <c r="D1170" s="281">
        <v>5</v>
      </c>
      <c r="E1170" s="281" t="s">
        <v>1283</v>
      </c>
      <c r="F1170" s="281" t="s">
        <v>4802</v>
      </c>
      <c r="G1170" s="284"/>
      <c r="H1170" s="284"/>
      <c r="I1170" s="284"/>
      <c r="J1170" s="281"/>
      <c r="K1170" s="281"/>
      <c r="L1170" s="281"/>
      <c r="M1170" s="281"/>
      <c r="N1170" s="281"/>
      <c r="O1170" s="281">
        <f t="shared" si="40"/>
        <v>0</v>
      </c>
      <c r="P1170" s="281" t="s">
        <v>4802</v>
      </c>
      <c r="Q1170" s="281" t="s">
        <v>4802</v>
      </c>
      <c r="R1170" s="281">
        <v>14175</v>
      </c>
      <c r="S1170" s="281">
        <v>14165</v>
      </c>
      <c r="T1170" s="406">
        <v>14165</v>
      </c>
      <c r="U1170" s="556">
        <v>10</v>
      </c>
      <c r="V1170" s="281"/>
    </row>
    <row r="1171" spans="1:22" s="163" customFormat="1">
      <c r="A1171" s="281" t="s">
        <v>5262</v>
      </c>
      <c r="B1171" s="281"/>
      <c r="C1171" s="281" t="s">
        <v>456</v>
      </c>
      <c r="D1171" s="281">
        <v>8</v>
      </c>
      <c r="E1171" s="281" t="s">
        <v>1283</v>
      </c>
      <c r="F1171" s="281" t="s">
        <v>5262</v>
      </c>
      <c r="G1171" s="284"/>
      <c r="H1171" s="284"/>
      <c r="I1171" s="284"/>
      <c r="J1171" s="281"/>
      <c r="K1171" s="281"/>
      <c r="L1171" s="281"/>
      <c r="M1171" s="281"/>
      <c r="N1171" s="281"/>
      <c r="O1171" s="281">
        <f t="shared" si="40"/>
        <v>0</v>
      </c>
      <c r="P1171" s="281" t="s">
        <v>5262</v>
      </c>
      <c r="Q1171" s="281" t="s">
        <v>5262</v>
      </c>
      <c r="R1171" s="281">
        <v>13230</v>
      </c>
      <c r="S1171" s="281">
        <v>13230</v>
      </c>
      <c r="T1171" s="406">
        <v>13230</v>
      </c>
      <c r="U1171" s="338"/>
    </row>
    <row r="1172" spans="1:22" s="163" customFormat="1">
      <c r="A1172" s="281" t="s">
        <v>5267</v>
      </c>
      <c r="B1172" s="281"/>
      <c r="C1172" s="281" t="s">
        <v>2421</v>
      </c>
      <c r="D1172" s="281">
        <v>6</v>
      </c>
      <c r="E1172" s="281" t="s">
        <v>1283</v>
      </c>
      <c r="F1172" s="281" t="s">
        <v>5267</v>
      </c>
      <c r="G1172" s="284"/>
      <c r="H1172" s="284"/>
      <c r="I1172" s="284"/>
      <c r="J1172" s="281"/>
      <c r="K1172" s="281"/>
      <c r="L1172" s="281"/>
      <c r="M1172" s="281"/>
      <c r="N1172" s="281"/>
      <c r="O1172" s="281">
        <f t="shared" si="40"/>
        <v>0</v>
      </c>
      <c r="P1172" s="281" t="s">
        <v>5267</v>
      </c>
      <c r="Q1172" s="281" t="s">
        <v>5267</v>
      </c>
      <c r="R1172" s="281">
        <v>14175</v>
      </c>
      <c r="S1172" s="281">
        <v>14165</v>
      </c>
      <c r="T1172" s="406">
        <v>14165</v>
      </c>
      <c r="U1172" s="556">
        <v>10</v>
      </c>
      <c r="V1172" s="281"/>
    </row>
    <row r="1173" spans="1:22" s="163" customFormat="1">
      <c r="A1173" s="281" t="s">
        <v>5268</v>
      </c>
      <c r="B1173" s="281"/>
      <c r="C1173" s="281" t="s">
        <v>3825</v>
      </c>
      <c r="D1173" s="281">
        <v>1</v>
      </c>
      <c r="E1173" s="281" t="s">
        <v>1283</v>
      </c>
      <c r="F1173" s="281" t="s">
        <v>5268</v>
      </c>
      <c r="G1173" s="284"/>
      <c r="H1173" s="284"/>
      <c r="I1173" s="284"/>
      <c r="J1173" s="281"/>
      <c r="K1173" s="281"/>
      <c r="L1173" s="281"/>
      <c r="M1173" s="281"/>
      <c r="N1173" s="281"/>
      <c r="O1173" s="281">
        <f t="shared" si="40"/>
        <v>0</v>
      </c>
      <c r="P1173" s="281" t="s">
        <v>5268</v>
      </c>
      <c r="Q1173" s="281" t="s">
        <v>5268</v>
      </c>
      <c r="R1173" s="281">
        <v>14175</v>
      </c>
      <c r="S1173" s="281">
        <v>14145</v>
      </c>
      <c r="T1173" s="406">
        <v>14145</v>
      </c>
      <c r="U1173" s="556">
        <v>30</v>
      </c>
    </row>
    <row r="1174" spans="1:22" s="163" customFormat="1">
      <c r="A1174" s="281" t="s">
        <v>5270</v>
      </c>
      <c r="B1174" s="281"/>
      <c r="C1174" s="281" t="s">
        <v>1264</v>
      </c>
      <c r="D1174" s="340" t="s">
        <v>4111</v>
      </c>
      <c r="E1174" s="281" t="s">
        <v>1283</v>
      </c>
      <c r="F1174" s="281" t="s">
        <v>5270</v>
      </c>
      <c r="G1174" s="284"/>
      <c r="H1174" s="284"/>
      <c r="I1174" s="284"/>
      <c r="J1174" s="281"/>
      <c r="K1174" s="281"/>
      <c r="L1174" s="281"/>
      <c r="M1174" s="281"/>
      <c r="N1174" s="281"/>
      <c r="O1174" s="281">
        <f t="shared" si="40"/>
        <v>0</v>
      </c>
      <c r="P1174" s="281" t="s">
        <v>5270</v>
      </c>
      <c r="Q1174" s="281" t="s">
        <v>5270</v>
      </c>
      <c r="R1174" s="281">
        <v>45360</v>
      </c>
      <c r="S1174" s="281">
        <v>45360</v>
      </c>
      <c r="T1174" s="405">
        <v>45360</v>
      </c>
      <c r="U1174" s="284"/>
      <c r="V1174" s="163" t="s">
        <v>4760</v>
      </c>
    </row>
    <row r="1175" spans="1:22" s="163" customFormat="1">
      <c r="A1175" s="281" t="s">
        <v>5281</v>
      </c>
      <c r="B1175" s="281"/>
      <c r="C1175" s="281" t="s">
        <v>4204</v>
      </c>
      <c r="D1175" s="281"/>
      <c r="E1175" s="281" t="s">
        <v>1283</v>
      </c>
      <c r="F1175" s="281" t="s">
        <v>5281</v>
      </c>
      <c r="G1175" s="284"/>
      <c r="H1175" s="284"/>
      <c r="I1175" s="284"/>
      <c r="J1175" s="281"/>
      <c r="K1175" s="281"/>
      <c r="L1175" s="281"/>
      <c r="M1175" s="281"/>
      <c r="N1175" s="281"/>
      <c r="O1175" s="281">
        <f t="shared" si="40"/>
        <v>0</v>
      </c>
      <c r="P1175" s="281" t="s">
        <v>5281</v>
      </c>
      <c r="Q1175" s="281" t="s">
        <v>5281</v>
      </c>
      <c r="R1175" s="281">
        <v>75600</v>
      </c>
      <c r="S1175" s="281">
        <v>75600</v>
      </c>
      <c r="T1175" s="406">
        <v>75600</v>
      </c>
      <c r="U1175" s="281"/>
      <c r="V1175" s="163" t="s">
        <v>4762</v>
      </c>
    </row>
    <row r="1176" spans="1:22" s="163" customFormat="1">
      <c r="A1176" s="281" t="s">
        <v>5284</v>
      </c>
      <c r="B1176" s="281"/>
      <c r="C1176" s="281" t="s">
        <v>3825</v>
      </c>
      <c r="D1176" s="281">
        <v>2</v>
      </c>
      <c r="E1176" s="281" t="s">
        <v>1283</v>
      </c>
      <c r="F1176" s="281" t="s">
        <v>5284</v>
      </c>
      <c r="G1176" s="284"/>
      <c r="H1176" s="284"/>
      <c r="I1176" s="284"/>
      <c r="J1176" s="281"/>
      <c r="K1176" s="281"/>
      <c r="L1176" s="281"/>
      <c r="M1176" s="281"/>
      <c r="N1176" s="281"/>
      <c r="O1176" s="281">
        <f t="shared" si="40"/>
        <v>0</v>
      </c>
      <c r="P1176" s="281" t="s">
        <v>5284</v>
      </c>
      <c r="Q1176" s="281" t="s">
        <v>5284</v>
      </c>
      <c r="R1176" s="281">
        <v>14175</v>
      </c>
      <c r="S1176" s="281">
        <v>14145</v>
      </c>
      <c r="T1176" s="406">
        <v>14145</v>
      </c>
      <c r="U1176" s="556">
        <v>30</v>
      </c>
    </row>
    <row r="1177" spans="1:22" s="163" customFormat="1">
      <c r="A1177" s="281" t="s">
        <v>5263</v>
      </c>
      <c r="B1177" s="281"/>
      <c r="C1177" s="281" t="s">
        <v>456</v>
      </c>
      <c r="D1177" s="281">
        <v>1</v>
      </c>
      <c r="E1177" s="281" t="s">
        <v>1283</v>
      </c>
      <c r="F1177" s="281" t="s">
        <v>5263</v>
      </c>
      <c r="G1177" s="284"/>
      <c r="H1177" s="284"/>
      <c r="I1177" s="284"/>
      <c r="J1177" s="281"/>
      <c r="K1177" s="281"/>
      <c r="L1177" s="281"/>
      <c r="M1177" s="281"/>
      <c r="N1177" s="281"/>
      <c r="O1177" s="281">
        <f t="shared" si="40"/>
        <v>0</v>
      </c>
      <c r="P1177" s="281" t="s">
        <v>5263</v>
      </c>
      <c r="Q1177" s="281" t="s">
        <v>5263</v>
      </c>
      <c r="R1177" s="281">
        <v>13230</v>
      </c>
      <c r="S1177" s="281">
        <v>13230</v>
      </c>
      <c r="T1177" s="406">
        <v>13230</v>
      </c>
      <c r="U1177" s="338"/>
    </row>
    <row r="1178" spans="1:22" s="163" customFormat="1">
      <c r="A1178" s="281" t="s">
        <v>5285</v>
      </c>
      <c r="B1178" s="281"/>
      <c r="C1178" s="281" t="s">
        <v>4094</v>
      </c>
      <c r="D1178" s="281">
        <v>7</v>
      </c>
      <c r="E1178" s="281" t="s">
        <v>1283</v>
      </c>
      <c r="F1178" s="281" t="s">
        <v>5285</v>
      </c>
      <c r="G1178" s="284"/>
      <c r="H1178" s="284"/>
      <c r="I1178" s="284"/>
      <c r="J1178" s="281"/>
      <c r="K1178" s="281"/>
      <c r="L1178" s="281"/>
      <c r="M1178" s="281"/>
      <c r="N1178" s="281"/>
      <c r="O1178" s="281">
        <f t="shared" si="40"/>
        <v>0</v>
      </c>
      <c r="P1178" s="281" t="s">
        <v>5285</v>
      </c>
      <c r="Q1178" s="281" t="s">
        <v>5285</v>
      </c>
      <c r="R1178" s="281">
        <v>4410</v>
      </c>
      <c r="S1178" s="281">
        <v>4410</v>
      </c>
      <c r="T1178" s="406">
        <v>4410</v>
      </c>
      <c r="U1178" s="338"/>
      <c r="V1178" s="163" t="s">
        <v>5286</v>
      </c>
    </row>
    <row r="1179" spans="1:22" s="163" customFormat="1">
      <c r="A1179" s="281" t="s">
        <v>5287</v>
      </c>
      <c r="B1179" s="281"/>
      <c r="C1179" s="281" t="s">
        <v>2421</v>
      </c>
      <c r="D1179" s="281">
        <v>7</v>
      </c>
      <c r="E1179" s="281" t="s">
        <v>1283</v>
      </c>
      <c r="F1179" s="281" t="s">
        <v>5287</v>
      </c>
      <c r="G1179" s="284"/>
      <c r="H1179" s="284"/>
      <c r="I1179" s="284"/>
      <c r="J1179" s="281"/>
      <c r="K1179" s="281"/>
      <c r="L1179" s="281"/>
      <c r="M1179" s="281"/>
      <c r="N1179" s="281"/>
      <c r="O1179" s="281">
        <f t="shared" si="40"/>
        <v>0</v>
      </c>
      <c r="P1179" s="281" t="s">
        <v>5287</v>
      </c>
      <c r="Q1179" s="281" t="s">
        <v>5287</v>
      </c>
      <c r="R1179" s="281">
        <v>14175</v>
      </c>
      <c r="S1179" s="281">
        <v>14165</v>
      </c>
      <c r="T1179" s="406">
        <v>14165</v>
      </c>
      <c r="U1179" s="556">
        <v>10</v>
      </c>
      <c r="V1179" s="281"/>
    </row>
    <row r="1180" spans="1:22" s="163" customFormat="1">
      <c r="A1180" s="281" t="s">
        <v>4293</v>
      </c>
      <c r="B1180" s="281"/>
      <c r="C1180" s="281" t="s">
        <v>1532</v>
      </c>
      <c r="D1180" s="281">
        <v>1</v>
      </c>
      <c r="E1180" s="281" t="s">
        <v>1283</v>
      </c>
      <c r="F1180" s="281" t="s">
        <v>4293</v>
      </c>
      <c r="G1180" s="284"/>
      <c r="H1180" s="284"/>
      <c r="I1180" s="284"/>
      <c r="J1180" s="281"/>
      <c r="K1180" s="281"/>
      <c r="L1180" s="281"/>
      <c r="M1180" s="281"/>
      <c r="N1180" s="281"/>
      <c r="O1180" s="281">
        <f t="shared" si="40"/>
        <v>0</v>
      </c>
      <c r="P1180" s="281" t="s">
        <v>4293</v>
      </c>
      <c r="Q1180" s="281" t="s">
        <v>4293</v>
      </c>
      <c r="R1180" s="281">
        <v>13500</v>
      </c>
      <c r="S1180" s="281">
        <v>13485</v>
      </c>
      <c r="T1180" s="406">
        <v>13485</v>
      </c>
      <c r="U1180" s="556">
        <v>15</v>
      </c>
    </row>
    <row r="1181" spans="1:22" s="163" customFormat="1">
      <c r="A1181" s="281" t="s">
        <v>5288</v>
      </c>
      <c r="B1181" s="281"/>
      <c r="C1181" s="281" t="s">
        <v>4094</v>
      </c>
      <c r="D1181" s="281">
        <v>8</v>
      </c>
      <c r="E1181" s="281" t="s">
        <v>1283</v>
      </c>
      <c r="F1181" s="281" t="s">
        <v>5288</v>
      </c>
      <c r="G1181" s="284"/>
      <c r="H1181" s="284"/>
      <c r="I1181" s="284"/>
      <c r="J1181" s="281"/>
      <c r="K1181" s="281"/>
      <c r="L1181" s="281"/>
      <c r="M1181" s="281"/>
      <c r="N1181" s="281"/>
      <c r="O1181" s="281">
        <f t="shared" si="40"/>
        <v>0</v>
      </c>
      <c r="P1181" s="281" t="s">
        <v>5288</v>
      </c>
      <c r="Q1181" s="281" t="s">
        <v>5288</v>
      </c>
      <c r="R1181" s="281">
        <v>4410</v>
      </c>
      <c r="S1181" s="281">
        <v>4410</v>
      </c>
      <c r="T1181" s="406">
        <v>4410</v>
      </c>
      <c r="U1181" s="338"/>
      <c r="V1181" s="163" t="s">
        <v>5286</v>
      </c>
    </row>
    <row r="1182" spans="1:22" s="163" customFormat="1">
      <c r="A1182" s="281" t="s">
        <v>5289</v>
      </c>
      <c r="B1182" s="281"/>
      <c r="C1182" s="281" t="s">
        <v>4201</v>
      </c>
      <c r="D1182" s="281"/>
      <c r="E1182" s="281" t="s">
        <v>1283</v>
      </c>
      <c r="F1182" s="281" t="s">
        <v>5289</v>
      </c>
      <c r="G1182" s="284"/>
      <c r="H1182" s="284"/>
      <c r="I1182" s="284"/>
      <c r="J1182" s="281"/>
      <c r="K1182" s="281"/>
      <c r="L1182" s="281"/>
      <c r="M1182" s="281"/>
      <c r="N1182" s="281"/>
      <c r="O1182" s="281">
        <f t="shared" si="40"/>
        <v>0</v>
      </c>
      <c r="P1182" s="281" t="s">
        <v>5289</v>
      </c>
      <c r="Q1182" s="281" t="s">
        <v>5289</v>
      </c>
      <c r="R1182" s="281">
        <v>113400</v>
      </c>
      <c r="S1182" s="281">
        <v>113390</v>
      </c>
      <c r="T1182" s="406">
        <v>113390</v>
      </c>
      <c r="U1182" s="624">
        <v>10</v>
      </c>
      <c r="V1182" s="163" t="s">
        <v>4778</v>
      </c>
    </row>
    <row r="1183" spans="1:22" s="163" customFormat="1">
      <c r="A1183" s="281" t="s">
        <v>5292</v>
      </c>
      <c r="B1183" s="281"/>
      <c r="C1183" s="281" t="s">
        <v>4094</v>
      </c>
      <c r="D1183" s="281">
        <v>9</v>
      </c>
      <c r="E1183" s="281" t="s">
        <v>1283</v>
      </c>
      <c r="F1183" s="281" t="s">
        <v>5292</v>
      </c>
      <c r="G1183" s="284"/>
      <c r="H1183" s="284"/>
      <c r="I1183" s="284"/>
      <c r="J1183" s="281"/>
      <c r="K1183" s="281"/>
      <c r="L1183" s="281"/>
      <c r="M1183" s="281"/>
      <c r="N1183" s="281"/>
      <c r="O1183" s="281">
        <f t="shared" si="40"/>
        <v>0</v>
      </c>
      <c r="P1183" s="281" t="s">
        <v>5292</v>
      </c>
      <c r="Q1183" s="281" t="s">
        <v>5292</v>
      </c>
      <c r="R1183" s="281">
        <v>4410</v>
      </c>
      <c r="S1183" s="281">
        <v>4410</v>
      </c>
      <c r="T1183" s="406">
        <v>4410</v>
      </c>
      <c r="U1183" s="338"/>
      <c r="V1183" s="163" t="s">
        <v>5286</v>
      </c>
    </row>
    <row r="1184" spans="1:22" s="163" customFormat="1">
      <c r="A1184" s="281" t="s">
        <v>5290</v>
      </c>
      <c r="B1184" s="281"/>
      <c r="C1184" s="281" t="s">
        <v>4000</v>
      </c>
      <c r="D1184" s="281"/>
      <c r="E1184" s="281" t="s">
        <v>1283</v>
      </c>
      <c r="F1184" s="281" t="s">
        <v>5290</v>
      </c>
      <c r="G1184" s="284"/>
      <c r="H1184" s="284"/>
      <c r="I1184" s="284"/>
      <c r="J1184" s="281"/>
      <c r="K1184" s="281"/>
      <c r="L1184" s="281"/>
      <c r="M1184" s="281"/>
      <c r="N1184" s="281"/>
      <c r="O1184" s="281">
        <f t="shared" si="40"/>
        <v>0</v>
      </c>
      <c r="P1184" s="281" t="s">
        <v>5290</v>
      </c>
      <c r="Q1184" s="281" t="s">
        <v>5290</v>
      </c>
      <c r="R1184" s="281">
        <v>113400</v>
      </c>
      <c r="S1184" s="281">
        <v>113390</v>
      </c>
      <c r="T1184" s="406">
        <v>113390</v>
      </c>
      <c r="U1184" s="624">
        <v>10</v>
      </c>
      <c r="V1184" s="163" t="s">
        <v>5291</v>
      </c>
    </row>
    <row r="1185" spans="1:22" s="163" customFormat="1">
      <c r="A1185" s="281" t="s">
        <v>5293</v>
      </c>
      <c r="B1185" s="281"/>
      <c r="C1185" s="281" t="s">
        <v>3825</v>
      </c>
      <c r="D1185" s="281">
        <v>3</v>
      </c>
      <c r="E1185" s="281" t="s">
        <v>1283</v>
      </c>
      <c r="F1185" s="281" t="s">
        <v>5293</v>
      </c>
      <c r="G1185" s="284"/>
      <c r="H1185" s="284"/>
      <c r="I1185" s="284"/>
      <c r="J1185" s="281"/>
      <c r="K1185" s="281"/>
      <c r="L1185" s="281"/>
      <c r="M1185" s="281"/>
      <c r="N1185" s="281"/>
      <c r="O1185" s="281">
        <f t="shared" si="40"/>
        <v>0</v>
      </c>
      <c r="P1185" s="281" t="s">
        <v>5293</v>
      </c>
      <c r="Q1185" s="281" t="s">
        <v>5293</v>
      </c>
      <c r="R1185" s="281">
        <v>14175</v>
      </c>
      <c r="S1185" s="281">
        <v>14165</v>
      </c>
      <c r="T1185" s="406">
        <v>14165</v>
      </c>
      <c r="U1185" s="556">
        <v>10</v>
      </c>
    </row>
    <row r="1186" spans="1:22">
      <c r="A1186" s="165" t="s">
        <v>5296</v>
      </c>
      <c r="B1186" s="94">
        <v>1176</v>
      </c>
      <c r="C1186" s="165" t="s">
        <v>4271</v>
      </c>
      <c r="D1186" s="165">
        <v>1</v>
      </c>
      <c r="E1186" s="165" t="s">
        <v>5297</v>
      </c>
      <c r="F1186" s="165" t="s">
        <v>5296</v>
      </c>
      <c r="G1186" s="165"/>
      <c r="H1186" s="165">
        <v>20475</v>
      </c>
      <c r="I1186" s="165"/>
      <c r="J1186" s="165"/>
      <c r="K1186" s="165">
        <v>20475</v>
      </c>
      <c r="L1186" s="165"/>
      <c r="M1186" s="165"/>
      <c r="N1186" s="165"/>
      <c r="O1186" s="337">
        <f t="shared" si="40"/>
        <v>0</v>
      </c>
      <c r="P1186" s="165" t="s">
        <v>5298</v>
      </c>
      <c r="Q1186" s="165" t="s">
        <v>5299</v>
      </c>
      <c r="R1186" s="3">
        <f t="shared" ref="R1186:R1197" si="41">H1186</f>
        <v>20475</v>
      </c>
      <c r="S1186" s="337">
        <v>20475</v>
      </c>
      <c r="T1186"/>
      <c r="U1186" s="3"/>
    </row>
    <row r="1187" spans="1:22">
      <c r="A1187" s="165" t="s">
        <v>5296</v>
      </c>
      <c r="B1187" s="94">
        <v>1177</v>
      </c>
      <c r="C1187" s="165" t="s">
        <v>4271</v>
      </c>
      <c r="D1187" s="165">
        <v>2</v>
      </c>
      <c r="E1187" s="165" t="s">
        <v>5300</v>
      </c>
      <c r="F1187" s="165" t="s">
        <v>4797</v>
      </c>
      <c r="G1187" s="165"/>
      <c r="H1187" s="165">
        <v>20475</v>
      </c>
      <c r="I1187" s="165"/>
      <c r="J1187" s="165"/>
      <c r="K1187" s="165">
        <v>20475</v>
      </c>
      <c r="L1187" s="165"/>
      <c r="M1187" s="165"/>
      <c r="N1187" s="165"/>
      <c r="O1187" s="337">
        <f t="shared" si="40"/>
        <v>0</v>
      </c>
      <c r="P1187" s="165" t="s">
        <v>4797</v>
      </c>
      <c r="Q1187" s="165" t="s">
        <v>4798</v>
      </c>
      <c r="R1187" s="3">
        <f t="shared" si="41"/>
        <v>20475</v>
      </c>
      <c r="S1187" s="337">
        <v>20475</v>
      </c>
      <c r="T1187"/>
      <c r="U1187" s="3"/>
    </row>
    <row r="1188" spans="1:22">
      <c r="A1188" s="165" t="s">
        <v>5296</v>
      </c>
      <c r="B1188" s="94">
        <v>1178</v>
      </c>
      <c r="C1188" s="165" t="s">
        <v>4271</v>
      </c>
      <c r="D1188" s="165">
        <v>3</v>
      </c>
      <c r="E1188" s="165" t="s">
        <v>5301</v>
      </c>
      <c r="F1188" s="165" t="s">
        <v>5303</v>
      </c>
      <c r="G1188" s="165"/>
      <c r="H1188" s="165">
        <v>20475</v>
      </c>
      <c r="I1188" s="165"/>
      <c r="J1188" s="165"/>
      <c r="K1188" s="165">
        <v>20475</v>
      </c>
      <c r="L1188" s="165"/>
      <c r="M1188" s="165"/>
      <c r="N1188" s="165"/>
      <c r="O1188" s="337">
        <f t="shared" si="40"/>
        <v>0</v>
      </c>
      <c r="P1188" s="165" t="s">
        <v>5488</v>
      </c>
      <c r="Q1188" s="165" t="s">
        <v>5303</v>
      </c>
      <c r="R1188" s="3">
        <f t="shared" si="41"/>
        <v>20475</v>
      </c>
      <c r="S1188" s="337">
        <v>20475</v>
      </c>
      <c r="T1188"/>
      <c r="U1188" s="3"/>
    </row>
    <row r="1189" spans="1:22">
      <c r="A1189" s="165" t="s">
        <v>5296</v>
      </c>
      <c r="B1189" s="94">
        <v>1179</v>
      </c>
      <c r="C1189" s="165" t="s">
        <v>4271</v>
      </c>
      <c r="D1189" s="165">
        <v>4</v>
      </c>
      <c r="E1189" s="165" t="s">
        <v>5302</v>
      </c>
      <c r="F1189" s="165" t="s">
        <v>5304</v>
      </c>
      <c r="G1189" s="165"/>
      <c r="H1189" s="165">
        <v>20475</v>
      </c>
      <c r="I1189" s="165"/>
      <c r="J1189" s="165"/>
      <c r="K1189" s="165">
        <v>20475</v>
      </c>
      <c r="L1189" s="165"/>
      <c r="M1189" s="165"/>
      <c r="N1189" s="165"/>
      <c r="O1189" s="337">
        <f t="shared" si="40"/>
        <v>0</v>
      </c>
      <c r="P1189" s="165" t="s">
        <v>5263</v>
      </c>
      <c r="Q1189" s="165" t="s">
        <v>5549</v>
      </c>
      <c r="R1189" s="3">
        <f t="shared" si="41"/>
        <v>20475</v>
      </c>
      <c r="S1189" s="337">
        <v>20475</v>
      </c>
      <c r="T1189"/>
      <c r="U1189" s="3"/>
    </row>
    <row r="1190" spans="1:22">
      <c r="A1190" s="165" t="s">
        <v>4072</v>
      </c>
      <c r="B1190" s="94">
        <v>1180</v>
      </c>
      <c r="C1190" s="165" t="s">
        <v>5184</v>
      </c>
      <c r="D1190" s="165">
        <v>1</v>
      </c>
      <c r="E1190" s="165" t="s">
        <v>5305</v>
      </c>
      <c r="F1190" s="165" t="s">
        <v>5296</v>
      </c>
      <c r="G1190" s="165"/>
      <c r="H1190" s="165">
        <v>14175</v>
      </c>
      <c r="I1190" s="165"/>
      <c r="J1190" s="165"/>
      <c r="K1190" s="165">
        <v>14175</v>
      </c>
      <c r="L1190" s="165"/>
      <c r="M1190" s="165"/>
      <c r="N1190" s="165"/>
      <c r="O1190" s="337">
        <f t="shared" si="40"/>
        <v>0</v>
      </c>
      <c r="P1190" s="165" t="s">
        <v>5298</v>
      </c>
      <c r="Q1190" s="165" t="s">
        <v>5299</v>
      </c>
      <c r="R1190" s="3">
        <f t="shared" si="41"/>
        <v>14175</v>
      </c>
      <c r="S1190" s="337">
        <v>14175</v>
      </c>
      <c r="T1190"/>
      <c r="U1190" s="3"/>
    </row>
    <row r="1191" spans="1:22">
      <c r="A1191" s="165" t="s">
        <v>4072</v>
      </c>
      <c r="B1191" s="94">
        <v>1181</v>
      </c>
      <c r="C1191" s="165" t="s">
        <v>5184</v>
      </c>
      <c r="D1191" s="165">
        <v>2</v>
      </c>
      <c r="E1191" s="165" t="s">
        <v>5306</v>
      </c>
      <c r="F1191" s="165" t="s">
        <v>4797</v>
      </c>
      <c r="G1191" s="165"/>
      <c r="H1191" s="165">
        <v>14175</v>
      </c>
      <c r="I1191" s="165"/>
      <c r="J1191" s="165"/>
      <c r="K1191" s="165">
        <v>14175</v>
      </c>
      <c r="L1191" s="165"/>
      <c r="M1191" s="165"/>
      <c r="N1191" s="165"/>
      <c r="O1191" s="337">
        <f t="shared" si="40"/>
        <v>0</v>
      </c>
      <c r="P1191" s="165" t="s">
        <v>4797</v>
      </c>
      <c r="Q1191" s="165" t="s">
        <v>4798</v>
      </c>
      <c r="R1191" s="3">
        <f t="shared" si="41"/>
        <v>14175</v>
      </c>
      <c r="S1191" s="337">
        <v>14175</v>
      </c>
      <c r="T1191"/>
      <c r="U1191" s="3"/>
    </row>
    <row r="1192" spans="1:22">
      <c r="A1192" s="165" t="s">
        <v>4072</v>
      </c>
      <c r="B1192" s="94">
        <v>1182</v>
      </c>
      <c r="C1192" s="165" t="s">
        <v>5184</v>
      </c>
      <c r="D1192" s="165">
        <v>3</v>
      </c>
      <c r="E1192" s="165" t="s">
        <v>5307</v>
      </c>
      <c r="F1192" s="165" t="s">
        <v>5303</v>
      </c>
      <c r="G1192" s="165"/>
      <c r="H1192" s="165">
        <v>14175</v>
      </c>
      <c r="I1192" s="165"/>
      <c r="J1192" s="165"/>
      <c r="K1192" s="165">
        <v>14175</v>
      </c>
      <c r="L1192" s="165"/>
      <c r="M1192" s="165"/>
      <c r="N1192" s="165"/>
      <c r="O1192" s="337">
        <f t="shared" si="40"/>
        <v>0</v>
      </c>
      <c r="P1192" s="165" t="s">
        <v>5488</v>
      </c>
      <c r="Q1192" s="165" t="s">
        <v>5303</v>
      </c>
      <c r="R1192" s="3">
        <f t="shared" si="41"/>
        <v>14175</v>
      </c>
      <c r="S1192" s="337">
        <v>14175</v>
      </c>
      <c r="T1192"/>
      <c r="U1192" s="3"/>
    </row>
    <row r="1193" spans="1:22">
      <c r="A1193" s="165" t="s">
        <v>4072</v>
      </c>
      <c r="B1193" s="94">
        <v>1183</v>
      </c>
      <c r="C1193" s="165" t="s">
        <v>5184</v>
      </c>
      <c r="D1193" s="165">
        <v>4</v>
      </c>
      <c r="E1193" s="165" t="s">
        <v>5308</v>
      </c>
      <c r="F1193" s="165" t="s">
        <v>5304</v>
      </c>
      <c r="G1193" s="165"/>
      <c r="H1193" s="165">
        <v>14175</v>
      </c>
      <c r="I1193" s="165"/>
      <c r="J1193" s="165"/>
      <c r="K1193" s="165">
        <v>14175</v>
      </c>
      <c r="L1193" s="165"/>
      <c r="M1193" s="165"/>
      <c r="N1193" s="165"/>
      <c r="O1193" s="337">
        <f t="shared" si="40"/>
        <v>0</v>
      </c>
      <c r="P1193" s="165" t="s">
        <v>5263</v>
      </c>
      <c r="Q1193" s="165" t="s">
        <v>5549</v>
      </c>
      <c r="R1193" s="3">
        <f t="shared" si="41"/>
        <v>14175</v>
      </c>
      <c r="S1193" s="337">
        <v>14175</v>
      </c>
      <c r="T1193"/>
      <c r="U1193" s="3"/>
    </row>
    <row r="1194" spans="1:22">
      <c r="A1194" s="165" t="s">
        <v>4072</v>
      </c>
      <c r="B1194" s="94">
        <v>1184</v>
      </c>
      <c r="C1194" s="165" t="s">
        <v>5184</v>
      </c>
      <c r="D1194" s="165">
        <v>5</v>
      </c>
      <c r="E1194" s="165" t="s">
        <v>5309</v>
      </c>
      <c r="F1194" s="165" t="s">
        <v>5316</v>
      </c>
      <c r="G1194" s="165"/>
      <c r="H1194" s="165">
        <v>14175</v>
      </c>
      <c r="I1194" s="165"/>
      <c r="J1194" s="165"/>
      <c r="K1194" s="165"/>
      <c r="L1194" s="165">
        <v>14175</v>
      </c>
      <c r="M1194" s="165"/>
      <c r="N1194" s="165"/>
      <c r="O1194" s="337">
        <f t="shared" si="40"/>
        <v>0</v>
      </c>
      <c r="P1194" s="165" t="s">
        <v>5605</v>
      </c>
      <c r="Q1194" s="165" t="s">
        <v>5605</v>
      </c>
      <c r="R1194" s="3">
        <f t="shared" si="41"/>
        <v>14175</v>
      </c>
      <c r="S1194" s="337">
        <v>14175</v>
      </c>
      <c r="T1194"/>
      <c r="U1194" s="3"/>
    </row>
    <row r="1195" spans="1:22">
      <c r="A1195" s="165" t="s">
        <v>4072</v>
      </c>
      <c r="B1195" s="94">
        <v>1185</v>
      </c>
      <c r="C1195" s="165" t="s">
        <v>5184</v>
      </c>
      <c r="D1195" s="165">
        <v>6</v>
      </c>
      <c r="E1195" s="165" t="s">
        <v>5310</v>
      </c>
      <c r="F1195" s="165" t="s">
        <v>5315</v>
      </c>
      <c r="G1195" s="165"/>
      <c r="H1195" s="165">
        <v>14175</v>
      </c>
      <c r="I1195" s="165"/>
      <c r="J1195" s="165"/>
      <c r="K1195" s="165"/>
      <c r="L1195" s="165">
        <v>14175</v>
      </c>
      <c r="M1195" s="165"/>
      <c r="N1195" s="165"/>
      <c r="O1195" s="337">
        <f t="shared" si="40"/>
        <v>0</v>
      </c>
      <c r="P1195" s="165" t="s">
        <v>5315</v>
      </c>
      <c r="Q1195" s="165" t="s">
        <v>5315</v>
      </c>
      <c r="R1195" s="3">
        <f t="shared" si="41"/>
        <v>14175</v>
      </c>
      <c r="S1195" s="337">
        <v>14175</v>
      </c>
      <c r="T1195"/>
      <c r="U1195" s="3"/>
    </row>
    <row r="1196" spans="1:22">
      <c r="A1196" s="165" t="s">
        <v>4072</v>
      </c>
      <c r="B1196" s="94">
        <v>1186</v>
      </c>
      <c r="C1196" s="165" t="s">
        <v>5184</v>
      </c>
      <c r="D1196" s="165">
        <v>7</v>
      </c>
      <c r="E1196" s="165" t="s">
        <v>5311</v>
      </c>
      <c r="F1196" s="165" t="s">
        <v>5314</v>
      </c>
      <c r="G1196" s="165"/>
      <c r="H1196" s="165">
        <v>14175</v>
      </c>
      <c r="I1196" s="165"/>
      <c r="J1196" s="165"/>
      <c r="K1196" s="165"/>
      <c r="L1196" s="165">
        <v>14175</v>
      </c>
      <c r="M1196" s="165"/>
      <c r="N1196" s="165"/>
      <c r="O1196" s="337">
        <f t="shared" si="40"/>
        <v>0</v>
      </c>
      <c r="P1196" s="165" t="s">
        <v>9677</v>
      </c>
      <c r="Q1196" s="165" t="s">
        <v>9677</v>
      </c>
      <c r="R1196" s="3">
        <f t="shared" si="41"/>
        <v>14175</v>
      </c>
      <c r="S1196" s="337">
        <v>14175</v>
      </c>
      <c r="T1196"/>
      <c r="U1196" s="3"/>
    </row>
    <row r="1197" spans="1:22">
      <c r="A1197" s="165" t="s">
        <v>4072</v>
      </c>
      <c r="B1197" s="94">
        <v>1187</v>
      </c>
      <c r="C1197" s="165" t="s">
        <v>5184</v>
      </c>
      <c r="D1197" s="165">
        <v>8</v>
      </c>
      <c r="E1197" s="165" t="s">
        <v>5312</v>
      </c>
      <c r="F1197" s="165" t="s">
        <v>5313</v>
      </c>
      <c r="G1197" s="165"/>
      <c r="H1197" s="165">
        <v>14175</v>
      </c>
      <c r="I1197" s="165"/>
      <c r="J1197" s="165"/>
      <c r="K1197" s="165"/>
      <c r="L1197" s="165">
        <v>14175</v>
      </c>
      <c r="M1197" s="165"/>
      <c r="N1197" s="165"/>
      <c r="O1197" s="337">
        <f t="shared" si="40"/>
        <v>0</v>
      </c>
      <c r="P1197" s="165" t="s">
        <v>9681</v>
      </c>
      <c r="Q1197" s="165" t="s">
        <v>9681</v>
      </c>
      <c r="R1197" s="3">
        <f t="shared" si="41"/>
        <v>14175</v>
      </c>
      <c r="S1197" s="337">
        <v>14175</v>
      </c>
      <c r="T1197"/>
      <c r="U1197" s="3"/>
    </row>
    <row r="1198" spans="1:22">
      <c r="A1198" s="165" t="s">
        <v>4266</v>
      </c>
      <c r="B1198" s="94">
        <v>1188</v>
      </c>
      <c r="C1198" s="165" t="s">
        <v>4056</v>
      </c>
      <c r="D1198" s="165">
        <v>1</v>
      </c>
      <c r="E1198" s="165" t="s">
        <v>5324</v>
      </c>
      <c r="F1198" s="165" t="s">
        <v>4110</v>
      </c>
      <c r="G1198" s="165"/>
      <c r="H1198" s="165">
        <v>20475</v>
      </c>
      <c r="I1198" s="165"/>
      <c r="J1198" s="165">
        <v>20475</v>
      </c>
      <c r="K1198" s="165"/>
      <c r="L1198" s="165"/>
      <c r="M1198" s="165"/>
      <c r="N1198" s="165"/>
      <c r="O1198" s="337">
        <f t="shared" si="40"/>
        <v>0</v>
      </c>
      <c r="P1198" s="165" t="s">
        <v>4651</v>
      </c>
      <c r="Q1198" s="165" t="s">
        <v>4793</v>
      </c>
      <c r="R1198" s="3">
        <f t="shared" ref="R1198:R1205" si="42">G1198+H1198+I1198</f>
        <v>20475</v>
      </c>
      <c r="S1198" s="165">
        <v>20475</v>
      </c>
      <c r="T1198"/>
      <c r="U1198" s="3"/>
      <c r="V1198" s="271" t="s">
        <v>2740</v>
      </c>
    </row>
    <row r="1199" spans="1:22">
      <c r="A1199" s="165" t="s">
        <v>4266</v>
      </c>
      <c r="B1199" s="94">
        <v>1189</v>
      </c>
      <c r="C1199" s="165" t="s">
        <v>4056</v>
      </c>
      <c r="D1199" s="165">
        <v>2</v>
      </c>
      <c r="E1199" s="165" t="s">
        <v>5326</v>
      </c>
      <c r="F1199" s="165" t="s">
        <v>4213</v>
      </c>
      <c r="G1199" s="165"/>
      <c r="H1199" s="165">
        <v>20475</v>
      </c>
      <c r="I1199" s="165"/>
      <c r="J1199" s="165"/>
      <c r="K1199" s="165">
        <v>20475</v>
      </c>
      <c r="L1199" s="165"/>
      <c r="M1199" s="165"/>
      <c r="N1199" s="165"/>
      <c r="O1199" s="337">
        <f t="shared" si="40"/>
        <v>0</v>
      </c>
      <c r="P1199" s="165" t="s">
        <v>4806</v>
      </c>
      <c r="Q1199" s="165" t="s">
        <v>4213</v>
      </c>
      <c r="R1199" s="3">
        <f t="shared" si="42"/>
        <v>20475</v>
      </c>
      <c r="S1199" s="165">
        <v>20475</v>
      </c>
      <c r="T1199"/>
      <c r="U1199" s="3"/>
      <c r="V1199" s="271" t="s">
        <v>2740</v>
      </c>
    </row>
    <row r="1200" spans="1:22">
      <c r="A1200" s="165" t="s">
        <v>4266</v>
      </c>
      <c r="B1200" s="94">
        <v>1190</v>
      </c>
      <c r="C1200" s="165" t="s">
        <v>4056</v>
      </c>
      <c r="D1200" s="165">
        <v>3</v>
      </c>
      <c r="E1200" s="165" t="s">
        <v>5327</v>
      </c>
      <c r="F1200" s="165" t="s">
        <v>4735</v>
      </c>
      <c r="G1200" s="165"/>
      <c r="H1200" s="165">
        <v>20475</v>
      </c>
      <c r="I1200" s="165"/>
      <c r="J1200" s="165"/>
      <c r="K1200" s="165">
        <v>20475</v>
      </c>
      <c r="L1200" s="165"/>
      <c r="M1200" s="165"/>
      <c r="N1200" s="165"/>
      <c r="O1200" s="337">
        <f t="shared" si="40"/>
        <v>0</v>
      </c>
      <c r="P1200" s="165" t="s">
        <v>5500</v>
      </c>
      <c r="Q1200" s="165" t="s">
        <v>4735</v>
      </c>
      <c r="R1200" s="3">
        <f t="shared" si="42"/>
        <v>20475</v>
      </c>
      <c r="S1200" s="165">
        <v>20475</v>
      </c>
      <c r="T1200"/>
      <c r="U1200" s="3"/>
      <c r="V1200" s="271" t="s">
        <v>2740</v>
      </c>
    </row>
    <row r="1201" spans="1:22">
      <c r="A1201" s="165" t="s">
        <v>4266</v>
      </c>
      <c r="B1201" s="94">
        <v>1191</v>
      </c>
      <c r="C1201" s="165" t="s">
        <v>4056</v>
      </c>
      <c r="D1201" s="165">
        <v>4</v>
      </c>
      <c r="E1201" s="165" t="s">
        <v>5328</v>
      </c>
      <c r="F1201" s="165" t="s">
        <v>4736</v>
      </c>
      <c r="G1201" s="165"/>
      <c r="H1201" s="165">
        <v>20475</v>
      </c>
      <c r="I1201" s="165"/>
      <c r="J1201" s="165"/>
      <c r="K1201" s="165">
        <v>20475</v>
      </c>
      <c r="L1201" s="165"/>
      <c r="M1201" s="165"/>
      <c r="N1201" s="165"/>
      <c r="O1201" s="337">
        <f t="shared" si="40"/>
        <v>0</v>
      </c>
      <c r="P1201" s="165" t="s">
        <v>5551</v>
      </c>
      <c r="Q1201" s="165" t="s">
        <v>5552</v>
      </c>
      <c r="R1201" s="3">
        <f t="shared" si="42"/>
        <v>20475</v>
      </c>
      <c r="S1201" s="165">
        <v>20475</v>
      </c>
      <c r="T1201"/>
      <c r="U1201" s="3"/>
      <c r="V1201" s="271" t="s">
        <v>2740</v>
      </c>
    </row>
    <row r="1202" spans="1:22">
      <c r="A1202" s="165" t="s">
        <v>4266</v>
      </c>
      <c r="B1202" s="94">
        <v>1192</v>
      </c>
      <c r="C1202" s="165" t="s">
        <v>4056</v>
      </c>
      <c r="D1202" s="165">
        <v>5</v>
      </c>
      <c r="E1202" s="165" t="s">
        <v>5329</v>
      </c>
      <c r="F1202" s="165" t="s">
        <v>5541</v>
      </c>
      <c r="G1202" s="165"/>
      <c r="H1202" s="165"/>
      <c r="I1202" s="165">
        <v>20475</v>
      </c>
      <c r="J1202" s="165"/>
      <c r="K1202" s="165"/>
      <c r="L1202" s="165">
        <v>20475</v>
      </c>
      <c r="M1202" s="165"/>
      <c r="N1202" s="165"/>
      <c r="O1202" s="337">
        <f t="shared" si="40"/>
        <v>0</v>
      </c>
      <c r="P1202" s="165" t="s">
        <v>5612</v>
      </c>
      <c r="Q1202" s="165" t="s">
        <v>5612</v>
      </c>
      <c r="R1202" s="3">
        <f t="shared" si="42"/>
        <v>20475</v>
      </c>
      <c r="S1202" s="165">
        <v>20475</v>
      </c>
      <c r="T1202"/>
      <c r="U1202" s="3"/>
      <c r="V1202" s="271" t="s">
        <v>2740</v>
      </c>
    </row>
    <row r="1203" spans="1:22">
      <c r="A1203" s="165" t="s">
        <v>4266</v>
      </c>
      <c r="B1203" s="94">
        <v>1193</v>
      </c>
      <c r="C1203" s="165" t="s">
        <v>4056</v>
      </c>
      <c r="D1203" s="165">
        <v>6</v>
      </c>
      <c r="E1203" s="165" t="s">
        <v>5330</v>
      </c>
      <c r="F1203" s="165" t="s">
        <v>4737</v>
      </c>
      <c r="G1203" s="165"/>
      <c r="H1203" s="165"/>
      <c r="I1203" s="165">
        <v>20475</v>
      </c>
      <c r="J1203" s="165"/>
      <c r="K1203" s="165"/>
      <c r="L1203" s="165">
        <v>20475</v>
      </c>
      <c r="M1203" s="165"/>
      <c r="N1203" s="165"/>
      <c r="O1203" s="337">
        <f t="shared" si="40"/>
        <v>0</v>
      </c>
      <c r="P1203" s="165" t="s">
        <v>4737</v>
      </c>
      <c r="Q1203" s="165" t="s">
        <v>4737</v>
      </c>
      <c r="R1203" s="3">
        <f t="shared" si="42"/>
        <v>20475</v>
      </c>
      <c r="S1203" s="165">
        <v>20475</v>
      </c>
      <c r="T1203"/>
      <c r="U1203" s="3"/>
      <c r="V1203" s="271" t="s">
        <v>2740</v>
      </c>
    </row>
    <row r="1204" spans="1:22">
      <c r="A1204" s="165" t="s">
        <v>4266</v>
      </c>
      <c r="B1204" s="94">
        <v>1194</v>
      </c>
      <c r="C1204" s="165" t="s">
        <v>4056</v>
      </c>
      <c r="D1204" s="165">
        <v>7</v>
      </c>
      <c r="E1204" s="165" t="s">
        <v>5331</v>
      </c>
      <c r="F1204" s="165" t="s">
        <v>4738</v>
      </c>
      <c r="G1204" s="165"/>
      <c r="H1204" s="165"/>
      <c r="I1204" s="165">
        <v>20475</v>
      </c>
      <c r="J1204" s="165"/>
      <c r="K1204" s="165"/>
      <c r="L1204" s="165">
        <v>20475</v>
      </c>
      <c r="M1204" s="165"/>
      <c r="N1204" s="165"/>
      <c r="O1204" s="337">
        <f t="shared" si="40"/>
        <v>0</v>
      </c>
      <c r="P1204" s="165" t="s">
        <v>9775</v>
      </c>
      <c r="Q1204" s="165" t="s">
        <v>9775</v>
      </c>
      <c r="R1204" s="3">
        <f t="shared" si="42"/>
        <v>20475</v>
      </c>
      <c r="S1204" s="165">
        <v>20475</v>
      </c>
      <c r="T1204"/>
      <c r="U1204" s="3"/>
      <c r="V1204" s="271" t="s">
        <v>2740</v>
      </c>
    </row>
    <row r="1205" spans="1:22">
      <c r="A1205" s="165" t="s">
        <v>4266</v>
      </c>
      <c r="B1205" s="94">
        <v>1195</v>
      </c>
      <c r="C1205" s="165" t="s">
        <v>4056</v>
      </c>
      <c r="D1205" s="165">
        <v>8</v>
      </c>
      <c r="E1205" s="165" t="s">
        <v>5332</v>
      </c>
      <c r="F1205" s="165" t="s">
        <v>5325</v>
      </c>
      <c r="G1205" s="165"/>
      <c r="H1205" s="165"/>
      <c r="I1205" s="165">
        <v>20475</v>
      </c>
      <c r="J1205" s="165"/>
      <c r="K1205" s="165"/>
      <c r="L1205" s="165">
        <v>20475</v>
      </c>
      <c r="M1205" s="165"/>
      <c r="N1205" s="165"/>
      <c r="O1205" s="337">
        <f t="shared" si="40"/>
        <v>0</v>
      </c>
      <c r="P1205" s="165" t="s">
        <v>8837</v>
      </c>
      <c r="Q1205" s="165" t="s">
        <v>8837</v>
      </c>
      <c r="R1205" s="3">
        <f t="shared" si="42"/>
        <v>20475</v>
      </c>
      <c r="S1205" s="165">
        <v>20475</v>
      </c>
      <c r="T1205"/>
      <c r="U1205" s="3"/>
      <c r="V1205" s="271" t="s">
        <v>2740</v>
      </c>
    </row>
    <row r="1206" spans="1:22">
      <c r="A1206" s="165" t="s">
        <v>5319</v>
      </c>
      <c r="B1206" s="94">
        <v>1196</v>
      </c>
      <c r="C1206" s="165" t="s">
        <v>5320</v>
      </c>
      <c r="D1206" s="165">
        <v>1</v>
      </c>
      <c r="E1206" s="165" t="s">
        <v>5321</v>
      </c>
      <c r="F1206" s="165" t="s">
        <v>4108</v>
      </c>
      <c r="G1206" s="165">
        <v>14175</v>
      </c>
      <c r="H1206" s="165"/>
      <c r="I1206" s="165"/>
      <c r="J1206" s="165"/>
      <c r="K1206" s="165">
        <v>14175</v>
      </c>
      <c r="L1206" s="165"/>
      <c r="M1206" s="165"/>
      <c r="N1206" s="165"/>
      <c r="O1206" s="337">
        <f t="shared" si="40"/>
        <v>0</v>
      </c>
      <c r="P1206" s="165" t="s">
        <v>4651</v>
      </c>
      <c r="Q1206" s="165" t="s">
        <v>4793</v>
      </c>
      <c r="R1206" s="3">
        <f t="shared" ref="R1206:R1269" si="43">H1206</f>
        <v>0</v>
      </c>
      <c r="S1206" s="337">
        <v>14175</v>
      </c>
      <c r="T1206"/>
      <c r="U1206" s="3"/>
    </row>
    <row r="1207" spans="1:22">
      <c r="A1207" s="165" t="s">
        <v>5319</v>
      </c>
      <c r="B1207" s="94">
        <v>1197</v>
      </c>
      <c r="C1207" s="165" t="s">
        <v>5320</v>
      </c>
      <c r="D1207" s="165">
        <v>2</v>
      </c>
      <c r="E1207" s="165" t="s">
        <v>5322</v>
      </c>
      <c r="F1207" s="165" t="s">
        <v>4110</v>
      </c>
      <c r="G1207" s="165">
        <v>14175</v>
      </c>
      <c r="H1207" s="165"/>
      <c r="I1207" s="165"/>
      <c r="J1207" s="165"/>
      <c r="K1207" s="165">
        <v>14175</v>
      </c>
      <c r="L1207" s="165"/>
      <c r="M1207" s="165"/>
      <c r="N1207" s="165"/>
      <c r="O1207" s="337">
        <f t="shared" si="40"/>
        <v>0</v>
      </c>
      <c r="P1207" s="165" t="s">
        <v>4651</v>
      </c>
      <c r="Q1207" s="165" t="s">
        <v>4793</v>
      </c>
      <c r="R1207" s="3">
        <f t="shared" si="43"/>
        <v>0</v>
      </c>
      <c r="S1207" s="337">
        <v>14175</v>
      </c>
      <c r="T1207"/>
      <c r="U1207" s="3"/>
    </row>
    <row r="1208" spans="1:22">
      <c r="A1208" s="165" t="s">
        <v>5350</v>
      </c>
      <c r="B1208" s="94">
        <v>1198</v>
      </c>
      <c r="C1208" s="165" t="s">
        <v>1232</v>
      </c>
      <c r="D1208" s="165">
        <v>12</v>
      </c>
      <c r="E1208" s="165" t="s">
        <v>5351</v>
      </c>
      <c r="F1208" s="165" t="s">
        <v>4797</v>
      </c>
      <c r="G1208" s="165"/>
      <c r="H1208" s="165">
        <v>16380</v>
      </c>
      <c r="I1208" s="165"/>
      <c r="J1208" s="165"/>
      <c r="K1208" s="165">
        <v>16380</v>
      </c>
      <c r="L1208" s="165"/>
      <c r="M1208" s="165"/>
      <c r="N1208" s="165"/>
      <c r="O1208" s="337">
        <f t="shared" si="40"/>
        <v>0</v>
      </c>
      <c r="P1208" s="165" t="s">
        <v>5352</v>
      </c>
      <c r="Q1208" s="165" t="s">
        <v>4798</v>
      </c>
      <c r="R1208" s="3">
        <f t="shared" si="43"/>
        <v>16380</v>
      </c>
      <c r="S1208" s="337">
        <v>16380</v>
      </c>
      <c r="T1208" s="337"/>
      <c r="U1208" s="3"/>
    </row>
    <row r="1209" spans="1:22">
      <c r="A1209" s="165" t="s">
        <v>4795</v>
      </c>
      <c r="B1209" s="94">
        <v>1199</v>
      </c>
      <c r="C1209" s="165" t="s">
        <v>5189</v>
      </c>
      <c r="D1209" s="165">
        <v>1</v>
      </c>
      <c r="E1209" s="165" t="s">
        <v>5334</v>
      </c>
      <c r="F1209" s="165" t="s">
        <v>5335</v>
      </c>
      <c r="G1209" s="165"/>
      <c r="H1209" s="165">
        <v>13500</v>
      </c>
      <c r="I1209" s="165"/>
      <c r="J1209" s="165"/>
      <c r="K1209" s="165">
        <v>13500</v>
      </c>
      <c r="L1209" s="165"/>
      <c r="M1209" s="165"/>
      <c r="N1209" s="165"/>
      <c r="O1209" s="337">
        <f t="shared" si="40"/>
        <v>0</v>
      </c>
      <c r="P1209" s="165" t="s">
        <v>4797</v>
      </c>
      <c r="Q1209" s="165" t="s">
        <v>4798</v>
      </c>
      <c r="R1209" s="3">
        <f t="shared" si="43"/>
        <v>13500</v>
      </c>
      <c r="S1209" s="337">
        <v>13500</v>
      </c>
      <c r="T1209"/>
      <c r="U1209" s="3"/>
    </row>
    <row r="1210" spans="1:22">
      <c r="A1210" s="165" t="s">
        <v>4795</v>
      </c>
      <c r="B1210" s="94">
        <v>1200</v>
      </c>
      <c r="C1210" s="165" t="s">
        <v>5189</v>
      </c>
      <c r="D1210" s="165">
        <v>2</v>
      </c>
      <c r="E1210" s="165" t="s">
        <v>5336</v>
      </c>
      <c r="F1210" s="165" t="s">
        <v>4194</v>
      </c>
      <c r="G1210" s="165"/>
      <c r="H1210" s="165">
        <v>13500</v>
      </c>
      <c r="I1210" s="165"/>
      <c r="J1210" s="165"/>
      <c r="K1210" s="338">
        <v>13500</v>
      </c>
      <c r="L1210" s="338"/>
      <c r="M1210" s="165"/>
      <c r="N1210" s="165"/>
      <c r="O1210" s="337">
        <f t="shared" si="40"/>
        <v>0</v>
      </c>
      <c r="P1210" s="165" t="s">
        <v>4806</v>
      </c>
      <c r="Q1210" s="165" t="s">
        <v>4194</v>
      </c>
      <c r="R1210" s="3">
        <f t="shared" si="43"/>
        <v>13500</v>
      </c>
      <c r="S1210" s="337">
        <v>13500</v>
      </c>
      <c r="T1210"/>
      <c r="U1210" s="3"/>
    </row>
    <row r="1211" spans="1:22">
      <c r="A1211" s="165" t="s">
        <v>4795</v>
      </c>
      <c r="B1211" s="94">
        <v>1201</v>
      </c>
      <c r="C1211" s="165" t="s">
        <v>5189</v>
      </c>
      <c r="D1211" s="165">
        <v>3</v>
      </c>
      <c r="E1211" s="165" t="s">
        <v>5337</v>
      </c>
      <c r="F1211" s="165" t="s">
        <v>4226</v>
      </c>
      <c r="G1211" s="165"/>
      <c r="H1211" s="165">
        <v>13500</v>
      </c>
      <c r="I1211" s="165"/>
      <c r="J1211" s="165"/>
      <c r="K1211" s="338">
        <v>13500</v>
      </c>
      <c r="L1211" s="338"/>
      <c r="M1211" s="165"/>
      <c r="N1211" s="165"/>
      <c r="O1211" s="337">
        <f t="shared" si="40"/>
        <v>0</v>
      </c>
      <c r="P1211" s="165" t="s">
        <v>5500</v>
      </c>
      <c r="Q1211" s="165" t="s">
        <v>4226</v>
      </c>
      <c r="R1211" s="3">
        <f t="shared" si="43"/>
        <v>13500</v>
      </c>
      <c r="S1211" s="337">
        <v>13500</v>
      </c>
      <c r="T1211"/>
      <c r="U1211" s="3"/>
    </row>
    <row r="1212" spans="1:22">
      <c r="A1212" s="165" t="s">
        <v>4795</v>
      </c>
      <c r="B1212" s="94">
        <v>1202</v>
      </c>
      <c r="C1212" s="165" t="s">
        <v>5189</v>
      </c>
      <c r="D1212" s="165">
        <v>4</v>
      </c>
      <c r="E1212" s="165" t="s">
        <v>5338</v>
      </c>
      <c r="F1212" s="165" t="s">
        <v>4624</v>
      </c>
      <c r="G1212" s="165"/>
      <c r="H1212" s="165">
        <v>13500</v>
      </c>
      <c r="I1212" s="165"/>
      <c r="J1212" s="165"/>
      <c r="K1212" s="338">
        <v>13500</v>
      </c>
      <c r="L1212" s="338"/>
      <c r="M1212" s="165"/>
      <c r="N1212" s="165"/>
      <c r="O1212" s="337">
        <f t="shared" si="40"/>
        <v>0</v>
      </c>
      <c r="P1212" s="165" t="s">
        <v>5551</v>
      </c>
      <c r="Q1212" s="165" t="s">
        <v>4624</v>
      </c>
      <c r="R1212" s="3">
        <f t="shared" si="43"/>
        <v>13500</v>
      </c>
      <c r="S1212" s="337">
        <v>13500</v>
      </c>
      <c r="T1212"/>
      <c r="U1212" s="3"/>
    </row>
    <row r="1213" spans="1:22">
      <c r="A1213" s="165" t="s">
        <v>4795</v>
      </c>
      <c r="B1213" s="94">
        <v>1203</v>
      </c>
      <c r="C1213" s="165" t="s">
        <v>5189</v>
      </c>
      <c r="D1213" s="165">
        <v>5</v>
      </c>
      <c r="E1213" s="165" t="s">
        <v>5339</v>
      </c>
      <c r="F1213" s="165" t="s">
        <v>4625</v>
      </c>
      <c r="G1213" s="165"/>
      <c r="H1213" s="165">
        <v>13500</v>
      </c>
      <c r="I1213" s="165"/>
      <c r="J1213" s="165"/>
      <c r="K1213" s="338"/>
      <c r="L1213" s="338">
        <v>13500</v>
      </c>
      <c r="M1213" s="165"/>
      <c r="N1213" s="165"/>
      <c r="O1213" s="337">
        <f t="shared" si="40"/>
        <v>0</v>
      </c>
      <c r="P1213" s="165" t="s">
        <v>4655</v>
      </c>
      <c r="Q1213" s="165" t="s">
        <v>4655</v>
      </c>
      <c r="R1213" s="3">
        <f t="shared" si="43"/>
        <v>13500</v>
      </c>
      <c r="S1213" s="337">
        <v>13500</v>
      </c>
      <c r="T1213"/>
      <c r="U1213" s="3"/>
    </row>
    <row r="1214" spans="1:22">
      <c r="A1214" s="165" t="s">
        <v>4795</v>
      </c>
      <c r="B1214" s="94">
        <v>1204</v>
      </c>
      <c r="C1214" s="165" t="s">
        <v>5189</v>
      </c>
      <c r="D1214" s="165">
        <v>6</v>
      </c>
      <c r="E1214" s="165" t="s">
        <v>5340</v>
      </c>
      <c r="F1214" s="165" t="s">
        <v>5347</v>
      </c>
      <c r="G1214" s="165"/>
      <c r="H1214" s="165">
        <v>13500</v>
      </c>
      <c r="I1214" s="165"/>
      <c r="J1214" s="165"/>
      <c r="K1214" s="338"/>
      <c r="L1214" s="338">
        <v>13500</v>
      </c>
      <c r="M1214" s="165"/>
      <c r="N1214" s="165"/>
      <c r="O1214" s="337">
        <f t="shared" si="40"/>
        <v>0</v>
      </c>
      <c r="P1214" s="165" t="s">
        <v>5347</v>
      </c>
      <c r="Q1214" s="165" t="s">
        <v>5347</v>
      </c>
      <c r="R1214" s="3">
        <f t="shared" si="43"/>
        <v>13500</v>
      </c>
      <c r="S1214" s="337">
        <v>13500</v>
      </c>
      <c r="T1214"/>
      <c r="U1214" s="3"/>
    </row>
    <row r="1215" spans="1:22">
      <c r="A1215" s="165" t="s">
        <v>4795</v>
      </c>
      <c r="B1215" s="94">
        <v>1205</v>
      </c>
      <c r="C1215" s="165" t="s">
        <v>5189</v>
      </c>
      <c r="D1215" s="165">
        <v>7</v>
      </c>
      <c r="E1215" s="165" t="s">
        <v>5341</v>
      </c>
      <c r="F1215" s="165" t="s">
        <v>5348</v>
      </c>
      <c r="G1215" s="165"/>
      <c r="H1215" s="165">
        <v>13500</v>
      </c>
      <c r="I1215" s="165"/>
      <c r="J1215" s="165"/>
      <c r="K1215" s="338"/>
      <c r="L1215" s="338">
        <v>13500</v>
      </c>
      <c r="M1215" s="165"/>
      <c r="N1215" s="165"/>
      <c r="O1215" s="337">
        <f t="shared" si="40"/>
        <v>0</v>
      </c>
      <c r="P1215" s="165" t="s">
        <v>5348</v>
      </c>
      <c r="Q1215" s="165" t="s">
        <v>5348</v>
      </c>
      <c r="R1215" s="3">
        <f t="shared" si="43"/>
        <v>13500</v>
      </c>
      <c r="S1215" s="337">
        <v>13500</v>
      </c>
      <c r="T1215"/>
      <c r="U1215" s="3"/>
    </row>
    <row r="1216" spans="1:22">
      <c r="A1216" s="165" t="s">
        <v>4795</v>
      </c>
      <c r="B1216" s="94">
        <v>1206</v>
      </c>
      <c r="C1216" s="165" t="s">
        <v>5189</v>
      </c>
      <c r="D1216" s="165">
        <v>8</v>
      </c>
      <c r="E1216" s="165" t="s">
        <v>5342</v>
      </c>
      <c r="F1216" s="165" t="s">
        <v>5349</v>
      </c>
      <c r="G1216" s="165"/>
      <c r="H1216" s="165">
        <v>13500</v>
      </c>
      <c r="I1216" s="165"/>
      <c r="J1216" s="165"/>
      <c r="K1216" s="338"/>
      <c r="L1216" s="338">
        <v>13500</v>
      </c>
      <c r="M1216" s="165"/>
      <c r="N1216" s="165"/>
      <c r="O1216" s="337">
        <f t="shared" si="40"/>
        <v>0</v>
      </c>
      <c r="P1216" s="165" t="s">
        <v>5349</v>
      </c>
      <c r="Q1216" s="165" t="s">
        <v>5349</v>
      </c>
      <c r="R1216" s="3">
        <f t="shared" si="43"/>
        <v>13500</v>
      </c>
      <c r="S1216" s="337">
        <v>13500</v>
      </c>
      <c r="T1216"/>
      <c r="U1216" s="3"/>
    </row>
    <row r="1217" spans="1:23">
      <c r="A1217" s="165" t="s">
        <v>4795</v>
      </c>
      <c r="B1217" s="94">
        <v>1207</v>
      </c>
      <c r="C1217" s="165" t="s">
        <v>4567</v>
      </c>
      <c r="D1217" s="165">
        <v>1</v>
      </c>
      <c r="E1217" s="165" t="s">
        <v>5353</v>
      </c>
      <c r="F1217" s="165" t="s">
        <v>4801</v>
      </c>
      <c r="G1217" s="165"/>
      <c r="H1217" s="165">
        <v>12000</v>
      </c>
      <c r="I1217" s="165"/>
      <c r="J1217" s="165"/>
      <c r="K1217" s="165">
        <v>12000</v>
      </c>
      <c r="L1217" s="165"/>
      <c r="M1217" s="165"/>
      <c r="N1217" s="165"/>
      <c r="O1217" s="337">
        <f t="shared" si="40"/>
        <v>0</v>
      </c>
      <c r="P1217" s="165" t="s">
        <v>4802</v>
      </c>
      <c r="Q1217" s="165" t="s">
        <v>4803</v>
      </c>
      <c r="R1217" s="3">
        <f t="shared" si="43"/>
        <v>12000</v>
      </c>
      <c r="S1217" s="337">
        <v>12000</v>
      </c>
      <c r="T1217"/>
      <c r="U1217" s="3"/>
    </row>
    <row r="1218" spans="1:23">
      <c r="A1218" s="165" t="s">
        <v>4795</v>
      </c>
      <c r="B1218" s="94">
        <v>1208</v>
      </c>
      <c r="C1218" s="165" t="s">
        <v>4567</v>
      </c>
      <c r="D1218" s="165">
        <v>2</v>
      </c>
      <c r="E1218" s="165" t="s">
        <v>5354</v>
      </c>
      <c r="F1218" s="165" t="s">
        <v>5361</v>
      </c>
      <c r="G1218" s="165"/>
      <c r="H1218" s="165">
        <v>12000</v>
      </c>
      <c r="I1218" s="165"/>
      <c r="J1218" s="165"/>
      <c r="K1218" s="338">
        <v>12000</v>
      </c>
      <c r="L1218" s="338"/>
      <c r="M1218" s="165"/>
      <c r="N1218" s="165"/>
      <c r="O1218" s="337">
        <f t="shared" si="40"/>
        <v>0</v>
      </c>
      <c r="P1218" s="165" t="s">
        <v>5488</v>
      </c>
      <c r="Q1218" s="165" t="s">
        <v>5361</v>
      </c>
      <c r="R1218" s="3">
        <f t="shared" si="43"/>
        <v>12000</v>
      </c>
      <c r="S1218" s="337">
        <v>12000</v>
      </c>
      <c r="T1218"/>
      <c r="U1218" s="3"/>
    </row>
    <row r="1219" spans="1:23">
      <c r="A1219" s="165" t="s">
        <v>4795</v>
      </c>
      <c r="B1219" s="94">
        <v>1209</v>
      </c>
      <c r="C1219" s="165" t="s">
        <v>4567</v>
      </c>
      <c r="D1219" s="165">
        <v>3</v>
      </c>
      <c r="E1219" s="165" t="s">
        <v>5355</v>
      </c>
      <c r="F1219" s="165" t="s">
        <v>5362</v>
      </c>
      <c r="G1219" s="165"/>
      <c r="H1219" s="165">
        <v>12000</v>
      </c>
      <c r="I1219" s="165"/>
      <c r="J1219" s="165"/>
      <c r="K1219" s="338">
        <v>12000</v>
      </c>
      <c r="L1219" s="338"/>
      <c r="M1219" s="165"/>
      <c r="N1219" s="165"/>
      <c r="O1219" s="337">
        <f t="shared" si="40"/>
        <v>0</v>
      </c>
      <c r="P1219" s="165" t="s">
        <v>5263</v>
      </c>
      <c r="Q1219" s="165" t="s">
        <v>5362</v>
      </c>
      <c r="R1219" s="3">
        <f t="shared" si="43"/>
        <v>12000</v>
      </c>
      <c r="S1219" s="337">
        <v>12000</v>
      </c>
      <c r="T1219"/>
      <c r="U1219" s="3"/>
    </row>
    <row r="1220" spans="1:23">
      <c r="A1220" s="165" t="s">
        <v>4795</v>
      </c>
      <c r="B1220" s="94">
        <v>1210</v>
      </c>
      <c r="C1220" s="165" t="s">
        <v>4567</v>
      </c>
      <c r="D1220" s="165">
        <v>4</v>
      </c>
      <c r="E1220" s="165" t="s">
        <v>5356</v>
      </c>
      <c r="F1220" s="165" t="s">
        <v>5363</v>
      </c>
      <c r="G1220" s="165"/>
      <c r="H1220" s="165">
        <v>12000</v>
      </c>
      <c r="I1220" s="165"/>
      <c r="J1220" s="165"/>
      <c r="K1220" s="338"/>
      <c r="L1220" s="338">
        <v>12000</v>
      </c>
      <c r="M1220" s="165"/>
      <c r="N1220" s="165"/>
      <c r="O1220" s="337">
        <f t="shared" si="40"/>
        <v>0</v>
      </c>
      <c r="P1220" s="165" t="s">
        <v>9682</v>
      </c>
      <c r="Q1220" s="165" t="s">
        <v>9682</v>
      </c>
      <c r="R1220" s="3">
        <f t="shared" si="43"/>
        <v>12000</v>
      </c>
      <c r="S1220" s="337">
        <v>12000</v>
      </c>
      <c r="T1220"/>
      <c r="U1220" s="3"/>
    </row>
    <row r="1221" spans="1:23">
      <c r="A1221" s="165" t="s">
        <v>4795</v>
      </c>
      <c r="B1221" s="94">
        <v>1211</v>
      </c>
      <c r="C1221" s="165" t="s">
        <v>4567</v>
      </c>
      <c r="D1221" s="165">
        <v>5</v>
      </c>
      <c r="E1221" s="165" t="s">
        <v>5357</v>
      </c>
      <c r="F1221" s="165" t="s">
        <v>5364</v>
      </c>
      <c r="G1221" s="165"/>
      <c r="H1221" s="165">
        <v>12000</v>
      </c>
      <c r="I1221" s="165"/>
      <c r="J1221" s="165"/>
      <c r="K1221" s="338"/>
      <c r="L1221" s="338">
        <v>12000</v>
      </c>
      <c r="M1221" s="165"/>
      <c r="N1221" s="165"/>
      <c r="O1221" s="337">
        <f t="shared" si="40"/>
        <v>0</v>
      </c>
      <c r="P1221" s="165" t="s">
        <v>5364</v>
      </c>
      <c r="Q1221" s="165" t="s">
        <v>5364</v>
      </c>
      <c r="R1221" s="3">
        <f t="shared" si="43"/>
        <v>12000</v>
      </c>
      <c r="S1221" s="337">
        <v>12000</v>
      </c>
      <c r="T1221"/>
      <c r="U1221" s="3"/>
    </row>
    <row r="1222" spans="1:23">
      <c r="A1222" s="165" t="s">
        <v>4795</v>
      </c>
      <c r="B1222" s="94">
        <v>1212</v>
      </c>
      <c r="C1222" s="165" t="s">
        <v>4567</v>
      </c>
      <c r="D1222" s="165">
        <v>6</v>
      </c>
      <c r="E1222" s="165" t="s">
        <v>5358</v>
      </c>
      <c r="F1222" s="165" t="s">
        <v>5365</v>
      </c>
      <c r="G1222" s="165"/>
      <c r="H1222" s="165">
        <v>12000</v>
      </c>
      <c r="I1222" s="165"/>
      <c r="J1222" s="165"/>
      <c r="K1222" s="338"/>
      <c r="L1222" s="338">
        <v>12000</v>
      </c>
      <c r="M1222" s="165"/>
      <c r="N1222" s="165"/>
      <c r="O1222" s="337">
        <f t="shared" si="40"/>
        <v>0</v>
      </c>
      <c r="P1222" s="165" t="s">
        <v>5365</v>
      </c>
      <c r="Q1222" s="165" t="s">
        <v>5365</v>
      </c>
      <c r="R1222" s="3">
        <f t="shared" si="43"/>
        <v>12000</v>
      </c>
      <c r="S1222" s="337">
        <v>12000</v>
      </c>
      <c r="T1222"/>
      <c r="U1222" s="3"/>
    </row>
    <row r="1223" spans="1:23">
      <c r="A1223" s="165" t="s">
        <v>4795</v>
      </c>
      <c r="B1223" s="94">
        <v>1213</v>
      </c>
      <c r="C1223" s="165" t="s">
        <v>4567</v>
      </c>
      <c r="D1223" s="165">
        <v>7</v>
      </c>
      <c r="E1223" s="165" t="s">
        <v>5359</v>
      </c>
      <c r="F1223" s="165" t="s">
        <v>5366</v>
      </c>
      <c r="G1223" s="165"/>
      <c r="H1223" s="165">
        <v>12000</v>
      </c>
      <c r="I1223" s="165"/>
      <c r="J1223" s="165"/>
      <c r="K1223" s="338"/>
      <c r="L1223" s="338">
        <v>12000</v>
      </c>
      <c r="M1223" s="165"/>
      <c r="N1223" s="165"/>
      <c r="O1223" s="337">
        <f t="shared" si="40"/>
        <v>0</v>
      </c>
      <c r="P1223" s="165" t="s">
        <v>8820</v>
      </c>
      <c r="Q1223" s="165" t="s">
        <v>8820</v>
      </c>
      <c r="R1223" s="3">
        <f t="shared" si="43"/>
        <v>12000</v>
      </c>
      <c r="S1223" s="337">
        <v>12000</v>
      </c>
      <c r="T1223"/>
      <c r="U1223" s="3"/>
    </row>
    <row r="1224" spans="1:23">
      <c r="A1224" s="165" t="s">
        <v>4795</v>
      </c>
      <c r="B1224" s="94">
        <v>1214</v>
      </c>
      <c r="C1224" s="165" t="s">
        <v>4567</v>
      </c>
      <c r="D1224" s="165">
        <v>8</v>
      </c>
      <c r="E1224" s="165" t="s">
        <v>5360</v>
      </c>
      <c r="F1224" s="165" t="s">
        <v>5367</v>
      </c>
      <c r="G1224" s="165"/>
      <c r="H1224" s="165">
        <v>12000</v>
      </c>
      <c r="I1224" s="165"/>
      <c r="J1224" s="165"/>
      <c r="K1224" s="338"/>
      <c r="L1224" s="338">
        <v>12000</v>
      </c>
      <c r="M1224" s="165"/>
      <c r="N1224" s="165"/>
      <c r="O1224" s="337">
        <f t="shared" si="40"/>
        <v>0</v>
      </c>
      <c r="P1224" s="165" t="s">
        <v>10802</v>
      </c>
      <c r="Q1224" s="165" t="s">
        <v>5367</v>
      </c>
      <c r="R1224" s="3">
        <f t="shared" si="43"/>
        <v>12000</v>
      </c>
      <c r="S1224" s="337">
        <v>12000</v>
      </c>
      <c r="T1224"/>
      <c r="U1224" s="3"/>
    </row>
    <row r="1225" spans="1:23">
      <c r="A1225" s="165" t="s">
        <v>4796</v>
      </c>
      <c r="B1225" s="94">
        <v>1215</v>
      </c>
      <c r="C1225" s="165" t="s">
        <v>5377</v>
      </c>
      <c r="D1225" s="165">
        <v>1</v>
      </c>
      <c r="E1225" s="165" t="s">
        <v>5378</v>
      </c>
      <c r="F1225" s="165" t="s">
        <v>4289</v>
      </c>
      <c r="G1225" s="165"/>
      <c r="H1225" s="165">
        <v>10800</v>
      </c>
      <c r="I1225" s="165"/>
      <c r="J1225" s="165"/>
      <c r="K1225" s="165">
        <v>10800</v>
      </c>
      <c r="L1225" s="165"/>
      <c r="M1225" s="165"/>
      <c r="N1225" s="165"/>
      <c r="O1225" s="337">
        <f t="shared" si="40"/>
        <v>0</v>
      </c>
      <c r="P1225" s="165" t="s">
        <v>4802</v>
      </c>
      <c r="Q1225" s="165" t="s">
        <v>4804</v>
      </c>
      <c r="R1225" s="3">
        <f t="shared" si="43"/>
        <v>10800</v>
      </c>
      <c r="S1225" s="337">
        <v>10800</v>
      </c>
      <c r="T1225"/>
      <c r="U1225" s="3"/>
      <c r="W1225" s="627" t="s">
        <v>5435</v>
      </c>
    </row>
    <row r="1226" spans="1:23">
      <c r="A1226" s="165" t="s">
        <v>4796</v>
      </c>
      <c r="B1226" s="94">
        <v>1216</v>
      </c>
      <c r="C1226" s="165" t="s">
        <v>5377</v>
      </c>
      <c r="D1226" s="165">
        <v>2</v>
      </c>
      <c r="E1226" s="165" t="s">
        <v>5379</v>
      </c>
      <c r="F1226" s="165" t="s">
        <v>4638</v>
      </c>
      <c r="G1226" s="165"/>
      <c r="H1226" s="165">
        <v>10800</v>
      </c>
      <c r="I1226" s="165"/>
      <c r="J1226" s="165"/>
      <c r="K1226" s="338">
        <v>10800</v>
      </c>
      <c r="L1226" s="338"/>
      <c r="M1226" s="165"/>
      <c r="N1226" s="165"/>
      <c r="O1226" s="337">
        <f t="shared" si="40"/>
        <v>0</v>
      </c>
      <c r="P1226" s="165" t="s">
        <v>5488</v>
      </c>
      <c r="Q1226" s="165" t="s">
        <v>4291</v>
      </c>
      <c r="R1226" s="3">
        <f t="shared" si="43"/>
        <v>10800</v>
      </c>
      <c r="S1226" s="337">
        <v>10800</v>
      </c>
      <c r="T1226"/>
      <c r="U1226" s="3"/>
    </row>
    <row r="1227" spans="1:23">
      <c r="A1227" s="165" t="s">
        <v>4796</v>
      </c>
      <c r="B1227" s="94">
        <v>1217</v>
      </c>
      <c r="C1227" s="165" t="s">
        <v>5377</v>
      </c>
      <c r="D1227" s="165">
        <v>3</v>
      </c>
      <c r="E1227" s="165" t="s">
        <v>5380</v>
      </c>
      <c r="F1227" s="165" t="s">
        <v>4293</v>
      </c>
      <c r="G1227" s="165"/>
      <c r="H1227" s="165">
        <v>10800</v>
      </c>
      <c r="I1227" s="165"/>
      <c r="J1227" s="165"/>
      <c r="K1227" s="338">
        <v>10800</v>
      </c>
      <c r="L1227" s="338"/>
      <c r="M1227" s="165"/>
      <c r="N1227" s="165"/>
      <c r="O1227" s="337">
        <f t="shared" si="40"/>
        <v>0</v>
      </c>
      <c r="P1227" s="165" t="s">
        <v>5263</v>
      </c>
      <c r="Q1227" s="165" t="s">
        <v>4293</v>
      </c>
      <c r="R1227" s="3">
        <f t="shared" si="43"/>
        <v>10800</v>
      </c>
      <c r="S1227" s="337">
        <v>10800</v>
      </c>
      <c r="T1227"/>
      <c r="U1227" s="3"/>
    </row>
    <row r="1228" spans="1:23">
      <c r="A1228" s="165" t="s">
        <v>4796</v>
      </c>
      <c r="B1228" s="94">
        <v>1218</v>
      </c>
      <c r="C1228" s="165" t="s">
        <v>5377</v>
      </c>
      <c r="D1228" s="165">
        <v>4</v>
      </c>
      <c r="E1228" s="165" t="s">
        <v>5381</v>
      </c>
      <c r="F1228" s="165" t="s">
        <v>5386</v>
      </c>
      <c r="G1228" s="165"/>
      <c r="H1228" s="165">
        <v>10800</v>
      </c>
      <c r="I1228" s="165"/>
      <c r="J1228" s="165"/>
      <c r="K1228" s="338"/>
      <c r="L1228" s="338">
        <v>10800</v>
      </c>
      <c r="M1228" s="165"/>
      <c r="N1228" s="165"/>
      <c r="O1228" s="337">
        <f t="shared" ref="O1228:O1291" si="44">G1228+H1228+I1228-J1228-K1228-L1228</f>
        <v>0</v>
      </c>
      <c r="P1228" s="165" t="s">
        <v>4640</v>
      </c>
      <c r="Q1228" s="165" t="s">
        <v>4640</v>
      </c>
      <c r="R1228" s="3">
        <f t="shared" si="43"/>
        <v>10800</v>
      </c>
      <c r="S1228" s="337">
        <v>10800</v>
      </c>
      <c r="T1228"/>
      <c r="U1228" s="3"/>
    </row>
    <row r="1229" spans="1:23">
      <c r="A1229" s="165" t="s">
        <v>4796</v>
      </c>
      <c r="B1229" s="94">
        <v>1219</v>
      </c>
      <c r="C1229" s="165" t="s">
        <v>5377</v>
      </c>
      <c r="D1229" s="165">
        <v>5</v>
      </c>
      <c r="E1229" s="165" t="s">
        <v>5382</v>
      </c>
      <c r="F1229" s="165" t="s">
        <v>4641</v>
      </c>
      <c r="G1229" s="165"/>
      <c r="H1229" s="165">
        <v>10800</v>
      </c>
      <c r="I1229" s="165"/>
      <c r="J1229" s="165"/>
      <c r="K1229" s="338"/>
      <c r="L1229" s="338">
        <v>10800</v>
      </c>
      <c r="M1229" s="165"/>
      <c r="N1229" s="165"/>
      <c r="O1229" s="337">
        <f t="shared" si="44"/>
        <v>0</v>
      </c>
      <c r="P1229" s="165" t="s">
        <v>4641</v>
      </c>
      <c r="Q1229" s="165" t="s">
        <v>4641</v>
      </c>
      <c r="R1229" s="3">
        <f t="shared" si="43"/>
        <v>10800</v>
      </c>
      <c r="S1229" s="337">
        <v>10800</v>
      </c>
      <c r="T1229"/>
      <c r="U1229" s="3"/>
    </row>
    <row r="1230" spans="1:23">
      <c r="A1230" s="165" t="s">
        <v>4796</v>
      </c>
      <c r="B1230" s="94">
        <v>1220</v>
      </c>
      <c r="C1230" s="165" t="s">
        <v>5377</v>
      </c>
      <c r="D1230" s="165">
        <v>6</v>
      </c>
      <c r="E1230" s="165" t="s">
        <v>5383</v>
      </c>
      <c r="F1230" s="165" t="s">
        <v>5387</v>
      </c>
      <c r="G1230" s="165"/>
      <c r="H1230" s="165">
        <v>10800</v>
      </c>
      <c r="I1230" s="165"/>
      <c r="J1230" s="165"/>
      <c r="K1230" s="338"/>
      <c r="L1230" s="338">
        <v>10800</v>
      </c>
      <c r="M1230" s="165"/>
      <c r="N1230" s="165"/>
      <c r="O1230" s="337">
        <f t="shared" si="44"/>
        <v>0</v>
      </c>
      <c r="P1230" s="165" t="s">
        <v>5399</v>
      </c>
      <c r="Q1230" s="165" t="s">
        <v>5399</v>
      </c>
      <c r="R1230" s="3">
        <f t="shared" si="43"/>
        <v>10800</v>
      </c>
      <c r="S1230" s="337">
        <v>10800</v>
      </c>
      <c r="T1230"/>
      <c r="U1230" s="3"/>
    </row>
    <row r="1231" spans="1:23">
      <c r="A1231" s="165" t="s">
        <v>4796</v>
      </c>
      <c r="B1231" s="94">
        <v>1221</v>
      </c>
      <c r="C1231" s="165" t="s">
        <v>5377</v>
      </c>
      <c r="D1231" s="165">
        <v>7</v>
      </c>
      <c r="E1231" s="165" t="s">
        <v>5384</v>
      </c>
      <c r="F1231" s="165" t="s">
        <v>5388</v>
      </c>
      <c r="G1231" s="165"/>
      <c r="H1231" s="165">
        <v>10800</v>
      </c>
      <c r="I1231" s="165"/>
      <c r="J1231" s="165"/>
      <c r="K1231" s="338"/>
      <c r="L1231" s="338">
        <v>10800</v>
      </c>
      <c r="M1231" s="165"/>
      <c r="N1231" s="165"/>
      <c r="O1231" s="337">
        <f t="shared" si="44"/>
        <v>0</v>
      </c>
      <c r="P1231" s="165" t="s">
        <v>5388</v>
      </c>
      <c r="Q1231" s="165" t="s">
        <v>5388</v>
      </c>
      <c r="R1231" s="3">
        <f t="shared" si="43"/>
        <v>10800</v>
      </c>
      <c r="S1231" s="337">
        <v>10800</v>
      </c>
      <c r="T1231"/>
      <c r="U1231" s="3"/>
    </row>
    <row r="1232" spans="1:23">
      <c r="A1232" s="165" t="s">
        <v>4796</v>
      </c>
      <c r="B1232" s="94">
        <v>1222</v>
      </c>
      <c r="C1232" s="165" t="s">
        <v>5377</v>
      </c>
      <c r="D1232" s="165">
        <v>8</v>
      </c>
      <c r="E1232" s="165" t="s">
        <v>5385</v>
      </c>
      <c r="F1232" s="165" t="s">
        <v>5389</v>
      </c>
      <c r="G1232" s="165"/>
      <c r="H1232" s="165">
        <v>10800</v>
      </c>
      <c r="I1232" s="165"/>
      <c r="J1232" s="165"/>
      <c r="K1232" s="338"/>
      <c r="L1232" s="338">
        <v>10800</v>
      </c>
      <c r="M1232" s="165"/>
      <c r="N1232" s="165"/>
      <c r="O1232" s="337">
        <f t="shared" si="44"/>
        <v>0</v>
      </c>
      <c r="P1232" s="165" t="s">
        <v>8883</v>
      </c>
      <c r="Q1232" s="165" t="s">
        <v>5389</v>
      </c>
      <c r="R1232" s="3">
        <f t="shared" si="43"/>
        <v>10800</v>
      </c>
      <c r="S1232" s="337">
        <v>10800</v>
      </c>
      <c r="T1232"/>
      <c r="U1232" s="3"/>
    </row>
    <row r="1233" spans="1:21">
      <c r="A1233" s="165" t="s">
        <v>4798</v>
      </c>
      <c r="B1233" s="94">
        <v>1223</v>
      </c>
      <c r="C1233" s="165" t="s">
        <v>4038</v>
      </c>
      <c r="D1233" s="165">
        <v>1</v>
      </c>
      <c r="E1233" s="165" t="s">
        <v>5437</v>
      </c>
      <c r="F1233" s="165" t="s">
        <v>4268</v>
      </c>
      <c r="G1233" s="165"/>
      <c r="H1233" s="165">
        <v>14175</v>
      </c>
      <c r="I1233" s="165"/>
      <c r="J1233" s="165"/>
      <c r="K1233" s="165">
        <v>14175</v>
      </c>
      <c r="L1233" s="165"/>
      <c r="M1233" s="165"/>
      <c r="N1233" s="165"/>
      <c r="O1233" s="337">
        <f t="shared" si="44"/>
        <v>0</v>
      </c>
      <c r="P1233" s="165" t="s">
        <v>4806</v>
      </c>
      <c r="Q1233" s="165" t="s">
        <v>4268</v>
      </c>
      <c r="R1233" s="3">
        <f t="shared" si="43"/>
        <v>14175</v>
      </c>
      <c r="S1233" s="337">
        <v>14175</v>
      </c>
      <c r="T1233"/>
      <c r="U1233" s="3"/>
    </row>
    <row r="1234" spans="1:21">
      <c r="A1234" s="165" t="s">
        <v>4798</v>
      </c>
      <c r="B1234" s="94">
        <v>1224</v>
      </c>
      <c r="C1234" s="165" t="s">
        <v>4038</v>
      </c>
      <c r="D1234" s="165">
        <v>2</v>
      </c>
      <c r="E1234" s="165" t="s">
        <v>5438</v>
      </c>
      <c r="F1234" s="165" t="s">
        <v>4270</v>
      </c>
      <c r="G1234" s="165"/>
      <c r="H1234" s="165">
        <v>14175</v>
      </c>
      <c r="I1234" s="165"/>
      <c r="J1234" s="165"/>
      <c r="K1234" s="338">
        <v>14175</v>
      </c>
      <c r="L1234" s="338"/>
      <c r="M1234" s="165"/>
      <c r="N1234" s="165"/>
      <c r="O1234" s="337">
        <f t="shared" si="44"/>
        <v>0</v>
      </c>
      <c r="P1234" s="165" t="s">
        <v>5500</v>
      </c>
      <c r="Q1234" s="165" t="s">
        <v>4270</v>
      </c>
      <c r="R1234" s="3">
        <f t="shared" si="43"/>
        <v>14175</v>
      </c>
      <c r="S1234" s="337">
        <v>14175</v>
      </c>
      <c r="T1234"/>
      <c r="U1234" s="3"/>
    </row>
    <row r="1235" spans="1:21">
      <c r="A1235" s="165" t="s">
        <v>4798</v>
      </c>
      <c r="B1235" s="94">
        <v>1225</v>
      </c>
      <c r="C1235" s="165" t="s">
        <v>4038</v>
      </c>
      <c r="D1235" s="165">
        <v>3</v>
      </c>
      <c r="E1235" s="165" t="s">
        <v>5439</v>
      </c>
      <c r="F1235" s="165" t="s">
        <v>5440</v>
      </c>
      <c r="G1235" s="165"/>
      <c r="H1235" s="165">
        <v>14175</v>
      </c>
      <c r="I1235" s="165"/>
      <c r="J1235" s="165"/>
      <c r="K1235" s="338">
        <v>14175</v>
      </c>
      <c r="L1235" s="338"/>
      <c r="M1235" s="165"/>
      <c r="N1235" s="165"/>
      <c r="O1235" s="337">
        <f t="shared" si="44"/>
        <v>0</v>
      </c>
      <c r="P1235" s="165" t="s">
        <v>5551</v>
      </c>
      <c r="Q1235" s="165" t="s">
        <v>5440</v>
      </c>
      <c r="R1235" s="3">
        <f t="shared" si="43"/>
        <v>14175</v>
      </c>
      <c r="S1235" s="337">
        <v>14175</v>
      </c>
      <c r="T1235"/>
      <c r="U1235" s="3"/>
    </row>
    <row r="1236" spans="1:21">
      <c r="A1236" s="165" t="s">
        <v>4798</v>
      </c>
      <c r="B1236" s="94">
        <v>1226</v>
      </c>
      <c r="C1236" s="165" t="s">
        <v>4038</v>
      </c>
      <c r="D1236" s="165">
        <v>4</v>
      </c>
      <c r="E1236" s="165" t="s">
        <v>5441</v>
      </c>
      <c r="F1236" s="165" t="s">
        <v>5446</v>
      </c>
      <c r="G1236" s="165"/>
      <c r="H1236" s="165">
        <v>14175</v>
      </c>
      <c r="I1236" s="165"/>
      <c r="J1236" s="165"/>
      <c r="K1236" s="338"/>
      <c r="L1236" s="338">
        <v>14175</v>
      </c>
      <c r="M1236" s="165"/>
      <c r="N1236" s="165"/>
      <c r="O1236" s="337">
        <f t="shared" si="44"/>
        <v>0</v>
      </c>
      <c r="P1236" s="165" t="s">
        <v>9760</v>
      </c>
      <c r="Q1236" s="165" t="s">
        <v>9760</v>
      </c>
      <c r="R1236" s="3">
        <f t="shared" si="43"/>
        <v>14175</v>
      </c>
      <c r="S1236" s="337">
        <v>14175</v>
      </c>
      <c r="T1236"/>
      <c r="U1236" s="3"/>
    </row>
    <row r="1237" spans="1:21">
      <c r="A1237" s="165" t="s">
        <v>4798</v>
      </c>
      <c r="B1237" s="94">
        <v>1227</v>
      </c>
      <c r="C1237" s="165" t="s">
        <v>4038</v>
      </c>
      <c r="D1237" s="165">
        <v>5</v>
      </c>
      <c r="E1237" s="165" t="s">
        <v>5442</v>
      </c>
      <c r="F1237" s="165" t="s">
        <v>5447</v>
      </c>
      <c r="G1237" s="165"/>
      <c r="H1237" s="165">
        <v>14175</v>
      </c>
      <c r="I1237" s="165"/>
      <c r="J1237" s="165"/>
      <c r="K1237" s="338"/>
      <c r="L1237" s="338">
        <v>14175</v>
      </c>
      <c r="M1237" s="165"/>
      <c r="N1237" s="165"/>
      <c r="O1237" s="337">
        <f t="shared" si="44"/>
        <v>0</v>
      </c>
      <c r="P1237" s="165" t="s">
        <v>5447</v>
      </c>
      <c r="Q1237" s="165" t="s">
        <v>5447</v>
      </c>
      <c r="R1237" s="3">
        <f t="shared" si="43"/>
        <v>14175</v>
      </c>
      <c r="S1237" s="337">
        <v>14175</v>
      </c>
      <c r="T1237"/>
      <c r="U1237" s="3"/>
    </row>
    <row r="1238" spans="1:21">
      <c r="A1238" s="165" t="s">
        <v>4798</v>
      </c>
      <c r="B1238" s="94">
        <v>1228</v>
      </c>
      <c r="C1238" s="165" t="s">
        <v>4038</v>
      </c>
      <c r="D1238" s="165">
        <v>6</v>
      </c>
      <c r="E1238" s="165" t="s">
        <v>5443</v>
      </c>
      <c r="F1238" s="165" t="s">
        <v>5448</v>
      </c>
      <c r="G1238" s="165"/>
      <c r="H1238" s="165">
        <v>14175</v>
      </c>
      <c r="I1238" s="165"/>
      <c r="J1238" s="165"/>
      <c r="K1238" s="338"/>
      <c r="L1238" s="338">
        <v>14175</v>
      </c>
      <c r="M1238" s="165"/>
      <c r="N1238" s="165"/>
      <c r="O1238" s="337">
        <f t="shared" si="44"/>
        <v>0</v>
      </c>
      <c r="P1238" s="165" t="s">
        <v>5448</v>
      </c>
      <c r="Q1238" s="165" t="s">
        <v>5448</v>
      </c>
      <c r="R1238" s="3">
        <f t="shared" si="43"/>
        <v>14175</v>
      </c>
      <c r="S1238" s="337">
        <v>14175</v>
      </c>
      <c r="T1238"/>
      <c r="U1238" s="3"/>
    </row>
    <row r="1239" spans="1:21">
      <c r="A1239" s="165" t="s">
        <v>4798</v>
      </c>
      <c r="B1239" s="94">
        <v>1229</v>
      </c>
      <c r="C1239" s="165" t="s">
        <v>4038</v>
      </c>
      <c r="D1239" s="165">
        <v>7</v>
      </c>
      <c r="E1239" s="165" t="s">
        <v>5444</v>
      </c>
      <c r="F1239" s="165" t="s">
        <v>5449</v>
      </c>
      <c r="G1239" s="165"/>
      <c r="H1239" s="165">
        <v>14175</v>
      </c>
      <c r="I1239" s="165"/>
      <c r="J1239" s="165"/>
      <c r="K1239" s="338"/>
      <c r="L1239" s="338">
        <v>14175</v>
      </c>
      <c r="M1239" s="165"/>
      <c r="N1239" s="165"/>
      <c r="O1239" s="337">
        <f t="shared" si="44"/>
        <v>0</v>
      </c>
      <c r="P1239" s="165" t="s">
        <v>5449</v>
      </c>
      <c r="Q1239" s="165" t="s">
        <v>5449</v>
      </c>
      <c r="R1239" s="3">
        <f t="shared" si="43"/>
        <v>14175</v>
      </c>
      <c r="S1239" s="337">
        <v>14175</v>
      </c>
      <c r="T1239"/>
      <c r="U1239" s="3"/>
    </row>
    <row r="1240" spans="1:21">
      <c r="A1240" s="165" t="s">
        <v>4798</v>
      </c>
      <c r="B1240" s="94">
        <v>1230</v>
      </c>
      <c r="C1240" s="165" t="s">
        <v>4038</v>
      </c>
      <c r="D1240" s="165">
        <v>8</v>
      </c>
      <c r="E1240" s="165" t="s">
        <v>5445</v>
      </c>
      <c r="F1240" s="405" t="s">
        <v>5450</v>
      </c>
      <c r="G1240" s="165"/>
      <c r="H1240" s="165">
        <v>14175</v>
      </c>
      <c r="I1240" s="165"/>
      <c r="J1240" s="165"/>
      <c r="K1240" s="338"/>
      <c r="L1240" s="338">
        <v>14175</v>
      </c>
      <c r="M1240" s="165"/>
      <c r="N1240" s="165"/>
      <c r="O1240" s="337">
        <f t="shared" si="44"/>
        <v>0</v>
      </c>
      <c r="P1240" s="165" t="s">
        <v>10822</v>
      </c>
      <c r="Q1240" s="165" t="s">
        <v>10826</v>
      </c>
      <c r="R1240" s="3">
        <f t="shared" si="43"/>
        <v>14175</v>
      </c>
      <c r="S1240" s="337">
        <v>14175</v>
      </c>
      <c r="T1240"/>
      <c r="U1240" s="3"/>
    </row>
    <row r="1241" spans="1:21">
      <c r="A1241" s="165" t="s">
        <v>5418</v>
      </c>
      <c r="B1241" s="94">
        <v>1231</v>
      </c>
      <c r="C1241" s="165" t="s">
        <v>5194</v>
      </c>
      <c r="D1241" s="165">
        <v>1</v>
      </c>
      <c r="E1241" s="165" t="s">
        <v>5419</v>
      </c>
      <c r="F1241" s="165" t="s">
        <v>5420</v>
      </c>
      <c r="G1241" s="165"/>
      <c r="H1241" s="165">
        <v>11340</v>
      </c>
      <c r="I1241" s="165"/>
      <c r="J1241" s="165"/>
      <c r="K1241" s="165">
        <v>11340</v>
      </c>
      <c r="L1241" s="165"/>
      <c r="M1241" s="165"/>
      <c r="N1241" s="165"/>
      <c r="O1241" s="337">
        <f t="shared" si="44"/>
        <v>0</v>
      </c>
      <c r="P1241" s="165" t="s">
        <v>4804</v>
      </c>
      <c r="Q1241" s="165" t="s">
        <v>4805</v>
      </c>
      <c r="R1241" s="3">
        <f t="shared" si="43"/>
        <v>11340</v>
      </c>
      <c r="S1241" s="337">
        <v>11340</v>
      </c>
      <c r="T1241"/>
      <c r="U1241" s="3"/>
    </row>
    <row r="1242" spans="1:21">
      <c r="A1242" s="165" t="s">
        <v>5418</v>
      </c>
      <c r="B1242" s="94">
        <v>1232</v>
      </c>
      <c r="C1242" s="165" t="s">
        <v>5194</v>
      </c>
      <c r="D1242" s="165">
        <v>2</v>
      </c>
      <c r="E1242" s="165" t="s">
        <v>5421</v>
      </c>
      <c r="F1242" s="165" t="s">
        <v>5428</v>
      </c>
      <c r="G1242" s="165"/>
      <c r="H1242" s="165">
        <v>11340</v>
      </c>
      <c r="I1242" s="165"/>
      <c r="J1242" s="165"/>
      <c r="K1242" s="338">
        <v>11340</v>
      </c>
      <c r="L1242" s="338"/>
      <c r="M1242" s="165"/>
      <c r="N1242" s="165"/>
      <c r="O1242" s="337">
        <f t="shared" si="44"/>
        <v>0</v>
      </c>
      <c r="P1242" s="165" t="s">
        <v>5488</v>
      </c>
      <c r="Q1242" s="165" t="s">
        <v>5428</v>
      </c>
      <c r="R1242" s="3">
        <f t="shared" si="43"/>
        <v>11340</v>
      </c>
      <c r="S1242" s="337">
        <v>11340</v>
      </c>
      <c r="T1242"/>
      <c r="U1242" s="3"/>
    </row>
    <row r="1243" spans="1:21">
      <c r="A1243" s="165" t="s">
        <v>5418</v>
      </c>
      <c r="B1243" s="94">
        <v>1233</v>
      </c>
      <c r="C1243" s="165" t="s">
        <v>5194</v>
      </c>
      <c r="D1243" s="165">
        <v>3</v>
      </c>
      <c r="E1243" s="165" t="s">
        <v>5422</v>
      </c>
      <c r="F1243" s="165" t="s">
        <v>5429</v>
      </c>
      <c r="G1243" s="165"/>
      <c r="H1243" s="165">
        <v>11340</v>
      </c>
      <c r="I1243" s="165"/>
      <c r="J1243" s="165"/>
      <c r="K1243" s="338">
        <v>11340</v>
      </c>
      <c r="L1243" s="338"/>
      <c r="M1243" s="165"/>
      <c r="N1243" s="165"/>
      <c r="O1243" s="337">
        <f t="shared" si="44"/>
        <v>0</v>
      </c>
      <c r="P1243" s="165" t="s">
        <v>5263</v>
      </c>
      <c r="Q1243" s="165" t="s">
        <v>5429</v>
      </c>
      <c r="R1243" s="3">
        <f t="shared" si="43"/>
        <v>11340</v>
      </c>
      <c r="S1243" s="337">
        <v>11340</v>
      </c>
      <c r="T1243"/>
      <c r="U1243" s="3"/>
    </row>
    <row r="1244" spans="1:21">
      <c r="A1244" s="165" t="s">
        <v>5418</v>
      </c>
      <c r="B1244" s="94">
        <v>1234</v>
      </c>
      <c r="C1244" s="165" t="s">
        <v>5194</v>
      </c>
      <c r="D1244" s="165">
        <v>4</v>
      </c>
      <c r="E1244" s="165" t="s">
        <v>5423</v>
      </c>
      <c r="F1244" s="165" t="s">
        <v>5430</v>
      </c>
      <c r="G1244" s="165"/>
      <c r="H1244" s="165">
        <v>11340</v>
      </c>
      <c r="I1244" s="165"/>
      <c r="J1244" s="165"/>
      <c r="K1244" s="338"/>
      <c r="L1244" s="338">
        <v>11340</v>
      </c>
      <c r="M1244" s="165"/>
      <c r="N1244" s="165"/>
      <c r="O1244" s="337">
        <f t="shared" si="44"/>
        <v>0</v>
      </c>
      <c r="P1244" s="165" t="s">
        <v>4640</v>
      </c>
      <c r="Q1244" s="165" t="s">
        <v>4640</v>
      </c>
      <c r="R1244" s="3">
        <f t="shared" si="43"/>
        <v>11340</v>
      </c>
      <c r="S1244" s="337">
        <v>11340</v>
      </c>
      <c r="T1244"/>
      <c r="U1244" s="3"/>
    </row>
    <row r="1245" spans="1:21">
      <c r="A1245" s="165" t="s">
        <v>5418</v>
      </c>
      <c r="B1245" s="94">
        <v>1235</v>
      </c>
      <c r="C1245" s="165" t="s">
        <v>5194</v>
      </c>
      <c r="D1245" s="165">
        <v>5</v>
      </c>
      <c r="E1245" s="165" t="s">
        <v>5424</v>
      </c>
      <c r="F1245" s="165" t="s">
        <v>5431</v>
      </c>
      <c r="G1245" s="165"/>
      <c r="H1245" s="165">
        <v>11340</v>
      </c>
      <c r="I1245" s="165"/>
      <c r="J1245" s="165"/>
      <c r="K1245" s="338"/>
      <c r="L1245" s="338">
        <v>11340</v>
      </c>
      <c r="M1245" s="165"/>
      <c r="N1245" s="165"/>
      <c r="O1245" s="337">
        <f t="shared" si="44"/>
        <v>0</v>
      </c>
      <c r="P1245" s="165" t="s">
        <v>9634</v>
      </c>
      <c r="Q1245" s="165" t="s">
        <v>9634</v>
      </c>
      <c r="R1245" s="3">
        <f t="shared" si="43"/>
        <v>11340</v>
      </c>
      <c r="S1245" s="337">
        <v>11340</v>
      </c>
      <c r="T1245"/>
      <c r="U1245" s="3"/>
    </row>
    <row r="1246" spans="1:21">
      <c r="A1246" s="165" t="s">
        <v>5418</v>
      </c>
      <c r="B1246" s="94">
        <v>1236</v>
      </c>
      <c r="C1246" s="165" t="s">
        <v>5194</v>
      </c>
      <c r="D1246" s="165">
        <v>6</v>
      </c>
      <c r="E1246" s="165" t="s">
        <v>5425</v>
      </c>
      <c r="F1246" s="165" t="s">
        <v>5432</v>
      </c>
      <c r="G1246" s="165"/>
      <c r="H1246" s="165">
        <v>11340</v>
      </c>
      <c r="I1246" s="165"/>
      <c r="J1246" s="165"/>
      <c r="K1246" s="338"/>
      <c r="L1246" s="338">
        <v>11340</v>
      </c>
      <c r="M1246" s="165"/>
      <c r="N1246" s="165"/>
      <c r="O1246" s="337">
        <f t="shared" si="44"/>
        <v>0</v>
      </c>
      <c r="P1246" s="165" t="s">
        <v>5432</v>
      </c>
      <c r="Q1246" s="165" t="s">
        <v>5432</v>
      </c>
      <c r="R1246" s="3">
        <f t="shared" si="43"/>
        <v>11340</v>
      </c>
      <c r="S1246" s="337">
        <v>11340</v>
      </c>
      <c r="T1246"/>
      <c r="U1246" s="3"/>
    </row>
    <row r="1247" spans="1:21">
      <c r="A1247" s="165" t="s">
        <v>5418</v>
      </c>
      <c r="B1247" s="94">
        <v>1237</v>
      </c>
      <c r="C1247" s="165" t="s">
        <v>5194</v>
      </c>
      <c r="D1247" s="165">
        <v>7</v>
      </c>
      <c r="E1247" s="165" t="s">
        <v>5426</v>
      </c>
      <c r="F1247" s="165" t="s">
        <v>5433</v>
      </c>
      <c r="G1247" s="165"/>
      <c r="H1247" s="165">
        <v>11340</v>
      </c>
      <c r="I1247" s="165"/>
      <c r="J1247" s="165"/>
      <c r="K1247" s="338"/>
      <c r="L1247" s="338">
        <v>11340</v>
      </c>
      <c r="M1247" s="165"/>
      <c r="N1247" s="165"/>
      <c r="O1247" s="337">
        <f t="shared" si="44"/>
        <v>0</v>
      </c>
      <c r="P1247" s="165" t="s">
        <v>5433</v>
      </c>
      <c r="Q1247" s="165" t="s">
        <v>5433</v>
      </c>
      <c r="R1247" s="3">
        <f t="shared" si="43"/>
        <v>11340</v>
      </c>
      <c r="S1247" s="337">
        <v>11340</v>
      </c>
      <c r="T1247"/>
      <c r="U1247" s="3"/>
    </row>
    <row r="1248" spans="1:21">
      <c r="A1248" s="165" t="s">
        <v>5418</v>
      </c>
      <c r="B1248" s="94">
        <v>1238</v>
      </c>
      <c r="C1248" s="165" t="s">
        <v>5194</v>
      </c>
      <c r="D1248" s="165">
        <v>8</v>
      </c>
      <c r="E1248" s="165" t="s">
        <v>5427</v>
      </c>
      <c r="F1248" s="165" t="s">
        <v>5434</v>
      </c>
      <c r="G1248" s="165"/>
      <c r="H1248" s="165">
        <v>11340</v>
      </c>
      <c r="I1248" s="165"/>
      <c r="J1248" s="165"/>
      <c r="K1248" s="338"/>
      <c r="L1248" s="338">
        <v>11340</v>
      </c>
      <c r="M1248" s="165"/>
      <c r="N1248" s="165"/>
      <c r="O1248" s="337">
        <f t="shared" si="44"/>
        <v>0</v>
      </c>
      <c r="P1248" s="165" t="s">
        <v>8883</v>
      </c>
      <c r="Q1248" s="165" t="s">
        <v>5434</v>
      </c>
      <c r="R1248" s="3">
        <f t="shared" si="43"/>
        <v>11340</v>
      </c>
      <c r="S1248" s="337">
        <v>11340</v>
      </c>
      <c r="T1248"/>
      <c r="U1248" s="3"/>
    </row>
    <row r="1249" spans="1:21">
      <c r="A1249" s="165" t="s">
        <v>5390</v>
      </c>
      <c r="B1249" s="94">
        <v>1239</v>
      </c>
      <c r="C1249" s="165" t="s">
        <v>4075</v>
      </c>
      <c r="D1249" s="165">
        <v>1</v>
      </c>
      <c r="E1249" s="165" t="s">
        <v>5391</v>
      </c>
      <c r="F1249" s="165" t="s">
        <v>4289</v>
      </c>
      <c r="G1249" s="165"/>
      <c r="H1249" s="165">
        <v>14175</v>
      </c>
      <c r="I1249" s="165"/>
      <c r="J1249" s="165"/>
      <c r="K1249" s="165">
        <v>14175</v>
      </c>
      <c r="L1249" s="165"/>
      <c r="M1249" s="165"/>
      <c r="N1249" s="165"/>
      <c r="O1249" s="337">
        <f t="shared" si="44"/>
        <v>0</v>
      </c>
      <c r="P1249" s="165" t="s">
        <v>4802</v>
      </c>
      <c r="Q1249" s="165" t="s">
        <v>4804</v>
      </c>
      <c r="R1249" s="3">
        <f t="shared" si="43"/>
        <v>14175</v>
      </c>
      <c r="S1249" s="337">
        <v>14175</v>
      </c>
      <c r="T1249"/>
      <c r="U1249" s="3"/>
    </row>
    <row r="1250" spans="1:21">
      <c r="A1250" s="165" t="s">
        <v>5390</v>
      </c>
      <c r="B1250" s="94">
        <v>1240</v>
      </c>
      <c r="C1250" s="165" t="s">
        <v>4075</v>
      </c>
      <c r="D1250" s="165">
        <v>2</v>
      </c>
      <c r="E1250" s="165" t="s">
        <v>5392</v>
      </c>
      <c r="F1250" s="165" t="s">
        <v>4638</v>
      </c>
      <c r="G1250" s="165"/>
      <c r="H1250" s="165">
        <v>14175</v>
      </c>
      <c r="I1250" s="165"/>
      <c r="J1250" s="165"/>
      <c r="K1250" s="338">
        <v>14175</v>
      </c>
      <c r="L1250" s="338"/>
      <c r="M1250" s="165"/>
      <c r="N1250" s="165"/>
      <c r="O1250" s="337">
        <f t="shared" si="44"/>
        <v>0</v>
      </c>
      <c r="P1250" s="165" t="s">
        <v>5488</v>
      </c>
      <c r="Q1250" s="165" t="s">
        <v>4291</v>
      </c>
      <c r="R1250" s="3">
        <f t="shared" si="43"/>
        <v>14175</v>
      </c>
      <c r="S1250" s="337">
        <v>14175</v>
      </c>
      <c r="T1250"/>
      <c r="U1250" s="3"/>
    </row>
    <row r="1251" spans="1:21">
      <c r="A1251" s="165" t="s">
        <v>5390</v>
      </c>
      <c r="B1251" s="94">
        <v>1241</v>
      </c>
      <c r="C1251" s="165" t="s">
        <v>4075</v>
      </c>
      <c r="D1251" s="165">
        <v>3</v>
      </c>
      <c r="E1251" s="165" t="s">
        <v>5393</v>
      </c>
      <c r="F1251" s="165" t="s">
        <v>4639</v>
      </c>
      <c r="G1251" s="165"/>
      <c r="H1251" s="165">
        <v>14175</v>
      </c>
      <c r="I1251" s="165"/>
      <c r="J1251" s="165"/>
      <c r="K1251" s="338">
        <v>14175</v>
      </c>
      <c r="L1251" s="338"/>
      <c r="M1251" s="165"/>
      <c r="N1251" s="165"/>
      <c r="O1251" s="337">
        <f t="shared" si="44"/>
        <v>0</v>
      </c>
      <c r="P1251" s="165" t="s">
        <v>5263</v>
      </c>
      <c r="Q1251" s="165" t="s">
        <v>4639</v>
      </c>
      <c r="R1251" s="3">
        <f t="shared" si="43"/>
        <v>14175</v>
      </c>
      <c r="S1251" s="337">
        <v>14175</v>
      </c>
      <c r="T1251"/>
      <c r="U1251" s="3"/>
    </row>
    <row r="1252" spans="1:21">
      <c r="A1252" s="165" t="s">
        <v>5390</v>
      </c>
      <c r="B1252" s="94">
        <v>1242</v>
      </c>
      <c r="C1252" s="165" t="s">
        <v>4075</v>
      </c>
      <c r="D1252" s="165">
        <v>4</v>
      </c>
      <c r="E1252" s="165" t="s">
        <v>5394</v>
      </c>
      <c r="F1252" s="165" t="s">
        <v>4640</v>
      </c>
      <c r="G1252" s="165"/>
      <c r="H1252" s="165">
        <v>14175</v>
      </c>
      <c r="I1252" s="165"/>
      <c r="J1252" s="165"/>
      <c r="K1252" s="338"/>
      <c r="L1252" s="338">
        <v>14175</v>
      </c>
      <c r="M1252" s="165"/>
      <c r="N1252" s="165"/>
      <c r="O1252" s="337">
        <f t="shared" si="44"/>
        <v>0</v>
      </c>
      <c r="P1252" s="165" t="s">
        <v>4640</v>
      </c>
      <c r="Q1252" s="165" t="s">
        <v>4640</v>
      </c>
      <c r="R1252" s="3">
        <f t="shared" si="43"/>
        <v>14175</v>
      </c>
      <c r="S1252" s="337">
        <v>14175</v>
      </c>
      <c r="T1252"/>
      <c r="U1252" s="3"/>
    </row>
    <row r="1253" spans="1:21">
      <c r="A1253" s="165" t="s">
        <v>5390</v>
      </c>
      <c r="B1253" s="94">
        <v>1243</v>
      </c>
      <c r="C1253" s="165" t="s">
        <v>4075</v>
      </c>
      <c r="D1253" s="165">
        <v>5</v>
      </c>
      <c r="E1253" s="165" t="s">
        <v>5395</v>
      </c>
      <c r="F1253" s="165" t="s">
        <v>4641</v>
      </c>
      <c r="G1253" s="165"/>
      <c r="H1253" s="165">
        <v>14175</v>
      </c>
      <c r="I1253" s="165"/>
      <c r="J1253" s="165"/>
      <c r="K1253" s="338"/>
      <c r="L1253" s="338">
        <v>14175</v>
      </c>
      <c r="M1253" s="165"/>
      <c r="N1253" s="165"/>
      <c r="O1253" s="337">
        <f t="shared" si="44"/>
        <v>0</v>
      </c>
      <c r="P1253" s="165" t="s">
        <v>4641</v>
      </c>
      <c r="Q1253" s="165" t="s">
        <v>4641</v>
      </c>
      <c r="R1253" s="3">
        <f t="shared" si="43"/>
        <v>14175</v>
      </c>
      <c r="S1253" s="337">
        <v>14175</v>
      </c>
      <c r="T1253"/>
      <c r="U1253" s="3"/>
    </row>
    <row r="1254" spans="1:21">
      <c r="A1254" s="165" t="s">
        <v>5390</v>
      </c>
      <c r="B1254" s="94">
        <v>1244</v>
      </c>
      <c r="C1254" s="165" t="s">
        <v>4075</v>
      </c>
      <c r="D1254" s="165">
        <v>6</v>
      </c>
      <c r="E1254" s="165" t="s">
        <v>5396</v>
      </c>
      <c r="F1254" s="165" t="s">
        <v>5399</v>
      </c>
      <c r="G1254" s="165"/>
      <c r="H1254" s="165">
        <v>14175</v>
      </c>
      <c r="I1254" s="165"/>
      <c r="J1254" s="165"/>
      <c r="K1254" s="338"/>
      <c r="L1254" s="338">
        <v>14175</v>
      </c>
      <c r="M1254" s="165"/>
      <c r="N1254" s="165"/>
      <c r="O1254" s="337">
        <f t="shared" si="44"/>
        <v>0</v>
      </c>
      <c r="P1254" s="165" t="s">
        <v>5399</v>
      </c>
      <c r="Q1254" s="165" t="s">
        <v>5399</v>
      </c>
      <c r="R1254" s="3">
        <f t="shared" si="43"/>
        <v>14175</v>
      </c>
      <c r="S1254" s="337">
        <v>14175</v>
      </c>
      <c r="T1254"/>
      <c r="U1254" s="3"/>
    </row>
    <row r="1255" spans="1:21">
      <c r="A1255" s="165" t="s">
        <v>5390</v>
      </c>
      <c r="B1255" s="94">
        <v>1245</v>
      </c>
      <c r="C1255" s="165" t="s">
        <v>4075</v>
      </c>
      <c r="D1255" s="165">
        <v>7</v>
      </c>
      <c r="E1255" s="165" t="s">
        <v>5397</v>
      </c>
      <c r="F1255" s="165" t="s">
        <v>5400</v>
      </c>
      <c r="G1255" s="165"/>
      <c r="H1255" s="165">
        <v>14175</v>
      </c>
      <c r="I1255" s="165"/>
      <c r="J1255" s="165"/>
      <c r="K1255" s="338"/>
      <c r="L1255" s="338">
        <v>14175</v>
      </c>
      <c r="M1255" s="165"/>
      <c r="N1255" s="165"/>
      <c r="O1255" s="337">
        <f t="shared" si="44"/>
        <v>0</v>
      </c>
      <c r="P1255" s="165" t="s">
        <v>5400</v>
      </c>
      <c r="Q1255" s="165" t="s">
        <v>5400</v>
      </c>
      <c r="R1255" s="3">
        <f t="shared" si="43"/>
        <v>14175</v>
      </c>
      <c r="S1255" s="337">
        <v>14175</v>
      </c>
      <c r="T1255"/>
      <c r="U1255" s="3"/>
    </row>
    <row r="1256" spans="1:21">
      <c r="A1256" s="165" t="s">
        <v>5390</v>
      </c>
      <c r="B1256" s="94">
        <v>1246</v>
      </c>
      <c r="C1256" s="165" t="s">
        <v>4075</v>
      </c>
      <c r="D1256" s="165">
        <v>8</v>
      </c>
      <c r="E1256" s="165" t="s">
        <v>5398</v>
      </c>
      <c r="F1256" s="405" t="s">
        <v>5401</v>
      </c>
      <c r="G1256" s="165"/>
      <c r="H1256" s="165">
        <v>14175</v>
      </c>
      <c r="I1256" s="165"/>
      <c r="J1256" s="165"/>
      <c r="K1256" s="338"/>
      <c r="L1256" s="338">
        <v>14175</v>
      </c>
      <c r="M1256" s="165"/>
      <c r="N1256" s="165"/>
      <c r="O1256" s="337">
        <f t="shared" si="44"/>
        <v>0</v>
      </c>
      <c r="P1256" s="165" t="s">
        <v>10812</v>
      </c>
      <c r="Q1256" s="165" t="s">
        <v>5401</v>
      </c>
      <c r="R1256" s="3">
        <f t="shared" si="43"/>
        <v>14175</v>
      </c>
      <c r="S1256" s="337">
        <v>14175</v>
      </c>
      <c r="T1256"/>
      <c r="U1256" s="3"/>
    </row>
    <row r="1257" spans="1:21">
      <c r="A1257" s="165" t="s">
        <v>4801</v>
      </c>
      <c r="B1257" s="94">
        <v>1247</v>
      </c>
      <c r="C1257" s="165" t="s">
        <v>4094</v>
      </c>
      <c r="D1257" s="165">
        <v>1</v>
      </c>
      <c r="E1257" s="165" t="s">
        <v>5368</v>
      </c>
      <c r="F1257" s="165" t="s">
        <v>5369</v>
      </c>
      <c r="G1257" s="165"/>
      <c r="H1257" s="165">
        <v>4410</v>
      </c>
      <c r="I1257" s="165"/>
      <c r="J1257" s="165"/>
      <c r="K1257" s="165">
        <v>4410</v>
      </c>
      <c r="L1257" s="165"/>
      <c r="M1257" s="165"/>
      <c r="N1257" s="165"/>
      <c r="O1257" s="337">
        <f t="shared" si="44"/>
        <v>0</v>
      </c>
      <c r="P1257" s="165" t="s">
        <v>4802</v>
      </c>
      <c r="Q1257" s="165" t="s">
        <v>4803</v>
      </c>
      <c r="R1257" s="3">
        <f t="shared" si="43"/>
        <v>4410</v>
      </c>
      <c r="S1257" s="337">
        <v>4410</v>
      </c>
      <c r="T1257"/>
      <c r="U1257" s="3"/>
    </row>
    <row r="1258" spans="1:21">
      <c r="A1258" s="165" t="s">
        <v>4801</v>
      </c>
      <c r="B1258" s="94">
        <v>1248</v>
      </c>
      <c r="C1258" s="165" t="s">
        <v>4094</v>
      </c>
      <c r="D1258" s="165">
        <v>2</v>
      </c>
      <c r="E1258" s="165" t="s">
        <v>5370</v>
      </c>
      <c r="F1258" s="165" t="s">
        <v>4807</v>
      </c>
      <c r="G1258" s="165"/>
      <c r="H1258" s="165">
        <v>4410</v>
      </c>
      <c r="I1258" s="165"/>
      <c r="J1258" s="165"/>
      <c r="K1258" s="338">
        <v>4410</v>
      </c>
      <c r="L1258" s="338"/>
      <c r="M1258" s="165"/>
      <c r="N1258" s="165"/>
      <c r="O1258" s="337">
        <f t="shared" si="44"/>
        <v>0</v>
      </c>
      <c r="P1258" s="165" t="s">
        <v>4802</v>
      </c>
      <c r="Q1258" s="165" t="s">
        <v>4807</v>
      </c>
      <c r="R1258" s="3">
        <f t="shared" si="43"/>
        <v>4410</v>
      </c>
      <c r="S1258" s="337">
        <v>4410</v>
      </c>
      <c r="T1258"/>
      <c r="U1258" s="3"/>
    </row>
    <row r="1259" spans="1:21">
      <c r="A1259" s="165" t="s">
        <v>4801</v>
      </c>
      <c r="B1259" s="94">
        <v>1249</v>
      </c>
      <c r="C1259" s="165" t="s">
        <v>4094</v>
      </c>
      <c r="D1259" s="165">
        <v>3</v>
      </c>
      <c r="E1259" s="165" t="s">
        <v>5371</v>
      </c>
      <c r="F1259" s="165" t="s">
        <v>4611</v>
      </c>
      <c r="G1259" s="165"/>
      <c r="H1259" s="165">
        <v>4410</v>
      </c>
      <c r="I1259" s="165"/>
      <c r="J1259" s="165"/>
      <c r="K1259" s="338">
        <v>4410</v>
      </c>
      <c r="L1259" s="338"/>
      <c r="M1259" s="165"/>
      <c r="N1259" s="165"/>
      <c r="O1259" s="337">
        <f t="shared" si="44"/>
        <v>0</v>
      </c>
      <c r="P1259" s="165" t="s">
        <v>5453</v>
      </c>
      <c r="Q1259" s="165" t="s">
        <v>5465</v>
      </c>
      <c r="R1259" s="3">
        <f t="shared" si="43"/>
        <v>4410</v>
      </c>
      <c r="S1259" s="337">
        <v>4410</v>
      </c>
      <c r="T1259"/>
      <c r="U1259" s="3"/>
    </row>
    <row r="1260" spans="1:21">
      <c r="A1260" s="165" t="s">
        <v>4801</v>
      </c>
      <c r="B1260" s="94">
        <v>1250</v>
      </c>
      <c r="C1260" s="165" t="s">
        <v>4094</v>
      </c>
      <c r="D1260" s="165">
        <v>4</v>
      </c>
      <c r="E1260" s="165" t="s">
        <v>5372</v>
      </c>
      <c r="F1260" s="165" t="s">
        <v>5303</v>
      </c>
      <c r="G1260" s="165"/>
      <c r="H1260" s="165">
        <v>4410</v>
      </c>
      <c r="I1260" s="165"/>
      <c r="J1260" s="165"/>
      <c r="K1260" s="338">
        <v>4410</v>
      </c>
      <c r="L1260" s="338"/>
      <c r="M1260" s="165"/>
      <c r="N1260" s="165"/>
      <c r="O1260" s="337">
        <f t="shared" si="44"/>
        <v>0</v>
      </c>
      <c r="P1260" s="165" t="s">
        <v>5488</v>
      </c>
      <c r="Q1260" s="165" t="s">
        <v>5303</v>
      </c>
      <c r="R1260" s="3">
        <f t="shared" si="43"/>
        <v>4410</v>
      </c>
      <c r="S1260" s="337">
        <v>4410</v>
      </c>
      <c r="T1260"/>
      <c r="U1260" s="3"/>
    </row>
    <row r="1261" spans="1:21">
      <c r="A1261" s="165" t="s">
        <v>4801</v>
      </c>
      <c r="B1261" s="94">
        <v>1251</v>
      </c>
      <c r="C1261" s="165" t="s">
        <v>4094</v>
      </c>
      <c r="D1261" s="165">
        <v>5</v>
      </c>
      <c r="E1261" s="165" t="s">
        <v>5373</v>
      </c>
      <c r="F1261" s="165" t="s">
        <v>5375</v>
      </c>
      <c r="G1261" s="165"/>
      <c r="H1261" s="165">
        <v>4410</v>
      </c>
      <c r="I1261" s="165"/>
      <c r="J1261" s="165"/>
      <c r="K1261" s="338">
        <v>4410</v>
      </c>
      <c r="L1261" s="338"/>
      <c r="M1261" s="165"/>
      <c r="N1261" s="165"/>
      <c r="O1261" s="337">
        <f t="shared" si="44"/>
        <v>0</v>
      </c>
      <c r="P1261" s="165" t="s">
        <v>5500</v>
      </c>
      <c r="Q1261" s="165" t="s">
        <v>5375</v>
      </c>
      <c r="R1261" s="3">
        <f t="shared" si="43"/>
        <v>4410</v>
      </c>
      <c r="S1261" s="337">
        <v>4410</v>
      </c>
      <c r="T1261"/>
      <c r="U1261" s="3"/>
    </row>
    <row r="1262" spans="1:21">
      <c r="A1262" s="165" t="s">
        <v>4801</v>
      </c>
      <c r="B1262" s="94">
        <v>1252</v>
      </c>
      <c r="C1262" s="165" t="s">
        <v>4094</v>
      </c>
      <c r="D1262" s="165">
        <v>6</v>
      </c>
      <c r="E1262" s="165" t="s">
        <v>5374</v>
      </c>
      <c r="F1262" s="165" t="s">
        <v>4612</v>
      </c>
      <c r="G1262" s="165"/>
      <c r="H1262" s="165">
        <v>4410</v>
      </c>
      <c r="I1262" s="165"/>
      <c r="J1262" s="165"/>
      <c r="K1262" s="338">
        <v>4410</v>
      </c>
      <c r="L1262" s="338"/>
      <c r="M1262" s="165"/>
      <c r="N1262" s="165"/>
      <c r="O1262" s="337">
        <f t="shared" si="44"/>
        <v>0</v>
      </c>
      <c r="P1262" s="165" t="s">
        <v>5504</v>
      </c>
      <c r="Q1262" s="165" t="s">
        <v>5531</v>
      </c>
      <c r="R1262" s="3">
        <f t="shared" si="43"/>
        <v>4410</v>
      </c>
      <c r="S1262" s="337">
        <v>4410</v>
      </c>
      <c r="T1262"/>
      <c r="U1262" s="3"/>
    </row>
    <row r="1263" spans="1:21">
      <c r="A1263" s="165" t="s">
        <v>5402</v>
      </c>
      <c r="B1263" s="94">
        <v>1253</v>
      </c>
      <c r="C1263" s="165" t="s">
        <v>5191</v>
      </c>
      <c r="D1263" s="165">
        <v>1</v>
      </c>
      <c r="E1263" s="165" t="s">
        <v>5403</v>
      </c>
      <c r="F1263" s="165" t="s">
        <v>4802</v>
      </c>
      <c r="G1263" s="165"/>
      <c r="H1263" s="165">
        <v>14175</v>
      </c>
      <c r="I1263" s="165"/>
      <c r="J1263" s="165"/>
      <c r="K1263" s="165">
        <v>14175</v>
      </c>
      <c r="L1263" s="165"/>
      <c r="M1263" s="165"/>
      <c r="N1263" s="165"/>
      <c r="O1263" s="337">
        <f t="shared" si="44"/>
        <v>0</v>
      </c>
      <c r="P1263" s="165" t="s">
        <v>4804</v>
      </c>
      <c r="Q1263" s="165" t="s">
        <v>4805</v>
      </c>
      <c r="R1263" s="3">
        <f t="shared" si="43"/>
        <v>14175</v>
      </c>
      <c r="S1263" s="337">
        <v>14175</v>
      </c>
      <c r="T1263"/>
      <c r="U1263" s="3"/>
    </row>
    <row r="1264" spans="1:21">
      <c r="A1264" s="165" t="s">
        <v>5402</v>
      </c>
      <c r="B1264" s="94">
        <v>1254</v>
      </c>
      <c r="C1264" s="165" t="s">
        <v>5191</v>
      </c>
      <c r="D1264" s="165">
        <v>2</v>
      </c>
      <c r="E1264" s="165" t="s">
        <v>5405</v>
      </c>
      <c r="F1264" s="165" t="s">
        <v>5404</v>
      </c>
      <c r="G1264" s="165"/>
      <c r="H1264" s="165">
        <v>14175</v>
      </c>
      <c r="I1264" s="165"/>
      <c r="J1264" s="165"/>
      <c r="K1264" s="338">
        <v>14175</v>
      </c>
      <c r="L1264" s="338"/>
      <c r="M1264" s="165"/>
      <c r="N1264" s="165"/>
      <c r="O1264" s="337">
        <f t="shared" si="44"/>
        <v>0</v>
      </c>
      <c r="P1264" s="165" t="s">
        <v>4806</v>
      </c>
      <c r="Q1264" s="165" t="s">
        <v>5404</v>
      </c>
      <c r="R1264" s="3">
        <f t="shared" si="43"/>
        <v>14175</v>
      </c>
      <c r="S1264" s="337">
        <v>14175</v>
      </c>
      <c r="T1264"/>
      <c r="U1264" s="3"/>
    </row>
    <row r="1265" spans="1:23">
      <c r="A1265" s="165" t="s">
        <v>5402</v>
      </c>
      <c r="B1265" s="94">
        <v>1255</v>
      </c>
      <c r="C1265" s="165" t="s">
        <v>5191</v>
      </c>
      <c r="D1265" s="165">
        <v>3</v>
      </c>
      <c r="E1265" s="165" t="s">
        <v>5406</v>
      </c>
      <c r="F1265" s="165" t="s">
        <v>5407</v>
      </c>
      <c r="G1265" s="165"/>
      <c r="H1265" s="165">
        <v>14175</v>
      </c>
      <c r="I1265" s="165"/>
      <c r="J1265" s="165"/>
      <c r="K1265" s="338">
        <v>14175</v>
      </c>
      <c r="L1265" s="338"/>
      <c r="M1265" s="165"/>
      <c r="N1265" s="165"/>
      <c r="O1265" s="337">
        <f t="shared" si="44"/>
        <v>0</v>
      </c>
      <c r="P1265" s="165" t="s">
        <v>5500</v>
      </c>
      <c r="Q1265" s="165" t="s">
        <v>5407</v>
      </c>
      <c r="R1265" s="3">
        <f t="shared" si="43"/>
        <v>14175</v>
      </c>
      <c r="S1265" s="337">
        <v>14175</v>
      </c>
      <c r="T1265"/>
      <c r="U1265" s="3"/>
    </row>
    <row r="1266" spans="1:23">
      <c r="A1266" s="165" t="s">
        <v>5402</v>
      </c>
      <c r="B1266" s="94">
        <v>1256</v>
      </c>
      <c r="C1266" s="165" t="s">
        <v>5191</v>
      </c>
      <c r="D1266" s="165">
        <v>4</v>
      </c>
      <c r="E1266" s="165" t="s">
        <v>5409</v>
      </c>
      <c r="F1266" s="165" t="s">
        <v>5408</v>
      </c>
      <c r="G1266" s="165"/>
      <c r="H1266" s="165">
        <v>14175</v>
      </c>
      <c r="I1266" s="165"/>
      <c r="J1266" s="165"/>
      <c r="K1266" s="338">
        <v>14175</v>
      </c>
      <c r="L1266" s="338"/>
      <c r="M1266" s="165"/>
      <c r="N1266" s="165"/>
      <c r="O1266" s="337">
        <f t="shared" si="44"/>
        <v>0</v>
      </c>
      <c r="P1266" s="165" t="s">
        <v>5551</v>
      </c>
      <c r="Q1266" s="165" t="s">
        <v>4594</v>
      </c>
      <c r="R1266" s="3">
        <f t="shared" si="43"/>
        <v>14175</v>
      </c>
      <c r="S1266" s="337">
        <v>14175</v>
      </c>
      <c r="T1266"/>
      <c r="U1266" s="3"/>
    </row>
    <row r="1267" spans="1:23">
      <c r="A1267" s="165" t="s">
        <v>5402</v>
      </c>
      <c r="B1267" s="94">
        <v>1257</v>
      </c>
      <c r="C1267" s="165" t="s">
        <v>5191</v>
      </c>
      <c r="D1267" s="165">
        <v>5</v>
      </c>
      <c r="E1267" s="165" t="s">
        <v>5410</v>
      </c>
      <c r="F1267" s="165" t="s">
        <v>5414</v>
      </c>
      <c r="G1267" s="165"/>
      <c r="H1267" s="165">
        <v>14175</v>
      </c>
      <c r="I1267" s="165"/>
      <c r="J1267" s="165"/>
      <c r="K1267" s="338"/>
      <c r="L1267" s="338">
        <v>14175</v>
      </c>
      <c r="M1267" s="165"/>
      <c r="N1267" s="165"/>
      <c r="O1267" s="337">
        <f t="shared" si="44"/>
        <v>0</v>
      </c>
      <c r="P1267" s="165" t="s">
        <v>9760</v>
      </c>
      <c r="Q1267" s="165" t="s">
        <v>9760</v>
      </c>
      <c r="R1267" s="3">
        <f t="shared" si="43"/>
        <v>14175</v>
      </c>
      <c r="S1267" s="337">
        <v>14175</v>
      </c>
      <c r="T1267"/>
      <c r="U1267" s="3"/>
    </row>
    <row r="1268" spans="1:23">
      <c r="A1268" s="165" t="s">
        <v>5402</v>
      </c>
      <c r="B1268" s="94">
        <v>1258</v>
      </c>
      <c r="C1268" s="165" t="s">
        <v>5191</v>
      </c>
      <c r="D1268" s="165">
        <v>6</v>
      </c>
      <c r="E1268" s="165" t="s">
        <v>5411</v>
      </c>
      <c r="F1268" s="165" t="s">
        <v>5415</v>
      </c>
      <c r="G1268" s="165"/>
      <c r="H1268" s="165">
        <v>14175</v>
      </c>
      <c r="I1268" s="165"/>
      <c r="J1268" s="165"/>
      <c r="K1268" s="338"/>
      <c r="L1268" s="338">
        <v>14175</v>
      </c>
      <c r="M1268" s="165"/>
      <c r="N1268" s="165"/>
      <c r="O1268" s="337">
        <f t="shared" si="44"/>
        <v>0</v>
      </c>
      <c r="P1268" s="165" t="s">
        <v>5415</v>
      </c>
      <c r="Q1268" s="165" t="s">
        <v>5415</v>
      </c>
      <c r="R1268" s="3">
        <f t="shared" si="43"/>
        <v>14175</v>
      </c>
      <c r="S1268" s="337">
        <v>14175</v>
      </c>
      <c r="T1268"/>
      <c r="U1268" s="3"/>
    </row>
    <row r="1269" spans="1:23">
      <c r="A1269" s="165" t="s">
        <v>5402</v>
      </c>
      <c r="B1269" s="94">
        <v>1259</v>
      </c>
      <c r="C1269" s="165" t="s">
        <v>5191</v>
      </c>
      <c r="D1269" s="165">
        <v>7</v>
      </c>
      <c r="E1269" s="165" t="s">
        <v>5412</v>
      </c>
      <c r="F1269" s="165" t="s">
        <v>5416</v>
      </c>
      <c r="G1269" s="165"/>
      <c r="H1269" s="165">
        <v>14175</v>
      </c>
      <c r="I1269" s="165"/>
      <c r="J1269" s="165"/>
      <c r="K1269" s="338"/>
      <c r="L1269" s="338">
        <v>14175</v>
      </c>
      <c r="M1269" s="165"/>
      <c r="N1269" s="165"/>
      <c r="O1269" s="337">
        <f t="shared" si="44"/>
        <v>0</v>
      </c>
      <c r="P1269" s="165" t="s">
        <v>9768</v>
      </c>
      <c r="Q1269" s="165" t="s">
        <v>9768</v>
      </c>
      <c r="R1269" s="3">
        <f t="shared" si="43"/>
        <v>14175</v>
      </c>
      <c r="S1269" s="337">
        <v>14175</v>
      </c>
      <c r="T1269"/>
      <c r="U1269" s="3"/>
    </row>
    <row r="1270" spans="1:23">
      <c r="A1270" s="165" t="s">
        <v>5402</v>
      </c>
      <c r="B1270" s="94">
        <v>1260</v>
      </c>
      <c r="C1270" s="165" t="s">
        <v>5191</v>
      </c>
      <c r="D1270" s="165">
        <v>8</v>
      </c>
      <c r="E1270" s="165" t="s">
        <v>5413</v>
      </c>
      <c r="F1270" s="165" t="s">
        <v>5417</v>
      </c>
      <c r="G1270" s="165"/>
      <c r="H1270" s="165">
        <v>14175</v>
      </c>
      <c r="I1270" s="165"/>
      <c r="J1270" s="165"/>
      <c r="K1270" s="338"/>
      <c r="L1270" s="338">
        <v>14175</v>
      </c>
      <c r="M1270" s="165"/>
      <c r="N1270" s="165"/>
      <c r="O1270" s="337">
        <f t="shared" si="44"/>
        <v>0</v>
      </c>
      <c r="P1270" s="165" t="s">
        <v>9769</v>
      </c>
      <c r="Q1270" s="165" t="s">
        <v>9769</v>
      </c>
      <c r="R1270" s="3">
        <f t="shared" ref="R1270:R1279" si="45">H1270</f>
        <v>14175</v>
      </c>
      <c r="S1270" s="337">
        <v>14175</v>
      </c>
      <c r="T1270"/>
      <c r="U1270" s="3"/>
    </row>
    <row r="1271" spans="1:23">
      <c r="A1271" s="165" t="s">
        <v>4194</v>
      </c>
      <c r="B1271" s="94">
        <v>1261</v>
      </c>
      <c r="C1271" s="165" t="s">
        <v>4113</v>
      </c>
      <c r="D1271" s="165">
        <v>1</v>
      </c>
      <c r="E1271" s="165" t="s">
        <v>5452</v>
      </c>
      <c r="F1271" s="165" t="s">
        <v>4194</v>
      </c>
      <c r="G1271" s="165"/>
      <c r="H1271" s="165">
        <v>13230</v>
      </c>
      <c r="I1271" s="165"/>
      <c r="J1271" s="165"/>
      <c r="K1271" s="165">
        <v>13230</v>
      </c>
      <c r="L1271" s="165"/>
      <c r="M1271" s="165"/>
      <c r="N1271" s="165"/>
      <c r="O1271" s="337">
        <f t="shared" si="44"/>
        <v>0</v>
      </c>
      <c r="P1271" s="165" t="s">
        <v>5453</v>
      </c>
      <c r="Q1271" s="165" t="s">
        <v>5454</v>
      </c>
      <c r="R1271" s="3">
        <f t="shared" si="45"/>
        <v>13230</v>
      </c>
      <c r="S1271" s="337">
        <v>13230</v>
      </c>
      <c r="T1271"/>
      <c r="U1271" s="3"/>
    </row>
    <row r="1272" spans="1:23">
      <c r="A1272" s="165" t="s">
        <v>4194</v>
      </c>
      <c r="B1272" s="94">
        <v>1262</v>
      </c>
      <c r="C1272" s="165" t="s">
        <v>4113</v>
      </c>
      <c r="D1272" s="165">
        <v>2</v>
      </c>
      <c r="E1272" s="165" t="s">
        <v>5455</v>
      </c>
      <c r="F1272" s="165" t="s">
        <v>4226</v>
      </c>
      <c r="G1272" s="165"/>
      <c r="H1272" s="165">
        <v>13230</v>
      </c>
      <c r="I1272" s="165"/>
      <c r="J1272" s="165"/>
      <c r="K1272" s="338">
        <v>13230</v>
      </c>
      <c r="L1272" s="338"/>
      <c r="M1272" s="165"/>
      <c r="N1272" s="165"/>
      <c r="O1272" s="337">
        <f t="shared" si="44"/>
        <v>0</v>
      </c>
      <c r="P1272" s="165" t="s">
        <v>5500</v>
      </c>
      <c r="Q1272" s="165" t="s">
        <v>4226</v>
      </c>
      <c r="R1272" s="3">
        <f t="shared" si="45"/>
        <v>13230</v>
      </c>
      <c r="S1272" s="337">
        <v>13230</v>
      </c>
      <c r="T1272"/>
      <c r="U1272" s="3"/>
    </row>
    <row r="1273" spans="1:23">
      <c r="A1273" s="165" t="s">
        <v>4194</v>
      </c>
      <c r="B1273" s="94">
        <v>1263</v>
      </c>
      <c r="C1273" s="165" t="s">
        <v>4113</v>
      </c>
      <c r="D1273" s="165">
        <v>3</v>
      </c>
      <c r="E1273" s="165" t="s">
        <v>5456</v>
      </c>
      <c r="F1273" s="165" t="s">
        <v>5462</v>
      </c>
      <c r="G1273" s="165"/>
      <c r="H1273" s="165">
        <v>13230</v>
      </c>
      <c r="I1273" s="165"/>
      <c r="J1273" s="165"/>
      <c r="K1273" s="338">
        <v>13230</v>
      </c>
      <c r="L1273" s="338"/>
      <c r="M1273" s="165"/>
      <c r="N1273" s="165"/>
      <c r="O1273" s="337">
        <f t="shared" si="44"/>
        <v>0</v>
      </c>
      <c r="P1273" s="165" t="s">
        <v>5551</v>
      </c>
      <c r="Q1273" s="165" t="s">
        <v>4624</v>
      </c>
      <c r="R1273" s="3">
        <f t="shared" si="45"/>
        <v>13230</v>
      </c>
      <c r="S1273" s="337">
        <v>13230</v>
      </c>
      <c r="T1273"/>
      <c r="U1273" s="3"/>
    </row>
    <row r="1274" spans="1:23">
      <c r="A1274" s="165" t="s">
        <v>4194</v>
      </c>
      <c r="B1274" s="94">
        <v>1264</v>
      </c>
      <c r="C1274" s="165" t="s">
        <v>4113</v>
      </c>
      <c r="D1274" s="165">
        <v>4</v>
      </c>
      <c r="E1274" s="165" t="s">
        <v>5457</v>
      </c>
      <c r="F1274" s="165" t="s">
        <v>4625</v>
      </c>
      <c r="G1274" s="165"/>
      <c r="H1274" s="165">
        <v>13230</v>
      </c>
      <c r="I1274" s="165"/>
      <c r="J1274" s="165"/>
      <c r="K1274" s="338"/>
      <c r="L1274" s="338">
        <v>13230</v>
      </c>
      <c r="M1274" s="165"/>
      <c r="N1274" s="165"/>
      <c r="O1274" s="337">
        <f t="shared" si="44"/>
        <v>0</v>
      </c>
      <c r="P1274" s="165" t="s">
        <v>4655</v>
      </c>
      <c r="Q1274" s="165" t="s">
        <v>4655</v>
      </c>
      <c r="R1274" s="3">
        <f t="shared" si="45"/>
        <v>13230</v>
      </c>
      <c r="S1274" s="337">
        <v>13230</v>
      </c>
      <c r="T1274"/>
      <c r="U1274" s="3"/>
    </row>
    <row r="1275" spans="1:23">
      <c r="A1275" s="165" t="s">
        <v>4194</v>
      </c>
      <c r="B1275" s="94">
        <v>1265</v>
      </c>
      <c r="C1275" s="165" t="s">
        <v>4113</v>
      </c>
      <c r="D1275" s="165">
        <v>5</v>
      </c>
      <c r="E1275" s="165" t="s">
        <v>5458</v>
      </c>
      <c r="F1275" s="165" t="s">
        <v>5347</v>
      </c>
      <c r="G1275" s="165"/>
      <c r="H1275" s="165">
        <v>13230</v>
      </c>
      <c r="I1275" s="165"/>
      <c r="J1275" s="165"/>
      <c r="K1275" s="338"/>
      <c r="L1275" s="338">
        <v>13230</v>
      </c>
      <c r="M1275" s="165"/>
      <c r="N1275" s="165"/>
      <c r="O1275" s="337">
        <f t="shared" si="44"/>
        <v>0</v>
      </c>
      <c r="P1275" s="165" t="s">
        <v>5347</v>
      </c>
      <c r="Q1275" s="165" t="s">
        <v>5347</v>
      </c>
      <c r="R1275" s="3">
        <f t="shared" si="45"/>
        <v>13230</v>
      </c>
      <c r="S1275" s="337">
        <v>13230</v>
      </c>
      <c r="T1275"/>
      <c r="U1275" s="3"/>
    </row>
    <row r="1276" spans="1:23">
      <c r="A1276" s="165" t="s">
        <v>4194</v>
      </c>
      <c r="B1276" s="94">
        <v>1266</v>
      </c>
      <c r="C1276" s="165" t="s">
        <v>4113</v>
      </c>
      <c r="D1276" s="165">
        <v>6</v>
      </c>
      <c r="E1276" s="165" t="s">
        <v>5459</v>
      </c>
      <c r="F1276" s="165" t="s">
        <v>5348</v>
      </c>
      <c r="G1276" s="165"/>
      <c r="H1276" s="165">
        <v>13230</v>
      </c>
      <c r="I1276" s="165"/>
      <c r="J1276" s="165"/>
      <c r="K1276" s="338"/>
      <c r="L1276" s="338">
        <v>13230</v>
      </c>
      <c r="M1276" s="165"/>
      <c r="N1276" s="165"/>
      <c r="O1276" s="337">
        <f t="shared" si="44"/>
        <v>0</v>
      </c>
      <c r="P1276" s="165" t="s">
        <v>5348</v>
      </c>
      <c r="Q1276" s="165" t="s">
        <v>5348</v>
      </c>
      <c r="R1276" s="3">
        <f t="shared" si="45"/>
        <v>13230</v>
      </c>
      <c r="S1276" s="337">
        <v>13230</v>
      </c>
      <c r="T1276"/>
      <c r="U1276" s="3"/>
    </row>
    <row r="1277" spans="1:23">
      <c r="A1277" s="165" t="s">
        <v>4194</v>
      </c>
      <c r="B1277" s="94">
        <v>1267</v>
      </c>
      <c r="C1277" s="165" t="s">
        <v>4113</v>
      </c>
      <c r="D1277" s="165">
        <v>7</v>
      </c>
      <c r="E1277" s="165" t="s">
        <v>5460</v>
      </c>
      <c r="F1277" s="165" t="s">
        <v>5464</v>
      </c>
      <c r="G1277" s="165"/>
      <c r="H1277" s="165">
        <v>13230</v>
      </c>
      <c r="I1277" s="165"/>
      <c r="J1277" s="165"/>
      <c r="K1277" s="338"/>
      <c r="L1277" s="338">
        <v>13230</v>
      </c>
      <c r="M1277" s="165"/>
      <c r="N1277" s="165"/>
      <c r="O1277" s="337">
        <f t="shared" si="44"/>
        <v>0</v>
      </c>
      <c r="P1277" s="165" t="s">
        <v>5349</v>
      </c>
      <c r="Q1277" s="165" t="s">
        <v>5349</v>
      </c>
      <c r="R1277" s="3">
        <f t="shared" si="45"/>
        <v>13230</v>
      </c>
      <c r="S1277" s="337">
        <v>13230</v>
      </c>
      <c r="T1277"/>
      <c r="U1277" s="3"/>
    </row>
    <row r="1278" spans="1:23">
      <c r="A1278" s="165" t="s">
        <v>4194</v>
      </c>
      <c r="B1278" s="94">
        <v>1268</v>
      </c>
      <c r="C1278" s="165" t="s">
        <v>4113</v>
      </c>
      <c r="D1278" s="165">
        <v>8</v>
      </c>
      <c r="E1278" s="165" t="s">
        <v>5461</v>
      </c>
      <c r="F1278" s="165" t="s">
        <v>5463</v>
      </c>
      <c r="G1278" s="165"/>
      <c r="H1278" s="165">
        <v>13230</v>
      </c>
      <c r="I1278" s="165"/>
      <c r="J1278" s="165"/>
      <c r="K1278" s="338"/>
      <c r="L1278" s="338">
        <v>13230</v>
      </c>
      <c r="M1278" s="165"/>
      <c r="N1278" s="165"/>
      <c r="O1278" s="337">
        <f t="shared" si="44"/>
        <v>0</v>
      </c>
      <c r="P1278" s="165" t="s">
        <v>10822</v>
      </c>
      <c r="Q1278" s="165" t="s">
        <v>5463</v>
      </c>
      <c r="R1278" s="3">
        <f t="shared" si="45"/>
        <v>13230</v>
      </c>
      <c r="S1278" s="337">
        <v>13230</v>
      </c>
      <c r="T1278"/>
      <c r="U1278" s="3"/>
    </row>
    <row r="1279" spans="1:23">
      <c r="A1279" s="165" t="s">
        <v>5469</v>
      </c>
      <c r="B1279" s="94">
        <v>1269</v>
      </c>
      <c r="C1279" s="165" t="s">
        <v>5208</v>
      </c>
      <c r="D1279" s="165"/>
      <c r="E1279" s="165" t="s">
        <v>5470</v>
      </c>
      <c r="F1279" s="165" t="s">
        <v>5468</v>
      </c>
      <c r="G1279" s="165"/>
      <c r="H1279" s="165">
        <v>331800</v>
      </c>
      <c r="I1279" s="165"/>
      <c r="J1279" s="165"/>
      <c r="K1279" s="165">
        <v>331800</v>
      </c>
      <c r="L1279" s="165"/>
      <c r="M1279" s="165"/>
      <c r="N1279" s="165"/>
      <c r="O1279" s="337">
        <f t="shared" si="44"/>
        <v>0</v>
      </c>
      <c r="P1279" s="165" t="s">
        <v>5466</v>
      </c>
      <c r="Q1279" s="165" t="s">
        <v>5468</v>
      </c>
      <c r="R1279" s="3">
        <f t="shared" si="45"/>
        <v>331800</v>
      </c>
      <c r="S1279" s="165">
        <v>331800</v>
      </c>
      <c r="T1279"/>
      <c r="U1279" s="3"/>
      <c r="V1279" s="271" t="s">
        <v>2740</v>
      </c>
      <c r="W1279" t="s">
        <v>5471</v>
      </c>
    </row>
    <row r="1280" spans="1:23">
      <c r="A1280" s="165" t="s">
        <v>5469</v>
      </c>
      <c r="B1280" s="94">
        <v>1270</v>
      </c>
      <c r="C1280" s="165" t="s">
        <v>5208</v>
      </c>
      <c r="D1280" s="165">
        <v>1</v>
      </c>
      <c r="E1280" s="165" t="s">
        <v>5467</v>
      </c>
      <c r="F1280" s="165" t="s">
        <v>5468</v>
      </c>
      <c r="G1280" s="165"/>
      <c r="H1280" s="165">
        <v>20475</v>
      </c>
      <c r="I1280" s="165"/>
      <c r="J1280" s="165"/>
      <c r="K1280" s="165">
        <v>20475</v>
      </c>
      <c r="L1280" s="165"/>
      <c r="M1280" s="165"/>
      <c r="N1280" s="165"/>
      <c r="O1280" s="337">
        <f t="shared" si="44"/>
        <v>0</v>
      </c>
      <c r="P1280" s="165" t="s">
        <v>5466</v>
      </c>
      <c r="Q1280" s="165" t="s">
        <v>5468</v>
      </c>
      <c r="R1280" s="3">
        <f>H1280+G1280+I1280</f>
        <v>20475</v>
      </c>
      <c r="S1280" s="165">
        <v>20475</v>
      </c>
      <c r="T1280"/>
      <c r="U1280" s="3"/>
      <c r="V1280" s="271" t="s">
        <v>2740</v>
      </c>
    </row>
    <row r="1281" spans="1:22">
      <c r="A1281" s="165" t="s">
        <v>5469</v>
      </c>
      <c r="B1281" s="94">
        <v>1271</v>
      </c>
      <c r="C1281" s="165" t="s">
        <v>5208</v>
      </c>
      <c r="D1281" s="165">
        <v>2</v>
      </c>
      <c r="E1281" s="165" t="s">
        <v>5472</v>
      </c>
      <c r="F1281" s="165" t="s">
        <v>5479</v>
      </c>
      <c r="G1281" s="165"/>
      <c r="H1281" s="165">
        <v>20475</v>
      </c>
      <c r="I1281" s="165"/>
      <c r="J1281" s="165"/>
      <c r="K1281" s="165">
        <v>20475</v>
      </c>
      <c r="L1281" s="165"/>
      <c r="M1281" s="165"/>
      <c r="N1281" s="165"/>
      <c r="O1281" s="337">
        <f t="shared" si="44"/>
        <v>0</v>
      </c>
      <c r="P1281" s="165" t="s">
        <v>5504</v>
      </c>
      <c r="Q1281" s="165" t="s">
        <v>5479</v>
      </c>
      <c r="R1281" s="3">
        <f t="shared" ref="R1281:R1287" si="46">H1281+G1281+I1281</f>
        <v>20475</v>
      </c>
      <c r="S1281" s="165">
        <v>20475</v>
      </c>
      <c r="T1281"/>
      <c r="U1281" s="3"/>
      <c r="V1281" s="271" t="s">
        <v>2740</v>
      </c>
    </row>
    <row r="1282" spans="1:22">
      <c r="A1282" s="165" t="s">
        <v>5469</v>
      </c>
      <c r="B1282" s="94">
        <v>1272</v>
      </c>
      <c r="C1282" s="165" t="s">
        <v>5208</v>
      </c>
      <c r="D1282" s="165">
        <v>3</v>
      </c>
      <c r="E1282" s="165" t="s">
        <v>5473</v>
      </c>
      <c r="F1282" s="165" t="s">
        <v>5480</v>
      </c>
      <c r="G1282" s="165"/>
      <c r="H1282" s="165">
        <v>20475</v>
      </c>
      <c r="I1282" s="165"/>
      <c r="J1282" s="165"/>
      <c r="K1282" s="165">
        <v>20475</v>
      </c>
      <c r="L1282" s="165"/>
      <c r="M1282" s="165"/>
      <c r="N1282" s="165"/>
      <c r="O1282" s="337">
        <f t="shared" si="44"/>
        <v>0</v>
      </c>
      <c r="P1282" s="165" t="s">
        <v>5289</v>
      </c>
      <c r="Q1282" s="165" t="s">
        <v>5480</v>
      </c>
      <c r="R1282" s="3">
        <f t="shared" si="46"/>
        <v>20475</v>
      </c>
      <c r="S1282" s="165">
        <v>20475</v>
      </c>
      <c r="T1282"/>
      <c r="U1282" s="3"/>
      <c r="V1282" s="271" t="s">
        <v>2740</v>
      </c>
    </row>
    <row r="1283" spans="1:22">
      <c r="A1283" s="165" t="s">
        <v>5469</v>
      </c>
      <c r="B1283" s="94">
        <v>1273</v>
      </c>
      <c r="C1283" s="165" t="s">
        <v>5208</v>
      </c>
      <c r="D1283" s="165">
        <v>4</v>
      </c>
      <c r="E1283" s="165" t="s">
        <v>5474</v>
      </c>
      <c r="F1283" s="165" t="s">
        <v>5481</v>
      </c>
      <c r="G1283" s="165"/>
      <c r="H1283" s="165"/>
      <c r="I1283" s="165">
        <v>20475</v>
      </c>
      <c r="J1283" s="165"/>
      <c r="K1283" s="165"/>
      <c r="L1283" s="165">
        <v>20475</v>
      </c>
      <c r="M1283" s="165"/>
      <c r="N1283" s="165"/>
      <c r="O1283" s="337">
        <f t="shared" si="44"/>
        <v>0</v>
      </c>
      <c r="P1283" s="165" t="s">
        <v>5481</v>
      </c>
      <c r="Q1283" s="165" t="s">
        <v>5481</v>
      </c>
      <c r="R1283" s="3">
        <f t="shared" si="46"/>
        <v>20475</v>
      </c>
      <c r="S1283" s="165">
        <v>20475</v>
      </c>
      <c r="T1283"/>
      <c r="U1283" s="3"/>
      <c r="V1283" s="271" t="s">
        <v>2740</v>
      </c>
    </row>
    <row r="1284" spans="1:22">
      <c r="A1284" s="165" t="s">
        <v>5469</v>
      </c>
      <c r="B1284" s="94">
        <v>1274</v>
      </c>
      <c r="C1284" s="165" t="s">
        <v>5208</v>
      </c>
      <c r="D1284" s="165">
        <v>5</v>
      </c>
      <c r="E1284" s="165" t="s">
        <v>5475</v>
      </c>
      <c r="F1284" s="165" t="s">
        <v>5482</v>
      </c>
      <c r="G1284" s="165"/>
      <c r="H1284" s="165"/>
      <c r="I1284" s="165">
        <v>20475</v>
      </c>
      <c r="J1284" s="165"/>
      <c r="K1284" s="165"/>
      <c r="L1284" s="165">
        <v>20475</v>
      </c>
      <c r="M1284" s="165"/>
      <c r="N1284" s="165"/>
      <c r="O1284" s="337">
        <f t="shared" si="44"/>
        <v>0</v>
      </c>
      <c r="P1284" s="165" t="s">
        <v>5482</v>
      </c>
      <c r="Q1284" s="165" t="s">
        <v>5482</v>
      </c>
      <c r="R1284" s="3">
        <f t="shared" si="46"/>
        <v>20475</v>
      </c>
      <c r="S1284" s="165">
        <v>20475</v>
      </c>
      <c r="T1284"/>
      <c r="U1284" s="3"/>
      <c r="V1284" s="271" t="s">
        <v>2740</v>
      </c>
    </row>
    <row r="1285" spans="1:22">
      <c r="A1285" s="165" t="s">
        <v>5469</v>
      </c>
      <c r="B1285" s="94">
        <v>1275</v>
      </c>
      <c r="C1285" s="165" t="s">
        <v>5208</v>
      </c>
      <c r="D1285" s="165">
        <v>6</v>
      </c>
      <c r="E1285" s="165" t="s">
        <v>5476</v>
      </c>
      <c r="F1285" s="165" t="s">
        <v>5483</v>
      </c>
      <c r="G1285" s="165"/>
      <c r="H1285" s="165"/>
      <c r="I1285" s="165">
        <v>20475</v>
      </c>
      <c r="J1285" s="165"/>
      <c r="K1285" s="165"/>
      <c r="L1285" s="165">
        <v>20475</v>
      </c>
      <c r="M1285" s="165"/>
      <c r="N1285" s="165"/>
      <c r="O1285" s="337">
        <f t="shared" si="44"/>
        <v>0</v>
      </c>
      <c r="P1285" s="165" t="s">
        <v>9848</v>
      </c>
      <c r="Q1285" s="165" t="s">
        <v>9848</v>
      </c>
      <c r="R1285" s="3">
        <f t="shared" si="46"/>
        <v>20475</v>
      </c>
      <c r="S1285" s="165">
        <v>20475</v>
      </c>
      <c r="T1285"/>
      <c r="U1285" s="3"/>
      <c r="V1285" s="271" t="s">
        <v>2740</v>
      </c>
    </row>
    <row r="1286" spans="1:22">
      <c r="A1286" s="165" t="s">
        <v>5469</v>
      </c>
      <c r="B1286" s="94">
        <v>1276</v>
      </c>
      <c r="C1286" s="165" t="s">
        <v>5208</v>
      </c>
      <c r="D1286" s="165">
        <v>7</v>
      </c>
      <c r="E1286" s="165" t="s">
        <v>5477</v>
      </c>
      <c r="F1286" s="165" t="s">
        <v>5484</v>
      </c>
      <c r="G1286" s="165"/>
      <c r="H1286" s="165"/>
      <c r="I1286" s="165">
        <v>20475</v>
      </c>
      <c r="J1286" s="165"/>
      <c r="K1286" s="165"/>
      <c r="L1286" s="165">
        <v>20475</v>
      </c>
      <c r="M1286" s="165"/>
      <c r="N1286" s="165"/>
      <c r="O1286" s="337">
        <f t="shared" si="44"/>
        <v>0</v>
      </c>
      <c r="P1286" s="165" t="s">
        <v>9849</v>
      </c>
      <c r="Q1286" s="165" t="s">
        <v>9849</v>
      </c>
      <c r="R1286" s="3">
        <f t="shared" si="46"/>
        <v>20475</v>
      </c>
      <c r="S1286" s="165">
        <v>20475</v>
      </c>
      <c r="T1286"/>
      <c r="U1286" s="3"/>
      <c r="V1286" s="271" t="s">
        <v>2740</v>
      </c>
    </row>
    <row r="1287" spans="1:22">
      <c r="A1287" s="165" t="s">
        <v>5469</v>
      </c>
      <c r="B1287" s="94">
        <v>1277</v>
      </c>
      <c r="C1287" s="165" t="s">
        <v>5208</v>
      </c>
      <c r="D1287" s="165">
        <v>8</v>
      </c>
      <c r="E1287" s="165" t="s">
        <v>5478</v>
      </c>
      <c r="F1287" s="165" t="s">
        <v>5485</v>
      </c>
      <c r="G1287" s="165"/>
      <c r="H1287" s="165">
        <v>20475</v>
      </c>
      <c r="I1287" s="165"/>
      <c r="J1287" s="165"/>
      <c r="K1287" s="165"/>
      <c r="L1287" s="165">
        <v>20475</v>
      </c>
      <c r="M1287" s="165"/>
      <c r="N1287" s="165"/>
      <c r="O1287" s="337">
        <f t="shared" si="44"/>
        <v>0</v>
      </c>
      <c r="P1287" s="165" t="s">
        <v>10856</v>
      </c>
      <c r="Q1287" s="165" t="s">
        <v>5485</v>
      </c>
      <c r="R1287" s="3">
        <f t="shared" si="46"/>
        <v>20475</v>
      </c>
      <c r="S1287" s="165">
        <v>20475</v>
      </c>
      <c r="T1287"/>
      <c r="U1287" s="3"/>
      <c r="V1287" s="338"/>
    </row>
    <row r="1288" spans="1:22">
      <c r="A1288" s="165" t="s">
        <v>5497</v>
      </c>
      <c r="B1288" s="94">
        <v>1278</v>
      </c>
      <c r="C1288" s="165" t="s">
        <v>1232</v>
      </c>
      <c r="D1288" s="165">
        <v>1</v>
      </c>
      <c r="E1288" s="165" t="s">
        <v>5498</v>
      </c>
      <c r="F1288" s="165" t="s">
        <v>5303</v>
      </c>
      <c r="G1288" s="165"/>
      <c r="H1288" s="165">
        <v>16380</v>
      </c>
      <c r="I1288" s="165"/>
      <c r="J1288" s="165"/>
      <c r="K1288" s="165">
        <v>16380</v>
      </c>
      <c r="L1288" s="165"/>
      <c r="M1288" s="165"/>
      <c r="N1288" s="165"/>
      <c r="O1288" s="337">
        <f t="shared" si="44"/>
        <v>0</v>
      </c>
      <c r="P1288" s="165" t="s">
        <v>5488</v>
      </c>
      <c r="Q1288" s="165" t="s">
        <v>5303</v>
      </c>
      <c r="R1288" s="3">
        <f t="shared" ref="R1288:R1304" si="47">H1288</f>
        <v>16380</v>
      </c>
      <c r="S1288" s="337">
        <v>16380</v>
      </c>
      <c r="T1288" s="337"/>
      <c r="U1288" s="3"/>
    </row>
    <row r="1289" spans="1:22">
      <c r="A1289" s="165" t="s">
        <v>5486</v>
      </c>
      <c r="B1289" s="94">
        <v>1279</v>
      </c>
      <c r="C1289" s="165" t="s">
        <v>906</v>
      </c>
      <c r="D1289" s="165">
        <v>1</v>
      </c>
      <c r="E1289" s="165" t="s">
        <v>5487</v>
      </c>
      <c r="F1289" s="165" t="s">
        <v>5468</v>
      </c>
      <c r="G1289" s="165"/>
      <c r="H1289" s="165">
        <v>14175</v>
      </c>
      <c r="I1289" s="165"/>
      <c r="J1289" s="165"/>
      <c r="K1289" s="165">
        <v>14175</v>
      </c>
      <c r="L1289" s="165"/>
      <c r="M1289" s="165"/>
      <c r="N1289" s="165"/>
      <c r="O1289" s="337">
        <f t="shared" si="44"/>
        <v>0</v>
      </c>
      <c r="P1289" s="165" t="s">
        <v>5488</v>
      </c>
      <c r="Q1289" s="165" t="s">
        <v>5489</v>
      </c>
      <c r="R1289" s="3">
        <f t="shared" si="47"/>
        <v>14175</v>
      </c>
      <c r="S1289" s="337">
        <v>14175</v>
      </c>
      <c r="T1289"/>
      <c r="U1289" s="3"/>
    </row>
    <row r="1290" spans="1:22">
      <c r="A1290" s="165" t="s">
        <v>5486</v>
      </c>
      <c r="B1290" s="94">
        <v>1280</v>
      </c>
      <c r="C1290" s="165" t="s">
        <v>906</v>
      </c>
      <c r="D1290" s="165">
        <v>2</v>
      </c>
      <c r="E1290" s="165" t="s">
        <v>5490</v>
      </c>
      <c r="F1290" s="165" t="s">
        <v>5479</v>
      </c>
      <c r="G1290" s="165"/>
      <c r="H1290" s="165">
        <v>14175</v>
      </c>
      <c r="I1290" s="165"/>
      <c r="J1290" s="165"/>
      <c r="K1290" s="338">
        <v>14175</v>
      </c>
      <c r="L1290" s="338"/>
      <c r="M1290" s="165"/>
      <c r="N1290" s="165"/>
      <c r="O1290" s="337">
        <f t="shared" si="44"/>
        <v>0</v>
      </c>
      <c r="P1290" s="165" t="s">
        <v>5504</v>
      </c>
      <c r="Q1290" s="165" t="s">
        <v>5479</v>
      </c>
      <c r="R1290" s="3">
        <f t="shared" si="47"/>
        <v>14175</v>
      </c>
      <c r="S1290" s="337">
        <v>14175</v>
      </c>
      <c r="T1290"/>
      <c r="U1290" s="3"/>
    </row>
    <row r="1291" spans="1:22">
      <c r="A1291" s="165" t="s">
        <v>5486</v>
      </c>
      <c r="B1291" s="94">
        <v>1281</v>
      </c>
      <c r="C1291" s="165" t="s">
        <v>906</v>
      </c>
      <c r="D1291" s="165">
        <v>3</v>
      </c>
      <c r="E1291" s="165" t="s">
        <v>5491</v>
      </c>
      <c r="F1291" s="165" t="s">
        <v>5480</v>
      </c>
      <c r="G1291" s="165"/>
      <c r="H1291" s="165">
        <v>14175</v>
      </c>
      <c r="I1291" s="165"/>
      <c r="J1291" s="165"/>
      <c r="K1291" s="338">
        <v>14175</v>
      </c>
      <c r="L1291" s="338"/>
      <c r="M1291" s="165"/>
      <c r="N1291" s="165"/>
      <c r="O1291" s="337">
        <f t="shared" si="44"/>
        <v>0</v>
      </c>
      <c r="P1291" s="165" t="s">
        <v>5289</v>
      </c>
      <c r="Q1291" s="165" t="s">
        <v>5480</v>
      </c>
      <c r="R1291" s="3">
        <f t="shared" si="47"/>
        <v>14175</v>
      </c>
      <c r="S1291" s="337">
        <v>14175</v>
      </c>
      <c r="T1291"/>
      <c r="U1291" s="3"/>
    </row>
    <row r="1292" spans="1:22">
      <c r="A1292" s="165" t="s">
        <v>5486</v>
      </c>
      <c r="B1292" s="94">
        <v>1282</v>
      </c>
      <c r="C1292" s="165" t="s">
        <v>906</v>
      </c>
      <c r="D1292" s="165">
        <v>4</v>
      </c>
      <c r="E1292" s="165" t="s">
        <v>5492</v>
      </c>
      <c r="F1292" s="165" t="s">
        <v>5481</v>
      </c>
      <c r="G1292" s="165"/>
      <c r="H1292" s="165">
        <v>14175</v>
      </c>
      <c r="I1292" s="165"/>
      <c r="J1292" s="165"/>
      <c r="K1292" s="338"/>
      <c r="L1292" s="338">
        <v>14175</v>
      </c>
      <c r="M1292" s="165"/>
      <c r="N1292" s="165"/>
      <c r="O1292" s="337">
        <f t="shared" ref="O1292:O1349" si="48">G1292+H1292+I1292-J1292-K1292-L1292</f>
        <v>0</v>
      </c>
      <c r="P1292" s="165" t="s">
        <v>5481</v>
      </c>
      <c r="Q1292" s="165" t="s">
        <v>5481</v>
      </c>
      <c r="R1292" s="3">
        <f t="shared" si="47"/>
        <v>14175</v>
      </c>
      <c r="S1292" s="337">
        <v>14175</v>
      </c>
      <c r="T1292"/>
      <c r="U1292" s="3"/>
    </row>
    <row r="1293" spans="1:22">
      <c r="A1293" s="165" t="s">
        <v>5486</v>
      </c>
      <c r="B1293" s="94">
        <v>1283</v>
      </c>
      <c r="C1293" s="165" t="s">
        <v>906</v>
      </c>
      <c r="D1293" s="165">
        <v>5</v>
      </c>
      <c r="E1293" s="165" t="s">
        <v>5493</v>
      </c>
      <c r="F1293" s="165" t="s">
        <v>5482</v>
      </c>
      <c r="G1293" s="165"/>
      <c r="H1293" s="165">
        <v>14175</v>
      </c>
      <c r="I1293" s="165"/>
      <c r="J1293" s="165"/>
      <c r="K1293" s="338"/>
      <c r="L1293" s="338">
        <v>14175</v>
      </c>
      <c r="M1293" s="165"/>
      <c r="N1293" s="165"/>
      <c r="O1293" s="337">
        <f t="shared" si="48"/>
        <v>0</v>
      </c>
      <c r="P1293" s="165" t="s">
        <v>5482</v>
      </c>
      <c r="Q1293" s="165" t="s">
        <v>5482</v>
      </c>
      <c r="R1293" s="3">
        <f t="shared" si="47"/>
        <v>14175</v>
      </c>
      <c r="S1293" s="337">
        <v>14175</v>
      </c>
      <c r="T1293"/>
      <c r="U1293" s="3"/>
    </row>
    <row r="1294" spans="1:22">
      <c r="A1294" s="165" t="s">
        <v>5486</v>
      </c>
      <c r="B1294" s="94">
        <v>1284</v>
      </c>
      <c r="C1294" s="165" t="s">
        <v>906</v>
      </c>
      <c r="D1294" s="165">
        <v>6</v>
      </c>
      <c r="E1294" s="165" t="s">
        <v>5494</v>
      </c>
      <c r="F1294" s="165" t="s">
        <v>5483</v>
      </c>
      <c r="G1294" s="165"/>
      <c r="H1294" s="165">
        <v>14175</v>
      </c>
      <c r="I1294" s="165"/>
      <c r="J1294" s="165"/>
      <c r="K1294" s="338"/>
      <c r="L1294" s="338">
        <v>14175</v>
      </c>
      <c r="M1294" s="165"/>
      <c r="N1294" s="165"/>
      <c r="O1294" s="337">
        <f t="shared" si="48"/>
        <v>0</v>
      </c>
      <c r="P1294" s="165" t="s">
        <v>9848</v>
      </c>
      <c r="Q1294" s="165" t="s">
        <v>9848</v>
      </c>
      <c r="R1294" s="3">
        <f t="shared" si="47"/>
        <v>14175</v>
      </c>
      <c r="S1294" s="337">
        <v>14175</v>
      </c>
      <c r="T1294"/>
      <c r="U1294" s="3"/>
    </row>
    <row r="1295" spans="1:22">
      <c r="A1295" s="165" t="s">
        <v>5486</v>
      </c>
      <c r="B1295" s="94">
        <v>1285</v>
      </c>
      <c r="C1295" s="165" t="s">
        <v>906</v>
      </c>
      <c r="D1295" s="165">
        <v>7</v>
      </c>
      <c r="E1295" s="165" t="s">
        <v>5495</v>
      </c>
      <c r="F1295" s="165" t="s">
        <v>5484</v>
      </c>
      <c r="G1295" s="165"/>
      <c r="H1295" s="165">
        <v>14175</v>
      </c>
      <c r="I1295" s="165"/>
      <c r="J1295" s="165"/>
      <c r="K1295" s="338"/>
      <c r="L1295" s="338">
        <v>14175</v>
      </c>
      <c r="M1295" s="165"/>
      <c r="N1295" s="165"/>
      <c r="O1295" s="337">
        <f t="shared" si="48"/>
        <v>0</v>
      </c>
      <c r="P1295" s="165" t="s">
        <v>9849</v>
      </c>
      <c r="Q1295" s="165" t="s">
        <v>9849</v>
      </c>
      <c r="R1295" s="3">
        <f t="shared" si="47"/>
        <v>14175</v>
      </c>
      <c r="S1295" s="337">
        <v>14175</v>
      </c>
      <c r="T1295"/>
      <c r="U1295" s="3"/>
    </row>
    <row r="1296" spans="1:22">
      <c r="A1296" s="165" t="s">
        <v>5486</v>
      </c>
      <c r="B1296" s="94">
        <v>1286</v>
      </c>
      <c r="C1296" s="165" t="s">
        <v>906</v>
      </c>
      <c r="D1296" s="165">
        <v>8</v>
      </c>
      <c r="E1296" s="165" t="s">
        <v>5496</v>
      </c>
      <c r="F1296" s="405" t="s">
        <v>5485</v>
      </c>
      <c r="G1296" s="165"/>
      <c r="H1296" s="165">
        <v>14175</v>
      </c>
      <c r="I1296" s="165"/>
      <c r="J1296" s="165"/>
      <c r="K1296" s="338"/>
      <c r="L1296" s="338">
        <v>14175</v>
      </c>
      <c r="M1296" s="165"/>
      <c r="N1296" s="165"/>
      <c r="O1296" s="337">
        <f t="shared" si="48"/>
        <v>0</v>
      </c>
      <c r="P1296" s="165" t="s">
        <v>9700</v>
      </c>
      <c r="Q1296" s="165" t="s">
        <v>5485</v>
      </c>
      <c r="R1296" s="3">
        <f t="shared" si="47"/>
        <v>14175</v>
      </c>
      <c r="S1296" s="337">
        <v>14175</v>
      </c>
      <c r="T1296"/>
      <c r="U1296" s="3"/>
    </row>
    <row r="1297" spans="1:22">
      <c r="A1297" s="165" t="s">
        <v>5375</v>
      </c>
      <c r="B1297" s="94">
        <v>1287</v>
      </c>
      <c r="C1297" s="165" t="s">
        <v>4149</v>
      </c>
      <c r="D1297" s="165">
        <v>1</v>
      </c>
      <c r="E1297" s="165" t="s">
        <v>5522</v>
      </c>
      <c r="F1297" s="165" t="s">
        <v>4226</v>
      </c>
      <c r="G1297" s="165"/>
      <c r="H1297" s="165">
        <v>14175</v>
      </c>
      <c r="I1297" s="165"/>
      <c r="J1297" s="165"/>
      <c r="K1297" s="165">
        <v>14175</v>
      </c>
      <c r="L1297" s="165"/>
      <c r="M1297" s="165"/>
      <c r="N1297" s="165"/>
      <c r="O1297" s="337">
        <f t="shared" si="48"/>
        <v>0</v>
      </c>
      <c r="P1297" s="165" t="s">
        <v>5504</v>
      </c>
      <c r="Q1297" s="165" t="s">
        <v>5505</v>
      </c>
      <c r="R1297" s="3">
        <f t="shared" si="47"/>
        <v>14175</v>
      </c>
      <c r="S1297" s="337">
        <v>14175</v>
      </c>
      <c r="T1297"/>
      <c r="U1297" s="3"/>
    </row>
    <row r="1298" spans="1:22">
      <c r="A1298" s="165" t="s">
        <v>5375</v>
      </c>
      <c r="B1298" s="94">
        <v>1288</v>
      </c>
      <c r="C1298" s="165" t="s">
        <v>4149</v>
      </c>
      <c r="D1298" s="165">
        <v>2</v>
      </c>
      <c r="E1298" s="165" t="s">
        <v>5523</v>
      </c>
      <c r="F1298" s="165" t="s">
        <v>4624</v>
      </c>
      <c r="G1298" s="165"/>
      <c r="H1298" s="165">
        <v>14175</v>
      </c>
      <c r="I1298" s="165"/>
      <c r="J1298" s="165"/>
      <c r="K1298" s="338">
        <v>14175</v>
      </c>
      <c r="L1298" s="338"/>
      <c r="M1298" s="165"/>
      <c r="N1298" s="165"/>
      <c r="O1298" s="337">
        <f t="shared" si="48"/>
        <v>0</v>
      </c>
      <c r="P1298" s="165" t="s">
        <v>5551</v>
      </c>
      <c r="Q1298" s="165" t="s">
        <v>4624</v>
      </c>
      <c r="R1298" s="3">
        <f t="shared" si="47"/>
        <v>14175</v>
      </c>
      <c r="S1298" s="337">
        <v>14175</v>
      </c>
      <c r="T1298"/>
      <c r="U1298" s="3"/>
    </row>
    <row r="1299" spans="1:22">
      <c r="A1299" s="165" t="s">
        <v>5375</v>
      </c>
      <c r="B1299" s="94">
        <v>1289</v>
      </c>
      <c r="C1299" s="165" t="s">
        <v>4149</v>
      </c>
      <c r="D1299" s="165">
        <v>3</v>
      </c>
      <c r="E1299" s="165" t="s">
        <v>5524</v>
      </c>
      <c r="F1299" s="165" t="s">
        <v>4625</v>
      </c>
      <c r="G1299" s="165"/>
      <c r="H1299" s="165">
        <v>14175</v>
      </c>
      <c r="I1299" s="165"/>
      <c r="J1299" s="165"/>
      <c r="K1299" s="338"/>
      <c r="L1299" s="338">
        <v>14175</v>
      </c>
      <c r="M1299" s="165"/>
      <c r="N1299" s="165"/>
      <c r="O1299" s="337">
        <f t="shared" si="48"/>
        <v>0</v>
      </c>
      <c r="P1299" s="165" t="s">
        <v>4655</v>
      </c>
      <c r="Q1299" s="165" t="s">
        <v>4655</v>
      </c>
      <c r="R1299" s="3">
        <f t="shared" si="47"/>
        <v>14175</v>
      </c>
      <c r="S1299" s="337">
        <v>14175</v>
      </c>
      <c r="T1299"/>
      <c r="U1299" s="3"/>
    </row>
    <row r="1300" spans="1:22">
      <c r="A1300" s="165" t="s">
        <v>5375</v>
      </c>
      <c r="B1300" s="94">
        <v>1290</v>
      </c>
      <c r="C1300" s="165" t="s">
        <v>4149</v>
      </c>
      <c r="D1300" s="165">
        <v>4</v>
      </c>
      <c r="E1300" s="165" t="s">
        <v>5525</v>
      </c>
      <c r="F1300" s="165" t="s">
        <v>5347</v>
      </c>
      <c r="G1300" s="165"/>
      <c r="H1300" s="165">
        <v>14175</v>
      </c>
      <c r="I1300" s="165"/>
      <c r="J1300" s="165"/>
      <c r="K1300" s="338"/>
      <c r="L1300" s="338">
        <v>14175</v>
      </c>
      <c r="M1300" s="165"/>
      <c r="N1300" s="165"/>
      <c r="O1300" s="337">
        <f t="shared" si="48"/>
        <v>0</v>
      </c>
      <c r="P1300" s="165" t="s">
        <v>5347</v>
      </c>
      <c r="Q1300" s="165" t="s">
        <v>5347</v>
      </c>
      <c r="R1300" s="3">
        <f t="shared" si="47"/>
        <v>14175</v>
      </c>
      <c r="S1300" s="337">
        <v>14175</v>
      </c>
      <c r="T1300"/>
      <c r="U1300" s="3"/>
    </row>
    <row r="1301" spans="1:22">
      <c r="A1301" s="165" t="s">
        <v>5375</v>
      </c>
      <c r="B1301" s="94">
        <v>1291</v>
      </c>
      <c r="C1301" s="165" t="s">
        <v>4149</v>
      </c>
      <c r="D1301" s="165">
        <v>5</v>
      </c>
      <c r="E1301" s="165" t="s">
        <v>5526</v>
      </c>
      <c r="F1301" s="165" t="s">
        <v>5348</v>
      </c>
      <c r="G1301" s="165"/>
      <c r="H1301" s="165">
        <v>14175</v>
      </c>
      <c r="I1301" s="165"/>
      <c r="J1301" s="165"/>
      <c r="K1301" s="338"/>
      <c r="L1301" s="338">
        <v>14175</v>
      </c>
      <c r="M1301" s="165"/>
      <c r="N1301" s="165"/>
      <c r="O1301" s="337">
        <f t="shared" si="48"/>
        <v>0</v>
      </c>
      <c r="P1301" s="165" t="s">
        <v>5348</v>
      </c>
      <c r="Q1301" s="165" t="s">
        <v>5348</v>
      </c>
      <c r="R1301" s="3">
        <f t="shared" si="47"/>
        <v>14175</v>
      </c>
      <c r="S1301" s="337">
        <v>14175</v>
      </c>
      <c r="T1301"/>
      <c r="U1301" s="3"/>
    </row>
    <row r="1302" spans="1:22">
      <c r="A1302" s="165" t="s">
        <v>5375</v>
      </c>
      <c r="B1302" s="94">
        <v>1292</v>
      </c>
      <c r="C1302" s="165" t="s">
        <v>4149</v>
      </c>
      <c r="D1302" s="165">
        <v>6</v>
      </c>
      <c r="E1302" s="165" t="s">
        <v>5527</v>
      </c>
      <c r="F1302" s="165" t="s">
        <v>5349</v>
      </c>
      <c r="G1302" s="165"/>
      <c r="H1302" s="165">
        <v>14175</v>
      </c>
      <c r="I1302" s="165"/>
      <c r="J1302" s="165"/>
      <c r="K1302" s="338"/>
      <c r="L1302" s="338">
        <v>14175</v>
      </c>
      <c r="M1302" s="165"/>
      <c r="N1302" s="165"/>
      <c r="O1302" s="337">
        <f t="shared" si="48"/>
        <v>0</v>
      </c>
      <c r="P1302" s="165" t="s">
        <v>5349</v>
      </c>
      <c r="Q1302" s="165" t="s">
        <v>5349</v>
      </c>
      <c r="R1302" s="3">
        <f t="shared" si="47"/>
        <v>14175</v>
      </c>
      <c r="S1302" s="337">
        <v>14175</v>
      </c>
      <c r="T1302"/>
      <c r="U1302" s="3"/>
    </row>
    <row r="1303" spans="1:22">
      <c r="A1303" s="165" t="s">
        <v>5375</v>
      </c>
      <c r="B1303" s="94">
        <v>1293</v>
      </c>
      <c r="C1303" s="165" t="s">
        <v>4149</v>
      </c>
      <c r="D1303" s="165">
        <v>7</v>
      </c>
      <c r="E1303" s="165" t="s">
        <v>5528</v>
      </c>
      <c r="F1303" s="405" t="s">
        <v>5463</v>
      </c>
      <c r="G1303" s="165"/>
      <c r="H1303" s="165">
        <v>14175</v>
      </c>
      <c r="I1303" s="165"/>
      <c r="J1303" s="165"/>
      <c r="K1303" s="338"/>
      <c r="L1303" s="338">
        <v>14175</v>
      </c>
      <c r="M1303" s="165"/>
      <c r="N1303" s="165"/>
      <c r="O1303" s="337">
        <f t="shared" si="48"/>
        <v>0</v>
      </c>
      <c r="P1303" s="165" t="s">
        <v>10821</v>
      </c>
      <c r="Q1303" s="165" t="s">
        <v>5463</v>
      </c>
      <c r="R1303" s="3">
        <f t="shared" si="47"/>
        <v>14175</v>
      </c>
      <c r="S1303" s="337">
        <v>14175</v>
      </c>
      <c r="T1303"/>
      <c r="U1303" s="3"/>
    </row>
    <row r="1304" spans="1:22">
      <c r="A1304" s="165" t="s">
        <v>5375</v>
      </c>
      <c r="B1304" s="94">
        <v>1294</v>
      </c>
      <c r="C1304" s="165" t="s">
        <v>4149</v>
      </c>
      <c r="D1304" s="165">
        <v>8</v>
      </c>
      <c r="E1304" s="165" t="s">
        <v>5529</v>
      </c>
      <c r="F1304" s="405" t="s">
        <v>5530</v>
      </c>
      <c r="G1304" s="165"/>
      <c r="H1304" s="165">
        <v>14175</v>
      </c>
      <c r="I1304" s="165"/>
      <c r="J1304" s="165"/>
      <c r="K1304" s="338"/>
      <c r="L1304" s="338">
        <v>14175</v>
      </c>
      <c r="M1304" s="165"/>
      <c r="N1304" s="165"/>
      <c r="O1304" s="337">
        <f t="shared" si="48"/>
        <v>0</v>
      </c>
      <c r="P1304" s="165" t="s">
        <v>8973</v>
      </c>
      <c r="Q1304" s="165" t="s">
        <v>10875</v>
      </c>
      <c r="R1304" s="3">
        <f t="shared" si="47"/>
        <v>14175</v>
      </c>
      <c r="S1304" s="337">
        <v>14175</v>
      </c>
      <c r="T1304"/>
      <c r="U1304" s="3"/>
    </row>
    <row r="1305" spans="1:22">
      <c r="A1305" s="565" t="s">
        <v>4735</v>
      </c>
      <c r="B1305" s="94">
        <v>1295</v>
      </c>
      <c r="C1305" s="565" t="s">
        <v>4182</v>
      </c>
      <c r="D1305" s="565">
        <v>1</v>
      </c>
      <c r="E1305" s="565" t="s">
        <v>5581</v>
      </c>
      <c r="F1305" s="565" t="s">
        <v>5343</v>
      </c>
      <c r="G1305" s="565"/>
      <c r="H1305" s="565">
        <v>11970</v>
      </c>
      <c r="I1305" s="565"/>
      <c r="J1305" s="565"/>
      <c r="K1305" s="565"/>
      <c r="L1305" s="565">
        <v>11970</v>
      </c>
      <c r="M1305" s="565"/>
      <c r="N1305" s="565"/>
      <c r="O1305" s="337">
        <f t="shared" si="48"/>
        <v>0</v>
      </c>
      <c r="P1305" s="565" t="s">
        <v>9667</v>
      </c>
      <c r="Q1305" s="565" t="s">
        <v>9667</v>
      </c>
      <c r="R1305" s="629">
        <v>11970</v>
      </c>
      <c r="S1305">
        <v>11970</v>
      </c>
      <c r="T1305"/>
      <c r="U1305" s="3"/>
      <c r="V1305" s="271" t="s">
        <v>5545</v>
      </c>
    </row>
    <row r="1306" spans="1:22">
      <c r="A1306" s="336" t="s">
        <v>4735</v>
      </c>
      <c r="B1306" s="94">
        <v>1296</v>
      </c>
      <c r="C1306" s="336" t="s">
        <v>4182</v>
      </c>
      <c r="D1306" s="336">
        <v>2</v>
      </c>
      <c r="E1306" s="336" t="s">
        <v>5582</v>
      </c>
      <c r="F1306" s="336" t="s">
        <v>5588</v>
      </c>
      <c r="G1306" s="336"/>
      <c r="H1306" s="336">
        <v>11970</v>
      </c>
      <c r="I1306" s="336"/>
      <c r="J1306" s="336"/>
      <c r="K1306" s="336"/>
      <c r="L1306" s="336">
        <v>11970</v>
      </c>
      <c r="M1306" s="336"/>
      <c r="N1306" s="336"/>
      <c r="O1306" s="337">
        <f t="shared" si="48"/>
        <v>0</v>
      </c>
      <c r="P1306" s="336" t="s">
        <v>9628</v>
      </c>
      <c r="Q1306" s="336" t="s">
        <v>9628</v>
      </c>
      <c r="R1306" s="583">
        <v>11970</v>
      </c>
      <c r="S1306">
        <v>11970</v>
      </c>
      <c r="T1306"/>
      <c r="U1306" s="3"/>
      <c r="V1306" s="271"/>
    </row>
    <row r="1307" spans="1:22">
      <c r="A1307" s="336" t="s">
        <v>4735</v>
      </c>
      <c r="B1307" s="94">
        <v>1297</v>
      </c>
      <c r="C1307" s="336" t="s">
        <v>4182</v>
      </c>
      <c r="D1307" s="336">
        <v>3</v>
      </c>
      <c r="E1307" s="336" t="s">
        <v>5583</v>
      </c>
      <c r="F1307" s="336" t="s">
        <v>5344</v>
      </c>
      <c r="G1307" s="336"/>
      <c r="H1307" s="336">
        <v>11970</v>
      </c>
      <c r="I1307" s="336"/>
      <c r="J1307" s="336"/>
      <c r="K1307" s="336"/>
      <c r="L1307" s="336">
        <v>11970</v>
      </c>
      <c r="M1307" s="336"/>
      <c r="N1307" s="336"/>
      <c r="O1307" s="337">
        <f t="shared" si="48"/>
        <v>0</v>
      </c>
      <c r="P1307" s="336" t="s">
        <v>5344</v>
      </c>
      <c r="Q1307" s="336" t="s">
        <v>5344</v>
      </c>
      <c r="R1307" s="583">
        <v>11970</v>
      </c>
      <c r="S1307">
        <v>11970</v>
      </c>
      <c r="T1307"/>
      <c r="U1307" s="3"/>
      <c r="V1307" s="271"/>
    </row>
    <row r="1308" spans="1:22">
      <c r="A1308" s="336" t="s">
        <v>4735</v>
      </c>
      <c r="B1308" s="94">
        <v>1298</v>
      </c>
      <c r="C1308" s="336" t="s">
        <v>4182</v>
      </c>
      <c r="D1308" s="336">
        <v>4</v>
      </c>
      <c r="E1308" s="336" t="s">
        <v>5584</v>
      </c>
      <c r="F1308" s="336" t="s">
        <v>5589</v>
      </c>
      <c r="G1308" s="336"/>
      <c r="H1308" s="336">
        <v>11970</v>
      </c>
      <c r="I1308" s="336"/>
      <c r="J1308" s="336"/>
      <c r="K1308" s="336"/>
      <c r="L1308" s="336">
        <v>11970</v>
      </c>
      <c r="M1308" s="336"/>
      <c r="N1308" s="336"/>
      <c r="O1308" s="337">
        <f t="shared" si="48"/>
        <v>0</v>
      </c>
      <c r="P1308" s="336" t="s">
        <v>9636</v>
      </c>
      <c r="Q1308" s="336" t="s">
        <v>9636</v>
      </c>
      <c r="R1308" s="583">
        <v>11970</v>
      </c>
      <c r="S1308">
        <v>11970</v>
      </c>
      <c r="T1308"/>
      <c r="U1308" s="3"/>
      <c r="V1308" s="271"/>
    </row>
    <row r="1309" spans="1:22">
      <c r="A1309" s="565" t="s">
        <v>4735</v>
      </c>
      <c r="B1309" s="94">
        <v>1299</v>
      </c>
      <c r="C1309" s="565" t="s">
        <v>4182</v>
      </c>
      <c r="D1309" s="565">
        <v>5</v>
      </c>
      <c r="E1309" s="565" t="s">
        <v>5544</v>
      </c>
      <c r="F1309" s="565" t="s">
        <v>5345</v>
      </c>
      <c r="G1309" s="565"/>
      <c r="H1309" s="565">
        <v>11970</v>
      </c>
      <c r="I1309" s="565"/>
      <c r="J1309" s="565"/>
      <c r="K1309" s="565"/>
      <c r="L1309" s="565">
        <v>11970</v>
      </c>
      <c r="M1309" s="565"/>
      <c r="N1309" s="565"/>
      <c r="O1309" s="337">
        <f t="shared" si="48"/>
        <v>0</v>
      </c>
      <c r="P1309" s="565" t="s">
        <v>5504</v>
      </c>
      <c r="Q1309" s="565" t="s">
        <v>8809</v>
      </c>
      <c r="R1309" s="629">
        <v>11970</v>
      </c>
      <c r="S1309">
        <v>11970</v>
      </c>
      <c r="T1309"/>
      <c r="U1309" s="3"/>
      <c r="V1309" s="271" t="s">
        <v>5545</v>
      </c>
    </row>
    <row r="1310" spans="1:22">
      <c r="A1310" s="336" t="s">
        <v>4735</v>
      </c>
      <c r="B1310" s="94">
        <v>1300</v>
      </c>
      <c r="C1310" s="336" t="s">
        <v>4182</v>
      </c>
      <c r="D1310" s="336">
        <v>6</v>
      </c>
      <c r="E1310" s="336" t="s">
        <v>5585</v>
      </c>
      <c r="F1310" s="336" t="s">
        <v>5346</v>
      </c>
      <c r="G1310" s="336"/>
      <c r="H1310" s="336">
        <v>11970</v>
      </c>
      <c r="I1310" s="336"/>
      <c r="J1310" s="336"/>
      <c r="K1310" s="336"/>
      <c r="L1310" s="336">
        <v>11970</v>
      </c>
      <c r="M1310" s="336"/>
      <c r="N1310" s="336"/>
      <c r="O1310" s="337">
        <f t="shared" si="48"/>
        <v>0</v>
      </c>
      <c r="P1310" s="336" t="s">
        <v>8839</v>
      </c>
      <c r="Q1310" s="336" t="s">
        <v>10818</v>
      </c>
      <c r="R1310" s="583">
        <v>11970</v>
      </c>
      <c r="S1310">
        <v>11970</v>
      </c>
      <c r="T1310"/>
      <c r="U1310" s="3"/>
      <c r="V1310" s="271"/>
    </row>
    <row r="1311" spans="1:22">
      <c r="A1311" s="336" t="s">
        <v>4735</v>
      </c>
      <c r="B1311" s="94">
        <v>1301</v>
      </c>
      <c r="C1311" s="336" t="s">
        <v>4182</v>
      </c>
      <c r="D1311" s="336">
        <v>7</v>
      </c>
      <c r="E1311" s="336" t="s">
        <v>5586</v>
      </c>
      <c r="F1311" s="336" t="s">
        <v>5590</v>
      </c>
      <c r="G1311" s="336"/>
      <c r="H1311" s="336">
        <v>11970</v>
      </c>
      <c r="I1311" s="336"/>
      <c r="J1311" s="336"/>
      <c r="K1311" s="336"/>
      <c r="L1311" s="336">
        <v>11970</v>
      </c>
      <c r="M1311" s="336"/>
      <c r="N1311" s="336"/>
      <c r="O1311" s="337">
        <f t="shared" si="48"/>
        <v>0</v>
      </c>
      <c r="P1311" s="336" t="s">
        <v>9700</v>
      </c>
      <c r="Q1311" s="336" t="s">
        <v>5590</v>
      </c>
      <c r="R1311" s="583">
        <v>11970</v>
      </c>
      <c r="S1311">
        <v>11970</v>
      </c>
      <c r="T1311"/>
      <c r="U1311" s="3"/>
      <c r="V1311" s="271"/>
    </row>
    <row r="1312" spans="1:22">
      <c r="A1312" s="336" t="s">
        <v>4735</v>
      </c>
      <c r="B1312" s="94">
        <v>1302</v>
      </c>
      <c r="C1312" s="336" t="s">
        <v>4182</v>
      </c>
      <c r="D1312" s="336">
        <v>8</v>
      </c>
      <c r="E1312" s="336" t="s">
        <v>5587</v>
      </c>
      <c r="F1312" s="336" t="s">
        <v>5591</v>
      </c>
      <c r="G1312" s="336"/>
      <c r="H1312" s="336">
        <v>11970</v>
      </c>
      <c r="I1312" s="336"/>
      <c r="J1312" s="336"/>
      <c r="K1312" s="336"/>
      <c r="L1312" s="336">
        <v>11970</v>
      </c>
      <c r="M1312" s="336"/>
      <c r="N1312" s="336"/>
      <c r="O1312" s="337">
        <f t="shared" si="48"/>
        <v>0</v>
      </c>
      <c r="P1312" s="336" t="s">
        <v>9702</v>
      </c>
      <c r="Q1312" s="336" t="s">
        <v>10922</v>
      </c>
      <c r="R1312" s="583">
        <v>11970</v>
      </c>
      <c r="S1312">
        <v>11970</v>
      </c>
      <c r="T1312"/>
      <c r="U1312" s="3"/>
      <c r="V1312" s="271"/>
    </row>
    <row r="1313" spans="1:22">
      <c r="A1313" s="165" t="s">
        <v>5502</v>
      </c>
      <c r="B1313" s="94">
        <v>1303</v>
      </c>
      <c r="C1313" s="165" t="s">
        <v>4230</v>
      </c>
      <c r="D1313" s="165">
        <v>1</v>
      </c>
      <c r="E1313" s="165" t="s">
        <v>5503</v>
      </c>
      <c r="F1313" s="165" t="s">
        <v>4653</v>
      </c>
      <c r="G1313" s="165"/>
      <c r="H1313" s="165">
        <v>3780</v>
      </c>
      <c r="I1313" s="165"/>
      <c r="J1313" s="165"/>
      <c r="K1313" s="165">
        <v>3780</v>
      </c>
      <c r="L1313" s="165"/>
      <c r="M1313" s="165"/>
      <c r="N1313" s="165"/>
      <c r="O1313" s="337">
        <f t="shared" si="48"/>
        <v>0</v>
      </c>
      <c r="P1313" s="165" t="s">
        <v>5504</v>
      </c>
      <c r="Q1313" s="165" t="s">
        <v>5505</v>
      </c>
      <c r="R1313" s="3">
        <f t="shared" ref="R1313:R1324" si="49">H1313</f>
        <v>3780</v>
      </c>
      <c r="S1313" s="337">
        <v>3780</v>
      </c>
      <c r="T1313"/>
      <c r="U1313" s="3"/>
    </row>
    <row r="1314" spans="1:22">
      <c r="A1314" s="165" t="s">
        <v>5502</v>
      </c>
      <c r="B1314" s="94">
        <v>1304</v>
      </c>
      <c r="C1314" s="165" t="s">
        <v>4230</v>
      </c>
      <c r="D1314" s="165">
        <v>2</v>
      </c>
      <c r="E1314" s="165" t="s">
        <v>5510</v>
      </c>
      <c r="F1314" s="165" t="s">
        <v>5506</v>
      </c>
      <c r="G1314" s="165"/>
      <c r="H1314" s="165">
        <v>3780</v>
      </c>
      <c r="I1314" s="165"/>
      <c r="J1314" s="165"/>
      <c r="K1314" s="338">
        <v>3780</v>
      </c>
      <c r="L1314" s="338"/>
      <c r="M1314" s="165"/>
      <c r="N1314" s="165"/>
      <c r="O1314" s="337">
        <f t="shared" si="48"/>
        <v>0</v>
      </c>
      <c r="P1314" s="165" t="s">
        <v>5504</v>
      </c>
      <c r="Q1314" s="165" t="s">
        <v>5546</v>
      </c>
      <c r="R1314" s="3">
        <f t="shared" si="49"/>
        <v>3780</v>
      </c>
      <c r="S1314" s="337">
        <v>3780</v>
      </c>
      <c r="T1314"/>
      <c r="U1314" s="3"/>
    </row>
    <row r="1315" spans="1:22">
      <c r="A1315" s="165" t="s">
        <v>5502</v>
      </c>
      <c r="B1315" s="94">
        <v>1305</v>
      </c>
      <c r="C1315" s="165" t="s">
        <v>4230</v>
      </c>
      <c r="D1315" s="165">
        <v>3</v>
      </c>
      <c r="E1315" s="165" t="s">
        <v>5511</v>
      </c>
      <c r="F1315" s="165" t="s">
        <v>5429</v>
      </c>
      <c r="G1315" s="165"/>
      <c r="H1315" s="165">
        <v>3780</v>
      </c>
      <c r="I1315" s="165"/>
      <c r="J1315" s="165"/>
      <c r="K1315" s="338">
        <v>3780</v>
      </c>
      <c r="L1315" s="338"/>
      <c r="M1315" s="165"/>
      <c r="N1315" s="165"/>
      <c r="O1315" s="337">
        <f t="shared" si="48"/>
        <v>0</v>
      </c>
      <c r="P1315" s="165" t="s">
        <v>5263</v>
      </c>
      <c r="Q1315" s="165" t="s">
        <v>5429</v>
      </c>
      <c r="R1315" s="3">
        <f t="shared" si="49"/>
        <v>3780</v>
      </c>
      <c r="S1315" s="337">
        <v>3780</v>
      </c>
      <c r="T1315"/>
      <c r="U1315" s="3"/>
    </row>
    <row r="1316" spans="1:22">
      <c r="A1316" s="165" t="s">
        <v>5502</v>
      </c>
      <c r="B1316" s="94">
        <v>1306</v>
      </c>
      <c r="C1316" s="165" t="s">
        <v>4230</v>
      </c>
      <c r="D1316" s="165">
        <v>4</v>
      </c>
      <c r="E1316" s="165" t="s">
        <v>5512</v>
      </c>
      <c r="F1316" s="165" t="s">
        <v>4654</v>
      </c>
      <c r="G1316" s="165"/>
      <c r="H1316" s="165">
        <v>3780</v>
      </c>
      <c r="I1316" s="165"/>
      <c r="J1316" s="165"/>
      <c r="K1316" s="338">
        <v>3780</v>
      </c>
      <c r="L1316" s="338"/>
      <c r="M1316" s="165"/>
      <c r="N1316" s="165"/>
      <c r="O1316" s="337">
        <f t="shared" si="48"/>
        <v>0</v>
      </c>
      <c r="P1316" s="165" t="s">
        <v>5551</v>
      </c>
      <c r="Q1316" s="165" t="s">
        <v>4654</v>
      </c>
      <c r="R1316" s="3">
        <f t="shared" si="49"/>
        <v>3780</v>
      </c>
      <c r="S1316" s="337">
        <v>3780</v>
      </c>
      <c r="T1316"/>
      <c r="U1316" s="3"/>
    </row>
    <row r="1317" spans="1:22">
      <c r="A1317" s="165" t="s">
        <v>5502</v>
      </c>
      <c r="B1317" s="94">
        <v>1307</v>
      </c>
      <c r="C1317" s="165" t="s">
        <v>4230</v>
      </c>
      <c r="D1317" s="165">
        <v>5</v>
      </c>
      <c r="E1317" s="165" t="s">
        <v>5513</v>
      </c>
      <c r="F1317" s="165" t="s">
        <v>5507</v>
      </c>
      <c r="G1317" s="165"/>
      <c r="H1317" s="165">
        <v>3780</v>
      </c>
      <c r="I1317" s="165"/>
      <c r="J1317" s="165"/>
      <c r="K1317" s="338"/>
      <c r="L1317" s="338">
        <v>3780</v>
      </c>
      <c r="M1317" s="165"/>
      <c r="N1317" s="165"/>
      <c r="O1317" s="337">
        <f t="shared" si="48"/>
        <v>0</v>
      </c>
      <c r="P1317" s="165" t="s">
        <v>9628</v>
      </c>
      <c r="Q1317" s="165" t="s">
        <v>9628</v>
      </c>
      <c r="R1317" s="3">
        <f t="shared" si="49"/>
        <v>3780</v>
      </c>
      <c r="S1317" s="337">
        <v>3780</v>
      </c>
      <c r="T1317"/>
      <c r="U1317" s="3"/>
    </row>
    <row r="1318" spans="1:22">
      <c r="A1318" s="165" t="s">
        <v>5502</v>
      </c>
      <c r="B1318" s="94">
        <v>1308</v>
      </c>
      <c r="C1318" s="165" t="s">
        <v>4230</v>
      </c>
      <c r="D1318" s="165">
        <v>6</v>
      </c>
      <c r="E1318" s="165" t="s">
        <v>5514</v>
      </c>
      <c r="F1318" s="165" t="s">
        <v>5430</v>
      </c>
      <c r="G1318" s="165"/>
      <c r="H1318" s="165">
        <v>3780</v>
      </c>
      <c r="I1318" s="165"/>
      <c r="J1318" s="165"/>
      <c r="K1318" s="338"/>
      <c r="L1318" s="338">
        <v>3780</v>
      </c>
      <c r="M1318" s="165"/>
      <c r="N1318" s="165"/>
      <c r="O1318" s="337">
        <f t="shared" si="48"/>
        <v>0</v>
      </c>
      <c r="P1318" s="165" t="s">
        <v>4640</v>
      </c>
      <c r="Q1318" s="165" t="s">
        <v>4640</v>
      </c>
      <c r="R1318" s="3">
        <f t="shared" si="49"/>
        <v>3780</v>
      </c>
      <c r="S1318" s="337">
        <v>3780</v>
      </c>
      <c r="T1318"/>
      <c r="U1318" s="3"/>
    </row>
    <row r="1319" spans="1:22">
      <c r="A1319" s="165" t="s">
        <v>5502</v>
      </c>
      <c r="B1319" s="94">
        <v>1309</v>
      </c>
      <c r="C1319" s="165" t="s">
        <v>4230</v>
      </c>
      <c r="D1319" s="165">
        <v>7</v>
      </c>
      <c r="E1319" s="165" t="s">
        <v>5515</v>
      </c>
      <c r="F1319" s="165" t="s">
        <v>4655</v>
      </c>
      <c r="G1319" s="165"/>
      <c r="H1319" s="165">
        <v>3780</v>
      </c>
      <c r="I1319" s="165"/>
      <c r="J1319" s="165"/>
      <c r="K1319" s="338"/>
      <c r="L1319" s="338">
        <v>3780</v>
      </c>
      <c r="M1319" s="165"/>
      <c r="N1319" s="165"/>
      <c r="O1319" s="337">
        <f t="shared" si="48"/>
        <v>0</v>
      </c>
      <c r="P1319" s="165" t="s">
        <v>4655</v>
      </c>
      <c r="Q1319" s="165" t="s">
        <v>4655</v>
      </c>
      <c r="R1319" s="3">
        <f t="shared" si="49"/>
        <v>3780</v>
      </c>
      <c r="S1319" s="337">
        <v>3780</v>
      </c>
      <c r="T1319"/>
      <c r="U1319" s="3"/>
    </row>
    <row r="1320" spans="1:22">
      <c r="A1320" s="165" t="s">
        <v>5502</v>
      </c>
      <c r="B1320" s="94">
        <v>1310</v>
      </c>
      <c r="C1320" s="165" t="s">
        <v>4230</v>
      </c>
      <c r="D1320" s="165">
        <v>8</v>
      </c>
      <c r="E1320" s="165" t="s">
        <v>5516</v>
      </c>
      <c r="F1320" s="165" t="s">
        <v>5508</v>
      </c>
      <c r="G1320" s="165"/>
      <c r="H1320" s="165">
        <v>3780</v>
      </c>
      <c r="I1320" s="165"/>
      <c r="J1320" s="165"/>
      <c r="K1320" s="338"/>
      <c r="L1320" s="338">
        <v>3780</v>
      </c>
      <c r="M1320" s="165"/>
      <c r="N1320" s="165"/>
      <c r="O1320" s="337">
        <f t="shared" si="48"/>
        <v>0</v>
      </c>
      <c r="P1320" s="165" t="s">
        <v>9633</v>
      </c>
      <c r="Q1320" s="165" t="s">
        <v>9633</v>
      </c>
      <c r="R1320" s="3">
        <f t="shared" si="49"/>
        <v>3780</v>
      </c>
      <c r="S1320" s="337">
        <v>3780</v>
      </c>
      <c r="T1320"/>
      <c r="U1320" s="3"/>
    </row>
    <row r="1321" spans="1:22">
      <c r="A1321" s="165" t="s">
        <v>5502</v>
      </c>
      <c r="B1321" s="94">
        <v>1311</v>
      </c>
      <c r="C1321" s="165" t="s">
        <v>4230</v>
      </c>
      <c r="D1321" s="165">
        <v>9</v>
      </c>
      <c r="E1321" s="165" t="s">
        <v>5517</v>
      </c>
      <c r="F1321" s="165" t="s">
        <v>5431</v>
      </c>
      <c r="G1321" s="165"/>
      <c r="H1321" s="165">
        <v>3780</v>
      </c>
      <c r="I1321" s="165"/>
      <c r="J1321" s="165"/>
      <c r="K1321" s="338"/>
      <c r="L1321" s="338">
        <v>3780</v>
      </c>
      <c r="M1321" s="165"/>
      <c r="N1321" s="165"/>
      <c r="O1321" s="337">
        <f t="shared" si="48"/>
        <v>0</v>
      </c>
      <c r="P1321" s="165" t="s">
        <v>9634</v>
      </c>
      <c r="Q1321" s="165" t="s">
        <v>9634</v>
      </c>
      <c r="R1321" s="3">
        <f t="shared" si="49"/>
        <v>3780</v>
      </c>
      <c r="S1321" s="337">
        <v>3780</v>
      </c>
      <c r="T1321"/>
      <c r="U1321" s="3"/>
    </row>
    <row r="1322" spans="1:22">
      <c r="A1322" s="165" t="s">
        <v>5502</v>
      </c>
      <c r="B1322" s="94">
        <v>1312</v>
      </c>
      <c r="C1322" s="165" t="s">
        <v>4230</v>
      </c>
      <c r="D1322" s="165">
        <v>10</v>
      </c>
      <c r="E1322" s="165" t="s">
        <v>5518</v>
      </c>
      <c r="F1322" s="165" t="s">
        <v>4656</v>
      </c>
      <c r="G1322" s="165"/>
      <c r="H1322" s="165">
        <v>3780</v>
      </c>
      <c r="I1322" s="165"/>
      <c r="J1322" s="165"/>
      <c r="K1322" s="338"/>
      <c r="L1322" s="338">
        <v>3780</v>
      </c>
      <c r="M1322" s="165"/>
      <c r="N1322" s="165"/>
      <c r="O1322" s="337">
        <f t="shared" si="48"/>
        <v>0</v>
      </c>
      <c r="P1322" s="165" t="s">
        <v>4656</v>
      </c>
      <c r="Q1322" s="165" t="s">
        <v>4656</v>
      </c>
      <c r="R1322" s="3">
        <f t="shared" si="49"/>
        <v>3780</v>
      </c>
      <c r="S1322" s="337">
        <v>3780</v>
      </c>
      <c r="T1322"/>
      <c r="U1322" s="3"/>
    </row>
    <row r="1323" spans="1:22">
      <c r="A1323" s="165" t="s">
        <v>5502</v>
      </c>
      <c r="B1323" s="94">
        <v>1313</v>
      </c>
      <c r="C1323" s="165" t="s">
        <v>4230</v>
      </c>
      <c r="D1323" s="165">
        <v>11</v>
      </c>
      <c r="E1323" s="165" t="s">
        <v>5519</v>
      </c>
      <c r="F1323" s="165" t="s">
        <v>5509</v>
      </c>
      <c r="G1323" s="165"/>
      <c r="H1323" s="165">
        <v>3780</v>
      </c>
      <c r="I1323" s="165"/>
      <c r="J1323" s="165"/>
      <c r="K1323" s="338"/>
      <c r="L1323" s="338">
        <v>3780</v>
      </c>
      <c r="M1323" s="165"/>
      <c r="N1323" s="165"/>
      <c r="O1323" s="337">
        <f t="shared" si="48"/>
        <v>0</v>
      </c>
      <c r="P1323" s="165" t="s">
        <v>9636</v>
      </c>
      <c r="Q1323" s="165" t="s">
        <v>9636</v>
      </c>
      <c r="R1323" s="3">
        <f t="shared" si="49"/>
        <v>3780</v>
      </c>
      <c r="S1323" s="337">
        <v>3780</v>
      </c>
      <c r="T1323"/>
      <c r="U1323" s="3"/>
    </row>
    <row r="1324" spans="1:22">
      <c r="A1324" s="165" t="s">
        <v>5502</v>
      </c>
      <c r="B1324" s="94">
        <v>1314</v>
      </c>
      <c r="C1324" s="165" t="s">
        <v>4230</v>
      </c>
      <c r="D1324" s="165">
        <v>12</v>
      </c>
      <c r="E1324" s="165" t="s">
        <v>5520</v>
      </c>
      <c r="F1324" s="165" t="s">
        <v>5432</v>
      </c>
      <c r="G1324" s="165"/>
      <c r="H1324" s="165">
        <v>3780</v>
      </c>
      <c r="I1324" s="165"/>
      <c r="J1324" s="165"/>
      <c r="K1324" s="338"/>
      <c r="L1324" s="338">
        <v>3780</v>
      </c>
      <c r="M1324" s="165"/>
      <c r="N1324" s="165"/>
      <c r="O1324" s="337">
        <f t="shared" si="48"/>
        <v>0</v>
      </c>
      <c r="P1324" s="165" t="s">
        <v>9636</v>
      </c>
      <c r="Q1324" s="165" t="s">
        <v>9636</v>
      </c>
      <c r="R1324" s="3">
        <f t="shared" si="49"/>
        <v>3780</v>
      </c>
      <c r="S1324" s="337">
        <v>3780</v>
      </c>
      <c r="T1324"/>
      <c r="U1324" s="3"/>
    </row>
    <row r="1325" spans="1:22">
      <c r="A1325" s="165" t="s">
        <v>5284</v>
      </c>
      <c r="B1325" s="94">
        <v>1315</v>
      </c>
      <c r="C1325" s="165" t="s">
        <v>4204</v>
      </c>
      <c r="D1325" s="165">
        <v>1</v>
      </c>
      <c r="E1325" s="165" t="s">
        <v>5532</v>
      </c>
      <c r="F1325" s="165" t="s">
        <v>4653</v>
      </c>
      <c r="G1325" s="165"/>
      <c r="H1325" s="165">
        <v>20475</v>
      </c>
      <c r="I1325" s="165"/>
      <c r="J1325" s="165"/>
      <c r="K1325" s="165">
        <v>20475</v>
      </c>
      <c r="L1325" s="165"/>
      <c r="M1325" s="165"/>
      <c r="N1325" s="165"/>
      <c r="O1325" s="337">
        <f t="shared" si="48"/>
        <v>0</v>
      </c>
      <c r="P1325" s="165" t="s">
        <v>5284</v>
      </c>
      <c r="Q1325" s="165" t="s">
        <v>5533</v>
      </c>
      <c r="R1325" s="3">
        <f t="shared" ref="R1325:R1332" si="50">G1325+H1325+I1325</f>
        <v>20475</v>
      </c>
      <c r="S1325" s="165">
        <v>20475</v>
      </c>
      <c r="T1325"/>
      <c r="U1325" s="3"/>
      <c r="V1325" s="271" t="s">
        <v>2740</v>
      </c>
    </row>
    <row r="1326" spans="1:22">
      <c r="A1326" s="165" t="s">
        <v>5284</v>
      </c>
      <c r="B1326" s="94">
        <v>1316</v>
      </c>
      <c r="C1326" s="165" t="s">
        <v>4204</v>
      </c>
      <c r="D1326" s="165">
        <v>2</v>
      </c>
      <c r="E1326" s="165" t="s">
        <v>5534</v>
      </c>
      <c r="F1326" s="165" t="s">
        <v>4736</v>
      </c>
      <c r="G1326" s="165"/>
      <c r="H1326" s="165">
        <v>20475</v>
      </c>
      <c r="I1326" s="165"/>
      <c r="J1326" s="165"/>
      <c r="K1326" s="165">
        <v>20475</v>
      </c>
      <c r="L1326" s="165"/>
      <c r="M1326" s="165"/>
      <c r="N1326" s="165"/>
      <c r="O1326" s="337">
        <f t="shared" si="48"/>
        <v>0</v>
      </c>
      <c r="P1326" s="165" t="s">
        <v>5551</v>
      </c>
      <c r="Q1326" s="165" t="s">
        <v>5552</v>
      </c>
      <c r="R1326" s="3">
        <f t="shared" si="50"/>
        <v>20475</v>
      </c>
      <c r="S1326" s="165">
        <v>20475</v>
      </c>
      <c r="T1326"/>
      <c r="U1326" s="3"/>
      <c r="V1326" s="271" t="s">
        <v>2740</v>
      </c>
    </row>
    <row r="1327" spans="1:22">
      <c r="A1327" s="165" t="s">
        <v>5284</v>
      </c>
      <c r="B1327" s="94">
        <v>1317</v>
      </c>
      <c r="C1327" s="165" t="s">
        <v>4204</v>
      </c>
      <c r="D1327" s="165">
        <v>3</v>
      </c>
      <c r="E1327" s="165" t="s">
        <v>5535</v>
      </c>
      <c r="F1327" s="165" t="s">
        <v>5541</v>
      </c>
      <c r="G1327" s="165"/>
      <c r="H1327" s="165"/>
      <c r="I1327" s="165">
        <v>20475</v>
      </c>
      <c r="J1327" s="165"/>
      <c r="K1327" s="165"/>
      <c r="L1327" s="165">
        <v>20475</v>
      </c>
      <c r="M1327" s="165"/>
      <c r="N1327" s="165"/>
      <c r="O1327" s="337">
        <f t="shared" si="48"/>
        <v>0</v>
      </c>
      <c r="P1327" s="165" t="s">
        <v>5612</v>
      </c>
      <c r="Q1327" s="165" t="s">
        <v>5612</v>
      </c>
      <c r="R1327" s="3">
        <f t="shared" si="50"/>
        <v>20475</v>
      </c>
      <c r="S1327" s="337">
        <v>20475</v>
      </c>
      <c r="T1327"/>
      <c r="U1327" s="3"/>
      <c r="V1327" s="271" t="s">
        <v>2740</v>
      </c>
    </row>
    <row r="1328" spans="1:22">
      <c r="A1328" s="165" t="s">
        <v>5284</v>
      </c>
      <c r="B1328" s="94">
        <v>1318</v>
      </c>
      <c r="C1328" s="165" t="s">
        <v>4204</v>
      </c>
      <c r="D1328" s="165">
        <v>4</v>
      </c>
      <c r="E1328" s="165" t="s">
        <v>5536</v>
      </c>
      <c r="F1328" s="165" t="s">
        <v>4737</v>
      </c>
      <c r="G1328" s="165"/>
      <c r="H1328" s="165"/>
      <c r="I1328" s="165">
        <v>20475</v>
      </c>
      <c r="J1328" s="165"/>
      <c r="K1328" s="165"/>
      <c r="L1328" s="165">
        <v>20475</v>
      </c>
      <c r="M1328" s="165"/>
      <c r="N1328" s="165"/>
      <c r="O1328" s="337">
        <f t="shared" si="48"/>
        <v>0</v>
      </c>
      <c r="P1328" s="165" t="s">
        <v>4737</v>
      </c>
      <c r="Q1328" s="165" t="s">
        <v>4737</v>
      </c>
      <c r="R1328" s="3">
        <f t="shared" si="50"/>
        <v>20475</v>
      </c>
      <c r="S1328" s="337">
        <v>20475</v>
      </c>
      <c r="T1328"/>
      <c r="U1328" s="3"/>
      <c r="V1328" s="271" t="s">
        <v>2740</v>
      </c>
    </row>
    <row r="1329" spans="1:22">
      <c r="A1329" s="165" t="s">
        <v>5284</v>
      </c>
      <c r="B1329" s="94">
        <v>1319</v>
      </c>
      <c r="C1329" s="165" t="s">
        <v>4204</v>
      </c>
      <c r="D1329" s="165">
        <v>5</v>
      </c>
      <c r="E1329" s="165" t="s">
        <v>5537</v>
      </c>
      <c r="F1329" s="165" t="s">
        <v>4738</v>
      </c>
      <c r="G1329" s="165"/>
      <c r="H1329" s="165"/>
      <c r="I1329" s="165">
        <v>20475</v>
      </c>
      <c r="J1329" s="165"/>
      <c r="K1329" s="165"/>
      <c r="L1329" s="165">
        <v>20475</v>
      </c>
      <c r="M1329" s="165"/>
      <c r="N1329" s="165"/>
      <c r="O1329" s="337">
        <f t="shared" si="48"/>
        <v>0</v>
      </c>
      <c r="P1329" s="165" t="s">
        <v>9775</v>
      </c>
      <c r="Q1329" s="165" t="s">
        <v>9775</v>
      </c>
      <c r="R1329" s="3">
        <f t="shared" si="50"/>
        <v>20475</v>
      </c>
      <c r="S1329" s="337">
        <v>20475</v>
      </c>
      <c r="T1329"/>
      <c r="U1329" s="3"/>
      <c r="V1329" s="271" t="s">
        <v>2740</v>
      </c>
    </row>
    <row r="1330" spans="1:22">
      <c r="A1330" s="165" t="s">
        <v>5284</v>
      </c>
      <c r="B1330" s="94">
        <v>1320</v>
      </c>
      <c r="C1330" s="165" t="s">
        <v>4204</v>
      </c>
      <c r="D1330" s="165">
        <v>6</v>
      </c>
      <c r="E1330" s="165" t="s">
        <v>5538</v>
      </c>
      <c r="F1330" s="165" t="s">
        <v>5325</v>
      </c>
      <c r="G1330" s="165"/>
      <c r="H1330" s="165"/>
      <c r="I1330" s="165">
        <v>20475</v>
      </c>
      <c r="J1330" s="165"/>
      <c r="K1330" s="165"/>
      <c r="L1330" s="165">
        <v>20475</v>
      </c>
      <c r="M1330" s="165"/>
      <c r="N1330" s="165"/>
      <c r="O1330" s="337">
        <f t="shared" si="48"/>
        <v>0</v>
      </c>
      <c r="P1330" s="165" t="s">
        <v>8837</v>
      </c>
      <c r="Q1330" s="165" t="s">
        <v>8837</v>
      </c>
      <c r="R1330" s="3">
        <f t="shared" si="50"/>
        <v>20475</v>
      </c>
      <c r="S1330" s="337">
        <v>20475</v>
      </c>
      <c r="T1330"/>
      <c r="U1330" s="3"/>
      <c r="V1330" s="271" t="s">
        <v>2740</v>
      </c>
    </row>
    <row r="1331" spans="1:22">
      <c r="A1331" s="165" t="s">
        <v>5284</v>
      </c>
      <c r="B1331" s="94">
        <v>1321</v>
      </c>
      <c r="C1331" s="165" t="s">
        <v>4204</v>
      </c>
      <c r="D1331" s="165">
        <v>7</v>
      </c>
      <c r="E1331" s="165" t="s">
        <v>5539</v>
      </c>
      <c r="F1331" s="165" t="s">
        <v>5542</v>
      </c>
      <c r="G1331" s="165"/>
      <c r="H1331" s="165">
        <v>20475</v>
      </c>
      <c r="I1331" s="165"/>
      <c r="J1331" s="165"/>
      <c r="K1331" s="165"/>
      <c r="L1331" s="165">
        <v>20475</v>
      </c>
      <c r="M1331" s="165"/>
      <c r="N1331" s="165"/>
      <c r="O1331" s="337">
        <f t="shared" si="48"/>
        <v>0</v>
      </c>
      <c r="P1331" s="165" t="s">
        <v>10828</v>
      </c>
      <c r="Q1331" s="165" t="s">
        <v>10829</v>
      </c>
      <c r="R1331" s="3">
        <f t="shared" si="50"/>
        <v>20475</v>
      </c>
      <c r="S1331" s="337">
        <v>20475</v>
      </c>
      <c r="T1331"/>
      <c r="U1331" s="3"/>
      <c r="V1331" s="691"/>
    </row>
    <row r="1332" spans="1:22">
      <c r="A1332" s="165" t="s">
        <v>5284</v>
      </c>
      <c r="B1332" s="94">
        <v>1322</v>
      </c>
      <c r="C1332" s="165" t="s">
        <v>4204</v>
      </c>
      <c r="D1332" s="165">
        <v>8</v>
      </c>
      <c r="E1332" s="165" t="s">
        <v>5540</v>
      </c>
      <c r="F1332" s="165" t="s">
        <v>5543</v>
      </c>
      <c r="G1332" s="165"/>
      <c r="H1332" s="165">
        <v>20475</v>
      </c>
      <c r="I1332" s="165"/>
      <c r="J1332" s="165"/>
      <c r="K1332" s="165"/>
      <c r="L1332" s="165">
        <v>20475</v>
      </c>
      <c r="M1332" s="165"/>
      <c r="N1332" s="165"/>
      <c r="O1332" s="337">
        <f t="shared" si="48"/>
        <v>0</v>
      </c>
      <c r="P1332" s="165" t="s">
        <v>8973</v>
      </c>
      <c r="Q1332" s="165" t="s">
        <v>5543</v>
      </c>
      <c r="R1332" s="3">
        <f t="shared" si="50"/>
        <v>20475</v>
      </c>
      <c r="S1332" s="337">
        <v>20475</v>
      </c>
      <c r="T1332"/>
      <c r="U1332" s="3"/>
      <c r="V1332" s="338"/>
    </row>
    <row r="1333" spans="1:22">
      <c r="A1333" s="165" t="s">
        <v>5547</v>
      </c>
      <c r="B1333" s="94">
        <v>1323</v>
      </c>
      <c r="C1333" s="165" t="s">
        <v>1232</v>
      </c>
      <c r="D1333" s="165">
        <v>2</v>
      </c>
      <c r="E1333" s="165" t="s">
        <v>5548</v>
      </c>
      <c r="F1333" s="165" t="s">
        <v>5304</v>
      </c>
      <c r="G1333" s="165"/>
      <c r="H1333" s="165">
        <v>16380</v>
      </c>
      <c r="I1333" s="165"/>
      <c r="J1333" s="165"/>
      <c r="K1333" s="165">
        <v>16380</v>
      </c>
      <c r="L1333" s="165"/>
      <c r="M1333" s="165"/>
      <c r="N1333" s="165"/>
      <c r="O1333" s="337">
        <f t="shared" si="48"/>
        <v>0</v>
      </c>
      <c r="P1333" s="165" t="s">
        <v>5263</v>
      </c>
      <c r="Q1333" s="165" t="s">
        <v>5549</v>
      </c>
      <c r="R1333" s="3">
        <f t="shared" ref="R1333:R1349" si="51">H1333</f>
        <v>16380</v>
      </c>
      <c r="S1333" s="337">
        <v>16380</v>
      </c>
      <c r="T1333" s="337"/>
      <c r="U1333" s="3"/>
    </row>
    <row r="1334" spans="1:22">
      <c r="A1334" s="165" t="s">
        <v>5287</v>
      </c>
      <c r="B1334" s="94">
        <v>1324</v>
      </c>
      <c r="C1334" s="165" t="s">
        <v>831</v>
      </c>
      <c r="D1334" s="165">
        <v>1</v>
      </c>
      <c r="E1334" s="165" t="s">
        <v>5553</v>
      </c>
      <c r="F1334" s="165" t="s">
        <v>4624</v>
      </c>
      <c r="G1334" s="165"/>
      <c r="H1334" s="165">
        <v>13500</v>
      </c>
      <c r="I1334" s="165"/>
      <c r="J1334" s="165"/>
      <c r="K1334" s="165">
        <v>13500</v>
      </c>
      <c r="L1334" s="165"/>
      <c r="M1334" s="165"/>
      <c r="N1334" s="165"/>
      <c r="O1334" s="337">
        <f t="shared" si="48"/>
        <v>0</v>
      </c>
      <c r="P1334" s="165" t="s">
        <v>5551</v>
      </c>
      <c r="Q1334" s="165" t="s">
        <v>4624</v>
      </c>
      <c r="R1334" s="3">
        <f t="shared" si="51"/>
        <v>13500</v>
      </c>
      <c r="S1334" s="337">
        <v>13500</v>
      </c>
      <c r="T1334"/>
      <c r="U1334" s="3"/>
    </row>
    <row r="1335" spans="1:22">
      <c r="A1335" s="165" t="s">
        <v>5287</v>
      </c>
      <c r="B1335" s="94">
        <v>1325</v>
      </c>
      <c r="C1335" s="165" t="s">
        <v>831</v>
      </c>
      <c r="D1335" s="165">
        <v>2</v>
      </c>
      <c r="E1335" s="165" t="s">
        <v>5554</v>
      </c>
      <c r="F1335" s="165" t="s">
        <v>4625</v>
      </c>
      <c r="G1335" s="165"/>
      <c r="H1335" s="165">
        <v>13500</v>
      </c>
      <c r="I1335" s="165"/>
      <c r="J1335" s="165"/>
      <c r="K1335" s="338"/>
      <c r="L1335" s="338">
        <v>13500</v>
      </c>
      <c r="M1335" s="165"/>
      <c r="N1335" s="165"/>
      <c r="O1335" s="337">
        <f t="shared" si="48"/>
        <v>0</v>
      </c>
      <c r="P1335" s="165" t="s">
        <v>4655</v>
      </c>
      <c r="Q1335" s="165" t="s">
        <v>4655</v>
      </c>
      <c r="R1335" s="3">
        <f t="shared" si="51"/>
        <v>13500</v>
      </c>
      <c r="S1335" s="337">
        <v>13500</v>
      </c>
      <c r="T1335"/>
      <c r="U1335" s="3"/>
    </row>
    <row r="1336" spans="1:22">
      <c r="A1336" s="165" t="s">
        <v>5287</v>
      </c>
      <c r="B1336" s="94">
        <v>1326</v>
      </c>
      <c r="C1336" s="165" t="s">
        <v>831</v>
      </c>
      <c r="D1336" s="165">
        <v>3</v>
      </c>
      <c r="E1336" s="165" t="s">
        <v>5555</v>
      </c>
      <c r="F1336" s="165" t="s">
        <v>5561</v>
      </c>
      <c r="G1336" s="165"/>
      <c r="H1336" s="165">
        <v>13500</v>
      </c>
      <c r="I1336" s="165"/>
      <c r="J1336" s="165"/>
      <c r="K1336" s="338"/>
      <c r="L1336" s="338">
        <v>13500</v>
      </c>
      <c r="M1336" s="165"/>
      <c r="N1336" s="165"/>
      <c r="O1336" s="337">
        <f t="shared" si="48"/>
        <v>0</v>
      </c>
      <c r="P1336" s="165" t="s">
        <v>5347</v>
      </c>
      <c r="Q1336" s="165" t="s">
        <v>5347</v>
      </c>
      <c r="R1336" s="3">
        <f t="shared" si="51"/>
        <v>13500</v>
      </c>
      <c r="S1336" s="337">
        <v>13500</v>
      </c>
      <c r="T1336"/>
      <c r="U1336" s="3"/>
    </row>
    <row r="1337" spans="1:22">
      <c r="A1337" s="165" t="s">
        <v>5287</v>
      </c>
      <c r="B1337" s="94">
        <v>1327</v>
      </c>
      <c r="C1337" s="165" t="s">
        <v>831</v>
      </c>
      <c r="D1337" s="165">
        <v>4</v>
      </c>
      <c r="E1337" s="165" t="s">
        <v>5556</v>
      </c>
      <c r="F1337" s="165" t="s">
        <v>5348</v>
      </c>
      <c r="G1337" s="165"/>
      <c r="H1337" s="165">
        <v>13500</v>
      </c>
      <c r="I1337" s="165"/>
      <c r="J1337" s="165"/>
      <c r="K1337" s="338"/>
      <c r="L1337" s="338">
        <v>13500</v>
      </c>
      <c r="M1337" s="165"/>
      <c r="N1337" s="165"/>
      <c r="O1337" s="337">
        <f t="shared" si="48"/>
        <v>0</v>
      </c>
      <c r="P1337" s="165" t="s">
        <v>5348</v>
      </c>
      <c r="Q1337" s="165" t="s">
        <v>5348</v>
      </c>
      <c r="R1337" s="3">
        <f t="shared" si="51"/>
        <v>13500</v>
      </c>
      <c r="S1337" s="337">
        <v>13500</v>
      </c>
      <c r="T1337"/>
      <c r="U1337" s="3"/>
    </row>
    <row r="1338" spans="1:22">
      <c r="A1338" s="165" t="s">
        <v>5287</v>
      </c>
      <c r="B1338" s="94">
        <v>1328</v>
      </c>
      <c r="C1338" s="165" t="s">
        <v>831</v>
      </c>
      <c r="D1338" s="165">
        <v>5</v>
      </c>
      <c r="E1338" s="165" t="s">
        <v>5557</v>
      </c>
      <c r="F1338" s="165" t="s">
        <v>5349</v>
      </c>
      <c r="G1338" s="165"/>
      <c r="H1338" s="165">
        <v>13500</v>
      </c>
      <c r="I1338" s="165"/>
      <c r="J1338" s="165"/>
      <c r="K1338" s="338"/>
      <c r="L1338" s="338">
        <v>13500</v>
      </c>
      <c r="M1338" s="165"/>
      <c r="N1338" s="165"/>
      <c r="O1338" s="337">
        <f t="shared" si="48"/>
        <v>0</v>
      </c>
      <c r="P1338" s="165" t="s">
        <v>5349</v>
      </c>
      <c r="Q1338" s="165" t="s">
        <v>5349</v>
      </c>
      <c r="R1338" s="3">
        <f t="shared" si="51"/>
        <v>13500</v>
      </c>
      <c r="S1338" s="337">
        <v>13500</v>
      </c>
      <c r="T1338"/>
      <c r="U1338" s="3"/>
    </row>
    <row r="1339" spans="1:22">
      <c r="A1339" s="165" t="s">
        <v>5287</v>
      </c>
      <c r="B1339" s="94">
        <v>1329</v>
      </c>
      <c r="C1339" s="165" t="s">
        <v>831</v>
      </c>
      <c r="D1339" s="165">
        <v>6</v>
      </c>
      <c r="E1339" s="165" t="s">
        <v>5558</v>
      </c>
      <c r="F1339" s="165" t="s">
        <v>5463</v>
      </c>
      <c r="G1339" s="165"/>
      <c r="H1339" s="165">
        <v>13500</v>
      </c>
      <c r="I1339" s="165"/>
      <c r="J1339" s="165"/>
      <c r="K1339" s="338"/>
      <c r="L1339" s="338">
        <v>13500</v>
      </c>
      <c r="M1339" s="165"/>
      <c r="N1339" s="165"/>
      <c r="O1339" s="337">
        <f t="shared" si="48"/>
        <v>0</v>
      </c>
      <c r="P1339" s="165" t="s">
        <v>10819</v>
      </c>
      <c r="Q1339" s="165" t="s">
        <v>10820</v>
      </c>
      <c r="R1339" s="3">
        <f t="shared" si="51"/>
        <v>13500</v>
      </c>
      <c r="S1339" s="337">
        <v>13500</v>
      </c>
      <c r="T1339"/>
      <c r="U1339" s="3"/>
    </row>
    <row r="1340" spans="1:22">
      <c r="A1340" s="165" t="s">
        <v>5287</v>
      </c>
      <c r="B1340" s="94">
        <v>1330</v>
      </c>
      <c r="C1340" s="165" t="s">
        <v>831</v>
      </c>
      <c r="D1340" s="165">
        <v>7</v>
      </c>
      <c r="E1340" s="165" t="s">
        <v>5559</v>
      </c>
      <c r="F1340" s="165" t="s">
        <v>5562</v>
      </c>
      <c r="G1340" s="165"/>
      <c r="H1340" s="165">
        <v>13500</v>
      </c>
      <c r="I1340" s="165"/>
      <c r="J1340" s="165"/>
      <c r="K1340" s="338"/>
      <c r="L1340" s="338">
        <v>13500</v>
      </c>
      <c r="M1340" s="165"/>
      <c r="N1340" s="165"/>
      <c r="O1340" s="337">
        <f t="shared" si="48"/>
        <v>0</v>
      </c>
      <c r="P1340" s="165" t="s">
        <v>8973</v>
      </c>
      <c r="Q1340" s="165" t="s">
        <v>5530</v>
      </c>
      <c r="R1340" s="3">
        <f t="shared" si="51"/>
        <v>13500</v>
      </c>
      <c r="S1340" s="337">
        <v>13500</v>
      </c>
      <c r="T1340"/>
      <c r="U1340" s="3"/>
    </row>
    <row r="1341" spans="1:22">
      <c r="A1341" s="165" t="s">
        <v>5287</v>
      </c>
      <c r="B1341" s="94">
        <v>1331</v>
      </c>
      <c r="C1341" s="165" t="s">
        <v>831</v>
      </c>
      <c r="D1341" s="165">
        <v>8</v>
      </c>
      <c r="E1341" s="165" t="s">
        <v>5560</v>
      </c>
      <c r="F1341" s="165" t="s">
        <v>5563</v>
      </c>
      <c r="G1341" s="165"/>
      <c r="H1341" s="165">
        <v>13500</v>
      </c>
      <c r="I1341" s="165"/>
      <c r="J1341" s="165"/>
      <c r="K1341" s="338"/>
      <c r="L1341" s="338">
        <v>13500</v>
      </c>
      <c r="M1341" s="165"/>
      <c r="N1341" s="165"/>
      <c r="O1341" s="337">
        <f t="shared" si="48"/>
        <v>0</v>
      </c>
      <c r="P1341" s="165" t="s">
        <v>10973</v>
      </c>
      <c r="Q1341" s="165" t="s">
        <v>10974</v>
      </c>
      <c r="R1341" s="3">
        <f t="shared" si="51"/>
        <v>13500</v>
      </c>
      <c r="S1341" s="337">
        <v>13500</v>
      </c>
      <c r="T1341"/>
      <c r="U1341" s="3"/>
    </row>
    <row r="1342" spans="1:22">
      <c r="A1342" s="165" t="s">
        <v>4624</v>
      </c>
      <c r="B1342" s="94">
        <v>1332</v>
      </c>
      <c r="C1342" s="165" t="s">
        <v>4131</v>
      </c>
      <c r="D1342" s="165">
        <v>1</v>
      </c>
      <c r="E1342" s="165" t="s">
        <v>5564</v>
      </c>
      <c r="F1342" s="165" t="s">
        <v>5565</v>
      </c>
      <c r="G1342" s="165"/>
      <c r="H1342" s="165">
        <v>14175</v>
      </c>
      <c r="I1342" s="165"/>
      <c r="J1342" s="165"/>
      <c r="K1342" s="165">
        <v>14175</v>
      </c>
      <c r="L1342" s="165"/>
      <c r="M1342" s="165"/>
      <c r="N1342" s="165"/>
      <c r="O1342" s="337">
        <f t="shared" si="48"/>
        <v>0</v>
      </c>
      <c r="P1342" s="165" t="s">
        <v>5289</v>
      </c>
      <c r="Q1342" s="165" t="s">
        <v>5565</v>
      </c>
      <c r="R1342" s="3">
        <f t="shared" si="51"/>
        <v>14175</v>
      </c>
      <c r="S1342" s="337">
        <v>14175</v>
      </c>
      <c r="T1342"/>
      <c r="U1342" s="3"/>
    </row>
    <row r="1343" spans="1:22">
      <c r="A1343" s="165" t="s">
        <v>4624</v>
      </c>
      <c r="B1343" s="94">
        <v>1333</v>
      </c>
      <c r="C1343" s="165" t="s">
        <v>4131</v>
      </c>
      <c r="D1343" s="165">
        <v>2</v>
      </c>
      <c r="E1343" s="165" t="s">
        <v>5566</v>
      </c>
      <c r="F1343" s="165" t="s">
        <v>5573</v>
      </c>
      <c r="G1343" s="165"/>
      <c r="H1343" s="165">
        <v>14175</v>
      </c>
      <c r="I1343" s="165"/>
      <c r="J1343" s="165"/>
      <c r="K1343" s="338"/>
      <c r="L1343" s="338">
        <v>14175</v>
      </c>
      <c r="M1343" s="165"/>
      <c r="N1343" s="165"/>
      <c r="O1343" s="337">
        <f t="shared" si="48"/>
        <v>0</v>
      </c>
      <c r="P1343" s="165" t="s">
        <v>9672</v>
      </c>
      <c r="Q1343" s="165" t="s">
        <v>9672</v>
      </c>
      <c r="R1343" s="3">
        <f t="shared" si="51"/>
        <v>14175</v>
      </c>
      <c r="S1343" s="337">
        <v>14175</v>
      </c>
      <c r="T1343"/>
      <c r="U1343" s="3"/>
    </row>
    <row r="1344" spans="1:22">
      <c r="A1344" s="165" t="s">
        <v>4624</v>
      </c>
      <c r="B1344" s="94">
        <v>1334</v>
      </c>
      <c r="C1344" s="165" t="s">
        <v>4131</v>
      </c>
      <c r="D1344" s="165">
        <v>3</v>
      </c>
      <c r="E1344" s="165" t="s">
        <v>5567</v>
      </c>
      <c r="F1344" s="165" t="s">
        <v>5574</v>
      </c>
      <c r="G1344" s="165"/>
      <c r="H1344" s="165">
        <v>14175</v>
      </c>
      <c r="I1344" s="165"/>
      <c r="J1344" s="165"/>
      <c r="K1344" s="338"/>
      <c r="L1344" s="338">
        <v>14175</v>
      </c>
      <c r="M1344" s="165"/>
      <c r="N1344" s="165"/>
      <c r="O1344" s="337">
        <f t="shared" si="48"/>
        <v>0</v>
      </c>
      <c r="P1344" s="165" t="s">
        <v>5574</v>
      </c>
      <c r="Q1344" s="165" t="s">
        <v>5574</v>
      </c>
      <c r="R1344" s="3">
        <f t="shared" si="51"/>
        <v>14175</v>
      </c>
      <c r="S1344" s="337">
        <v>14175</v>
      </c>
      <c r="T1344"/>
      <c r="U1344" s="3"/>
    </row>
    <row r="1345" spans="1:21">
      <c r="A1345" s="165" t="s">
        <v>4624</v>
      </c>
      <c r="B1345" s="94">
        <v>1335</v>
      </c>
      <c r="C1345" s="165" t="s">
        <v>4131</v>
      </c>
      <c r="D1345" s="165">
        <v>4</v>
      </c>
      <c r="E1345" s="165" t="s">
        <v>5568</v>
      </c>
      <c r="F1345" s="165" t="s">
        <v>5575</v>
      </c>
      <c r="G1345" s="165"/>
      <c r="H1345" s="165">
        <v>14175</v>
      </c>
      <c r="I1345" s="165"/>
      <c r="J1345" s="165"/>
      <c r="K1345" s="338"/>
      <c r="L1345" s="338">
        <v>14175</v>
      </c>
      <c r="M1345" s="165"/>
      <c r="N1345" s="165"/>
      <c r="O1345" s="337">
        <f t="shared" si="48"/>
        <v>0</v>
      </c>
      <c r="P1345" s="165" t="s">
        <v>5575</v>
      </c>
      <c r="Q1345" s="165" t="s">
        <v>5575</v>
      </c>
      <c r="R1345" s="3">
        <f t="shared" si="51"/>
        <v>14175</v>
      </c>
      <c r="S1345" s="337">
        <v>14175</v>
      </c>
      <c r="T1345"/>
      <c r="U1345" s="3"/>
    </row>
    <row r="1346" spans="1:21">
      <c r="A1346" s="165" t="s">
        <v>4624</v>
      </c>
      <c r="B1346" s="94">
        <v>1336</v>
      </c>
      <c r="C1346" s="165" t="s">
        <v>4131</v>
      </c>
      <c r="D1346" s="165">
        <v>5</v>
      </c>
      <c r="E1346" s="165" t="s">
        <v>5569</v>
      </c>
      <c r="F1346" s="165" t="s">
        <v>5576</v>
      </c>
      <c r="G1346" s="165"/>
      <c r="H1346" s="165">
        <v>14175</v>
      </c>
      <c r="I1346" s="165"/>
      <c r="J1346" s="165"/>
      <c r="K1346" s="338"/>
      <c r="L1346" s="338">
        <v>14175</v>
      </c>
      <c r="M1346" s="165"/>
      <c r="N1346" s="165"/>
      <c r="O1346" s="337">
        <f t="shared" si="48"/>
        <v>0</v>
      </c>
      <c r="P1346" s="165" t="s">
        <v>5576</v>
      </c>
      <c r="Q1346" s="165" t="s">
        <v>5576</v>
      </c>
      <c r="R1346" s="3">
        <f t="shared" si="51"/>
        <v>14175</v>
      </c>
      <c r="S1346" s="337">
        <v>14175</v>
      </c>
      <c r="T1346"/>
      <c r="U1346" s="3"/>
    </row>
    <row r="1347" spans="1:21">
      <c r="A1347" s="165" t="s">
        <v>4624</v>
      </c>
      <c r="B1347" s="94">
        <v>1337</v>
      </c>
      <c r="C1347" s="165" t="s">
        <v>4131</v>
      </c>
      <c r="D1347" s="165">
        <v>6</v>
      </c>
      <c r="E1347" s="165" t="s">
        <v>5570</v>
      </c>
      <c r="F1347" s="165" t="s">
        <v>5577</v>
      </c>
      <c r="G1347" s="165"/>
      <c r="H1347" s="165">
        <v>14175</v>
      </c>
      <c r="I1347" s="165"/>
      <c r="J1347" s="165"/>
      <c r="K1347" s="338"/>
      <c r="L1347" s="338">
        <v>14175</v>
      </c>
      <c r="M1347" s="165"/>
      <c r="N1347" s="165"/>
      <c r="O1347" s="337">
        <f t="shared" si="48"/>
        <v>0</v>
      </c>
      <c r="P1347" s="165" t="s">
        <v>9700</v>
      </c>
      <c r="Q1347" s="165" t="s">
        <v>5577</v>
      </c>
      <c r="R1347" s="3">
        <f t="shared" si="51"/>
        <v>14175</v>
      </c>
      <c r="S1347" s="337">
        <v>14175</v>
      </c>
      <c r="T1347"/>
      <c r="U1347" s="3"/>
    </row>
    <row r="1348" spans="1:21" s="407" customFormat="1">
      <c r="A1348" s="405" t="s">
        <v>4624</v>
      </c>
      <c r="B1348" s="767">
        <v>1338</v>
      </c>
      <c r="C1348" s="405" t="s">
        <v>4131</v>
      </c>
      <c r="D1348" s="405">
        <v>7</v>
      </c>
      <c r="E1348" s="405" t="s">
        <v>5571</v>
      </c>
      <c r="F1348" s="405" t="s">
        <v>5578</v>
      </c>
      <c r="G1348" s="405"/>
      <c r="H1348" s="405">
        <v>14175</v>
      </c>
      <c r="I1348" s="405"/>
      <c r="J1348" s="405"/>
      <c r="K1348" s="405"/>
      <c r="L1348" s="405">
        <v>14175</v>
      </c>
      <c r="M1348" s="405"/>
      <c r="N1348" s="405"/>
      <c r="O1348" s="406">
        <f t="shared" si="48"/>
        <v>0</v>
      </c>
      <c r="P1348" s="405" t="s">
        <v>9702</v>
      </c>
      <c r="Q1348" s="405" t="s">
        <v>5578</v>
      </c>
      <c r="R1348" s="405">
        <f t="shared" si="51"/>
        <v>14175</v>
      </c>
      <c r="S1348" s="406">
        <v>14175</v>
      </c>
      <c r="U1348" s="405"/>
    </row>
    <row r="1349" spans="1:21">
      <c r="A1349" s="165" t="s">
        <v>4624</v>
      </c>
      <c r="B1349" s="94">
        <v>1339</v>
      </c>
      <c r="C1349" s="165" t="s">
        <v>4131</v>
      </c>
      <c r="D1349" s="165">
        <v>8</v>
      </c>
      <c r="E1349" s="165" t="s">
        <v>5572</v>
      </c>
      <c r="F1349" s="165" t="s">
        <v>5579</v>
      </c>
      <c r="G1349" s="165"/>
      <c r="H1349" s="165">
        <v>14175</v>
      </c>
      <c r="I1349" s="165"/>
      <c r="J1349" s="165"/>
      <c r="K1349" s="338"/>
      <c r="L1349" s="338">
        <v>14175</v>
      </c>
      <c r="M1349" s="165"/>
      <c r="N1349" s="165"/>
      <c r="O1349" s="337">
        <f t="shared" si="48"/>
        <v>0</v>
      </c>
      <c r="P1349" s="165" t="s">
        <v>10984</v>
      </c>
      <c r="Q1349" s="165" t="s">
        <v>5579</v>
      </c>
      <c r="R1349" s="3">
        <f t="shared" si="51"/>
        <v>14175</v>
      </c>
      <c r="S1349" s="337">
        <v>14175</v>
      </c>
      <c r="T1349"/>
      <c r="U1349" s="3"/>
    </row>
    <row r="1350" spans="1:21">
      <c r="A1350" s="165"/>
      <c r="B1350" s="165"/>
      <c r="C1350" s="165"/>
      <c r="D1350" s="165"/>
      <c r="E1350" s="165"/>
      <c r="F1350" s="165"/>
      <c r="G1350" s="165"/>
      <c r="H1350" s="165"/>
      <c r="I1350" s="165"/>
      <c r="J1350" s="165"/>
      <c r="K1350" s="165"/>
      <c r="L1350" s="165"/>
      <c r="M1350" s="165"/>
      <c r="N1350" s="165"/>
      <c r="O1350" s="165"/>
      <c r="P1350" s="165"/>
    </row>
    <row r="1351" spans="1:21">
      <c r="A1351" s="165"/>
      <c r="B1351" s="165"/>
      <c r="C1351" s="165"/>
      <c r="D1351" s="165"/>
      <c r="E1351" s="165"/>
      <c r="F1351" s="165"/>
      <c r="G1351" s="165"/>
      <c r="H1351" s="165"/>
      <c r="I1351" s="165"/>
      <c r="J1351" s="165"/>
      <c r="K1351" s="165"/>
      <c r="L1351" s="165"/>
      <c r="M1351" s="165"/>
      <c r="N1351" s="165"/>
      <c r="O1351" s="165"/>
      <c r="P1351" s="165"/>
    </row>
    <row r="1352" spans="1:21">
      <c r="A1352" s="165"/>
      <c r="B1352" s="165"/>
      <c r="C1352" s="165"/>
      <c r="D1352" s="165"/>
      <c r="E1352" s="165"/>
      <c r="F1352" s="165"/>
      <c r="G1352" s="165"/>
      <c r="H1352" s="165"/>
      <c r="I1352" s="165"/>
      <c r="J1352" s="165"/>
      <c r="K1352" s="165"/>
      <c r="L1352" s="165"/>
      <c r="M1352" s="165"/>
      <c r="N1352" s="165"/>
      <c r="O1352" s="165"/>
      <c r="P1352" s="165"/>
    </row>
    <row r="1353" spans="1:21" s="176" customFormat="1" ht="20.25" customHeight="1">
      <c r="A1353" s="203" t="s">
        <v>9595</v>
      </c>
      <c r="B1353" s="200"/>
      <c r="C1353" s="201"/>
      <c r="D1353" s="202"/>
      <c r="E1353" s="201"/>
      <c r="F1353" s="185" t="s">
        <v>2378</v>
      </c>
      <c r="G1353" s="185">
        <f>SUM(G1355:G1511)</f>
        <v>348180</v>
      </c>
      <c r="H1353" s="185">
        <f t="shared" ref="H1353:O1353" si="52">SUM(H1355:H1511)</f>
        <v>1711350</v>
      </c>
      <c r="I1353" s="185">
        <f t="shared" si="52"/>
        <v>171990</v>
      </c>
      <c r="J1353" s="185">
        <f t="shared" si="52"/>
        <v>0</v>
      </c>
      <c r="K1353" s="185">
        <f t="shared" si="52"/>
        <v>0</v>
      </c>
      <c r="L1353" s="185">
        <f t="shared" si="52"/>
        <v>1897935</v>
      </c>
      <c r="M1353" s="185">
        <f t="shared" si="52"/>
        <v>333585</v>
      </c>
      <c r="N1353" s="185">
        <f t="shared" si="52"/>
        <v>0</v>
      </c>
      <c r="O1353" s="185">
        <f t="shared" si="52"/>
        <v>333585</v>
      </c>
      <c r="P1353" s="185"/>
      <c r="Q1353" s="185"/>
      <c r="R1353" s="185">
        <f t="shared" ref="R1353" si="53">SUM(R1355:R1511)</f>
        <v>2721155</v>
      </c>
      <c r="S1353" s="185">
        <f t="shared" ref="S1353:U1353" si="54">SUM(S1355:S1511)</f>
        <v>2387430</v>
      </c>
      <c r="T1353" s="185">
        <f t="shared" si="54"/>
        <v>489495</v>
      </c>
      <c r="U1353" s="185">
        <f t="shared" si="54"/>
        <v>150</v>
      </c>
    </row>
    <row r="1354" spans="1:21" s="270" customFormat="1">
      <c r="A1354" s="269" t="s">
        <v>1281</v>
      </c>
      <c r="B1354" s="269" t="s">
        <v>2435</v>
      </c>
      <c r="C1354" s="269" t="s">
        <v>1385</v>
      </c>
      <c r="D1354" s="269" t="s">
        <v>1275</v>
      </c>
      <c r="E1354" s="269" t="s">
        <v>265</v>
      </c>
      <c r="F1354" s="269" t="s">
        <v>1280</v>
      </c>
      <c r="G1354" s="269" t="s">
        <v>10039</v>
      </c>
      <c r="H1354" s="269" t="s">
        <v>4468</v>
      </c>
      <c r="I1354" s="269" t="s">
        <v>4447</v>
      </c>
      <c r="J1354" s="269" t="s">
        <v>4470</v>
      </c>
      <c r="K1354" s="269" t="s">
        <v>4471</v>
      </c>
      <c r="L1354" s="269" t="s">
        <v>9596</v>
      </c>
      <c r="M1354" s="269" t="s">
        <v>4841</v>
      </c>
      <c r="N1354" s="269" t="s">
        <v>3728</v>
      </c>
      <c r="O1354" s="269" t="s">
        <v>2438</v>
      </c>
      <c r="P1354" s="269" t="s">
        <v>1282</v>
      </c>
      <c r="Q1354" s="269" t="s">
        <v>1386</v>
      </c>
      <c r="R1354" s="269" t="s">
        <v>576</v>
      </c>
      <c r="S1354" s="269" t="s">
        <v>3593</v>
      </c>
      <c r="T1354" s="269" t="s">
        <v>1283</v>
      </c>
      <c r="U1354" s="269" t="s">
        <v>577</v>
      </c>
    </row>
    <row r="1355" spans="1:21" s="665" customFormat="1">
      <c r="A1355" s="665" t="s">
        <v>9602</v>
      </c>
      <c r="B1355" s="666"/>
      <c r="C1355" s="667" t="s">
        <v>4094</v>
      </c>
      <c r="D1355" s="668">
        <v>10</v>
      </c>
      <c r="E1355" s="667" t="s">
        <v>5011</v>
      </c>
      <c r="F1355" s="665" t="s">
        <v>9602</v>
      </c>
      <c r="O1355" s="664">
        <f>G1355+H1355+I1355-J1355-K1355-L1355</f>
        <v>0</v>
      </c>
      <c r="P1355" s="665" t="s">
        <v>9602</v>
      </c>
      <c r="Q1355" s="665" t="s">
        <v>9602</v>
      </c>
      <c r="R1355" s="665">
        <v>4410</v>
      </c>
      <c r="S1355" s="669">
        <v>4410</v>
      </c>
      <c r="T1355" s="669">
        <v>4410</v>
      </c>
    </row>
    <row r="1356" spans="1:21" s="665" customFormat="1">
      <c r="A1356" s="670" t="s">
        <v>9626</v>
      </c>
      <c r="B1356" s="666"/>
      <c r="C1356" s="667" t="s">
        <v>456</v>
      </c>
      <c r="D1356" s="668">
        <v>2</v>
      </c>
      <c r="E1356" s="667" t="s">
        <v>5011</v>
      </c>
      <c r="F1356" s="665" t="s">
        <v>5609</v>
      </c>
      <c r="O1356" s="664">
        <f t="shared" ref="O1356:O1385" si="55">G1356+H1356+I1356+L1356-J1356-K1356</f>
        <v>0</v>
      </c>
      <c r="P1356" s="665" t="s">
        <v>5609</v>
      </c>
      <c r="Q1356" s="665" t="s">
        <v>5609</v>
      </c>
      <c r="R1356" s="665">
        <v>13230</v>
      </c>
      <c r="S1356" s="665">
        <v>13230</v>
      </c>
      <c r="T1356" s="665">
        <v>13230</v>
      </c>
    </row>
    <row r="1357" spans="1:21" s="665" customFormat="1">
      <c r="A1357" s="665" t="s">
        <v>5610</v>
      </c>
      <c r="B1357" s="666"/>
      <c r="C1357" s="667" t="s">
        <v>4094</v>
      </c>
      <c r="D1357" s="668">
        <v>11</v>
      </c>
      <c r="E1357" s="667" t="s">
        <v>5011</v>
      </c>
      <c r="F1357" s="665" t="s">
        <v>5610</v>
      </c>
      <c r="O1357" s="664">
        <f t="shared" si="55"/>
        <v>0</v>
      </c>
      <c r="P1357" s="665" t="s">
        <v>5610</v>
      </c>
      <c r="Q1357" s="665" t="s">
        <v>5610</v>
      </c>
      <c r="R1357" s="665">
        <v>4410</v>
      </c>
      <c r="S1357" s="669">
        <v>4410</v>
      </c>
      <c r="T1357" s="669">
        <v>4410</v>
      </c>
    </row>
    <row r="1358" spans="1:21" s="665" customFormat="1">
      <c r="A1358" s="665" t="s">
        <v>9603</v>
      </c>
      <c r="B1358" s="666"/>
      <c r="C1358" s="667" t="s">
        <v>447</v>
      </c>
      <c r="D1358" s="668">
        <v>8</v>
      </c>
      <c r="E1358" s="667" t="s">
        <v>5011</v>
      </c>
      <c r="F1358" s="665" t="s">
        <v>9603</v>
      </c>
      <c r="O1358" s="664">
        <f t="shared" si="55"/>
        <v>0</v>
      </c>
      <c r="P1358" s="665" t="s">
        <v>9603</v>
      </c>
      <c r="Q1358" s="665" t="s">
        <v>9603</v>
      </c>
      <c r="R1358" s="665">
        <v>14175</v>
      </c>
      <c r="S1358" s="669">
        <v>14165</v>
      </c>
      <c r="T1358" s="669">
        <v>14165</v>
      </c>
      <c r="U1358" s="665">
        <v>10</v>
      </c>
    </row>
    <row r="1359" spans="1:21" s="665" customFormat="1">
      <c r="A1359" s="665" t="s">
        <v>9604</v>
      </c>
      <c r="B1359" s="666"/>
      <c r="C1359" s="667" t="s">
        <v>4418</v>
      </c>
      <c r="D1359" s="668"/>
      <c r="E1359" s="667" t="s">
        <v>5011</v>
      </c>
      <c r="F1359" s="665" t="s">
        <v>9604</v>
      </c>
      <c r="O1359" s="664">
        <f>G1359+H1359+I1359+L1359-J1359-K1359</f>
        <v>0</v>
      </c>
      <c r="P1359" s="665" t="s">
        <v>9604</v>
      </c>
      <c r="Q1359" s="665" t="s">
        <v>9604</v>
      </c>
      <c r="R1359" s="665">
        <v>3150</v>
      </c>
      <c r="S1359" s="669">
        <v>3150</v>
      </c>
      <c r="T1359" s="669">
        <v>3150</v>
      </c>
    </row>
    <row r="1360" spans="1:21" s="665" customFormat="1">
      <c r="A1360" s="665" t="s">
        <v>9604</v>
      </c>
      <c r="B1360" s="666"/>
      <c r="C1360" s="667" t="s">
        <v>4094</v>
      </c>
      <c r="D1360" s="668">
        <v>12</v>
      </c>
      <c r="E1360" s="667" t="s">
        <v>5011</v>
      </c>
      <c r="F1360" s="665" t="s">
        <v>9604</v>
      </c>
      <c r="O1360" s="664">
        <f t="shared" si="55"/>
        <v>0</v>
      </c>
      <c r="P1360" s="665" t="s">
        <v>9604</v>
      </c>
      <c r="Q1360" s="665" t="s">
        <v>9604</v>
      </c>
      <c r="R1360" s="665">
        <v>4410</v>
      </c>
      <c r="S1360" s="669">
        <v>4410</v>
      </c>
      <c r="T1360" s="669">
        <v>4410</v>
      </c>
    </row>
    <row r="1361" spans="1:22" s="665" customFormat="1">
      <c r="A1361" s="665" t="s">
        <v>9605</v>
      </c>
      <c r="B1361" s="666"/>
      <c r="C1361" s="667" t="s">
        <v>4318</v>
      </c>
      <c r="D1361" s="668">
        <v>2</v>
      </c>
      <c r="E1361" s="667" t="s">
        <v>5011</v>
      </c>
      <c r="F1361" s="665" t="s">
        <v>9605</v>
      </c>
      <c r="O1361" s="664">
        <f t="shared" si="55"/>
        <v>0</v>
      </c>
      <c r="P1361" s="665" t="s">
        <v>9605</v>
      </c>
      <c r="Q1361" s="665" t="s">
        <v>9605</v>
      </c>
      <c r="R1361" s="665">
        <v>13500</v>
      </c>
      <c r="S1361" s="669">
        <v>13485</v>
      </c>
      <c r="T1361" s="669">
        <v>13485</v>
      </c>
      <c r="U1361" s="665">
        <v>15</v>
      </c>
    </row>
    <row r="1362" spans="1:22" s="665" customFormat="1">
      <c r="A1362" s="665" t="s">
        <v>9606</v>
      </c>
      <c r="B1362" s="666"/>
      <c r="C1362" s="667" t="s">
        <v>4094</v>
      </c>
      <c r="D1362" s="668">
        <v>13</v>
      </c>
      <c r="E1362" s="667" t="s">
        <v>5011</v>
      </c>
      <c r="F1362" s="665" t="s">
        <v>9606</v>
      </c>
      <c r="O1362" s="664">
        <f t="shared" si="55"/>
        <v>0</v>
      </c>
      <c r="P1362" s="665" t="s">
        <v>9606</v>
      </c>
      <c r="Q1362" s="665" t="s">
        <v>9606</v>
      </c>
      <c r="R1362" s="665">
        <v>4410</v>
      </c>
      <c r="S1362" s="669">
        <v>4410</v>
      </c>
      <c r="T1362" s="669">
        <v>4410</v>
      </c>
    </row>
    <row r="1363" spans="1:22" s="665" customFormat="1">
      <c r="A1363" s="665" t="s">
        <v>9607</v>
      </c>
      <c r="B1363" s="666"/>
      <c r="C1363" s="667" t="s">
        <v>4339</v>
      </c>
      <c r="D1363" s="668">
        <v>4</v>
      </c>
      <c r="E1363" s="667" t="s">
        <v>5011</v>
      </c>
      <c r="F1363" s="665" t="s">
        <v>9607</v>
      </c>
      <c r="O1363" s="664">
        <f t="shared" si="55"/>
        <v>0</v>
      </c>
      <c r="P1363" s="665" t="s">
        <v>9607</v>
      </c>
      <c r="Q1363" s="665" t="s">
        <v>9607</v>
      </c>
      <c r="R1363" s="665">
        <v>14175</v>
      </c>
      <c r="S1363" s="669">
        <v>14165</v>
      </c>
      <c r="T1363" s="669">
        <v>14165</v>
      </c>
      <c r="U1363" s="665">
        <v>10</v>
      </c>
    </row>
    <row r="1364" spans="1:22" s="665" customFormat="1">
      <c r="A1364" s="665" t="s">
        <v>9608</v>
      </c>
      <c r="B1364" s="666"/>
      <c r="C1364" s="667" t="s">
        <v>4094</v>
      </c>
      <c r="D1364" s="668">
        <v>14</v>
      </c>
      <c r="E1364" s="667" t="s">
        <v>5011</v>
      </c>
      <c r="F1364" s="665" t="s">
        <v>9608</v>
      </c>
      <c r="O1364" s="664">
        <f t="shared" si="55"/>
        <v>0</v>
      </c>
      <c r="P1364" s="665" t="s">
        <v>9608</v>
      </c>
      <c r="Q1364" s="665" t="s">
        <v>9608</v>
      </c>
      <c r="R1364" s="665">
        <v>4410</v>
      </c>
      <c r="S1364" s="669">
        <v>4410</v>
      </c>
      <c r="T1364" s="669">
        <v>4410</v>
      </c>
    </row>
    <row r="1365" spans="1:22" s="665" customFormat="1">
      <c r="A1365" s="665" t="s">
        <v>9609</v>
      </c>
      <c r="B1365" s="666"/>
      <c r="C1365" s="667" t="s">
        <v>4094</v>
      </c>
      <c r="D1365" s="668">
        <v>15</v>
      </c>
      <c r="E1365" s="667" t="s">
        <v>5011</v>
      </c>
      <c r="F1365" s="665" t="s">
        <v>9609</v>
      </c>
      <c r="O1365" s="664">
        <f t="shared" si="55"/>
        <v>0</v>
      </c>
      <c r="P1365" s="665" t="s">
        <v>9609</v>
      </c>
      <c r="Q1365" s="665" t="s">
        <v>9609</v>
      </c>
      <c r="R1365" s="665">
        <v>4410</v>
      </c>
      <c r="S1365" s="669">
        <v>4410</v>
      </c>
      <c r="T1365" s="669">
        <v>4410</v>
      </c>
    </row>
    <row r="1366" spans="1:22" s="665" customFormat="1">
      <c r="A1366" s="665" t="s">
        <v>9610</v>
      </c>
      <c r="B1366" s="666"/>
      <c r="C1366" s="667" t="s">
        <v>4318</v>
      </c>
      <c r="D1366" s="668">
        <v>3</v>
      </c>
      <c r="E1366" s="667" t="s">
        <v>5011</v>
      </c>
      <c r="F1366" s="665" t="s">
        <v>9610</v>
      </c>
      <c r="O1366" s="664">
        <f t="shared" si="55"/>
        <v>0</v>
      </c>
      <c r="P1366" s="665" t="s">
        <v>9610</v>
      </c>
      <c r="Q1366" s="665" t="s">
        <v>9610</v>
      </c>
      <c r="R1366" s="665">
        <v>13500</v>
      </c>
      <c r="S1366" s="669">
        <v>13485</v>
      </c>
      <c r="T1366" s="669">
        <v>13485</v>
      </c>
      <c r="U1366" s="665">
        <v>15</v>
      </c>
    </row>
    <row r="1367" spans="1:22" s="665" customFormat="1">
      <c r="A1367" s="665" t="s">
        <v>9611</v>
      </c>
      <c r="B1367" s="666"/>
      <c r="C1367" s="667" t="s">
        <v>4094</v>
      </c>
      <c r="D1367" s="668">
        <v>16</v>
      </c>
      <c r="E1367" s="667" t="s">
        <v>5011</v>
      </c>
      <c r="F1367" s="665" t="s">
        <v>9611</v>
      </c>
      <c r="O1367" s="664">
        <f t="shared" si="55"/>
        <v>0</v>
      </c>
      <c r="P1367" s="665" t="s">
        <v>9611</v>
      </c>
      <c r="Q1367" s="665" t="s">
        <v>9611</v>
      </c>
      <c r="R1367" s="665">
        <v>4410</v>
      </c>
      <c r="S1367" s="669">
        <v>4410</v>
      </c>
      <c r="T1367" s="669">
        <v>4410</v>
      </c>
    </row>
    <row r="1368" spans="1:22" s="665" customFormat="1">
      <c r="A1368" s="670" t="s">
        <v>9627</v>
      </c>
      <c r="B1368" s="666"/>
      <c r="C1368" s="667" t="s">
        <v>456</v>
      </c>
      <c r="D1368" s="668">
        <v>3</v>
      </c>
      <c r="E1368" s="667" t="s">
        <v>5011</v>
      </c>
      <c r="F1368" s="665" t="s">
        <v>5314</v>
      </c>
      <c r="O1368" s="664">
        <f t="shared" si="55"/>
        <v>0</v>
      </c>
      <c r="P1368" s="665" t="s">
        <v>5314</v>
      </c>
      <c r="Q1368" s="665" t="s">
        <v>5314</v>
      </c>
      <c r="R1368" s="665">
        <v>13230</v>
      </c>
      <c r="S1368" s="665">
        <v>13230</v>
      </c>
      <c r="T1368" s="665">
        <v>13230</v>
      </c>
    </row>
    <row r="1369" spans="1:22" s="665" customFormat="1">
      <c r="A1369" s="665" t="s">
        <v>9612</v>
      </c>
      <c r="B1369" s="666"/>
      <c r="C1369" s="667" t="s">
        <v>4339</v>
      </c>
      <c r="D1369" s="668">
        <v>5</v>
      </c>
      <c r="E1369" s="667" t="s">
        <v>5011</v>
      </c>
      <c r="F1369" s="665" t="s">
        <v>9612</v>
      </c>
      <c r="O1369" s="664">
        <f t="shared" si="55"/>
        <v>0</v>
      </c>
      <c r="P1369" s="665" t="s">
        <v>9612</v>
      </c>
      <c r="Q1369" s="665" t="s">
        <v>9612</v>
      </c>
      <c r="R1369" s="665">
        <v>14175</v>
      </c>
      <c r="S1369" s="669">
        <v>14165</v>
      </c>
      <c r="T1369" s="669">
        <v>14165</v>
      </c>
      <c r="U1369" s="665">
        <v>10</v>
      </c>
    </row>
    <row r="1370" spans="1:22" s="665" customFormat="1">
      <c r="A1370" s="665" t="s">
        <v>9613</v>
      </c>
      <c r="B1370" s="666"/>
      <c r="C1370" s="667" t="s">
        <v>4094</v>
      </c>
      <c r="D1370" s="668">
        <v>17</v>
      </c>
      <c r="E1370" s="667" t="s">
        <v>5011</v>
      </c>
      <c r="F1370" s="665" t="s">
        <v>9613</v>
      </c>
      <c r="O1370" s="664">
        <f t="shared" si="55"/>
        <v>0</v>
      </c>
      <c r="P1370" s="665" t="s">
        <v>9613</v>
      </c>
      <c r="Q1370" s="665" t="s">
        <v>9613</v>
      </c>
      <c r="R1370" s="665">
        <v>4410</v>
      </c>
      <c r="S1370" s="669">
        <v>4410</v>
      </c>
      <c r="T1370" s="669">
        <v>4410</v>
      </c>
    </row>
    <row r="1371" spans="1:22" s="665" customFormat="1">
      <c r="A1371" s="665" t="s">
        <v>9614</v>
      </c>
      <c r="B1371" s="666"/>
      <c r="C1371" s="667" t="s">
        <v>4318</v>
      </c>
      <c r="D1371" s="668">
        <v>4</v>
      </c>
      <c r="E1371" s="667" t="s">
        <v>5011</v>
      </c>
      <c r="F1371" s="665" t="s">
        <v>9614</v>
      </c>
      <c r="O1371" s="664">
        <f t="shared" si="55"/>
        <v>0</v>
      </c>
      <c r="P1371" s="665" t="s">
        <v>9614</v>
      </c>
      <c r="Q1371" s="665" t="s">
        <v>9614</v>
      </c>
      <c r="R1371" s="665">
        <v>13500</v>
      </c>
      <c r="S1371" s="669">
        <v>13485</v>
      </c>
      <c r="T1371" s="669">
        <v>13485</v>
      </c>
      <c r="U1371" s="665">
        <v>15</v>
      </c>
    </row>
    <row r="1372" spans="1:22" s="665" customFormat="1">
      <c r="A1372" s="665" t="s">
        <v>9615</v>
      </c>
      <c r="B1372" s="666"/>
      <c r="C1372" s="667" t="s">
        <v>4094</v>
      </c>
      <c r="D1372" s="668">
        <v>18</v>
      </c>
      <c r="E1372" s="667" t="s">
        <v>5011</v>
      </c>
      <c r="F1372" s="665" t="s">
        <v>9615</v>
      </c>
      <c r="O1372" s="664">
        <f t="shared" si="55"/>
        <v>0</v>
      </c>
      <c r="P1372" s="665" t="s">
        <v>9615</v>
      </c>
      <c r="Q1372" s="665" t="s">
        <v>9615</v>
      </c>
      <c r="R1372" s="665">
        <v>4410</v>
      </c>
      <c r="S1372" s="669">
        <v>4410</v>
      </c>
      <c r="T1372" s="669">
        <v>4410</v>
      </c>
    </row>
    <row r="1373" spans="1:22" s="665" customFormat="1">
      <c r="A1373" s="665" t="s">
        <v>9616</v>
      </c>
      <c r="B1373" s="666"/>
      <c r="C1373" s="667" t="s">
        <v>9599</v>
      </c>
      <c r="D1373" s="671" t="s">
        <v>9597</v>
      </c>
      <c r="E1373" s="667" t="s">
        <v>5011</v>
      </c>
      <c r="F1373" s="665" t="s">
        <v>9616</v>
      </c>
      <c r="O1373" s="664">
        <f t="shared" si="55"/>
        <v>0</v>
      </c>
      <c r="P1373" s="665" t="s">
        <v>9616</v>
      </c>
      <c r="Q1373" s="665" t="s">
        <v>9616</v>
      </c>
      <c r="R1373" s="665">
        <v>45360</v>
      </c>
      <c r="S1373" s="669">
        <v>45360</v>
      </c>
      <c r="T1373" s="669">
        <v>45360</v>
      </c>
      <c r="V1373" s="672" t="s">
        <v>4760</v>
      </c>
    </row>
    <row r="1374" spans="1:22" s="665" customFormat="1">
      <c r="A1374" s="670" t="s">
        <v>9617</v>
      </c>
      <c r="B1374" s="666"/>
      <c r="C1374" s="667" t="s">
        <v>456</v>
      </c>
      <c r="D1374" s="668">
        <v>4</v>
      </c>
      <c r="E1374" s="667" t="s">
        <v>5011</v>
      </c>
      <c r="F1374" s="665" t="s">
        <v>9931</v>
      </c>
      <c r="O1374" s="664">
        <f t="shared" si="55"/>
        <v>0</v>
      </c>
      <c r="P1374" s="665" t="s">
        <v>9931</v>
      </c>
      <c r="Q1374" s="665" t="s">
        <v>9931</v>
      </c>
      <c r="R1374" s="665">
        <v>13230</v>
      </c>
      <c r="S1374" s="665">
        <v>13230</v>
      </c>
      <c r="T1374" s="665">
        <v>13230</v>
      </c>
    </row>
    <row r="1375" spans="1:22" s="665" customFormat="1">
      <c r="A1375" s="665" t="s">
        <v>9617</v>
      </c>
      <c r="B1375" s="666"/>
      <c r="C1375" s="667" t="s">
        <v>4094</v>
      </c>
      <c r="D1375" s="668">
        <v>19</v>
      </c>
      <c r="E1375" s="667" t="s">
        <v>5011</v>
      </c>
      <c r="F1375" s="665" t="s">
        <v>9617</v>
      </c>
      <c r="O1375" s="664">
        <f t="shared" si="55"/>
        <v>0</v>
      </c>
      <c r="P1375" s="665" t="s">
        <v>9617</v>
      </c>
      <c r="Q1375" s="665" t="s">
        <v>9617</v>
      </c>
      <c r="R1375" s="665">
        <v>4410</v>
      </c>
      <c r="S1375" s="669">
        <v>4410</v>
      </c>
      <c r="T1375" s="669">
        <v>4410</v>
      </c>
    </row>
    <row r="1376" spans="1:22" s="665" customFormat="1">
      <c r="A1376" s="665" t="s">
        <v>9618</v>
      </c>
      <c r="B1376" s="666"/>
      <c r="C1376" s="667" t="s">
        <v>4339</v>
      </c>
      <c r="D1376" s="668">
        <v>6</v>
      </c>
      <c r="E1376" s="667" t="s">
        <v>5011</v>
      </c>
      <c r="F1376" s="665" t="s">
        <v>9618</v>
      </c>
      <c r="O1376" s="664">
        <f t="shared" si="55"/>
        <v>0</v>
      </c>
      <c r="P1376" s="665" t="s">
        <v>9618</v>
      </c>
      <c r="Q1376" s="665" t="s">
        <v>9618</v>
      </c>
      <c r="R1376" s="665">
        <v>14175</v>
      </c>
      <c r="S1376" s="669">
        <v>14165</v>
      </c>
      <c r="T1376" s="669">
        <v>14165</v>
      </c>
      <c r="U1376" s="665">
        <v>10</v>
      </c>
    </row>
    <row r="1377" spans="1:22" s="665" customFormat="1">
      <c r="A1377" s="665" t="s">
        <v>9619</v>
      </c>
      <c r="B1377" s="666"/>
      <c r="C1377" s="667" t="s">
        <v>447</v>
      </c>
      <c r="D1377" s="668">
        <v>1</v>
      </c>
      <c r="E1377" s="667" t="s">
        <v>5011</v>
      </c>
      <c r="F1377" s="665" t="s">
        <v>9619</v>
      </c>
      <c r="O1377" s="664">
        <f t="shared" si="55"/>
        <v>0</v>
      </c>
      <c r="P1377" s="665" t="s">
        <v>9619</v>
      </c>
      <c r="Q1377" s="665" t="s">
        <v>9619</v>
      </c>
      <c r="R1377" s="665">
        <v>14175</v>
      </c>
      <c r="S1377" s="669">
        <v>14165</v>
      </c>
      <c r="T1377" s="669">
        <v>14165</v>
      </c>
      <c r="U1377" s="665">
        <v>10</v>
      </c>
    </row>
    <row r="1378" spans="1:22" s="665" customFormat="1">
      <c r="A1378" s="665" t="s">
        <v>9620</v>
      </c>
      <c r="B1378" s="666"/>
      <c r="C1378" s="667" t="s">
        <v>4094</v>
      </c>
      <c r="D1378" s="668">
        <v>20</v>
      </c>
      <c r="E1378" s="667" t="s">
        <v>5011</v>
      </c>
      <c r="F1378" s="665" t="s">
        <v>9620</v>
      </c>
      <c r="O1378" s="664">
        <f t="shared" si="55"/>
        <v>0</v>
      </c>
      <c r="P1378" s="665" t="s">
        <v>9620</v>
      </c>
      <c r="Q1378" s="665" t="s">
        <v>9620</v>
      </c>
      <c r="R1378" s="665">
        <v>4410</v>
      </c>
      <c r="S1378" s="669">
        <v>4410</v>
      </c>
      <c r="T1378" s="669">
        <v>4410</v>
      </c>
    </row>
    <row r="1379" spans="1:22" s="665" customFormat="1">
      <c r="A1379" s="665" t="s">
        <v>9621</v>
      </c>
      <c r="B1379" s="666"/>
      <c r="C1379" s="667" t="s">
        <v>4318</v>
      </c>
      <c r="D1379" s="668">
        <v>5</v>
      </c>
      <c r="E1379" s="667" t="s">
        <v>5011</v>
      </c>
      <c r="F1379" s="665" t="s">
        <v>9621</v>
      </c>
      <c r="O1379" s="664">
        <f t="shared" si="55"/>
        <v>0</v>
      </c>
      <c r="P1379" s="665" t="s">
        <v>9621</v>
      </c>
      <c r="Q1379" s="665" t="s">
        <v>9621</v>
      </c>
      <c r="R1379" s="665">
        <v>13500</v>
      </c>
      <c r="S1379" s="669">
        <v>13485</v>
      </c>
      <c r="T1379" s="669">
        <v>13485</v>
      </c>
      <c r="U1379" s="665">
        <v>15</v>
      </c>
    </row>
    <row r="1380" spans="1:22" s="665" customFormat="1">
      <c r="A1380" s="665" t="s">
        <v>9622</v>
      </c>
      <c r="B1380" s="666"/>
      <c r="C1380" s="667" t="s">
        <v>4201</v>
      </c>
      <c r="D1380" s="668"/>
      <c r="E1380" s="667" t="s">
        <v>5011</v>
      </c>
      <c r="F1380" s="665" t="s">
        <v>9622</v>
      </c>
      <c r="O1380" s="664">
        <f t="shared" si="55"/>
        <v>0</v>
      </c>
      <c r="P1380" s="665" t="s">
        <v>9622</v>
      </c>
      <c r="Q1380" s="665" t="s">
        <v>9622</v>
      </c>
      <c r="R1380" s="665">
        <v>113400</v>
      </c>
      <c r="S1380" s="669">
        <v>113400</v>
      </c>
      <c r="T1380" s="669">
        <v>113400</v>
      </c>
      <c r="V1380" s="665" t="s">
        <v>9600</v>
      </c>
    </row>
    <row r="1381" spans="1:22" s="665" customFormat="1">
      <c r="A1381" s="665" t="s">
        <v>9623</v>
      </c>
      <c r="B1381" s="666"/>
      <c r="C1381" s="667" t="s">
        <v>4204</v>
      </c>
      <c r="D1381" s="668"/>
      <c r="E1381" s="667" t="s">
        <v>5011</v>
      </c>
      <c r="F1381" s="665" t="s">
        <v>9623</v>
      </c>
      <c r="O1381" s="664">
        <f t="shared" si="55"/>
        <v>0</v>
      </c>
      <c r="P1381" s="665" t="s">
        <v>9623</v>
      </c>
      <c r="Q1381" s="665" t="s">
        <v>9623</v>
      </c>
      <c r="R1381" s="665">
        <v>6300</v>
      </c>
      <c r="S1381" s="669">
        <v>6290</v>
      </c>
      <c r="T1381" s="669">
        <v>6290</v>
      </c>
      <c r="U1381" s="665">
        <v>10</v>
      </c>
      <c r="V1381" s="665" t="s">
        <v>9601</v>
      </c>
    </row>
    <row r="1382" spans="1:22" s="665" customFormat="1">
      <c r="A1382" s="665" t="s">
        <v>9623</v>
      </c>
      <c r="B1382" s="666"/>
      <c r="C1382" s="667" t="s">
        <v>4204</v>
      </c>
      <c r="D1382" s="668"/>
      <c r="E1382" s="667" t="s">
        <v>5011</v>
      </c>
      <c r="F1382" s="665" t="s">
        <v>9623</v>
      </c>
      <c r="O1382" s="664">
        <f t="shared" si="55"/>
        <v>0</v>
      </c>
      <c r="P1382" s="665" t="s">
        <v>9623</v>
      </c>
      <c r="Q1382" s="665" t="s">
        <v>9623</v>
      </c>
      <c r="R1382" s="665">
        <v>75590</v>
      </c>
      <c r="S1382" s="669">
        <v>75590</v>
      </c>
      <c r="T1382" s="669">
        <v>75590</v>
      </c>
      <c r="U1382" s="665">
        <v>10</v>
      </c>
      <c r="V1382" s="665" t="s">
        <v>9600</v>
      </c>
    </row>
    <row r="1383" spans="1:22" s="665" customFormat="1">
      <c r="A1383" s="665" t="s">
        <v>9624</v>
      </c>
      <c r="B1383" s="666"/>
      <c r="C1383" s="667" t="s">
        <v>4339</v>
      </c>
      <c r="D1383" s="668">
        <v>7</v>
      </c>
      <c r="E1383" s="667" t="s">
        <v>5011</v>
      </c>
      <c r="F1383" s="665" t="s">
        <v>9624</v>
      </c>
      <c r="O1383" s="664">
        <f t="shared" si="55"/>
        <v>0</v>
      </c>
      <c r="P1383" s="665" t="s">
        <v>9624</v>
      </c>
      <c r="Q1383" s="665" t="s">
        <v>9624</v>
      </c>
      <c r="R1383" s="665">
        <v>14175</v>
      </c>
      <c r="S1383" s="669">
        <v>14165</v>
      </c>
      <c r="T1383" s="669">
        <v>14165</v>
      </c>
      <c r="U1383" s="665">
        <v>10</v>
      </c>
    </row>
    <row r="1384" spans="1:22" s="665" customFormat="1">
      <c r="A1384" s="665" t="s">
        <v>9624</v>
      </c>
      <c r="B1384" s="666"/>
      <c r="C1384" s="667" t="s">
        <v>4094</v>
      </c>
      <c r="D1384" s="668">
        <v>21</v>
      </c>
      <c r="E1384" s="667" t="s">
        <v>5011</v>
      </c>
      <c r="F1384" s="665" t="s">
        <v>9624</v>
      </c>
      <c r="O1384" s="664">
        <f t="shared" si="55"/>
        <v>0</v>
      </c>
      <c r="P1384" s="665" t="s">
        <v>9624</v>
      </c>
      <c r="Q1384" s="665" t="s">
        <v>9624</v>
      </c>
      <c r="R1384" s="665">
        <v>4410</v>
      </c>
      <c r="S1384" s="669">
        <v>4410</v>
      </c>
      <c r="T1384" s="669">
        <v>4410</v>
      </c>
    </row>
    <row r="1385" spans="1:22" s="665" customFormat="1">
      <c r="A1385" s="665" t="s">
        <v>9625</v>
      </c>
      <c r="B1385" s="666"/>
      <c r="C1385" s="667" t="s">
        <v>447</v>
      </c>
      <c r="D1385" s="668">
        <v>2</v>
      </c>
      <c r="E1385" s="667" t="s">
        <v>5011</v>
      </c>
      <c r="F1385" s="665" t="s">
        <v>9625</v>
      </c>
      <c r="O1385" s="664">
        <f t="shared" si="55"/>
        <v>0</v>
      </c>
      <c r="P1385" s="665" t="s">
        <v>9625</v>
      </c>
      <c r="Q1385" s="665" t="s">
        <v>9625</v>
      </c>
      <c r="R1385" s="665">
        <v>14175</v>
      </c>
      <c r="S1385" s="669">
        <v>14165</v>
      </c>
      <c r="T1385" s="669">
        <v>14165</v>
      </c>
      <c r="U1385" s="665">
        <v>10</v>
      </c>
    </row>
    <row r="1386" spans="1:22">
      <c r="A1386" s="165" t="s">
        <v>5565</v>
      </c>
      <c r="B1386" s="94">
        <v>1340</v>
      </c>
      <c r="C1386" s="165" t="s">
        <v>1232</v>
      </c>
      <c r="D1386" s="165">
        <v>3</v>
      </c>
      <c r="E1386" s="165" t="s">
        <v>10135</v>
      </c>
      <c r="F1386" s="165" t="s">
        <v>5316</v>
      </c>
      <c r="G1386" s="556">
        <v>16380</v>
      </c>
      <c r="H1386" s="680"/>
      <c r="I1386" s="165"/>
      <c r="J1386" s="165"/>
      <c r="K1386" s="165"/>
      <c r="L1386" s="165">
        <v>16380</v>
      </c>
      <c r="M1386" s="165"/>
      <c r="N1386" s="165"/>
      <c r="O1386" s="337">
        <f t="shared" ref="O1386:O1406" si="56">G1386+H1386+I1386-J1386-K1386-L1386</f>
        <v>0</v>
      </c>
      <c r="P1386" s="165" t="s">
        <v>5605</v>
      </c>
      <c r="Q1386" s="165" t="s">
        <v>5605</v>
      </c>
      <c r="R1386" s="3">
        <f t="shared" ref="R1386:R1406" si="57">G1386+H1386+I1386</f>
        <v>16380</v>
      </c>
      <c r="S1386" s="337">
        <v>16380</v>
      </c>
      <c r="T1386" s="337"/>
      <c r="U1386" s="3"/>
    </row>
    <row r="1387" spans="1:22">
      <c r="A1387" s="165" t="s">
        <v>9672</v>
      </c>
      <c r="B1387" s="94">
        <v>1341</v>
      </c>
      <c r="C1387" s="165" t="s">
        <v>1232</v>
      </c>
      <c r="D1387" s="165">
        <v>4</v>
      </c>
      <c r="E1387" s="165" t="s">
        <v>9671</v>
      </c>
      <c r="F1387" s="165" t="s">
        <v>5315</v>
      </c>
      <c r="G1387" s="165"/>
      <c r="H1387" s="680">
        <v>16380</v>
      </c>
      <c r="I1387" s="165"/>
      <c r="J1387" s="165"/>
      <c r="K1387" s="165"/>
      <c r="L1387" s="165">
        <v>16380</v>
      </c>
      <c r="M1387" s="165"/>
      <c r="N1387" s="165"/>
      <c r="O1387" s="337">
        <f t="shared" si="56"/>
        <v>0</v>
      </c>
      <c r="P1387" s="165" t="s">
        <v>5315</v>
      </c>
      <c r="Q1387" s="165" t="s">
        <v>5315</v>
      </c>
      <c r="R1387" s="3">
        <f t="shared" si="57"/>
        <v>16380</v>
      </c>
      <c r="S1387" s="337">
        <v>16380</v>
      </c>
      <c r="T1387" s="337"/>
      <c r="U1387" s="3"/>
    </row>
    <row r="1388" spans="1:22">
      <c r="A1388" s="165" t="s">
        <v>5574</v>
      </c>
      <c r="B1388" s="94">
        <v>1342</v>
      </c>
      <c r="C1388" s="165" t="s">
        <v>1232</v>
      </c>
      <c r="D1388" s="165">
        <v>5</v>
      </c>
      <c r="E1388" s="165" t="s">
        <v>9674</v>
      </c>
      <c r="F1388" s="165" t="s">
        <v>5314</v>
      </c>
      <c r="G1388" s="165"/>
      <c r="H1388" s="680">
        <v>16380</v>
      </c>
      <c r="I1388" s="165"/>
      <c r="J1388" s="165"/>
      <c r="K1388" s="165"/>
      <c r="L1388" s="165">
        <v>16380</v>
      </c>
      <c r="M1388" s="165"/>
      <c r="N1388" s="165"/>
      <c r="O1388" s="337">
        <f t="shared" si="56"/>
        <v>0</v>
      </c>
      <c r="P1388" s="165" t="s">
        <v>9677</v>
      </c>
      <c r="Q1388" s="165" t="s">
        <v>9677</v>
      </c>
      <c r="R1388" s="3">
        <f t="shared" si="57"/>
        <v>16380</v>
      </c>
      <c r="S1388" s="337">
        <v>16380</v>
      </c>
      <c r="T1388" s="337"/>
      <c r="U1388" s="3"/>
    </row>
    <row r="1389" spans="1:22">
      <c r="A1389" s="165" t="s">
        <v>9679</v>
      </c>
      <c r="B1389" s="94">
        <v>1343</v>
      </c>
      <c r="C1389" s="165" t="s">
        <v>1232</v>
      </c>
      <c r="D1389" s="165">
        <v>6</v>
      </c>
      <c r="E1389" s="165" t="s">
        <v>9678</v>
      </c>
      <c r="F1389" s="165" t="s">
        <v>5313</v>
      </c>
      <c r="G1389" s="165"/>
      <c r="H1389" s="680">
        <v>16380</v>
      </c>
      <c r="I1389" s="165"/>
      <c r="J1389" s="165"/>
      <c r="K1389" s="165"/>
      <c r="L1389" s="165">
        <v>16380</v>
      </c>
      <c r="M1389" s="165"/>
      <c r="N1389" s="165"/>
      <c r="O1389" s="337">
        <f t="shared" si="56"/>
        <v>0</v>
      </c>
      <c r="P1389" s="165" t="s">
        <v>9681</v>
      </c>
      <c r="Q1389" s="165" t="s">
        <v>9681</v>
      </c>
      <c r="R1389" s="3">
        <f t="shared" si="57"/>
        <v>16380</v>
      </c>
      <c r="S1389" s="337">
        <v>16380</v>
      </c>
      <c r="T1389" s="337"/>
      <c r="U1389" s="3"/>
    </row>
    <row r="1390" spans="1:22">
      <c r="A1390" s="165" t="s">
        <v>5607</v>
      </c>
      <c r="B1390" s="94">
        <v>1344</v>
      </c>
      <c r="C1390" s="165" t="s">
        <v>4282</v>
      </c>
      <c r="D1390" s="165">
        <v>1</v>
      </c>
      <c r="E1390" s="165" t="s">
        <v>9747</v>
      </c>
      <c r="F1390" s="165" t="s">
        <v>5507</v>
      </c>
      <c r="G1390" s="165"/>
      <c r="H1390" s="680">
        <v>14175</v>
      </c>
      <c r="I1390" s="165"/>
      <c r="J1390" s="165"/>
      <c r="K1390" s="165"/>
      <c r="L1390" s="165">
        <v>14175</v>
      </c>
      <c r="M1390" s="165"/>
      <c r="N1390" s="165"/>
      <c r="O1390" s="337">
        <f t="shared" si="56"/>
        <v>0</v>
      </c>
      <c r="P1390" s="165" t="s">
        <v>5609</v>
      </c>
      <c r="Q1390" s="165" t="s">
        <v>5609</v>
      </c>
      <c r="R1390" s="3">
        <f t="shared" si="57"/>
        <v>14175</v>
      </c>
      <c r="S1390" s="337">
        <v>14175</v>
      </c>
      <c r="T1390"/>
      <c r="U1390" s="3"/>
    </row>
    <row r="1391" spans="1:22">
      <c r="A1391" s="165" t="s">
        <v>5607</v>
      </c>
      <c r="B1391" s="94">
        <v>1345</v>
      </c>
      <c r="C1391" s="165" t="s">
        <v>4282</v>
      </c>
      <c r="D1391" s="165">
        <v>2</v>
      </c>
      <c r="E1391" s="165" t="s">
        <v>9749</v>
      </c>
      <c r="F1391" s="165" t="s">
        <v>5508</v>
      </c>
      <c r="G1391" s="165"/>
      <c r="H1391" s="680">
        <v>14175</v>
      </c>
      <c r="I1391" s="165"/>
      <c r="J1391" s="165"/>
      <c r="K1391" s="165"/>
      <c r="L1391" s="165">
        <v>14175</v>
      </c>
      <c r="M1391" s="165"/>
      <c r="N1391" s="165"/>
      <c r="O1391" s="337">
        <f t="shared" si="56"/>
        <v>0</v>
      </c>
      <c r="P1391" s="165" t="s">
        <v>9633</v>
      </c>
      <c r="Q1391" s="165" t="s">
        <v>9633</v>
      </c>
      <c r="R1391" s="3">
        <f t="shared" si="57"/>
        <v>14175</v>
      </c>
      <c r="S1391" s="337">
        <v>14175</v>
      </c>
      <c r="T1391"/>
      <c r="U1391" s="3"/>
    </row>
    <row r="1392" spans="1:22">
      <c r="A1392" s="165" t="s">
        <v>5607</v>
      </c>
      <c r="B1392" s="94">
        <v>1346</v>
      </c>
      <c r="C1392" s="165" t="s">
        <v>4282</v>
      </c>
      <c r="D1392" s="165">
        <v>3</v>
      </c>
      <c r="E1392" s="165" t="s">
        <v>9750</v>
      </c>
      <c r="F1392" s="165" t="s">
        <v>5509</v>
      </c>
      <c r="G1392" s="165"/>
      <c r="H1392" s="680">
        <v>14175</v>
      </c>
      <c r="I1392" s="165"/>
      <c r="J1392" s="165"/>
      <c r="K1392" s="165"/>
      <c r="L1392" s="165">
        <v>14175</v>
      </c>
      <c r="M1392" s="165"/>
      <c r="N1392" s="165"/>
      <c r="O1392" s="337">
        <f t="shared" si="56"/>
        <v>0</v>
      </c>
      <c r="P1392" s="165" t="s">
        <v>9636</v>
      </c>
      <c r="Q1392" s="165" t="s">
        <v>9636</v>
      </c>
      <c r="R1392" s="3">
        <f t="shared" si="57"/>
        <v>14175</v>
      </c>
      <c r="S1392" s="337">
        <v>14175</v>
      </c>
      <c r="T1392"/>
      <c r="U1392" s="3"/>
    </row>
    <row r="1393" spans="1:21">
      <c r="A1393" s="165" t="s">
        <v>5607</v>
      </c>
      <c r="B1393" s="94">
        <v>1347</v>
      </c>
      <c r="C1393" s="165" t="s">
        <v>4282</v>
      </c>
      <c r="D1393" s="165">
        <v>4</v>
      </c>
      <c r="E1393" s="165" t="s">
        <v>9751</v>
      </c>
      <c r="F1393" s="165" t="s">
        <v>5433</v>
      </c>
      <c r="G1393" s="165"/>
      <c r="H1393" s="680">
        <v>14175</v>
      </c>
      <c r="I1393" s="165"/>
      <c r="J1393" s="165"/>
      <c r="K1393" s="165"/>
      <c r="L1393" s="165">
        <v>14175</v>
      </c>
      <c r="M1393" s="165"/>
      <c r="N1393" s="165"/>
      <c r="O1393" s="337">
        <f t="shared" si="56"/>
        <v>0</v>
      </c>
      <c r="P1393" s="165" t="s">
        <v>5433</v>
      </c>
      <c r="Q1393" s="165" t="s">
        <v>5433</v>
      </c>
      <c r="R1393" s="3">
        <f t="shared" si="57"/>
        <v>14175</v>
      </c>
      <c r="S1393" s="337">
        <v>14175</v>
      </c>
      <c r="T1393"/>
      <c r="U1393" s="3"/>
    </row>
    <row r="1394" spans="1:21">
      <c r="A1394" s="165" t="s">
        <v>5607</v>
      </c>
      <c r="B1394" s="94">
        <v>1348</v>
      </c>
      <c r="C1394" s="165" t="s">
        <v>4282</v>
      </c>
      <c r="D1394" s="165">
        <v>5</v>
      </c>
      <c r="E1394" s="165" t="s">
        <v>9752</v>
      </c>
      <c r="F1394" s="165" t="s">
        <v>9656</v>
      </c>
      <c r="G1394" s="165"/>
      <c r="H1394" s="680">
        <v>14175</v>
      </c>
      <c r="I1394" s="165"/>
      <c r="J1394" s="165"/>
      <c r="K1394" s="165"/>
      <c r="L1394" s="165">
        <v>14175</v>
      </c>
      <c r="M1394" s="165"/>
      <c r="N1394" s="165"/>
      <c r="O1394" s="337">
        <f t="shared" si="56"/>
        <v>0</v>
      </c>
      <c r="P1394" s="165" t="s">
        <v>8839</v>
      </c>
      <c r="Q1394" s="165" t="s">
        <v>9656</v>
      </c>
      <c r="R1394" s="3">
        <f t="shared" si="57"/>
        <v>14175</v>
      </c>
      <c r="S1394" s="337">
        <v>14175</v>
      </c>
      <c r="T1394"/>
      <c r="U1394" s="3"/>
    </row>
    <row r="1395" spans="1:21">
      <c r="A1395" s="165" t="s">
        <v>5607</v>
      </c>
      <c r="B1395" s="94">
        <v>1349</v>
      </c>
      <c r="C1395" s="165" t="s">
        <v>4282</v>
      </c>
      <c r="D1395" s="165">
        <v>6</v>
      </c>
      <c r="E1395" s="165" t="s">
        <v>9753</v>
      </c>
      <c r="F1395" s="165" t="s">
        <v>8939</v>
      </c>
      <c r="G1395" s="165"/>
      <c r="H1395" s="680">
        <v>14175</v>
      </c>
      <c r="I1395" s="165"/>
      <c r="J1395" s="165"/>
      <c r="K1395" s="165"/>
      <c r="L1395" s="165">
        <v>14175</v>
      </c>
      <c r="M1395" s="165"/>
      <c r="N1395" s="165"/>
      <c r="O1395" s="337">
        <f t="shared" si="56"/>
        <v>0</v>
      </c>
      <c r="P1395" s="165" t="s">
        <v>10855</v>
      </c>
      <c r="Q1395" s="165" t="s">
        <v>8939</v>
      </c>
      <c r="R1395" s="3">
        <f t="shared" si="57"/>
        <v>14175</v>
      </c>
      <c r="S1395" s="337">
        <v>14175</v>
      </c>
      <c r="T1395"/>
      <c r="U1395" s="3"/>
    </row>
    <row r="1396" spans="1:21">
      <c r="A1396" s="165" t="s">
        <v>5607</v>
      </c>
      <c r="B1396" s="94">
        <v>1350</v>
      </c>
      <c r="C1396" s="165" t="s">
        <v>4282</v>
      </c>
      <c r="D1396" s="165">
        <v>7</v>
      </c>
      <c r="E1396" s="165" t="s">
        <v>9754</v>
      </c>
      <c r="F1396" s="165" t="s">
        <v>9662</v>
      </c>
      <c r="G1396" s="165"/>
      <c r="H1396" s="680">
        <v>14175</v>
      </c>
      <c r="I1396" s="165"/>
      <c r="J1396" s="165"/>
      <c r="K1396" s="165"/>
      <c r="L1396" s="165">
        <v>14175</v>
      </c>
      <c r="M1396" s="165"/>
      <c r="N1396" s="165"/>
      <c r="O1396" s="337">
        <f t="shared" si="56"/>
        <v>0</v>
      </c>
      <c r="P1396" s="165" t="s">
        <v>10897</v>
      </c>
      <c r="Q1396" s="165" t="s">
        <v>9662</v>
      </c>
      <c r="R1396" s="3">
        <f t="shared" si="57"/>
        <v>14175</v>
      </c>
      <c r="S1396" s="337">
        <v>14175</v>
      </c>
      <c r="T1396"/>
      <c r="U1396" s="3"/>
    </row>
    <row r="1397" spans="1:21">
      <c r="A1397" s="165" t="s">
        <v>5607</v>
      </c>
      <c r="B1397" s="94">
        <v>1351</v>
      </c>
      <c r="C1397" s="165" t="s">
        <v>4282</v>
      </c>
      <c r="D1397" s="165">
        <v>8</v>
      </c>
      <c r="E1397" s="165" t="s">
        <v>9755</v>
      </c>
      <c r="F1397" s="165" t="s">
        <v>9757</v>
      </c>
      <c r="G1397" s="165"/>
      <c r="H1397" s="680">
        <v>14175</v>
      </c>
      <c r="I1397" s="165"/>
      <c r="J1397" s="165"/>
      <c r="K1397" s="165"/>
      <c r="L1397" s="165">
        <v>14175</v>
      </c>
      <c r="M1397" s="165"/>
      <c r="N1397" s="165"/>
      <c r="O1397" s="337">
        <f t="shared" si="56"/>
        <v>0</v>
      </c>
      <c r="P1397" s="165" t="s">
        <v>11011</v>
      </c>
      <c r="Q1397" s="165" t="s">
        <v>9757</v>
      </c>
      <c r="R1397" s="3">
        <f t="shared" si="57"/>
        <v>14175</v>
      </c>
      <c r="S1397" s="337">
        <v>14175</v>
      </c>
      <c r="T1397"/>
      <c r="U1397" s="3"/>
    </row>
    <row r="1398" spans="1:21">
      <c r="A1398" s="165" t="s">
        <v>5608</v>
      </c>
      <c r="B1398" s="94">
        <v>1352</v>
      </c>
      <c r="C1398" s="165" t="s">
        <v>5208</v>
      </c>
      <c r="D1398" s="165"/>
      <c r="E1398" s="165" t="s">
        <v>9765</v>
      </c>
      <c r="F1398" s="165" t="s">
        <v>5446</v>
      </c>
      <c r="G1398" s="165">
        <v>331800</v>
      </c>
      <c r="H1398" s="165"/>
      <c r="I1398" s="165"/>
      <c r="J1398" s="165"/>
      <c r="K1398" s="165"/>
      <c r="L1398" s="165">
        <v>331800</v>
      </c>
      <c r="M1398" s="165"/>
      <c r="N1398" s="165"/>
      <c r="O1398" s="337">
        <f t="shared" si="56"/>
        <v>0</v>
      </c>
      <c r="P1398" s="165" t="s">
        <v>9760</v>
      </c>
      <c r="Q1398" s="165" t="s">
        <v>9760</v>
      </c>
      <c r="R1398" s="3">
        <f t="shared" si="57"/>
        <v>331800</v>
      </c>
      <c r="S1398" s="337">
        <v>331800</v>
      </c>
      <c r="T1398"/>
      <c r="U1398" s="3"/>
    </row>
    <row r="1399" spans="1:21">
      <c r="A1399" s="165" t="s">
        <v>5608</v>
      </c>
      <c r="B1399" s="94">
        <v>1353</v>
      </c>
      <c r="C1399" s="165" t="s">
        <v>3954</v>
      </c>
      <c r="D1399" s="165">
        <v>1</v>
      </c>
      <c r="E1399" s="165" t="s">
        <v>9852</v>
      </c>
      <c r="F1399" s="165" t="s">
        <v>4671</v>
      </c>
      <c r="G1399" s="165"/>
      <c r="H1399" s="680">
        <v>17325</v>
      </c>
      <c r="I1399" s="165"/>
      <c r="J1399" s="165"/>
      <c r="K1399" s="165"/>
      <c r="L1399" s="165">
        <v>17325</v>
      </c>
      <c r="M1399" s="165"/>
      <c r="N1399" s="165"/>
      <c r="O1399" s="337">
        <f t="shared" si="56"/>
        <v>0</v>
      </c>
      <c r="P1399" s="165" t="s">
        <v>4671</v>
      </c>
      <c r="Q1399" s="165" t="s">
        <v>4671</v>
      </c>
      <c r="R1399" s="3">
        <f t="shared" si="57"/>
        <v>17325</v>
      </c>
      <c r="S1399" s="337">
        <v>17325</v>
      </c>
      <c r="T1399"/>
      <c r="U1399" s="3"/>
    </row>
    <row r="1400" spans="1:21">
      <c r="A1400" s="165" t="s">
        <v>5608</v>
      </c>
      <c r="B1400" s="94">
        <v>1354</v>
      </c>
      <c r="C1400" s="165" t="s">
        <v>3954</v>
      </c>
      <c r="D1400" s="165">
        <v>2</v>
      </c>
      <c r="E1400" s="165" t="s">
        <v>9853</v>
      </c>
      <c r="F1400" s="165" t="s">
        <v>9861</v>
      </c>
      <c r="G1400" s="165"/>
      <c r="H1400" s="680">
        <v>17325</v>
      </c>
      <c r="I1400" s="165"/>
      <c r="J1400" s="165"/>
      <c r="K1400" s="165"/>
      <c r="L1400" s="165">
        <v>17325</v>
      </c>
      <c r="M1400" s="165"/>
      <c r="N1400" s="165"/>
      <c r="O1400" s="337">
        <f t="shared" si="56"/>
        <v>0</v>
      </c>
      <c r="P1400" s="165" t="s">
        <v>9861</v>
      </c>
      <c r="Q1400" s="165" t="s">
        <v>9861</v>
      </c>
      <c r="R1400" s="3">
        <f t="shared" si="57"/>
        <v>17325</v>
      </c>
      <c r="S1400" s="337">
        <v>17325</v>
      </c>
      <c r="T1400"/>
      <c r="U1400" s="3"/>
    </row>
    <row r="1401" spans="1:21">
      <c r="A1401" s="165" t="s">
        <v>5608</v>
      </c>
      <c r="B1401" s="94">
        <v>1355</v>
      </c>
      <c r="C1401" s="165" t="s">
        <v>3954</v>
      </c>
      <c r="D1401" s="165">
        <v>3</v>
      </c>
      <c r="E1401" s="165" t="s">
        <v>9854</v>
      </c>
      <c r="F1401" s="165" t="s">
        <v>8803</v>
      </c>
      <c r="G1401" s="165"/>
      <c r="H1401" s="680">
        <v>17325</v>
      </c>
      <c r="I1401" s="165"/>
      <c r="J1401" s="165"/>
      <c r="K1401" s="165"/>
      <c r="L1401" s="165">
        <v>17325</v>
      </c>
      <c r="M1401" s="165"/>
      <c r="N1401" s="165"/>
      <c r="O1401" s="337">
        <f t="shared" si="56"/>
        <v>0</v>
      </c>
      <c r="P1401" s="165" t="s">
        <v>8803</v>
      </c>
      <c r="Q1401" s="165" t="s">
        <v>8803</v>
      </c>
      <c r="R1401" s="3">
        <f t="shared" si="57"/>
        <v>17325</v>
      </c>
      <c r="S1401" s="337">
        <v>17325</v>
      </c>
      <c r="T1401"/>
      <c r="U1401" s="3"/>
    </row>
    <row r="1402" spans="1:21">
      <c r="A1402" s="165" t="s">
        <v>5608</v>
      </c>
      <c r="B1402" s="94">
        <v>1356</v>
      </c>
      <c r="C1402" s="165" t="s">
        <v>3954</v>
      </c>
      <c r="D1402" s="165">
        <v>4</v>
      </c>
      <c r="E1402" s="165" t="s">
        <v>9855</v>
      </c>
      <c r="F1402" s="165" t="s">
        <v>9866</v>
      </c>
      <c r="G1402" s="165"/>
      <c r="H1402" s="680">
        <v>17325</v>
      </c>
      <c r="I1402" s="165"/>
      <c r="J1402" s="165"/>
      <c r="K1402" s="165"/>
      <c r="L1402" s="165">
        <v>17325</v>
      </c>
      <c r="M1402" s="165"/>
      <c r="N1402" s="165"/>
      <c r="O1402" s="337">
        <f t="shared" si="56"/>
        <v>0</v>
      </c>
      <c r="P1402" s="165" t="s">
        <v>9866</v>
      </c>
      <c r="Q1402" s="165" t="s">
        <v>9866</v>
      </c>
      <c r="R1402" s="3">
        <f t="shared" si="57"/>
        <v>17325</v>
      </c>
      <c r="S1402" s="337">
        <v>17325</v>
      </c>
      <c r="T1402"/>
      <c r="U1402" s="3"/>
    </row>
    <row r="1403" spans="1:21">
      <c r="A1403" s="165" t="s">
        <v>5608</v>
      </c>
      <c r="B1403" s="94">
        <v>1357</v>
      </c>
      <c r="C1403" s="165" t="s">
        <v>3954</v>
      </c>
      <c r="D1403" s="165">
        <v>5</v>
      </c>
      <c r="E1403" s="165" t="s">
        <v>9856</v>
      </c>
      <c r="F1403" s="165" t="s">
        <v>9864</v>
      </c>
      <c r="G1403" s="165"/>
      <c r="H1403" s="680">
        <v>17325</v>
      </c>
      <c r="I1403" s="165"/>
      <c r="J1403" s="165"/>
      <c r="K1403" s="165"/>
      <c r="L1403" s="165">
        <v>17325</v>
      </c>
      <c r="M1403" s="165"/>
      <c r="N1403" s="165"/>
      <c r="O1403" s="337">
        <f t="shared" si="56"/>
        <v>0</v>
      </c>
      <c r="P1403" s="165" t="s">
        <v>9700</v>
      </c>
      <c r="Q1403" s="165" t="s">
        <v>9864</v>
      </c>
      <c r="R1403" s="3">
        <f t="shared" si="57"/>
        <v>17325</v>
      </c>
      <c r="S1403" s="337">
        <v>17325</v>
      </c>
      <c r="T1403"/>
      <c r="U1403" s="3"/>
    </row>
    <row r="1404" spans="1:21">
      <c r="A1404" s="165" t="s">
        <v>5608</v>
      </c>
      <c r="B1404" s="94">
        <v>1358</v>
      </c>
      <c r="C1404" s="165" t="s">
        <v>3954</v>
      </c>
      <c r="D1404" s="165">
        <v>6</v>
      </c>
      <c r="E1404" s="165" t="s">
        <v>9857</v>
      </c>
      <c r="F1404" s="165" t="s">
        <v>9867</v>
      </c>
      <c r="G1404" s="165"/>
      <c r="H1404" s="680">
        <v>17325</v>
      </c>
      <c r="I1404" s="165"/>
      <c r="J1404" s="165"/>
      <c r="K1404" s="165"/>
      <c r="L1404" s="165">
        <v>17325</v>
      </c>
      <c r="M1404" s="165"/>
      <c r="N1404" s="165"/>
      <c r="O1404" s="337">
        <f t="shared" si="56"/>
        <v>0</v>
      </c>
      <c r="P1404" s="165" t="s">
        <v>9702</v>
      </c>
      <c r="Q1404" s="165" t="s">
        <v>9867</v>
      </c>
      <c r="R1404" s="3">
        <f t="shared" si="57"/>
        <v>17325</v>
      </c>
      <c r="S1404" s="337">
        <v>17325</v>
      </c>
      <c r="T1404"/>
      <c r="U1404" s="3"/>
    </row>
    <row r="1405" spans="1:21">
      <c r="A1405" s="165" t="s">
        <v>5608</v>
      </c>
      <c r="B1405" s="94">
        <v>1359</v>
      </c>
      <c r="C1405" s="165" t="s">
        <v>3954</v>
      </c>
      <c r="D1405" s="165">
        <v>7</v>
      </c>
      <c r="E1405" s="165" t="s">
        <v>9858</v>
      </c>
      <c r="F1405" s="165" t="s">
        <v>9862</v>
      </c>
      <c r="G1405" s="165"/>
      <c r="H1405" s="680">
        <v>17325</v>
      </c>
      <c r="I1405" s="165"/>
      <c r="J1405" s="165"/>
      <c r="K1405" s="165"/>
      <c r="L1405" s="165">
        <v>17325</v>
      </c>
      <c r="M1405" s="165"/>
      <c r="N1405" s="165"/>
      <c r="O1405" s="337">
        <f t="shared" si="56"/>
        <v>0</v>
      </c>
      <c r="P1405" s="165" t="s">
        <v>10984</v>
      </c>
      <c r="Q1405" s="165" t="s">
        <v>9862</v>
      </c>
      <c r="R1405" s="3">
        <f t="shared" si="57"/>
        <v>17325</v>
      </c>
      <c r="S1405" s="337">
        <v>17325</v>
      </c>
      <c r="T1405"/>
      <c r="U1405" s="3"/>
    </row>
    <row r="1406" spans="1:21">
      <c r="A1406" s="165" t="s">
        <v>5608</v>
      </c>
      <c r="B1406" s="94">
        <v>1360</v>
      </c>
      <c r="C1406" s="165" t="s">
        <v>3954</v>
      </c>
      <c r="D1406" s="165">
        <v>8</v>
      </c>
      <c r="E1406" s="165" t="s">
        <v>9859</v>
      </c>
      <c r="F1406" s="165" t="s">
        <v>9863</v>
      </c>
      <c r="G1406" s="165"/>
      <c r="H1406" s="680">
        <v>17325</v>
      </c>
      <c r="I1406" s="165"/>
      <c r="J1406" s="165"/>
      <c r="K1406" s="165"/>
      <c r="L1406" s="165">
        <v>17325</v>
      </c>
      <c r="M1406" s="165"/>
      <c r="N1406" s="165"/>
      <c r="O1406" s="337">
        <f t="shared" si="56"/>
        <v>0</v>
      </c>
      <c r="P1406" s="165" t="s">
        <v>11086</v>
      </c>
      <c r="Q1406" s="165" t="s">
        <v>9863</v>
      </c>
      <c r="R1406" s="3">
        <f t="shared" si="57"/>
        <v>17325</v>
      </c>
      <c r="S1406" s="337">
        <v>17325</v>
      </c>
      <c r="T1406"/>
      <c r="U1406" s="3"/>
    </row>
    <row r="1407" spans="1:21">
      <c r="A1407" s="165" t="s">
        <v>5611</v>
      </c>
      <c r="B1407" s="94">
        <v>1361</v>
      </c>
      <c r="C1407" s="165" t="s">
        <v>4271</v>
      </c>
      <c r="D1407" s="165">
        <v>5</v>
      </c>
      <c r="E1407" s="165" t="s">
        <v>9800</v>
      </c>
      <c r="F1407" s="165" t="s">
        <v>9801</v>
      </c>
      <c r="G1407" s="165"/>
      <c r="H1407" s="680">
        <v>20475</v>
      </c>
      <c r="I1407" s="165"/>
      <c r="J1407" s="165"/>
      <c r="K1407" s="165"/>
      <c r="L1407" s="165">
        <v>20475</v>
      </c>
      <c r="M1407" s="165"/>
      <c r="N1407" s="165"/>
      <c r="O1407" s="337">
        <f>G1407+H1407+I1407-J1407-K1407-L1407</f>
        <v>0</v>
      </c>
      <c r="P1407" s="165" t="s">
        <v>9802</v>
      </c>
      <c r="Q1407" s="165" t="s">
        <v>9802</v>
      </c>
      <c r="R1407" s="3">
        <f>G1407+H1407+I1407</f>
        <v>20475</v>
      </c>
      <c r="S1407" s="337">
        <v>20475</v>
      </c>
      <c r="T1407"/>
      <c r="U1407" s="3"/>
    </row>
    <row r="1408" spans="1:21">
      <c r="A1408" s="165" t="s">
        <v>5611</v>
      </c>
      <c r="B1408" s="94">
        <v>1362</v>
      </c>
      <c r="C1408" s="165" t="s">
        <v>4271</v>
      </c>
      <c r="D1408" s="165">
        <v>6</v>
      </c>
      <c r="E1408" s="165" t="s">
        <v>9803</v>
      </c>
      <c r="F1408" s="165" t="s">
        <v>9806</v>
      </c>
      <c r="G1408" s="165"/>
      <c r="H1408" s="680">
        <v>20475</v>
      </c>
      <c r="I1408" s="165"/>
      <c r="J1408" s="165"/>
      <c r="K1408" s="165"/>
      <c r="L1408" s="165">
        <v>20475</v>
      </c>
      <c r="M1408" s="165"/>
      <c r="N1408" s="165"/>
      <c r="O1408" s="337">
        <f>G1408+H1408+I1408-J1408-K1408-L1408</f>
        <v>0</v>
      </c>
      <c r="P1408" s="165" t="s">
        <v>9806</v>
      </c>
      <c r="Q1408" s="165" t="s">
        <v>9806</v>
      </c>
      <c r="R1408" s="3">
        <f>G1408+H1408+I1408</f>
        <v>20475</v>
      </c>
      <c r="S1408" s="337">
        <v>20475</v>
      </c>
      <c r="T1408"/>
      <c r="U1408" s="3"/>
    </row>
    <row r="1409" spans="1:21">
      <c r="A1409" s="165" t="s">
        <v>5611</v>
      </c>
      <c r="B1409" s="94">
        <v>1363</v>
      </c>
      <c r="C1409" s="165" t="s">
        <v>4271</v>
      </c>
      <c r="D1409" s="165">
        <v>7</v>
      </c>
      <c r="E1409" s="165" t="s">
        <v>9804</v>
      </c>
      <c r="F1409" s="165" t="s">
        <v>9807</v>
      </c>
      <c r="G1409" s="165"/>
      <c r="H1409" s="680">
        <v>20475</v>
      </c>
      <c r="I1409" s="165"/>
      <c r="J1409" s="165"/>
      <c r="K1409" s="165"/>
      <c r="L1409" s="165">
        <v>20475</v>
      </c>
      <c r="M1409" s="165"/>
      <c r="N1409" s="165"/>
      <c r="O1409" s="337">
        <f>G1409+H1409+I1409-J1409-K1409-L1409</f>
        <v>0</v>
      </c>
      <c r="P1409" s="165" t="s">
        <v>9807</v>
      </c>
      <c r="Q1409" s="165" t="s">
        <v>9807</v>
      </c>
      <c r="R1409" s="3">
        <f>G1409+H1409+I1409</f>
        <v>20475</v>
      </c>
      <c r="S1409" s="337">
        <v>20475</v>
      </c>
      <c r="T1409"/>
      <c r="U1409" s="3"/>
    </row>
    <row r="1410" spans="1:21">
      <c r="A1410" s="165" t="s">
        <v>5611</v>
      </c>
      <c r="B1410" s="94">
        <v>1364</v>
      </c>
      <c r="C1410" s="165" t="s">
        <v>4271</v>
      </c>
      <c r="D1410" s="165">
        <v>8</v>
      </c>
      <c r="E1410" s="165" t="s">
        <v>9805</v>
      </c>
      <c r="F1410" s="165" t="s">
        <v>9808</v>
      </c>
      <c r="G1410" s="165"/>
      <c r="H1410" s="680">
        <v>20475</v>
      </c>
      <c r="I1410" s="165"/>
      <c r="J1410" s="165"/>
      <c r="K1410" s="165"/>
      <c r="L1410" s="165">
        <v>20475</v>
      </c>
      <c r="M1410" s="165"/>
      <c r="N1410" s="165"/>
      <c r="O1410" s="337">
        <f>G1410+H1410+I1410-J1410-K1410-L1410</f>
        <v>0</v>
      </c>
      <c r="P1410" s="165" t="s">
        <v>9809</v>
      </c>
      <c r="Q1410" s="165" t="s">
        <v>9809</v>
      </c>
      <c r="R1410" s="3">
        <f>G1410+H1410+I1410</f>
        <v>20475</v>
      </c>
      <c r="S1410" s="337">
        <v>20475</v>
      </c>
      <c r="T1410"/>
      <c r="U1410" s="3"/>
    </row>
    <row r="1411" spans="1:21">
      <c r="A1411" s="165" t="s">
        <v>9881</v>
      </c>
      <c r="B1411" s="94">
        <v>1365</v>
      </c>
      <c r="C1411" s="165" t="s">
        <v>4517</v>
      </c>
      <c r="D1411" s="165">
        <v>1</v>
      </c>
      <c r="E1411" s="165" t="s">
        <v>9883</v>
      </c>
      <c r="F1411" s="165" t="s">
        <v>5430</v>
      </c>
      <c r="G1411" s="165"/>
      <c r="H1411" s="680">
        <v>13500</v>
      </c>
      <c r="I1411" s="165"/>
      <c r="J1411" s="165"/>
      <c r="K1411" s="165"/>
      <c r="L1411" s="165">
        <v>13500</v>
      </c>
      <c r="M1411" s="165"/>
      <c r="N1411" s="165"/>
      <c r="O1411" s="337">
        <f t="shared" ref="O1411:O1470" si="58">G1411+H1411+I1411-J1411-K1411-L1411</f>
        <v>0</v>
      </c>
      <c r="P1411" s="165" t="s">
        <v>9893</v>
      </c>
      <c r="Q1411" s="165" t="s">
        <v>9893</v>
      </c>
      <c r="R1411" s="3">
        <f t="shared" ref="R1411:R1474" si="59">G1411+H1411+I1411</f>
        <v>13500</v>
      </c>
      <c r="S1411" s="337">
        <v>13500</v>
      </c>
      <c r="T1411"/>
      <c r="U1411" s="3"/>
    </row>
    <row r="1412" spans="1:21">
      <c r="A1412" s="165" t="s">
        <v>9881</v>
      </c>
      <c r="B1412" s="94">
        <v>1366</v>
      </c>
      <c r="C1412" s="165" t="s">
        <v>4517</v>
      </c>
      <c r="D1412" s="165">
        <v>2</v>
      </c>
      <c r="E1412" s="165" t="s">
        <v>9884</v>
      </c>
      <c r="F1412" s="165" t="s">
        <v>5431</v>
      </c>
      <c r="G1412" s="165"/>
      <c r="H1412" s="680">
        <v>13500</v>
      </c>
      <c r="I1412" s="165"/>
      <c r="J1412" s="165"/>
      <c r="K1412" s="165"/>
      <c r="L1412" s="165">
        <v>13500</v>
      </c>
      <c r="M1412" s="165"/>
      <c r="N1412" s="165"/>
      <c r="O1412" s="337">
        <f t="shared" si="58"/>
        <v>0</v>
      </c>
      <c r="P1412" s="165" t="s">
        <v>5618</v>
      </c>
      <c r="Q1412" s="165" t="s">
        <v>5618</v>
      </c>
      <c r="R1412" s="3">
        <f t="shared" si="59"/>
        <v>13500</v>
      </c>
      <c r="S1412" s="337">
        <v>13500</v>
      </c>
      <c r="T1412"/>
      <c r="U1412" s="3"/>
    </row>
    <row r="1413" spans="1:21">
      <c r="A1413" s="165" t="s">
        <v>9881</v>
      </c>
      <c r="B1413" s="94">
        <v>1367</v>
      </c>
      <c r="C1413" s="165" t="s">
        <v>4517</v>
      </c>
      <c r="D1413" s="165">
        <v>3</v>
      </c>
      <c r="E1413" s="165" t="s">
        <v>9885</v>
      </c>
      <c r="F1413" s="165" t="s">
        <v>5432</v>
      </c>
      <c r="G1413" s="165"/>
      <c r="H1413" s="680">
        <v>13500</v>
      </c>
      <c r="I1413" s="165"/>
      <c r="J1413" s="165"/>
      <c r="K1413" s="165"/>
      <c r="L1413" s="165">
        <v>13500</v>
      </c>
      <c r="M1413" s="165"/>
      <c r="N1413" s="165"/>
      <c r="O1413" s="337">
        <f t="shared" si="58"/>
        <v>0</v>
      </c>
      <c r="P1413" s="165" t="s">
        <v>5432</v>
      </c>
      <c r="Q1413" s="165" t="s">
        <v>5432</v>
      </c>
      <c r="R1413" s="3">
        <f t="shared" si="59"/>
        <v>13500</v>
      </c>
      <c r="S1413" s="337">
        <v>13500</v>
      </c>
      <c r="T1413"/>
      <c r="U1413" s="3"/>
    </row>
    <row r="1414" spans="1:21">
      <c r="A1414" s="165" t="s">
        <v>9881</v>
      </c>
      <c r="B1414" s="94">
        <v>1368</v>
      </c>
      <c r="C1414" s="165" t="s">
        <v>4517</v>
      </c>
      <c r="D1414" s="165">
        <v>4</v>
      </c>
      <c r="E1414" s="165" t="s">
        <v>9886</v>
      </c>
      <c r="F1414" s="165" t="s">
        <v>5433</v>
      </c>
      <c r="G1414" s="165"/>
      <c r="H1414" s="680">
        <v>13500</v>
      </c>
      <c r="I1414" s="165"/>
      <c r="J1414" s="165"/>
      <c r="K1414" s="165"/>
      <c r="L1414" s="165">
        <v>13500</v>
      </c>
      <c r="M1414" s="165"/>
      <c r="N1414" s="165"/>
      <c r="O1414" s="337">
        <f t="shared" si="58"/>
        <v>0</v>
      </c>
      <c r="P1414" s="165" t="s">
        <v>5433</v>
      </c>
      <c r="Q1414" s="165" t="s">
        <v>5433</v>
      </c>
      <c r="R1414" s="3">
        <f t="shared" si="59"/>
        <v>13500</v>
      </c>
      <c r="S1414" s="337">
        <v>13500</v>
      </c>
      <c r="T1414"/>
      <c r="U1414" s="3"/>
    </row>
    <row r="1415" spans="1:21">
      <c r="A1415" s="165" t="s">
        <v>9881</v>
      </c>
      <c r="B1415" s="94">
        <v>1369</v>
      </c>
      <c r="C1415" s="165" t="s">
        <v>4517</v>
      </c>
      <c r="D1415" s="165">
        <v>5</v>
      </c>
      <c r="E1415" s="165" t="s">
        <v>9887</v>
      </c>
      <c r="F1415" s="165" t="s">
        <v>5434</v>
      </c>
      <c r="G1415" s="165"/>
      <c r="H1415" s="680">
        <v>13500</v>
      </c>
      <c r="I1415" s="165"/>
      <c r="J1415" s="165"/>
      <c r="K1415" s="165"/>
      <c r="L1415" s="165">
        <v>13500</v>
      </c>
      <c r="M1415" s="165"/>
      <c r="N1415" s="165"/>
      <c r="O1415" s="337">
        <f t="shared" si="58"/>
        <v>0</v>
      </c>
      <c r="P1415" s="165" t="s">
        <v>10814</v>
      </c>
      <c r="Q1415" s="165" t="s">
        <v>10815</v>
      </c>
      <c r="R1415" s="3">
        <f t="shared" si="59"/>
        <v>13500</v>
      </c>
      <c r="S1415" s="337">
        <v>13500</v>
      </c>
      <c r="T1415"/>
      <c r="U1415" s="3"/>
    </row>
    <row r="1416" spans="1:21">
      <c r="A1416" s="165" t="s">
        <v>9881</v>
      </c>
      <c r="B1416" s="94">
        <v>1370</v>
      </c>
      <c r="C1416" s="165" t="s">
        <v>4517</v>
      </c>
      <c r="D1416" s="165">
        <v>6</v>
      </c>
      <c r="E1416" s="165" t="s">
        <v>9888</v>
      </c>
      <c r="F1416" s="165" t="s">
        <v>9660</v>
      </c>
      <c r="G1416" s="165"/>
      <c r="H1416" s="680">
        <v>13500</v>
      </c>
      <c r="I1416" s="165"/>
      <c r="J1416" s="165"/>
      <c r="K1416" s="165"/>
      <c r="L1416" s="165">
        <v>13500</v>
      </c>
      <c r="M1416" s="165"/>
      <c r="N1416" s="165"/>
      <c r="O1416" s="337">
        <f t="shared" si="58"/>
        <v>0</v>
      </c>
      <c r="P1416" s="165" t="s">
        <v>10869</v>
      </c>
      <c r="Q1416" s="165" t="s">
        <v>10870</v>
      </c>
      <c r="R1416" s="3">
        <f t="shared" si="59"/>
        <v>13500</v>
      </c>
      <c r="S1416" s="337">
        <v>13500</v>
      </c>
      <c r="T1416"/>
      <c r="U1416" s="3"/>
    </row>
    <row r="1417" spans="1:21">
      <c r="A1417" s="165" t="s">
        <v>9881</v>
      </c>
      <c r="B1417" s="94">
        <v>1371</v>
      </c>
      <c r="C1417" s="165" t="s">
        <v>4517</v>
      </c>
      <c r="D1417" s="165">
        <v>7</v>
      </c>
      <c r="E1417" s="165" t="s">
        <v>9889</v>
      </c>
      <c r="F1417" s="165" t="s">
        <v>9663</v>
      </c>
      <c r="G1417" s="165"/>
      <c r="H1417" s="680">
        <v>13500</v>
      </c>
      <c r="I1417" s="165"/>
      <c r="J1417" s="165"/>
      <c r="K1417" s="165"/>
      <c r="L1417" s="165">
        <v>13500</v>
      </c>
      <c r="M1417" s="165"/>
      <c r="N1417" s="165"/>
      <c r="O1417" s="337">
        <f t="shared" si="58"/>
        <v>0</v>
      </c>
      <c r="P1417" s="165" t="s">
        <v>10936</v>
      </c>
      <c r="Q1417" s="165" t="s">
        <v>10950</v>
      </c>
      <c r="R1417" s="3">
        <f t="shared" si="59"/>
        <v>13500</v>
      </c>
      <c r="S1417" s="337">
        <v>13500</v>
      </c>
      <c r="T1417"/>
      <c r="U1417" s="3"/>
    </row>
    <row r="1418" spans="1:21">
      <c r="A1418" s="165" t="s">
        <v>9881</v>
      </c>
      <c r="B1418" s="94">
        <v>1372</v>
      </c>
      <c r="C1418" s="165" t="s">
        <v>4517</v>
      </c>
      <c r="D1418" s="165">
        <v>8</v>
      </c>
      <c r="E1418" s="165" t="s">
        <v>9890</v>
      </c>
      <c r="F1418" s="165" t="s">
        <v>9757</v>
      </c>
      <c r="G1418" s="165"/>
      <c r="H1418" s="680">
        <v>13500</v>
      </c>
      <c r="I1418" s="165"/>
      <c r="J1418" s="165"/>
      <c r="K1418" s="165"/>
      <c r="L1418" s="165">
        <v>13500</v>
      </c>
      <c r="M1418" s="165"/>
      <c r="N1418" s="165"/>
      <c r="O1418" s="337">
        <f t="shared" si="58"/>
        <v>0</v>
      </c>
      <c r="P1418" s="165" t="s">
        <v>11011</v>
      </c>
      <c r="Q1418" s="165" t="s">
        <v>9757</v>
      </c>
      <c r="R1418" s="3">
        <f t="shared" si="59"/>
        <v>13500</v>
      </c>
      <c r="S1418" s="337">
        <v>13500</v>
      </c>
      <c r="T1418"/>
      <c r="U1418" s="3"/>
    </row>
    <row r="1419" spans="1:21">
      <c r="A1419" s="165" t="s">
        <v>5616</v>
      </c>
      <c r="B1419" s="94">
        <v>1373</v>
      </c>
      <c r="C1419" s="165" t="s">
        <v>4255</v>
      </c>
      <c r="D1419" s="165">
        <v>1</v>
      </c>
      <c r="E1419" s="165" t="s">
        <v>9897</v>
      </c>
      <c r="F1419" s="165" t="s">
        <v>5481</v>
      </c>
      <c r="G1419" s="165"/>
      <c r="H1419" s="680">
        <v>14175</v>
      </c>
      <c r="I1419" s="165"/>
      <c r="J1419" s="165"/>
      <c r="K1419" s="165"/>
      <c r="L1419" s="165">
        <v>14175</v>
      </c>
      <c r="M1419" s="165"/>
      <c r="N1419" s="165"/>
      <c r="O1419" s="337">
        <f t="shared" si="58"/>
        <v>0</v>
      </c>
      <c r="P1419" s="165" t="s">
        <v>9893</v>
      </c>
      <c r="Q1419" s="165" t="s">
        <v>9893</v>
      </c>
      <c r="R1419" s="3">
        <f t="shared" si="59"/>
        <v>14175</v>
      </c>
      <c r="S1419" s="337">
        <v>14175</v>
      </c>
      <c r="T1419"/>
      <c r="U1419" s="3"/>
    </row>
    <row r="1420" spans="1:21">
      <c r="A1420" s="165" t="s">
        <v>5616</v>
      </c>
      <c r="B1420" s="94">
        <v>1374</v>
      </c>
      <c r="C1420" s="165" t="s">
        <v>4255</v>
      </c>
      <c r="D1420" s="165">
        <v>2</v>
      </c>
      <c r="E1420" s="165" t="s">
        <v>9900</v>
      </c>
      <c r="F1420" s="165" t="s">
        <v>5482</v>
      </c>
      <c r="G1420" s="165"/>
      <c r="H1420" s="680">
        <v>14175</v>
      </c>
      <c r="I1420" s="165"/>
      <c r="J1420" s="165"/>
      <c r="K1420" s="165"/>
      <c r="L1420" s="165">
        <v>14175</v>
      </c>
      <c r="M1420" s="165"/>
      <c r="N1420" s="165"/>
      <c r="O1420" s="337">
        <f t="shared" si="58"/>
        <v>0</v>
      </c>
      <c r="P1420" s="165" t="s">
        <v>5482</v>
      </c>
      <c r="Q1420" s="165" t="s">
        <v>5482</v>
      </c>
      <c r="R1420" s="3">
        <f t="shared" si="59"/>
        <v>14175</v>
      </c>
      <c r="S1420" s="337">
        <v>14175</v>
      </c>
      <c r="T1420"/>
      <c r="U1420" s="3"/>
    </row>
    <row r="1421" spans="1:21">
      <c r="A1421" s="165" t="s">
        <v>5616</v>
      </c>
      <c r="B1421" s="94">
        <v>1375</v>
      </c>
      <c r="C1421" s="165" t="s">
        <v>4255</v>
      </c>
      <c r="D1421" s="165">
        <v>3</v>
      </c>
      <c r="E1421" s="165" t="s">
        <v>9901</v>
      </c>
      <c r="F1421" s="165" t="s">
        <v>5483</v>
      </c>
      <c r="G1421" s="165"/>
      <c r="H1421" s="680">
        <v>14175</v>
      </c>
      <c r="I1421" s="165"/>
      <c r="J1421" s="165"/>
      <c r="K1421" s="165"/>
      <c r="L1421" s="165">
        <v>14175</v>
      </c>
      <c r="M1421" s="165"/>
      <c r="N1421" s="165"/>
      <c r="O1421" s="337">
        <f t="shared" si="58"/>
        <v>0</v>
      </c>
      <c r="P1421" s="165" t="s">
        <v>9848</v>
      </c>
      <c r="Q1421" s="165" t="s">
        <v>9848</v>
      </c>
      <c r="R1421" s="3">
        <f t="shared" si="59"/>
        <v>14175</v>
      </c>
      <c r="S1421" s="337">
        <v>14175</v>
      </c>
      <c r="T1421"/>
      <c r="U1421" s="3"/>
    </row>
    <row r="1422" spans="1:21">
      <c r="A1422" s="165" t="s">
        <v>5616</v>
      </c>
      <c r="B1422" s="94">
        <v>1376</v>
      </c>
      <c r="C1422" s="165" t="s">
        <v>4255</v>
      </c>
      <c r="D1422" s="165">
        <v>4</v>
      </c>
      <c r="E1422" s="165" t="s">
        <v>9902</v>
      </c>
      <c r="F1422" s="165" t="s">
        <v>5484</v>
      </c>
      <c r="G1422" s="165"/>
      <c r="H1422" s="680">
        <v>14175</v>
      </c>
      <c r="I1422" s="165"/>
      <c r="J1422" s="165"/>
      <c r="K1422" s="165"/>
      <c r="L1422" s="165">
        <v>14175</v>
      </c>
      <c r="M1422" s="165"/>
      <c r="N1422" s="165"/>
      <c r="O1422" s="337">
        <f t="shared" si="58"/>
        <v>0</v>
      </c>
      <c r="P1422" s="165" t="s">
        <v>9849</v>
      </c>
      <c r="Q1422" s="165" t="s">
        <v>9849</v>
      </c>
      <c r="R1422" s="3">
        <f t="shared" si="59"/>
        <v>14175</v>
      </c>
      <c r="S1422" s="337">
        <v>14175</v>
      </c>
      <c r="T1422"/>
      <c r="U1422" s="3"/>
    </row>
    <row r="1423" spans="1:21">
      <c r="A1423" s="165" t="s">
        <v>5616</v>
      </c>
      <c r="B1423" s="94">
        <v>1377</v>
      </c>
      <c r="C1423" s="165" t="s">
        <v>4255</v>
      </c>
      <c r="D1423" s="165">
        <v>5</v>
      </c>
      <c r="E1423" s="165" t="s">
        <v>9905</v>
      </c>
      <c r="F1423" s="165" t="s">
        <v>5485</v>
      </c>
      <c r="G1423" s="165"/>
      <c r="H1423" s="680">
        <v>14175</v>
      </c>
      <c r="I1423" s="165"/>
      <c r="J1423" s="165"/>
      <c r="K1423" s="165"/>
      <c r="L1423" s="165">
        <v>14175</v>
      </c>
      <c r="M1423" s="165"/>
      <c r="N1423" s="165"/>
      <c r="O1423" s="337">
        <f t="shared" si="58"/>
        <v>0</v>
      </c>
      <c r="P1423" s="165" t="s">
        <v>10825</v>
      </c>
      <c r="Q1423" s="165" t="s">
        <v>5485</v>
      </c>
      <c r="R1423" s="3">
        <f t="shared" si="59"/>
        <v>14175</v>
      </c>
      <c r="S1423" s="337">
        <v>14175</v>
      </c>
      <c r="T1423"/>
      <c r="U1423" s="3"/>
    </row>
    <row r="1424" spans="1:21">
      <c r="A1424" s="165" t="s">
        <v>5616</v>
      </c>
      <c r="B1424" s="94">
        <v>1378</v>
      </c>
      <c r="C1424" s="165" t="s">
        <v>4255</v>
      </c>
      <c r="D1424" s="165">
        <v>6</v>
      </c>
      <c r="E1424" s="165" t="s">
        <v>9898</v>
      </c>
      <c r="F1424" s="165" t="s">
        <v>9907</v>
      </c>
      <c r="G1424" s="165"/>
      <c r="H1424" s="680">
        <v>14175</v>
      </c>
      <c r="I1424" s="165"/>
      <c r="J1424" s="165"/>
      <c r="K1424" s="165"/>
      <c r="L1424" s="165">
        <v>14175</v>
      </c>
      <c r="M1424" s="165"/>
      <c r="N1424" s="165"/>
      <c r="O1424" s="337">
        <f t="shared" si="58"/>
        <v>0</v>
      </c>
      <c r="P1424" s="165" t="s">
        <v>9702</v>
      </c>
      <c r="Q1424" s="165" t="s">
        <v>10920</v>
      </c>
      <c r="R1424" s="3">
        <f t="shared" si="59"/>
        <v>14175</v>
      </c>
      <c r="S1424" s="337">
        <v>14175</v>
      </c>
      <c r="T1424"/>
      <c r="U1424" s="3"/>
    </row>
    <row r="1425" spans="1:21">
      <c r="A1425" s="165" t="s">
        <v>5616</v>
      </c>
      <c r="B1425" s="94">
        <v>1379</v>
      </c>
      <c r="C1425" s="165" t="s">
        <v>4255</v>
      </c>
      <c r="D1425" s="165">
        <v>7</v>
      </c>
      <c r="E1425" s="165" t="s">
        <v>9899</v>
      </c>
      <c r="F1425" s="165" t="s">
        <v>9908</v>
      </c>
      <c r="G1425" s="165"/>
      <c r="H1425" s="680">
        <v>14175</v>
      </c>
      <c r="I1425" s="165"/>
      <c r="J1425" s="165"/>
      <c r="K1425" s="165"/>
      <c r="L1425" s="165">
        <v>14175</v>
      </c>
      <c r="M1425" s="165"/>
      <c r="N1425" s="165"/>
      <c r="O1425" s="337">
        <f t="shared" si="58"/>
        <v>0</v>
      </c>
      <c r="P1425" s="165" t="s">
        <v>10984</v>
      </c>
      <c r="Q1425" s="165" t="s">
        <v>10989</v>
      </c>
      <c r="R1425" s="3">
        <f t="shared" si="59"/>
        <v>14175</v>
      </c>
      <c r="S1425" s="337">
        <v>14175</v>
      </c>
      <c r="T1425"/>
      <c r="U1425" s="3"/>
    </row>
    <row r="1426" spans="1:21">
      <c r="A1426" s="165" t="s">
        <v>5616</v>
      </c>
      <c r="B1426" s="94">
        <v>1380</v>
      </c>
      <c r="C1426" s="165" t="s">
        <v>4255</v>
      </c>
      <c r="D1426" s="165">
        <v>8</v>
      </c>
      <c r="E1426" s="165" t="s">
        <v>9909</v>
      </c>
      <c r="F1426" s="165" t="s">
        <v>9910</v>
      </c>
      <c r="G1426" s="165"/>
      <c r="H1426" s="680">
        <v>14175</v>
      </c>
      <c r="I1426" s="165"/>
      <c r="J1426" s="165"/>
      <c r="K1426" s="165"/>
      <c r="L1426" s="165">
        <v>14175</v>
      </c>
      <c r="M1426" s="165"/>
      <c r="N1426" s="165"/>
      <c r="O1426" s="337">
        <f t="shared" si="58"/>
        <v>0</v>
      </c>
      <c r="P1426" s="165" t="s">
        <v>11085</v>
      </c>
      <c r="Q1426" s="165" t="s">
        <v>9910</v>
      </c>
      <c r="R1426" s="3">
        <f t="shared" si="59"/>
        <v>14175</v>
      </c>
      <c r="S1426" s="337">
        <v>14175</v>
      </c>
      <c r="T1426"/>
      <c r="U1426" s="3"/>
    </row>
    <row r="1427" spans="1:21">
      <c r="A1427" s="165" t="s">
        <v>9868</v>
      </c>
      <c r="B1427" s="94">
        <v>1381</v>
      </c>
      <c r="C1427" s="165" t="s">
        <v>4530</v>
      </c>
      <c r="D1427" s="165">
        <v>1</v>
      </c>
      <c r="E1427" s="165" t="s">
        <v>9870</v>
      </c>
      <c r="F1427" s="165" t="s">
        <v>9861</v>
      </c>
      <c r="G1427" s="165"/>
      <c r="H1427" s="680">
        <v>14175</v>
      </c>
      <c r="I1427" s="165"/>
      <c r="J1427" s="165"/>
      <c r="K1427" s="165"/>
      <c r="L1427" s="165">
        <v>14175</v>
      </c>
      <c r="M1427" s="165"/>
      <c r="N1427" s="165"/>
      <c r="O1427" s="337">
        <f t="shared" si="58"/>
        <v>0</v>
      </c>
      <c r="P1427" s="165" t="s">
        <v>9677</v>
      </c>
      <c r="Q1427" s="165" t="s">
        <v>9677</v>
      </c>
      <c r="R1427" s="3">
        <f t="shared" si="59"/>
        <v>14175</v>
      </c>
      <c r="S1427" s="337">
        <v>14175</v>
      </c>
      <c r="T1427"/>
      <c r="U1427" s="3"/>
    </row>
    <row r="1428" spans="1:21">
      <c r="A1428" s="165" t="s">
        <v>9868</v>
      </c>
      <c r="B1428" s="94">
        <v>1382</v>
      </c>
      <c r="C1428" s="165" t="s">
        <v>4530</v>
      </c>
      <c r="D1428" s="165">
        <v>2</v>
      </c>
      <c r="E1428" s="165" t="s">
        <v>9871</v>
      </c>
      <c r="F1428" s="165" t="s">
        <v>8803</v>
      </c>
      <c r="G1428" s="165"/>
      <c r="H1428" s="680">
        <v>14175</v>
      </c>
      <c r="I1428" s="165"/>
      <c r="J1428" s="165"/>
      <c r="K1428" s="165"/>
      <c r="L1428" s="165">
        <v>14175</v>
      </c>
      <c r="M1428" s="165"/>
      <c r="N1428" s="165"/>
      <c r="O1428" s="337">
        <f t="shared" si="58"/>
        <v>0</v>
      </c>
      <c r="P1428" s="165" t="s">
        <v>8803</v>
      </c>
      <c r="Q1428" s="165" t="s">
        <v>8803</v>
      </c>
      <c r="R1428" s="3">
        <f t="shared" si="59"/>
        <v>14175</v>
      </c>
      <c r="S1428" s="337">
        <v>14175</v>
      </c>
      <c r="T1428"/>
      <c r="U1428" s="3"/>
    </row>
    <row r="1429" spans="1:21">
      <c r="A1429" s="165" t="s">
        <v>9868</v>
      </c>
      <c r="B1429" s="94">
        <v>1383</v>
      </c>
      <c r="C1429" s="165" t="s">
        <v>4530</v>
      </c>
      <c r="D1429" s="165">
        <v>3</v>
      </c>
      <c r="E1429" s="165" t="s">
        <v>9872</v>
      </c>
      <c r="F1429" s="165" t="s">
        <v>9866</v>
      </c>
      <c r="G1429" s="165"/>
      <c r="H1429" s="680">
        <v>14175</v>
      </c>
      <c r="I1429" s="165"/>
      <c r="J1429" s="165"/>
      <c r="K1429" s="165"/>
      <c r="L1429" s="165">
        <v>14175</v>
      </c>
      <c r="M1429" s="165"/>
      <c r="N1429" s="165"/>
      <c r="O1429" s="337">
        <f t="shared" si="58"/>
        <v>0</v>
      </c>
      <c r="P1429" s="165" t="s">
        <v>9866</v>
      </c>
      <c r="Q1429" s="165" t="s">
        <v>9866</v>
      </c>
      <c r="R1429" s="3">
        <f t="shared" si="59"/>
        <v>14175</v>
      </c>
      <c r="S1429" s="337">
        <v>14175</v>
      </c>
      <c r="T1429"/>
      <c r="U1429" s="3"/>
    </row>
    <row r="1430" spans="1:21">
      <c r="A1430" s="165" t="s">
        <v>9868</v>
      </c>
      <c r="B1430" s="94">
        <v>1384</v>
      </c>
      <c r="C1430" s="165" t="s">
        <v>4530</v>
      </c>
      <c r="D1430" s="165">
        <v>4</v>
      </c>
      <c r="E1430" s="165" t="s">
        <v>9873</v>
      </c>
      <c r="F1430" s="165" t="s">
        <v>9864</v>
      </c>
      <c r="G1430" s="165"/>
      <c r="H1430" s="680">
        <v>14175</v>
      </c>
      <c r="I1430" s="165"/>
      <c r="J1430" s="165"/>
      <c r="K1430" s="165"/>
      <c r="L1430" s="165">
        <v>14175</v>
      </c>
      <c r="M1430" s="165"/>
      <c r="N1430" s="165"/>
      <c r="O1430" s="337">
        <f t="shared" si="58"/>
        <v>0</v>
      </c>
      <c r="P1430" s="165" t="s">
        <v>10857</v>
      </c>
      <c r="Q1430" s="165" t="s">
        <v>9864</v>
      </c>
      <c r="R1430" s="3">
        <f t="shared" si="59"/>
        <v>14175</v>
      </c>
      <c r="S1430" s="337">
        <v>14175</v>
      </c>
      <c r="T1430"/>
      <c r="U1430" s="3"/>
    </row>
    <row r="1431" spans="1:21">
      <c r="A1431" s="165" t="s">
        <v>9868</v>
      </c>
      <c r="B1431" s="94">
        <v>1385</v>
      </c>
      <c r="C1431" s="165" t="s">
        <v>4530</v>
      </c>
      <c r="D1431" s="165">
        <v>5</v>
      </c>
      <c r="E1431" s="165" t="s">
        <v>9874</v>
      </c>
      <c r="F1431" s="165" t="s">
        <v>9867</v>
      </c>
      <c r="G1431" s="165"/>
      <c r="H1431" s="680">
        <v>14175</v>
      </c>
      <c r="I1431" s="165"/>
      <c r="J1431" s="165"/>
      <c r="K1431" s="165"/>
      <c r="L1431" s="165">
        <v>14175</v>
      </c>
      <c r="M1431" s="165"/>
      <c r="N1431" s="165"/>
      <c r="O1431" s="337">
        <f t="shared" si="58"/>
        <v>0</v>
      </c>
      <c r="P1431" s="165" t="s">
        <v>9702</v>
      </c>
      <c r="Q1431" s="165" t="s">
        <v>10921</v>
      </c>
      <c r="R1431" s="3">
        <f t="shared" si="59"/>
        <v>14175</v>
      </c>
      <c r="S1431" s="337">
        <v>14175</v>
      </c>
      <c r="T1431"/>
      <c r="U1431" s="3"/>
    </row>
    <row r="1432" spans="1:21">
      <c r="A1432" s="165" t="s">
        <v>9868</v>
      </c>
      <c r="B1432" s="94">
        <v>1386</v>
      </c>
      <c r="C1432" s="165" t="s">
        <v>4530</v>
      </c>
      <c r="D1432" s="165">
        <v>6</v>
      </c>
      <c r="E1432" s="165" t="s">
        <v>9875</v>
      </c>
      <c r="F1432" s="165" t="s">
        <v>9862</v>
      </c>
      <c r="G1432" s="165"/>
      <c r="H1432" s="680">
        <v>14175</v>
      </c>
      <c r="I1432" s="165"/>
      <c r="J1432" s="165"/>
      <c r="K1432" s="165"/>
      <c r="L1432" s="165">
        <v>14175</v>
      </c>
      <c r="M1432" s="165"/>
      <c r="N1432" s="165"/>
      <c r="O1432" s="337">
        <f t="shared" si="58"/>
        <v>0</v>
      </c>
      <c r="P1432" s="165" t="s">
        <v>10984</v>
      </c>
      <c r="Q1432" s="165" t="s">
        <v>10990</v>
      </c>
      <c r="R1432" s="3">
        <f t="shared" si="59"/>
        <v>14175</v>
      </c>
      <c r="S1432" s="337">
        <v>14175</v>
      </c>
      <c r="T1432"/>
      <c r="U1432" s="3"/>
    </row>
    <row r="1433" spans="1:21">
      <c r="A1433" s="165" t="s">
        <v>9868</v>
      </c>
      <c r="B1433" s="94">
        <v>1387</v>
      </c>
      <c r="C1433" s="165" t="s">
        <v>4530</v>
      </c>
      <c r="D1433" s="165">
        <v>7</v>
      </c>
      <c r="E1433" s="165" t="s">
        <v>9876</v>
      </c>
      <c r="F1433" s="165" t="s">
        <v>9863</v>
      </c>
      <c r="G1433" s="165"/>
      <c r="H1433" s="680">
        <v>14175</v>
      </c>
      <c r="I1433" s="165"/>
      <c r="J1433" s="165"/>
      <c r="K1433" s="165"/>
      <c r="L1433" s="165">
        <v>14175</v>
      </c>
      <c r="M1433" s="165"/>
      <c r="N1433" s="165"/>
      <c r="O1433" s="337">
        <f t="shared" si="58"/>
        <v>0</v>
      </c>
      <c r="P1433" s="165" t="s">
        <v>11086</v>
      </c>
      <c r="Q1433" s="165" t="s">
        <v>9863</v>
      </c>
      <c r="R1433" s="3">
        <f t="shared" si="59"/>
        <v>14175</v>
      </c>
      <c r="S1433" s="337">
        <v>14175</v>
      </c>
      <c r="T1433"/>
      <c r="U1433" s="3"/>
    </row>
    <row r="1434" spans="1:21">
      <c r="A1434" s="165" t="s">
        <v>9868</v>
      </c>
      <c r="B1434" s="94">
        <v>1388</v>
      </c>
      <c r="C1434" s="165" t="s">
        <v>4530</v>
      </c>
      <c r="D1434" s="165">
        <v>8</v>
      </c>
      <c r="E1434" s="165" t="s">
        <v>9877</v>
      </c>
      <c r="F1434" s="165" t="s">
        <v>9878</v>
      </c>
      <c r="G1434" s="165"/>
      <c r="H1434" s="680">
        <v>14175</v>
      </c>
      <c r="I1434" s="165"/>
      <c r="J1434" s="165"/>
      <c r="K1434" s="165"/>
      <c r="L1434" s="165"/>
      <c r="M1434" s="165">
        <v>14175</v>
      </c>
      <c r="N1434" s="165"/>
      <c r="O1434" s="337">
        <f t="shared" si="58"/>
        <v>14175</v>
      </c>
      <c r="P1434" s="165"/>
      <c r="Q1434" s="165"/>
      <c r="R1434" s="3">
        <f t="shared" si="59"/>
        <v>14175</v>
      </c>
      <c r="S1434" s="337"/>
      <c r="T1434"/>
      <c r="U1434" s="3"/>
    </row>
    <row r="1435" spans="1:21">
      <c r="A1435" s="165" t="s">
        <v>8754</v>
      </c>
      <c r="B1435" s="94">
        <v>1389</v>
      </c>
      <c r="C1435" s="165" t="s">
        <v>4528</v>
      </c>
      <c r="D1435" s="165">
        <v>1</v>
      </c>
      <c r="E1435" s="165" t="s">
        <v>9816</v>
      </c>
      <c r="F1435" s="165" t="s">
        <v>5509</v>
      </c>
      <c r="G1435" s="165"/>
      <c r="H1435" s="680">
        <v>12600</v>
      </c>
      <c r="I1435" s="165"/>
      <c r="J1435" s="165"/>
      <c r="K1435" s="165"/>
      <c r="L1435" s="165">
        <v>12600</v>
      </c>
      <c r="M1435" s="165"/>
      <c r="N1435" s="165"/>
      <c r="O1435" s="337">
        <f t="shared" si="58"/>
        <v>0</v>
      </c>
      <c r="P1435" s="165" t="s">
        <v>9813</v>
      </c>
      <c r="Q1435" s="165" t="s">
        <v>9813</v>
      </c>
      <c r="R1435" s="3">
        <f t="shared" si="59"/>
        <v>12600</v>
      </c>
      <c r="S1435" s="337">
        <v>12600</v>
      </c>
      <c r="T1435"/>
      <c r="U1435" s="3"/>
    </row>
    <row r="1436" spans="1:21">
      <c r="A1436" s="165" t="s">
        <v>8754</v>
      </c>
      <c r="B1436" s="94">
        <v>1390</v>
      </c>
      <c r="C1436" s="165" t="s">
        <v>4528</v>
      </c>
      <c r="D1436" s="165">
        <v>2</v>
      </c>
      <c r="E1436" s="165" t="s">
        <v>9817</v>
      </c>
      <c r="F1436" s="165" t="s">
        <v>8809</v>
      </c>
      <c r="G1436" s="165"/>
      <c r="H1436" s="680">
        <v>12600</v>
      </c>
      <c r="I1436" s="165"/>
      <c r="J1436" s="165"/>
      <c r="K1436" s="165"/>
      <c r="L1436" s="165">
        <v>12600</v>
      </c>
      <c r="M1436" s="165"/>
      <c r="N1436" s="165"/>
      <c r="O1436" s="337">
        <f t="shared" si="58"/>
        <v>0</v>
      </c>
      <c r="P1436" s="165" t="s">
        <v>8809</v>
      </c>
      <c r="Q1436" s="165" t="s">
        <v>8809</v>
      </c>
      <c r="R1436" s="3">
        <f t="shared" si="59"/>
        <v>12600</v>
      </c>
      <c r="S1436" s="337">
        <v>12600</v>
      </c>
      <c r="T1436"/>
      <c r="U1436" s="3"/>
    </row>
    <row r="1437" spans="1:21">
      <c r="A1437" s="165" t="s">
        <v>8754</v>
      </c>
      <c r="B1437" s="94">
        <v>1391</v>
      </c>
      <c r="C1437" s="165" t="s">
        <v>4528</v>
      </c>
      <c r="D1437" s="165">
        <v>3</v>
      </c>
      <c r="E1437" s="165" t="s">
        <v>9818</v>
      </c>
      <c r="F1437" s="165" t="s">
        <v>9656</v>
      </c>
      <c r="G1437" s="165"/>
      <c r="H1437" s="680">
        <v>12600</v>
      </c>
      <c r="I1437" s="165"/>
      <c r="J1437" s="165"/>
      <c r="K1437" s="165"/>
      <c r="L1437" s="165">
        <v>12600</v>
      </c>
      <c r="M1437" s="165"/>
      <c r="N1437" s="165"/>
      <c r="O1437" s="337">
        <f t="shared" si="58"/>
        <v>0</v>
      </c>
      <c r="P1437" s="165" t="s">
        <v>8839</v>
      </c>
      <c r="Q1437" s="165" t="s">
        <v>10816</v>
      </c>
      <c r="R1437" s="3">
        <f t="shared" si="59"/>
        <v>12600</v>
      </c>
      <c r="S1437" s="337">
        <v>12600</v>
      </c>
      <c r="T1437"/>
      <c r="U1437" s="3"/>
    </row>
    <row r="1438" spans="1:21">
      <c r="A1438" s="165" t="s">
        <v>8754</v>
      </c>
      <c r="B1438" s="94">
        <v>1392</v>
      </c>
      <c r="C1438" s="165" t="s">
        <v>4528</v>
      </c>
      <c r="D1438" s="165">
        <v>4</v>
      </c>
      <c r="E1438" s="165" t="s">
        <v>9819</v>
      </c>
      <c r="F1438" s="165" t="s">
        <v>8939</v>
      </c>
      <c r="G1438" s="165"/>
      <c r="H1438" s="680">
        <v>12600</v>
      </c>
      <c r="I1438" s="165"/>
      <c r="J1438" s="165"/>
      <c r="K1438" s="165"/>
      <c r="L1438" s="165">
        <v>12600</v>
      </c>
      <c r="M1438" s="165"/>
      <c r="N1438" s="165"/>
      <c r="O1438" s="337">
        <f t="shared" si="58"/>
        <v>0</v>
      </c>
      <c r="P1438" s="165" t="s">
        <v>10859</v>
      </c>
      <c r="Q1438" s="165" t="s">
        <v>10860</v>
      </c>
      <c r="R1438" s="3">
        <f t="shared" si="59"/>
        <v>12600</v>
      </c>
      <c r="S1438" s="337">
        <v>12600</v>
      </c>
      <c r="T1438"/>
      <c r="U1438" s="3"/>
    </row>
    <row r="1439" spans="1:21">
      <c r="A1439" s="165" t="s">
        <v>8754</v>
      </c>
      <c r="B1439" s="94">
        <v>1393</v>
      </c>
      <c r="C1439" s="165" t="s">
        <v>4528</v>
      </c>
      <c r="D1439" s="165">
        <v>5</v>
      </c>
      <c r="E1439" s="165" t="s">
        <v>9820</v>
      </c>
      <c r="F1439" s="165" t="s">
        <v>9662</v>
      </c>
      <c r="G1439" s="165"/>
      <c r="H1439" s="680">
        <v>12600</v>
      </c>
      <c r="I1439" s="165"/>
      <c r="J1439" s="165"/>
      <c r="K1439" s="165"/>
      <c r="L1439" s="165">
        <v>12600</v>
      </c>
      <c r="M1439" s="165"/>
      <c r="N1439" s="165"/>
      <c r="O1439" s="337">
        <f t="shared" si="58"/>
        <v>0</v>
      </c>
      <c r="P1439" s="165" t="s">
        <v>10924</v>
      </c>
      <c r="Q1439" s="165" t="s">
        <v>9662</v>
      </c>
      <c r="R1439" s="3">
        <f t="shared" si="59"/>
        <v>12600</v>
      </c>
      <c r="S1439" s="337">
        <v>12600</v>
      </c>
      <c r="T1439"/>
      <c r="U1439" s="3"/>
    </row>
    <row r="1440" spans="1:21">
      <c r="A1440" s="165" t="s">
        <v>8754</v>
      </c>
      <c r="B1440" s="94">
        <v>1394</v>
      </c>
      <c r="C1440" s="165" t="s">
        <v>4528</v>
      </c>
      <c r="D1440" s="165">
        <v>6</v>
      </c>
      <c r="E1440" s="165" t="s">
        <v>9821</v>
      </c>
      <c r="F1440" s="165" t="s">
        <v>9825</v>
      </c>
      <c r="G1440" s="165"/>
      <c r="H1440" s="680">
        <v>12600</v>
      </c>
      <c r="I1440" s="165"/>
      <c r="J1440" s="165"/>
      <c r="K1440" s="165"/>
      <c r="L1440" s="165">
        <v>12600</v>
      </c>
      <c r="M1440" s="165"/>
      <c r="N1440" s="165"/>
      <c r="O1440" s="337">
        <f t="shared" si="58"/>
        <v>0</v>
      </c>
      <c r="P1440" s="165" t="s">
        <v>10984</v>
      </c>
      <c r="Q1440" s="165" t="s">
        <v>9825</v>
      </c>
      <c r="R1440" s="3">
        <f t="shared" si="59"/>
        <v>12600</v>
      </c>
      <c r="S1440" s="337">
        <v>12600</v>
      </c>
      <c r="T1440"/>
      <c r="U1440" s="3"/>
    </row>
    <row r="1441" spans="1:21">
      <c r="A1441" s="165" t="s">
        <v>8754</v>
      </c>
      <c r="B1441" s="94">
        <v>1395</v>
      </c>
      <c r="C1441" s="165" t="s">
        <v>4528</v>
      </c>
      <c r="D1441" s="165">
        <v>7</v>
      </c>
      <c r="E1441" s="165" t="s">
        <v>9822</v>
      </c>
      <c r="F1441" s="165" t="s">
        <v>9826</v>
      </c>
      <c r="G1441" s="165"/>
      <c r="H1441" s="680">
        <v>12600</v>
      </c>
      <c r="I1441" s="165"/>
      <c r="J1441" s="165"/>
      <c r="K1441" s="165"/>
      <c r="L1441" s="165"/>
      <c r="M1441" s="165">
        <v>12600</v>
      </c>
      <c r="N1441" s="165"/>
      <c r="O1441" s="337">
        <f t="shared" si="58"/>
        <v>12600</v>
      </c>
      <c r="P1441" s="165"/>
      <c r="Q1441" s="165"/>
      <c r="R1441" s="3">
        <f t="shared" si="59"/>
        <v>12600</v>
      </c>
      <c r="S1441" s="337"/>
      <c r="T1441"/>
      <c r="U1441" s="3"/>
    </row>
    <row r="1442" spans="1:21">
      <c r="A1442" s="165" t="s">
        <v>8754</v>
      </c>
      <c r="B1442" s="94">
        <v>1396</v>
      </c>
      <c r="C1442" s="165" t="s">
        <v>4528</v>
      </c>
      <c r="D1442" s="165">
        <v>8</v>
      </c>
      <c r="E1442" s="165" t="s">
        <v>9823</v>
      </c>
      <c r="F1442" s="165" t="s">
        <v>9827</v>
      </c>
      <c r="G1442" s="165"/>
      <c r="H1442" s="680">
        <v>12600</v>
      </c>
      <c r="I1442" s="165"/>
      <c r="J1442" s="165"/>
      <c r="K1442" s="165"/>
      <c r="L1442" s="165"/>
      <c r="M1442" s="165">
        <v>12600</v>
      </c>
      <c r="N1442" s="165"/>
      <c r="O1442" s="337">
        <f t="shared" si="58"/>
        <v>12600</v>
      </c>
      <c r="P1442" s="165"/>
      <c r="Q1442" s="165"/>
      <c r="R1442" s="3">
        <f t="shared" si="59"/>
        <v>12600</v>
      </c>
      <c r="S1442" s="337"/>
      <c r="T1442"/>
      <c r="U1442" s="3"/>
    </row>
    <row r="1443" spans="1:21">
      <c r="A1443" s="165" t="s">
        <v>5448</v>
      </c>
      <c r="B1443" s="94">
        <v>1397</v>
      </c>
      <c r="C1443" s="165" t="s">
        <v>4678</v>
      </c>
      <c r="D1443" s="165">
        <v>1</v>
      </c>
      <c r="E1443" s="165" t="s">
        <v>9695</v>
      </c>
      <c r="F1443" s="165" t="s">
        <v>8783</v>
      </c>
      <c r="G1443" s="165"/>
      <c r="H1443" s="680">
        <v>17325</v>
      </c>
      <c r="I1443" s="165"/>
      <c r="J1443" s="165"/>
      <c r="K1443" s="165"/>
      <c r="L1443" s="165">
        <v>17325</v>
      </c>
      <c r="M1443" s="165"/>
      <c r="N1443" s="165"/>
      <c r="O1443" s="337">
        <f t="shared" si="58"/>
        <v>0</v>
      </c>
      <c r="P1443" s="165" t="s">
        <v>8794</v>
      </c>
      <c r="Q1443" s="165" t="s">
        <v>8794</v>
      </c>
      <c r="R1443" s="3">
        <f t="shared" si="59"/>
        <v>17325</v>
      </c>
      <c r="S1443" s="337">
        <v>17325</v>
      </c>
      <c r="T1443"/>
      <c r="U1443" s="3"/>
    </row>
    <row r="1444" spans="1:21">
      <c r="A1444" s="165" t="s">
        <v>5448</v>
      </c>
      <c r="B1444" s="94">
        <v>1398</v>
      </c>
      <c r="C1444" s="165" t="s">
        <v>4678</v>
      </c>
      <c r="D1444" s="165">
        <v>2</v>
      </c>
      <c r="E1444" s="165" t="s">
        <v>9697</v>
      </c>
      <c r="F1444" s="165" t="s">
        <v>8847</v>
      </c>
      <c r="G1444" s="165"/>
      <c r="H1444" s="680">
        <v>17325</v>
      </c>
      <c r="I1444" s="165"/>
      <c r="J1444" s="165"/>
      <c r="K1444" s="165"/>
      <c r="L1444" s="165">
        <v>17325</v>
      </c>
      <c r="M1444" s="165"/>
      <c r="N1444" s="165"/>
      <c r="O1444" s="337">
        <f t="shared" si="58"/>
        <v>0</v>
      </c>
      <c r="P1444" s="165" t="s">
        <v>8847</v>
      </c>
      <c r="Q1444" s="165" t="s">
        <v>8847</v>
      </c>
      <c r="R1444" s="3">
        <f t="shared" si="59"/>
        <v>17325</v>
      </c>
      <c r="S1444" s="337">
        <v>17325</v>
      </c>
      <c r="T1444"/>
      <c r="U1444" s="3"/>
    </row>
    <row r="1445" spans="1:21">
      <c r="A1445" s="165" t="s">
        <v>5448</v>
      </c>
      <c r="B1445" s="94">
        <v>1399</v>
      </c>
      <c r="C1445" s="165" t="s">
        <v>4678</v>
      </c>
      <c r="D1445" s="165">
        <v>3</v>
      </c>
      <c r="E1445" s="165" t="s">
        <v>9699</v>
      </c>
      <c r="F1445" s="165" t="s">
        <v>9700</v>
      </c>
      <c r="G1445" s="165"/>
      <c r="H1445" s="680">
        <v>17325</v>
      </c>
      <c r="I1445" s="165"/>
      <c r="J1445" s="165"/>
      <c r="K1445" s="165"/>
      <c r="L1445" s="165">
        <v>17325</v>
      </c>
      <c r="M1445" s="165"/>
      <c r="N1445" s="165"/>
      <c r="O1445" s="337">
        <f t="shared" si="58"/>
        <v>0</v>
      </c>
      <c r="P1445" s="165" t="s">
        <v>10827</v>
      </c>
      <c r="Q1445" s="165" t="s">
        <v>10830</v>
      </c>
      <c r="R1445" s="3">
        <f t="shared" si="59"/>
        <v>17325</v>
      </c>
      <c r="S1445" s="337">
        <v>17325</v>
      </c>
      <c r="T1445"/>
      <c r="U1445" s="3"/>
    </row>
    <row r="1446" spans="1:21">
      <c r="A1446" s="165" t="s">
        <v>5448</v>
      </c>
      <c r="B1446" s="94">
        <v>1400</v>
      </c>
      <c r="C1446" s="165" t="s">
        <v>4678</v>
      </c>
      <c r="D1446" s="165">
        <v>4</v>
      </c>
      <c r="E1446" s="165" t="s">
        <v>9701</v>
      </c>
      <c r="F1446" s="165" t="s">
        <v>9702</v>
      </c>
      <c r="G1446" s="165"/>
      <c r="H1446" s="680">
        <v>17325</v>
      </c>
      <c r="I1446" s="165"/>
      <c r="J1446" s="165"/>
      <c r="K1446" s="165"/>
      <c r="L1446" s="165">
        <v>17325</v>
      </c>
      <c r="M1446" s="165"/>
      <c r="N1446" s="165"/>
      <c r="O1446" s="337">
        <f t="shared" si="58"/>
        <v>0</v>
      </c>
      <c r="P1446" s="165" t="s">
        <v>8973</v>
      </c>
      <c r="Q1446" s="165" t="s">
        <v>10894</v>
      </c>
      <c r="R1446" s="3">
        <f t="shared" si="59"/>
        <v>17325</v>
      </c>
      <c r="S1446" s="337">
        <v>17325</v>
      </c>
      <c r="T1446"/>
      <c r="U1446" s="3"/>
    </row>
    <row r="1447" spans="1:21">
      <c r="A1447" s="165" t="s">
        <v>5448</v>
      </c>
      <c r="B1447" s="94">
        <v>1401</v>
      </c>
      <c r="C1447" s="165" t="s">
        <v>4678</v>
      </c>
      <c r="D1447" s="165">
        <v>5</v>
      </c>
      <c r="E1447" s="165" t="s">
        <v>9703</v>
      </c>
      <c r="F1447" s="165" t="s">
        <v>9704</v>
      </c>
      <c r="G1447" s="165"/>
      <c r="H1447" s="680">
        <v>17325</v>
      </c>
      <c r="I1447" s="165"/>
      <c r="J1447" s="165"/>
      <c r="K1447" s="165"/>
      <c r="L1447" s="165">
        <v>17325</v>
      </c>
      <c r="M1447" s="165"/>
      <c r="N1447" s="165"/>
      <c r="O1447" s="337">
        <f t="shared" si="58"/>
        <v>0</v>
      </c>
      <c r="P1447" s="165" t="s">
        <v>10960</v>
      </c>
      <c r="Q1447" s="165" t="s">
        <v>9704</v>
      </c>
      <c r="R1447" s="3">
        <f t="shared" si="59"/>
        <v>17325</v>
      </c>
      <c r="S1447" s="337">
        <v>17325</v>
      </c>
      <c r="T1447"/>
      <c r="U1447" s="3"/>
    </row>
    <row r="1448" spans="1:21">
      <c r="A1448" s="165" t="s">
        <v>5448</v>
      </c>
      <c r="B1448" s="94">
        <v>1402</v>
      </c>
      <c r="C1448" s="165" t="s">
        <v>4678</v>
      </c>
      <c r="D1448" s="165">
        <v>6</v>
      </c>
      <c r="E1448" s="165" t="s">
        <v>9705</v>
      </c>
      <c r="F1448" s="165" t="s">
        <v>9706</v>
      </c>
      <c r="G1448" s="165"/>
      <c r="H1448" s="680">
        <v>17325</v>
      </c>
      <c r="I1448" s="165"/>
      <c r="J1448" s="165"/>
      <c r="K1448" s="165"/>
      <c r="L1448" s="165">
        <v>17325</v>
      </c>
      <c r="M1448" s="165"/>
      <c r="N1448" s="165"/>
      <c r="O1448" s="337">
        <f t="shared" si="58"/>
        <v>0</v>
      </c>
      <c r="P1448" s="165" t="s">
        <v>11053</v>
      </c>
      <c r="Q1448" s="165" t="s">
        <v>9706</v>
      </c>
      <c r="R1448" s="3">
        <f t="shared" si="59"/>
        <v>17325</v>
      </c>
      <c r="S1448" s="337">
        <v>17325</v>
      </c>
      <c r="T1448"/>
      <c r="U1448" s="3"/>
    </row>
    <row r="1449" spans="1:21">
      <c r="A1449" s="165" t="s">
        <v>5448</v>
      </c>
      <c r="B1449" s="94">
        <v>1403</v>
      </c>
      <c r="C1449" s="165" t="s">
        <v>4678</v>
      </c>
      <c r="D1449" s="165">
        <v>7</v>
      </c>
      <c r="E1449" s="165" t="s">
        <v>9707</v>
      </c>
      <c r="F1449" s="165" t="s">
        <v>9708</v>
      </c>
      <c r="G1449" s="165"/>
      <c r="H1449" s="680">
        <v>17325</v>
      </c>
      <c r="I1449" s="165"/>
      <c r="J1449" s="165"/>
      <c r="K1449" s="165"/>
      <c r="L1449" s="165"/>
      <c r="M1449" s="165">
        <v>17325</v>
      </c>
      <c r="N1449" s="165"/>
      <c r="O1449" s="337">
        <f t="shared" si="58"/>
        <v>17325</v>
      </c>
      <c r="P1449" s="165"/>
      <c r="Q1449" s="165"/>
      <c r="R1449" s="3">
        <f t="shared" si="59"/>
        <v>17325</v>
      </c>
      <c r="S1449" s="337"/>
      <c r="T1449"/>
      <c r="U1449" s="3"/>
    </row>
    <row r="1450" spans="1:21">
      <c r="A1450" s="165" t="s">
        <v>5448</v>
      </c>
      <c r="B1450" s="94">
        <v>1404</v>
      </c>
      <c r="C1450" s="165" t="s">
        <v>4678</v>
      </c>
      <c r="D1450" s="165">
        <v>8</v>
      </c>
      <c r="E1450" s="165" t="s">
        <v>9709</v>
      </c>
      <c r="F1450" s="165" t="s">
        <v>9710</v>
      </c>
      <c r="G1450" s="165"/>
      <c r="H1450" s="680">
        <v>17325</v>
      </c>
      <c r="I1450" s="165"/>
      <c r="J1450" s="165"/>
      <c r="K1450" s="165"/>
      <c r="L1450" s="165"/>
      <c r="M1450" s="165">
        <v>17325</v>
      </c>
      <c r="N1450" s="165"/>
      <c r="O1450" s="337">
        <f t="shared" si="58"/>
        <v>17325</v>
      </c>
      <c r="P1450" s="165"/>
      <c r="Q1450" s="165"/>
      <c r="R1450" s="3">
        <f t="shared" si="59"/>
        <v>17325</v>
      </c>
      <c r="S1450" s="337"/>
      <c r="T1450"/>
      <c r="U1450" s="3"/>
    </row>
    <row r="1451" spans="1:21">
      <c r="A1451" s="165" t="s">
        <v>5448</v>
      </c>
      <c r="B1451" s="94">
        <v>1405</v>
      </c>
      <c r="C1451" s="165" t="s">
        <v>4695</v>
      </c>
      <c r="D1451" s="165">
        <v>1</v>
      </c>
      <c r="E1451" s="165" t="s">
        <v>9713</v>
      </c>
      <c r="F1451" s="165" t="s">
        <v>8783</v>
      </c>
      <c r="G1451" s="165"/>
      <c r="H1451" s="680">
        <v>12600</v>
      </c>
      <c r="I1451" s="165"/>
      <c r="J1451" s="165"/>
      <c r="K1451" s="165"/>
      <c r="L1451" s="165">
        <v>12600</v>
      </c>
      <c r="M1451" s="165"/>
      <c r="N1451" s="165"/>
      <c r="O1451" s="337">
        <f t="shared" si="58"/>
        <v>0</v>
      </c>
      <c r="P1451" s="165" t="s">
        <v>8794</v>
      </c>
      <c r="Q1451" s="165" t="s">
        <v>8794</v>
      </c>
      <c r="R1451" s="3">
        <f t="shared" si="59"/>
        <v>12600</v>
      </c>
      <c r="S1451" s="337">
        <v>12600</v>
      </c>
      <c r="T1451"/>
      <c r="U1451" s="3"/>
    </row>
    <row r="1452" spans="1:21">
      <c r="A1452" s="165" t="s">
        <v>5448</v>
      </c>
      <c r="B1452" s="94">
        <v>1406</v>
      </c>
      <c r="C1452" s="165" t="s">
        <v>4695</v>
      </c>
      <c r="D1452" s="165">
        <v>2</v>
      </c>
      <c r="E1452" s="165" t="s">
        <v>9714</v>
      </c>
      <c r="F1452" s="165" t="s">
        <v>8847</v>
      </c>
      <c r="G1452" s="165"/>
      <c r="H1452" s="680">
        <v>12600</v>
      </c>
      <c r="I1452" s="165"/>
      <c r="J1452" s="165"/>
      <c r="K1452" s="165"/>
      <c r="L1452" s="165">
        <v>12600</v>
      </c>
      <c r="M1452" s="165"/>
      <c r="N1452" s="165"/>
      <c r="O1452" s="337">
        <f t="shared" si="58"/>
        <v>0</v>
      </c>
      <c r="P1452" s="165" t="s">
        <v>8847</v>
      </c>
      <c r="Q1452" s="165" t="s">
        <v>8847</v>
      </c>
      <c r="R1452" s="3">
        <f t="shared" si="59"/>
        <v>12600</v>
      </c>
      <c r="S1452" s="337">
        <v>12600</v>
      </c>
      <c r="T1452"/>
      <c r="U1452" s="3"/>
    </row>
    <row r="1453" spans="1:21">
      <c r="A1453" s="165" t="s">
        <v>5448</v>
      </c>
      <c r="B1453" s="94">
        <v>1407</v>
      </c>
      <c r="C1453" s="165" t="s">
        <v>4695</v>
      </c>
      <c r="D1453" s="165">
        <v>3</v>
      </c>
      <c r="E1453" s="165" t="s">
        <v>9715</v>
      </c>
      <c r="F1453" s="165" t="s">
        <v>9700</v>
      </c>
      <c r="G1453" s="165"/>
      <c r="H1453" s="680">
        <v>12600</v>
      </c>
      <c r="I1453" s="165"/>
      <c r="J1453" s="165"/>
      <c r="K1453" s="165"/>
      <c r="L1453" s="165">
        <v>12600</v>
      </c>
      <c r="M1453" s="165"/>
      <c r="N1453" s="165"/>
      <c r="O1453" s="337">
        <f t="shared" si="58"/>
        <v>0</v>
      </c>
      <c r="P1453" s="165" t="s">
        <v>10824</v>
      </c>
      <c r="Q1453" s="165" t="s">
        <v>10825</v>
      </c>
      <c r="R1453" s="3">
        <f t="shared" si="59"/>
        <v>12600</v>
      </c>
      <c r="S1453" s="337">
        <v>12600</v>
      </c>
      <c r="T1453"/>
      <c r="U1453" s="3"/>
    </row>
    <row r="1454" spans="1:21">
      <c r="A1454" s="165" t="s">
        <v>5448</v>
      </c>
      <c r="B1454" s="94">
        <v>1408</v>
      </c>
      <c r="C1454" s="165" t="s">
        <v>4695</v>
      </c>
      <c r="D1454" s="165">
        <v>4</v>
      </c>
      <c r="E1454" s="165" t="s">
        <v>9716</v>
      </c>
      <c r="F1454" s="165" t="s">
        <v>9702</v>
      </c>
      <c r="G1454" s="165"/>
      <c r="H1454" s="680">
        <v>12600</v>
      </c>
      <c r="I1454" s="165"/>
      <c r="J1454" s="165"/>
      <c r="K1454" s="165"/>
      <c r="L1454" s="165">
        <v>12600</v>
      </c>
      <c r="M1454" s="165"/>
      <c r="N1454" s="165"/>
      <c r="O1454" s="337">
        <f t="shared" si="58"/>
        <v>0</v>
      </c>
      <c r="P1454" s="165" t="s">
        <v>8973</v>
      </c>
      <c r="Q1454" s="165" t="s">
        <v>10893</v>
      </c>
      <c r="R1454" s="3">
        <f t="shared" si="59"/>
        <v>12600</v>
      </c>
      <c r="S1454" s="337">
        <v>12600</v>
      </c>
      <c r="T1454"/>
      <c r="U1454" s="3"/>
    </row>
    <row r="1455" spans="1:21">
      <c r="A1455" s="165" t="s">
        <v>5448</v>
      </c>
      <c r="B1455" s="94">
        <v>1409</v>
      </c>
      <c r="C1455" s="165" t="s">
        <v>4695</v>
      </c>
      <c r="D1455" s="165">
        <v>5</v>
      </c>
      <c r="E1455" s="165" t="s">
        <v>9717</v>
      </c>
      <c r="F1455" s="165" t="s">
        <v>9704</v>
      </c>
      <c r="G1455" s="165"/>
      <c r="H1455" s="680">
        <v>12600</v>
      </c>
      <c r="I1455" s="165"/>
      <c r="J1455" s="165"/>
      <c r="K1455" s="165"/>
      <c r="L1455" s="165">
        <v>12600</v>
      </c>
      <c r="M1455" s="165"/>
      <c r="N1455" s="165"/>
      <c r="O1455" s="337">
        <f t="shared" si="58"/>
        <v>0</v>
      </c>
      <c r="P1455" s="165" t="s">
        <v>10960</v>
      </c>
      <c r="Q1455" s="165" t="s">
        <v>9704</v>
      </c>
      <c r="R1455" s="3">
        <f t="shared" si="59"/>
        <v>12600</v>
      </c>
      <c r="S1455" s="337">
        <v>12600</v>
      </c>
      <c r="T1455"/>
      <c r="U1455" s="3"/>
    </row>
    <row r="1456" spans="1:21">
      <c r="A1456" s="165" t="s">
        <v>5448</v>
      </c>
      <c r="B1456" s="94">
        <v>1410</v>
      </c>
      <c r="C1456" s="165" t="s">
        <v>4695</v>
      </c>
      <c r="D1456" s="165">
        <v>6</v>
      </c>
      <c r="E1456" s="165" t="s">
        <v>9718</v>
      </c>
      <c r="F1456" s="165" t="s">
        <v>9706</v>
      </c>
      <c r="G1456" s="165"/>
      <c r="H1456" s="680">
        <v>12600</v>
      </c>
      <c r="I1456" s="165"/>
      <c r="J1456" s="165"/>
      <c r="K1456" s="165"/>
      <c r="L1456" s="165">
        <v>12600</v>
      </c>
      <c r="M1456" s="165"/>
      <c r="N1456" s="165"/>
      <c r="O1456" s="337">
        <f t="shared" si="58"/>
        <v>0</v>
      </c>
      <c r="P1456" s="165" t="s">
        <v>11053</v>
      </c>
      <c r="Q1456" s="165" t="s">
        <v>11069</v>
      </c>
      <c r="R1456" s="3">
        <f t="shared" si="59"/>
        <v>12600</v>
      </c>
      <c r="S1456" s="337">
        <v>12600</v>
      </c>
      <c r="T1456"/>
      <c r="U1456" s="3"/>
    </row>
    <row r="1457" spans="1:21">
      <c r="A1457" s="165" t="s">
        <v>5448</v>
      </c>
      <c r="B1457" s="94">
        <v>1411</v>
      </c>
      <c r="C1457" s="165" t="s">
        <v>4695</v>
      </c>
      <c r="D1457" s="165">
        <v>7</v>
      </c>
      <c r="E1457" s="165" t="s">
        <v>9719</v>
      </c>
      <c r="F1457" s="165" t="s">
        <v>9708</v>
      </c>
      <c r="G1457" s="165"/>
      <c r="H1457" s="680">
        <v>12600</v>
      </c>
      <c r="I1457" s="165"/>
      <c r="J1457" s="165"/>
      <c r="K1457" s="165"/>
      <c r="L1457" s="165"/>
      <c r="M1457" s="165">
        <v>12600</v>
      </c>
      <c r="N1457" s="165"/>
      <c r="O1457" s="337">
        <f t="shared" si="58"/>
        <v>12600</v>
      </c>
      <c r="P1457" s="165"/>
      <c r="Q1457" s="165"/>
      <c r="R1457" s="3">
        <f t="shared" si="59"/>
        <v>12600</v>
      </c>
      <c r="S1457" s="337"/>
      <c r="T1457"/>
      <c r="U1457" s="3"/>
    </row>
    <row r="1458" spans="1:21">
      <c r="A1458" s="165" t="s">
        <v>5448</v>
      </c>
      <c r="B1458" s="94">
        <v>1412</v>
      </c>
      <c r="C1458" s="165" t="s">
        <v>4695</v>
      </c>
      <c r="D1458" s="165">
        <v>8</v>
      </c>
      <c r="E1458" s="165" t="s">
        <v>9720</v>
      </c>
      <c r="F1458" s="165" t="s">
        <v>9710</v>
      </c>
      <c r="G1458" s="165"/>
      <c r="H1458" s="680">
        <v>12600</v>
      </c>
      <c r="I1458" s="165"/>
      <c r="J1458" s="165"/>
      <c r="K1458" s="165"/>
      <c r="L1458" s="165"/>
      <c r="M1458" s="165">
        <v>12600</v>
      </c>
      <c r="N1458" s="165"/>
      <c r="O1458" s="337">
        <f t="shared" si="58"/>
        <v>12600</v>
      </c>
      <c r="P1458" s="165"/>
      <c r="Q1458" s="165"/>
      <c r="R1458" s="3">
        <f t="shared" si="59"/>
        <v>12600</v>
      </c>
      <c r="S1458" s="337"/>
      <c r="T1458"/>
      <c r="U1458" s="3"/>
    </row>
    <row r="1459" spans="1:21">
      <c r="A1459" s="165" t="s">
        <v>9829</v>
      </c>
      <c r="B1459" s="94">
        <v>1413</v>
      </c>
      <c r="C1459" s="165" t="s">
        <v>4513</v>
      </c>
      <c r="D1459" s="165">
        <v>1</v>
      </c>
      <c r="E1459" s="165" t="s">
        <v>9831</v>
      </c>
      <c r="F1459" s="165" t="s">
        <v>5313</v>
      </c>
      <c r="G1459" s="165"/>
      <c r="H1459" s="556">
        <v>11970</v>
      </c>
      <c r="I1459" s="165"/>
      <c r="J1459" s="165"/>
      <c r="K1459" s="165"/>
      <c r="L1459" s="165">
        <v>11970</v>
      </c>
      <c r="M1459" s="165"/>
      <c r="N1459" s="165"/>
      <c r="O1459" s="337">
        <f t="shared" si="58"/>
        <v>0</v>
      </c>
      <c r="P1459" s="165" t="s">
        <v>9681</v>
      </c>
      <c r="Q1459" s="165" t="s">
        <v>9681</v>
      </c>
      <c r="R1459" s="3">
        <f t="shared" si="59"/>
        <v>11970</v>
      </c>
      <c r="S1459" s="337">
        <v>11970</v>
      </c>
      <c r="T1459"/>
      <c r="U1459" s="3"/>
    </row>
    <row r="1460" spans="1:21">
      <c r="A1460" s="165" t="s">
        <v>9829</v>
      </c>
      <c r="B1460" s="94">
        <v>1414</v>
      </c>
      <c r="C1460" s="165" t="s">
        <v>4513</v>
      </c>
      <c r="D1460" s="165">
        <v>2</v>
      </c>
      <c r="E1460" s="165" t="s">
        <v>9832</v>
      </c>
      <c r="F1460" s="165" t="s">
        <v>9837</v>
      </c>
      <c r="G1460" s="165"/>
      <c r="H1460" s="680">
        <v>11970</v>
      </c>
      <c r="I1460" s="165"/>
      <c r="J1460" s="165"/>
      <c r="K1460" s="165"/>
      <c r="L1460" s="165">
        <v>11970</v>
      </c>
      <c r="M1460" s="165"/>
      <c r="N1460" s="165"/>
      <c r="O1460" s="337">
        <f t="shared" si="58"/>
        <v>0</v>
      </c>
      <c r="P1460" s="165" t="s">
        <v>8883</v>
      </c>
      <c r="Q1460" s="165" t="s">
        <v>10811</v>
      </c>
      <c r="R1460" s="3">
        <f t="shared" si="59"/>
        <v>11970</v>
      </c>
      <c r="S1460" s="337">
        <v>11970</v>
      </c>
      <c r="T1460"/>
      <c r="U1460" s="3"/>
    </row>
    <row r="1461" spans="1:21">
      <c r="A1461" s="165" t="s">
        <v>9829</v>
      </c>
      <c r="B1461" s="94">
        <v>1415</v>
      </c>
      <c r="C1461" s="165" t="s">
        <v>4513</v>
      </c>
      <c r="D1461" s="165">
        <v>3</v>
      </c>
      <c r="E1461" s="165" t="s">
        <v>9838</v>
      </c>
      <c r="F1461" s="165" t="s">
        <v>8949</v>
      </c>
      <c r="G1461" s="165"/>
      <c r="H1461" s="556">
        <v>11970</v>
      </c>
      <c r="I1461" s="165"/>
      <c r="J1461" s="165"/>
      <c r="K1461" s="165"/>
      <c r="L1461" s="165">
        <v>11970</v>
      </c>
      <c r="M1461" s="165"/>
      <c r="N1461" s="165"/>
      <c r="O1461" s="337">
        <f t="shared" si="58"/>
        <v>0</v>
      </c>
      <c r="P1461" s="165" t="s">
        <v>8973</v>
      </c>
      <c r="Q1461" s="165" t="s">
        <v>10861</v>
      </c>
      <c r="R1461" s="3">
        <f t="shared" si="59"/>
        <v>11970</v>
      </c>
      <c r="S1461" s="337">
        <v>11970</v>
      </c>
      <c r="T1461"/>
      <c r="U1461" s="3"/>
    </row>
    <row r="1462" spans="1:21">
      <c r="A1462" s="165" t="s">
        <v>9829</v>
      </c>
      <c r="B1462" s="94">
        <v>1416</v>
      </c>
      <c r="C1462" s="165" t="s">
        <v>4513</v>
      </c>
      <c r="D1462" s="165">
        <v>4</v>
      </c>
      <c r="E1462" s="165" t="s">
        <v>9833</v>
      </c>
      <c r="F1462" s="165" t="s">
        <v>9841</v>
      </c>
      <c r="G1462" s="165"/>
      <c r="H1462" s="556">
        <v>11970</v>
      </c>
      <c r="I1462" s="165"/>
      <c r="J1462" s="165"/>
      <c r="K1462" s="165"/>
      <c r="L1462" s="165">
        <v>11970</v>
      </c>
      <c r="M1462" s="165"/>
      <c r="N1462" s="165"/>
      <c r="O1462" s="337">
        <f t="shared" si="58"/>
        <v>0</v>
      </c>
      <c r="P1462" s="165" t="s">
        <v>10936</v>
      </c>
      <c r="Q1462" s="165" t="s">
        <v>10946</v>
      </c>
      <c r="R1462" s="3">
        <f t="shared" si="59"/>
        <v>11970</v>
      </c>
      <c r="S1462" s="337">
        <v>11970</v>
      </c>
      <c r="T1462"/>
      <c r="U1462" s="3"/>
    </row>
    <row r="1463" spans="1:21">
      <c r="A1463" s="165" t="s">
        <v>9829</v>
      </c>
      <c r="B1463" s="94">
        <v>1417</v>
      </c>
      <c r="C1463" s="165" t="s">
        <v>4513</v>
      </c>
      <c r="D1463" s="165">
        <v>5</v>
      </c>
      <c r="E1463" s="165" t="s">
        <v>9834</v>
      </c>
      <c r="F1463" s="165" t="s">
        <v>9842</v>
      </c>
      <c r="G1463" s="165"/>
      <c r="H1463" s="556">
        <v>11970</v>
      </c>
      <c r="I1463" s="165"/>
      <c r="J1463" s="165"/>
      <c r="K1463" s="165"/>
      <c r="L1463" s="165">
        <v>11970</v>
      </c>
      <c r="M1463" s="165"/>
      <c r="N1463" s="165"/>
      <c r="O1463" s="337">
        <f t="shared" si="58"/>
        <v>0</v>
      </c>
      <c r="P1463" s="165" t="s">
        <v>11011</v>
      </c>
      <c r="Q1463" s="165" t="s">
        <v>9842</v>
      </c>
      <c r="R1463" s="3">
        <f t="shared" si="59"/>
        <v>11970</v>
      </c>
      <c r="S1463" s="337">
        <v>11970</v>
      </c>
      <c r="T1463"/>
      <c r="U1463" s="3"/>
    </row>
    <row r="1464" spans="1:21">
      <c r="A1464" s="165" t="s">
        <v>9829</v>
      </c>
      <c r="B1464" s="94">
        <v>1418</v>
      </c>
      <c r="C1464" s="165" t="s">
        <v>4513</v>
      </c>
      <c r="D1464" s="165">
        <v>6</v>
      </c>
      <c r="E1464" s="165" t="s">
        <v>9835</v>
      </c>
      <c r="F1464" s="165" t="s">
        <v>9843</v>
      </c>
      <c r="G1464" s="165"/>
      <c r="H1464" s="556">
        <v>11970</v>
      </c>
      <c r="I1464" s="165"/>
      <c r="J1464" s="165"/>
      <c r="K1464" s="165"/>
      <c r="L1464" s="165"/>
      <c r="M1464" s="165">
        <v>11970</v>
      </c>
      <c r="N1464" s="165"/>
      <c r="O1464" s="337">
        <f t="shared" si="58"/>
        <v>11970</v>
      </c>
      <c r="P1464" s="165"/>
      <c r="Q1464" s="165"/>
      <c r="R1464" s="3">
        <f t="shared" si="59"/>
        <v>11970</v>
      </c>
      <c r="S1464" s="337"/>
      <c r="T1464"/>
      <c r="U1464" s="3"/>
    </row>
    <row r="1465" spans="1:21">
      <c r="A1465" s="165" t="s">
        <v>9829</v>
      </c>
      <c r="B1465" s="94">
        <v>1419</v>
      </c>
      <c r="C1465" s="165" t="s">
        <v>4513</v>
      </c>
      <c r="D1465" s="165">
        <v>7</v>
      </c>
      <c r="E1465" s="165" t="s">
        <v>9836</v>
      </c>
      <c r="F1465" s="165" t="s">
        <v>9844</v>
      </c>
      <c r="G1465" s="165"/>
      <c r="H1465" s="556">
        <v>11970</v>
      </c>
      <c r="I1465" s="165"/>
      <c r="J1465" s="165"/>
      <c r="K1465" s="165"/>
      <c r="L1465" s="165"/>
      <c r="M1465" s="165">
        <v>11970</v>
      </c>
      <c r="N1465" s="165"/>
      <c r="O1465" s="337">
        <f t="shared" si="58"/>
        <v>11970</v>
      </c>
      <c r="P1465" s="165"/>
      <c r="Q1465" s="165"/>
      <c r="R1465" s="3">
        <f t="shared" si="59"/>
        <v>11970</v>
      </c>
      <c r="S1465" s="337"/>
      <c r="T1465"/>
      <c r="U1465" s="3"/>
    </row>
    <row r="1466" spans="1:21">
      <c r="A1466" s="165" t="s">
        <v>9829</v>
      </c>
      <c r="B1466" s="94">
        <v>1420</v>
      </c>
      <c r="C1466" s="165" t="s">
        <v>4513</v>
      </c>
      <c r="D1466" s="165">
        <v>8</v>
      </c>
      <c r="E1466" s="165" t="s">
        <v>9840</v>
      </c>
      <c r="F1466" s="165" t="s">
        <v>9845</v>
      </c>
      <c r="G1466" s="165"/>
      <c r="H1466" s="556">
        <v>11970</v>
      </c>
      <c r="I1466" s="165"/>
      <c r="J1466" s="165"/>
      <c r="K1466" s="165"/>
      <c r="L1466" s="165"/>
      <c r="M1466" s="165">
        <v>11970</v>
      </c>
      <c r="N1466" s="165"/>
      <c r="O1466" s="337">
        <f t="shared" si="58"/>
        <v>11970</v>
      </c>
      <c r="P1466" s="165"/>
      <c r="Q1466" s="165"/>
      <c r="R1466" s="3">
        <f t="shared" si="59"/>
        <v>11970</v>
      </c>
      <c r="S1466" s="337"/>
      <c r="T1466"/>
      <c r="U1466" s="3"/>
    </row>
    <row r="1467" spans="1:21">
      <c r="A1467" s="165" t="s">
        <v>9911</v>
      </c>
      <c r="B1467" s="94">
        <v>1421</v>
      </c>
      <c r="C1467" s="165" t="s">
        <v>4539</v>
      </c>
      <c r="D1467" s="165">
        <v>1</v>
      </c>
      <c r="E1467" s="165" t="s">
        <v>9914</v>
      </c>
      <c r="F1467" s="165" t="s">
        <v>5345</v>
      </c>
      <c r="G1467" s="165"/>
      <c r="H1467" s="680">
        <v>13230</v>
      </c>
      <c r="I1467" s="165"/>
      <c r="J1467" s="165"/>
      <c r="K1467" s="165"/>
      <c r="L1467" s="165">
        <v>13230</v>
      </c>
      <c r="M1467" s="165"/>
      <c r="N1467" s="165"/>
      <c r="O1467" s="337">
        <f t="shared" si="58"/>
        <v>0</v>
      </c>
      <c r="P1467" s="165" t="s">
        <v>8812</v>
      </c>
      <c r="Q1467" s="165" t="s">
        <v>8812</v>
      </c>
      <c r="R1467" s="3">
        <f t="shared" si="59"/>
        <v>13230</v>
      </c>
      <c r="S1467" s="337">
        <v>13230</v>
      </c>
      <c r="T1467"/>
      <c r="U1467" s="3"/>
    </row>
    <row r="1468" spans="1:21">
      <c r="A1468" s="165" t="s">
        <v>9911</v>
      </c>
      <c r="B1468" s="94">
        <v>1422</v>
      </c>
      <c r="C1468" s="165" t="s">
        <v>4539</v>
      </c>
      <c r="D1468" s="165">
        <v>2</v>
      </c>
      <c r="E1468" s="165" t="s">
        <v>9915</v>
      </c>
      <c r="F1468" s="165" t="s">
        <v>9922</v>
      </c>
      <c r="G1468" s="165"/>
      <c r="H1468" s="680">
        <v>13230</v>
      </c>
      <c r="I1468" s="165"/>
      <c r="J1468" s="165"/>
      <c r="K1468" s="165"/>
      <c r="L1468" s="165">
        <v>13230</v>
      </c>
      <c r="M1468" s="165"/>
      <c r="N1468" s="165"/>
      <c r="O1468" s="337">
        <f t="shared" si="58"/>
        <v>0</v>
      </c>
      <c r="P1468" s="165" t="s">
        <v>8871</v>
      </c>
      <c r="Q1468" s="165" t="s">
        <v>10858</v>
      </c>
      <c r="R1468" s="3">
        <f t="shared" si="59"/>
        <v>13230</v>
      </c>
      <c r="S1468" s="337">
        <v>13230</v>
      </c>
      <c r="T1468"/>
      <c r="U1468" s="3"/>
    </row>
    <row r="1469" spans="1:21">
      <c r="A1469" s="165" t="s">
        <v>9911</v>
      </c>
      <c r="B1469" s="94">
        <v>1423</v>
      </c>
      <c r="C1469" s="165" t="s">
        <v>4539</v>
      </c>
      <c r="D1469" s="165">
        <v>3</v>
      </c>
      <c r="E1469" s="165" t="s">
        <v>9916</v>
      </c>
      <c r="F1469" s="165" t="s">
        <v>9923</v>
      </c>
      <c r="G1469" s="165"/>
      <c r="H1469" s="680">
        <v>13230</v>
      </c>
      <c r="I1469" s="165"/>
      <c r="J1469" s="165"/>
      <c r="K1469" s="165"/>
      <c r="L1469" s="165">
        <v>13230</v>
      </c>
      <c r="M1469" s="165"/>
      <c r="N1469" s="165"/>
      <c r="O1469" s="337">
        <f t="shared" si="58"/>
        <v>0</v>
      </c>
      <c r="P1469" s="165" t="s">
        <v>9700</v>
      </c>
      <c r="Q1469" s="165" t="s">
        <v>9923</v>
      </c>
      <c r="R1469" s="3">
        <f t="shared" si="59"/>
        <v>13230</v>
      </c>
      <c r="S1469" s="337">
        <v>13230</v>
      </c>
      <c r="T1469"/>
      <c r="U1469" s="3"/>
    </row>
    <row r="1470" spans="1:21">
      <c r="A1470" s="165" t="s">
        <v>9911</v>
      </c>
      <c r="B1470" s="94">
        <v>1424</v>
      </c>
      <c r="C1470" s="165" t="s">
        <v>4539</v>
      </c>
      <c r="D1470" s="165">
        <v>4</v>
      </c>
      <c r="E1470" s="165" t="s">
        <v>9917</v>
      </c>
      <c r="F1470" s="165" t="s">
        <v>5591</v>
      </c>
      <c r="G1470" s="165"/>
      <c r="H1470" s="680">
        <v>13230</v>
      </c>
      <c r="I1470" s="165"/>
      <c r="J1470" s="165"/>
      <c r="K1470" s="165"/>
      <c r="L1470" s="165">
        <v>13230</v>
      </c>
      <c r="M1470" s="165"/>
      <c r="N1470" s="165"/>
      <c r="O1470" s="337">
        <f t="shared" si="58"/>
        <v>0</v>
      </c>
      <c r="P1470" s="165" t="s">
        <v>9702</v>
      </c>
      <c r="Q1470" s="165" t="s">
        <v>10922</v>
      </c>
      <c r="R1470" s="3">
        <f t="shared" si="59"/>
        <v>13230</v>
      </c>
      <c r="S1470" s="337">
        <v>13230</v>
      </c>
      <c r="T1470"/>
      <c r="U1470" s="3"/>
    </row>
    <row r="1471" spans="1:21">
      <c r="A1471" s="165" t="s">
        <v>9911</v>
      </c>
      <c r="B1471" s="94">
        <v>1425</v>
      </c>
      <c r="C1471" s="165" t="s">
        <v>4539</v>
      </c>
      <c r="D1471" s="165">
        <v>5</v>
      </c>
      <c r="E1471" s="165" t="s">
        <v>9918</v>
      </c>
      <c r="F1471" s="165" t="s">
        <v>9925</v>
      </c>
      <c r="G1471" s="165"/>
      <c r="H1471" s="680">
        <v>13230</v>
      </c>
      <c r="I1471" s="165"/>
      <c r="J1471" s="165"/>
      <c r="K1471" s="165"/>
      <c r="L1471" s="165">
        <v>13230</v>
      </c>
      <c r="M1471" s="165"/>
      <c r="N1471" s="165"/>
      <c r="O1471" s="337">
        <f>G1471+H1471+I1471-J1471-K1471-L1471</f>
        <v>0</v>
      </c>
      <c r="P1471" s="165" t="s">
        <v>10991</v>
      </c>
      <c r="Q1471" s="165" t="s">
        <v>10992</v>
      </c>
      <c r="R1471" s="3">
        <f t="shared" si="59"/>
        <v>13230</v>
      </c>
      <c r="S1471" s="337">
        <v>13230</v>
      </c>
      <c r="T1471"/>
      <c r="U1471" s="3"/>
    </row>
    <row r="1472" spans="1:21">
      <c r="A1472" s="165" t="s">
        <v>9911</v>
      </c>
      <c r="B1472" s="94">
        <v>1426</v>
      </c>
      <c r="C1472" s="165" t="s">
        <v>4539</v>
      </c>
      <c r="D1472" s="165">
        <v>6</v>
      </c>
      <c r="E1472" s="165" t="s">
        <v>9919</v>
      </c>
      <c r="F1472" s="165" t="s">
        <v>9926</v>
      </c>
      <c r="G1472" s="165"/>
      <c r="H1472" s="680">
        <v>13230</v>
      </c>
      <c r="I1472" s="165"/>
      <c r="J1472" s="165"/>
      <c r="K1472" s="165"/>
      <c r="L1472" s="165">
        <v>13230</v>
      </c>
      <c r="M1472" s="165"/>
      <c r="N1472" s="165"/>
      <c r="O1472" s="337">
        <f>G1472+H1472+I1472-J1472-K1472-L1472</f>
        <v>0</v>
      </c>
      <c r="P1472" s="165" t="s">
        <v>11088</v>
      </c>
      <c r="Q1472" s="165" t="s">
        <v>9926</v>
      </c>
      <c r="R1472" s="3">
        <f t="shared" si="59"/>
        <v>13230</v>
      </c>
      <c r="S1472" s="337">
        <v>13230</v>
      </c>
      <c r="T1472"/>
      <c r="U1472" s="3"/>
    </row>
    <row r="1473" spans="1:22">
      <c r="A1473" s="165" t="s">
        <v>9911</v>
      </c>
      <c r="B1473" s="94">
        <v>1427</v>
      </c>
      <c r="C1473" s="165" t="s">
        <v>4539</v>
      </c>
      <c r="D1473" s="165">
        <v>7</v>
      </c>
      <c r="E1473" s="165" t="s">
        <v>9920</v>
      </c>
      <c r="F1473" s="165" t="s">
        <v>9927</v>
      </c>
      <c r="G1473" s="165"/>
      <c r="H1473" s="680">
        <v>13230</v>
      </c>
      <c r="I1473" s="165"/>
      <c r="J1473" s="165"/>
      <c r="K1473" s="165"/>
      <c r="L1473" s="165"/>
      <c r="M1473" s="165">
        <v>13230</v>
      </c>
      <c r="N1473" s="165"/>
      <c r="O1473" s="337">
        <f>G1473+H1473+I1473-J1473-K1473-L1473</f>
        <v>13230</v>
      </c>
      <c r="P1473" s="165"/>
      <c r="Q1473" s="165"/>
      <c r="R1473" s="3">
        <f t="shared" si="59"/>
        <v>13230</v>
      </c>
      <c r="S1473" s="337"/>
      <c r="T1473"/>
      <c r="U1473" s="3"/>
    </row>
    <row r="1474" spans="1:22">
      <c r="A1474" s="165" t="s">
        <v>9911</v>
      </c>
      <c r="B1474" s="94">
        <v>1428</v>
      </c>
      <c r="C1474" s="165" t="s">
        <v>4539</v>
      </c>
      <c r="D1474" s="165">
        <v>8</v>
      </c>
      <c r="E1474" s="165" t="s">
        <v>9921</v>
      </c>
      <c r="F1474" s="165" t="s">
        <v>9928</v>
      </c>
      <c r="G1474" s="165"/>
      <c r="H1474" s="680">
        <v>13230</v>
      </c>
      <c r="I1474" s="165"/>
      <c r="J1474" s="165"/>
      <c r="K1474" s="165"/>
      <c r="L1474" s="165"/>
      <c r="M1474" s="165">
        <v>13230</v>
      </c>
      <c r="N1474" s="165"/>
      <c r="O1474" s="337">
        <f>G1474+H1474+I1474-J1474-K1474-L1474</f>
        <v>13230</v>
      </c>
      <c r="P1474" s="165"/>
      <c r="Q1474" s="165"/>
      <c r="R1474" s="3">
        <f t="shared" si="59"/>
        <v>13230</v>
      </c>
      <c r="S1474" s="337"/>
      <c r="T1474"/>
      <c r="U1474" s="3"/>
    </row>
    <row r="1475" spans="1:22">
      <c r="A1475" s="165" t="s">
        <v>9638</v>
      </c>
      <c r="B1475" s="94">
        <v>1429</v>
      </c>
      <c r="C1475" s="165" t="s">
        <v>4230</v>
      </c>
      <c r="D1475" s="165">
        <v>13</v>
      </c>
      <c r="E1475" s="165" t="s">
        <v>9639</v>
      </c>
      <c r="F1475" s="165" t="s">
        <v>9640</v>
      </c>
      <c r="G1475" s="165"/>
      <c r="H1475" s="680">
        <v>3780</v>
      </c>
      <c r="I1475" s="165"/>
      <c r="J1475" s="165"/>
      <c r="K1475" s="165"/>
      <c r="L1475" s="165">
        <v>3780</v>
      </c>
      <c r="M1475" s="165"/>
      <c r="N1475" s="165"/>
      <c r="O1475" s="337">
        <f t="shared" ref="O1475:O1506" si="60">G1475+H1475+I1475-J1475-K1475-L1475</f>
        <v>0</v>
      </c>
      <c r="P1475" s="165" t="s">
        <v>8812</v>
      </c>
      <c r="Q1475" s="165" t="s">
        <v>8812</v>
      </c>
      <c r="R1475" s="3">
        <f t="shared" ref="R1475:R1510" si="61">G1475+H1475+I1475</f>
        <v>3780</v>
      </c>
      <c r="S1475" s="337">
        <v>3780</v>
      </c>
      <c r="T1475"/>
      <c r="U1475" s="3"/>
    </row>
    <row r="1476" spans="1:22">
      <c r="A1476" s="165" t="s">
        <v>9638</v>
      </c>
      <c r="B1476" s="94">
        <v>1430</v>
      </c>
      <c r="C1476" s="165" t="s">
        <v>4230</v>
      </c>
      <c r="D1476" s="165">
        <v>14</v>
      </c>
      <c r="E1476" s="165" t="s">
        <v>9641</v>
      </c>
      <c r="F1476" s="165" t="s">
        <v>8809</v>
      </c>
      <c r="G1476" s="165"/>
      <c r="H1476" s="680">
        <v>3780</v>
      </c>
      <c r="I1476" s="165"/>
      <c r="J1476" s="165"/>
      <c r="K1476" s="338"/>
      <c r="L1476" s="338">
        <v>3780</v>
      </c>
      <c r="M1476" s="165"/>
      <c r="N1476" s="165"/>
      <c r="O1476" s="337">
        <f t="shared" si="60"/>
        <v>0</v>
      </c>
      <c r="P1476" s="165" t="s">
        <v>8812</v>
      </c>
      <c r="Q1476" s="165" t="s">
        <v>8812</v>
      </c>
      <c r="R1476" s="3">
        <f t="shared" si="61"/>
        <v>3780</v>
      </c>
      <c r="S1476" s="337">
        <v>3780</v>
      </c>
      <c r="T1476"/>
      <c r="U1476" s="3"/>
    </row>
    <row r="1477" spans="1:22">
      <c r="A1477" s="165" t="s">
        <v>9638</v>
      </c>
      <c r="B1477" s="94">
        <v>1431</v>
      </c>
      <c r="C1477" s="165" t="s">
        <v>4230</v>
      </c>
      <c r="D1477" s="165">
        <v>15</v>
      </c>
      <c r="E1477" s="165" t="s">
        <v>9642</v>
      </c>
      <c r="F1477" s="165" t="s">
        <v>5433</v>
      </c>
      <c r="G1477" s="165"/>
      <c r="H1477" s="680">
        <v>3780</v>
      </c>
      <c r="I1477" s="165"/>
      <c r="J1477" s="165"/>
      <c r="K1477" s="338"/>
      <c r="L1477" s="338">
        <v>3780</v>
      </c>
      <c r="M1477" s="165"/>
      <c r="N1477" s="165"/>
      <c r="O1477" s="337">
        <f t="shared" si="60"/>
        <v>0</v>
      </c>
      <c r="P1477" s="165" t="s">
        <v>5433</v>
      </c>
      <c r="Q1477" s="165" t="s">
        <v>5433</v>
      </c>
      <c r="R1477" s="3">
        <f t="shared" si="61"/>
        <v>3780</v>
      </c>
      <c r="S1477" s="337">
        <v>3780</v>
      </c>
      <c r="T1477"/>
      <c r="U1477" s="3"/>
    </row>
    <row r="1478" spans="1:22">
      <c r="A1478" s="165" t="s">
        <v>9638</v>
      </c>
      <c r="B1478" s="94">
        <v>1432</v>
      </c>
      <c r="C1478" s="165" t="s">
        <v>4230</v>
      </c>
      <c r="D1478" s="165">
        <v>16</v>
      </c>
      <c r="E1478" s="165" t="s">
        <v>9643</v>
      </c>
      <c r="F1478" s="165" t="s">
        <v>9655</v>
      </c>
      <c r="G1478" s="165"/>
      <c r="H1478" s="680">
        <v>3780</v>
      </c>
      <c r="I1478" s="165"/>
      <c r="J1478" s="165"/>
      <c r="K1478" s="338"/>
      <c r="L1478" s="338">
        <v>3780</v>
      </c>
      <c r="M1478" s="165"/>
      <c r="N1478" s="165"/>
      <c r="O1478" s="337">
        <f t="shared" si="60"/>
        <v>0</v>
      </c>
      <c r="P1478" s="165" t="s">
        <v>8845</v>
      </c>
      <c r="Q1478" s="165" t="s">
        <v>8845</v>
      </c>
      <c r="R1478" s="3">
        <f t="shared" si="61"/>
        <v>3780</v>
      </c>
      <c r="S1478" s="337">
        <v>3780</v>
      </c>
      <c r="T1478"/>
      <c r="U1478" s="3"/>
    </row>
    <row r="1479" spans="1:22">
      <c r="A1479" s="165" t="s">
        <v>9638</v>
      </c>
      <c r="B1479" s="94">
        <v>1433</v>
      </c>
      <c r="C1479" s="165" t="s">
        <v>4230</v>
      </c>
      <c r="D1479" s="165">
        <v>17</v>
      </c>
      <c r="E1479" s="165" t="s">
        <v>9644</v>
      </c>
      <c r="F1479" s="165" t="s">
        <v>9656</v>
      </c>
      <c r="G1479" s="165"/>
      <c r="H1479" s="680">
        <v>3780</v>
      </c>
      <c r="I1479" s="165"/>
      <c r="J1479" s="165"/>
      <c r="K1479" s="338"/>
      <c r="L1479" s="338">
        <v>3780</v>
      </c>
      <c r="M1479" s="165"/>
      <c r="N1479" s="165"/>
      <c r="O1479" s="337">
        <f t="shared" si="60"/>
        <v>0</v>
      </c>
      <c r="P1479" s="165" t="s">
        <v>8839</v>
      </c>
      <c r="Q1479" s="165" t="s">
        <v>9656</v>
      </c>
      <c r="R1479" s="3">
        <f t="shared" si="61"/>
        <v>3780</v>
      </c>
      <c r="S1479" s="337">
        <v>3780</v>
      </c>
      <c r="T1479"/>
      <c r="U1479" s="3"/>
    </row>
    <row r="1480" spans="1:22">
      <c r="A1480" s="165" t="s">
        <v>9638</v>
      </c>
      <c r="B1480" s="94">
        <v>1434</v>
      </c>
      <c r="C1480" s="165" t="s">
        <v>4230</v>
      </c>
      <c r="D1480" s="165">
        <v>18</v>
      </c>
      <c r="E1480" s="165" t="s">
        <v>9645</v>
      </c>
      <c r="F1480" s="165" t="s">
        <v>5434</v>
      </c>
      <c r="G1480" s="165"/>
      <c r="H1480" s="680">
        <v>3780</v>
      </c>
      <c r="I1480" s="165"/>
      <c r="J1480" s="165"/>
      <c r="K1480" s="338"/>
      <c r="L1480" s="338">
        <v>3780</v>
      </c>
      <c r="M1480" s="165"/>
      <c r="N1480" s="165"/>
      <c r="O1480" s="337">
        <f t="shared" si="60"/>
        <v>0</v>
      </c>
      <c r="P1480" s="165" t="s">
        <v>8883</v>
      </c>
      <c r="Q1480" s="165" t="s">
        <v>10813</v>
      </c>
      <c r="R1480" s="3">
        <f t="shared" si="61"/>
        <v>3780</v>
      </c>
      <c r="S1480" s="337">
        <v>3780</v>
      </c>
      <c r="T1480"/>
      <c r="U1480" s="3"/>
    </row>
    <row r="1481" spans="1:22">
      <c r="A1481" s="165" t="s">
        <v>9638</v>
      </c>
      <c r="B1481" s="94">
        <v>1435</v>
      </c>
      <c r="C1481" s="165" t="s">
        <v>4230</v>
      </c>
      <c r="D1481" s="165">
        <v>19</v>
      </c>
      <c r="E1481" s="165" t="s">
        <v>9646</v>
      </c>
      <c r="F1481" s="165" t="s">
        <v>9658</v>
      </c>
      <c r="G1481" s="165"/>
      <c r="H1481" s="680">
        <v>3780</v>
      </c>
      <c r="I1481" s="165"/>
      <c r="J1481" s="165"/>
      <c r="K1481" s="338"/>
      <c r="L1481" s="338">
        <v>3780</v>
      </c>
      <c r="M1481" s="165"/>
      <c r="N1481" s="165"/>
      <c r="O1481" s="337">
        <f t="shared" si="60"/>
        <v>0</v>
      </c>
      <c r="P1481" s="165" t="s">
        <v>10823</v>
      </c>
      <c r="Q1481" s="165" t="s">
        <v>9658</v>
      </c>
      <c r="R1481" s="3">
        <f t="shared" si="61"/>
        <v>3780</v>
      </c>
      <c r="S1481" s="337">
        <v>3780</v>
      </c>
      <c r="T1481"/>
      <c r="U1481" s="3"/>
    </row>
    <row r="1482" spans="1:22">
      <c r="A1482" s="165" t="s">
        <v>9638</v>
      </c>
      <c r="B1482" s="94">
        <v>1436</v>
      </c>
      <c r="C1482" s="165" t="s">
        <v>4230</v>
      </c>
      <c r="D1482" s="165">
        <v>20</v>
      </c>
      <c r="E1482" s="165" t="s">
        <v>9647</v>
      </c>
      <c r="F1482" s="165" t="s">
        <v>8939</v>
      </c>
      <c r="G1482" s="165"/>
      <c r="H1482" s="680">
        <v>3780</v>
      </c>
      <c r="I1482" s="165"/>
      <c r="J1482" s="165"/>
      <c r="K1482" s="338"/>
      <c r="L1482" s="338">
        <v>3780</v>
      </c>
      <c r="M1482" s="165"/>
      <c r="N1482" s="165"/>
      <c r="O1482" s="337">
        <f t="shared" si="60"/>
        <v>0</v>
      </c>
      <c r="P1482" s="165" t="s">
        <v>9700</v>
      </c>
      <c r="Q1482" s="165" t="s">
        <v>8939</v>
      </c>
      <c r="R1482" s="3">
        <f t="shared" si="61"/>
        <v>3780</v>
      </c>
      <c r="S1482" s="337">
        <v>3780</v>
      </c>
      <c r="T1482"/>
      <c r="U1482" s="3"/>
    </row>
    <row r="1483" spans="1:22">
      <c r="A1483" s="165" t="s">
        <v>9638</v>
      </c>
      <c r="B1483" s="94">
        <v>1437</v>
      </c>
      <c r="C1483" s="165" t="s">
        <v>4230</v>
      </c>
      <c r="D1483" s="165">
        <v>21</v>
      </c>
      <c r="E1483" s="165" t="s">
        <v>9648</v>
      </c>
      <c r="F1483" s="165" t="s">
        <v>9660</v>
      </c>
      <c r="G1483" s="165"/>
      <c r="H1483" s="680">
        <v>3780</v>
      </c>
      <c r="I1483" s="165"/>
      <c r="J1483" s="165"/>
      <c r="K1483" s="338"/>
      <c r="L1483" s="338">
        <v>3780</v>
      </c>
      <c r="M1483" s="165"/>
      <c r="N1483" s="165"/>
      <c r="O1483" s="337">
        <f t="shared" si="60"/>
        <v>0</v>
      </c>
      <c r="P1483" s="165" t="s">
        <v>10862</v>
      </c>
      <c r="Q1483" s="165" t="s">
        <v>10862</v>
      </c>
      <c r="R1483" s="3">
        <f t="shared" si="61"/>
        <v>3780</v>
      </c>
      <c r="S1483" s="337">
        <v>3780</v>
      </c>
      <c r="T1483"/>
      <c r="U1483" s="3"/>
    </row>
    <row r="1484" spans="1:22">
      <c r="A1484" s="165" t="s">
        <v>9638</v>
      </c>
      <c r="B1484" s="94">
        <v>1438</v>
      </c>
      <c r="C1484" s="165" t="s">
        <v>4230</v>
      </c>
      <c r="D1484" s="165">
        <v>22</v>
      </c>
      <c r="E1484" s="165" t="s">
        <v>9649</v>
      </c>
      <c r="F1484" s="165" t="s">
        <v>9661</v>
      </c>
      <c r="G1484" s="165"/>
      <c r="H1484" s="680">
        <v>3780</v>
      </c>
      <c r="I1484" s="165"/>
      <c r="J1484" s="165"/>
      <c r="K1484" s="338"/>
      <c r="L1484" s="338">
        <v>3780</v>
      </c>
      <c r="M1484" s="165"/>
      <c r="N1484" s="165"/>
      <c r="O1484" s="337">
        <f t="shared" si="60"/>
        <v>0</v>
      </c>
      <c r="P1484" s="165" t="s">
        <v>8973</v>
      </c>
      <c r="Q1484" s="165" t="s">
        <v>10892</v>
      </c>
      <c r="R1484" s="3">
        <f t="shared" si="61"/>
        <v>3780</v>
      </c>
      <c r="S1484" s="337">
        <v>3780</v>
      </c>
      <c r="T1484"/>
      <c r="U1484" s="3"/>
    </row>
    <row r="1485" spans="1:22">
      <c r="A1485" s="165" t="s">
        <v>9638</v>
      </c>
      <c r="B1485" s="94">
        <v>1439</v>
      </c>
      <c r="C1485" s="165" t="s">
        <v>4230</v>
      </c>
      <c r="D1485" s="165">
        <v>23</v>
      </c>
      <c r="E1485" s="165" t="s">
        <v>9650</v>
      </c>
      <c r="F1485" s="165" t="s">
        <v>9662</v>
      </c>
      <c r="G1485" s="165"/>
      <c r="H1485" s="680">
        <v>3780</v>
      </c>
      <c r="I1485" s="165"/>
      <c r="J1485" s="165"/>
      <c r="K1485" s="338"/>
      <c r="L1485" s="338">
        <v>3780</v>
      </c>
      <c r="M1485" s="165"/>
      <c r="N1485" s="165"/>
      <c r="O1485" s="337">
        <f t="shared" si="60"/>
        <v>0</v>
      </c>
      <c r="P1485" s="165" t="s">
        <v>9702</v>
      </c>
      <c r="Q1485" s="165" t="s">
        <v>10923</v>
      </c>
      <c r="R1485" s="3">
        <f t="shared" si="61"/>
        <v>3780</v>
      </c>
      <c r="S1485" s="337">
        <v>3780</v>
      </c>
      <c r="T1485"/>
      <c r="U1485" s="3"/>
    </row>
    <row r="1486" spans="1:22">
      <c r="A1486" s="165" t="s">
        <v>9638</v>
      </c>
      <c r="B1486" s="94">
        <v>1440</v>
      </c>
      <c r="C1486" s="165" t="s">
        <v>4230</v>
      </c>
      <c r="D1486" s="165">
        <v>24</v>
      </c>
      <c r="E1486" s="165" t="s">
        <v>9651</v>
      </c>
      <c r="F1486" s="165" t="s">
        <v>9663</v>
      </c>
      <c r="G1486" s="165"/>
      <c r="H1486" s="680">
        <v>3780</v>
      </c>
      <c r="I1486" s="165"/>
      <c r="J1486" s="165"/>
      <c r="K1486" s="338"/>
      <c r="L1486" s="338">
        <v>3780</v>
      </c>
      <c r="M1486" s="165"/>
      <c r="N1486" s="165"/>
      <c r="O1486" s="337">
        <f t="shared" si="60"/>
        <v>0</v>
      </c>
      <c r="P1486" s="165" t="s">
        <v>10936</v>
      </c>
      <c r="Q1486" s="165" t="s">
        <v>10949</v>
      </c>
      <c r="R1486" s="3">
        <f t="shared" si="61"/>
        <v>3780</v>
      </c>
      <c r="S1486" s="337">
        <v>3780</v>
      </c>
      <c r="T1486"/>
      <c r="U1486" s="3"/>
    </row>
    <row r="1487" spans="1:22">
      <c r="A1487" s="165" t="s">
        <v>9726</v>
      </c>
      <c r="B1487" s="94">
        <v>1441</v>
      </c>
      <c r="C1487" s="165" t="s">
        <v>4201</v>
      </c>
      <c r="D1487" s="165">
        <v>1</v>
      </c>
      <c r="E1487" s="165" t="s">
        <v>9728</v>
      </c>
      <c r="F1487" s="165" t="s">
        <v>5325</v>
      </c>
      <c r="G1487" s="165"/>
      <c r="H1487" s="165">
        <v>20475</v>
      </c>
      <c r="I1487" s="165"/>
      <c r="J1487" s="165"/>
      <c r="K1487" s="165"/>
      <c r="L1487" s="165">
        <v>20475</v>
      </c>
      <c r="M1487" s="165"/>
      <c r="N1487" s="165"/>
      <c r="O1487" s="337">
        <f>G1487+H1487+I1487-J1487-K1487-L1487</f>
        <v>0</v>
      </c>
      <c r="P1487" s="165" t="s">
        <v>9744</v>
      </c>
      <c r="Q1487" s="165" t="s">
        <v>9744</v>
      </c>
      <c r="R1487" s="3">
        <f t="shared" si="61"/>
        <v>20475</v>
      </c>
      <c r="S1487" s="337">
        <v>20475</v>
      </c>
      <c r="T1487"/>
      <c r="U1487" s="3"/>
      <c r="V1487" s="338"/>
    </row>
    <row r="1488" spans="1:22">
      <c r="A1488" s="165" t="s">
        <v>9726</v>
      </c>
      <c r="B1488" s="94">
        <v>1442</v>
      </c>
      <c r="C1488" s="165" t="s">
        <v>4201</v>
      </c>
      <c r="D1488" s="165">
        <v>2</v>
      </c>
      <c r="E1488" s="165" t="s">
        <v>9730</v>
      </c>
      <c r="F1488" s="165" t="s">
        <v>5542</v>
      </c>
      <c r="G1488" s="165"/>
      <c r="H1488" s="165">
        <v>20475</v>
      </c>
      <c r="I1488" s="165"/>
      <c r="J1488" s="165"/>
      <c r="K1488" s="165"/>
      <c r="L1488" s="165">
        <v>20475</v>
      </c>
      <c r="M1488" s="165"/>
      <c r="N1488" s="165"/>
      <c r="O1488" s="337">
        <f>G1488+H1488+I1488-J1488-K1488-L1488</f>
        <v>0</v>
      </c>
      <c r="P1488" s="165" t="s">
        <v>10827</v>
      </c>
      <c r="Q1488" s="165" t="s">
        <v>5542</v>
      </c>
      <c r="R1488" s="3">
        <f t="shared" si="61"/>
        <v>20475</v>
      </c>
      <c r="S1488" s="337">
        <v>20475</v>
      </c>
      <c r="T1488"/>
      <c r="U1488" s="3"/>
      <c r="V1488" s="338"/>
    </row>
    <row r="1489" spans="1:22">
      <c r="A1489" s="165" t="s">
        <v>9726</v>
      </c>
      <c r="B1489" s="94">
        <v>1443</v>
      </c>
      <c r="C1489" s="165" t="s">
        <v>4201</v>
      </c>
      <c r="D1489" s="165">
        <v>3</v>
      </c>
      <c r="E1489" s="165" t="s">
        <v>9731</v>
      </c>
      <c r="F1489" s="165" t="s">
        <v>5543</v>
      </c>
      <c r="G1489" s="165"/>
      <c r="H1489" s="165">
        <v>20475</v>
      </c>
      <c r="I1489" s="165"/>
      <c r="J1489" s="165"/>
      <c r="K1489" s="165"/>
      <c r="L1489" s="165">
        <v>20475</v>
      </c>
      <c r="M1489" s="165"/>
      <c r="N1489" s="165"/>
      <c r="O1489" s="337">
        <f>G1489+H1489+I1489-J1489-K1489-L1489</f>
        <v>0</v>
      </c>
      <c r="P1489" s="165" t="s">
        <v>10874</v>
      </c>
      <c r="Q1489" s="165" t="s">
        <v>5543</v>
      </c>
      <c r="R1489" s="3">
        <f t="shared" si="61"/>
        <v>20475</v>
      </c>
      <c r="S1489" s="337">
        <v>20475</v>
      </c>
      <c r="T1489"/>
      <c r="U1489" s="3"/>
      <c r="V1489" s="338"/>
    </row>
    <row r="1490" spans="1:22">
      <c r="A1490" s="165" t="s">
        <v>9726</v>
      </c>
      <c r="B1490" s="94">
        <v>1444</v>
      </c>
      <c r="C1490" s="165" t="s">
        <v>4201</v>
      </c>
      <c r="D1490" s="165">
        <v>4</v>
      </c>
      <c r="E1490" s="165" t="s">
        <v>9732</v>
      </c>
      <c r="F1490" s="165" t="s">
        <v>9739</v>
      </c>
      <c r="G1490" s="165"/>
      <c r="H1490" s="165">
        <v>20475</v>
      </c>
      <c r="I1490" s="165"/>
      <c r="J1490" s="165"/>
      <c r="K1490" s="165"/>
      <c r="L1490" s="165">
        <v>20475</v>
      </c>
      <c r="M1490" s="165"/>
      <c r="N1490" s="165"/>
      <c r="O1490" s="337">
        <f>G1490+H1490+I1490-J1490-K1490-L1490</f>
        <v>0</v>
      </c>
      <c r="P1490" s="165" t="s">
        <v>10960</v>
      </c>
      <c r="Q1490" s="165" t="s">
        <v>9739</v>
      </c>
      <c r="R1490" s="3">
        <f t="shared" si="61"/>
        <v>20475</v>
      </c>
      <c r="S1490" s="337">
        <v>20475</v>
      </c>
      <c r="T1490"/>
      <c r="U1490" s="3"/>
      <c r="V1490" s="338"/>
    </row>
    <row r="1491" spans="1:22">
      <c r="A1491" s="165" t="s">
        <v>9726</v>
      </c>
      <c r="B1491" s="94">
        <v>1445</v>
      </c>
      <c r="C1491" s="165" t="s">
        <v>4201</v>
      </c>
      <c r="D1491" s="165">
        <v>5</v>
      </c>
      <c r="E1491" s="165" t="s">
        <v>9733</v>
      </c>
      <c r="F1491" s="165" t="s">
        <v>9740</v>
      </c>
      <c r="G1491" s="165"/>
      <c r="H1491" s="165">
        <v>20475</v>
      </c>
      <c r="I1491" s="165"/>
      <c r="J1491" s="165"/>
      <c r="K1491" s="165"/>
      <c r="L1491" s="165">
        <v>20475</v>
      </c>
      <c r="M1491" s="165"/>
      <c r="N1491" s="165"/>
      <c r="O1491" s="337">
        <f t="shared" si="60"/>
        <v>0</v>
      </c>
      <c r="P1491" s="165" t="s">
        <v>11055</v>
      </c>
      <c r="Q1491" s="165" t="s">
        <v>11054</v>
      </c>
      <c r="R1491" s="3">
        <f t="shared" si="61"/>
        <v>20475</v>
      </c>
      <c r="S1491" s="337">
        <v>20475</v>
      </c>
      <c r="T1491"/>
      <c r="U1491" s="3"/>
      <c r="V1491" s="338"/>
    </row>
    <row r="1492" spans="1:22">
      <c r="A1492" s="165" t="s">
        <v>9726</v>
      </c>
      <c r="B1492" s="94">
        <v>1446</v>
      </c>
      <c r="C1492" s="165" t="s">
        <v>4201</v>
      </c>
      <c r="D1492" s="165">
        <v>6</v>
      </c>
      <c r="E1492" s="165" t="s">
        <v>9734</v>
      </c>
      <c r="F1492" s="165" t="s">
        <v>9741</v>
      </c>
      <c r="G1492" s="165"/>
      <c r="H1492" s="165"/>
      <c r="I1492" s="165">
        <v>20475</v>
      </c>
      <c r="J1492" s="165"/>
      <c r="K1492" s="165"/>
      <c r="L1492" s="165"/>
      <c r="M1492" s="165">
        <v>20475</v>
      </c>
      <c r="N1492" s="165"/>
      <c r="O1492" s="337">
        <f>G1492+H1492+I1492-J1492-K1492-L1492</f>
        <v>20475</v>
      </c>
      <c r="P1492" s="165"/>
      <c r="Q1492" s="165"/>
      <c r="R1492" s="3">
        <f t="shared" si="61"/>
        <v>20475</v>
      </c>
      <c r="S1492" s="337"/>
      <c r="T1492"/>
      <c r="U1492" s="3"/>
      <c r="V1492" s="271" t="s">
        <v>2740</v>
      </c>
    </row>
    <row r="1493" spans="1:22">
      <c r="A1493" s="165" t="s">
        <v>9726</v>
      </c>
      <c r="B1493" s="94">
        <v>1447</v>
      </c>
      <c r="C1493" s="165" t="s">
        <v>4201</v>
      </c>
      <c r="D1493" s="165">
        <v>7</v>
      </c>
      <c r="E1493" s="165" t="s">
        <v>9735</v>
      </c>
      <c r="F1493" s="165" t="s">
        <v>9743</v>
      </c>
      <c r="G1493" s="165"/>
      <c r="H1493" s="165"/>
      <c r="I1493" s="165">
        <v>20475</v>
      </c>
      <c r="J1493" s="165"/>
      <c r="K1493" s="165"/>
      <c r="L1493" s="165"/>
      <c r="M1493" s="165">
        <v>20475</v>
      </c>
      <c r="N1493" s="165"/>
      <c r="O1493" s="337">
        <f>G1493+H1493+I1493-J1493-K1493-L1493</f>
        <v>20475</v>
      </c>
      <c r="P1493" s="165"/>
      <c r="Q1493" s="165"/>
      <c r="R1493" s="3">
        <f t="shared" si="61"/>
        <v>20475</v>
      </c>
      <c r="S1493" s="337"/>
      <c r="T1493"/>
      <c r="U1493" s="3"/>
      <c r="V1493" s="271" t="s">
        <v>2740</v>
      </c>
    </row>
    <row r="1494" spans="1:22">
      <c r="A1494" s="165" t="s">
        <v>9726</v>
      </c>
      <c r="B1494" s="94">
        <v>1448</v>
      </c>
      <c r="C1494" s="165" t="s">
        <v>4201</v>
      </c>
      <c r="D1494" s="165">
        <v>8</v>
      </c>
      <c r="E1494" s="165" t="s">
        <v>9736</v>
      </c>
      <c r="F1494" s="165" t="s">
        <v>9742</v>
      </c>
      <c r="G1494" s="165"/>
      <c r="H1494" s="165"/>
      <c r="I1494" s="165">
        <v>20475</v>
      </c>
      <c r="J1494" s="165"/>
      <c r="K1494" s="165"/>
      <c r="L1494" s="165"/>
      <c r="M1494" s="165">
        <v>20475</v>
      </c>
      <c r="N1494" s="165"/>
      <c r="O1494" s="337">
        <f t="shared" si="60"/>
        <v>20475</v>
      </c>
      <c r="P1494" s="165"/>
      <c r="Q1494" s="165"/>
      <c r="R1494" s="3">
        <f t="shared" si="61"/>
        <v>20475</v>
      </c>
      <c r="S1494" s="337"/>
      <c r="T1494"/>
      <c r="U1494" s="3"/>
      <c r="V1494" s="271" t="s">
        <v>2740</v>
      </c>
    </row>
    <row r="1495" spans="1:22">
      <c r="A1495" s="165" t="s">
        <v>9744</v>
      </c>
      <c r="B1495" s="94">
        <v>1449</v>
      </c>
      <c r="C1495" s="165" t="s">
        <v>4000</v>
      </c>
      <c r="D1495" s="165">
        <v>1</v>
      </c>
      <c r="E1495" s="165" t="s">
        <v>9779</v>
      </c>
      <c r="F1495" s="165" t="s">
        <v>5325</v>
      </c>
      <c r="G1495" s="165"/>
      <c r="H1495" s="165">
        <v>16380</v>
      </c>
      <c r="I1495" s="165"/>
      <c r="J1495" s="165"/>
      <c r="K1495" s="165"/>
      <c r="L1495" s="165">
        <v>16380</v>
      </c>
      <c r="M1495" s="165"/>
      <c r="N1495" s="165"/>
      <c r="O1495" s="337">
        <f t="shared" si="60"/>
        <v>0</v>
      </c>
      <c r="P1495" s="165" t="s">
        <v>5349</v>
      </c>
      <c r="Q1495" s="165" t="s">
        <v>5349</v>
      </c>
      <c r="R1495" s="3">
        <f t="shared" si="61"/>
        <v>16380</v>
      </c>
      <c r="S1495" s="337">
        <v>16380</v>
      </c>
      <c r="T1495"/>
      <c r="U1495" s="3"/>
      <c r="V1495" s="338"/>
    </row>
    <row r="1496" spans="1:22">
      <c r="A1496" s="165" t="s">
        <v>9744</v>
      </c>
      <c r="B1496" s="94">
        <v>1450</v>
      </c>
      <c r="C1496" s="165" t="s">
        <v>4000</v>
      </c>
      <c r="D1496" s="165">
        <v>2</v>
      </c>
      <c r="E1496" s="165" t="s">
        <v>9781</v>
      </c>
      <c r="F1496" s="165" t="s">
        <v>5542</v>
      </c>
      <c r="G1496" s="165"/>
      <c r="H1496" s="165">
        <v>16380</v>
      </c>
      <c r="I1496" s="165"/>
      <c r="J1496" s="165"/>
      <c r="K1496" s="165"/>
      <c r="L1496" s="165">
        <v>16380</v>
      </c>
      <c r="M1496" s="165"/>
      <c r="N1496" s="165"/>
      <c r="O1496" s="337">
        <f t="shared" si="60"/>
        <v>0</v>
      </c>
      <c r="P1496" s="165" t="s">
        <v>10822</v>
      </c>
      <c r="Q1496" s="165" t="s">
        <v>5542</v>
      </c>
      <c r="R1496" s="3">
        <f t="shared" si="61"/>
        <v>16380</v>
      </c>
      <c r="S1496" s="337">
        <v>16380</v>
      </c>
      <c r="T1496"/>
      <c r="U1496" s="3"/>
      <c r="V1496" s="338"/>
    </row>
    <row r="1497" spans="1:22">
      <c r="A1497" s="165" t="s">
        <v>9744</v>
      </c>
      <c r="B1497" s="94">
        <v>1451</v>
      </c>
      <c r="C1497" s="165" t="s">
        <v>4000</v>
      </c>
      <c r="D1497" s="165">
        <v>3</v>
      </c>
      <c r="E1497" s="165" t="s">
        <v>9782</v>
      </c>
      <c r="F1497" s="165" t="s">
        <v>5543</v>
      </c>
      <c r="G1497" s="165"/>
      <c r="H1497" s="165">
        <v>16380</v>
      </c>
      <c r="I1497" s="165"/>
      <c r="J1497" s="165"/>
      <c r="K1497" s="165"/>
      <c r="L1497" s="165">
        <v>16380</v>
      </c>
      <c r="M1497" s="165"/>
      <c r="N1497" s="165"/>
      <c r="O1497" s="337">
        <f t="shared" si="60"/>
        <v>0</v>
      </c>
      <c r="P1497" s="165" t="s">
        <v>8973</v>
      </c>
      <c r="Q1497" s="165" t="s">
        <v>10873</v>
      </c>
      <c r="R1497" s="3">
        <f t="shared" si="61"/>
        <v>16380</v>
      </c>
      <c r="S1497" s="337">
        <v>16380</v>
      </c>
      <c r="T1497"/>
      <c r="U1497" s="3"/>
      <c r="V1497" s="338"/>
    </row>
    <row r="1498" spans="1:22">
      <c r="A1498" s="165" t="s">
        <v>9744</v>
      </c>
      <c r="B1498" s="94">
        <v>1452</v>
      </c>
      <c r="C1498" s="165" t="s">
        <v>4000</v>
      </c>
      <c r="D1498" s="165">
        <v>4</v>
      </c>
      <c r="E1498" s="165" t="s">
        <v>9783</v>
      </c>
      <c r="F1498" s="165" t="s">
        <v>9739</v>
      </c>
      <c r="G1498" s="165"/>
      <c r="H1498" s="165">
        <v>16380</v>
      </c>
      <c r="I1498" s="165"/>
      <c r="J1498" s="165"/>
      <c r="K1498" s="165"/>
      <c r="L1498" s="165">
        <v>16380</v>
      </c>
      <c r="M1498" s="165"/>
      <c r="N1498" s="165"/>
      <c r="O1498" s="337">
        <f t="shared" si="60"/>
        <v>0</v>
      </c>
      <c r="P1498" s="165" t="s">
        <v>10969</v>
      </c>
      <c r="Q1498" s="165" t="s">
        <v>9739</v>
      </c>
      <c r="R1498" s="3">
        <f t="shared" si="61"/>
        <v>16380</v>
      </c>
      <c r="S1498" s="337">
        <v>16380</v>
      </c>
      <c r="T1498"/>
      <c r="U1498" s="3"/>
      <c r="V1498" s="338"/>
    </row>
    <row r="1499" spans="1:22">
      <c r="A1499" s="165" t="s">
        <v>9744</v>
      </c>
      <c r="B1499" s="94">
        <v>1453</v>
      </c>
      <c r="C1499" s="165" t="s">
        <v>4000</v>
      </c>
      <c r="D1499" s="165">
        <v>5</v>
      </c>
      <c r="E1499" s="165" t="s">
        <v>9784</v>
      </c>
      <c r="F1499" s="165" t="s">
        <v>9740</v>
      </c>
      <c r="G1499" s="165"/>
      <c r="H1499" s="165">
        <v>16380</v>
      </c>
      <c r="I1499" s="165"/>
      <c r="J1499" s="165"/>
      <c r="K1499" s="165"/>
      <c r="L1499" s="165">
        <v>16380</v>
      </c>
      <c r="M1499" s="165"/>
      <c r="N1499" s="165"/>
      <c r="O1499" s="337">
        <f t="shared" si="60"/>
        <v>0</v>
      </c>
      <c r="P1499" s="165" t="s">
        <v>11066</v>
      </c>
      <c r="Q1499" s="165" t="s">
        <v>9740</v>
      </c>
      <c r="R1499" s="3">
        <f t="shared" si="61"/>
        <v>16380</v>
      </c>
      <c r="S1499" s="337">
        <v>16380</v>
      </c>
      <c r="T1499"/>
      <c r="U1499" s="3"/>
      <c r="V1499" s="338"/>
    </row>
    <row r="1500" spans="1:22">
      <c r="A1500" s="165" t="s">
        <v>9744</v>
      </c>
      <c r="B1500" s="94">
        <v>1454</v>
      </c>
      <c r="C1500" s="165" t="s">
        <v>4000</v>
      </c>
      <c r="D1500" s="165">
        <v>6</v>
      </c>
      <c r="E1500" s="165" t="s">
        <v>9785</v>
      </c>
      <c r="F1500" s="165" t="s">
        <v>9741</v>
      </c>
      <c r="G1500" s="165"/>
      <c r="H1500" s="165"/>
      <c r="I1500" s="165">
        <v>16380</v>
      </c>
      <c r="J1500" s="165"/>
      <c r="K1500" s="165"/>
      <c r="L1500" s="165"/>
      <c r="M1500" s="165">
        <v>16380</v>
      </c>
      <c r="N1500" s="165"/>
      <c r="O1500" s="337">
        <f t="shared" si="60"/>
        <v>16380</v>
      </c>
      <c r="P1500" s="165"/>
      <c r="Q1500" s="165"/>
      <c r="R1500" s="3">
        <f t="shared" si="61"/>
        <v>16380</v>
      </c>
      <c r="S1500" s="337"/>
      <c r="T1500"/>
      <c r="U1500" s="3"/>
      <c r="V1500" s="271" t="s">
        <v>2740</v>
      </c>
    </row>
    <row r="1501" spans="1:22">
      <c r="A1501" s="165" t="s">
        <v>9744</v>
      </c>
      <c r="B1501" s="94">
        <v>1455</v>
      </c>
      <c r="C1501" s="165" t="s">
        <v>4000</v>
      </c>
      <c r="D1501" s="165">
        <v>7</v>
      </c>
      <c r="E1501" s="165" t="s">
        <v>9786</v>
      </c>
      <c r="F1501" s="165" t="s">
        <v>9743</v>
      </c>
      <c r="G1501" s="165"/>
      <c r="H1501" s="165"/>
      <c r="I1501" s="165">
        <v>16380</v>
      </c>
      <c r="J1501" s="165"/>
      <c r="K1501" s="165"/>
      <c r="L1501" s="165"/>
      <c r="M1501" s="165">
        <v>16380</v>
      </c>
      <c r="N1501" s="165"/>
      <c r="O1501" s="337">
        <f t="shared" si="60"/>
        <v>16380</v>
      </c>
      <c r="P1501" s="165"/>
      <c r="Q1501" s="165"/>
      <c r="R1501" s="3">
        <f t="shared" si="61"/>
        <v>16380</v>
      </c>
      <c r="S1501" s="337"/>
      <c r="T1501"/>
      <c r="U1501" s="3"/>
      <c r="V1501" s="271" t="s">
        <v>2740</v>
      </c>
    </row>
    <row r="1502" spans="1:22">
      <c r="A1502" s="165" t="s">
        <v>9744</v>
      </c>
      <c r="B1502" s="94">
        <v>1456</v>
      </c>
      <c r="C1502" s="165" t="s">
        <v>4000</v>
      </c>
      <c r="D1502" s="165">
        <v>8</v>
      </c>
      <c r="E1502" s="165" t="s">
        <v>9787</v>
      </c>
      <c r="F1502" s="165" t="s">
        <v>9742</v>
      </c>
      <c r="G1502" s="165"/>
      <c r="H1502" s="165"/>
      <c r="I1502" s="165">
        <v>16380</v>
      </c>
      <c r="J1502" s="165"/>
      <c r="K1502" s="165"/>
      <c r="L1502" s="165"/>
      <c r="M1502" s="165">
        <v>16380</v>
      </c>
      <c r="N1502" s="165"/>
      <c r="O1502" s="337">
        <f t="shared" si="60"/>
        <v>16380</v>
      </c>
      <c r="P1502" s="165"/>
      <c r="Q1502" s="165"/>
      <c r="R1502" s="3">
        <f t="shared" si="61"/>
        <v>16380</v>
      </c>
      <c r="S1502" s="337"/>
      <c r="T1502"/>
      <c r="U1502" s="3"/>
      <c r="V1502" s="271" t="s">
        <v>2740</v>
      </c>
    </row>
    <row r="1503" spans="1:22">
      <c r="A1503" s="165" t="s">
        <v>9744</v>
      </c>
      <c r="B1503" s="94">
        <v>1457</v>
      </c>
      <c r="C1503" s="165" t="s">
        <v>4000</v>
      </c>
      <c r="D1503" s="165">
        <v>1</v>
      </c>
      <c r="E1503" s="165" t="s">
        <v>9790</v>
      </c>
      <c r="F1503" s="165" t="s">
        <v>5325</v>
      </c>
      <c r="G1503" s="165"/>
      <c r="H1503" s="165">
        <v>20475</v>
      </c>
      <c r="I1503" s="165"/>
      <c r="J1503" s="165"/>
      <c r="K1503" s="165"/>
      <c r="L1503" s="165">
        <v>20475</v>
      </c>
      <c r="M1503" s="165"/>
      <c r="N1503" s="165"/>
      <c r="O1503" s="337">
        <f t="shared" si="60"/>
        <v>0</v>
      </c>
      <c r="P1503" s="165" t="s">
        <v>5349</v>
      </c>
      <c r="Q1503" s="165" t="s">
        <v>5349</v>
      </c>
      <c r="R1503" s="3">
        <f t="shared" si="61"/>
        <v>20475</v>
      </c>
      <c r="S1503" s="337">
        <v>20475</v>
      </c>
      <c r="T1503"/>
      <c r="U1503" s="3"/>
      <c r="V1503" s="338"/>
    </row>
    <row r="1504" spans="1:22">
      <c r="A1504" s="165" t="s">
        <v>9744</v>
      </c>
      <c r="B1504" s="94">
        <v>1458</v>
      </c>
      <c r="C1504" s="165" t="s">
        <v>4000</v>
      </c>
      <c r="D1504" s="165">
        <v>2</v>
      </c>
      <c r="E1504" s="165" t="s">
        <v>9791</v>
      </c>
      <c r="F1504" s="165" t="s">
        <v>5542</v>
      </c>
      <c r="G1504" s="165"/>
      <c r="H1504" s="165">
        <v>20475</v>
      </c>
      <c r="I1504" s="165"/>
      <c r="J1504" s="165"/>
      <c r="K1504" s="165"/>
      <c r="L1504" s="165">
        <v>20475</v>
      </c>
      <c r="M1504" s="165"/>
      <c r="N1504" s="165"/>
      <c r="O1504" s="337">
        <f t="shared" si="60"/>
        <v>0</v>
      </c>
      <c r="P1504" s="165" t="s">
        <v>10822</v>
      </c>
      <c r="Q1504" s="165" t="s">
        <v>5542</v>
      </c>
      <c r="R1504" s="3">
        <f t="shared" si="61"/>
        <v>20475</v>
      </c>
      <c r="S1504" s="337">
        <v>20475</v>
      </c>
      <c r="T1504"/>
      <c r="U1504" s="3"/>
      <c r="V1504" s="338"/>
    </row>
    <row r="1505" spans="1:23">
      <c r="A1505" s="165" t="s">
        <v>9744</v>
      </c>
      <c r="B1505" s="94">
        <v>1459</v>
      </c>
      <c r="C1505" s="165" t="s">
        <v>4000</v>
      </c>
      <c r="D1505" s="165">
        <v>3</v>
      </c>
      <c r="E1505" s="165" t="s">
        <v>9792</v>
      </c>
      <c r="F1505" s="165" t="s">
        <v>5543</v>
      </c>
      <c r="G1505" s="165"/>
      <c r="H1505" s="165">
        <v>20475</v>
      </c>
      <c r="I1505" s="165"/>
      <c r="J1505" s="165"/>
      <c r="K1505" s="165"/>
      <c r="L1505" s="165">
        <v>20475</v>
      </c>
      <c r="M1505" s="165"/>
      <c r="N1505" s="165"/>
      <c r="O1505" s="337">
        <f t="shared" si="60"/>
        <v>0</v>
      </c>
      <c r="P1505" s="165" t="s">
        <v>8973</v>
      </c>
      <c r="Q1505" s="165" t="s">
        <v>5543</v>
      </c>
      <c r="R1505" s="3">
        <f t="shared" si="61"/>
        <v>20475</v>
      </c>
      <c r="S1505" s="337">
        <v>20475</v>
      </c>
      <c r="T1505"/>
      <c r="U1505" s="3"/>
      <c r="V1505" s="338"/>
    </row>
    <row r="1506" spans="1:23">
      <c r="A1506" s="165" t="s">
        <v>9744</v>
      </c>
      <c r="B1506" s="94">
        <v>1460</v>
      </c>
      <c r="C1506" s="165" t="s">
        <v>4000</v>
      </c>
      <c r="D1506" s="165">
        <v>4</v>
      </c>
      <c r="E1506" s="165" t="s">
        <v>9793</v>
      </c>
      <c r="F1506" s="165" t="s">
        <v>9739</v>
      </c>
      <c r="G1506" s="165"/>
      <c r="H1506" s="165">
        <v>20475</v>
      </c>
      <c r="I1506" s="165"/>
      <c r="J1506" s="165"/>
      <c r="K1506" s="165"/>
      <c r="L1506" s="165">
        <v>20475</v>
      </c>
      <c r="M1506" s="165"/>
      <c r="N1506" s="165"/>
      <c r="O1506" s="337">
        <f t="shared" si="60"/>
        <v>0</v>
      </c>
      <c r="P1506" s="165" t="s">
        <v>10960</v>
      </c>
      <c r="Q1506" s="165" t="s">
        <v>9739</v>
      </c>
      <c r="R1506" s="3">
        <f t="shared" si="61"/>
        <v>20475</v>
      </c>
      <c r="S1506" s="337">
        <v>20475</v>
      </c>
      <c r="T1506"/>
      <c r="U1506" s="3"/>
      <c r="V1506" s="338"/>
    </row>
    <row r="1507" spans="1:23">
      <c r="A1507" s="165" t="s">
        <v>9744</v>
      </c>
      <c r="B1507" s="94">
        <v>1461</v>
      </c>
      <c r="C1507" s="165" t="s">
        <v>4000</v>
      </c>
      <c r="D1507" s="165">
        <v>5</v>
      </c>
      <c r="E1507" s="165" t="s">
        <v>9794</v>
      </c>
      <c r="F1507" s="165" t="s">
        <v>9740</v>
      </c>
      <c r="G1507" s="165"/>
      <c r="H1507" s="165">
        <v>20475</v>
      </c>
      <c r="I1507" s="165"/>
      <c r="J1507" s="165"/>
      <c r="K1507" s="165"/>
      <c r="L1507" s="165">
        <v>20475</v>
      </c>
      <c r="M1507" s="165"/>
      <c r="N1507" s="165"/>
      <c r="O1507" s="337">
        <f>G1507+H1507+I1507-J1507-K1507-L1507</f>
        <v>0</v>
      </c>
      <c r="P1507" s="165" t="s">
        <v>11065</v>
      </c>
      <c r="Q1507" s="165" t="s">
        <v>9740</v>
      </c>
      <c r="R1507" s="3">
        <f t="shared" si="61"/>
        <v>20475</v>
      </c>
      <c r="S1507" s="337">
        <v>20475</v>
      </c>
      <c r="T1507"/>
      <c r="U1507" s="3"/>
      <c r="V1507" s="338"/>
    </row>
    <row r="1508" spans="1:23">
      <c r="A1508" s="165" t="s">
        <v>9744</v>
      </c>
      <c r="B1508" s="94">
        <v>1462</v>
      </c>
      <c r="C1508" s="165" t="s">
        <v>4000</v>
      </c>
      <c r="D1508" s="165">
        <v>6</v>
      </c>
      <c r="E1508" s="165" t="s">
        <v>9795</v>
      </c>
      <c r="F1508" s="165" t="s">
        <v>9741</v>
      </c>
      <c r="G1508" s="165"/>
      <c r="H1508" s="165"/>
      <c r="I1508" s="165">
        <v>20475</v>
      </c>
      <c r="J1508" s="165"/>
      <c r="K1508" s="165"/>
      <c r="L1508" s="165"/>
      <c r="M1508" s="165">
        <v>20475</v>
      </c>
      <c r="N1508" s="165"/>
      <c r="O1508" s="337">
        <f>G1508+H1508+I1508-J1508-K1508-L1508</f>
        <v>20475</v>
      </c>
      <c r="P1508" s="165"/>
      <c r="Q1508" s="165"/>
      <c r="R1508" s="3">
        <f t="shared" si="61"/>
        <v>20475</v>
      </c>
      <c r="S1508" s="337"/>
      <c r="T1508"/>
      <c r="U1508" s="3"/>
      <c r="V1508" s="271" t="s">
        <v>2740</v>
      </c>
    </row>
    <row r="1509" spans="1:23">
      <c r="A1509" s="165" t="s">
        <v>9744</v>
      </c>
      <c r="B1509" s="94">
        <v>1463</v>
      </c>
      <c r="C1509" s="165" t="s">
        <v>4000</v>
      </c>
      <c r="D1509" s="165">
        <v>7</v>
      </c>
      <c r="E1509" s="165" t="s">
        <v>9796</v>
      </c>
      <c r="F1509" s="165" t="s">
        <v>9743</v>
      </c>
      <c r="G1509" s="165"/>
      <c r="H1509" s="165"/>
      <c r="I1509" s="165">
        <v>20475</v>
      </c>
      <c r="J1509" s="165"/>
      <c r="K1509" s="165"/>
      <c r="L1509" s="165"/>
      <c r="M1509" s="165">
        <v>20475</v>
      </c>
      <c r="N1509" s="165"/>
      <c r="O1509" s="337">
        <f>G1509+H1509+I1509-J1509-K1509-L1509</f>
        <v>20475</v>
      </c>
      <c r="P1509" s="165"/>
      <c r="Q1509" s="165"/>
      <c r="R1509" s="3">
        <f t="shared" si="61"/>
        <v>20475</v>
      </c>
      <c r="S1509" s="337"/>
      <c r="T1509"/>
      <c r="U1509" s="3"/>
      <c r="V1509" s="271" t="s">
        <v>2740</v>
      </c>
    </row>
    <row r="1510" spans="1:23">
      <c r="A1510" s="165" t="s">
        <v>9744</v>
      </c>
      <c r="B1510" s="94">
        <v>1464</v>
      </c>
      <c r="C1510" s="165" t="s">
        <v>4000</v>
      </c>
      <c r="D1510" s="165">
        <v>8</v>
      </c>
      <c r="E1510" s="165" t="s">
        <v>9797</v>
      </c>
      <c r="F1510" s="165" t="s">
        <v>9742</v>
      </c>
      <c r="G1510" s="165"/>
      <c r="H1510" s="165"/>
      <c r="I1510" s="165">
        <v>20475</v>
      </c>
      <c r="J1510" s="165"/>
      <c r="K1510" s="165"/>
      <c r="L1510" s="165"/>
      <c r="M1510" s="165">
        <v>20475</v>
      </c>
      <c r="N1510" s="165"/>
      <c r="O1510" s="337">
        <f>G1510+H1510+I1510-J1510-K1510-L1510</f>
        <v>20475</v>
      </c>
      <c r="P1510" s="165"/>
      <c r="Q1510" s="165"/>
      <c r="R1510" s="3">
        <f t="shared" si="61"/>
        <v>20475</v>
      </c>
      <c r="S1510" s="337"/>
      <c r="T1510"/>
      <c r="U1510" s="3"/>
      <c r="V1510" s="271" t="s">
        <v>2740</v>
      </c>
    </row>
    <row r="1511" spans="1:23">
      <c r="A1511" s="165" t="s">
        <v>9744</v>
      </c>
      <c r="B1511" s="94">
        <v>1465</v>
      </c>
      <c r="C1511" s="165" t="s">
        <v>4000</v>
      </c>
      <c r="D1511" s="165"/>
      <c r="E1511" s="165" t="s">
        <v>9929</v>
      </c>
      <c r="F1511" s="165" t="s">
        <v>5349</v>
      </c>
      <c r="G1511" s="165"/>
      <c r="H1511" s="165">
        <v>119700</v>
      </c>
      <c r="I1511" s="165"/>
      <c r="J1511" s="165"/>
      <c r="K1511" s="165"/>
      <c r="L1511" s="165">
        <v>119700</v>
      </c>
      <c r="M1511" s="165"/>
      <c r="N1511" s="165"/>
      <c r="O1511" s="337">
        <f>G1511+H1511+I1511-J1511-K1511-L1511</f>
        <v>0</v>
      </c>
      <c r="P1511" s="165" t="s">
        <v>5349</v>
      </c>
      <c r="Q1511" s="165" t="s">
        <v>5349</v>
      </c>
      <c r="R1511" s="3">
        <f>G1511+H1511+I1511</f>
        <v>119700</v>
      </c>
      <c r="S1511" s="337">
        <v>119700</v>
      </c>
      <c r="T1511"/>
      <c r="U1511" s="3"/>
      <c r="V1511" s="338"/>
      <c r="W1511" t="s">
        <v>9930</v>
      </c>
    </row>
    <row r="1512" spans="1:23">
      <c r="A1512" s="165"/>
      <c r="B1512" s="94"/>
      <c r="C1512" s="165"/>
      <c r="D1512" s="165"/>
      <c r="E1512" s="165"/>
      <c r="F1512" s="165"/>
      <c r="G1512" s="165"/>
      <c r="H1512" s="165"/>
      <c r="I1512" s="165"/>
      <c r="J1512" s="165"/>
      <c r="K1512" s="165"/>
      <c r="L1512" s="165"/>
      <c r="M1512" s="165"/>
      <c r="N1512" s="165"/>
      <c r="O1512" s="165"/>
      <c r="P1512" s="165"/>
      <c r="R1512" s="165"/>
      <c r="U1512" s="338"/>
    </row>
    <row r="1513" spans="1:23">
      <c r="A1513" s="165"/>
      <c r="B1513" s="94"/>
      <c r="C1513" s="165"/>
      <c r="D1513" s="165"/>
      <c r="E1513" s="165"/>
      <c r="F1513" s="165"/>
      <c r="G1513" s="165"/>
      <c r="H1513" s="165"/>
      <c r="I1513" s="165"/>
      <c r="J1513" s="165"/>
      <c r="K1513" s="165"/>
      <c r="L1513" s="165"/>
      <c r="M1513" s="165"/>
      <c r="N1513" s="165"/>
      <c r="O1513" s="165"/>
      <c r="P1513" s="165"/>
      <c r="R1513" s="165"/>
      <c r="U1513" s="338"/>
    </row>
    <row r="1514" spans="1:23">
      <c r="A1514" s="165"/>
      <c r="B1514" s="94"/>
      <c r="C1514" s="165"/>
      <c r="D1514" s="165"/>
      <c r="E1514" s="165"/>
      <c r="F1514" s="165"/>
      <c r="G1514" s="165"/>
      <c r="H1514" s="165"/>
      <c r="I1514" s="165"/>
      <c r="J1514" s="165"/>
      <c r="K1514" s="165"/>
      <c r="L1514" s="165"/>
      <c r="M1514" s="165"/>
      <c r="N1514" s="165"/>
      <c r="O1514" s="165"/>
      <c r="P1514" s="165"/>
      <c r="R1514" s="165"/>
      <c r="U1514" s="338"/>
    </row>
    <row r="1515" spans="1:23" s="176" customFormat="1" ht="20.25" customHeight="1">
      <c r="A1515" s="203" t="s">
        <v>10753</v>
      </c>
      <c r="B1515" s="200"/>
      <c r="C1515" s="201"/>
      <c r="D1515" s="202"/>
      <c r="E1515" s="201"/>
      <c r="F1515" s="185" t="s">
        <v>2378</v>
      </c>
      <c r="G1515" s="185">
        <f t="shared" ref="G1515:O1515" si="62">SUM(G1517:G1654)</f>
        <v>0</v>
      </c>
      <c r="H1515" s="185">
        <f t="shared" si="62"/>
        <v>1567275</v>
      </c>
      <c r="I1515" s="185">
        <f>SUM(I1517:I1654)</f>
        <v>163800</v>
      </c>
      <c r="J1515" s="185">
        <f t="shared" si="62"/>
        <v>0</v>
      </c>
      <c r="K1515" s="185">
        <f t="shared" si="62"/>
        <v>0</v>
      </c>
      <c r="L1515" s="185">
        <f t="shared" si="62"/>
        <v>856545</v>
      </c>
      <c r="M1515" s="185">
        <f t="shared" si="62"/>
        <v>874530</v>
      </c>
      <c r="N1515" s="185">
        <f t="shared" si="62"/>
        <v>0</v>
      </c>
      <c r="O1515" s="185">
        <f t="shared" si="62"/>
        <v>874530</v>
      </c>
      <c r="P1515" s="185"/>
      <c r="Q1515" s="185"/>
      <c r="R1515" s="185">
        <f t="shared" ref="R1515:U1515" si="63">SUM(R1517:R1654)</f>
        <v>2432550</v>
      </c>
      <c r="S1515" s="185">
        <f t="shared" si="63"/>
        <v>1660170</v>
      </c>
      <c r="T1515" s="185">
        <f t="shared" si="63"/>
        <v>803625</v>
      </c>
      <c r="U1515" s="185">
        <f t="shared" si="63"/>
        <v>225</v>
      </c>
    </row>
    <row r="1516" spans="1:23" s="270" customFormat="1">
      <c r="A1516" s="269" t="s">
        <v>1281</v>
      </c>
      <c r="B1516" s="269" t="s">
        <v>2435</v>
      </c>
      <c r="C1516" s="269" t="s">
        <v>1385</v>
      </c>
      <c r="D1516" s="269" t="s">
        <v>1275</v>
      </c>
      <c r="E1516" s="269" t="s">
        <v>265</v>
      </c>
      <c r="F1516" s="269" t="s">
        <v>1280</v>
      </c>
      <c r="G1516" s="269" t="s">
        <v>15202</v>
      </c>
      <c r="H1516" s="269" t="s">
        <v>4468</v>
      </c>
      <c r="I1516" s="269" t="s">
        <v>4447</v>
      </c>
      <c r="J1516" s="269" t="s">
        <v>4471</v>
      </c>
      <c r="K1516" s="269" t="s">
        <v>9596</v>
      </c>
      <c r="L1516" s="269" t="s">
        <v>10754</v>
      </c>
      <c r="M1516" s="269" t="s">
        <v>4841</v>
      </c>
      <c r="N1516" s="269" t="s">
        <v>3728</v>
      </c>
      <c r="O1516" s="269" t="s">
        <v>2438</v>
      </c>
      <c r="P1516" s="269" t="s">
        <v>1282</v>
      </c>
      <c r="Q1516" s="269" t="s">
        <v>1386</v>
      </c>
      <c r="R1516" s="269" t="s">
        <v>576</v>
      </c>
      <c r="S1516" s="269" t="s">
        <v>3593</v>
      </c>
      <c r="T1516" s="269" t="s">
        <v>1283</v>
      </c>
      <c r="U1516" s="269" t="s">
        <v>577</v>
      </c>
    </row>
    <row r="1517" spans="1:23" s="665" customFormat="1">
      <c r="A1517" s="670" t="s">
        <v>14737</v>
      </c>
      <c r="B1517" s="666"/>
      <c r="C1517" s="667" t="s">
        <v>456</v>
      </c>
      <c r="D1517" s="668">
        <v>5</v>
      </c>
      <c r="E1517" s="667" t="s">
        <v>5011</v>
      </c>
      <c r="F1517" s="665" t="s">
        <v>14738</v>
      </c>
      <c r="O1517" s="664">
        <f t="shared" ref="O1517" si="64">G1517+H1517+I1517+L1517-J1517-K1517</f>
        <v>0</v>
      </c>
      <c r="P1517" s="665" t="s">
        <v>14739</v>
      </c>
      <c r="Q1517" s="665" t="s">
        <v>14740</v>
      </c>
      <c r="R1517" s="667">
        <v>13230</v>
      </c>
      <c r="S1517" s="667">
        <v>13230</v>
      </c>
      <c r="T1517" s="667">
        <v>13230</v>
      </c>
      <c r="U1517" s="690">
        <f t="shared" ref="U1517:U1553" si="65">R1517-S1517</f>
        <v>0</v>
      </c>
    </row>
    <row r="1518" spans="1:23" s="665" customFormat="1">
      <c r="A1518" s="665" t="s">
        <v>9837</v>
      </c>
      <c r="B1518" s="666"/>
      <c r="C1518" s="667" t="s">
        <v>4094</v>
      </c>
      <c r="D1518" s="668">
        <v>22</v>
      </c>
      <c r="E1518" s="667" t="s">
        <v>5011</v>
      </c>
      <c r="F1518" s="665" t="s">
        <v>9837</v>
      </c>
      <c r="O1518" s="664">
        <f>G1518+H1518+I1518+L1518-J1518-K1518</f>
        <v>0</v>
      </c>
      <c r="P1518" s="665" t="str">
        <f t="shared" ref="P1518:P1553" si="66">F1518</f>
        <v>2019.01.10</v>
      </c>
      <c r="Q1518" s="665" t="str">
        <f>P1518</f>
        <v>2019.01.10</v>
      </c>
      <c r="R1518" s="688">
        <v>4410</v>
      </c>
      <c r="S1518" s="689">
        <v>4410</v>
      </c>
      <c r="T1518" s="689">
        <v>4410</v>
      </c>
      <c r="U1518" s="690">
        <f t="shared" si="65"/>
        <v>0</v>
      </c>
    </row>
    <row r="1519" spans="1:23" s="665" customFormat="1">
      <c r="A1519" s="665" t="s">
        <v>10755</v>
      </c>
      <c r="B1519" s="666"/>
      <c r="C1519" s="667" t="s">
        <v>10756</v>
      </c>
      <c r="D1519" s="668">
        <v>7</v>
      </c>
      <c r="E1519" s="667" t="s">
        <v>5011</v>
      </c>
      <c r="F1519" s="665" t="s">
        <v>9837</v>
      </c>
      <c r="O1519" s="664">
        <f>G1519+H1519+I1519-J1519-K1519-L1519</f>
        <v>0</v>
      </c>
      <c r="P1519" s="665" t="str">
        <f t="shared" si="66"/>
        <v>2019.01.10</v>
      </c>
      <c r="Q1519" s="665" t="str">
        <f>F1519</f>
        <v>2019.01.10</v>
      </c>
      <c r="R1519" s="688">
        <v>16380</v>
      </c>
      <c r="S1519" s="689">
        <v>16365</v>
      </c>
      <c r="T1519" s="689">
        <v>16365</v>
      </c>
      <c r="U1519" s="690">
        <f t="shared" si="65"/>
        <v>15</v>
      </c>
    </row>
    <row r="1520" spans="1:23" s="665" customFormat="1">
      <c r="A1520" s="665" t="s">
        <v>10757</v>
      </c>
      <c r="B1520" s="666"/>
      <c r="C1520" s="667" t="s">
        <v>4318</v>
      </c>
      <c r="D1520" s="668">
        <v>6</v>
      </c>
      <c r="E1520" s="667" t="s">
        <v>5011</v>
      </c>
      <c r="F1520" s="665" t="s">
        <v>10758</v>
      </c>
      <c r="O1520" s="664">
        <f t="shared" ref="O1520:O1526" si="67">G1520+H1520+I1520+L1520-J1520-K1520</f>
        <v>0</v>
      </c>
      <c r="P1520" s="665" t="str">
        <f t="shared" si="66"/>
        <v>2019.01.15</v>
      </c>
      <c r="Q1520" s="665" t="str">
        <f>F1520</f>
        <v>2019.01.15</v>
      </c>
      <c r="R1520" s="688">
        <v>13500</v>
      </c>
      <c r="S1520" s="689">
        <v>13485</v>
      </c>
      <c r="T1520" s="689">
        <v>13485</v>
      </c>
      <c r="U1520" s="690">
        <f t="shared" si="65"/>
        <v>15</v>
      </c>
    </row>
    <row r="1521" spans="1:21" s="665" customFormat="1">
      <c r="A1521" s="665" t="s">
        <v>5434</v>
      </c>
      <c r="B1521" s="666"/>
      <c r="C1521" s="667" t="s">
        <v>4094</v>
      </c>
      <c r="D1521" s="668">
        <v>23</v>
      </c>
      <c r="E1521" s="667" t="s">
        <v>5011</v>
      </c>
      <c r="F1521" s="665" t="s">
        <v>5434</v>
      </c>
      <c r="O1521" s="664">
        <f t="shared" si="67"/>
        <v>0</v>
      </c>
      <c r="P1521" s="665" t="str">
        <f t="shared" si="66"/>
        <v>2019.02.01</v>
      </c>
      <c r="Q1521" s="665" t="str">
        <f>P1521</f>
        <v>2019.02.01</v>
      </c>
      <c r="R1521" s="688">
        <v>4410</v>
      </c>
      <c r="S1521" s="689">
        <v>4410</v>
      </c>
      <c r="T1521" s="689">
        <v>4410</v>
      </c>
      <c r="U1521" s="690">
        <f t="shared" si="65"/>
        <v>0</v>
      </c>
    </row>
    <row r="1522" spans="1:21" s="665" customFormat="1">
      <c r="A1522" s="670" t="s">
        <v>14741</v>
      </c>
      <c r="B1522" s="666"/>
      <c r="C1522" s="667" t="s">
        <v>456</v>
      </c>
      <c r="D1522" s="668">
        <v>6</v>
      </c>
      <c r="E1522" s="667" t="s">
        <v>5011</v>
      </c>
      <c r="F1522" s="665" t="s">
        <v>8926</v>
      </c>
      <c r="O1522" s="664">
        <f t="shared" ref="O1522" si="68">G1522+H1522+I1522+L1522-J1522-K1522</f>
        <v>0</v>
      </c>
      <c r="P1522" s="665" t="s">
        <v>8926</v>
      </c>
      <c r="Q1522" s="665" t="s">
        <v>14742</v>
      </c>
      <c r="R1522" s="667">
        <v>13230</v>
      </c>
      <c r="S1522" s="667">
        <v>13230</v>
      </c>
      <c r="T1522" s="667">
        <v>13230</v>
      </c>
      <c r="U1522" s="690">
        <f t="shared" si="65"/>
        <v>0</v>
      </c>
    </row>
    <row r="1523" spans="1:21" s="665" customFormat="1">
      <c r="A1523" s="665" t="s">
        <v>15228</v>
      </c>
      <c r="B1523" s="666"/>
      <c r="C1523" s="667" t="s">
        <v>4094</v>
      </c>
      <c r="D1523" s="668">
        <v>24</v>
      </c>
      <c r="E1523" s="667" t="s">
        <v>5011</v>
      </c>
      <c r="F1523" s="665" t="s">
        <v>10759</v>
      </c>
      <c r="O1523" s="664">
        <f t="shared" si="67"/>
        <v>0</v>
      </c>
      <c r="P1523" s="665" t="str">
        <f t="shared" si="66"/>
        <v>2019.03.12</v>
      </c>
      <c r="Q1523" s="665" t="str">
        <f>P1523</f>
        <v>2019.03.12</v>
      </c>
      <c r="R1523" s="688">
        <v>4410</v>
      </c>
      <c r="S1523" s="689">
        <v>4410</v>
      </c>
      <c r="T1523" s="689">
        <v>4410</v>
      </c>
      <c r="U1523" s="690">
        <f t="shared" si="65"/>
        <v>0</v>
      </c>
    </row>
    <row r="1524" spans="1:21" s="665" customFormat="1">
      <c r="A1524" s="665" t="s">
        <v>10760</v>
      </c>
      <c r="B1524" s="666"/>
      <c r="C1524" s="667" t="s">
        <v>10761</v>
      </c>
      <c r="D1524" s="671" t="s">
        <v>10762</v>
      </c>
      <c r="E1524" s="667" t="s">
        <v>5011</v>
      </c>
      <c r="F1524" s="665" t="s">
        <v>5485</v>
      </c>
      <c r="O1524" s="664">
        <f t="shared" si="67"/>
        <v>0</v>
      </c>
      <c r="P1524" s="665" t="str">
        <f t="shared" si="66"/>
        <v>2019.03.15</v>
      </c>
      <c r="Q1524" s="665" t="str">
        <f>P1524</f>
        <v>2019.03.15</v>
      </c>
      <c r="R1524" s="688">
        <v>63000</v>
      </c>
      <c r="S1524" s="689">
        <v>63000</v>
      </c>
      <c r="T1524" s="689">
        <v>63000</v>
      </c>
      <c r="U1524" s="690">
        <f t="shared" si="65"/>
        <v>0</v>
      </c>
    </row>
    <row r="1525" spans="1:21" s="665" customFormat="1">
      <c r="A1525" s="665" t="s">
        <v>5485</v>
      </c>
      <c r="B1525" s="666"/>
      <c r="C1525" s="667" t="s">
        <v>4339</v>
      </c>
      <c r="D1525" s="668">
        <v>8</v>
      </c>
      <c r="E1525" s="667" t="s">
        <v>5011</v>
      </c>
      <c r="F1525" s="665" t="s">
        <v>5485</v>
      </c>
      <c r="O1525" s="664">
        <f t="shared" si="67"/>
        <v>0</v>
      </c>
      <c r="P1525" s="665" t="str">
        <f t="shared" si="66"/>
        <v>2019.03.15</v>
      </c>
      <c r="Q1525" s="665" t="str">
        <f>P1525</f>
        <v>2019.03.15</v>
      </c>
      <c r="R1525" s="688">
        <v>14175</v>
      </c>
      <c r="S1525" s="689">
        <v>14165</v>
      </c>
      <c r="T1525" s="689">
        <v>14165</v>
      </c>
      <c r="U1525" s="690">
        <f t="shared" si="65"/>
        <v>10</v>
      </c>
    </row>
    <row r="1526" spans="1:21" s="665" customFormat="1">
      <c r="A1526" s="665" t="s">
        <v>5577</v>
      </c>
      <c r="B1526" s="666"/>
      <c r="C1526" s="667" t="s">
        <v>447</v>
      </c>
      <c r="D1526" s="668">
        <v>3</v>
      </c>
      <c r="E1526" s="667" t="s">
        <v>5011</v>
      </c>
      <c r="F1526" s="665" t="s">
        <v>5577</v>
      </c>
      <c r="O1526" s="664">
        <f t="shared" si="67"/>
        <v>0</v>
      </c>
      <c r="P1526" s="665" t="str">
        <f t="shared" si="66"/>
        <v>2019.03.25</v>
      </c>
      <c r="Q1526" s="665" t="str">
        <f>P1526</f>
        <v>2019.03.25</v>
      </c>
      <c r="R1526" s="688">
        <v>14175</v>
      </c>
      <c r="S1526" s="689">
        <v>14165</v>
      </c>
      <c r="T1526" s="689">
        <v>14165</v>
      </c>
      <c r="U1526" s="690">
        <f t="shared" si="65"/>
        <v>10</v>
      </c>
    </row>
    <row r="1527" spans="1:21" s="665" customFormat="1">
      <c r="A1527" s="665" t="s">
        <v>8949</v>
      </c>
      <c r="B1527" s="666"/>
      <c r="C1527" s="667" t="s">
        <v>10756</v>
      </c>
      <c r="D1527" s="668">
        <v>8</v>
      </c>
      <c r="E1527" s="667" t="s">
        <v>5011</v>
      </c>
      <c r="F1527" s="665" t="s">
        <v>10763</v>
      </c>
      <c r="O1527" s="664">
        <f>G1527+H1527+I1527-J1527-K1527-L1527</f>
        <v>0</v>
      </c>
      <c r="P1527" s="665" t="str">
        <f t="shared" si="66"/>
        <v>2019.04.10</v>
      </c>
      <c r="Q1527" s="665" t="str">
        <f>F1527</f>
        <v>2019.04.10</v>
      </c>
      <c r="R1527" s="688">
        <v>16380</v>
      </c>
      <c r="S1527" s="689">
        <v>16365</v>
      </c>
      <c r="T1527" s="689">
        <v>16365</v>
      </c>
      <c r="U1527" s="690">
        <f t="shared" si="65"/>
        <v>15</v>
      </c>
    </row>
    <row r="1528" spans="1:21" s="665" customFormat="1">
      <c r="A1528" s="665" t="s">
        <v>8949</v>
      </c>
      <c r="B1528" s="666"/>
      <c r="C1528" s="667" t="s">
        <v>4094</v>
      </c>
      <c r="D1528" s="668">
        <v>1</v>
      </c>
      <c r="E1528" s="667" t="s">
        <v>5011</v>
      </c>
      <c r="F1528" s="665" t="s">
        <v>10764</v>
      </c>
      <c r="O1528" s="664">
        <f t="shared" ref="O1528:O1535" si="69">G1528+H1528+I1528+L1528-J1528-K1528</f>
        <v>0</v>
      </c>
      <c r="P1528" s="665" t="str">
        <f t="shared" si="66"/>
        <v>2019.04.10</v>
      </c>
      <c r="Q1528" s="665" t="str">
        <f>P1528</f>
        <v>2019.04.10</v>
      </c>
      <c r="R1528" s="688">
        <v>4410</v>
      </c>
      <c r="S1528" s="689">
        <v>4410</v>
      </c>
      <c r="T1528" s="689">
        <v>4410</v>
      </c>
      <c r="U1528" s="690">
        <f t="shared" si="65"/>
        <v>0</v>
      </c>
    </row>
    <row r="1529" spans="1:21" s="665" customFormat="1">
      <c r="A1529" s="665" t="s">
        <v>10765</v>
      </c>
      <c r="B1529" s="666"/>
      <c r="C1529" s="667" t="s">
        <v>4094</v>
      </c>
      <c r="D1529" s="668">
        <v>2</v>
      </c>
      <c r="E1529" s="667" t="s">
        <v>5011</v>
      </c>
      <c r="F1529" s="665" t="s">
        <v>10766</v>
      </c>
      <c r="O1529" s="664">
        <f t="shared" si="69"/>
        <v>0</v>
      </c>
      <c r="P1529" s="665" t="str">
        <f t="shared" si="66"/>
        <v>2019.05.15</v>
      </c>
      <c r="Q1529" s="665" t="str">
        <f>P1529</f>
        <v>2019.05.15</v>
      </c>
      <c r="R1529" s="688">
        <v>4410</v>
      </c>
      <c r="S1529" s="689">
        <v>4410</v>
      </c>
      <c r="T1529" s="689">
        <v>4410</v>
      </c>
      <c r="U1529" s="690">
        <f t="shared" si="65"/>
        <v>0</v>
      </c>
    </row>
    <row r="1530" spans="1:21" s="665" customFormat="1">
      <c r="A1530" s="665" t="s">
        <v>10767</v>
      </c>
      <c r="B1530" s="666"/>
      <c r="C1530" s="667" t="s">
        <v>4318</v>
      </c>
      <c r="D1530" s="668">
        <v>7</v>
      </c>
      <c r="E1530" s="667" t="s">
        <v>5011</v>
      </c>
      <c r="F1530" s="665" t="s">
        <v>10768</v>
      </c>
      <c r="O1530" s="664">
        <f t="shared" si="69"/>
        <v>0</v>
      </c>
      <c r="P1530" s="665" t="str">
        <f t="shared" si="66"/>
        <v>2019.05.15</v>
      </c>
      <c r="Q1530" s="665" t="str">
        <f>F1530</f>
        <v>2019.05.15</v>
      </c>
      <c r="R1530" s="688">
        <v>13500</v>
      </c>
      <c r="S1530" s="689">
        <v>13485</v>
      </c>
      <c r="T1530" s="689">
        <v>13485</v>
      </c>
      <c r="U1530" s="690">
        <f t="shared" si="65"/>
        <v>15</v>
      </c>
    </row>
    <row r="1531" spans="1:21" s="665" customFormat="1">
      <c r="A1531" s="665" t="s">
        <v>10769</v>
      </c>
      <c r="B1531" s="666"/>
      <c r="C1531" s="667" t="s">
        <v>4094</v>
      </c>
      <c r="D1531" s="668">
        <v>3</v>
      </c>
      <c r="E1531" s="667" t="s">
        <v>5011</v>
      </c>
      <c r="F1531" s="665" t="s">
        <v>10769</v>
      </c>
      <c r="O1531" s="664">
        <f t="shared" si="69"/>
        <v>0</v>
      </c>
      <c r="P1531" s="665" t="str">
        <f t="shared" si="66"/>
        <v>2019.06.10</v>
      </c>
      <c r="Q1531" s="665" t="str">
        <f>P1531</f>
        <v>2019.06.10</v>
      </c>
      <c r="R1531" s="688">
        <v>4410</v>
      </c>
      <c r="S1531" s="689">
        <v>4410</v>
      </c>
      <c r="T1531" s="689">
        <v>4410</v>
      </c>
      <c r="U1531" s="690">
        <f t="shared" si="65"/>
        <v>0</v>
      </c>
    </row>
    <row r="1532" spans="1:21" s="665" customFormat="1">
      <c r="A1532" s="665" t="s">
        <v>10770</v>
      </c>
      <c r="B1532" s="666"/>
      <c r="C1532" s="667" t="s">
        <v>4339</v>
      </c>
      <c r="D1532" s="668">
        <v>1</v>
      </c>
      <c r="E1532" s="667" t="s">
        <v>5011</v>
      </c>
      <c r="F1532" s="665" t="s">
        <v>10771</v>
      </c>
      <c r="O1532" s="664">
        <f t="shared" si="69"/>
        <v>0</v>
      </c>
      <c r="P1532" s="665" t="str">
        <f t="shared" si="66"/>
        <v>2019.06.24</v>
      </c>
      <c r="Q1532" s="665" t="str">
        <f>P1532</f>
        <v>2019.06.24</v>
      </c>
      <c r="R1532" s="688">
        <v>14175</v>
      </c>
      <c r="S1532" s="689">
        <v>14165</v>
      </c>
      <c r="T1532" s="689">
        <v>14165</v>
      </c>
      <c r="U1532" s="690">
        <f t="shared" si="65"/>
        <v>10</v>
      </c>
    </row>
    <row r="1533" spans="1:21" s="665" customFormat="1">
      <c r="A1533" s="670" t="s">
        <v>14743</v>
      </c>
      <c r="B1533" s="666"/>
      <c r="C1533" s="667" t="s">
        <v>456</v>
      </c>
      <c r="D1533" s="671" t="s">
        <v>14745</v>
      </c>
      <c r="E1533" s="667" t="s">
        <v>5011</v>
      </c>
      <c r="F1533" s="665" t="s">
        <v>14744</v>
      </c>
      <c r="O1533" s="664">
        <f>G1533+H1533+I1533+L1533-J1533-K1533</f>
        <v>0</v>
      </c>
      <c r="P1533" s="665" t="s">
        <v>5578</v>
      </c>
      <c r="Q1533" s="665" t="s">
        <v>5578</v>
      </c>
      <c r="R1533" s="667">
        <v>26460</v>
      </c>
      <c r="S1533" s="667">
        <v>26460</v>
      </c>
      <c r="T1533" s="667">
        <v>26460</v>
      </c>
      <c r="U1533" s="690">
        <f t="shared" si="65"/>
        <v>0</v>
      </c>
    </row>
    <row r="1534" spans="1:21" s="665" customFormat="1">
      <c r="A1534" s="665" t="s">
        <v>10773</v>
      </c>
      <c r="B1534" s="666"/>
      <c r="C1534" s="667" t="s">
        <v>447</v>
      </c>
      <c r="D1534" s="668">
        <v>4</v>
      </c>
      <c r="E1534" s="667" t="s">
        <v>5011</v>
      </c>
      <c r="F1534" s="665" t="s">
        <v>10774</v>
      </c>
      <c r="O1534" s="664">
        <f t="shared" si="69"/>
        <v>0</v>
      </c>
      <c r="P1534" s="665" t="str">
        <f t="shared" si="66"/>
        <v>2019.06.25</v>
      </c>
      <c r="Q1534" s="665" t="str">
        <f>P1534</f>
        <v>2019.06.25</v>
      </c>
      <c r="R1534" s="688">
        <v>14175</v>
      </c>
      <c r="S1534" s="689">
        <v>14165</v>
      </c>
      <c r="T1534" s="689">
        <v>14165</v>
      </c>
      <c r="U1534" s="690">
        <f t="shared" si="65"/>
        <v>10</v>
      </c>
    </row>
    <row r="1535" spans="1:21" s="665" customFormat="1">
      <c r="A1535" s="665" t="s">
        <v>9841</v>
      </c>
      <c r="B1535" s="666"/>
      <c r="C1535" s="667" t="s">
        <v>4094</v>
      </c>
      <c r="D1535" s="668">
        <v>4</v>
      </c>
      <c r="E1535" s="667" t="s">
        <v>5011</v>
      </c>
      <c r="F1535" s="665" t="s">
        <v>9841</v>
      </c>
      <c r="O1535" s="664">
        <f t="shared" si="69"/>
        <v>0</v>
      </c>
      <c r="P1535" s="665" t="str">
        <f t="shared" si="66"/>
        <v>2019.07.10</v>
      </c>
      <c r="Q1535" s="665" t="str">
        <f>P1535</f>
        <v>2019.07.10</v>
      </c>
      <c r="R1535" s="688">
        <v>4410</v>
      </c>
      <c r="S1535" s="689">
        <v>4410</v>
      </c>
      <c r="T1535" s="689">
        <v>4410</v>
      </c>
      <c r="U1535" s="690">
        <f t="shared" si="65"/>
        <v>0</v>
      </c>
    </row>
    <row r="1536" spans="1:21" s="665" customFormat="1">
      <c r="A1536" s="665" t="s">
        <v>10775</v>
      </c>
      <c r="B1536" s="666"/>
      <c r="C1536" s="667" t="s">
        <v>10756</v>
      </c>
      <c r="D1536" s="668">
        <v>9</v>
      </c>
      <c r="E1536" s="667" t="s">
        <v>5011</v>
      </c>
      <c r="F1536" s="665" t="s">
        <v>10776</v>
      </c>
      <c r="O1536" s="664">
        <f>G1536+H1536+I1536-J1536-K1536-L1536</f>
        <v>0</v>
      </c>
      <c r="P1536" s="665" t="str">
        <f t="shared" si="66"/>
        <v>2019.07.15</v>
      </c>
      <c r="Q1536" s="665" t="str">
        <f>F1536</f>
        <v>2019.07.15</v>
      </c>
      <c r="R1536" s="688">
        <v>16380</v>
      </c>
      <c r="S1536" s="689">
        <v>16350</v>
      </c>
      <c r="T1536" s="689">
        <v>16350</v>
      </c>
      <c r="U1536" s="690">
        <f t="shared" si="65"/>
        <v>30</v>
      </c>
    </row>
    <row r="1537" spans="1:22" s="665" customFormat="1">
      <c r="A1537" s="665" t="s">
        <v>10777</v>
      </c>
      <c r="B1537" s="666"/>
      <c r="C1537" s="667" t="s">
        <v>4094</v>
      </c>
      <c r="D1537" s="668">
        <v>5</v>
      </c>
      <c r="E1537" s="667" t="s">
        <v>5011</v>
      </c>
      <c r="F1537" s="665" t="s">
        <v>10777</v>
      </c>
      <c r="O1537" s="664">
        <f t="shared" ref="O1537:O1544" si="70">G1537+H1537+I1537+L1537-J1537-K1537</f>
        <v>0</v>
      </c>
      <c r="P1537" s="665" t="str">
        <f t="shared" si="66"/>
        <v>2019.08.10</v>
      </c>
      <c r="Q1537" s="665" t="str">
        <f>P1537</f>
        <v>2019.08.10</v>
      </c>
      <c r="R1537" s="688">
        <v>4410</v>
      </c>
      <c r="S1537" s="689">
        <v>4410</v>
      </c>
      <c r="T1537" s="689">
        <v>4410</v>
      </c>
      <c r="U1537" s="690">
        <f t="shared" si="65"/>
        <v>0</v>
      </c>
    </row>
    <row r="1538" spans="1:22" s="665" customFormat="1">
      <c r="A1538" s="665" t="s">
        <v>10778</v>
      </c>
      <c r="B1538" s="666"/>
      <c r="C1538" s="667" t="s">
        <v>4318</v>
      </c>
      <c r="D1538" s="668">
        <v>8</v>
      </c>
      <c r="E1538" s="667" t="s">
        <v>5011</v>
      </c>
      <c r="F1538" s="665" t="s">
        <v>10779</v>
      </c>
      <c r="O1538" s="664">
        <f t="shared" si="70"/>
        <v>0</v>
      </c>
      <c r="P1538" s="665" t="str">
        <f t="shared" si="66"/>
        <v>2019.08.15</v>
      </c>
      <c r="Q1538" s="665" t="str">
        <f>F1538</f>
        <v>2019.08.15</v>
      </c>
      <c r="R1538" s="688">
        <v>13500</v>
      </c>
      <c r="S1538" s="689">
        <v>13485</v>
      </c>
      <c r="T1538" s="689">
        <v>13485</v>
      </c>
      <c r="U1538" s="690">
        <f t="shared" si="65"/>
        <v>15</v>
      </c>
    </row>
    <row r="1539" spans="1:22" s="665" customFormat="1">
      <c r="A1539" s="665" t="s">
        <v>10780</v>
      </c>
      <c r="B1539" s="666"/>
      <c r="C1539" s="667" t="s">
        <v>4094</v>
      </c>
      <c r="D1539" s="668">
        <v>6</v>
      </c>
      <c r="E1539" s="667" t="s">
        <v>5011</v>
      </c>
      <c r="F1539" s="665" t="s">
        <v>10781</v>
      </c>
      <c r="O1539" s="664">
        <f t="shared" si="70"/>
        <v>0</v>
      </c>
      <c r="P1539" s="665" t="str">
        <f t="shared" si="66"/>
        <v>2019.09.10</v>
      </c>
      <c r="Q1539" s="665" t="str">
        <f t="shared" ref="Q1539:Q1544" si="71">P1539</f>
        <v>2019.09.10</v>
      </c>
      <c r="R1539" s="688">
        <v>4410</v>
      </c>
      <c r="S1539" s="689">
        <v>4410</v>
      </c>
      <c r="T1539" s="689">
        <v>4410</v>
      </c>
      <c r="U1539" s="690">
        <f t="shared" si="65"/>
        <v>0</v>
      </c>
    </row>
    <row r="1540" spans="1:22" s="665" customFormat="1">
      <c r="A1540" s="665" t="s">
        <v>10782</v>
      </c>
      <c r="B1540" s="666"/>
      <c r="C1540" s="667" t="s">
        <v>4339</v>
      </c>
      <c r="D1540" s="668">
        <v>2</v>
      </c>
      <c r="E1540" s="667" t="s">
        <v>5011</v>
      </c>
      <c r="F1540" s="665" t="s">
        <v>10783</v>
      </c>
      <c r="O1540" s="664">
        <f t="shared" si="70"/>
        <v>0</v>
      </c>
      <c r="P1540" s="665" t="str">
        <f t="shared" si="66"/>
        <v>2019.09.18</v>
      </c>
      <c r="Q1540" s="665" t="str">
        <f t="shared" si="71"/>
        <v>2019.09.18</v>
      </c>
      <c r="R1540" s="688">
        <v>14175</v>
      </c>
      <c r="S1540" s="689">
        <v>14165</v>
      </c>
      <c r="T1540" s="689">
        <v>14165</v>
      </c>
      <c r="U1540" s="690">
        <f t="shared" si="65"/>
        <v>10</v>
      </c>
    </row>
    <row r="1541" spans="1:22" s="665" customFormat="1">
      <c r="A1541" s="665" t="s">
        <v>10785</v>
      </c>
      <c r="B1541" s="666"/>
      <c r="C1541" s="667" t="s">
        <v>4000</v>
      </c>
      <c r="D1541" s="668"/>
      <c r="E1541" s="667" t="s">
        <v>5011</v>
      </c>
      <c r="F1541" s="665" t="s">
        <v>10785</v>
      </c>
      <c r="O1541" s="664">
        <f t="shared" si="70"/>
        <v>0</v>
      </c>
      <c r="P1541" s="665" t="str">
        <f t="shared" si="66"/>
        <v>2019.09.19</v>
      </c>
      <c r="Q1541" s="665" t="str">
        <f t="shared" si="71"/>
        <v>2019.09.19</v>
      </c>
      <c r="R1541" s="688">
        <v>84000</v>
      </c>
      <c r="S1541" s="689">
        <v>84000</v>
      </c>
      <c r="T1541" s="689">
        <v>84000</v>
      </c>
      <c r="U1541" s="690">
        <f t="shared" si="65"/>
        <v>0</v>
      </c>
      <c r="V1541" s="665" t="s">
        <v>10786</v>
      </c>
    </row>
    <row r="1542" spans="1:22" s="665" customFormat="1">
      <c r="A1542" s="665" t="s">
        <v>10784</v>
      </c>
      <c r="B1542" s="666"/>
      <c r="C1542" s="667" t="s">
        <v>9599</v>
      </c>
      <c r="D1542" s="671" t="s">
        <v>4111</v>
      </c>
      <c r="E1542" s="667" t="s">
        <v>5011</v>
      </c>
      <c r="F1542" s="665" t="s">
        <v>10784</v>
      </c>
      <c r="O1542" s="664">
        <f t="shared" si="70"/>
        <v>0</v>
      </c>
      <c r="P1542" s="665" t="str">
        <f t="shared" si="66"/>
        <v>2019.09.24</v>
      </c>
      <c r="Q1542" s="665" t="str">
        <f t="shared" si="71"/>
        <v>2019.09.24</v>
      </c>
      <c r="R1542" s="688">
        <v>45360</v>
      </c>
      <c r="S1542" s="689">
        <v>45360</v>
      </c>
      <c r="T1542" s="689">
        <v>45360</v>
      </c>
      <c r="U1542" s="690">
        <f t="shared" si="65"/>
        <v>0</v>
      </c>
      <c r="V1542" s="672" t="s">
        <v>4760</v>
      </c>
    </row>
    <row r="1543" spans="1:22" s="665" customFormat="1">
      <c r="A1543" s="665" t="s">
        <v>5579</v>
      </c>
      <c r="B1543" s="666"/>
      <c r="C1543" s="667" t="s">
        <v>4201</v>
      </c>
      <c r="D1543" s="668"/>
      <c r="E1543" s="667" t="s">
        <v>5011</v>
      </c>
      <c r="F1543" s="665" t="s">
        <v>10787</v>
      </c>
      <c r="O1543" s="664">
        <f t="shared" si="70"/>
        <v>0</v>
      </c>
      <c r="P1543" s="665" t="str">
        <f t="shared" si="66"/>
        <v>2019.09.25</v>
      </c>
      <c r="Q1543" s="665" t="str">
        <f t="shared" si="71"/>
        <v>2019.09.25</v>
      </c>
      <c r="R1543" s="688">
        <v>84000</v>
      </c>
      <c r="S1543" s="689">
        <v>84000</v>
      </c>
      <c r="T1543" s="689">
        <v>84000</v>
      </c>
      <c r="U1543" s="690">
        <f t="shared" si="65"/>
        <v>0</v>
      </c>
      <c r="V1543" s="665" t="s">
        <v>10786</v>
      </c>
    </row>
    <row r="1544" spans="1:22" s="665" customFormat="1">
      <c r="A1544" s="665" t="s">
        <v>10788</v>
      </c>
      <c r="B1544" s="666"/>
      <c r="C1544" s="667" t="s">
        <v>4094</v>
      </c>
      <c r="D1544" s="668">
        <v>7</v>
      </c>
      <c r="E1544" s="667" t="s">
        <v>5011</v>
      </c>
      <c r="F1544" s="665" t="s">
        <v>10789</v>
      </c>
      <c r="O1544" s="664">
        <f t="shared" si="70"/>
        <v>0</v>
      </c>
      <c r="P1544" s="665" t="str">
        <f t="shared" si="66"/>
        <v>2019.10.04</v>
      </c>
      <c r="Q1544" s="665" t="str">
        <f t="shared" si="71"/>
        <v>2019.10.04</v>
      </c>
      <c r="R1544" s="688">
        <v>4410</v>
      </c>
      <c r="S1544" s="689">
        <v>4410</v>
      </c>
      <c r="T1544" s="689">
        <v>4410</v>
      </c>
      <c r="U1544" s="690">
        <f t="shared" si="65"/>
        <v>0</v>
      </c>
    </row>
    <row r="1545" spans="1:22" s="665" customFormat="1">
      <c r="A1545" s="665" t="s">
        <v>10790</v>
      </c>
      <c r="B1545" s="666"/>
      <c r="C1545" s="667" t="s">
        <v>10756</v>
      </c>
      <c r="D1545" s="668">
        <v>10</v>
      </c>
      <c r="E1545" s="667" t="s">
        <v>5011</v>
      </c>
      <c r="F1545" s="665" t="s">
        <v>10790</v>
      </c>
      <c r="O1545" s="664">
        <f>G1545+H1545+I1545-J1545-K1545-L1545</f>
        <v>0</v>
      </c>
      <c r="P1545" s="665" t="str">
        <f t="shared" si="66"/>
        <v>2019.10.15</v>
      </c>
      <c r="Q1545" s="665" t="str">
        <f>F1545</f>
        <v>2019.10.15</v>
      </c>
      <c r="R1545" s="688">
        <v>16380</v>
      </c>
      <c r="S1545" s="689">
        <v>16350</v>
      </c>
      <c r="T1545" s="689">
        <v>16350</v>
      </c>
      <c r="U1545" s="690">
        <f t="shared" si="65"/>
        <v>30</v>
      </c>
    </row>
    <row r="1546" spans="1:22" s="665" customFormat="1">
      <c r="A1546" s="665" t="s">
        <v>10791</v>
      </c>
      <c r="B1546" s="666"/>
      <c r="C1546" s="667" t="s">
        <v>447</v>
      </c>
      <c r="D1546" s="668">
        <v>5</v>
      </c>
      <c r="E1546" s="667" t="s">
        <v>5011</v>
      </c>
      <c r="F1546" s="665" t="s">
        <v>10791</v>
      </c>
      <c r="O1546" s="664">
        <f t="shared" ref="O1546:O1553" si="72">G1546+H1546+I1546+L1546-J1546-K1546</f>
        <v>0</v>
      </c>
      <c r="P1546" s="665" t="str">
        <f t="shared" si="66"/>
        <v>2019.10.25</v>
      </c>
      <c r="Q1546" s="665" t="str">
        <f t="shared" ref="Q1546:Q1553" si="73">P1546</f>
        <v>2019.10.25</v>
      </c>
      <c r="R1546" s="688">
        <v>14175</v>
      </c>
      <c r="S1546" s="689">
        <v>14165</v>
      </c>
      <c r="T1546" s="689">
        <v>14165</v>
      </c>
      <c r="U1546" s="690">
        <f t="shared" si="65"/>
        <v>10</v>
      </c>
    </row>
    <row r="1547" spans="1:22" s="665" customFormat="1">
      <c r="A1547" s="665" t="s">
        <v>10792</v>
      </c>
      <c r="B1547" s="666"/>
      <c r="C1547" s="667" t="s">
        <v>4094</v>
      </c>
      <c r="D1547" s="668">
        <v>8</v>
      </c>
      <c r="E1547" s="667" t="s">
        <v>5011</v>
      </c>
      <c r="F1547" s="665" t="s">
        <v>10793</v>
      </c>
      <c r="O1547" s="664">
        <f t="shared" si="72"/>
        <v>0</v>
      </c>
      <c r="P1547" s="665" t="str">
        <f t="shared" si="66"/>
        <v>2019.11.11</v>
      </c>
      <c r="Q1547" s="665" t="str">
        <f t="shared" si="73"/>
        <v>2019.11.11</v>
      </c>
      <c r="R1547" s="688">
        <v>4410</v>
      </c>
      <c r="S1547" s="689">
        <v>4410</v>
      </c>
      <c r="T1547" s="689">
        <v>4410</v>
      </c>
      <c r="U1547" s="690">
        <f t="shared" si="65"/>
        <v>0</v>
      </c>
    </row>
    <row r="1548" spans="1:22" s="665" customFormat="1">
      <c r="A1548" s="665" t="s">
        <v>10794</v>
      </c>
      <c r="B1548" s="666"/>
      <c r="C1548" s="667" t="s">
        <v>4204</v>
      </c>
      <c r="D1548" s="668"/>
      <c r="E1548" s="667" t="s">
        <v>5011</v>
      </c>
      <c r="F1548" s="665" t="s">
        <v>10795</v>
      </c>
      <c r="O1548" s="664">
        <f t="shared" si="72"/>
        <v>0</v>
      </c>
      <c r="P1548" s="665" t="str">
        <f t="shared" si="66"/>
        <v>2019.11.14</v>
      </c>
      <c r="Q1548" s="665" t="str">
        <f t="shared" si="73"/>
        <v>2019.11.14</v>
      </c>
      <c r="R1548" s="688">
        <v>75600</v>
      </c>
      <c r="S1548" s="689">
        <v>75600</v>
      </c>
      <c r="T1548" s="689">
        <v>75600</v>
      </c>
      <c r="U1548" s="690">
        <f t="shared" si="65"/>
        <v>0</v>
      </c>
      <c r="V1548" s="665" t="s">
        <v>10796</v>
      </c>
    </row>
    <row r="1549" spans="1:22" s="665" customFormat="1">
      <c r="A1549" s="665" t="s">
        <v>10797</v>
      </c>
      <c r="B1549" s="666"/>
      <c r="C1549" s="667" t="s">
        <v>4000</v>
      </c>
      <c r="D1549" s="668"/>
      <c r="E1549" s="667" t="s">
        <v>5011</v>
      </c>
      <c r="F1549" s="665" t="s">
        <v>10797</v>
      </c>
      <c r="O1549" s="664">
        <f t="shared" si="72"/>
        <v>0</v>
      </c>
      <c r="P1549" s="665" t="str">
        <f t="shared" si="66"/>
        <v>2019.11.18</v>
      </c>
      <c r="Q1549" s="665" t="str">
        <f t="shared" si="73"/>
        <v>2019.11.18</v>
      </c>
      <c r="R1549" s="688">
        <v>113400</v>
      </c>
      <c r="S1549" s="689">
        <v>113390</v>
      </c>
      <c r="T1549" s="689">
        <v>113390</v>
      </c>
      <c r="U1549" s="690">
        <f t="shared" si="65"/>
        <v>10</v>
      </c>
      <c r="V1549" s="665" t="s">
        <v>10796</v>
      </c>
    </row>
    <row r="1550" spans="1:22" s="665" customFormat="1">
      <c r="A1550" s="665" t="s">
        <v>10798</v>
      </c>
      <c r="B1550" s="666"/>
      <c r="C1550" s="667" t="s">
        <v>4339</v>
      </c>
      <c r="D1550" s="668">
        <v>3</v>
      </c>
      <c r="E1550" s="667" t="s">
        <v>5011</v>
      </c>
      <c r="F1550" s="665" t="s">
        <v>10799</v>
      </c>
      <c r="O1550" s="664">
        <f t="shared" si="72"/>
        <v>0</v>
      </c>
      <c r="P1550" s="665" t="str">
        <f t="shared" si="66"/>
        <v>2019.11.21</v>
      </c>
      <c r="Q1550" s="665" t="str">
        <f t="shared" si="73"/>
        <v>2019.11.21</v>
      </c>
      <c r="R1550" s="688">
        <v>14175</v>
      </c>
      <c r="S1550" s="689">
        <v>14165</v>
      </c>
      <c r="T1550" s="689">
        <v>14165</v>
      </c>
      <c r="U1550" s="690">
        <f t="shared" si="65"/>
        <v>10</v>
      </c>
    </row>
    <row r="1551" spans="1:22" s="665" customFormat="1">
      <c r="A1551" s="670" t="s">
        <v>14746</v>
      </c>
      <c r="B1551" s="666"/>
      <c r="C1551" s="667" t="s">
        <v>456</v>
      </c>
      <c r="D1551" s="668">
        <v>1</v>
      </c>
      <c r="E1551" s="667" t="s">
        <v>5011</v>
      </c>
      <c r="F1551" s="665" t="s">
        <v>14747</v>
      </c>
      <c r="O1551" s="664">
        <f t="shared" ref="O1551:O1552" si="74">G1551+H1551+I1551+L1551-J1551-K1551</f>
        <v>0</v>
      </c>
      <c r="P1551" s="665" t="s">
        <v>14747</v>
      </c>
      <c r="Q1551" s="665" t="s">
        <v>14747</v>
      </c>
      <c r="R1551" s="667">
        <v>13230</v>
      </c>
      <c r="S1551" s="667">
        <v>13230</v>
      </c>
      <c r="T1551" s="667">
        <v>13230</v>
      </c>
      <c r="U1551" s="690">
        <f t="shared" si="65"/>
        <v>0</v>
      </c>
    </row>
    <row r="1552" spans="1:22" s="665" customFormat="1">
      <c r="A1552" s="665" t="s">
        <v>15081</v>
      </c>
      <c r="B1552" s="666"/>
      <c r="C1552" s="667" t="s">
        <v>447</v>
      </c>
      <c r="D1552" s="668">
        <v>6</v>
      </c>
      <c r="E1552" s="667" t="s">
        <v>5011</v>
      </c>
      <c r="F1552" s="665" t="s">
        <v>9937</v>
      </c>
      <c r="O1552" s="664">
        <f t="shared" si="74"/>
        <v>0</v>
      </c>
      <c r="P1552" s="665" t="str">
        <f t="shared" ref="P1552" si="75">F1552</f>
        <v>2019.12.25</v>
      </c>
      <c r="Q1552" s="665" t="str">
        <f t="shared" ref="Q1552" si="76">P1552</f>
        <v>2019.12.25</v>
      </c>
      <c r="R1552" s="688">
        <v>14175</v>
      </c>
      <c r="S1552" s="689">
        <v>14165</v>
      </c>
      <c r="T1552" s="689">
        <v>14165</v>
      </c>
      <c r="U1552" s="690">
        <f t="shared" ref="U1552" si="77">R1552-S1552</f>
        <v>10</v>
      </c>
    </row>
    <row r="1553" spans="1:21" s="665" customFormat="1">
      <c r="A1553" s="665" t="s">
        <v>10800</v>
      </c>
      <c r="B1553" s="666"/>
      <c r="C1553" s="667" t="s">
        <v>4094</v>
      </c>
      <c r="D1553" s="668">
        <v>9</v>
      </c>
      <c r="E1553" s="667" t="s">
        <v>5011</v>
      </c>
      <c r="F1553" s="665" t="s">
        <v>10801</v>
      </c>
      <c r="O1553" s="664">
        <f t="shared" si="72"/>
        <v>0</v>
      </c>
      <c r="P1553" s="665" t="str">
        <f t="shared" si="66"/>
        <v>2019.12.26</v>
      </c>
      <c r="Q1553" s="665" t="str">
        <f t="shared" si="73"/>
        <v>2019.12.26</v>
      </c>
      <c r="R1553" s="688">
        <v>4410</v>
      </c>
      <c r="S1553" s="689">
        <v>4410</v>
      </c>
      <c r="T1553" s="689">
        <v>4410</v>
      </c>
      <c r="U1553" s="690">
        <f t="shared" si="65"/>
        <v>0</v>
      </c>
    </row>
    <row r="1554" spans="1:21">
      <c r="A1554" s="165" t="s">
        <v>5576</v>
      </c>
      <c r="B1554" s="94">
        <v>1466</v>
      </c>
      <c r="C1554" s="165" t="s">
        <v>5184</v>
      </c>
      <c r="D1554" s="165">
        <v>1</v>
      </c>
      <c r="E1554" s="165" t="s">
        <v>10803</v>
      </c>
      <c r="F1554" s="165" t="s">
        <v>10755</v>
      </c>
      <c r="G1554" s="165"/>
      <c r="H1554" s="165">
        <v>14175</v>
      </c>
      <c r="I1554" s="165"/>
      <c r="J1554" s="165"/>
      <c r="K1554" s="165"/>
      <c r="L1554" s="165">
        <v>14175</v>
      </c>
      <c r="M1554" s="165"/>
      <c r="N1554" s="165"/>
      <c r="O1554" s="337">
        <f t="shared" ref="O1554:O1617" si="78">G1554+H1554+I1554-J1554-K1554-L1554</f>
        <v>0</v>
      </c>
      <c r="P1554" s="165" t="s">
        <v>10802</v>
      </c>
      <c r="Q1554" s="165" t="s">
        <v>9837</v>
      </c>
      <c r="R1554" s="3">
        <f t="shared" ref="R1554:R1567" si="79">H1554</f>
        <v>14175</v>
      </c>
      <c r="S1554" s="337">
        <v>14175</v>
      </c>
      <c r="T1554"/>
      <c r="U1554" s="3"/>
    </row>
    <row r="1555" spans="1:21">
      <c r="A1555" s="165" t="s">
        <v>5576</v>
      </c>
      <c r="B1555" s="94">
        <v>1467</v>
      </c>
      <c r="C1555" s="165" t="s">
        <v>5184</v>
      </c>
      <c r="D1555" s="165">
        <v>2</v>
      </c>
      <c r="E1555" s="165" t="s">
        <v>10804</v>
      </c>
      <c r="F1555" s="165" t="s">
        <v>8949</v>
      </c>
      <c r="G1555" s="165"/>
      <c r="H1555" s="165">
        <v>14175</v>
      </c>
      <c r="I1555" s="165"/>
      <c r="J1555" s="165"/>
      <c r="K1555" s="165"/>
      <c r="L1555" s="165">
        <v>14175</v>
      </c>
      <c r="M1555" s="165"/>
      <c r="N1555" s="165"/>
      <c r="O1555" s="337">
        <f t="shared" si="78"/>
        <v>0</v>
      </c>
      <c r="P1555" s="165" t="s">
        <v>10861</v>
      </c>
      <c r="Q1555" s="165" t="s">
        <v>10862</v>
      </c>
      <c r="R1555" s="3">
        <f t="shared" si="79"/>
        <v>14175</v>
      </c>
      <c r="S1555" s="337">
        <v>14175</v>
      </c>
      <c r="T1555"/>
      <c r="U1555" s="3"/>
    </row>
    <row r="1556" spans="1:21">
      <c r="A1556" s="165" t="s">
        <v>5576</v>
      </c>
      <c r="B1556" s="94">
        <v>1468</v>
      </c>
      <c r="C1556" s="165" t="s">
        <v>5184</v>
      </c>
      <c r="D1556" s="165">
        <v>3</v>
      </c>
      <c r="E1556" s="165" t="s">
        <v>10805</v>
      </c>
      <c r="F1556" s="165" t="s">
        <v>10863</v>
      </c>
      <c r="G1556" s="165"/>
      <c r="H1556" s="165">
        <v>14175</v>
      </c>
      <c r="I1556" s="165"/>
      <c r="J1556" s="165"/>
      <c r="K1556" s="165"/>
      <c r="L1556" s="165">
        <v>14175</v>
      </c>
      <c r="M1556" s="165"/>
      <c r="N1556" s="165"/>
      <c r="O1556" s="337">
        <f t="shared" si="78"/>
        <v>0</v>
      </c>
      <c r="P1556" s="165" t="s">
        <v>10944</v>
      </c>
      <c r="Q1556" s="165" t="s">
        <v>10945</v>
      </c>
      <c r="R1556" s="3">
        <f t="shared" si="79"/>
        <v>14175</v>
      </c>
      <c r="S1556" s="337">
        <v>14175</v>
      </c>
      <c r="T1556"/>
      <c r="U1556" s="3"/>
    </row>
    <row r="1557" spans="1:21">
      <c r="A1557" s="165" t="s">
        <v>5576</v>
      </c>
      <c r="B1557" s="94">
        <v>1469</v>
      </c>
      <c r="C1557" s="165" t="s">
        <v>5184</v>
      </c>
      <c r="D1557" s="165">
        <v>4</v>
      </c>
      <c r="E1557" s="165" t="s">
        <v>10806</v>
      </c>
      <c r="F1557" s="165" t="s">
        <v>9842</v>
      </c>
      <c r="G1557" s="165"/>
      <c r="H1557" s="165">
        <v>14175</v>
      </c>
      <c r="I1557" s="165"/>
      <c r="J1557" s="165"/>
      <c r="K1557" s="165"/>
      <c r="L1557" s="165">
        <v>14175</v>
      </c>
      <c r="M1557" s="165"/>
      <c r="N1557" s="165"/>
      <c r="O1557" s="337">
        <f t="shared" si="78"/>
        <v>0</v>
      </c>
      <c r="P1557" s="165" t="s">
        <v>11010</v>
      </c>
      <c r="Q1557" s="165" t="s">
        <v>9842</v>
      </c>
      <c r="R1557" s="3">
        <f t="shared" si="79"/>
        <v>14175</v>
      </c>
      <c r="S1557" s="337">
        <v>14175</v>
      </c>
      <c r="T1557"/>
      <c r="U1557" s="3"/>
    </row>
    <row r="1558" spans="1:21">
      <c r="A1558" s="165" t="s">
        <v>5576</v>
      </c>
      <c r="B1558" s="94">
        <v>1470</v>
      </c>
      <c r="C1558" s="165" t="s">
        <v>5184</v>
      </c>
      <c r="D1558" s="165">
        <v>5</v>
      </c>
      <c r="E1558" s="165" t="s">
        <v>10807</v>
      </c>
      <c r="F1558" s="165" t="s">
        <v>10864</v>
      </c>
      <c r="G1558" s="165"/>
      <c r="H1558" s="165">
        <v>14175</v>
      </c>
      <c r="I1558" s="165"/>
      <c r="J1558" s="165"/>
      <c r="K1558" s="165"/>
      <c r="L1558" s="165"/>
      <c r="M1558" s="165">
        <v>14175</v>
      </c>
      <c r="N1558" s="165"/>
      <c r="O1558" s="337">
        <f t="shared" si="78"/>
        <v>14175</v>
      </c>
      <c r="P1558" s="165"/>
      <c r="Q1558" s="165"/>
      <c r="R1558" s="3">
        <f t="shared" si="79"/>
        <v>14175</v>
      </c>
      <c r="S1558" s="337"/>
      <c r="T1558"/>
      <c r="U1558" s="3"/>
    </row>
    <row r="1559" spans="1:21">
      <c r="A1559" s="165" t="s">
        <v>5576</v>
      </c>
      <c r="B1559" s="94">
        <v>1471</v>
      </c>
      <c r="C1559" s="165" t="s">
        <v>5184</v>
      </c>
      <c r="D1559" s="165">
        <v>6</v>
      </c>
      <c r="E1559" s="165" t="s">
        <v>10808</v>
      </c>
      <c r="F1559" s="165" t="s">
        <v>10865</v>
      </c>
      <c r="G1559" s="165"/>
      <c r="H1559" s="165">
        <v>14175</v>
      </c>
      <c r="I1559" s="165"/>
      <c r="J1559" s="165"/>
      <c r="K1559" s="165"/>
      <c r="L1559" s="165"/>
      <c r="M1559" s="165">
        <v>14175</v>
      </c>
      <c r="N1559" s="165"/>
      <c r="O1559" s="337">
        <f t="shared" si="78"/>
        <v>14175</v>
      </c>
      <c r="P1559" s="165"/>
      <c r="Q1559" s="165"/>
      <c r="R1559" s="3">
        <f t="shared" si="79"/>
        <v>14175</v>
      </c>
      <c r="S1559" s="337"/>
      <c r="T1559"/>
      <c r="U1559" s="3"/>
    </row>
    <row r="1560" spans="1:21">
      <c r="A1560" s="165" t="s">
        <v>5576</v>
      </c>
      <c r="B1560" s="94">
        <v>1472</v>
      </c>
      <c r="C1560" s="165" t="s">
        <v>5184</v>
      </c>
      <c r="D1560" s="165">
        <v>7</v>
      </c>
      <c r="E1560" s="165" t="s">
        <v>10809</v>
      </c>
      <c r="F1560" s="165" t="s">
        <v>9845</v>
      </c>
      <c r="G1560" s="165"/>
      <c r="H1560" s="165">
        <v>14175</v>
      </c>
      <c r="I1560" s="165"/>
      <c r="J1560" s="165"/>
      <c r="K1560" s="165"/>
      <c r="L1560" s="165"/>
      <c r="M1560" s="165">
        <v>14175</v>
      </c>
      <c r="N1560" s="165"/>
      <c r="O1560" s="337">
        <f t="shared" si="78"/>
        <v>14175</v>
      </c>
      <c r="P1560" s="165"/>
      <c r="Q1560" s="165"/>
      <c r="R1560" s="3">
        <f t="shared" si="79"/>
        <v>14175</v>
      </c>
      <c r="S1560" s="337"/>
      <c r="T1560"/>
      <c r="U1560" s="3"/>
    </row>
    <row r="1561" spans="1:21">
      <c r="A1561" s="165" t="s">
        <v>5576</v>
      </c>
      <c r="B1561" s="94">
        <v>1473</v>
      </c>
      <c r="C1561" s="165" t="s">
        <v>5184</v>
      </c>
      <c r="D1561" s="165">
        <v>8</v>
      </c>
      <c r="E1561" s="165" t="s">
        <v>10810</v>
      </c>
      <c r="F1561" s="165" t="s">
        <v>10866</v>
      </c>
      <c r="G1561" s="165"/>
      <c r="H1561" s="165">
        <v>14175</v>
      </c>
      <c r="I1561" s="165"/>
      <c r="J1561" s="165"/>
      <c r="K1561" s="165"/>
      <c r="L1561" s="165"/>
      <c r="M1561" s="165">
        <v>14175</v>
      </c>
      <c r="N1561" s="165"/>
      <c r="O1561" s="337">
        <f t="shared" si="78"/>
        <v>14175</v>
      </c>
      <c r="P1561" s="165"/>
      <c r="Q1561" s="165"/>
      <c r="R1561" s="3">
        <f t="shared" si="79"/>
        <v>14175</v>
      </c>
      <c r="S1561" s="337"/>
      <c r="T1561"/>
      <c r="U1561" s="3"/>
    </row>
    <row r="1562" spans="1:21">
      <c r="A1562" s="165" t="s">
        <v>10833</v>
      </c>
      <c r="B1562" s="94">
        <v>1474</v>
      </c>
      <c r="C1562" s="165" t="s">
        <v>4555</v>
      </c>
      <c r="D1562" s="165">
        <v>1</v>
      </c>
      <c r="E1562" s="165" t="s">
        <v>10834</v>
      </c>
      <c r="F1562" s="165" t="s">
        <v>10835</v>
      </c>
      <c r="G1562" s="165"/>
      <c r="H1562" s="165">
        <v>11340</v>
      </c>
      <c r="I1562" s="165"/>
      <c r="J1562" s="165"/>
      <c r="K1562" s="165"/>
      <c r="L1562" s="165">
        <v>11340</v>
      </c>
      <c r="M1562" s="165"/>
      <c r="N1562" s="165"/>
      <c r="O1562" s="337">
        <f t="shared" si="78"/>
        <v>0</v>
      </c>
      <c r="P1562" s="165" t="s">
        <v>8913</v>
      </c>
      <c r="Q1562" s="165" t="s">
        <v>8913</v>
      </c>
      <c r="R1562" s="3">
        <f>H1562</f>
        <v>11340</v>
      </c>
      <c r="S1562" s="337">
        <v>11340</v>
      </c>
      <c r="T1562"/>
      <c r="U1562" s="3"/>
    </row>
    <row r="1563" spans="1:21">
      <c r="A1563" s="165" t="s">
        <v>10833</v>
      </c>
      <c r="B1563" s="94">
        <v>1475</v>
      </c>
      <c r="C1563" s="165" t="s">
        <v>4555</v>
      </c>
      <c r="D1563" s="165">
        <v>2</v>
      </c>
      <c r="E1563" s="165" t="s">
        <v>10836</v>
      </c>
      <c r="F1563" s="336" t="s">
        <v>15085</v>
      </c>
      <c r="G1563" s="165"/>
      <c r="H1563" s="165">
        <v>11340</v>
      </c>
      <c r="I1563" s="165"/>
      <c r="J1563" s="165"/>
      <c r="K1563" s="165"/>
      <c r="L1563" s="165">
        <v>11340</v>
      </c>
      <c r="M1563" s="165"/>
      <c r="N1563" s="165"/>
      <c r="O1563" s="337">
        <f t="shared" si="78"/>
        <v>0</v>
      </c>
      <c r="P1563" s="165" t="s">
        <v>10862</v>
      </c>
      <c r="Q1563" s="165" t="s">
        <v>10861</v>
      </c>
      <c r="R1563" s="3">
        <f>H1563</f>
        <v>11340</v>
      </c>
      <c r="S1563" s="337">
        <v>11340</v>
      </c>
      <c r="T1563"/>
      <c r="U1563" s="3"/>
    </row>
    <row r="1564" spans="1:21">
      <c r="A1564" s="165" t="s">
        <v>10833</v>
      </c>
      <c r="B1564" s="94">
        <v>1476</v>
      </c>
      <c r="C1564" s="165" t="s">
        <v>4555</v>
      </c>
      <c r="D1564" s="165">
        <v>3</v>
      </c>
      <c r="E1564" s="165" t="s">
        <v>10837</v>
      </c>
      <c r="F1564" s="336" t="s">
        <v>10936</v>
      </c>
      <c r="G1564" s="165"/>
      <c r="H1564" s="165">
        <v>11340</v>
      </c>
      <c r="I1564" s="165"/>
      <c r="J1564" s="165"/>
      <c r="K1564" s="165"/>
      <c r="L1564" s="165">
        <v>11340</v>
      </c>
      <c r="M1564" s="165"/>
      <c r="N1564" s="165"/>
      <c r="O1564" s="337">
        <f t="shared" si="78"/>
        <v>0</v>
      </c>
      <c r="P1564" s="165" t="s">
        <v>10936</v>
      </c>
      <c r="Q1564" s="165" t="s">
        <v>10936</v>
      </c>
      <c r="R1564" s="3">
        <f>H1564</f>
        <v>11340</v>
      </c>
      <c r="S1564" s="337">
        <v>11340</v>
      </c>
      <c r="T1564"/>
      <c r="U1564" s="3"/>
    </row>
    <row r="1565" spans="1:21">
      <c r="A1565" s="165" t="s">
        <v>10833</v>
      </c>
      <c r="B1565" s="94">
        <v>1477</v>
      </c>
      <c r="C1565" s="165" t="s">
        <v>4555</v>
      </c>
      <c r="D1565" s="165">
        <v>4</v>
      </c>
      <c r="E1565" s="165" t="s">
        <v>10838</v>
      </c>
      <c r="F1565" s="336" t="s">
        <v>15086</v>
      </c>
      <c r="G1565" s="165"/>
      <c r="H1565" s="165">
        <v>11340</v>
      </c>
      <c r="I1565" s="165"/>
      <c r="J1565" s="165"/>
      <c r="K1565" s="165"/>
      <c r="L1565" s="165">
        <v>11340</v>
      </c>
      <c r="M1565" s="165"/>
      <c r="N1565" s="165"/>
      <c r="O1565" s="337">
        <f t="shared" si="78"/>
        <v>0</v>
      </c>
      <c r="P1565" s="165" t="s">
        <v>11010</v>
      </c>
      <c r="Q1565" s="165" t="s">
        <v>11032</v>
      </c>
      <c r="R1565" s="3">
        <f>H1565</f>
        <v>11340</v>
      </c>
      <c r="S1565" s="337">
        <v>11340</v>
      </c>
      <c r="T1565"/>
      <c r="U1565" s="3"/>
    </row>
    <row r="1566" spans="1:21">
      <c r="A1566" s="165" t="s">
        <v>10833</v>
      </c>
      <c r="B1566" s="94">
        <v>1478</v>
      </c>
      <c r="C1566" s="165" t="s">
        <v>4555</v>
      </c>
      <c r="D1566" s="165">
        <v>5</v>
      </c>
      <c r="E1566" s="165" t="s">
        <v>10839</v>
      </c>
      <c r="F1566" s="336" t="s">
        <v>15087</v>
      </c>
      <c r="G1566" s="165"/>
      <c r="H1566" s="165">
        <v>11340</v>
      </c>
      <c r="I1566" s="165"/>
      <c r="J1566" s="165"/>
      <c r="K1566" s="165"/>
      <c r="L1566" s="165"/>
      <c r="M1566" s="165">
        <v>11340</v>
      </c>
      <c r="N1566" s="165"/>
      <c r="O1566" s="337">
        <f t="shared" si="78"/>
        <v>11340</v>
      </c>
      <c r="P1566" s="165"/>
      <c r="Q1566" s="165"/>
      <c r="R1566" s="3">
        <f t="shared" si="79"/>
        <v>11340</v>
      </c>
      <c r="S1566" s="337"/>
      <c r="T1566"/>
      <c r="U1566" s="3"/>
    </row>
    <row r="1567" spans="1:21">
      <c r="A1567" s="165" t="s">
        <v>10833</v>
      </c>
      <c r="B1567" s="94">
        <v>1479</v>
      </c>
      <c r="C1567" s="165" t="s">
        <v>4555</v>
      </c>
      <c r="D1567" s="165">
        <v>6</v>
      </c>
      <c r="E1567" s="165" t="s">
        <v>10840</v>
      </c>
      <c r="F1567" s="336" t="s">
        <v>15088</v>
      </c>
      <c r="G1567" s="165"/>
      <c r="H1567" s="165">
        <v>11340</v>
      </c>
      <c r="I1567" s="165"/>
      <c r="J1567" s="165"/>
      <c r="K1567" s="165"/>
      <c r="L1567" s="165"/>
      <c r="M1567" s="165">
        <v>11340</v>
      </c>
      <c r="N1567" s="165"/>
      <c r="O1567" s="337">
        <f t="shared" si="78"/>
        <v>11340</v>
      </c>
      <c r="P1567" s="165"/>
      <c r="Q1567" s="165"/>
      <c r="R1567" s="3">
        <f t="shared" si="79"/>
        <v>11340</v>
      </c>
      <c r="S1567" s="337"/>
      <c r="T1567"/>
      <c r="U1567" s="3"/>
    </row>
    <row r="1568" spans="1:21">
      <c r="A1568" s="165" t="s">
        <v>10833</v>
      </c>
      <c r="B1568" s="94">
        <v>1480</v>
      </c>
      <c r="C1568" s="165" t="s">
        <v>4555</v>
      </c>
      <c r="D1568" s="165">
        <v>7</v>
      </c>
      <c r="E1568" s="165" t="s">
        <v>15083</v>
      </c>
      <c r="F1568" s="336" t="s">
        <v>15089</v>
      </c>
      <c r="G1568" s="165"/>
      <c r="H1568" s="165">
        <v>11340</v>
      </c>
      <c r="I1568" s="165"/>
      <c r="J1568" s="165"/>
      <c r="K1568" s="165"/>
      <c r="L1568" s="165"/>
      <c r="M1568" s="165">
        <v>11340</v>
      </c>
      <c r="N1568" s="165"/>
      <c r="O1568" s="337">
        <f t="shared" si="78"/>
        <v>11340</v>
      </c>
      <c r="P1568" s="165"/>
      <c r="Q1568" s="165"/>
      <c r="R1568" s="3">
        <f>H1568</f>
        <v>11340</v>
      </c>
      <c r="S1568" s="337"/>
      <c r="T1568"/>
      <c r="U1568" s="3"/>
    </row>
    <row r="1569" spans="1:22">
      <c r="A1569" s="165" t="s">
        <v>10833</v>
      </c>
      <c r="B1569" s="94">
        <v>1481</v>
      </c>
      <c r="C1569" s="165" t="s">
        <v>4555</v>
      </c>
      <c r="D1569" s="165">
        <v>8</v>
      </c>
      <c r="E1569" s="165" t="s">
        <v>15084</v>
      </c>
      <c r="F1569" s="336" t="s">
        <v>15090</v>
      </c>
      <c r="G1569" s="165"/>
      <c r="H1569" s="165">
        <v>11340</v>
      </c>
      <c r="I1569" s="165"/>
      <c r="J1569" s="165"/>
      <c r="K1569" s="165"/>
      <c r="L1569" s="165"/>
      <c r="M1569" s="165">
        <v>11340</v>
      </c>
      <c r="N1569" s="165"/>
      <c r="O1569" s="337">
        <f t="shared" si="78"/>
        <v>11340</v>
      </c>
      <c r="P1569" s="165"/>
      <c r="Q1569" s="165"/>
      <c r="R1569" s="3">
        <f>H1569</f>
        <v>11340</v>
      </c>
      <c r="S1569" s="337"/>
      <c r="T1569"/>
      <c r="U1569" s="3"/>
    </row>
    <row r="1570" spans="1:22">
      <c r="A1570" s="165" t="s">
        <v>10822</v>
      </c>
      <c r="B1570" s="94">
        <v>1482</v>
      </c>
      <c r="C1570" s="165" t="s">
        <v>5208</v>
      </c>
      <c r="D1570" s="165"/>
      <c r="E1570" s="165" t="s">
        <v>10831</v>
      </c>
      <c r="F1570" s="165" t="s">
        <v>5485</v>
      </c>
      <c r="G1570" s="165"/>
      <c r="H1570" s="165">
        <v>165900</v>
      </c>
      <c r="I1570" s="165"/>
      <c r="J1570" s="165"/>
      <c r="K1570" s="165"/>
      <c r="L1570" s="165">
        <v>165900</v>
      </c>
      <c r="M1570" s="165"/>
      <c r="N1570" s="165"/>
      <c r="O1570" s="337">
        <f t="shared" si="78"/>
        <v>0</v>
      </c>
      <c r="P1570" s="165" t="s">
        <v>10822</v>
      </c>
      <c r="Q1570" s="165" t="s">
        <v>5485</v>
      </c>
      <c r="R1570" s="3">
        <f>G1570+H1570+I1570</f>
        <v>165900</v>
      </c>
      <c r="S1570" s="337">
        <v>165900</v>
      </c>
      <c r="T1570"/>
      <c r="U1570" s="3"/>
      <c r="V1570" t="s">
        <v>10832</v>
      </c>
    </row>
    <row r="1571" spans="1:22">
      <c r="A1571" s="165" t="s">
        <v>10841</v>
      </c>
      <c r="B1571" s="94">
        <v>1483</v>
      </c>
      <c r="C1571" s="165" t="s">
        <v>10842</v>
      </c>
      <c r="D1571" s="165"/>
      <c r="E1571" s="165" t="s">
        <v>10843</v>
      </c>
      <c r="F1571" s="165" t="s">
        <v>8879</v>
      </c>
      <c r="G1571" s="165"/>
      <c r="H1571" s="165">
        <v>6300</v>
      </c>
      <c r="I1571" s="165"/>
      <c r="J1571" s="165"/>
      <c r="K1571" s="165"/>
      <c r="L1571" s="165">
        <v>6300</v>
      </c>
      <c r="M1571" s="165"/>
      <c r="N1571" s="165"/>
      <c r="O1571" s="337">
        <f t="shared" si="78"/>
        <v>0</v>
      </c>
      <c r="P1571" s="165" t="s">
        <v>10844</v>
      </c>
      <c r="Q1571" s="165" t="s">
        <v>8915</v>
      </c>
      <c r="R1571" s="3">
        <f>G1571+H1571+I1571</f>
        <v>6300</v>
      </c>
      <c r="S1571" s="337">
        <v>6300</v>
      </c>
      <c r="T1571"/>
      <c r="U1571" s="3"/>
      <c r="V1571" t="s">
        <v>10845</v>
      </c>
    </row>
    <row r="1572" spans="1:22">
      <c r="A1572" s="165" t="s">
        <v>10841</v>
      </c>
      <c r="B1572" s="94">
        <v>1484</v>
      </c>
      <c r="C1572" s="165" t="s">
        <v>10846</v>
      </c>
      <c r="D1572" s="165">
        <v>1</v>
      </c>
      <c r="E1572" s="165" t="s">
        <v>10847</v>
      </c>
      <c r="F1572" s="165" t="s">
        <v>10848</v>
      </c>
      <c r="G1572" s="165"/>
      <c r="H1572" s="165">
        <v>20475</v>
      </c>
      <c r="I1572" s="165"/>
      <c r="J1572" s="165"/>
      <c r="K1572" s="165"/>
      <c r="L1572" s="165">
        <v>20475</v>
      </c>
      <c r="M1572" s="165"/>
      <c r="N1572" s="165"/>
      <c r="O1572" s="337">
        <f t="shared" si="78"/>
        <v>0</v>
      </c>
      <c r="P1572" s="165" t="s">
        <v>8915</v>
      </c>
      <c r="Q1572" s="165" t="s">
        <v>8915</v>
      </c>
      <c r="R1572" s="3">
        <f t="shared" ref="R1572:R1583" si="80">H1572</f>
        <v>20475</v>
      </c>
      <c r="S1572" s="337">
        <v>20475</v>
      </c>
      <c r="T1572"/>
      <c r="U1572" s="3"/>
    </row>
    <row r="1573" spans="1:22">
      <c r="A1573" s="165" t="s">
        <v>10841</v>
      </c>
      <c r="B1573" s="94">
        <v>1485</v>
      </c>
      <c r="C1573" s="165" t="s">
        <v>10846</v>
      </c>
      <c r="D1573" s="165">
        <v>2</v>
      </c>
      <c r="E1573" s="165" t="s">
        <v>10849</v>
      </c>
      <c r="F1573" s="165" t="s">
        <v>10852</v>
      </c>
      <c r="G1573" s="165"/>
      <c r="H1573" s="165">
        <v>20475</v>
      </c>
      <c r="I1573" s="165"/>
      <c r="J1573" s="165"/>
      <c r="K1573" s="165"/>
      <c r="L1573" s="165">
        <v>20475</v>
      </c>
      <c r="M1573" s="165"/>
      <c r="N1573" s="165"/>
      <c r="O1573" s="337">
        <f t="shared" si="78"/>
        <v>0</v>
      </c>
      <c r="P1573" s="165" t="s">
        <v>10871</v>
      </c>
      <c r="Q1573" s="165" t="s">
        <v>10872</v>
      </c>
      <c r="R1573" s="3">
        <f t="shared" si="80"/>
        <v>20475</v>
      </c>
      <c r="S1573" s="337">
        <v>20475</v>
      </c>
      <c r="T1573"/>
      <c r="U1573" s="3"/>
    </row>
    <row r="1574" spans="1:22">
      <c r="A1574" s="165" t="s">
        <v>10841</v>
      </c>
      <c r="B1574" s="94">
        <v>1486</v>
      </c>
      <c r="C1574" s="165" t="s">
        <v>10846</v>
      </c>
      <c r="D1574" s="165">
        <v>3</v>
      </c>
      <c r="E1574" s="165" t="s">
        <v>10850</v>
      </c>
      <c r="F1574" s="165" t="s">
        <v>10853</v>
      </c>
      <c r="G1574" s="165"/>
      <c r="H1574" s="165">
        <v>20475</v>
      </c>
      <c r="I1574" s="165"/>
      <c r="J1574" s="165"/>
      <c r="K1574" s="165"/>
      <c r="L1574" s="165">
        <v>20475</v>
      </c>
      <c r="M1574" s="165"/>
      <c r="N1574" s="165"/>
      <c r="O1574" s="337">
        <f t="shared" si="78"/>
        <v>0</v>
      </c>
      <c r="P1574" s="165" t="s">
        <v>10960</v>
      </c>
      <c r="Q1574" s="165" t="s">
        <v>10853</v>
      </c>
      <c r="R1574" s="3">
        <f t="shared" si="80"/>
        <v>20475</v>
      </c>
      <c r="S1574" s="337">
        <v>20475</v>
      </c>
      <c r="T1574"/>
      <c r="U1574" s="3"/>
    </row>
    <row r="1575" spans="1:22">
      <c r="A1575" s="165" t="s">
        <v>10841</v>
      </c>
      <c r="B1575" s="94">
        <v>1487</v>
      </c>
      <c r="C1575" s="165" t="s">
        <v>10846</v>
      </c>
      <c r="D1575" s="165">
        <v>4</v>
      </c>
      <c r="E1575" s="165" t="s">
        <v>10851</v>
      </c>
      <c r="F1575" s="165" t="s">
        <v>10854</v>
      </c>
      <c r="G1575" s="165"/>
      <c r="H1575" s="165">
        <v>20475</v>
      </c>
      <c r="I1575" s="165"/>
      <c r="J1575" s="165"/>
      <c r="K1575" s="165"/>
      <c r="L1575" s="165">
        <v>20475</v>
      </c>
      <c r="M1575" s="165"/>
      <c r="N1575" s="165"/>
      <c r="O1575" s="337">
        <f t="shared" si="78"/>
        <v>0</v>
      </c>
      <c r="P1575" s="165" t="s">
        <v>11053</v>
      </c>
      <c r="Q1575" s="165" t="s">
        <v>11062</v>
      </c>
      <c r="R1575" s="3">
        <f t="shared" si="80"/>
        <v>20475</v>
      </c>
      <c r="S1575" s="337">
        <v>20475</v>
      </c>
      <c r="T1575"/>
      <c r="U1575" s="3"/>
    </row>
    <row r="1576" spans="1:22">
      <c r="A1576" s="165" t="s">
        <v>9700</v>
      </c>
      <c r="B1576" s="94">
        <v>1488</v>
      </c>
      <c r="C1576" s="165" t="s">
        <v>10876</v>
      </c>
      <c r="D1576" s="165">
        <v>1</v>
      </c>
      <c r="E1576" s="165" t="s">
        <v>10877</v>
      </c>
      <c r="F1576" s="165" t="s">
        <v>9661</v>
      </c>
      <c r="G1576" s="165"/>
      <c r="H1576" s="165">
        <v>12600</v>
      </c>
      <c r="I1576" s="165"/>
      <c r="J1576" s="165"/>
      <c r="K1576" s="165"/>
      <c r="L1576" s="165">
        <v>12600</v>
      </c>
      <c r="M1576" s="165"/>
      <c r="N1576" s="165"/>
      <c r="O1576" s="337">
        <f t="shared" si="78"/>
        <v>0</v>
      </c>
      <c r="P1576" s="165" t="s">
        <v>8973</v>
      </c>
      <c r="Q1576" s="165" t="s">
        <v>9661</v>
      </c>
      <c r="R1576" s="3">
        <f t="shared" si="80"/>
        <v>12600</v>
      </c>
      <c r="S1576" s="337">
        <v>12600</v>
      </c>
      <c r="T1576"/>
      <c r="U1576" s="3"/>
    </row>
    <row r="1577" spans="1:22">
      <c r="A1577" s="165" t="s">
        <v>9700</v>
      </c>
      <c r="B1577" s="94">
        <v>1489</v>
      </c>
      <c r="C1577" s="165" t="s">
        <v>10876</v>
      </c>
      <c r="D1577" s="165">
        <v>2</v>
      </c>
      <c r="E1577" s="165" t="s">
        <v>10878</v>
      </c>
      <c r="F1577" s="165" t="s">
        <v>10885</v>
      </c>
      <c r="G1577" s="165"/>
      <c r="H1577" s="165">
        <v>12600</v>
      </c>
      <c r="I1577" s="165"/>
      <c r="J1577" s="165"/>
      <c r="K1577" s="165"/>
      <c r="L1577" s="165">
        <v>12600</v>
      </c>
      <c r="M1577" s="165"/>
      <c r="N1577" s="165"/>
      <c r="O1577" s="337">
        <f t="shared" si="78"/>
        <v>0</v>
      </c>
      <c r="P1577" s="165" t="s">
        <v>10960</v>
      </c>
      <c r="Q1577" s="165" t="s">
        <v>10885</v>
      </c>
      <c r="R1577" s="3">
        <f t="shared" si="80"/>
        <v>12600</v>
      </c>
      <c r="S1577" s="337">
        <v>12600</v>
      </c>
      <c r="T1577"/>
      <c r="U1577" s="3"/>
    </row>
    <row r="1578" spans="1:22">
      <c r="A1578" s="165" t="s">
        <v>9700</v>
      </c>
      <c r="B1578" s="94">
        <v>1490</v>
      </c>
      <c r="C1578" s="165" t="s">
        <v>10876</v>
      </c>
      <c r="D1578" s="165">
        <v>3</v>
      </c>
      <c r="E1578" s="165" t="s">
        <v>10879</v>
      </c>
      <c r="F1578" s="165" t="s">
        <v>10886</v>
      </c>
      <c r="G1578" s="165"/>
      <c r="H1578" s="165">
        <v>12600</v>
      </c>
      <c r="I1578" s="165"/>
      <c r="J1578" s="165"/>
      <c r="K1578" s="165"/>
      <c r="L1578" s="165">
        <v>12600</v>
      </c>
      <c r="M1578" s="165"/>
      <c r="N1578" s="165"/>
      <c r="O1578" s="337">
        <f t="shared" si="78"/>
        <v>0</v>
      </c>
      <c r="P1578" s="165" t="s">
        <v>11068</v>
      </c>
      <c r="Q1578" s="165" t="s">
        <v>10886</v>
      </c>
      <c r="R1578" s="3">
        <f t="shared" si="80"/>
        <v>12600</v>
      </c>
      <c r="S1578" s="337">
        <v>12600</v>
      </c>
      <c r="T1578"/>
      <c r="U1578" s="3"/>
    </row>
    <row r="1579" spans="1:22">
      <c r="A1579" s="165" t="s">
        <v>9700</v>
      </c>
      <c r="B1579" s="94">
        <v>1491</v>
      </c>
      <c r="C1579" s="165" t="s">
        <v>10876</v>
      </c>
      <c r="D1579" s="165">
        <v>4</v>
      </c>
      <c r="E1579" s="165" t="s">
        <v>10880</v>
      </c>
      <c r="F1579" s="165" t="s">
        <v>10887</v>
      </c>
      <c r="G1579" s="165"/>
      <c r="H1579" s="165">
        <v>12600</v>
      </c>
      <c r="I1579" s="165"/>
      <c r="J1579" s="165"/>
      <c r="K1579" s="165"/>
      <c r="L1579" s="165"/>
      <c r="M1579" s="165">
        <v>12600</v>
      </c>
      <c r="N1579" s="165"/>
      <c r="O1579" s="337">
        <f t="shared" si="78"/>
        <v>12600</v>
      </c>
      <c r="P1579" s="165"/>
      <c r="Q1579" s="165"/>
      <c r="R1579" s="3">
        <f t="shared" si="80"/>
        <v>12600</v>
      </c>
      <c r="S1579" s="337"/>
      <c r="T1579"/>
      <c r="U1579" s="3"/>
    </row>
    <row r="1580" spans="1:22">
      <c r="A1580" s="165" t="s">
        <v>9700</v>
      </c>
      <c r="B1580" s="94">
        <v>1492</v>
      </c>
      <c r="C1580" s="165" t="s">
        <v>10876</v>
      </c>
      <c r="D1580" s="165">
        <v>5</v>
      </c>
      <c r="E1580" s="165" t="s">
        <v>10881</v>
      </c>
      <c r="F1580" s="165" t="s">
        <v>10888</v>
      </c>
      <c r="G1580" s="165"/>
      <c r="H1580" s="165">
        <v>12600</v>
      </c>
      <c r="I1580" s="165"/>
      <c r="J1580" s="165"/>
      <c r="K1580" s="165"/>
      <c r="L1580" s="165"/>
      <c r="M1580" s="165">
        <v>12600</v>
      </c>
      <c r="N1580" s="165"/>
      <c r="O1580" s="337">
        <f t="shared" si="78"/>
        <v>12600</v>
      </c>
      <c r="P1580" s="165"/>
      <c r="Q1580" s="165"/>
      <c r="R1580" s="3">
        <f t="shared" si="80"/>
        <v>12600</v>
      </c>
      <c r="S1580" s="337"/>
      <c r="T1580"/>
      <c r="U1580" s="3"/>
    </row>
    <row r="1581" spans="1:22">
      <c r="A1581" s="165" t="s">
        <v>9700</v>
      </c>
      <c r="B1581" s="94">
        <v>1493</v>
      </c>
      <c r="C1581" s="165" t="s">
        <v>10876</v>
      </c>
      <c r="D1581" s="165">
        <v>6</v>
      </c>
      <c r="E1581" s="165" t="s">
        <v>10882</v>
      </c>
      <c r="F1581" s="165" t="s">
        <v>10889</v>
      </c>
      <c r="G1581" s="165"/>
      <c r="H1581" s="165">
        <v>12600</v>
      </c>
      <c r="I1581" s="165"/>
      <c r="J1581" s="165"/>
      <c r="K1581" s="165"/>
      <c r="L1581" s="165"/>
      <c r="M1581" s="165">
        <v>12600</v>
      </c>
      <c r="N1581" s="165"/>
      <c r="O1581" s="337">
        <f t="shared" si="78"/>
        <v>12600</v>
      </c>
      <c r="P1581" s="165"/>
      <c r="Q1581" s="165"/>
      <c r="R1581" s="3">
        <f t="shared" si="80"/>
        <v>12600</v>
      </c>
      <c r="S1581" s="337"/>
      <c r="T1581"/>
      <c r="U1581" s="3"/>
    </row>
    <row r="1582" spans="1:22">
      <c r="A1582" s="165" t="s">
        <v>9700</v>
      </c>
      <c r="B1582" s="94">
        <v>1494</v>
      </c>
      <c r="C1582" s="165" t="s">
        <v>10876</v>
      </c>
      <c r="D1582" s="165">
        <v>7</v>
      </c>
      <c r="E1582" s="165" t="s">
        <v>10883</v>
      </c>
      <c r="F1582" s="165" t="s">
        <v>10890</v>
      </c>
      <c r="G1582" s="165"/>
      <c r="H1582" s="165">
        <v>12600</v>
      </c>
      <c r="I1582" s="165"/>
      <c r="J1582" s="165"/>
      <c r="K1582" s="165"/>
      <c r="L1582" s="165"/>
      <c r="M1582" s="165">
        <v>12600</v>
      </c>
      <c r="N1582" s="165"/>
      <c r="O1582" s="337">
        <f t="shared" si="78"/>
        <v>12600</v>
      </c>
      <c r="P1582" s="165"/>
      <c r="Q1582" s="165"/>
      <c r="R1582" s="3">
        <f t="shared" si="80"/>
        <v>12600</v>
      </c>
      <c r="S1582" s="337"/>
      <c r="T1582"/>
      <c r="U1582" s="3"/>
    </row>
    <row r="1583" spans="1:22">
      <c r="A1583" s="165" t="s">
        <v>9700</v>
      </c>
      <c r="B1583" s="94">
        <v>1495</v>
      </c>
      <c r="C1583" s="165" t="s">
        <v>10876</v>
      </c>
      <c r="D1583" s="165">
        <v>8</v>
      </c>
      <c r="E1583" s="165" t="s">
        <v>10884</v>
      </c>
      <c r="F1583" s="165" t="s">
        <v>10891</v>
      </c>
      <c r="G1583" s="165"/>
      <c r="H1583" s="165">
        <v>12600</v>
      </c>
      <c r="I1583" s="165"/>
      <c r="J1583" s="165"/>
      <c r="K1583" s="165"/>
      <c r="L1583" s="165"/>
      <c r="M1583" s="165">
        <v>12600</v>
      </c>
      <c r="N1583" s="165"/>
      <c r="O1583" s="337">
        <f t="shared" si="78"/>
        <v>12600</v>
      </c>
      <c r="P1583" s="165"/>
      <c r="Q1583" s="165"/>
      <c r="R1583" s="3">
        <f t="shared" si="80"/>
        <v>12600</v>
      </c>
      <c r="S1583" s="337"/>
      <c r="T1583"/>
      <c r="U1583" s="3"/>
    </row>
    <row r="1584" spans="1:22">
      <c r="A1584" s="165" t="s">
        <v>10911</v>
      </c>
      <c r="B1584" s="94">
        <v>1496</v>
      </c>
      <c r="C1584" s="165" t="s">
        <v>4038</v>
      </c>
      <c r="D1584" s="165">
        <v>1</v>
      </c>
      <c r="E1584" s="165" t="s">
        <v>10912</v>
      </c>
      <c r="F1584" s="165" t="s">
        <v>5530</v>
      </c>
      <c r="G1584" s="165"/>
      <c r="H1584" s="165">
        <v>14175</v>
      </c>
      <c r="I1584" s="165"/>
      <c r="J1584" s="165"/>
      <c r="K1584" s="165"/>
      <c r="L1584" s="165">
        <v>14175</v>
      </c>
      <c r="M1584" s="165"/>
      <c r="N1584" s="165"/>
      <c r="O1584" s="337">
        <f t="shared" si="78"/>
        <v>0</v>
      </c>
      <c r="P1584" s="165" t="s">
        <v>9702</v>
      </c>
      <c r="Q1584" s="165" t="s">
        <v>9702</v>
      </c>
      <c r="R1584" s="3">
        <f t="shared" ref="R1584:R1591" si="81">H1584</f>
        <v>14175</v>
      </c>
      <c r="S1584" s="337">
        <v>14175</v>
      </c>
      <c r="T1584"/>
      <c r="U1584" s="3"/>
    </row>
    <row r="1585" spans="1:21">
      <c r="A1585" s="165" t="s">
        <v>10911</v>
      </c>
      <c r="B1585" s="94">
        <v>1497</v>
      </c>
      <c r="C1585" s="165" t="s">
        <v>4038</v>
      </c>
      <c r="D1585" s="165">
        <v>2</v>
      </c>
      <c r="E1585" s="165" t="s">
        <v>10913</v>
      </c>
      <c r="F1585" s="165" t="s">
        <v>5563</v>
      </c>
      <c r="G1585" s="165"/>
      <c r="H1585" s="165">
        <v>14175</v>
      </c>
      <c r="I1585" s="165"/>
      <c r="J1585" s="165"/>
      <c r="K1585" s="165"/>
      <c r="L1585" s="165">
        <v>14175</v>
      </c>
      <c r="M1585" s="165"/>
      <c r="N1585" s="165"/>
      <c r="O1585" s="337">
        <f t="shared" si="78"/>
        <v>0</v>
      </c>
      <c r="P1585" s="165" t="s">
        <v>10970</v>
      </c>
      <c r="Q1585" s="165" t="s">
        <v>5563</v>
      </c>
      <c r="R1585" s="3">
        <f t="shared" si="81"/>
        <v>14175</v>
      </c>
      <c r="S1585" s="337">
        <v>14175</v>
      </c>
      <c r="T1585"/>
      <c r="U1585" s="3"/>
    </row>
    <row r="1586" spans="1:21">
      <c r="A1586" s="165" t="s">
        <v>10911</v>
      </c>
      <c r="B1586" s="94">
        <v>1498</v>
      </c>
      <c r="C1586" s="165" t="s">
        <v>4038</v>
      </c>
      <c r="D1586" s="165">
        <v>3</v>
      </c>
      <c r="E1586" s="165" t="s">
        <v>10914</v>
      </c>
      <c r="F1586" s="165" t="s">
        <v>10905</v>
      </c>
      <c r="G1586" s="165"/>
      <c r="H1586" s="165">
        <v>14175</v>
      </c>
      <c r="I1586" s="165"/>
      <c r="J1586" s="165"/>
      <c r="K1586" s="165"/>
      <c r="L1586" s="165">
        <v>14175</v>
      </c>
      <c r="M1586" s="165"/>
      <c r="N1586" s="165"/>
      <c r="O1586" s="337">
        <f t="shared" si="78"/>
        <v>0</v>
      </c>
      <c r="P1586" s="165" t="s">
        <v>11053</v>
      </c>
      <c r="Q1586" s="165" t="s">
        <v>11067</v>
      </c>
      <c r="R1586" s="3">
        <f t="shared" si="81"/>
        <v>14175</v>
      </c>
      <c r="S1586" s="337">
        <v>14175</v>
      </c>
      <c r="T1586"/>
      <c r="U1586" s="3"/>
    </row>
    <row r="1587" spans="1:21">
      <c r="A1587" s="165" t="s">
        <v>10911</v>
      </c>
      <c r="B1587" s="94">
        <v>1499</v>
      </c>
      <c r="C1587" s="165" t="s">
        <v>4038</v>
      </c>
      <c r="D1587" s="165">
        <v>4</v>
      </c>
      <c r="E1587" s="165" t="s">
        <v>10915</v>
      </c>
      <c r="F1587" s="165" t="s">
        <v>10906</v>
      </c>
      <c r="G1587" s="165"/>
      <c r="H1587" s="165">
        <v>14175</v>
      </c>
      <c r="I1587" s="165"/>
      <c r="J1587" s="165"/>
      <c r="K1587" s="165"/>
      <c r="L1587" s="165"/>
      <c r="M1587" s="165">
        <v>14175</v>
      </c>
      <c r="N1587" s="165"/>
      <c r="O1587" s="337">
        <f t="shared" si="78"/>
        <v>14175</v>
      </c>
      <c r="P1587" s="165"/>
      <c r="Q1587" s="165"/>
      <c r="R1587" s="3">
        <f t="shared" si="81"/>
        <v>14175</v>
      </c>
      <c r="S1587" s="337"/>
      <c r="T1587"/>
      <c r="U1587" s="3"/>
    </row>
    <row r="1588" spans="1:21">
      <c r="A1588" s="165" t="s">
        <v>10911</v>
      </c>
      <c r="B1588" s="94">
        <v>1500</v>
      </c>
      <c r="C1588" s="165" t="s">
        <v>4038</v>
      </c>
      <c r="D1588" s="165">
        <v>5</v>
      </c>
      <c r="E1588" s="165" t="s">
        <v>10916</v>
      </c>
      <c r="F1588" s="165" t="s">
        <v>10907</v>
      </c>
      <c r="G1588" s="165"/>
      <c r="H1588" s="165">
        <v>14175</v>
      </c>
      <c r="I1588" s="165"/>
      <c r="J1588" s="165"/>
      <c r="K1588" s="165"/>
      <c r="L1588" s="165"/>
      <c r="M1588" s="165">
        <v>14175</v>
      </c>
      <c r="N1588" s="165"/>
      <c r="O1588" s="337">
        <f t="shared" si="78"/>
        <v>14175</v>
      </c>
      <c r="P1588" s="165"/>
      <c r="Q1588" s="165"/>
      <c r="R1588" s="3">
        <f t="shared" si="81"/>
        <v>14175</v>
      </c>
      <c r="S1588" s="337"/>
      <c r="T1588"/>
      <c r="U1588" s="3"/>
    </row>
    <row r="1589" spans="1:21">
      <c r="A1589" s="165" t="s">
        <v>10911</v>
      </c>
      <c r="B1589" s="94">
        <v>1501</v>
      </c>
      <c r="C1589" s="165" t="s">
        <v>4038</v>
      </c>
      <c r="D1589" s="165">
        <v>6</v>
      </c>
      <c r="E1589" s="165" t="s">
        <v>10917</v>
      </c>
      <c r="F1589" s="165" t="s">
        <v>10908</v>
      </c>
      <c r="G1589" s="165"/>
      <c r="H1589" s="165">
        <v>14175</v>
      </c>
      <c r="I1589" s="165"/>
      <c r="J1589" s="165"/>
      <c r="K1589" s="165"/>
      <c r="L1589" s="165"/>
      <c r="M1589" s="165">
        <v>14175</v>
      </c>
      <c r="N1589" s="165"/>
      <c r="O1589" s="337">
        <f t="shared" si="78"/>
        <v>14175</v>
      </c>
      <c r="P1589" s="165"/>
      <c r="Q1589" s="165"/>
      <c r="R1589" s="3">
        <f t="shared" si="81"/>
        <v>14175</v>
      </c>
      <c r="S1589" s="337"/>
      <c r="T1589"/>
      <c r="U1589" s="3"/>
    </row>
    <row r="1590" spans="1:21">
      <c r="A1590" s="165" t="s">
        <v>10911</v>
      </c>
      <c r="B1590" s="94">
        <v>1502</v>
      </c>
      <c r="C1590" s="165" t="s">
        <v>4038</v>
      </c>
      <c r="D1590" s="165">
        <v>7</v>
      </c>
      <c r="E1590" s="165" t="s">
        <v>10918</v>
      </c>
      <c r="F1590" s="165" t="s">
        <v>10909</v>
      </c>
      <c r="G1590" s="165"/>
      <c r="H1590" s="165">
        <v>14175</v>
      </c>
      <c r="I1590" s="165"/>
      <c r="J1590" s="165"/>
      <c r="K1590" s="165"/>
      <c r="L1590" s="165"/>
      <c r="M1590" s="165">
        <v>14175</v>
      </c>
      <c r="N1590" s="165"/>
      <c r="O1590" s="337">
        <f t="shared" si="78"/>
        <v>14175</v>
      </c>
      <c r="P1590" s="165"/>
      <c r="Q1590" s="165"/>
      <c r="R1590" s="3">
        <f t="shared" si="81"/>
        <v>14175</v>
      </c>
      <c r="S1590" s="337"/>
      <c r="T1590"/>
      <c r="U1590" s="3"/>
    </row>
    <row r="1591" spans="1:21">
      <c r="A1591" s="165" t="s">
        <v>10911</v>
      </c>
      <c r="B1591" s="94">
        <v>1503</v>
      </c>
      <c r="C1591" s="165" t="s">
        <v>4038</v>
      </c>
      <c r="D1591" s="165">
        <v>8</v>
      </c>
      <c r="E1591" s="165" t="s">
        <v>10919</v>
      </c>
      <c r="F1591" s="165" t="s">
        <v>10910</v>
      </c>
      <c r="G1591" s="165"/>
      <c r="H1591" s="165">
        <v>14175</v>
      </c>
      <c r="I1591" s="165"/>
      <c r="J1591" s="165"/>
      <c r="K1591" s="165"/>
      <c r="L1591" s="165"/>
      <c r="M1591" s="165">
        <v>14175</v>
      </c>
      <c r="N1591" s="165"/>
      <c r="O1591" s="337">
        <f t="shared" si="78"/>
        <v>14175</v>
      </c>
      <c r="P1591" s="165"/>
      <c r="Q1591" s="165"/>
      <c r="R1591" s="3">
        <f t="shared" si="81"/>
        <v>14175</v>
      </c>
      <c r="S1591" s="337"/>
      <c r="T1591"/>
      <c r="U1591" s="3"/>
    </row>
    <row r="1592" spans="1:21">
      <c r="A1592" s="165" t="s">
        <v>5562</v>
      </c>
      <c r="B1592" s="94">
        <v>1504</v>
      </c>
      <c r="C1592" s="165" t="s">
        <v>5189</v>
      </c>
      <c r="D1592" s="165">
        <v>1</v>
      </c>
      <c r="E1592" s="165" t="s">
        <v>10895</v>
      </c>
      <c r="F1592" s="165" t="s">
        <v>5530</v>
      </c>
      <c r="G1592" s="165"/>
      <c r="H1592" s="165">
        <v>13500</v>
      </c>
      <c r="I1592" s="165"/>
      <c r="J1592" s="165"/>
      <c r="K1592" s="165"/>
      <c r="L1592" s="165">
        <v>13500</v>
      </c>
      <c r="M1592" s="165"/>
      <c r="N1592" s="165"/>
      <c r="O1592" s="337">
        <f t="shared" si="78"/>
        <v>0</v>
      </c>
      <c r="P1592" s="165" t="s">
        <v>10896</v>
      </c>
      <c r="Q1592" s="165" t="s">
        <v>10897</v>
      </c>
      <c r="R1592" s="3">
        <f t="shared" ref="R1592:R1599" si="82">H1592</f>
        <v>13500</v>
      </c>
      <c r="S1592" s="337">
        <v>13500</v>
      </c>
      <c r="T1592"/>
      <c r="U1592" s="3"/>
    </row>
    <row r="1593" spans="1:21">
      <c r="A1593" s="165" t="s">
        <v>5562</v>
      </c>
      <c r="B1593" s="94">
        <v>1505</v>
      </c>
      <c r="C1593" s="165" t="s">
        <v>5189</v>
      </c>
      <c r="D1593" s="165">
        <v>2</v>
      </c>
      <c r="E1593" s="165" t="s">
        <v>10898</v>
      </c>
      <c r="F1593" s="165" t="s">
        <v>5563</v>
      </c>
      <c r="G1593" s="165"/>
      <c r="H1593" s="165">
        <v>13500</v>
      </c>
      <c r="I1593" s="165"/>
      <c r="J1593" s="165"/>
      <c r="K1593" s="165"/>
      <c r="L1593" s="165">
        <v>13500</v>
      </c>
      <c r="M1593" s="165"/>
      <c r="N1593" s="165"/>
      <c r="O1593" s="337">
        <f t="shared" si="78"/>
        <v>0</v>
      </c>
      <c r="P1593" s="165" t="s">
        <v>10971</v>
      </c>
      <c r="Q1593" s="165" t="s">
        <v>10972</v>
      </c>
      <c r="R1593" s="3">
        <f t="shared" si="82"/>
        <v>13500</v>
      </c>
      <c r="S1593" s="337">
        <v>13500</v>
      </c>
      <c r="T1593"/>
      <c r="U1593" s="3"/>
    </row>
    <row r="1594" spans="1:21">
      <c r="A1594" s="165" t="s">
        <v>5562</v>
      </c>
      <c r="B1594" s="94">
        <v>1506</v>
      </c>
      <c r="C1594" s="165" t="s">
        <v>5189</v>
      </c>
      <c r="D1594" s="165">
        <v>3</v>
      </c>
      <c r="E1594" s="165" t="s">
        <v>10899</v>
      </c>
      <c r="F1594" s="165" t="s">
        <v>10905</v>
      </c>
      <c r="G1594" s="165"/>
      <c r="H1594" s="165">
        <v>13500</v>
      </c>
      <c r="I1594" s="165"/>
      <c r="J1594" s="165"/>
      <c r="K1594" s="165"/>
      <c r="L1594" s="165">
        <v>13500</v>
      </c>
      <c r="M1594" s="165"/>
      <c r="N1594" s="165"/>
      <c r="O1594" s="337">
        <f t="shared" si="78"/>
        <v>0</v>
      </c>
      <c r="P1594" s="165" t="s">
        <v>11063</v>
      </c>
      <c r="Q1594" s="165" t="s">
        <v>11067</v>
      </c>
      <c r="R1594" s="3">
        <f t="shared" si="82"/>
        <v>13500</v>
      </c>
      <c r="S1594" s="337">
        <v>13500</v>
      </c>
      <c r="T1594"/>
      <c r="U1594" s="3"/>
    </row>
    <row r="1595" spans="1:21">
      <c r="A1595" s="165" t="s">
        <v>5562</v>
      </c>
      <c r="B1595" s="94">
        <v>1507</v>
      </c>
      <c r="C1595" s="165" t="s">
        <v>5189</v>
      </c>
      <c r="D1595" s="165">
        <v>4</v>
      </c>
      <c r="E1595" s="165" t="s">
        <v>10900</v>
      </c>
      <c r="F1595" s="165" t="s">
        <v>10906</v>
      </c>
      <c r="G1595" s="165"/>
      <c r="H1595" s="165">
        <v>13500</v>
      </c>
      <c r="I1595" s="165"/>
      <c r="J1595" s="165"/>
      <c r="K1595" s="165"/>
      <c r="L1595" s="165"/>
      <c r="M1595" s="165">
        <v>13500</v>
      </c>
      <c r="N1595" s="165"/>
      <c r="O1595" s="337">
        <f t="shared" si="78"/>
        <v>13500</v>
      </c>
      <c r="P1595" s="165"/>
      <c r="Q1595" s="165"/>
      <c r="R1595" s="3">
        <f t="shared" si="82"/>
        <v>13500</v>
      </c>
      <c r="S1595" s="337"/>
      <c r="T1595"/>
      <c r="U1595" s="3"/>
    </row>
    <row r="1596" spans="1:21">
      <c r="A1596" s="165" t="s">
        <v>5562</v>
      </c>
      <c r="B1596" s="94">
        <v>1508</v>
      </c>
      <c r="C1596" s="165" t="s">
        <v>5189</v>
      </c>
      <c r="D1596" s="165">
        <v>5</v>
      </c>
      <c r="E1596" s="165" t="s">
        <v>10901</v>
      </c>
      <c r="F1596" s="165" t="s">
        <v>10907</v>
      </c>
      <c r="G1596" s="165"/>
      <c r="H1596" s="165">
        <v>13500</v>
      </c>
      <c r="I1596" s="165"/>
      <c r="J1596" s="165"/>
      <c r="K1596" s="165"/>
      <c r="L1596" s="165"/>
      <c r="M1596" s="165">
        <v>13500</v>
      </c>
      <c r="N1596" s="165"/>
      <c r="O1596" s="337">
        <f t="shared" si="78"/>
        <v>13500</v>
      </c>
      <c r="P1596" s="165"/>
      <c r="Q1596" s="165"/>
      <c r="R1596" s="3">
        <f t="shared" si="82"/>
        <v>13500</v>
      </c>
      <c r="S1596" s="337"/>
      <c r="T1596"/>
      <c r="U1596" s="3"/>
    </row>
    <row r="1597" spans="1:21">
      <c r="A1597" s="165" t="s">
        <v>5562</v>
      </c>
      <c r="B1597" s="94">
        <v>1509</v>
      </c>
      <c r="C1597" s="165" t="s">
        <v>5189</v>
      </c>
      <c r="D1597" s="165">
        <v>6</v>
      </c>
      <c r="E1597" s="165" t="s">
        <v>10902</v>
      </c>
      <c r="F1597" s="165" t="s">
        <v>10908</v>
      </c>
      <c r="G1597" s="165"/>
      <c r="H1597" s="165">
        <v>13500</v>
      </c>
      <c r="I1597" s="165"/>
      <c r="J1597" s="165"/>
      <c r="K1597" s="165"/>
      <c r="L1597" s="165"/>
      <c r="M1597" s="165">
        <v>13500</v>
      </c>
      <c r="N1597" s="165"/>
      <c r="O1597" s="337">
        <f t="shared" si="78"/>
        <v>13500</v>
      </c>
      <c r="P1597" s="165"/>
      <c r="Q1597" s="165"/>
      <c r="R1597" s="3">
        <f t="shared" si="82"/>
        <v>13500</v>
      </c>
      <c r="S1597" s="337"/>
      <c r="T1597"/>
      <c r="U1597" s="3"/>
    </row>
    <row r="1598" spans="1:21">
      <c r="A1598" s="165" t="s">
        <v>5562</v>
      </c>
      <c r="B1598" s="94">
        <v>1510</v>
      </c>
      <c r="C1598" s="165" t="s">
        <v>5189</v>
      </c>
      <c r="D1598" s="165">
        <v>7</v>
      </c>
      <c r="E1598" s="165" t="s">
        <v>10903</v>
      </c>
      <c r="F1598" s="165" t="s">
        <v>10909</v>
      </c>
      <c r="G1598" s="165"/>
      <c r="H1598" s="165">
        <v>13500</v>
      </c>
      <c r="I1598" s="165"/>
      <c r="J1598" s="165"/>
      <c r="K1598" s="165"/>
      <c r="L1598" s="165"/>
      <c r="M1598" s="165">
        <v>13500</v>
      </c>
      <c r="N1598" s="165"/>
      <c r="O1598" s="337">
        <f t="shared" si="78"/>
        <v>13500</v>
      </c>
      <c r="P1598" s="165"/>
      <c r="Q1598" s="165"/>
      <c r="R1598" s="3">
        <f t="shared" si="82"/>
        <v>13500</v>
      </c>
      <c r="S1598" s="337"/>
      <c r="T1598"/>
      <c r="U1598" s="3"/>
    </row>
    <row r="1599" spans="1:21">
      <c r="A1599" s="165" t="s">
        <v>5562</v>
      </c>
      <c r="B1599" s="94">
        <v>1511</v>
      </c>
      <c r="C1599" s="165" t="s">
        <v>5189</v>
      </c>
      <c r="D1599" s="165">
        <v>8</v>
      </c>
      <c r="E1599" s="165" t="s">
        <v>10904</v>
      </c>
      <c r="F1599" s="165" t="s">
        <v>10910</v>
      </c>
      <c r="G1599" s="165"/>
      <c r="H1599" s="165">
        <v>13500</v>
      </c>
      <c r="I1599" s="165"/>
      <c r="J1599" s="165"/>
      <c r="K1599" s="165"/>
      <c r="L1599" s="165"/>
      <c r="M1599" s="165">
        <v>13500</v>
      </c>
      <c r="N1599" s="165"/>
      <c r="O1599" s="337">
        <f t="shared" si="78"/>
        <v>13500</v>
      </c>
      <c r="P1599" s="165"/>
      <c r="Q1599" s="165"/>
      <c r="R1599" s="3">
        <f t="shared" si="82"/>
        <v>13500</v>
      </c>
      <c r="S1599" s="337"/>
      <c r="T1599"/>
      <c r="U1599" s="3"/>
    </row>
    <row r="1600" spans="1:21">
      <c r="A1600" s="165" t="s">
        <v>10925</v>
      </c>
      <c r="B1600" s="94">
        <v>1512</v>
      </c>
      <c r="C1600" s="165" t="s">
        <v>10926</v>
      </c>
      <c r="D1600" s="165">
        <v>1</v>
      </c>
      <c r="E1600" s="165" t="s">
        <v>10927</v>
      </c>
      <c r="F1600" s="165" t="s">
        <v>10935</v>
      </c>
      <c r="G1600" s="165"/>
      <c r="H1600" s="165">
        <v>13230</v>
      </c>
      <c r="I1600" s="165"/>
      <c r="J1600" s="165"/>
      <c r="K1600" s="165"/>
      <c r="L1600" s="165">
        <v>13230</v>
      </c>
      <c r="M1600" s="165"/>
      <c r="N1600" s="165"/>
      <c r="O1600" s="337">
        <f t="shared" si="78"/>
        <v>0</v>
      </c>
      <c r="P1600" s="165" t="s">
        <v>10936</v>
      </c>
      <c r="Q1600" s="165" t="s">
        <v>10936</v>
      </c>
      <c r="R1600" s="3">
        <f t="shared" ref="R1600:R1607" si="83">H1600</f>
        <v>13230</v>
      </c>
      <c r="S1600" s="337">
        <v>13230</v>
      </c>
      <c r="T1600"/>
      <c r="U1600" s="3"/>
    </row>
    <row r="1601" spans="1:21">
      <c r="A1601" s="165" t="s">
        <v>10925</v>
      </c>
      <c r="B1601" s="94">
        <v>1513</v>
      </c>
      <c r="C1601" s="165" t="s">
        <v>10926</v>
      </c>
      <c r="D1601" s="165">
        <v>2</v>
      </c>
      <c r="E1601" s="165" t="s">
        <v>10928</v>
      </c>
      <c r="F1601" s="165" t="s">
        <v>10937</v>
      </c>
      <c r="G1601" s="165"/>
      <c r="H1601" s="165">
        <v>13230</v>
      </c>
      <c r="I1601" s="165"/>
      <c r="J1601" s="165"/>
      <c r="K1601" s="165"/>
      <c r="L1601" s="165">
        <v>13230</v>
      </c>
      <c r="M1601" s="165"/>
      <c r="N1601" s="165"/>
      <c r="O1601" s="337">
        <f t="shared" si="78"/>
        <v>0</v>
      </c>
      <c r="P1601" s="165" t="s">
        <v>10984</v>
      </c>
      <c r="Q1601" s="165" t="s">
        <v>10993</v>
      </c>
      <c r="R1601" s="3">
        <f t="shared" si="83"/>
        <v>13230</v>
      </c>
      <c r="S1601" s="337">
        <v>13230</v>
      </c>
      <c r="T1601"/>
      <c r="U1601" s="3"/>
    </row>
    <row r="1602" spans="1:21">
      <c r="A1602" s="165" t="s">
        <v>10925</v>
      </c>
      <c r="B1602" s="94">
        <v>1514</v>
      </c>
      <c r="C1602" s="165" t="s">
        <v>10926</v>
      </c>
      <c r="D1602" s="165">
        <v>3</v>
      </c>
      <c r="E1602" s="165" t="s">
        <v>10929</v>
      </c>
      <c r="F1602" s="165" t="s">
        <v>10939</v>
      </c>
      <c r="G1602" s="165"/>
      <c r="H1602" s="165">
        <v>13230</v>
      </c>
      <c r="I1602" s="165"/>
      <c r="J1602" s="165"/>
      <c r="K1602" s="165"/>
      <c r="L1602" s="165">
        <v>13230</v>
      </c>
      <c r="M1602" s="165"/>
      <c r="N1602" s="165"/>
      <c r="O1602" s="337">
        <f t="shared" si="78"/>
        <v>0</v>
      </c>
      <c r="P1602" s="165" t="s">
        <v>11086</v>
      </c>
      <c r="Q1602" s="165" t="s">
        <v>9937</v>
      </c>
      <c r="R1602" s="3">
        <f t="shared" si="83"/>
        <v>13230</v>
      </c>
      <c r="S1602" s="337">
        <v>13230</v>
      </c>
      <c r="T1602"/>
      <c r="U1602" s="3"/>
    </row>
    <row r="1603" spans="1:21">
      <c r="A1603" s="165" t="s">
        <v>10925</v>
      </c>
      <c r="B1603" s="94">
        <v>1515</v>
      </c>
      <c r="C1603" s="165" t="s">
        <v>10926</v>
      </c>
      <c r="D1603" s="165">
        <v>4</v>
      </c>
      <c r="E1603" s="165" t="s">
        <v>10930</v>
      </c>
      <c r="F1603" s="165" t="s">
        <v>10940</v>
      </c>
      <c r="G1603" s="165"/>
      <c r="H1603" s="165">
        <v>13230</v>
      </c>
      <c r="I1603" s="165"/>
      <c r="J1603" s="165"/>
      <c r="K1603" s="165"/>
      <c r="L1603" s="165"/>
      <c r="M1603" s="165">
        <v>13230</v>
      </c>
      <c r="N1603" s="165"/>
      <c r="O1603" s="337">
        <f t="shared" si="78"/>
        <v>13230</v>
      </c>
      <c r="P1603" s="165"/>
      <c r="Q1603" s="165"/>
      <c r="R1603" s="3">
        <f t="shared" si="83"/>
        <v>13230</v>
      </c>
      <c r="S1603" s="337"/>
      <c r="T1603"/>
      <c r="U1603" s="3"/>
    </row>
    <row r="1604" spans="1:21">
      <c r="A1604" s="165" t="s">
        <v>10925</v>
      </c>
      <c r="B1604" s="94">
        <v>1516</v>
      </c>
      <c r="C1604" s="165" t="s">
        <v>10926</v>
      </c>
      <c r="D1604" s="165">
        <v>5</v>
      </c>
      <c r="E1604" s="165" t="s">
        <v>10931</v>
      </c>
      <c r="F1604" s="165" t="s">
        <v>9928</v>
      </c>
      <c r="G1604" s="165"/>
      <c r="H1604" s="165">
        <v>13230</v>
      </c>
      <c r="I1604" s="165"/>
      <c r="J1604" s="165"/>
      <c r="K1604" s="165"/>
      <c r="L1604" s="165"/>
      <c r="M1604" s="165">
        <v>13230</v>
      </c>
      <c r="N1604" s="165"/>
      <c r="O1604" s="337">
        <f t="shared" si="78"/>
        <v>13230</v>
      </c>
      <c r="P1604" s="165"/>
      <c r="Q1604" s="165"/>
      <c r="R1604" s="3">
        <f t="shared" si="83"/>
        <v>13230</v>
      </c>
      <c r="S1604" s="337"/>
      <c r="T1604"/>
      <c r="U1604" s="3"/>
    </row>
    <row r="1605" spans="1:21">
      <c r="A1605" s="165" t="s">
        <v>10925</v>
      </c>
      <c r="B1605" s="94">
        <v>1517</v>
      </c>
      <c r="C1605" s="165" t="s">
        <v>10926</v>
      </c>
      <c r="D1605" s="165">
        <v>6</v>
      </c>
      <c r="E1605" s="165" t="s">
        <v>10932</v>
      </c>
      <c r="F1605" s="165" t="s">
        <v>10941</v>
      </c>
      <c r="G1605" s="165"/>
      <c r="H1605" s="165">
        <v>13230</v>
      </c>
      <c r="I1605" s="165"/>
      <c r="J1605" s="165"/>
      <c r="K1605" s="165"/>
      <c r="L1605" s="165"/>
      <c r="M1605" s="165">
        <v>13230</v>
      </c>
      <c r="N1605" s="165"/>
      <c r="O1605" s="337">
        <f t="shared" si="78"/>
        <v>13230</v>
      </c>
      <c r="P1605" s="165"/>
      <c r="Q1605" s="165"/>
      <c r="R1605" s="3">
        <f t="shared" si="83"/>
        <v>13230</v>
      </c>
      <c r="S1605" s="337"/>
      <c r="T1605"/>
      <c r="U1605" s="3"/>
    </row>
    <row r="1606" spans="1:21">
      <c r="A1606" s="165" t="s">
        <v>10925</v>
      </c>
      <c r="B1606" s="94">
        <v>1518</v>
      </c>
      <c r="C1606" s="165" t="s">
        <v>10926</v>
      </c>
      <c r="D1606" s="165">
        <v>7</v>
      </c>
      <c r="E1606" s="165" t="s">
        <v>10933</v>
      </c>
      <c r="F1606" s="165" t="s">
        <v>10942</v>
      </c>
      <c r="G1606" s="165"/>
      <c r="H1606" s="165">
        <v>13230</v>
      </c>
      <c r="I1606" s="165"/>
      <c r="J1606" s="165"/>
      <c r="K1606" s="165"/>
      <c r="L1606" s="165"/>
      <c r="M1606" s="165">
        <v>13230</v>
      </c>
      <c r="N1606" s="165"/>
      <c r="O1606" s="337">
        <f t="shared" si="78"/>
        <v>13230</v>
      </c>
      <c r="P1606" s="165"/>
      <c r="Q1606" s="165"/>
      <c r="R1606" s="3">
        <f t="shared" si="83"/>
        <v>13230</v>
      </c>
      <c r="S1606" s="337"/>
      <c r="T1606"/>
      <c r="U1606" s="3"/>
    </row>
    <row r="1607" spans="1:21">
      <c r="A1607" s="165" t="s">
        <v>10925</v>
      </c>
      <c r="B1607" s="94">
        <v>1519</v>
      </c>
      <c r="C1607" s="165" t="s">
        <v>10926</v>
      </c>
      <c r="D1607" s="165">
        <v>8</v>
      </c>
      <c r="E1607" s="165" t="s">
        <v>10934</v>
      </c>
      <c r="F1607" s="165" t="s">
        <v>10943</v>
      </c>
      <c r="G1607" s="165"/>
      <c r="H1607" s="165">
        <v>13230</v>
      </c>
      <c r="I1607" s="165"/>
      <c r="J1607" s="165"/>
      <c r="K1607" s="165"/>
      <c r="L1607" s="165"/>
      <c r="M1607" s="165">
        <v>13230</v>
      </c>
      <c r="N1607" s="165"/>
      <c r="O1607" s="337">
        <f t="shared" si="78"/>
        <v>13230</v>
      </c>
      <c r="P1607" s="165"/>
      <c r="Q1607" s="165"/>
      <c r="R1607" s="3">
        <f t="shared" si="83"/>
        <v>13230</v>
      </c>
      <c r="S1607" s="337"/>
      <c r="T1607"/>
      <c r="U1607" s="3"/>
    </row>
    <row r="1608" spans="1:21">
      <c r="A1608" s="165" t="s">
        <v>9662</v>
      </c>
      <c r="B1608" s="94">
        <v>1520</v>
      </c>
      <c r="C1608" s="165" t="s">
        <v>5208</v>
      </c>
      <c r="D1608" s="165">
        <v>1</v>
      </c>
      <c r="E1608" s="165" t="s">
        <v>10947</v>
      </c>
      <c r="F1608" s="165" t="s">
        <v>10948</v>
      </c>
      <c r="G1608" s="165"/>
      <c r="H1608" s="165">
        <v>20475</v>
      </c>
      <c r="I1608" s="165"/>
      <c r="J1608" s="165"/>
      <c r="K1608" s="165"/>
      <c r="L1608" s="165">
        <v>20475</v>
      </c>
      <c r="M1608" s="165"/>
      <c r="N1608" s="165"/>
      <c r="O1608" s="337">
        <f t="shared" si="78"/>
        <v>0</v>
      </c>
      <c r="P1608" s="165" t="s">
        <v>10936</v>
      </c>
      <c r="Q1608" s="165" t="s">
        <v>10936</v>
      </c>
      <c r="R1608" s="3">
        <f t="shared" ref="R1608:R1616" si="84">H1608</f>
        <v>20475</v>
      </c>
      <c r="S1608" s="337">
        <v>20475</v>
      </c>
      <c r="T1608"/>
      <c r="U1608" s="3"/>
    </row>
    <row r="1609" spans="1:21">
      <c r="A1609" s="165" t="s">
        <v>10951</v>
      </c>
      <c r="B1609" s="94">
        <v>1521</v>
      </c>
      <c r="C1609" s="165" t="s">
        <v>4075</v>
      </c>
      <c r="D1609" s="165">
        <v>1</v>
      </c>
      <c r="E1609" s="165" t="s">
        <v>10952</v>
      </c>
      <c r="F1609" s="165" t="s">
        <v>10960</v>
      </c>
      <c r="G1609" s="165"/>
      <c r="H1609" s="165">
        <v>14175</v>
      </c>
      <c r="I1609" s="165"/>
      <c r="J1609" s="165"/>
      <c r="K1609" s="165"/>
      <c r="L1609" s="165">
        <v>14175</v>
      </c>
      <c r="M1609" s="165"/>
      <c r="N1609" s="165"/>
      <c r="O1609" s="337">
        <f t="shared" si="78"/>
        <v>0</v>
      </c>
      <c r="P1609" s="165" t="s">
        <v>10961</v>
      </c>
      <c r="Q1609" s="165" t="s">
        <v>10960</v>
      </c>
      <c r="R1609" s="3">
        <f t="shared" si="84"/>
        <v>14175</v>
      </c>
      <c r="S1609" s="337">
        <v>14175</v>
      </c>
      <c r="T1609"/>
      <c r="U1609" s="3"/>
    </row>
    <row r="1610" spans="1:21">
      <c r="A1610" s="165" t="s">
        <v>10951</v>
      </c>
      <c r="B1610" s="94">
        <v>1522</v>
      </c>
      <c r="C1610" s="165" t="s">
        <v>4075</v>
      </c>
      <c r="D1610" s="165">
        <v>2</v>
      </c>
      <c r="E1610" s="165" t="s">
        <v>10953</v>
      </c>
      <c r="F1610" s="165" t="s">
        <v>10962</v>
      </c>
      <c r="G1610" s="165"/>
      <c r="H1610" s="165">
        <v>14175</v>
      </c>
      <c r="I1610" s="165"/>
      <c r="J1610" s="165"/>
      <c r="K1610" s="165"/>
      <c r="L1610" s="165">
        <v>14175</v>
      </c>
      <c r="M1610" s="165"/>
      <c r="N1610" s="165"/>
      <c r="O1610" s="337">
        <f t="shared" si="78"/>
        <v>0</v>
      </c>
      <c r="P1610" s="165" t="s">
        <v>11033</v>
      </c>
      <c r="Q1610" s="165" t="s">
        <v>11034</v>
      </c>
      <c r="R1610" s="3">
        <f t="shared" si="84"/>
        <v>14175</v>
      </c>
      <c r="S1610" s="337">
        <v>14175</v>
      </c>
      <c r="T1610"/>
      <c r="U1610" s="3"/>
    </row>
    <row r="1611" spans="1:21">
      <c r="A1611" s="165" t="s">
        <v>10951</v>
      </c>
      <c r="B1611" s="94">
        <v>1523</v>
      </c>
      <c r="C1611" s="165" t="s">
        <v>4075</v>
      </c>
      <c r="D1611" s="165">
        <v>3</v>
      </c>
      <c r="E1611" s="165" t="s">
        <v>10954</v>
      </c>
      <c r="F1611" s="165" t="s">
        <v>10963</v>
      </c>
      <c r="G1611" s="165"/>
      <c r="H1611" s="165">
        <v>14175</v>
      </c>
      <c r="I1611" s="165"/>
      <c r="J1611" s="165"/>
      <c r="K1611" s="165"/>
      <c r="L1611" s="165"/>
      <c r="M1611" s="165">
        <v>14175</v>
      </c>
      <c r="N1611" s="165"/>
      <c r="O1611" s="337">
        <f t="shared" si="78"/>
        <v>14175</v>
      </c>
      <c r="P1611" s="165"/>
      <c r="Q1611" s="165"/>
      <c r="R1611" s="3">
        <f t="shared" si="84"/>
        <v>14175</v>
      </c>
      <c r="S1611" s="337"/>
      <c r="T1611"/>
      <c r="U1611" s="3"/>
    </row>
    <row r="1612" spans="1:21">
      <c r="A1612" s="165" t="s">
        <v>10951</v>
      </c>
      <c r="B1612" s="94">
        <v>1524</v>
      </c>
      <c r="C1612" s="165" t="s">
        <v>4075</v>
      </c>
      <c r="D1612" s="165">
        <v>4</v>
      </c>
      <c r="E1612" s="165" t="s">
        <v>10955</v>
      </c>
      <c r="F1612" s="165" t="s">
        <v>10964</v>
      </c>
      <c r="G1612" s="165"/>
      <c r="H1612" s="165">
        <v>14175</v>
      </c>
      <c r="I1612" s="165"/>
      <c r="J1612" s="165"/>
      <c r="K1612" s="165"/>
      <c r="L1612" s="165"/>
      <c r="M1612" s="165">
        <v>14175</v>
      </c>
      <c r="N1612" s="165"/>
      <c r="O1612" s="337">
        <f t="shared" si="78"/>
        <v>14175</v>
      </c>
      <c r="P1612" s="165"/>
      <c r="Q1612" s="165"/>
      <c r="R1612" s="3">
        <f t="shared" si="84"/>
        <v>14175</v>
      </c>
      <c r="S1612" s="337"/>
      <c r="T1612"/>
      <c r="U1612" s="3"/>
    </row>
    <row r="1613" spans="1:21">
      <c r="A1613" s="165" t="s">
        <v>10951</v>
      </c>
      <c r="B1613" s="94">
        <v>1525</v>
      </c>
      <c r="C1613" s="165" t="s">
        <v>4075</v>
      </c>
      <c r="D1613" s="165">
        <v>5</v>
      </c>
      <c r="E1613" s="165" t="s">
        <v>10956</v>
      </c>
      <c r="F1613" s="165" t="s">
        <v>10965</v>
      </c>
      <c r="G1613" s="165"/>
      <c r="H1613" s="165">
        <v>14175</v>
      </c>
      <c r="I1613" s="165"/>
      <c r="J1613" s="165"/>
      <c r="K1613" s="165"/>
      <c r="L1613" s="165"/>
      <c r="M1613" s="165">
        <v>14175</v>
      </c>
      <c r="N1613" s="165"/>
      <c r="O1613" s="337">
        <f t="shared" si="78"/>
        <v>14175</v>
      </c>
      <c r="P1613" s="165"/>
      <c r="Q1613" s="165"/>
      <c r="R1613" s="3">
        <f t="shared" si="84"/>
        <v>14175</v>
      </c>
      <c r="S1613" s="337"/>
      <c r="T1613"/>
      <c r="U1613" s="3"/>
    </row>
    <row r="1614" spans="1:21">
      <c r="A1614" s="165" t="s">
        <v>10951</v>
      </c>
      <c r="B1614" s="94">
        <v>1526</v>
      </c>
      <c r="C1614" s="165" t="s">
        <v>4075</v>
      </c>
      <c r="D1614" s="165">
        <v>6</v>
      </c>
      <c r="E1614" s="165" t="s">
        <v>10957</v>
      </c>
      <c r="F1614" s="165" t="s">
        <v>10966</v>
      </c>
      <c r="G1614" s="165"/>
      <c r="H1614" s="165">
        <v>14175</v>
      </c>
      <c r="I1614" s="165"/>
      <c r="J1614" s="165"/>
      <c r="K1614" s="165"/>
      <c r="L1614" s="165"/>
      <c r="M1614" s="165">
        <v>14175</v>
      </c>
      <c r="N1614" s="165"/>
      <c r="O1614" s="337">
        <f t="shared" si="78"/>
        <v>14175</v>
      </c>
      <c r="P1614" s="165"/>
      <c r="Q1614" s="165"/>
      <c r="R1614" s="3">
        <f t="shared" si="84"/>
        <v>14175</v>
      </c>
      <c r="S1614" s="337"/>
      <c r="T1614"/>
      <c r="U1614" s="3"/>
    </row>
    <row r="1615" spans="1:21">
      <c r="A1615" s="165" t="s">
        <v>10951</v>
      </c>
      <c r="B1615" s="94">
        <v>1527</v>
      </c>
      <c r="C1615" s="165" t="s">
        <v>4075</v>
      </c>
      <c r="D1615" s="165">
        <v>7</v>
      </c>
      <c r="E1615" s="165" t="s">
        <v>10958</v>
      </c>
      <c r="F1615" s="165" t="s">
        <v>10968</v>
      </c>
      <c r="G1615" s="165"/>
      <c r="H1615" s="165">
        <v>14175</v>
      </c>
      <c r="I1615" s="165"/>
      <c r="J1615" s="165"/>
      <c r="K1615" s="165"/>
      <c r="L1615" s="165"/>
      <c r="M1615" s="165">
        <v>14175</v>
      </c>
      <c r="N1615" s="165"/>
      <c r="O1615" s="337">
        <f t="shared" si="78"/>
        <v>14175</v>
      </c>
      <c r="P1615" s="165"/>
      <c r="Q1615" s="165"/>
      <c r="R1615" s="3">
        <f t="shared" si="84"/>
        <v>14175</v>
      </c>
      <c r="S1615" s="337"/>
      <c r="T1615"/>
      <c r="U1615" s="3"/>
    </row>
    <row r="1616" spans="1:21">
      <c r="A1616" s="165" t="s">
        <v>10951</v>
      </c>
      <c r="B1616" s="94">
        <v>1528</v>
      </c>
      <c r="C1616" s="165" t="s">
        <v>4075</v>
      </c>
      <c r="D1616" s="165">
        <v>8</v>
      </c>
      <c r="E1616" s="165" t="s">
        <v>10959</v>
      </c>
      <c r="F1616" s="165" t="s">
        <v>10967</v>
      </c>
      <c r="G1616" s="165"/>
      <c r="H1616" s="165">
        <v>14175</v>
      </c>
      <c r="I1616" s="165"/>
      <c r="J1616" s="165"/>
      <c r="K1616" s="165"/>
      <c r="L1616" s="165"/>
      <c r="M1616" s="165">
        <v>14175</v>
      </c>
      <c r="N1616" s="165"/>
      <c r="O1616" s="337">
        <f t="shared" si="78"/>
        <v>14175</v>
      </c>
      <c r="P1616" s="165"/>
      <c r="Q1616" s="165"/>
      <c r="R1616" s="3">
        <f t="shared" si="84"/>
        <v>14175</v>
      </c>
      <c r="S1616" s="337"/>
      <c r="T1616"/>
      <c r="U1616" s="3"/>
    </row>
    <row r="1617" spans="1:22">
      <c r="A1617" s="165" t="s">
        <v>10975</v>
      </c>
      <c r="B1617" s="94">
        <v>1529</v>
      </c>
      <c r="C1617" s="165" t="s">
        <v>10976</v>
      </c>
      <c r="D1617" s="165">
        <v>1</v>
      </c>
      <c r="E1617" s="165" t="s">
        <v>10977</v>
      </c>
      <c r="F1617" s="165" t="s">
        <v>10982</v>
      </c>
      <c r="G1617" s="165"/>
      <c r="H1617" s="165">
        <v>20475</v>
      </c>
      <c r="I1617" s="165"/>
      <c r="J1617" s="165"/>
      <c r="K1617" s="165"/>
      <c r="L1617" s="165">
        <v>20475</v>
      </c>
      <c r="M1617" s="165"/>
      <c r="N1617" s="165"/>
      <c r="O1617" s="337">
        <f t="shared" si="78"/>
        <v>0</v>
      </c>
      <c r="P1617" s="165" t="s">
        <v>10983</v>
      </c>
      <c r="Q1617" s="165" t="s">
        <v>10984</v>
      </c>
      <c r="R1617" s="3">
        <f>G1617+H1617+I1617</f>
        <v>20475</v>
      </c>
      <c r="S1617" s="337">
        <v>20475</v>
      </c>
      <c r="T1617"/>
      <c r="U1617" s="3"/>
      <c r="V1617" s="338"/>
    </row>
    <row r="1618" spans="1:22">
      <c r="A1618" s="165" t="s">
        <v>10975</v>
      </c>
      <c r="B1618" s="94">
        <v>1530</v>
      </c>
      <c r="C1618" s="165" t="s">
        <v>10976</v>
      </c>
      <c r="D1618" s="165">
        <v>2</v>
      </c>
      <c r="E1618" s="165" t="s">
        <v>10978</v>
      </c>
      <c r="F1618" s="165" t="s">
        <v>10985</v>
      </c>
      <c r="G1618" s="165"/>
      <c r="H1618" s="165">
        <v>20475</v>
      </c>
      <c r="I1618" s="165"/>
      <c r="J1618" s="165"/>
      <c r="K1618" s="165"/>
      <c r="L1618" s="165">
        <v>20475</v>
      </c>
      <c r="M1618" s="165"/>
      <c r="N1618" s="165"/>
      <c r="O1618" s="337">
        <f t="shared" ref="O1618:O1654" si="85">G1618+H1618+I1618-J1618-K1618-L1618</f>
        <v>0</v>
      </c>
      <c r="P1618" s="165" t="s">
        <v>11063</v>
      </c>
      <c r="Q1618" s="165" t="s">
        <v>11064</v>
      </c>
      <c r="R1618" s="3">
        <f>G1618+H1618+I1618</f>
        <v>20475</v>
      </c>
      <c r="S1618" s="337">
        <v>20475</v>
      </c>
      <c r="T1618"/>
      <c r="U1618" s="3"/>
      <c r="V1618" s="338"/>
    </row>
    <row r="1619" spans="1:22">
      <c r="A1619" s="165" t="s">
        <v>10975</v>
      </c>
      <c r="B1619" s="94">
        <v>1531</v>
      </c>
      <c r="C1619" s="165" t="s">
        <v>10976</v>
      </c>
      <c r="D1619" s="165">
        <v>3</v>
      </c>
      <c r="E1619" s="165" t="s">
        <v>10979</v>
      </c>
      <c r="F1619" s="165" t="s">
        <v>10986</v>
      </c>
      <c r="G1619" s="165"/>
      <c r="H1619" s="165"/>
      <c r="I1619" s="165">
        <v>20475</v>
      </c>
      <c r="J1619" s="165"/>
      <c r="K1619" s="165"/>
      <c r="L1619" s="165"/>
      <c r="M1619" s="165">
        <v>20475</v>
      </c>
      <c r="N1619" s="165"/>
      <c r="O1619" s="337">
        <f t="shared" si="85"/>
        <v>20475</v>
      </c>
      <c r="P1619" s="165"/>
      <c r="Q1619" s="165"/>
      <c r="R1619" s="3">
        <f>G1619+H1619+I1619</f>
        <v>20475</v>
      </c>
      <c r="S1619" s="337"/>
      <c r="T1619"/>
      <c r="U1619" s="3"/>
      <c r="V1619" s="271" t="s">
        <v>2740</v>
      </c>
    </row>
    <row r="1620" spans="1:22">
      <c r="A1620" s="165" t="s">
        <v>10975</v>
      </c>
      <c r="B1620" s="94">
        <v>1532</v>
      </c>
      <c r="C1620" s="165" t="s">
        <v>10976</v>
      </c>
      <c r="D1620" s="165">
        <v>4</v>
      </c>
      <c r="E1620" s="165" t="s">
        <v>10980</v>
      </c>
      <c r="F1620" s="165" t="s">
        <v>10987</v>
      </c>
      <c r="G1620" s="165"/>
      <c r="H1620" s="165"/>
      <c r="I1620" s="165">
        <v>20475</v>
      </c>
      <c r="J1620" s="165"/>
      <c r="K1620" s="165"/>
      <c r="L1620" s="165"/>
      <c r="M1620" s="165">
        <v>20475</v>
      </c>
      <c r="N1620" s="165"/>
      <c r="O1620" s="337">
        <f t="shared" si="85"/>
        <v>20475</v>
      </c>
      <c r="P1620" s="165"/>
      <c r="Q1620" s="165"/>
      <c r="R1620" s="3">
        <f>G1620+H1620+I1620</f>
        <v>20475</v>
      </c>
      <c r="S1620" s="337"/>
      <c r="T1620"/>
      <c r="U1620" s="3"/>
      <c r="V1620" s="271" t="s">
        <v>2740</v>
      </c>
    </row>
    <row r="1621" spans="1:22">
      <c r="A1621" s="165" t="s">
        <v>10975</v>
      </c>
      <c r="B1621" s="94">
        <v>1533</v>
      </c>
      <c r="C1621" s="165" t="s">
        <v>10976</v>
      </c>
      <c r="D1621" s="165">
        <v>5</v>
      </c>
      <c r="E1621" s="165" t="s">
        <v>10981</v>
      </c>
      <c r="F1621" s="165" t="s">
        <v>10988</v>
      </c>
      <c r="G1621" s="165"/>
      <c r="H1621" s="165"/>
      <c r="I1621" s="165">
        <v>20475</v>
      </c>
      <c r="J1621" s="165"/>
      <c r="K1621" s="165"/>
      <c r="L1621" s="165"/>
      <c r="M1621" s="165">
        <v>20475</v>
      </c>
      <c r="N1621" s="165"/>
      <c r="O1621" s="337">
        <f t="shared" si="85"/>
        <v>20475</v>
      </c>
      <c r="P1621" s="165"/>
      <c r="Q1621" s="165"/>
      <c r="R1621" s="3">
        <f>G1621+H1621+I1621</f>
        <v>20475</v>
      </c>
      <c r="S1621" s="337"/>
      <c r="T1621"/>
      <c r="U1621" s="3"/>
      <c r="V1621" s="271" t="s">
        <v>2740</v>
      </c>
    </row>
    <row r="1622" spans="1:22">
      <c r="A1622" s="165" t="s">
        <v>10994</v>
      </c>
      <c r="B1622" s="94">
        <v>1534</v>
      </c>
      <c r="C1622" s="165" t="s">
        <v>10995</v>
      </c>
      <c r="D1622" s="165">
        <v>1</v>
      </c>
      <c r="E1622" s="165" t="s">
        <v>10996</v>
      </c>
      <c r="F1622" s="165" t="s">
        <v>9925</v>
      </c>
      <c r="G1622" s="165"/>
      <c r="H1622" s="165">
        <v>11970</v>
      </c>
      <c r="I1622" s="165"/>
      <c r="J1622" s="165"/>
      <c r="K1622" s="165"/>
      <c r="L1622" s="165">
        <v>11970</v>
      </c>
      <c r="M1622" s="165"/>
      <c r="N1622" s="165"/>
      <c r="O1622" s="337">
        <f t="shared" si="85"/>
        <v>0</v>
      </c>
      <c r="P1622" s="165" t="s">
        <v>10997</v>
      </c>
      <c r="Q1622" s="165" t="s">
        <v>10997</v>
      </c>
      <c r="R1622" s="3">
        <f t="shared" ref="R1622:R1630" si="86">H1622</f>
        <v>11970</v>
      </c>
      <c r="S1622" s="337">
        <v>11970</v>
      </c>
      <c r="T1622"/>
      <c r="U1622" s="3"/>
    </row>
    <row r="1623" spans="1:22">
      <c r="A1623" s="165" t="s">
        <v>10994</v>
      </c>
      <c r="B1623" s="94">
        <v>1535</v>
      </c>
      <c r="C1623" s="165" t="s">
        <v>10995</v>
      </c>
      <c r="D1623" s="165">
        <v>2</v>
      </c>
      <c r="E1623" s="165" t="s">
        <v>10998</v>
      </c>
      <c r="F1623" s="165" t="s">
        <v>11005</v>
      </c>
      <c r="G1623" s="165"/>
      <c r="H1623" s="165">
        <v>11970</v>
      </c>
      <c r="I1623" s="165"/>
      <c r="J1623" s="165"/>
      <c r="K1623" s="165"/>
      <c r="L1623" s="165">
        <v>11970</v>
      </c>
      <c r="M1623" s="165"/>
      <c r="N1623" s="165"/>
      <c r="O1623" s="337">
        <f t="shared" si="85"/>
        <v>0</v>
      </c>
      <c r="P1623" s="165" t="s">
        <v>11089</v>
      </c>
      <c r="Q1623" s="165" t="s">
        <v>11090</v>
      </c>
      <c r="R1623" s="3">
        <f t="shared" si="86"/>
        <v>11970</v>
      </c>
      <c r="S1623" s="337">
        <v>11970</v>
      </c>
      <c r="T1623"/>
      <c r="U1623" s="3"/>
    </row>
    <row r="1624" spans="1:22">
      <c r="A1624" s="165" t="s">
        <v>10994</v>
      </c>
      <c r="B1624" s="94">
        <v>1536</v>
      </c>
      <c r="C1624" s="165" t="s">
        <v>10995</v>
      </c>
      <c r="D1624" s="165">
        <v>3</v>
      </c>
      <c r="E1624" s="165" t="s">
        <v>10999</v>
      </c>
      <c r="F1624" s="165" t="s">
        <v>11006</v>
      </c>
      <c r="G1624" s="165"/>
      <c r="H1624" s="165">
        <v>11970</v>
      </c>
      <c r="I1624" s="165"/>
      <c r="J1624" s="165"/>
      <c r="K1624" s="165"/>
      <c r="L1624" s="165"/>
      <c r="M1624" s="165">
        <v>11970</v>
      </c>
      <c r="N1624" s="165"/>
      <c r="O1624" s="337">
        <f t="shared" si="85"/>
        <v>11970</v>
      </c>
      <c r="P1624" s="165"/>
      <c r="Q1624" s="165"/>
      <c r="R1624" s="3">
        <f t="shared" si="86"/>
        <v>11970</v>
      </c>
      <c r="S1624" s="337"/>
      <c r="T1624"/>
      <c r="U1624" s="3"/>
    </row>
    <row r="1625" spans="1:22">
      <c r="A1625" s="165" t="s">
        <v>10994</v>
      </c>
      <c r="B1625" s="94">
        <v>1537</v>
      </c>
      <c r="C1625" s="165" t="s">
        <v>10995</v>
      </c>
      <c r="D1625" s="165">
        <v>4</v>
      </c>
      <c r="E1625" s="165" t="s">
        <v>11000</v>
      </c>
      <c r="F1625" s="165" t="s">
        <v>9928</v>
      </c>
      <c r="G1625" s="165"/>
      <c r="H1625" s="165">
        <v>11970</v>
      </c>
      <c r="I1625" s="165"/>
      <c r="J1625" s="165"/>
      <c r="K1625" s="165"/>
      <c r="L1625" s="165"/>
      <c r="M1625" s="165">
        <v>11970</v>
      </c>
      <c r="N1625" s="165"/>
      <c r="O1625" s="337">
        <f t="shared" si="85"/>
        <v>11970</v>
      </c>
      <c r="P1625" s="165"/>
      <c r="Q1625" s="165"/>
      <c r="R1625" s="3">
        <f t="shared" si="86"/>
        <v>11970</v>
      </c>
      <c r="S1625" s="337"/>
      <c r="T1625"/>
      <c r="U1625" s="3"/>
    </row>
    <row r="1626" spans="1:22">
      <c r="A1626" s="165" t="s">
        <v>10994</v>
      </c>
      <c r="B1626" s="94">
        <v>1538</v>
      </c>
      <c r="C1626" s="165" t="s">
        <v>10995</v>
      </c>
      <c r="D1626" s="165">
        <v>5</v>
      </c>
      <c r="E1626" s="165" t="s">
        <v>11001</v>
      </c>
      <c r="F1626" s="165" t="s">
        <v>10941</v>
      </c>
      <c r="G1626" s="165"/>
      <c r="H1626" s="165">
        <v>11970</v>
      </c>
      <c r="I1626" s="165"/>
      <c r="J1626" s="165"/>
      <c r="K1626" s="165"/>
      <c r="L1626" s="165"/>
      <c r="M1626" s="165">
        <v>11970</v>
      </c>
      <c r="N1626" s="165"/>
      <c r="O1626" s="337">
        <f t="shared" si="85"/>
        <v>11970</v>
      </c>
      <c r="P1626" s="165"/>
      <c r="Q1626" s="165"/>
      <c r="R1626" s="3">
        <f t="shared" si="86"/>
        <v>11970</v>
      </c>
      <c r="S1626" s="337"/>
      <c r="T1626"/>
      <c r="U1626" s="3"/>
    </row>
    <row r="1627" spans="1:22">
      <c r="A1627" s="165" t="s">
        <v>10994</v>
      </c>
      <c r="B1627" s="94">
        <v>1539</v>
      </c>
      <c r="C1627" s="165" t="s">
        <v>10995</v>
      </c>
      <c r="D1627" s="165">
        <v>6</v>
      </c>
      <c r="E1627" s="165" t="s">
        <v>11002</v>
      </c>
      <c r="F1627" s="165" t="s">
        <v>11007</v>
      </c>
      <c r="G1627" s="165"/>
      <c r="H1627" s="165">
        <v>11970</v>
      </c>
      <c r="I1627" s="165"/>
      <c r="J1627" s="165"/>
      <c r="K1627" s="165"/>
      <c r="L1627" s="165"/>
      <c r="M1627" s="165">
        <v>11970</v>
      </c>
      <c r="N1627" s="165"/>
      <c r="O1627" s="337">
        <f t="shared" si="85"/>
        <v>11970</v>
      </c>
      <c r="P1627" s="165"/>
      <c r="Q1627" s="165"/>
      <c r="R1627" s="3">
        <f t="shared" si="86"/>
        <v>11970</v>
      </c>
      <c r="S1627" s="337"/>
      <c r="T1627"/>
      <c r="U1627" s="3"/>
    </row>
    <row r="1628" spans="1:22">
      <c r="A1628" s="165" t="s">
        <v>10994</v>
      </c>
      <c r="B1628" s="94">
        <v>1540</v>
      </c>
      <c r="C1628" s="165" t="s">
        <v>10995</v>
      </c>
      <c r="D1628" s="165">
        <v>7</v>
      </c>
      <c r="E1628" s="165" t="s">
        <v>11003</v>
      </c>
      <c r="F1628" s="165" t="s">
        <v>11008</v>
      </c>
      <c r="G1628" s="165"/>
      <c r="H1628" s="165">
        <v>11970</v>
      </c>
      <c r="I1628" s="165"/>
      <c r="J1628" s="165"/>
      <c r="K1628" s="165"/>
      <c r="L1628" s="165"/>
      <c r="M1628" s="165">
        <v>11970</v>
      </c>
      <c r="N1628" s="165"/>
      <c r="O1628" s="337">
        <f t="shared" si="85"/>
        <v>11970</v>
      </c>
      <c r="P1628" s="165"/>
      <c r="Q1628" s="165"/>
      <c r="R1628" s="3">
        <f t="shared" si="86"/>
        <v>11970</v>
      </c>
      <c r="S1628" s="337"/>
      <c r="T1628"/>
      <c r="U1628" s="3"/>
    </row>
    <row r="1629" spans="1:22">
      <c r="A1629" s="165" t="s">
        <v>10994</v>
      </c>
      <c r="B1629" s="94">
        <v>1541</v>
      </c>
      <c r="C1629" s="165" t="s">
        <v>10995</v>
      </c>
      <c r="D1629" s="165">
        <v>8</v>
      </c>
      <c r="E1629" s="165" t="s">
        <v>11004</v>
      </c>
      <c r="F1629" s="165" t="s">
        <v>11009</v>
      </c>
      <c r="G1629" s="165"/>
      <c r="H1629" s="165">
        <v>11970</v>
      </c>
      <c r="I1629" s="165"/>
      <c r="J1629" s="165"/>
      <c r="K1629" s="165"/>
      <c r="L1629" s="165"/>
      <c r="M1629" s="165">
        <v>11970</v>
      </c>
      <c r="N1629" s="165"/>
      <c r="O1629" s="337">
        <f t="shared" si="85"/>
        <v>11970</v>
      </c>
      <c r="P1629" s="165"/>
      <c r="Q1629" s="165"/>
      <c r="R1629" s="3">
        <f t="shared" si="86"/>
        <v>11970</v>
      </c>
      <c r="S1629" s="337"/>
      <c r="T1629"/>
      <c r="U1629" s="3"/>
    </row>
    <row r="1630" spans="1:22">
      <c r="A1630" s="165" t="s">
        <v>11013</v>
      </c>
      <c r="B1630" s="94">
        <v>1542</v>
      </c>
      <c r="C1630" s="165" t="s">
        <v>5208</v>
      </c>
      <c r="D1630" s="165">
        <v>2</v>
      </c>
      <c r="E1630" s="165" t="s">
        <v>11014</v>
      </c>
      <c r="F1630" s="165" t="s">
        <v>11015</v>
      </c>
      <c r="G1630" s="165"/>
      <c r="H1630" s="165">
        <v>20475</v>
      </c>
      <c r="I1630" s="165"/>
      <c r="J1630" s="165"/>
      <c r="K1630" s="165"/>
      <c r="L1630" s="165">
        <v>20475</v>
      </c>
      <c r="M1630" s="165"/>
      <c r="N1630" s="165"/>
      <c r="O1630" s="337">
        <f t="shared" si="85"/>
        <v>0</v>
      </c>
      <c r="P1630" s="165" t="s">
        <v>11016</v>
      </c>
      <c r="Q1630" s="165" t="s">
        <v>11017</v>
      </c>
      <c r="R1630" s="3">
        <f t="shared" si="86"/>
        <v>20475</v>
      </c>
      <c r="S1630" s="337">
        <v>20475</v>
      </c>
      <c r="T1630"/>
      <c r="U1630" s="3"/>
    </row>
    <row r="1631" spans="1:22">
      <c r="A1631" s="165" t="s">
        <v>11013</v>
      </c>
      <c r="B1631" s="94">
        <v>1543</v>
      </c>
      <c r="C1631" s="165" t="s">
        <v>5208</v>
      </c>
      <c r="D1631" s="165">
        <v>3</v>
      </c>
      <c r="E1631" s="165" t="s">
        <v>11018</v>
      </c>
      <c r="F1631" s="165" t="s">
        <v>11019</v>
      </c>
      <c r="G1631" s="165"/>
      <c r="H1631" s="165">
        <v>20475</v>
      </c>
      <c r="I1631" s="165"/>
      <c r="J1631" s="165"/>
      <c r="K1631" s="165"/>
      <c r="L1631" s="165">
        <v>20475</v>
      </c>
      <c r="M1631" s="165"/>
      <c r="N1631" s="165"/>
      <c r="O1631" s="337">
        <f t="shared" si="85"/>
        <v>0</v>
      </c>
      <c r="P1631" s="165" t="s">
        <v>11053</v>
      </c>
      <c r="Q1631" s="165" t="s">
        <v>11054</v>
      </c>
      <c r="R1631" s="3">
        <f>H1631</f>
        <v>20475</v>
      </c>
      <c r="S1631" s="337">
        <v>20475</v>
      </c>
      <c r="T1631"/>
      <c r="U1631" s="3"/>
      <c r="V1631" s="338"/>
    </row>
    <row r="1632" spans="1:22">
      <c r="A1632" s="165" t="s">
        <v>11013</v>
      </c>
      <c r="B1632" s="94">
        <v>1544</v>
      </c>
      <c r="C1632" s="165" t="s">
        <v>5208</v>
      </c>
      <c r="D1632" s="165">
        <v>4</v>
      </c>
      <c r="E1632" s="165" t="s">
        <v>11020</v>
      </c>
      <c r="F1632" s="165" t="s">
        <v>11027</v>
      </c>
      <c r="G1632" s="165"/>
      <c r="H1632" s="165"/>
      <c r="I1632" s="165">
        <v>20475</v>
      </c>
      <c r="J1632" s="165"/>
      <c r="K1632" s="165"/>
      <c r="L1632" s="165"/>
      <c r="M1632" s="165">
        <v>20475</v>
      </c>
      <c r="N1632" s="165"/>
      <c r="O1632" s="337">
        <f t="shared" si="85"/>
        <v>20475</v>
      </c>
      <c r="P1632" s="165"/>
      <c r="Q1632" s="165"/>
      <c r="R1632" s="3">
        <f>H1632</f>
        <v>0</v>
      </c>
      <c r="S1632" s="337"/>
      <c r="T1632"/>
      <c r="U1632" s="3"/>
      <c r="V1632" s="271" t="s">
        <v>2740</v>
      </c>
    </row>
    <row r="1633" spans="1:22">
      <c r="A1633" s="165" t="s">
        <v>11013</v>
      </c>
      <c r="B1633" s="94">
        <v>1545</v>
      </c>
      <c r="C1633" s="165" t="s">
        <v>5208</v>
      </c>
      <c r="D1633" s="165">
        <v>5</v>
      </c>
      <c r="E1633" s="165" t="s">
        <v>11021</v>
      </c>
      <c r="F1633" s="165" t="s">
        <v>11028</v>
      </c>
      <c r="G1633" s="165"/>
      <c r="H1633" s="165"/>
      <c r="I1633" s="165">
        <v>20475</v>
      </c>
      <c r="J1633" s="165"/>
      <c r="K1633" s="165"/>
      <c r="L1633" s="165"/>
      <c r="M1633" s="165">
        <v>20475</v>
      </c>
      <c r="N1633" s="165"/>
      <c r="O1633" s="337">
        <f t="shared" si="85"/>
        <v>20475</v>
      </c>
      <c r="P1633" s="165"/>
      <c r="Q1633" s="165"/>
      <c r="R1633" s="3">
        <f>H1633</f>
        <v>0</v>
      </c>
      <c r="S1633" s="337"/>
      <c r="T1633"/>
      <c r="U1633" s="3"/>
      <c r="V1633" s="271" t="s">
        <v>2740</v>
      </c>
    </row>
    <row r="1634" spans="1:22">
      <c r="A1634" s="165" t="s">
        <v>11013</v>
      </c>
      <c r="B1634" s="94">
        <v>1546</v>
      </c>
      <c r="C1634" s="165" t="s">
        <v>5208</v>
      </c>
      <c r="D1634" s="165">
        <v>6</v>
      </c>
      <c r="E1634" s="165" t="s">
        <v>11022</v>
      </c>
      <c r="F1634" s="165" t="s">
        <v>11029</v>
      </c>
      <c r="G1634" s="165"/>
      <c r="H1634" s="165"/>
      <c r="I1634" s="165">
        <v>20475</v>
      </c>
      <c r="J1634" s="165"/>
      <c r="K1634" s="165"/>
      <c r="L1634" s="165"/>
      <c r="M1634" s="165">
        <v>20475</v>
      </c>
      <c r="N1634" s="165"/>
      <c r="O1634" s="337">
        <f t="shared" si="85"/>
        <v>20475</v>
      </c>
      <c r="P1634" s="165"/>
      <c r="Q1634" s="165"/>
      <c r="R1634" s="3">
        <f>H1634</f>
        <v>0</v>
      </c>
      <c r="S1634" s="337"/>
      <c r="T1634"/>
      <c r="U1634" s="3"/>
      <c r="V1634" s="271" t="s">
        <v>2740</v>
      </c>
    </row>
    <row r="1635" spans="1:22">
      <c r="A1635" s="165" t="s">
        <v>11013</v>
      </c>
      <c r="B1635" s="94">
        <v>1547</v>
      </c>
      <c r="C1635" s="165" t="s">
        <v>5208</v>
      </c>
      <c r="D1635" s="165">
        <v>7</v>
      </c>
      <c r="E1635" s="165" t="s">
        <v>11023</v>
      </c>
      <c r="F1635" s="165" t="s">
        <v>11030</v>
      </c>
      <c r="G1635" s="165"/>
      <c r="H1635" s="165"/>
      <c r="I1635" s="165">
        <v>20475</v>
      </c>
      <c r="J1635" s="165"/>
      <c r="K1635" s="165"/>
      <c r="L1635" s="165"/>
      <c r="M1635" s="165">
        <v>20475</v>
      </c>
      <c r="N1635" s="165"/>
      <c r="O1635" s="337">
        <f t="shared" si="85"/>
        <v>20475</v>
      </c>
      <c r="P1635" s="165"/>
      <c r="Q1635" s="165"/>
      <c r="R1635" s="3">
        <f>H1635</f>
        <v>0</v>
      </c>
      <c r="S1635" s="337"/>
      <c r="T1635"/>
      <c r="U1635" s="3"/>
      <c r="V1635" s="271" t="s">
        <v>2740</v>
      </c>
    </row>
    <row r="1636" spans="1:22">
      <c r="A1636" s="165" t="s">
        <v>11013</v>
      </c>
      <c r="B1636" s="94">
        <v>1548</v>
      </c>
      <c r="C1636" s="165" t="s">
        <v>5208</v>
      </c>
      <c r="D1636" s="165">
        <v>8</v>
      </c>
      <c r="E1636" s="165" t="s">
        <v>11024</v>
      </c>
      <c r="F1636" s="165" t="s">
        <v>11031</v>
      </c>
      <c r="G1636" s="165"/>
      <c r="H1636" s="165"/>
      <c r="I1636" s="165">
        <v>20475</v>
      </c>
      <c r="J1636" s="165"/>
      <c r="K1636" s="165"/>
      <c r="L1636" s="165"/>
      <c r="M1636" s="165">
        <v>20475</v>
      </c>
      <c r="N1636" s="165"/>
      <c r="O1636" s="337">
        <f t="shared" si="85"/>
        <v>20475</v>
      </c>
      <c r="P1636" s="165"/>
      <c r="Q1636" s="165"/>
      <c r="R1636" s="3">
        <f t="shared" ref="R1636:R1646" si="87">H1636</f>
        <v>0</v>
      </c>
      <c r="S1636" s="337"/>
      <c r="T1636"/>
      <c r="U1636" s="3"/>
      <c r="V1636" s="271" t="s">
        <v>2740</v>
      </c>
    </row>
    <row r="1637" spans="1:22">
      <c r="A1637" s="165" t="s">
        <v>11013</v>
      </c>
      <c r="B1637" s="94">
        <v>1549</v>
      </c>
      <c r="C1637" s="165" t="s">
        <v>5208</v>
      </c>
      <c r="D1637" s="165"/>
      <c r="E1637" s="165" t="s">
        <v>11025</v>
      </c>
      <c r="F1637" s="165" t="s">
        <v>11015</v>
      </c>
      <c r="G1637" s="165"/>
      <c r="H1637" s="165">
        <v>120000</v>
      </c>
      <c r="I1637" s="165"/>
      <c r="J1637" s="165"/>
      <c r="K1637" s="165"/>
      <c r="L1637" s="165">
        <v>120000</v>
      </c>
      <c r="M1637" s="165"/>
      <c r="N1637" s="165"/>
      <c r="O1637" s="337">
        <f t="shared" si="85"/>
        <v>0</v>
      </c>
      <c r="P1637" s="165" t="s">
        <v>11016</v>
      </c>
      <c r="Q1637" s="165" t="s">
        <v>11017</v>
      </c>
      <c r="R1637" s="3">
        <f t="shared" si="87"/>
        <v>120000</v>
      </c>
      <c r="S1637" s="337">
        <v>120000</v>
      </c>
      <c r="T1637"/>
      <c r="U1637" s="3"/>
      <c r="V1637" s="338" t="s">
        <v>11026</v>
      </c>
    </row>
    <row r="1638" spans="1:22">
      <c r="A1638" s="165" t="s">
        <v>11056</v>
      </c>
      <c r="B1638" s="94">
        <v>1550</v>
      </c>
      <c r="C1638" s="165" t="s">
        <v>11057</v>
      </c>
      <c r="D1638" s="692" t="s">
        <v>11061</v>
      </c>
      <c r="E1638" s="165" t="s">
        <v>11058</v>
      </c>
      <c r="F1638" s="165" t="s">
        <v>11059</v>
      </c>
      <c r="G1638" s="165"/>
      <c r="H1638" s="165">
        <v>22680</v>
      </c>
      <c r="I1638" s="165"/>
      <c r="J1638" s="165"/>
      <c r="K1638" s="165"/>
      <c r="L1638" s="165">
        <v>22680</v>
      </c>
      <c r="M1638" s="165"/>
      <c r="N1638" s="165"/>
      <c r="O1638" s="337">
        <f t="shared" si="85"/>
        <v>0</v>
      </c>
      <c r="P1638" s="165" t="s">
        <v>11060</v>
      </c>
      <c r="Q1638" s="165" t="s">
        <v>10797</v>
      </c>
      <c r="R1638" s="3">
        <f>H1638</f>
        <v>22680</v>
      </c>
      <c r="S1638" s="337">
        <v>22680</v>
      </c>
      <c r="T1638"/>
      <c r="U1638" s="3"/>
    </row>
    <row r="1639" spans="1:22">
      <c r="A1639" s="165" t="s">
        <v>9757</v>
      </c>
      <c r="B1639" s="94">
        <v>1551</v>
      </c>
      <c r="C1639" s="165" t="s">
        <v>11035</v>
      </c>
      <c r="D1639" s="165">
        <v>1</v>
      </c>
      <c r="E1639" s="165" t="s">
        <v>11036</v>
      </c>
      <c r="F1639" s="165" t="s">
        <v>11044</v>
      </c>
      <c r="G1639" s="165"/>
      <c r="H1639" s="165">
        <v>14175</v>
      </c>
      <c r="I1639" s="165"/>
      <c r="J1639" s="165"/>
      <c r="K1639" s="165"/>
      <c r="L1639" s="165">
        <v>14175</v>
      </c>
      <c r="M1639" s="165"/>
      <c r="N1639" s="165"/>
      <c r="O1639" s="337">
        <f t="shared" si="85"/>
        <v>0</v>
      </c>
      <c r="P1639" s="165" t="s">
        <v>11052</v>
      </c>
      <c r="Q1639" s="165" t="s">
        <v>11053</v>
      </c>
      <c r="R1639" s="3">
        <f t="shared" si="87"/>
        <v>14175</v>
      </c>
      <c r="S1639" s="337">
        <v>14175</v>
      </c>
      <c r="T1639"/>
      <c r="U1639" s="3"/>
    </row>
    <row r="1640" spans="1:22">
      <c r="A1640" s="165" t="s">
        <v>9757</v>
      </c>
      <c r="B1640" s="94">
        <v>1552</v>
      </c>
      <c r="C1640" s="165" t="s">
        <v>11035</v>
      </c>
      <c r="D1640" s="165">
        <v>2</v>
      </c>
      <c r="E1640" s="165" t="s">
        <v>11037</v>
      </c>
      <c r="F1640" s="165" t="s">
        <v>11045</v>
      </c>
      <c r="G1640" s="165"/>
      <c r="H1640" s="165">
        <v>14175</v>
      </c>
      <c r="I1640" s="165"/>
      <c r="J1640" s="165"/>
      <c r="K1640" s="165"/>
      <c r="L1640" s="165">
        <v>14175</v>
      </c>
      <c r="M1640" s="165"/>
      <c r="N1640" s="165"/>
      <c r="O1640" s="337">
        <f t="shared" si="85"/>
        <v>0</v>
      </c>
      <c r="P1640" s="165" t="s">
        <v>11086</v>
      </c>
      <c r="Q1640" s="165" t="s">
        <v>11087</v>
      </c>
      <c r="R1640" s="3">
        <f t="shared" si="87"/>
        <v>14175</v>
      </c>
      <c r="S1640" s="337">
        <v>14175</v>
      </c>
      <c r="T1640"/>
      <c r="U1640" s="3"/>
    </row>
    <row r="1641" spans="1:22">
      <c r="A1641" s="165" t="s">
        <v>9757</v>
      </c>
      <c r="B1641" s="94">
        <v>1553</v>
      </c>
      <c r="C1641" s="165" t="s">
        <v>11035</v>
      </c>
      <c r="D1641" s="165">
        <v>3</v>
      </c>
      <c r="E1641" s="165" t="s">
        <v>11038</v>
      </c>
      <c r="F1641" s="165" t="s">
        <v>11046</v>
      </c>
      <c r="G1641" s="165"/>
      <c r="H1641" s="165">
        <v>14175</v>
      </c>
      <c r="I1641" s="165"/>
      <c r="J1641" s="165"/>
      <c r="K1641" s="165"/>
      <c r="L1641" s="165"/>
      <c r="M1641" s="165">
        <v>14175</v>
      </c>
      <c r="N1641" s="165"/>
      <c r="O1641" s="337">
        <f t="shared" si="85"/>
        <v>14175</v>
      </c>
      <c r="P1641" s="165"/>
      <c r="Q1641" s="165"/>
      <c r="R1641" s="3">
        <f t="shared" si="87"/>
        <v>14175</v>
      </c>
      <c r="S1641" s="337"/>
      <c r="T1641"/>
      <c r="U1641" s="3"/>
    </row>
    <row r="1642" spans="1:22">
      <c r="A1642" s="165" t="s">
        <v>9757</v>
      </c>
      <c r="B1642" s="94">
        <v>1554</v>
      </c>
      <c r="C1642" s="165" t="s">
        <v>11035</v>
      </c>
      <c r="D1642" s="165">
        <v>4</v>
      </c>
      <c r="E1642" s="165" t="s">
        <v>11039</v>
      </c>
      <c r="F1642" s="165" t="s">
        <v>11047</v>
      </c>
      <c r="G1642" s="165"/>
      <c r="H1642" s="165">
        <v>14175</v>
      </c>
      <c r="I1642" s="165"/>
      <c r="J1642" s="165"/>
      <c r="K1642" s="165"/>
      <c r="L1642" s="165"/>
      <c r="M1642" s="165">
        <v>14175</v>
      </c>
      <c r="N1642" s="165"/>
      <c r="O1642" s="337">
        <f t="shared" si="85"/>
        <v>14175</v>
      </c>
      <c r="P1642" s="165"/>
      <c r="Q1642" s="165"/>
      <c r="R1642" s="3">
        <f t="shared" si="87"/>
        <v>14175</v>
      </c>
      <c r="S1642" s="337"/>
      <c r="T1642"/>
      <c r="U1642" s="3"/>
    </row>
    <row r="1643" spans="1:22">
      <c r="A1643" s="165" t="s">
        <v>9757</v>
      </c>
      <c r="B1643" s="94">
        <v>1555</v>
      </c>
      <c r="C1643" s="165" t="s">
        <v>11035</v>
      </c>
      <c r="D1643" s="165">
        <v>5</v>
      </c>
      <c r="E1643" s="165" t="s">
        <v>11040</v>
      </c>
      <c r="F1643" s="165" t="s">
        <v>11048</v>
      </c>
      <c r="G1643" s="165"/>
      <c r="H1643" s="165">
        <v>14175</v>
      </c>
      <c r="I1643" s="165"/>
      <c r="J1643" s="165"/>
      <c r="K1643" s="165"/>
      <c r="L1643" s="165"/>
      <c r="M1643" s="165">
        <v>14175</v>
      </c>
      <c r="N1643" s="165"/>
      <c r="O1643" s="337">
        <f t="shared" si="85"/>
        <v>14175</v>
      </c>
      <c r="P1643" s="165"/>
      <c r="Q1643" s="165"/>
      <c r="R1643" s="3">
        <f t="shared" si="87"/>
        <v>14175</v>
      </c>
      <c r="S1643" s="337"/>
      <c r="T1643"/>
      <c r="U1643" s="3"/>
    </row>
    <row r="1644" spans="1:22">
      <c r="A1644" s="165" t="s">
        <v>9757</v>
      </c>
      <c r="B1644" s="94">
        <v>1556</v>
      </c>
      <c r="C1644" s="165" t="s">
        <v>11035</v>
      </c>
      <c r="D1644" s="165">
        <v>6</v>
      </c>
      <c r="E1644" s="165" t="s">
        <v>11041</v>
      </c>
      <c r="F1644" s="165" t="s">
        <v>11049</v>
      </c>
      <c r="G1644" s="165"/>
      <c r="H1644" s="165">
        <v>14175</v>
      </c>
      <c r="I1644" s="165"/>
      <c r="J1644" s="165"/>
      <c r="K1644" s="165"/>
      <c r="L1644" s="165"/>
      <c r="M1644" s="165">
        <v>14175</v>
      </c>
      <c r="N1644" s="165"/>
      <c r="O1644" s="337">
        <f t="shared" si="85"/>
        <v>14175</v>
      </c>
      <c r="P1644" s="165"/>
      <c r="Q1644" s="165"/>
      <c r="R1644" s="3">
        <f t="shared" si="87"/>
        <v>14175</v>
      </c>
      <c r="S1644" s="337"/>
      <c r="T1644"/>
      <c r="U1644" s="3"/>
    </row>
    <row r="1645" spans="1:22">
      <c r="A1645" s="165" t="s">
        <v>9757</v>
      </c>
      <c r="B1645" s="94">
        <v>1557</v>
      </c>
      <c r="C1645" s="165" t="s">
        <v>11035</v>
      </c>
      <c r="D1645" s="165">
        <v>7</v>
      </c>
      <c r="E1645" s="165" t="s">
        <v>11042</v>
      </c>
      <c r="F1645" s="165" t="s">
        <v>11050</v>
      </c>
      <c r="G1645" s="165"/>
      <c r="H1645" s="165">
        <v>14175</v>
      </c>
      <c r="I1645" s="165"/>
      <c r="J1645" s="165"/>
      <c r="K1645" s="165"/>
      <c r="L1645" s="165"/>
      <c r="M1645" s="165">
        <v>14175</v>
      </c>
      <c r="N1645" s="165"/>
      <c r="O1645" s="337">
        <f t="shared" si="85"/>
        <v>14175</v>
      </c>
      <c r="P1645" s="165"/>
      <c r="Q1645" s="165"/>
      <c r="R1645" s="3">
        <f t="shared" si="87"/>
        <v>14175</v>
      </c>
      <c r="S1645" s="337"/>
      <c r="T1645"/>
      <c r="U1645" s="3"/>
    </row>
    <row r="1646" spans="1:22">
      <c r="A1646" s="165" t="s">
        <v>9757</v>
      </c>
      <c r="B1646" s="94">
        <v>1558</v>
      </c>
      <c r="C1646" s="165" t="s">
        <v>11035</v>
      </c>
      <c r="D1646" s="165">
        <v>8</v>
      </c>
      <c r="E1646" s="165" t="s">
        <v>11043</v>
      </c>
      <c r="F1646" s="165" t="s">
        <v>11051</v>
      </c>
      <c r="G1646" s="165"/>
      <c r="H1646" s="165">
        <v>14175</v>
      </c>
      <c r="I1646" s="165"/>
      <c r="J1646" s="165"/>
      <c r="K1646" s="165"/>
      <c r="L1646" s="165"/>
      <c r="M1646" s="165">
        <v>14175</v>
      </c>
      <c r="N1646" s="165"/>
      <c r="O1646" s="337">
        <f t="shared" si="85"/>
        <v>14175</v>
      </c>
      <c r="P1646" s="165"/>
      <c r="Q1646" s="165"/>
      <c r="R1646" s="3">
        <f t="shared" si="87"/>
        <v>14175</v>
      </c>
      <c r="S1646" s="337"/>
      <c r="T1646"/>
      <c r="U1646" s="3"/>
    </row>
    <row r="1647" spans="1:22">
      <c r="A1647" s="165" t="s">
        <v>11070</v>
      </c>
      <c r="B1647" s="94">
        <v>1559</v>
      </c>
      <c r="C1647" s="165" t="s">
        <v>11071</v>
      </c>
      <c r="D1647" s="165">
        <v>1</v>
      </c>
      <c r="E1647" s="165" t="s">
        <v>11072</v>
      </c>
      <c r="F1647" s="165" t="s">
        <v>11067</v>
      </c>
      <c r="G1647" s="165"/>
      <c r="H1647" s="165">
        <v>14175</v>
      </c>
      <c r="I1647" s="165"/>
      <c r="J1647" s="165"/>
      <c r="K1647" s="165"/>
      <c r="L1647" s="165">
        <v>14175</v>
      </c>
      <c r="M1647" s="165"/>
      <c r="N1647" s="165"/>
      <c r="O1647" s="337">
        <f t="shared" si="85"/>
        <v>0</v>
      </c>
      <c r="P1647" s="165" t="s">
        <v>11084</v>
      </c>
      <c r="Q1647" s="165" t="s">
        <v>11085</v>
      </c>
      <c r="R1647" s="3">
        <f t="shared" ref="R1647:R1654" si="88">H1647</f>
        <v>14175</v>
      </c>
      <c r="S1647" s="337">
        <v>14175</v>
      </c>
      <c r="T1647"/>
      <c r="U1647" s="3"/>
    </row>
    <row r="1648" spans="1:22">
      <c r="A1648" s="165" t="s">
        <v>11070</v>
      </c>
      <c r="B1648" s="94">
        <v>1560</v>
      </c>
      <c r="C1648" s="165" t="s">
        <v>11071</v>
      </c>
      <c r="D1648" s="165">
        <v>2</v>
      </c>
      <c r="E1648" s="165" t="s">
        <v>11073</v>
      </c>
      <c r="F1648" s="165" t="s">
        <v>11083</v>
      </c>
      <c r="G1648" s="165"/>
      <c r="H1648" s="165">
        <v>14175</v>
      </c>
      <c r="I1648" s="165"/>
      <c r="J1648" s="165"/>
      <c r="K1648" s="165"/>
      <c r="L1648" s="165"/>
      <c r="M1648" s="165">
        <v>14175</v>
      </c>
      <c r="N1648" s="165"/>
      <c r="O1648" s="337">
        <f t="shared" si="85"/>
        <v>14175</v>
      </c>
      <c r="P1648" s="165"/>
      <c r="Q1648" s="165"/>
      <c r="R1648" s="3">
        <f t="shared" si="88"/>
        <v>14175</v>
      </c>
      <c r="S1648" s="337"/>
      <c r="T1648"/>
      <c r="U1648" s="3"/>
    </row>
    <row r="1649" spans="1:22">
      <c r="A1649" s="165" t="s">
        <v>11070</v>
      </c>
      <c r="B1649" s="94">
        <v>1561</v>
      </c>
      <c r="C1649" s="165" t="s">
        <v>11071</v>
      </c>
      <c r="D1649" s="165">
        <v>3</v>
      </c>
      <c r="E1649" s="165" t="s">
        <v>11074</v>
      </c>
      <c r="F1649" s="165" t="s">
        <v>11080</v>
      </c>
      <c r="G1649" s="165"/>
      <c r="H1649" s="165">
        <v>14175</v>
      </c>
      <c r="I1649" s="165"/>
      <c r="J1649" s="165"/>
      <c r="K1649" s="165"/>
      <c r="L1649" s="165"/>
      <c r="M1649" s="165">
        <v>14175</v>
      </c>
      <c r="N1649" s="165"/>
      <c r="O1649" s="337">
        <f t="shared" si="85"/>
        <v>14175</v>
      </c>
      <c r="P1649" s="165"/>
      <c r="Q1649" s="165"/>
      <c r="R1649" s="3">
        <f t="shared" si="88"/>
        <v>14175</v>
      </c>
      <c r="S1649" s="337"/>
      <c r="T1649"/>
      <c r="U1649" s="3"/>
    </row>
    <row r="1650" spans="1:22">
      <c r="A1650" s="165" t="s">
        <v>11070</v>
      </c>
      <c r="B1650" s="94">
        <v>1562</v>
      </c>
      <c r="C1650" s="165" t="s">
        <v>11071</v>
      </c>
      <c r="D1650" s="165">
        <v>4</v>
      </c>
      <c r="E1650" s="165" t="s">
        <v>11075</v>
      </c>
      <c r="F1650" s="165" t="s">
        <v>10908</v>
      </c>
      <c r="G1650" s="165"/>
      <c r="H1650" s="165">
        <v>14175</v>
      </c>
      <c r="I1650" s="165"/>
      <c r="J1650" s="165"/>
      <c r="K1650" s="165"/>
      <c r="L1650" s="165"/>
      <c r="M1650" s="165">
        <v>14175</v>
      </c>
      <c r="N1650" s="165"/>
      <c r="O1650" s="337">
        <f t="shared" si="85"/>
        <v>14175</v>
      </c>
      <c r="P1650" s="165"/>
      <c r="Q1650" s="165"/>
      <c r="R1650" s="3">
        <f t="shared" si="88"/>
        <v>14175</v>
      </c>
      <c r="S1650" s="337"/>
      <c r="T1650"/>
      <c r="U1650" s="3"/>
    </row>
    <row r="1651" spans="1:22">
      <c r="A1651" s="165" t="s">
        <v>11070</v>
      </c>
      <c r="B1651" s="94">
        <v>1563</v>
      </c>
      <c r="C1651" s="165" t="s">
        <v>11071</v>
      </c>
      <c r="D1651" s="165">
        <v>5</v>
      </c>
      <c r="E1651" s="165" t="s">
        <v>11076</v>
      </c>
      <c r="F1651" s="165" t="s">
        <v>10909</v>
      </c>
      <c r="G1651" s="165"/>
      <c r="H1651" s="165">
        <v>14175</v>
      </c>
      <c r="I1651" s="165"/>
      <c r="J1651" s="165"/>
      <c r="K1651" s="165"/>
      <c r="L1651" s="165"/>
      <c r="M1651" s="165">
        <v>14175</v>
      </c>
      <c r="N1651" s="165"/>
      <c r="O1651" s="337">
        <f t="shared" si="85"/>
        <v>14175</v>
      </c>
      <c r="P1651" s="165"/>
      <c r="Q1651" s="165"/>
      <c r="R1651" s="3">
        <f t="shared" si="88"/>
        <v>14175</v>
      </c>
      <c r="S1651" s="337"/>
      <c r="T1651"/>
      <c r="U1651" s="3"/>
    </row>
    <row r="1652" spans="1:22">
      <c r="A1652" s="165" t="s">
        <v>11070</v>
      </c>
      <c r="B1652" s="94">
        <v>1564</v>
      </c>
      <c r="C1652" s="165" t="s">
        <v>11071</v>
      </c>
      <c r="D1652" s="165">
        <v>6</v>
      </c>
      <c r="E1652" s="165" t="s">
        <v>11077</v>
      </c>
      <c r="F1652" s="165" t="s">
        <v>10910</v>
      </c>
      <c r="G1652" s="165"/>
      <c r="H1652" s="165">
        <v>14175</v>
      </c>
      <c r="I1652" s="165"/>
      <c r="J1652" s="165"/>
      <c r="K1652" s="165"/>
      <c r="L1652" s="165"/>
      <c r="M1652" s="165">
        <v>14175</v>
      </c>
      <c r="N1652" s="165"/>
      <c r="O1652" s="337">
        <f t="shared" si="85"/>
        <v>14175</v>
      </c>
      <c r="P1652" s="165"/>
      <c r="Q1652" s="165"/>
      <c r="R1652" s="3">
        <f t="shared" si="88"/>
        <v>14175</v>
      </c>
      <c r="S1652" s="337"/>
      <c r="T1652"/>
      <c r="U1652" s="3"/>
    </row>
    <row r="1653" spans="1:22">
      <c r="A1653" s="165" t="s">
        <v>11070</v>
      </c>
      <c r="B1653" s="94">
        <v>1565</v>
      </c>
      <c r="C1653" s="165" t="s">
        <v>11071</v>
      </c>
      <c r="D1653" s="165">
        <v>7</v>
      </c>
      <c r="E1653" s="165" t="s">
        <v>11078</v>
      </c>
      <c r="F1653" s="165" t="s">
        <v>11081</v>
      </c>
      <c r="G1653" s="165"/>
      <c r="H1653" s="165">
        <v>14175</v>
      </c>
      <c r="I1653" s="165"/>
      <c r="J1653" s="165"/>
      <c r="K1653" s="165"/>
      <c r="L1653" s="165"/>
      <c r="M1653" s="165">
        <v>14175</v>
      </c>
      <c r="N1653" s="165"/>
      <c r="O1653" s="337">
        <f t="shared" si="85"/>
        <v>14175</v>
      </c>
      <c r="P1653" s="165"/>
      <c r="Q1653" s="165"/>
      <c r="R1653" s="3">
        <f t="shared" si="88"/>
        <v>14175</v>
      </c>
      <c r="S1653" s="337"/>
      <c r="T1653"/>
      <c r="U1653" s="3"/>
    </row>
    <row r="1654" spans="1:22">
      <c r="A1654" s="165" t="s">
        <v>11070</v>
      </c>
      <c r="B1654" s="94">
        <v>1566</v>
      </c>
      <c r="C1654" s="165" t="s">
        <v>11071</v>
      </c>
      <c r="D1654" s="165">
        <v>8</v>
      </c>
      <c r="E1654" s="165" t="s">
        <v>11079</v>
      </c>
      <c r="F1654" s="165" t="s">
        <v>11082</v>
      </c>
      <c r="G1654" s="165"/>
      <c r="H1654" s="165">
        <v>14175</v>
      </c>
      <c r="I1654" s="165"/>
      <c r="J1654" s="165"/>
      <c r="K1654" s="165"/>
      <c r="L1654" s="165"/>
      <c r="M1654" s="165">
        <v>14175</v>
      </c>
      <c r="N1654" s="165"/>
      <c r="O1654" s="337">
        <f t="shared" si="85"/>
        <v>14175</v>
      </c>
      <c r="P1654" s="165"/>
      <c r="Q1654" s="165"/>
      <c r="R1654" s="3">
        <f t="shared" si="88"/>
        <v>14175</v>
      </c>
      <c r="S1654" s="337"/>
      <c r="T1654"/>
      <c r="U1654" s="3"/>
    </row>
    <row r="1655" spans="1:22" s="3" customFormat="1">
      <c r="A1655" s="165"/>
      <c r="B1655" s="94"/>
      <c r="C1655" s="165"/>
      <c r="D1655" s="165"/>
      <c r="E1655" s="165"/>
      <c r="F1655" s="165"/>
      <c r="G1655" s="165"/>
      <c r="H1655" s="165"/>
      <c r="I1655" s="165"/>
      <c r="J1655" s="165"/>
      <c r="K1655" s="165"/>
      <c r="L1655" s="165"/>
      <c r="M1655" s="165"/>
      <c r="N1655" s="165"/>
      <c r="O1655" s="165"/>
      <c r="P1655" s="165"/>
      <c r="R1655"/>
      <c r="S1655"/>
      <c r="U1655"/>
      <c r="V1655"/>
    </row>
    <row r="1656" spans="1:22" s="3" customFormat="1">
      <c r="A1656" s="165"/>
      <c r="B1656" s="94"/>
      <c r="C1656" s="165"/>
      <c r="D1656" s="165"/>
      <c r="E1656" s="165"/>
      <c r="F1656" s="165"/>
      <c r="G1656" s="165"/>
      <c r="H1656" s="165"/>
      <c r="I1656" s="165"/>
      <c r="J1656" s="165"/>
      <c r="K1656" s="165"/>
      <c r="L1656" s="165"/>
      <c r="M1656" s="165"/>
      <c r="N1656" s="165"/>
      <c r="O1656" s="165"/>
      <c r="P1656" s="165"/>
      <c r="R1656"/>
      <c r="S1656"/>
      <c r="U1656"/>
      <c r="V1656"/>
    </row>
    <row r="1657" spans="1:22" s="3" customFormat="1">
      <c r="A1657" s="7"/>
      <c r="B1657" s="165"/>
      <c r="C1657" s="165"/>
      <c r="D1657" s="165"/>
      <c r="E1657" s="165"/>
      <c r="F1657" s="165"/>
      <c r="G1657" s="165"/>
      <c r="H1657" s="165"/>
      <c r="I1657" s="165"/>
      <c r="J1657" s="165"/>
      <c r="K1657" s="165"/>
      <c r="L1657" s="165"/>
      <c r="M1657" s="165"/>
      <c r="N1657" s="165"/>
      <c r="O1657" s="165"/>
      <c r="P1657" s="165"/>
      <c r="R1657"/>
      <c r="S1657"/>
      <c r="U1657"/>
      <c r="V1657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846"/>
  <sheetViews>
    <sheetView topLeftCell="A1686" zoomScale="90" zoomScaleNormal="90" workbookViewId="0">
      <selection activeCell="G1699" sqref="G1699:G1706"/>
    </sheetView>
  </sheetViews>
  <sheetFormatPr defaultRowHeight="16.5"/>
  <cols>
    <col min="1" max="1" width="11.125" style="95" customWidth="1"/>
    <col min="2" max="2" width="10.625" style="179" customWidth="1"/>
    <col min="3" max="3" width="11" style="179" customWidth="1"/>
    <col min="4" max="4" width="7.875" style="179" customWidth="1"/>
    <col min="5" max="5" width="19.25" style="179" customWidth="1"/>
    <col min="6" max="6" width="10.75" style="179" customWidth="1"/>
    <col min="7" max="9" width="10.25" style="179" customWidth="1"/>
    <col min="10" max="11" width="10.125" style="179" bestFit="1" customWidth="1"/>
    <col min="12" max="13" width="10.125" style="179" customWidth="1"/>
    <col min="14" max="14" width="10.125" style="179" bestFit="1" customWidth="1"/>
    <col min="15" max="15" width="11.5" style="179" bestFit="1" customWidth="1"/>
    <col min="16" max="16" width="10.625" style="179" customWidth="1"/>
    <col min="17" max="17" width="11.25" style="3" customWidth="1"/>
    <col min="18" max="19" width="10.625" customWidth="1"/>
    <col min="20" max="20" width="9" style="3" customWidth="1"/>
    <col min="21" max="21" width="13.25" bestFit="1" customWidth="1"/>
  </cols>
  <sheetData>
    <row r="1" spans="1:20">
      <c r="A1" t="s">
        <v>2117</v>
      </c>
      <c r="B1"/>
      <c r="C1" s="64" t="e">
        <f>#REF!+#REF!</f>
        <v>#REF!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T1"/>
    </row>
    <row r="2" spans="1:20" s="114" customFormat="1">
      <c r="A2" s="114" t="s">
        <v>3638</v>
      </c>
      <c r="B2" s="211"/>
      <c r="C2" s="211"/>
      <c r="D2" s="211"/>
      <c r="E2" s="211" t="s">
        <v>2917</v>
      </c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T2" s="211"/>
    </row>
    <row r="3" spans="1:20" s="770" customFormat="1">
      <c r="A3" s="770" t="s">
        <v>2122</v>
      </c>
      <c r="C3" s="172">
        <f>Q141</f>
        <v>1286910</v>
      </c>
      <c r="D3" s="165"/>
      <c r="E3" s="163" t="s">
        <v>2530</v>
      </c>
      <c r="F3" s="335">
        <v>1638675</v>
      </c>
      <c r="J3" s="165"/>
      <c r="K3" s="165"/>
      <c r="L3" s="165"/>
      <c r="M3" s="165"/>
      <c r="N3" s="165"/>
      <c r="O3" s="165"/>
      <c r="Q3" s="165"/>
      <c r="T3" s="165"/>
    </row>
    <row r="4" spans="1:20" s="770" customFormat="1">
      <c r="A4" s="770" t="s">
        <v>2123</v>
      </c>
      <c r="C4" s="172">
        <f>T141</f>
        <v>345</v>
      </c>
      <c r="D4" s="165"/>
      <c r="E4" s="770" t="s">
        <v>2125</v>
      </c>
      <c r="F4" s="172">
        <f>G281</f>
        <v>2736915</v>
      </c>
      <c r="J4" s="165"/>
      <c r="K4" s="165"/>
      <c r="L4" s="165"/>
      <c r="M4" s="165"/>
      <c r="N4" s="165"/>
      <c r="O4" s="165"/>
      <c r="Q4" s="165"/>
      <c r="T4" s="165"/>
    </row>
    <row r="5" spans="1:20" s="770" customFormat="1">
      <c r="A5" s="770" t="s">
        <v>2124</v>
      </c>
      <c r="C5" s="172">
        <f>R141</f>
        <v>1241205</v>
      </c>
      <c r="D5" s="165"/>
      <c r="E5" s="770" t="s">
        <v>2127</v>
      </c>
      <c r="F5" s="188">
        <v>2046262</v>
      </c>
      <c r="J5" s="165"/>
      <c r="K5" s="165"/>
      <c r="L5" s="165"/>
      <c r="M5" s="165"/>
      <c r="N5" s="165"/>
      <c r="O5" s="165"/>
      <c r="Q5" s="165"/>
      <c r="T5" s="165"/>
    </row>
    <row r="6" spans="1:20" s="770" customFormat="1">
      <c r="A6" s="770" t="s">
        <v>248</v>
      </c>
      <c r="C6" s="146">
        <f>C5-C7</f>
        <v>1212915</v>
      </c>
      <c r="D6" s="165"/>
      <c r="E6" s="770" t="s">
        <v>2128</v>
      </c>
      <c r="F6" s="188">
        <v>45360</v>
      </c>
      <c r="G6" s="164"/>
      <c r="H6" s="164"/>
      <c r="I6" s="164"/>
      <c r="J6" s="165"/>
      <c r="K6" s="165"/>
      <c r="L6" s="165"/>
      <c r="M6" s="165"/>
      <c r="N6" s="165"/>
      <c r="O6" s="165"/>
      <c r="Q6" s="165"/>
      <c r="T6" s="165"/>
    </row>
    <row r="7" spans="1:20" s="770" customFormat="1">
      <c r="A7" s="219" t="s">
        <v>245</v>
      </c>
      <c r="C7" s="172">
        <f>14145+14145</f>
        <v>28290</v>
      </c>
      <c r="D7" s="165"/>
      <c r="E7" s="219" t="s">
        <v>2126</v>
      </c>
      <c r="F7" s="188">
        <f>F3+F4-F5-F6</f>
        <v>2283968</v>
      </c>
      <c r="G7" s="164"/>
      <c r="H7" s="164"/>
      <c r="I7" s="164"/>
      <c r="J7" s="165"/>
      <c r="K7" s="165"/>
      <c r="L7" s="165"/>
      <c r="M7" s="165"/>
      <c r="N7" s="165"/>
      <c r="O7" s="165"/>
      <c r="Q7" s="165"/>
      <c r="T7" s="165"/>
    </row>
    <row r="8" spans="1:20" s="114" customFormat="1" ht="9.75" customHeight="1">
      <c r="A8" s="223"/>
      <c r="B8" s="211"/>
      <c r="C8" s="224"/>
      <c r="D8" s="211"/>
      <c r="F8" s="224"/>
      <c r="G8" s="225"/>
      <c r="H8" s="225"/>
      <c r="I8" s="225"/>
      <c r="J8" s="211"/>
      <c r="K8" s="211"/>
      <c r="L8" s="211"/>
      <c r="M8" s="211"/>
      <c r="N8" s="211"/>
      <c r="O8" s="211"/>
      <c r="Q8" s="211"/>
      <c r="T8" s="211"/>
    </row>
    <row r="9" spans="1:20" s="176" customFormat="1" ht="20.25" customHeight="1">
      <c r="A9" s="203" t="s">
        <v>256</v>
      </c>
      <c r="B9" s="200"/>
      <c r="C9" s="201"/>
      <c r="D9" s="202"/>
      <c r="E9" s="201"/>
      <c r="F9" s="185" t="s">
        <v>2378</v>
      </c>
      <c r="G9" s="185">
        <f>SUM(G11:G140)</f>
        <v>1803285</v>
      </c>
      <c r="H9" s="185"/>
      <c r="I9" s="185"/>
      <c r="J9" s="185">
        <f>SUM(J11:J140)</f>
        <v>1803285</v>
      </c>
      <c r="K9" s="185">
        <f>SUM(K11:K140)</f>
        <v>1803285</v>
      </c>
      <c r="L9" s="185"/>
      <c r="M9" s="185"/>
      <c r="N9" s="185">
        <f>SUM(N11:N140)</f>
        <v>0</v>
      </c>
      <c r="O9" s="185"/>
      <c r="P9" s="185"/>
      <c r="Q9" s="185"/>
      <c r="T9" s="185"/>
    </row>
    <row r="10" spans="1:20" s="180" customFormat="1">
      <c r="A10" s="181" t="s">
        <v>1281</v>
      </c>
      <c r="B10" s="181" t="s">
        <v>2529</v>
      </c>
      <c r="C10" s="181" t="s">
        <v>1385</v>
      </c>
      <c r="D10" s="181" t="s">
        <v>1275</v>
      </c>
      <c r="E10" s="181" t="s">
        <v>265</v>
      </c>
      <c r="F10" s="181" t="s">
        <v>1280</v>
      </c>
      <c r="G10" s="181" t="s">
        <v>2434</v>
      </c>
      <c r="H10" s="181"/>
      <c r="I10" s="181"/>
      <c r="J10" s="181" t="s">
        <v>1892</v>
      </c>
      <c r="K10" s="181" t="s">
        <v>1892</v>
      </c>
      <c r="L10" s="181"/>
      <c r="M10" s="181"/>
      <c r="N10" s="181" t="s">
        <v>2438</v>
      </c>
      <c r="O10" s="181" t="s">
        <v>1282</v>
      </c>
      <c r="P10" s="181" t="s">
        <v>1386</v>
      </c>
      <c r="Q10" s="181"/>
      <c r="T10" s="181"/>
    </row>
    <row r="11" spans="1:20">
      <c r="A11" s="95">
        <v>20100101</v>
      </c>
      <c r="B11" s="179">
        <v>5</v>
      </c>
      <c r="C11" s="221" t="s">
        <v>1305</v>
      </c>
      <c r="D11" s="179">
        <v>5</v>
      </c>
      <c r="E11" s="221" t="s">
        <v>2717</v>
      </c>
      <c r="F11" s="179" t="s">
        <v>2716</v>
      </c>
      <c r="G11" s="179">
        <v>14175</v>
      </c>
      <c r="J11" s="179">
        <v>14175</v>
      </c>
      <c r="K11" s="179">
        <v>14175</v>
      </c>
      <c r="N11" s="179">
        <f t="shared" ref="N11:N74" si="0">G11-J11</f>
        <v>0</v>
      </c>
      <c r="O11" s="179" t="s">
        <v>419</v>
      </c>
      <c r="P11" s="179" t="s">
        <v>572</v>
      </c>
    </row>
    <row r="12" spans="1:20">
      <c r="A12" s="95">
        <v>20100101</v>
      </c>
      <c r="B12" s="179">
        <v>6</v>
      </c>
      <c r="C12" s="221" t="s">
        <v>1305</v>
      </c>
      <c r="D12" s="179">
        <v>6</v>
      </c>
      <c r="E12" s="221" t="s">
        <v>2388</v>
      </c>
      <c r="F12" s="179" t="s">
        <v>2387</v>
      </c>
      <c r="G12" s="179">
        <v>14175</v>
      </c>
      <c r="J12" s="179">
        <v>14175</v>
      </c>
      <c r="K12" s="179">
        <v>14175</v>
      </c>
      <c r="N12" s="179">
        <f t="shared" si="0"/>
        <v>0</v>
      </c>
      <c r="O12" s="179" t="s">
        <v>2751</v>
      </c>
      <c r="P12" s="179" t="s">
        <v>2752</v>
      </c>
    </row>
    <row r="13" spans="1:20">
      <c r="A13" s="95">
        <v>20100101</v>
      </c>
      <c r="B13" s="179">
        <v>7</v>
      </c>
      <c r="C13" s="221" t="s">
        <v>1305</v>
      </c>
      <c r="D13" s="179">
        <v>7</v>
      </c>
      <c r="E13" s="221" t="s">
        <v>1901</v>
      </c>
      <c r="F13" s="179" t="s">
        <v>1900</v>
      </c>
      <c r="G13" s="179">
        <v>14175</v>
      </c>
      <c r="J13" s="179">
        <v>14175</v>
      </c>
      <c r="K13" s="179">
        <v>14175</v>
      </c>
      <c r="N13" s="179">
        <f t="shared" si="0"/>
        <v>0</v>
      </c>
      <c r="O13" s="179" t="s">
        <v>2746</v>
      </c>
      <c r="P13" s="179" t="s">
        <v>2747</v>
      </c>
    </row>
    <row r="14" spans="1:20">
      <c r="A14" s="95">
        <v>20100101</v>
      </c>
      <c r="B14" s="179">
        <v>8</v>
      </c>
      <c r="C14" s="221" t="s">
        <v>1305</v>
      </c>
      <c r="D14" s="179">
        <v>8</v>
      </c>
      <c r="E14" s="221" t="s">
        <v>2655</v>
      </c>
      <c r="F14" s="179" t="s">
        <v>2654</v>
      </c>
      <c r="G14" s="179">
        <v>14175</v>
      </c>
      <c r="J14" s="179">
        <v>14175</v>
      </c>
      <c r="K14" s="179">
        <v>14175</v>
      </c>
      <c r="N14" s="179">
        <f t="shared" si="0"/>
        <v>0</v>
      </c>
      <c r="O14" s="179" t="s">
        <v>415</v>
      </c>
      <c r="P14" s="179" t="s">
        <v>2563</v>
      </c>
    </row>
    <row r="15" spans="1:20">
      <c r="A15" s="95">
        <v>20100106</v>
      </c>
      <c r="B15" s="179">
        <v>13</v>
      </c>
      <c r="C15" s="221" t="s">
        <v>2424</v>
      </c>
      <c r="D15" s="179">
        <v>5</v>
      </c>
      <c r="E15" s="221" t="s">
        <v>2698</v>
      </c>
      <c r="F15" s="179" t="s">
        <v>2696</v>
      </c>
      <c r="G15" s="179">
        <v>14175</v>
      </c>
      <c r="J15" s="179">
        <v>14175</v>
      </c>
      <c r="K15" s="179">
        <v>14175</v>
      </c>
      <c r="N15" s="179">
        <f t="shared" si="0"/>
        <v>0</v>
      </c>
      <c r="O15" s="179" t="s">
        <v>567</v>
      </c>
      <c r="P15" s="179" t="s">
        <v>568</v>
      </c>
    </row>
    <row r="16" spans="1:20">
      <c r="A16" s="95">
        <v>20100106</v>
      </c>
      <c r="B16" s="179">
        <v>14</v>
      </c>
      <c r="C16" s="221" t="s">
        <v>2424</v>
      </c>
      <c r="D16" s="179">
        <v>6</v>
      </c>
      <c r="E16" s="221" t="s">
        <v>3869</v>
      </c>
      <c r="F16" s="179" t="s">
        <v>3867</v>
      </c>
      <c r="G16" s="179">
        <v>14175</v>
      </c>
      <c r="J16" s="179">
        <v>14175</v>
      </c>
      <c r="K16" s="179">
        <v>14175</v>
      </c>
      <c r="N16" s="179">
        <f t="shared" si="0"/>
        <v>0</v>
      </c>
      <c r="O16" s="179" t="s">
        <v>573</v>
      </c>
      <c r="P16" s="179" t="s">
        <v>2761</v>
      </c>
    </row>
    <row r="17" spans="1:21">
      <c r="A17" s="95">
        <v>20100106</v>
      </c>
      <c r="B17" s="179">
        <v>15</v>
      </c>
      <c r="C17" s="221" t="s">
        <v>2424</v>
      </c>
      <c r="D17" s="179">
        <v>7</v>
      </c>
      <c r="E17" s="221" t="s">
        <v>2410</v>
      </c>
      <c r="F17" s="179" t="s">
        <v>2409</v>
      </c>
      <c r="G17" s="179">
        <v>14175</v>
      </c>
      <c r="J17" s="179">
        <v>14175</v>
      </c>
      <c r="K17" s="179">
        <v>14175</v>
      </c>
      <c r="N17" s="179">
        <f t="shared" si="0"/>
        <v>0</v>
      </c>
      <c r="O17" s="179" t="s">
        <v>2753</v>
      </c>
      <c r="P17" s="179" t="s">
        <v>2754</v>
      </c>
    </row>
    <row r="18" spans="1:21">
      <c r="A18" s="95">
        <v>20100106</v>
      </c>
      <c r="B18" s="179">
        <v>16</v>
      </c>
      <c r="C18" s="221" t="s">
        <v>2424</v>
      </c>
      <c r="D18" s="179">
        <v>8</v>
      </c>
      <c r="E18" s="221" t="s">
        <v>1623</v>
      </c>
      <c r="F18" s="179" t="s">
        <v>1622</v>
      </c>
      <c r="G18" s="179">
        <v>14175</v>
      </c>
      <c r="J18" s="179">
        <v>14175</v>
      </c>
      <c r="K18" s="179">
        <v>14175</v>
      </c>
      <c r="N18" s="179">
        <f t="shared" si="0"/>
        <v>0</v>
      </c>
      <c r="O18" s="179" t="s">
        <v>574</v>
      </c>
      <c r="P18" s="179" t="s">
        <v>575</v>
      </c>
    </row>
    <row r="19" spans="1:21">
      <c r="A19" s="95">
        <v>20100119</v>
      </c>
      <c r="B19" s="179">
        <v>21</v>
      </c>
      <c r="C19" s="221" t="s">
        <v>2690</v>
      </c>
      <c r="D19" s="179">
        <v>5</v>
      </c>
      <c r="E19" s="221" t="s">
        <v>2706</v>
      </c>
      <c r="F19" s="179" t="s">
        <v>2705</v>
      </c>
      <c r="G19" s="179">
        <v>14175</v>
      </c>
      <c r="J19" s="179">
        <v>14175</v>
      </c>
      <c r="K19" s="179">
        <v>14175</v>
      </c>
      <c r="N19" s="179">
        <f t="shared" si="0"/>
        <v>0</v>
      </c>
      <c r="O19" s="179" t="s">
        <v>417</v>
      </c>
      <c r="P19" s="179" t="s">
        <v>2743</v>
      </c>
    </row>
    <row r="20" spans="1:21">
      <c r="A20" s="95">
        <v>20100119</v>
      </c>
      <c r="B20" s="179">
        <v>22</v>
      </c>
      <c r="C20" s="221" t="s">
        <v>2690</v>
      </c>
      <c r="D20" s="179">
        <v>6</v>
      </c>
      <c r="E20" s="221" t="s">
        <v>3877</v>
      </c>
      <c r="F20" s="179" t="s">
        <v>3876</v>
      </c>
      <c r="G20" s="179">
        <v>14175</v>
      </c>
      <c r="J20" s="179">
        <v>14175</v>
      </c>
      <c r="K20" s="179">
        <v>14175</v>
      </c>
      <c r="N20" s="179">
        <f t="shared" si="0"/>
        <v>0</v>
      </c>
      <c r="O20" s="179" t="s">
        <v>2762</v>
      </c>
      <c r="P20" s="179" t="s">
        <v>2763</v>
      </c>
    </row>
    <row r="21" spans="1:21">
      <c r="A21" s="95">
        <v>20100119</v>
      </c>
      <c r="B21" s="179">
        <v>23</v>
      </c>
      <c r="C21" s="221" t="s">
        <v>2690</v>
      </c>
      <c r="D21" s="179">
        <v>7</v>
      </c>
      <c r="E21" s="221" t="s">
        <v>2418</v>
      </c>
      <c r="F21" s="179" t="s">
        <v>2417</v>
      </c>
      <c r="G21" s="179">
        <v>14175</v>
      </c>
      <c r="J21" s="179">
        <v>14175</v>
      </c>
      <c r="K21" s="179">
        <v>14175</v>
      </c>
      <c r="N21" s="179">
        <f t="shared" si="0"/>
        <v>0</v>
      </c>
      <c r="O21" s="179" t="s">
        <v>2753</v>
      </c>
      <c r="P21" s="179" t="s">
        <v>2754</v>
      </c>
    </row>
    <row r="22" spans="1:21">
      <c r="A22" s="95">
        <v>20100119</v>
      </c>
      <c r="B22" s="179">
        <v>24</v>
      </c>
      <c r="C22" s="221" t="s">
        <v>2690</v>
      </c>
      <c r="D22" s="179">
        <v>8</v>
      </c>
      <c r="E22" s="221" t="s">
        <v>1631</v>
      </c>
      <c r="F22" s="179" t="s">
        <v>1630</v>
      </c>
      <c r="G22" s="179">
        <v>14175</v>
      </c>
      <c r="J22" s="179">
        <v>14175</v>
      </c>
      <c r="K22" s="179">
        <v>14175</v>
      </c>
      <c r="N22" s="179">
        <f t="shared" si="0"/>
        <v>0</v>
      </c>
      <c r="O22" s="179" t="s">
        <v>415</v>
      </c>
      <c r="P22" s="179" t="s">
        <v>2563</v>
      </c>
    </row>
    <row r="23" spans="1:21">
      <c r="A23" s="95">
        <v>20100125</v>
      </c>
      <c r="B23" s="179">
        <v>28</v>
      </c>
      <c r="C23" s="221" t="s">
        <v>1304</v>
      </c>
      <c r="D23" s="179">
        <v>4</v>
      </c>
      <c r="E23" s="221" t="s">
        <v>2704</v>
      </c>
      <c r="F23" s="179" t="s">
        <v>2703</v>
      </c>
      <c r="G23" s="179">
        <v>9450</v>
      </c>
      <c r="J23" s="179">
        <v>9450</v>
      </c>
      <c r="K23" s="179">
        <v>9450</v>
      </c>
      <c r="N23" s="179">
        <f t="shared" si="0"/>
        <v>0</v>
      </c>
      <c r="O23" s="179" t="s">
        <v>417</v>
      </c>
      <c r="P23" s="179" t="s">
        <v>2743</v>
      </c>
      <c r="Q23" s="1"/>
    </row>
    <row r="24" spans="1:21">
      <c r="A24" s="95">
        <v>20100125</v>
      </c>
      <c r="B24" s="179">
        <v>29</v>
      </c>
      <c r="C24" s="221" t="s">
        <v>1304</v>
      </c>
      <c r="D24" s="179">
        <v>5</v>
      </c>
      <c r="E24" s="221" t="s">
        <v>3875</v>
      </c>
      <c r="F24" s="179" t="s">
        <v>3874</v>
      </c>
      <c r="G24" s="179">
        <v>9450</v>
      </c>
      <c r="J24" s="179">
        <v>9450</v>
      </c>
      <c r="K24" s="179">
        <v>9450</v>
      </c>
      <c r="N24" s="179">
        <f t="shared" si="0"/>
        <v>0</v>
      </c>
      <c r="O24" s="179" t="s">
        <v>2762</v>
      </c>
      <c r="P24" s="179" t="s">
        <v>2763</v>
      </c>
      <c r="Q24" s="1"/>
    </row>
    <row r="25" spans="1:21">
      <c r="A25" s="95">
        <v>20100125</v>
      </c>
      <c r="B25" s="179">
        <v>30</v>
      </c>
      <c r="C25" s="221" t="s">
        <v>1304</v>
      </c>
      <c r="D25" s="179">
        <v>6</v>
      </c>
      <c r="E25" s="221" t="s">
        <v>2416</v>
      </c>
      <c r="F25" s="179" t="s">
        <v>2415</v>
      </c>
      <c r="G25" s="179">
        <v>9450</v>
      </c>
      <c r="J25" s="179">
        <v>9450</v>
      </c>
      <c r="K25" s="179">
        <v>9450</v>
      </c>
      <c r="N25" s="179">
        <f t="shared" si="0"/>
        <v>0</v>
      </c>
      <c r="O25" s="179" t="s">
        <v>2753</v>
      </c>
      <c r="P25" s="179" t="s">
        <v>2754</v>
      </c>
      <c r="Q25" s="1"/>
    </row>
    <row r="26" spans="1:21">
      <c r="A26" s="95">
        <v>20100125</v>
      </c>
      <c r="B26" s="179">
        <v>31</v>
      </c>
      <c r="C26" s="221" t="s">
        <v>1304</v>
      </c>
      <c r="D26" s="179">
        <v>7</v>
      </c>
      <c r="E26" s="221" t="s">
        <v>1629</v>
      </c>
      <c r="F26" s="179" t="s">
        <v>1628</v>
      </c>
      <c r="G26" s="179">
        <v>9450</v>
      </c>
      <c r="J26" s="179">
        <v>9450</v>
      </c>
      <c r="K26" s="179">
        <v>9450</v>
      </c>
      <c r="N26" s="179">
        <f t="shared" si="0"/>
        <v>0</v>
      </c>
      <c r="O26" s="179" t="s">
        <v>415</v>
      </c>
      <c r="P26" s="179" t="s">
        <v>2563</v>
      </c>
      <c r="Q26" s="1"/>
    </row>
    <row r="27" spans="1:21">
      <c r="A27" s="95">
        <v>20100125</v>
      </c>
      <c r="B27" s="179">
        <v>32</v>
      </c>
      <c r="C27" s="221" t="s">
        <v>1304</v>
      </c>
      <c r="D27" s="179">
        <v>8</v>
      </c>
      <c r="E27" s="221" t="s">
        <v>1771</v>
      </c>
      <c r="F27" s="179" t="s">
        <v>1770</v>
      </c>
      <c r="G27" s="179">
        <v>9450</v>
      </c>
      <c r="J27" s="179">
        <v>9450</v>
      </c>
      <c r="K27" s="179">
        <v>9450</v>
      </c>
      <c r="N27" s="179">
        <f t="shared" si="0"/>
        <v>0</v>
      </c>
      <c r="O27" s="179" t="s">
        <v>2662</v>
      </c>
      <c r="P27" s="179" t="s">
        <v>2767</v>
      </c>
      <c r="Q27" s="1">
        <v>9450</v>
      </c>
      <c r="R27">
        <v>9450</v>
      </c>
    </row>
    <row r="28" spans="1:21">
      <c r="A28" s="95">
        <v>20100312</v>
      </c>
      <c r="B28" s="179">
        <v>50</v>
      </c>
      <c r="C28" s="221" t="s">
        <v>1246</v>
      </c>
      <c r="D28" s="179">
        <v>5</v>
      </c>
      <c r="E28" s="221" t="s">
        <v>2733</v>
      </c>
      <c r="F28" s="179" t="s">
        <v>2732</v>
      </c>
      <c r="G28" s="179">
        <v>13500</v>
      </c>
      <c r="J28" s="179">
        <v>13500</v>
      </c>
      <c r="K28" s="179">
        <v>13500</v>
      </c>
      <c r="N28" s="179">
        <f t="shared" si="0"/>
        <v>0</v>
      </c>
      <c r="O28" s="179" t="s">
        <v>571</v>
      </c>
      <c r="P28" s="179" t="s">
        <v>421</v>
      </c>
    </row>
    <row r="29" spans="1:21">
      <c r="A29" s="95">
        <v>20100312</v>
      </c>
      <c r="B29" s="179">
        <v>51</v>
      </c>
      <c r="C29" s="221" t="s">
        <v>1246</v>
      </c>
      <c r="D29" s="179">
        <v>6</v>
      </c>
      <c r="E29" s="221" t="s">
        <v>2403</v>
      </c>
      <c r="F29" s="179" t="s">
        <v>2402</v>
      </c>
      <c r="G29" s="179">
        <v>13500</v>
      </c>
      <c r="J29" s="179">
        <v>13500</v>
      </c>
      <c r="K29" s="179">
        <v>13500</v>
      </c>
      <c r="N29" s="179">
        <f t="shared" si="0"/>
        <v>0</v>
      </c>
      <c r="O29" s="179" t="s">
        <v>2758</v>
      </c>
      <c r="P29" s="179" t="s">
        <v>2759</v>
      </c>
    </row>
    <row r="30" spans="1:21">
      <c r="A30" s="95">
        <v>20100312</v>
      </c>
      <c r="B30" s="179">
        <v>52</v>
      </c>
      <c r="C30" s="221" t="s">
        <v>1246</v>
      </c>
      <c r="D30" s="179">
        <v>7</v>
      </c>
      <c r="E30" s="221" t="s">
        <v>1616</v>
      </c>
      <c r="F30" s="179" t="s">
        <v>1615</v>
      </c>
      <c r="G30" s="179">
        <v>13500</v>
      </c>
      <c r="J30" s="179">
        <v>13500</v>
      </c>
      <c r="K30" s="179">
        <v>13500</v>
      </c>
      <c r="N30" s="179">
        <f t="shared" si="0"/>
        <v>0</v>
      </c>
      <c r="O30" s="179" t="s">
        <v>2760</v>
      </c>
      <c r="P30" s="179" t="s">
        <v>2755</v>
      </c>
    </row>
    <row r="31" spans="1:21" s="114" customFormat="1">
      <c r="A31" s="114">
        <v>20100312</v>
      </c>
      <c r="B31" s="211">
        <v>53</v>
      </c>
      <c r="C31" s="222" t="s">
        <v>1246</v>
      </c>
      <c r="D31" s="211">
        <v>8</v>
      </c>
      <c r="E31" s="222" t="s">
        <v>2569</v>
      </c>
      <c r="F31" s="211" t="s">
        <v>2568</v>
      </c>
      <c r="G31" s="211">
        <v>13500</v>
      </c>
      <c r="H31" s="211"/>
      <c r="I31" s="211"/>
      <c r="J31" s="211">
        <v>13500</v>
      </c>
      <c r="K31" s="211">
        <v>13500</v>
      </c>
      <c r="L31" s="211"/>
      <c r="M31" s="211"/>
      <c r="N31" s="211">
        <f t="shared" si="0"/>
        <v>0</v>
      </c>
      <c r="O31" s="211" t="s">
        <v>486</v>
      </c>
      <c r="P31" s="211" t="s">
        <v>486</v>
      </c>
      <c r="Q31" s="114">
        <v>13500</v>
      </c>
      <c r="R31" s="114">
        <v>13500</v>
      </c>
      <c r="T31" s="211"/>
      <c r="U31" s="211" t="s">
        <v>254</v>
      </c>
    </row>
    <row r="32" spans="1:21">
      <c r="A32" s="95">
        <v>20100402</v>
      </c>
      <c r="B32" s="179">
        <v>59</v>
      </c>
      <c r="C32" s="221" t="s">
        <v>1775</v>
      </c>
      <c r="D32" s="179">
        <v>4</v>
      </c>
      <c r="E32" s="221" t="s">
        <v>2708</v>
      </c>
      <c r="F32" s="179" t="s">
        <v>2707</v>
      </c>
      <c r="G32" s="179">
        <v>10800</v>
      </c>
      <c r="J32" s="179">
        <v>10800</v>
      </c>
      <c r="K32" s="179">
        <v>10800</v>
      </c>
      <c r="N32" s="179">
        <f t="shared" si="0"/>
        <v>0</v>
      </c>
      <c r="O32" s="179" t="s">
        <v>417</v>
      </c>
      <c r="P32" s="179" t="s">
        <v>2743</v>
      </c>
    </row>
    <row r="33" spans="1:18">
      <c r="A33" s="95">
        <v>20100402</v>
      </c>
      <c r="B33" s="179">
        <v>60</v>
      </c>
      <c r="C33" s="221" t="s">
        <v>1775</v>
      </c>
      <c r="D33" s="179">
        <v>5</v>
      </c>
      <c r="E33" s="221" t="s">
        <v>3879</v>
      </c>
      <c r="F33" s="179" t="s">
        <v>3878</v>
      </c>
      <c r="G33" s="179">
        <v>10800</v>
      </c>
      <c r="J33" s="179">
        <v>10800</v>
      </c>
      <c r="K33" s="179">
        <v>10800</v>
      </c>
      <c r="N33" s="179">
        <f t="shared" si="0"/>
        <v>0</v>
      </c>
      <c r="O33" s="179" t="s">
        <v>2744</v>
      </c>
      <c r="P33" s="179" t="s">
        <v>2745</v>
      </c>
    </row>
    <row r="34" spans="1:18">
      <c r="A34" s="95">
        <v>20100402</v>
      </c>
      <c r="B34" s="179">
        <v>61</v>
      </c>
      <c r="C34" s="221" t="s">
        <v>1775</v>
      </c>
      <c r="D34" s="179">
        <v>6</v>
      </c>
      <c r="E34" s="221" t="s">
        <v>1894</v>
      </c>
      <c r="F34" s="179" t="s">
        <v>1893</v>
      </c>
      <c r="G34" s="179">
        <v>10800</v>
      </c>
      <c r="J34" s="179">
        <v>10800</v>
      </c>
      <c r="K34" s="179">
        <v>10800</v>
      </c>
      <c r="N34" s="179">
        <f t="shared" si="0"/>
        <v>0</v>
      </c>
      <c r="O34" s="179" t="s">
        <v>2746</v>
      </c>
      <c r="P34" s="179" t="s">
        <v>2747</v>
      </c>
    </row>
    <row r="35" spans="1:18">
      <c r="A35" s="95">
        <v>20100402</v>
      </c>
      <c r="B35" s="179">
        <v>62</v>
      </c>
      <c r="C35" s="221" t="s">
        <v>1775</v>
      </c>
      <c r="D35" s="179">
        <v>7</v>
      </c>
      <c r="E35" s="221" t="s">
        <v>2650</v>
      </c>
      <c r="F35" s="179" t="s">
        <v>2649</v>
      </c>
      <c r="G35" s="179">
        <v>10800</v>
      </c>
      <c r="J35" s="179">
        <v>10800</v>
      </c>
      <c r="K35" s="179">
        <v>10800</v>
      </c>
      <c r="N35" s="179">
        <f t="shared" si="0"/>
        <v>0</v>
      </c>
      <c r="O35" s="179" t="s">
        <v>415</v>
      </c>
      <c r="P35" s="179" t="s">
        <v>2563</v>
      </c>
    </row>
    <row r="36" spans="1:18">
      <c r="A36" s="95">
        <v>20100402</v>
      </c>
      <c r="B36" s="179">
        <v>63</v>
      </c>
      <c r="C36" s="221" t="s">
        <v>1775</v>
      </c>
      <c r="D36" s="179">
        <v>8</v>
      </c>
      <c r="E36" s="221" t="s">
        <v>1774</v>
      </c>
      <c r="F36" s="179" t="s">
        <v>1772</v>
      </c>
      <c r="G36" s="179">
        <v>10800</v>
      </c>
      <c r="J36" s="179">
        <v>10800</v>
      </c>
      <c r="K36" s="179">
        <v>10800</v>
      </c>
      <c r="N36" s="179">
        <f t="shared" si="0"/>
        <v>0</v>
      </c>
      <c r="O36" s="179" t="s">
        <v>2662</v>
      </c>
      <c r="P36" s="179" t="s">
        <v>2767</v>
      </c>
      <c r="Q36" s="3">
        <v>10800</v>
      </c>
      <c r="R36">
        <v>10800</v>
      </c>
    </row>
    <row r="37" spans="1:18">
      <c r="A37" s="95">
        <v>20100420</v>
      </c>
      <c r="B37" s="179">
        <v>68</v>
      </c>
      <c r="C37" s="221" t="s">
        <v>2688</v>
      </c>
      <c r="D37" s="179">
        <v>4</v>
      </c>
      <c r="E37" s="221" t="s">
        <v>2709</v>
      </c>
      <c r="F37" s="179" t="s">
        <v>2707</v>
      </c>
      <c r="G37" s="179">
        <v>14175</v>
      </c>
      <c r="J37" s="179">
        <v>14175</v>
      </c>
      <c r="K37" s="179">
        <v>14175</v>
      </c>
      <c r="N37" s="179">
        <f t="shared" si="0"/>
        <v>0</v>
      </c>
      <c r="O37" s="179" t="s">
        <v>417</v>
      </c>
      <c r="P37" s="179" t="s">
        <v>2743</v>
      </c>
    </row>
    <row r="38" spans="1:18">
      <c r="A38" s="95">
        <v>20100420</v>
      </c>
      <c r="B38" s="179">
        <v>69</v>
      </c>
      <c r="C38" s="221" t="s">
        <v>2688</v>
      </c>
      <c r="D38" s="179">
        <v>5</v>
      </c>
      <c r="E38" s="221" t="s">
        <v>3880</v>
      </c>
      <c r="F38" s="179" t="s">
        <v>3878</v>
      </c>
      <c r="G38" s="179">
        <v>14175</v>
      </c>
      <c r="J38" s="179">
        <v>14175</v>
      </c>
      <c r="K38" s="179">
        <v>14175</v>
      </c>
      <c r="N38" s="179">
        <f t="shared" si="0"/>
        <v>0</v>
      </c>
      <c r="O38" s="179" t="s">
        <v>2744</v>
      </c>
      <c r="P38" s="179" t="s">
        <v>2745</v>
      </c>
    </row>
    <row r="39" spans="1:18">
      <c r="A39" s="95">
        <v>20100420</v>
      </c>
      <c r="B39" s="179">
        <v>70</v>
      </c>
      <c r="C39" s="221" t="s">
        <v>2688</v>
      </c>
      <c r="D39" s="179">
        <v>6</v>
      </c>
      <c r="E39" s="221" t="s">
        <v>1895</v>
      </c>
      <c r="F39" s="179" t="s">
        <v>1893</v>
      </c>
      <c r="G39" s="179">
        <v>14175</v>
      </c>
      <c r="J39" s="179">
        <v>14175</v>
      </c>
      <c r="K39" s="179">
        <v>14175</v>
      </c>
      <c r="N39" s="179">
        <f t="shared" si="0"/>
        <v>0</v>
      </c>
      <c r="O39" s="179" t="s">
        <v>2746</v>
      </c>
      <c r="P39" s="179" t="s">
        <v>2747</v>
      </c>
    </row>
    <row r="40" spans="1:18">
      <c r="A40" s="95">
        <v>20100420</v>
      </c>
      <c r="B40" s="179">
        <v>71</v>
      </c>
      <c r="C40" s="221" t="s">
        <v>2688</v>
      </c>
      <c r="D40" s="179">
        <v>7</v>
      </c>
      <c r="E40" s="221" t="s">
        <v>2651</v>
      </c>
      <c r="F40" s="179" t="s">
        <v>2649</v>
      </c>
      <c r="G40" s="179">
        <v>14175</v>
      </c>
      <c r="J40" s="179">
        <v>14175</v>
      </c>
      <c r="K40" s="179">
        <v>14175</v>
      </c>
      <c r="N40" s="179">
        <f t="shared" si="0"/>
        <v>0</v>
      </c>
      <c r="O40" s="179" t="s">
        <v>415</v>
      </c>
      <c r="P40" s="179" t="s">
        <v>2563</v>
      </c>
    </row>
    <row r="41" spans="1:18">
      <c r="A41" s="95">
        <v>20100420</v>
      </c>
      <c r="B41" s="179">
        <v>72</v>
      </c>
      <c r="C41" s="221" t="s">
        <v>2688</v>
      </c>
      <c r="D41" s="179">
        <v>8</v>
      </c>
      <c r="E41" s="221" t="s">
        <v>1773</v>
      </c>
      <c r="F41" s="179" t="s">
        <v>1772</v>
      </c>
      <c r="G41" s="179">
        <v>14175</v>
      </c>
      <c r="J41" s="179">
        <v>14175</v>
      </c>
      <c r="K41" s="179">
        <v>14175</v>
      </c>
      <c r="N41" s="179">
        <f t="shared" si="0"/>
        <v>0</v>
      </c>
      <c r="O41" s="179" t="s">
        <v>2662</v>
      </c>
      <c r="P41" s="179" t="s">
        <v>2767</v>
      </c>
      <c r="Q41" s="3">
        <v>14175</v>
      </c>
      <c r="R41">
        <v>14175</v>
      </c>
    </row>
    <row r="42" spans="1:18">
      <c r="A42" s="95">
        <v>20100422</v>
      </c>
      <c r="B42" s="179">
        <v>76</v>
      </c>
      <c r="C42" s="221" t="s">
        <v>1301</v>
      </c>
      <c r="D42" s="179">
        <v>4</v>
      </c>
      <c r="E42" s="221" t="s">
        <v>2715</v>
      </c>
      <c r="F42" s="179" t="s">
        <v>2714</v>
      </c>
      <c r="G42" s="179">
        <v>14175</v>
      </c>
      <c r="J42" s="179">
        <v>14175</v>
      </c>
      <c r="K42" s="179">
        <v>14175</v>
      </c>
      <c r="N42" s="179">
        <f t="shared" si="0"/>
        <v>0</v>
      </c>
      <c r="O42" s="179" t="s">
        <v>419</v>
      </c>
      <c r="P42" s="179" t="s">
        <v>572</v>
      </c>
    </row>
    <row r="43" spans="1:18">
      <c r="A43" s="95">
        <v>20100422</v>
      </c>
      <c r="B43" s="179">
        <v>77</v>
      </c>
      <c r="C43" s="221" t="s">
        <v>1301</v>
      </c>
      <c r="D43" s="179">
        <v>5</v>
      </c>
      <c r="E43" s="221" t="s">
        <v>2386</v>
      </c>
      <c r="F43" s="179" t="s">
        <v>2385</v>
      </c>
      <c r="G43" s="179">
        <v>14175</v>
      </c>
      <c r="J43" s="179">
        <v>14175</v>
      </c>
      <c r="K43" s="179">
        <v>14175</v>
      </c>
      <c r="N43" s="179">
        <f t="shared" si="0"/>
        <v>0</v>
      </c>
      <c r="O43" s="179" t="s">
        <v>2751</v>
      </c>
      <c r="P43" s="179" t="s">
        <v>2752</v>
      </c>
    </row>
    <row r="44" spans="1:18">
      <c r="A44" s="95">
        <v>20100422</v>
      </c>
      <c r="B44" s="179">
        <v>78</v>
      </c>
      <c r="C44" s="221" t="s">
        <v>1301</v>
      </c>
      <c r="D44" s="179">
        <v>6</v>
      </c>
      <c r="E44" s="221" t="s">
        <v>1899</v>
      </c>
      <c r="F44" s="179" t="s">
        <v>1898</v>
      </c>
      <c r="G44" s="179">
        <v>14175</v>
      </c>
      <c r="J44" s="179">
        <v>14175</v>
      </c>
      <c r="K44" s="179">
        <v>14175</v>
      </c>
      <c r="N44" s="179">
        <f t="shared" si="0"/>
        <v>0</v>
      </c>
      <c r="O44" s="179" t="s">
        <v>2746</v>
      </c>
      <c r="P44" s="179" t="s">
        <v>2747</v>
      </c>
    </row>
    <row r="45" spans="1:18">
      <c r="A45" s="95">
        <v>20100422</v>
      </c>
      <c r="B45" s="179">
        <v>79</v>
      </c>
      <c r="C45" s="221" t="s">
        <v>1301</v>
      </c>
      <c r="D45" s="179">
        <v>7</v>
      </c>
      <c r="E45" s="221" t="s">
        <v>2653</v>
      </c>
      <c r="F45" s="179" t="s">
        <v>2652</v>
      </c>
      <c r="G45" s="179">
        <v>14175</v>
      </c>
      <c r="J45" s="179">
        <v>14175</v>
      </c>
      <c r="K45" s="179">
        <v>14175</v>
      </c>
      <c r="N45" s="179">
        <f t="shared" si="0"/>
        <v>0</v>
      </c>
      <c r="O45" s="179" t="s">
        <v>415</v>
      </c>
      <c r="P45" s="179" t="s">
        <v>2563</v>
      </c>
    </row>
    <row r="46" spans="1:18">
      <c r="A46" s="95">
        <v>20100422</v>
      </c>
      <c r="B46" s="179">
        <v>80</v>
      </c>
      <c r="C46" s="221" t="s">
        <v>1301</v>
      </c>
      <c r="D46" s="179">
        <v>8</v>
      </c>
      <c r="E46" s="221" t="s">
        <v>1777</v>
      </c>
      <c r="F46" s="179" t="s">
        <v>1776</v>
      </c>
      <c r="G46" s="179">
        <v>14175</v>
      </c>
      <c r="J46" s="179">
        <v>14175</v>
      </c>
      <c r="K46" s="179">
        <v>14175</v>
      </c>
      <c r="N46" s="179">
        <f t="shared" si="0"/>
        <v>0</v>
      </c>
      <c r="O46" s="179" t="s">
        <v>2768</v>
      </c>
      <c r="P46" s="179" t="s">
        <v>815</v>
      </c>
      <c r="Q46" s="3">
        <v>14175</v>
      </c>
      <c r="R46">
        <v>14175</v>
      </c>
    </row>
    <row r="47" spans="1:18">
      <c r="A47" s="95">
        <v>20100511</v>
      </c>
      <c r="B47" s="179">
        <v>86</v>
      </c>
      <c r="C47" s="221" t="s">
        <v>1781</v>
      </c>
      <c r="D47" s="179">
        <v>4</v>
      </c>
      <c r="E47" s="221" t="s">
        <v>2720</v>
      </c>
      <c r="F47" s="179" t="s">
        <v>2719</v>
      </c>
      <c r="G47" s="179">
        <v>14175</v>
      </c>
      <c r="J47" s="179">
        <v>14175</v>
      </c>
      <c r="K47" s="179">
        <v>14175</v>
      </c>
      <c r="N47" s="179">
        <f t="shared" si="0"/>
        <v>0</v>
      </c>
      <c r="O47" s="179" t="s">
        <v>2756</v>
      </c>
      <c r="P47" s="179" t="s">
        <v>2757</v>
      </c>
    </row>
    <row r="48" spans="1:18">
      <c r="A48" s="95">
        <v>20100511</v>
      </c>
      <c r="B48" s="179">
        <v>87</v>
      </c>
      <c r="C48" s="221" t="s">
        <v>1781</v>
      </c>
      <c r="D48" s="179">
        <v>5</v>
      </c>
      <c r="E48" s="221" t="s">
        <v>2391</v>
      </c>
      <c r="F48" s="179" t="s">
        <v>2390</v>
      </c>
      <c r="G48" s="179">
        <v>14175</v>
      </c>
      <c r="J48" s="179">
        <v>14175</v>
      </c>
      <c r="K48" s="179">
        <v>14175</v>
      </c>
      <c r="N48" s="179">
        <f t="shared" si="0"/>
        <v>0</v>
      </c>
      <c r="O48" s="179" t="s">
        <v>2751</v>
      </c>
      <c r="P48" s="179" t="s">
        <v>2752</v>
      </c>
    </row>
    <row r="49" spans="1:21">
      <c r="A49" s="95">
        <v>20100511</v>
      </c>
      <c r="B49" s="179">
        <v>88</v>
      </c>
      <c r="C49" s="221" t="s">
        <v>1781</v>
      </c>
      <c r="D49" s="179">
        <v>6</v>
      </c>
      <c r="E49" s="221" t="s">
        <v>1904</v>
      </c>
      <c r="F49" s="179" t="s">
        <v>1903</v>
      </c>
      <c r="G49" s="179">
        <v>14175</v>
      </c>
      <c r="J49" s="179">
        <v>14175</v>
      </c>
      <c r="K49" s="179">
        <v>14175</v>
      </c>
      <c r="N49" s="179">
        <f t="shared" si="0"/>
        <v>0</v>
      </c>
      <c r="O49" s="179" t="s">
        <v>2746</v>
      </c>
      <c r="P49" s="179" t="s">
        <v>2747</v>
      </c>
    </row>
    <row r="50" spans="1:21">
      <c r="A50" s="95">
        <v>20100511</v>
      </c>
      <c r="B50" s="179">
        <v>89</v>
      </c>
      <c r="C50" s="221" t="s">
        <v>1781</v>
      </c>
      <c r="D50" s="179">
        <v>7</v>
      </c>
      <c r="E50" s="221" t="s">
        <v>608</v>
      </c>
      <c r="F50" s="179" t="s">
        <v>607</v>
      </c>
      <c r="G50" s="179">
        <v>14175</v>
      </c>
      <c r="J50" s="179">
        <v>14175</v>
      </c>
      <c r="K50" s="179">
        <v>14175</v>
      </c>
      <c r="N50" s="179">
        <f t="shared" si="0"/>
        <v>0</v>
      </c>
      <c r="O50" s="179" t="s">
        <v>415</v>
      </c>
      <c r="P50" s="179" t="s">
        <v>2563</v>
      </c>
    </row>
    <row r="51" spans="1:21">
      <c r="A51" s="95">
        <v>20100511</v>
      </c>
      <c r="B51" s="179">
        <v>90</v>
      </c>
      <c r="C51" s="221" t="s">
        <v>1781</v>
      </c>
      <c r="D51" s="179">
        <v>8</v>
      </c>
      <c r="E51" s="221" t="s">
        <v>1780</v>
      </c>
      <c r="F51" s="179" t="s">
        <v>1779</v>
      </c>
      <c r="G51" s="179">
        <v>14175</v>
      </c>
      <c r="J51" s="179">
        <v>14175</v>
      </c>
      <c r="K51" s="179">
        <v>14175</v>
      </c>
      <c r="N51" s="179">
        <f t="shared" si="0"/>
        <v>0</v>
      </c>
      <c r="O51" s="179" t="s">
        <v>2768</v>
      </c>
      <c r="P51" s="179" t="s">
        <v>815</v>
      </c>
      <c r="Q51" s="3">
        <v>14175</v>
      </c>
      <c r="R51">
        <v>14175</v>
      </c>
    </row>
    <row r="52" spans="1:21">
      <c r="A52" s="95">
        <v>20100524</v>
      </c>
      <c r="B52" s="179">
        <v>98</v>
      </c>
      <c r="C52" s="221" t="s">
        <v>1249</v>
      </c>
      <c r="D52" s="179">
        <v>20</v>
      </c>
      <c r="E52" s="221" t="s">
        <v>2697</v>
      </c>
      <c r="F52" s="179" t="s">
        <v>2696</v>
      </c>
      <c r="G52" s="179">
        <v>4725</v>
      </c>
      <c r="J52" s="179">
        <v>4725</v>
      </c>
      <c r="K52" s="179">
        <v>4725</v>
      </c>
      <c r="N52" s="179">
        <f t="shared" si="0"/>
        <v>0</v>
      </c>
      <c r="O52" s="179" t="s">
        <v>567</v>
      </c>
      <c r="P52" s="179" t="s">
        <v>568</v>
      </c>
    </row>
    <row r="53" spans="1:21">
      <c r="A53" s="95">
        <v>20100524</v>
      </c>
      <c r="B53" s="179">
        <v>99</v>
      </c>
      <c r="C53" s="221" t="s">
        <v>1249</v>
      </c>
      <c r="D53" s="179">
        <v>21</v>
      </c>
      <c r="E53" s="221" t="s">
        <v>2711</v>
      </c>
      <c r="F53" s="179" t="s">
        <v>2710</v>
      </c>
      <c r="G53" s="179">
        <v>4725</v>
      </c>
      <c r="J53" s="179">
        <v>4725</v>
      </c>
      <c r="K53" s="179">
        <v>4725</v>
      </c>
      <c r="N53" s="179">
        <f t="shared" si="0"/>
        <v>0</v>
      </c>
      <c r="O53" s="179" t="s">
        <v>2743</v>
      </c>
      <c r="P53" s="179" t="s">
        <v>2748</v>
      </c>
    </row>
    <row r="54" spans="1:21">
      <c r="A54" s="95">
        <v>20100524</v>
      </c>
      <c r="B54" s="179">
        <v>100</v>
      </c>
      <c r="C54" s="221" t="s">
        <v>1249</v>
      </c>
      <c r="D54" s="179">
        <v>22</v>
      </c>
      <c r="E54" s="221" t="s">
        <v>2730</v>
      </c>
      <c r="F54" s="179" t="s">
        <v>2728</v>
      </c>
      <c r="G54" s="179">
        <v>4725</v>
      </c>
      <c r="J54" s="179">
        <v>4725</v>
      </c>
      <c r="K54" s="179">
        <v>4725</v>
      </c>
      <c r="N54" s="179">
        <f t="shared" si="0"/>
        <v>0</v>
      </c>
      <c r="O54" s="179" t="s">
        <v>2756</v>
      </c>
      <c r="P54" s="179" t="s">
        <v>2757</v>
      </c>
    </row>
    <row r="55" spans="1:21">
      <c r="A55" s="95">
        <v>20100524</v>
      </c>
      <c r="B55" s="179">
        <v>101</v>
      </c>
      <c r="C55" s="221" t="s">
        <v>1249</v>
      </c>
      <c r="D55" s="179">
        <v>23</v>
      </c>
      <c r="E55" s="221" t="s">
        <v>3868</v>
      </c>
      <c r="F55" s="179" t="s">
        <v>3867</v>
      </c>
      <c r="G55" s="179">
        <v>4725</v>
      </c>
      <c r="J55" s="179">
        <v>4725</v>
      </c>
      <c r="K55" s="179">
        <v>4725</v>
      </c>
      <c r="N55" s="179">
        <f t="shared" si="0"/>
        <v>0</v>
      </c>
      <c r="O55" s="179" t="s">
        <v>573</v>
      </c>
      <c r="P55" s="179" t="s">
        <v>2761</v>
      </c>
    </row>
    <row r="56" spans="1:21">
      <c r="A56" s="95">
        <v>20100524</v>
      </c>
      <c r="B56" s="179">
        <v>102</v>
      </c>
      <c r="C56" s="221" t="s">
        <v>1249</v>
      </c>
      <c r="D56" s="179">
        <v>24</v>
      </c>
      <c r="E56" s="221" t="s">
        <v>3882</v>
      </c>
      <c r="F56" s="179" t="s">
        <v>3881</v>
      </c>
      <c r="G56" s="179">
        <v>4725</v>
      </c>
      <c r="J56" s="179">
        <v>4725</v>
      </c>
      <c r="K56" s="179">
        <v>4725</v>
      </c>
      <c r="N56" s="179">
        <f t="shared" si="0"/>
        <v>0</v>
      </c>
      <c r="O56" s="179" t="s">
        <v>2744</v>
      </c>
      <c r="P56" s="179" t="s">
        <v>2745</v>
      </c>
    </row>
    <row r="57" spans="1:21">
      <c r="A57" s="95">
        <v>20100603</v>
      </c>
      <c r="B57" s="179">
        <v>106</v>
      </c>
      <c r="C57" s="221" t="s">
        <v>2687</v>
      </c>
      <c r="D57" s="179">
        <v>4</v>
      </c>
      <c r="E57" s="221" t="s">
        <v>2731</v>
      </c>
      <c r="F57" s="179" t="s">
        <v>2728</v>
      </c>
      <c r="G57" s="179">
        <v>14175</v>
      </c>
      <c r="J57" s="179">
        <v>14175</v>
      </c>
      <c r="K57" s="179">
        <v>14175</v>
      </c>
      <c r="N57" s="179">
        <f t="shared" si="0"/>
        <v>0</v>
      </c>
      <c r="O57" s="179" t="s">
        <v>2756</v>
      </c>
      <c r="P57" s="179" t="s">
        <v>2757</v>
      </c>
    </row>
    <row r="58" spans="1:21">
      <c r="A58" s="95">
        <v>20100603</v>
      </c>
      <c r="B58" s="179">
        <v>107</v>
      </c>
      <c r="C58" s="221" t="s">
        <v>2687</v>
      </c>
      <c r="D58" s="179">
        <v>5</v>
      </c>
      <c r="E58" s="221" t="s">
        <v>2401</v>
      </c>
      <c r="F58" s="179" t="s">
        <v>2399</v>
      </c>
      <c r="G58" s="179">
        <v>14175</v>
      </c>
      <c r="J58" s="179">
        <v>14175</v>
      </c>
      <c r="K58" s="179">
        <v>14175</v>
      </c>
      <c r="N58" s="179">
        <f t="shared" si="0"/>
        <v>0</v>
      </c>
      <c r="O58" s="179" t="s">
        <v>2758</v>
      </c>
      <c r="P58" s="179" t="s">
        <v>2759</v>
      </c>
    </row>
    <row r="59" spans="1:21">
      <c r="A59" s="95">
        <v>20100603</v>
      </c>
      <c r="B59" s="179">
        <v>108</v>
      </c>
      <c r="C59" s="221" t="s">
        <v>2687</v>
      </c>
      <c r="D59" s="179">
        <v>6</v>
      </c>
      <c r="E59" s="221" t="s">
        <v>1614</v>
      </c>
      <c r="F59" s="179" t="s">
        <v>580</v>
      </c>
      <c r="G59" s="179">
        <v>14175</v>
      </c>
      <c r="J59" s="179">
        <v>14175</v>
      </c>
      <c r="K59" s="179">
        <v>14175</v>
      </c>
      <c r="N59" s="179">
        <f t="shared" si="0"/>
        <v>0</v>
      </c>
      <c r="O59" s="179" t="s">
        <v>2760</v>
      </c>
      <c r="P59" s="179" t="s">
        <v>2755</v>
      </c>
    </row>
    <row r="60" spans="1:21" s="114" customFormat="1">
      <c r="A60" s="114">
        <v>20100603</v>
      </c>
      <c r="B60" s="211">
        <v>109</v>
      </c>
      <c r="C60" s="222" t="s">
        <v>2687</v>
      </c>
      <c r="D60" s="211">
        <v>7</v>
      </c>
      <c r="E60" s="222" t="s">
        <v>2567</v>
      </c>
      <c r="F60" s="211" t="s">
        <v>2565</v>
      </c>
      <c r="G60" s="211">
        <v>14175</v>
      </c>
      <c r="H60" s="211"/>
      <c r="I60" s="211"/>
      <c r="J60" s="211">
        <v>14175</v>
      </c>
      <c r="K60" s="211">
        <v>14175</v>
      </c>
      <c r="L60" s="211"/>
      <c r="M60" s="211"/>
      <c r="N60" s="211">
        <f t="shared" si="0"/>
        <v>0</v>
      </c>
      <c r="O60" s="211" t="s">
        <v>486</v>
      </c>
      <c r="P60" s="211" t="s">
        <v>486</v>
      </c>
      <c r="Q60" s="114">
        <v>14175</v>
      </c>
      <c r="R60" s="114">
        <v>14175</v>
      </c>
      <c r="T60" s="211"/>
      <c r="U60" s="211" t="s">
        <v>254</v>
      </c>
    </row>
    <row r="61" spans="1:21">
      <c r="A61" s="95">
        <v>20100603</v>
      </c>
      <c r="B61" s="179">
        <v>110</v>
      </c>
      <c r="C61" s="221" t="s">
        <v>2687</v>
      </c>
      <c r="D61" s="179">
        <v>8</v>
      </c>
      <c r="E61" s="221" t="s">
        <v>1793</v>
      </c>
      <c r="F61" s="179" t="s">
        <v>1790</v>
      </c>
      <c r="G61" s="179">
        <v>14175</v>
      </c>
      <c r="J61" s="179">
        <v>14175</v>
      </c>
      <c r="K61" s="179">
        <v>14175</v>
      </c>
      <c r="N61" s="179">
        <f t="shared" si="0"/>
        <v>0</v>
      </c>
      <c r="O61" s="179" t="s">
        <v>818</v>
      </c>
      <c r="P61" s="179" t="s">
        <v>487</v>
      </c>
      <c r="Q61" s="3">
        <v>14175</v>
      </c>
      <c r="R61">
        <v>14175</v>
      </c>
    </row>
    <row r="62" spans="1:21">
      <c r="A62" s="95">
        <v>20100624</v>
      </c>
      <c r="B62" s="179">
        <v>115</v>
      </c>
      <c r="C62" s="221" t="s">
        <v>1761</v>
      </c>
      <c r="D62" s="179">
        <v>4</v>
      </c>
      <c r="E62" s="221" t="s">
        <v>2738</v>
      </c>
      <c r="F62" s="179" t="s">
        <v>2737</v>
      </c>
      <c r="G62" s="179">
        <v>12600</v>
      </c>
      <c r="J62" s="179">
        <v>12600</v>
      </c>
      <c r="K62" s="179">
        <v>12600</v>
      </c>
      <c r="N62" s="179">
        <f t="shared" si="0"/>
        <v>0</v>
      </c>
      <c r="O62" s="179" t="s">
        <v>2749</v>
      </c>
      <c r="P62" s="179" t="s">
        <v>2750</v>
      </c>
    </row>
    <row r="63" spans="1:21">
      <c r="A63" s="95">
        <v>20100624</v>
      </c>
      <c r="B63" s="179">
        <v>116</v>
      </c>
      <c r="C63" s="221" t="s">
        <v>1761</v>
      </c>
      <c r="D63" s="179">
        <v>5</v>
      </c>
      <c r="E63" s="221" t="s">
        <v>2408</v>
      </c>
      <c r="F63" s="179" t="s">
        <v>2407</v>
      </c>
      <c r="G63" s="179">
        <v>12600</v>
      </c>
      <c r="J63" s="179">
        <v>12600</v>
      </c>
      <c r="K63" s="179">
        <v>12600</v>
      </c>
      <c r="N63" s="179">
        <f t="shared" si="0"/>
        <v>0</v>
      </c>
      <c r="O63" s="179" t="s">
        <v>2758</v>
      </c>
      <c r="P63" s="179" t="s">
        <v>2759</v>
      </c>
    </row>
    <row r="64" spans="1:21">
      <c r="A64" s="95">
        <v>20100624</v>
      </c>
      <c r="B64" s="179">
        <v>117</v>
      </c>
      <c r="C64" s="221" t="s">
        <v>1761</v>
      </c>
      <c r="D64" s="179">
        <v>6</v>
      </c>
      <c r="E64" s="221" t="s">
        <v>1621</v>
      </c>
      <c r="F64" s="179" t="s">
        <v>1620</v>
      </c>
      <c r="G64" s="179">
        <v>12600</v>
      </c>
      <c r="J64" s="179">
        <v>12600</v>
      </c>
      <c r="K64" s="179">
        <v>12600</v>
      </c>
      <c r="N64" s="179">
        <f t="shared" si="0"/>
        <v>0</v>
      </c>
      <c r="O64" s="179" t="s">
        <v>2760</v>
      </c>
      <c r="P64" s="179" t="s">
        <v>2755</v>
      </c>
    </row>
    <row r="65" spans="1:21" s="114" customFormat="1">
      <c r="A65" s="114">
        <v>20100624</v>
      </c>
      <c r="B65" s="211">
        <v>118</v>
      </c>
      <c r="C65" s="222" t="s">
        <v>1761</v>
      </c>
      <c r="D65" s="211">
        <v>7</v>
      </c>
      <c r="E65" s="222" t="s">
        <v>1760</v>
      </c>
      <c r="F65" s="211" t="s">
        <v>1759</v>
      </c>
      <c r="G65" s="211">
        <v>12600</v>
      </c>
      <c r="H65" s="211"/>
      <c r="I65" s="211"/>
      <c r="J65" s="211">
        <v>12600</v>
      </c>
      <c r="K65" s="211">
        <v>12600</v>
      </c>
      <c r="L65" s="211"/>
      <c r="M65" s="211"/>
      <c r="N65" s="211">
        <f t="shared" si="0"/>
        <v>0</v>
      </c>
      <c r="O65" s="211" t="s">
        <v>486</v>
      </c>
      <c r="P65" s="211" t="s">
        <v>486</v>
      </c>
      <c r="Q65" s="114">
        <v>12600</v>
      </c>
      <c r="R65" s="114">
        <v>12600</v>
      </c>
      <c r="T65" s="211"/>
      <c r="U65" s="211" t="s">
        <v>254</v>
      </c>
    </row>
    <row r="66" spans="1:21">
      <c r="A66" s="95">
        <v>20100624</v>
      </c>
      <c r="B66" s="179">
        <v>119</v>
      </c>
      <c r="C66" s="221" t="s">
        <v>1761</v>
      </c>
      <c r="D66" s="179">
        <v>8</v>
      </c>
      <c r="E66" s="221" t="s">
        <v>1799</v>
      </c>
      <c r="F66" s="179" t="s">
        <v>1798</v>
      </c>
      <c r="G66" s="179">
        <v>12600</v>
      </c>
      <c r="J66" s="179">
        <v>12600</v>
      </c>
      <c r="K66" s="179">
        <v>12600</v>
      </c>
      <c r="N66" s="179">
        <f t="shared" si="0"/>
        <v>0</v>
      </c>
      <c r="O66" s="179" t="s">
        <v>818</v>
      </c>
      <c r="P66" s="179" t="s">
        <v>487</v>
      </c>
      <c r="Q66" s="3">
        <v>12600</v>
      </c>
      <c r="R66">
        <v>12600</v>
      </c>
    </row>
    <row r="67" spans="1:21">
      <c r="A67" s="95">
        <v>20100628</v>
      </c>
      <c r="B67" s="179">
        <v>122</v>
      </c>
      <c r="C67" s="221" t="s">
        <v>1767</v>
      </c>
      <c r="D67" s="179">
        <v>3</v>
      </c>
      <c r="E67" s="221" t="s">
        <v>2701</v>
      </c>
      <c r="F67" s="179" t="s">
        <v>2700</v>
      </c>
      <c r="G67" s="179">
        <v>24570</v>
      </c>
      <c r="J67" s="179">
        <v>24570</v>
      </c>
      <c r="K67" s="179">
        <v>24570</v>
      </c>
      <c r="N67" s="179">
        <f t="shared" si="0"/>
        <v>0</v>
      </c>
      <c r="O67" s="179" t="s">
        <v>417</v>
      </c>
      <c r="P67" s="179" t="s">
        <v>2743</v>
      </c>
    </row>
    <row r="68" spans="1:21">
      <c r="A68" s="95">
        <v>20100628</v>
      </c>
      <c r="B68" s="179">
        <v>123</v>
      </c>
      <c r="C68" s="221" t="s">
        <v>1767</v>
      </c>
      <c r="D68" s="179">
        <v>4</v>
      </c>
      <c r="E68" s="221" t="s">
        <v>3872</v>
      </c>
      <c r="F68" s="179" t="s">
        <v>3871</v>
      </c>
      <c r="G68" s="179">
        <v>24570</v>
      </c>
      <c r="J68" s="179">
        <v>24570</v>
      </c>
      <c r="K68" s="179">
        <v>24570</v>
      </c>
      <c r="N68" s="179">
        <f t="shared" si="0"/>
        <v>0</v>
      </c>
      <c r="O68" s="179" t="s">
        <v>2762</v>
      </c>
      <c r="P68" s="179" t="s">
        <v>2763</v>
      </c>
    </row>
    <row r="69" spans="1:21">
      <c r="A69" s="95">
        <v>20100628</v>
      </c>
      <c r="B69" s="179">
        <v>124</v>
      </c>
      <c r="C69" s="221" t="s">
        <v>1767</v>
      </c>
      <c r="D69" s="179">
        <v>5</v>
      </c>
      <c r="E69" s="221" t="s">
        <v>2413</v>
      </c>
      <c r="F69" s="179" t="s">
        <v>2412</v>
      </c>
      <c r="G69" s="179">
        <v>24570</v>
      </c>
      <c r="J69" s="179">
        <v>24570</v>
      </c>
      <c r="K69" s="179">
        <v>24570</v>
      </c>
      <c r="N69" s="179">
        <f t="shared" si="0"/>
        <v>0</v>
      </c>
      <c r="O69" s="179" t="s">
        <v>2753</v>
      </c>
      <c r="P69" s="179" t="s">
        <v>2754</v>
      </c>
    </row>
    <row r="70" spans="1:21">
      <c r="A70" s="95">
        <v>20100628</v>
      </c>
      <c r="B70" s="179">
        <v>125</v>
      </c>
      <c r="C70" s="221" t="s">
        <v>1767</v>
      </c>
      <c r="D70" s="179">
        <v>6</v>
      </c>
      <c r="E70" s="221" t="s">
        <v>1626</v>
      </c>
      <c r="F70" s="179" t="s">
        <v>1625</v>
      </c>
      <c r="G70" s="179">
        <v>24570</v>
      </c>
      <c r="J70" s="179">
        <v>24570</v>
      </c>
      <c r="K70" s="179">
        <v>24570</v>
      </c>
      <c r="N70" s="179">
        <f t="shared" si="0"/>
        <v>0</v>
      </c>
      <c r="O70" s="179" t="s">
        <v>574</v>
      </c>
      <c r="P70" s="179" t="s">
        <v>575</v>
      </c>
    </row>
    <row r="71" spans="1:21">
      <c r="A71" s="95">
        <v>20100628</v>
      </c>
      <c r="B71" s="179">
        <v>126</v>
      </c>
      <c r="C71" s="221" t="s">
        <v>1767</v>
      </c>
      <c r="D71" s="179">
        <v>7</v>
      </c>
      <c r="E71" s="221" t="s">
        <v>1766</v>
      </c>
      <c r="F71" s="179" t="s">
        <v>1765</v>
      </c>
      <c r="G71" s="179">
        <v>24570</v>
      </c>
      <c r="J71" s="179">
        <v>24570</v>
      </c>
      <c r="K71" s="179">
        <v>24570</v>
      </c>
      <c r="N71" s="179">
        <f t="shared" si="0"/>
        <v>0</v>
      </c>
      <c r="O71" s="179" t="s">
        <v>2662</v>
      </c>
      <c r="P71" s="179" t="s">
        <v>2767</v>
      </c>
      <c r="Q71" s="3">
        <v>24570</v>
      </c>
      <c r="R71">
        <v>24570</v>
      </c>
    </row>
    <row r="72" spans="1:21">
      <c r="A72" s="95">
        <v>20100628</v>
      </c>
      <c r="B72" s="179">
        <v>127</v>
      </c>
      <c r="C72" s="221" t="s">
        <v>1767</v>
      </c>
      <c r="D72" s="179">
        <v>8</v>
      </c>
      <c r="E72" s="221" t="s">
        <v>1803</v>
      </c>
      <c r="F72" s="179" t="s">
        <v>1802</v>
      </c>
      <c r="G72" s="179">
        <v>24570</v>
      </c>
      <c r="J72" s="179">
        <v>24570</v>
      </c>
      <c r="K72" s="179">
        <v>24570</v>
      </c>
      <c r="N72" s="179">
        <f t="shared" si="0"/>
        <v>0</v>
      </c>
      <c r="O72" s="179" t="s">
        <v>818</v>
      </c>
      <c r="P72" s="179" t="s">
        <v>487</v>
      </c>
      <c r="Q72" s="3">
        <v>24570</v>
      </c>
      <c r="R72">
        <v>24570</v>
      </c>
    </row>
    <row r="73" spans="1:21">
      <c r="A73" s="95">
        <v>20100628</v>
      </c>
      <c r="B73" s="179">
        <v>130</v>
      </c>
      <c r="C73" s="221" t="s">
        <v>1769</v>
      </c>
      <c r="D73" s="179">
        <v>3</v>
      </c>
      <c r="E73" s="221" t="s">
        <v>2702</v>
      </c>
      <c r="F73" s="179" t="s">
        <v>2700</v>
      </c>
      <c r="G73" s="179">
        <v>14175</v>
      </c>
      <c r="J73" s="179">
        <v>14175</v>
      </c>
      <c r="K73" s="179">
        <v>14175</v>
      </c>
      <c r="N73" s="179">
        <f t="shared" si="0"/>
        <v>0</v>
      </c>
      <c r="O73" s="179" t="s">
        <v>417</v>
      </c>
      <c r="P73" s="179" t="s">
        <v>2743</v>
      </c>
    </row>
    <row r="74" spans="1:21">
      <c r="A74" s="95">
        <v>20100628</v>
      </c>
      <c r="B74" s="179">
        <v>131</v>
      </c>
      <c r="C74" s="221" t="s">
        <v>1769</v>
      </c>
      <c r="D74" s="179">
        <v>4</v>
      </c>
      <c r="E74" s="221" t="s">
        <v>3873</v>
      </c>
      <c r="F74" s="179" t="s">
        <v>3871</v>
      </c>
      <c r="G74" s="179">
        <v>14175</v>
      </c>
      <c r="J74" s="179">
        <v>14175</v>
      </c>
      <c r="K74" s="179">
        <v>14175</v>
      </c>
      <c r="N74" s="179">
        <f t="shared" si="0"/>
        <v>0</v>
      </c>
      <c r="O74" s="179" t="s">
        <v>2762</v>
      </c>
      <c r="P74" s="179" t="s">
        <v>2763</v>
      </c>
    </row>
    <row r="75" spans="1:21">
      <c r="A75" s="95">
        <v>20100628</v>
      </c>
      <c r="B75" s="179">
        <v>132</v>
      </c>
      <c r="C75" s="221" t="s">
        <v>1769</v>
      </c>
      <c r="D75" s="179">
        <v>5</v>
      </c>
      <c r="E75" s="221" t="s">
        <v>2414</v>
      </c>
      <c r="F75" s="179" t="s">
        <v>2412</v>
      </c>
      <c r="G75" s="179">
        <v>14175</v>
      </c>
      <c r="J75" s="179">
        <v>14175</v>
      </c>
      <c r="K75" s="179">
        <v>14175</v>
      </c>
      <c r="N75" s="179">
        <f t="shared" ref="N75:N138" si="1">G75-J75</f>
        <v>0</v>
      </c>
      <c r="O75" s="179" t="s">
        <v>2753</v>
      </c>
      <c r="P75" s="179" t="s">
        <v>2754</v>
      </c>
    </row>
    <row r="76" spans="1:21">
      <c r="A76" s="95">
        <v>20100628</v>
      </c>
      <c r="B76" s="179">
        <v>133</v>
      </c>
      <c r="C76" s="221" t="s">
        <v>1769</v>
      </c>
      <c r="D76" s="179">
        <v>6</v>
      </c>
      <c r="E76" s="221" t="s">
        <v>1627</v>
      </c>
      <c r="F76" s="179" t="s">
        <v>1625</v>
      </c>
      <c r="G76" s="179">
        <v>14175</v>
      </c>
      <c r="J76" s="179">
        <v>14175</v>
      </c>
      <c r="K76" s="179">
        <v>14175</v>
      </c>
      <c r="N76" s="179">
        <f t="shared" si="1"/>
        <v>0</v>
      </c>
      <c r="O76" s="179" t="s">
        <v>574</v>
      </c>
      <c r="P76" s="179" t="s">
        <v>575</v>
      </c>
    </row>
    <row r="77" spans="1:21">
      <c r="A77" s="95">
        <v>20100628</v>
      </c>
      <c r="B77" s="179">
        <v>134</v>
      </c>
      <c r="C77" s="221" t="s">
        <v>1769</v>
      </c>
      <c r="D77" s="179">
        <v>7</v>
      </c>
      <c r="E77" s="221" t="s">
        <v>1768</v>
      </c>
      <c r="F77" s="179" t="s">
        <v>1765</v>
      </c>
      <c r="G77" s="179">
        <v>14175</v>
      </c>
      <c r="J77" s="179">
        <v>14175</v>
      </c>
      <c r="K77" s="179">
        <v>14175</v>
      </c>
      <c r="N77" s="179">
        <f t="shared" si="1"/>
        <v>0</v>
      </c>
      <c r="O77" s="179" t="s">
        <v>2662</v>
      </c>
      <c r="P77" s="179" t="s">
        <v>2767</v>
      </c>
      <c r="Q77" s="3">
        <v>14175</v>
      </c>
      <c r="R77">
        <v>14175</v>
      </c>
    </row>
    <row r="78" spans="1:21">
      <c r="A78" s="95">
        <v>20100628</v>
      </c>
      <c r="B78" s="179">
        <v>135</v>
      </c>
      <c r="C78" s="221" t="s">
        <v>1769</v>
      </c>
      <c r="D78" s="179">
        <v>8</v>
      </c>
      <c r="E78" s="221" t="s">
        <v>1804</v>
      </c>
      <c r="F78" s="179" t="s">
        <v>1802</v>
      </c>
      <c r="G78" s="179">
        <v>14175</v>
      </c>
      <c r="J78" s="179">
        <v>14175</v>
      </c>
      <c r="K78" s="179">
        <v>14175</v>
      </c>
      <c r="N78" s="179">
        <f t="shared" si="1"/>
        <v>0</v>
      </c>
      <c r="O78" s="179" t="s">
        <v>818</v>
      </c>
      <c r="P78" s="179" t="s">
        <v>487</v>
      </c>
      <c r="Q78" s="3">
        <v>14175</v>
      </c>
      <c r="R78">
        <v>14175</v>
      </c>
    </row>
    <row r="79" spans="1:21">
      <c r="A79" s="95">
        <v>20100817</v>
      </c>
      <c r="B79" s="179">
        <v>140</v>
      </c>
      <c r="C79" s="221" t="s">
        <v>1792</v>
      </c>
      <c r="D79" s="179">
        <v>3</v>
      </c>
      <c r="E79" s="221" t="s">
        <v>2729</v>
      </c>
      <c r="F79" s="179" t="s">
        <v>2728</v>
      </c>
      <c r="G79" s="179">
        <v>14175</v>
      </c>
      <c r="J79" s="179">
        <v>14175</v>
      </c>
      <c r="K79" s="179">
        <v>14175</v>
      </c>
      <c r="N79" s="179">
        <f t="shared" si="1"/>
        <v>0</v>
      </c>
      <c r="O79" s="179" t="s">
        <v>2756</v>
      </c>
      <c r="P79" s="179" t="s">
        <v>2757</v>
      </c>
    </row>
    <row r="80" spans="1:21">
      <c r="A80" s="95">
        <v>20100817</v>
      </c>
      <c r="B80" s="179">
        <v>141</v>
      </c>
      <c r="C80" s="221" t="s">
        <v>1792</v>
      </c>
      <c r="D80" s="179">
        <v>4</v>
      </c>
      <c r="E80" s="221" t="s">
        <v>2400</v>
      </c>
      <c r="F80" s="179" t="s">
        <v>2399</v>
      </c>
      <c r="G80" s="179">
        <v>14175</v>
      </c>
      <c r="J80" s="179">
        <v>14175</v>
      </c>
      <c r="K80" s="179">
        <v>14175</v>
      </c>
      <c r="N80" s="179">
        <f t="shared" si="1"/>
        <v>0</v>
      </c>
      <c r="O80" s="179" t="s">
        <v>2758</v>
      </c>
      <c r="P80" s="179" t="s">
        <v>2759</v>
      </c>
    </row>
    <row r="81" spans="1:21">
      <c r="A81" s="95">
        <v>20100817</v>
      </c>
      <c r="B81" s="179">
        <v>142</v>
      </c>
      <c r="C81" s="221" t="s">
        <v>1792</v>
      </c>
      <c r="D81" s="179">
        <v>5</v>
      </c>
      <c r="E81" s="221" t="s">
        <v>581</v>
      </c>
      <c r="F81" s="179" t="s">
        <v>580</v>
      </c>
      <c r="G81" s="179">
        <v>14175</v>
      </c>
      <c r="J81" s="179">
        <v>14175</v>
      </c>
      <c r="K81" s="179">
        <v>14175</v>
      </c>
      <c r="N81" s="179">
        <f t="shared" si="1"/>
        <v>0</v>
      </c>
      <c r="O81" s="179" t="s">
        <v>2760</v>
      </c>
      <c r="P81" s="179" t="s">
        <v>2755</v>
      </c>
    </row>
    <row r="82" spans="1:21" s="114" customFormat="1">
      <c r="A82" s="114">
        <v>20100817</v>
      </c>
      <c r="B82" s="211">
        <v>143</v>
      </c>
      <c r="C82" s="222" t="s">
        <v>1792</v>
      </c>
      <c r="D82" s="211">
        <v>6</v>
      </c>
      <c r="E82" s="222" t="s">
        <v>2566</v>
      </c>
      <c r="F82" s="211" t="s">
        <v>2565</v>
      </c>
      <c r="G82" s="211">
        <v>14175</v>
      </c>
      <c r="H82" s="211"/>
      <c r="I82" s="211"/>
      <c r="J82" s="211">
        <v>14175</v>
      </c>
      <c r="K82" s="211">
        <v>14175</v>
      </c>
      <c r="L82" s="211"/>
      <c r="M82" s="211"/>
      <c r="N82" s="211">
        <f t="shared" si="1"/>
        <v>0</v>
      </c>
      <c r="O82" s="211" t="s">
        <v>486</v>
      </c>
      <c r="P82" s="211" t="s">
        <v>486</v>
      </c>
      <c r="Q82" s="114">
        <v>14175</v>
      </c>
      <c r="R82" s="114">
        <v>14175</v>
      </c>
      <c r="T82" s="211"/>
      <c r="U82" s="212" t="s">
        <v>254</v>
      </c>
    </row>
    <row r="83" spans="1:21">
      <c r="A83" s="95">
        <v>20100817</v>
      </c>
      <c r="B83" s="179">
        <v>144</v>
      </c>
      <c r="C83" s="221" t="s">
        <v>1792</v>
      </c>
      <c r="D83" s="179">
        <v>7</v>
      </c>
      <c r="E83" s="221" t="s">
        <v>1791</v>
      </c>
      <c r="F83" s="179" t="s">
        <v>1790</v>
      </c>
      <c r="G83" s="179">
        <v>14175</v>
      </c>
      <c r="J83" s="179">
        <v>14175</v>
      </c>
      <c r="K83" s="179">
        <v>14175</v>
      </c>
      <c r="N83" s="179">
        <f t="shared" si="1"/>
        <v>0</v>
      </c>
      <c r="O83" s="179" t="s">
        <v>818</v>
      </c>
      <c r="P83" s="179" t="s">
        <v>487</v>
      </c>
      <c r="Q83" s="3">
        <v>14175</v>
      </c>
      <c r="R83">
        <v>14175</v>
      </c>
    </row>
    <row r="84" spans="1:21">
      <c r="A84" s="95">
        <v>20100817</v>
      </c>
      <c r="B84" s="179">
        <v>145</v>
      </c>
      <c r="C84" s="221" t="s">
        <v>1792</v>
      </c>
      <c r="D84" s="179">
        <v>8</v>
      </c>
      <c r="E84" s="221" t="s">
        <v>1813</v>
      </c>
      <c r="F84" s="179" t="s">
        <v>1812</v>
      </c>
      <c r="G84" s="179">
        <v>14175</v>
      </c>
      <c r="J84" s="179">
        <v>14175</v>
      </c>
      <c r="K84" s="179">
        <v>14175</v>
      </c>
      <c r="N84" s="179">
        <f t="shared" si="1"/>
        <v>0</v>
      </c>
      <c r="O84" s="179" t="s">
        <v>488</v>
      </c>
      <c r="P84" s="179" t="s">
        <v>489</v>
      </c>
      <c r="Q84" s="3">
        <v>14175</v>
      </c>
      <c r="R84">
        <v>14175</v>
      </c>
    </row>
    <row r="85" spans="1:21">
      <c r="A85" s="95">
        <v>20100818</v>
      </c>
      <c r="B85" s="179">
        <v>148</v>
      </c>
      <c r="C85" s="221" t="s">
        <v>1789</v>
      </c>
      <c r="D85" s="179">
        <v>3</v>
      </c>
      <c r="E85" s="221" t="s">
        <v>2727</v>
      </c>
      <c r="F85" s="179" t="s">
        <v>2726</v>
      </c>
      <c r="G85" s="179">
        <v>14175</v>
      </c>
      <c r="J85" s="179">
        <v>14175</v>
      </c>
      <c r="K85" s="179">
        <v>14175</v>
      </c>
      <c r="N85" s="179">
        <f t="shared" si="1"/>
        <v>0</v>
      </c>
      <c r="O85" s="179" t="s">
        <v>2756</v>
      </c>
      <c r="P85" s="179" t="s">
        <v>2757</v>
      </c>
    </row>
    <row r="86" spans="1:21">
      <c r="A86" s="95">
        <v>20100818</v>
      </c>
      <c r="B86" s="179">
        <v>149</v>
      </c>
      <c r="C86" s="221" t="s">
        <v>1789</v>
      </c>
      <c r="D86" s="179">
        <v>4</v>
      </c>
      <c r="E86" s="221" t="s">
        <v>2398</v>
      </c>
      <c r="F86" s="179" t="s">
        <v>2397</v>
      </c>
      <c r="G86" s="179">
        <v>14175</v>
      </c>
      <c r="J86" s="179">
        <v>14175</v>
      </c>
      <c r="K86" s="179">
        <v>14175</v>
      </c>
      <c r="N86" s="179">
        <f t="shared" si="1"/>
        <v>0</v>
      </c>
      <c r="O86" s="179" t="s">
        <v>2758</v>
      </c>
      <c r="P86" s="179" t="s">
        <v>2759</v>
      </c>
    </row>
    <row r="87" spans="1:21">
      <c r="A87" s="95">
        <v>20100818</v>
      </c>
      <c r="B87" s="179">
        <v>150</v>
      </c>
      <c r="C87" s="221" t="s">
        <v>1789</v>
      </c>
      <c r="D87" s="179">
        <v>5</v>
      </c>
      <c r="E87" s="221" t="s">
        <v>579</v>
      </c>
      <c r="F87" s="179" t="s">
        <v>578</v>
      </c>
      <c r="G87" s="179">
        <v>14175</v>
      </c>
      <c r="J87" s="179">
        <v>14175</v>
      </c>
      <c r="K87" s="179">
        <v>14175</v>
      </c>
      <c r="N87" s="179">
        <f t="shared" si="1"/>
        <v>0</v>
      </c>
      <c r="O87" s="179" t="s">
        <v>2746</v>
      </c>
      <c r="P87" s="179" t="s">
        <v>2747</v>
      </c>
    </row>
    <row r="88" spans="1:21" s="114" customFormat="1">
      <c r="A88" s="114">
        <v>20100818</v>
      </c>
      <c r="B88" s="211">
        <v>151</v>
      </c>
      <c r="C88" s="222" t="s">
        <v>1789</v>
      </c>
      <c r="D88" s="211">
        <v>6</v>
      </c>
      <c r="E88" s="222" t="s">
        <v>2564</v>
      </c>
      <c r="F88" s="211" t="s">
        <v>2563</v>
      </c>
      <c r="G88" s="211">
        <v>14175</v>
      </c>
      <c r="H88" s="211"/>
      <c r="I88" s="211"/>
      <c r="J88" s="211">
        <v>14175</v>
      </c>
      <c r="K88" s="211">
        <v>14175</v>
      </c>
      <c r="L88" s="211"/>
      <c r="M88" s="211"/>
      <c r="N88" s="211">
        <f t="shared" si="1"/>
        <v>0</v>
      </c>
      <c r="O88" s="211" t="s">
        <v>2670</v>
      </c>
      <c r="P88" s="211" t="s">
        <v>486</v>
      </c>
      <c r="Q88" s="114">
        <v>14175</v>
      </c>
      <c r="R88" s="114">
        <v>14175</v>
      </c>
      <c r="T88" s="211"/>
      <c r="U88" s="212" t="s">
        <v>254</v>
      </c>
    </row>
    <row r="89" spans="1:21">
      <c r="A89" s="95">
        <v>20100818</v>
      </c>
      <c r="B89" s="179">
        <v>152</v>
      </c>
      <c r="C89" s="221" t="s">
        <v>1789</v>
      </c>
      <c r="D89" s="179">
        <v>7</v>
      </c>
      <c r="E89" s="221" t="s">
        <v>1788</v>
      </c>
      <c r="F89" s="179" t="s">
        <v>1787</v>
      </c>
      <c r="G89" s="179">
        <v>14175</v>
      </c>
      <c r="J89" s="179">
        <v>14175</v>
      </c>
      <c r="K89" s="179">
        <v>14175</v>
      </c>
      <c r="N89" s="179">
        <f t="shared" si="1"/>
        <v>0</v>
      </c>
      <c r="O89" s="179" t="s">
        <v>2768</v>
      </c>
      <c r="P89" s="179" t="s">
        <v>815</v>
      </c>
      <c r="Q89" s="3">
        <v>14175</v>
      </c>
      <c r="R89">
        <v>14175</v>
      </c>
    </row>
    <row r="90" spans="1:21">
      <c r="A90" s="95">
        <v>20100818</v>
      </c>
      <c r="B90" s="179">
        <v>153</v>
      </c>
      <c r="C90" s="221" t="s">
        <v>1789</v>
      </c>
      <c r="D90" s="179">
        <v>8</v>
      </c>
      <c r="E90" s="221" t="s">
        <v>1811</v>
      </c>
      <c r="F90" s="179" t="s">
        <v>1810</v>
      </c>
      <c r="G90" s="179">
        <v>14175</v>
      </c>
      <c r="J90" s="179">
        <v>14175</v>
      </c>
      <c r="K90" s="179">
        <v>14175</v>
      </c>
      <c r="N90" s="179">
        <f t="shared" si="1"/>
        <v>0</v>
      </c>
      <c r="O90" s="179" t="s">
        <v>488</v>
      </c>
      <c r="P90" s="179" t="s">
        <v>489</v>
      </c>
      <c r="Q90" s="3">
        <v>14175</v>
      </c>
      <c r="R90">
        <v>14175</v>
      </c>
    </row>
    <row r="91" spans="1:21">
      <c r="A91" s="95">
        <v>20100824</v>
      </c>
      <c r="B91" s="179">
        <v>157</v>
      </c>
      <c r="C91" s="221" t="s">
        <v>2693</v>
      </c>
      <c r="D91" s="179">
        <v>4</v>
      </c>
      <c r="E91" s="221" t="s">
        <v>2724</v>
      </c>
      <c r="F91" s="179" t="s">
        <v>2723</v>
      </c>
      <c r="G91" s="179">
        <v>13230</v>
      </c>
      <c r="J91" s="179">
        <v>13230</v>
      </c>
      <c r="K91" s="179">
        <v>13230</v>
      </c>
      <c r="N91" s="179">
        <f t="shared" si="1"/>
        <v>0</v>
      </c>
      <c r="O91" s="179" t="s">
        <v>2756</v>
      </c>
      <c r="P91" s="179" t="s">
        <v>2757</v>
      </c>
    </row>
    <row r="92" spans="1:21">
      <c r="A92" s="95">
        <v>20100824</v>
      </c>
      <c r="B92" s="179">
        <v>158</v>
      </c>
      <c r="C92" s="221" t="s">
        <v>2693</v>
      </c>
      <c r="D92" s="179">
        <v>5</v>
      </c>
      <c r="E92" s="221" t="s">
        <v>2395</v>
      </c>
      <c r="F92" s="179" t="s">
        <v>2394</v>
      </c>
      <c r="G92" s="179">
        <v>13230</v>
      </c>
      <c r="J92" s="179">
        <v>13230</v>
      </c>
      <c r="K92" s="179">
        <v>13230</v>
      </c>
      <c r="N92" s="179">
        <f t="shared" si="1"/>
        <v>0</v>
      </c>
      <c r="O92" s="179" t="s">
        <v>2751</v>
      </c>
      <c r="P92" s="179" t="s">
        <v>2752</v>
      </c>
    </row>
    <row r="93" spans="1:21">
      <c r="A93" s="95">
        <v>20100824</v>
      </c>
      <c r="B93" s="179">
        <v>159</v>
      </c>
      <c r="C93" s="221" t="s">
        <v>2693</v>
      </c>
      <c r="D93" s="179">
        <v>6</v>
      </c>
      <c r="E93" s="221" t="s">
        <v>1908</v>
      </c>
      <c r="F93" s="179" t="s">
        <v>1907</v>
      </c>
      <c r="G93" s="179">
        <v>13230</v>
      </c>
      <c r="J93" s="179">
        <v>13230</v>
      </c>
      <c r="K93" s="179">
        <v>13230</v>
      </c>
      <c r="N93" s="179">
        <f t="shared" si="1"/>
        <v>0</v>
      </c>
      <c r="O93" s="179" t="s">
        <v>2746</v>
      </c>
      <c r="P93" s="179" t="s">
        <v>2747</v>
      </c>
    </row>
    <row r="94" spans="1:21">
      <c r="A94" s="95">
        <v>20100824</v>
      </c>
      <c r="B94" s="179">
        <v>160</v>
      </c>
      <c r="C94" s="221" t="s">
        <v>2693</v>
      </c>
      <c r="D94" s="179">
        <v>7</v>
      </c>
      <c r="E94" s="221" t="s">
        <v>2561</v>
      </c>
      <c r="F94" s="179" t="s">
        <v>2560</v>
      </c>
      <c r="G94" s="179">
        <v>13230</v>
      </c>
      <c r="J94" s="179">
        <v>13230</v>
      </c>
      <c r="K94" s="179">
        <v>13230</v>
      </c>
      <c r="N94" s="179">
        <f t="shared" si="1"/>
        <v>0</v>
      </c>
      <c r="O94" s="179" t="s">
        <v>415</v>
      </c>
      <c r="P94" s="179" t="s">
        <v>2563</v>
      </c>
    </row>
    <row r="95" spans="1:21">
      <c r="A95" s="95">
        <v>20100824</v>
      </c>
      <c r="B95" s="179">
        <v>161</v>
      </c>
      <c r="C95" s="221" t="s">
        <v>2693</v>
      </c>
      <c r="D95" s="179">
        <v>8</v>
      </c>
      <c r="E95" s="221" t="s">
        <v>1786</v>
      </c>
      <c r="F95" s="179" t="s">
        <v>1784</v>
      </c>
      <c r="G95" s="179">
        <v>13230</v>
      </c>
      <c r="J95" s="179">
        <v>13230</v>
      </c>
      <c r="K95" s="179">
        <v>13230</v>
      </c>
      <c r="N95" s="179">
        <f t="shared" si="1"/>
        <v>0</v>
      </c>
      <c r="O95" s="179" t="s">
        <v>2768</v>
      </c>
      <c r="P95" s="179" t="s">
        <v>815</v>
      </c>
      <c r="Q95" s="3">
        <v>13230</v>
      </c>
      <c r="R95">
        <v>13230</v>
      </c>
    </row>
    <row r="96" spans="1:21">
      <c r="A96" s="95">
        <v>20100902</v>
      </c>
      <c r="B96" s="179">
        <v>164</v>
      </c>
      <c r="C96" s="221" t="s">
        <v>1299</v>
      </c>
      <c r="D96" s="179">
        <v>3</v>
      </c>
      <c r="E96" s="221" t="s">
        <v>2725</v>
      </c>
      <c r="F96" s="179" t="s">
        <v>2723</v>
      </c>
      <c r="G96" s="179">
        <v>11340</v>
      </c>
      <c r="J96" s="179">
        <v>11340</v>
      </c>
      <c r="K96" s="179">
        <v>11340</v>
      </c>
      <c r="N96" s="179">
        <f t="shared" si="1"/>
        <v>0</v>
      </c>
      <c r="O96" s="179" t="s">
        <v>2756</v>
      </c>
      <c r="P96" s="179" t="s">
        <v>2757</v>
      </c>
    </row>
    <row r="97" spans="1:21">
      <c r="A97" s="95">
        <v>20100902</v>
      </c>
      <c r="B97" s="179">
        <v>165</v>
      </c>
      <c r="C97" s="221" t="s">
        <v>1299</v>
      </c>
      <c r="D97" s="179">
        <v>4</v>
      </c>
      <c r="E97" s="221" t="s">
        <v>2396</v>
      </c>
      <c r="F97" s="179" t="s">
        <v>2394</v>
      </c>
      <c r="G97" s="179">
        <v>11340</v>
      </c>
      <c r="J97" s="179">
        <v>11340</v>
      </c>
      <c r="K97" s="179">
        <v>11340</v>
      </c>
      <c r="N97" s="179">
        <f t="shared" si="1"/>
        <v>0</v>
      </c>
      <c r="O97" s="179" t="s">
        <v>2751</v>
      </c>
      <c r="P97" s="179" t="s">
        <v>2752</v>
      </c>
    </row>
    <row r="98" spans="1:21">
      <c r="A98" s="95">
        <v>20100902</v>
      </c>
      <c r="B98" s="179">
        <v>166</v>
      </c>
      <c r="C98" s="221" t="s">
        <v>1299</v>
      </c>
      <c r="D98" s="179">
        <v>5</v>
      </c>
      <c r="E98" s="221" t="s">
        <v>1909</v>
      </c>
      <c r="F98" s="179" t="s">
        <v>1907</v>
      </c>
      <c r="G98" s="179">
        <v>11340</v>
      </c>
      <c r="J98" s="179">
        <v>11340</v>
      </c>
      <c r="K98" s="179">
        <v>11340</v>
      </c>
      <c r="N98" s="179">
        <f t="shared" si="1"/>
        <v>0</v>
      </c>
      <c r="O98" s="179" t="s">
        <v>2746</v>
      </c>
      <c r="P98" s="179" t="s">
        <v>2747</v>
      </c>
    </row>
    <row r="99" spans="1:21">
      <c r="A99" s="95">
        <v>20100902</v>
      </c>
      <c r="B99" s="179">
        <v>167</v>
      </c>
      <c r="C99" s="221" t="s">
        <v>1299</v>
      </c>
      <c r="D99" s="179">
        <v>6</v>
      </c>
      <c r="E99" s="221" t="s">
        <v>2562</v>
      </c>
      <c r="F99" s="179" t="s">
        <v>2560</v>
      </c>
      <c r="G99" s="179">
        <v>11340</v>
      </c>
      <c r="J99" s="179">
        <v>11340</v>
      </c>
      <c r="K99" s="179">
        <v>11340</v>
      </c>
      <c r="N99" s="179">
        <f t="shared" si="1"/>
        <v>0</v>
      </c>
      <c r="O99" s="179" t="s">
        <v>415</v>
      </c>
      <c r="P99" s="179" t="s">
        <v>2563</v>
      </c>
    </row>
    <row r="100" spans="1:21">
      <c r="A100" s="95">
        <v>20100902</v>
      </c>
      <c r="B100" s="179">
        <v>168</v>
      </c>
      <c r="C100" s="221" t="s">
        <v>1299</v>
      </c>
      <c r="D100" s="179">
        <v>7</v>
      </c>
      <c r="E100" s="221" t="s">
        <v>1785</v>
      </c>
      <c r="F100" s="179" t="s">
        <v>1784</v>
      </c>
      <c r="G100" s="179">
        <v>11340</v>
      </c>
      <c r="J100" s="179">
        <v>11340</v>
      </c>
      <c r="K100" s="179">
        <v>11340</v>
      </c>
      <c r="N100" s="179">
        <f t="shared" si="1"/>
        <v>0</v>
      </c>
      <c r="O100" s="179" t="s">
        <v>2768</v>
      </c>
      <c r="P100" s="179" t="s">
        <v>815</v>
      </c>
      <c r="Q100" s="3">
        <v>11340</v>
      </c>
      <c r="R100">
        <v>11340</v>
      </c>
    </row>
    <row r="101" spans="1:21">
      <c r="A101" s="95">
        <v>20100902</v>
      </c>
      <c r="B101" s="179">
        <v>169</v>
      </c>
      <c r="C101" s="221" t="s">
        <v>1299</v>
      </c>
      <c r="D101" s="179">
        <v>8</v>
      </c>
      <c r="E101" s="221" t="s">
        <v>1809</v>
      </c>
      <c r="F101" s="179" t="s">
        <v>1808</v>
      </c>
      <c r="G101" s="179">
        <v>11340</v>
      </c>
      <c r="J101" s="179">
        <v>11340</v>
      </c>
      <c r="K101" s="179">
        <v>11340</v>
      </c>
      <c r="N101" s="179">
        <f t="shared" si="1"/>
        <v>0</v>
      </c>
      <c r="O101" s="179" t="s">
        <v>488</v>
      </c>
      <c r="P101" s="179" t="s">
        <v>489</v>
      </c>
      <c r="Q101" s="3">
        <v>11340</v>
      </c>
      <c r="R101">
        <v>11340</v>
      </c>
    </row>
    <row r="102" spans="1:21">
      <c r="A102" s="95">
        <v>20100916</v>
      </c>
      <c r="B102" s="179">
        <v>174</v>
      </c>
      <c r="C102" s="221" t="s">
        <v>2689</v>
      </c>
      <c r="D102" s="179">
        <v>3</v>
      </c>
      <c r="E102" s="221" t="s">
        <v>2736</v>
      </c>
      <c r="F102" s="179" t="s">
        <v>2735</v>
      </c>
      <c r="G102" s="179">
        <v>14175</v>
      </c>
      <c r="J102" s="179">
        <v>14175</v>
      </c>
      <c r="K102" s="179">
        <v>14175</v>
      </c>
      <c r="N102" s="179">
        <f t="shared" si="1"/>
        <v>0</v>
      </c>
      <c r="O102" s="179" t="s">
        <v>2749</v>
      </c>
      <c r="P102" s="179" t="s">
        <v>2750</v>
      </c>
    </row>
    <row r="103" spans="1:21">
      <c r="A103" s="95">
        <v>20100916</v>
      </c>
      <c r="B103" s="179">
        <v>175</v>
      </c>
      <c r="C103" s="221" t="s">
        <v>2689</v>
      </c>
      <c r="D103" s="179">
        <v>4</v>
      </c>
      <c r="E103" s="221" t="s">
        <v>2406</v>
      </c>
      <c r="F103" s="179" t="s">
        <v>2405</v>
      </c>
      <c r="G103" s="179">
        <v>14175</v>
      </c>
      <c r="J103" s="179">
        <v>14175</v>
      </c>
      <c r="K103" s="179">
        <v>14175</v>
      </c>
      <c r="N103" s="179">
        <f t="shared" si="1"/>
        <v>0</v>
      </c>
      <c r="O103" s="179" t="s">
        <v>2758</v>
      </c>
      <c r="P103" s="179" t="s">
        <v>2759</v>
      </c>
    </row>
    <row r="104" spans="1:21">
      <c r="A104" s="95">
        <v>20100916</v>
      </c>
      <c r="B104" s="179">
        <v>176</v>
      </c>
      <c r="C104" s="221" t="s">
        <v>2689</v>
      </c>
      <c r="D104" s="179">
        <v>5</v>
      </c>
      <c r="E104" s="221" t="s">
        <v>1619</v>
      </c>
      <c r="F104" s="179" t="s">
        <v>1618</v>
      </c>
      <c r="G104" s="179">
        <v>14175</v>
      </c>
      <c r="J104" s="179">
        <v>14175</v>
      </c>
      <c r="K104" s="179">
        <v>14175</v>
      </c>
      <c r="N104" s="179">
        <f t="shared" si="1"/>
        <v>0</v>
      </c>
      <c r="O104" s="179" t="s">
        <v>2760</v>
      </c>
      <c r="P104" s="179" t="s">
        <v>2755</v>
      </c>
    </row>
    <row r="105" spans="1:21" s="114" customFormat="1">
      <c r="A105" s="114">
        <v>20100916</v>
      </c>
      <c r="B105" s="211">
        <v>177</v>
      </c>
      <c r="C105" s="222" t="s">
        <v>2689</v>
      </c>
      <c r="D105" s="211">
        <v>6</v>
      </c>
      <c r="E105" s="222" t="s">
        <v>2572</v>
      </c>
      <c r="F105" s="211" t="s">
        <v>2571</v>
      </c>
      <c r="G105" s="211">
        <v>14175</v>
      </c>
      <c r="H105" s="211"/>
      <c r="I105" s="211"/>
      <c r="J105" s="211">
        <v>14175</v>
      </c>
      <c r="K105" s="211">
        <v>14175</v>
      </c>
      <c r="L105" s="211"/>
      <c r="M105" s="211"/>
      <c r="N105" s="211">
        <f t="shared" si="1"/>
        <v>0</v>
      </c>
      <c r="O105" s="211" t="s">
        <v>486</v>
      </c>
      <c r="P105" s="211" t="s">
        <v>486</v>
      </c>
      <c r="Q105" s="114">
        <v>14175</v>
      </c>
      <c r="R105" s="114">
        <v>14175</v>
      </c>
      <c r="T105" s="211"/>
      <c r="U105" s="222" t="s">
        <v>254</v>
      </c>
    </row>
    <row r="106" spans="1:21">
      <c r="A106" s="95">
        <v>20100916</v>
      </c>
      <c r="B106" s="179">
        <v>178</v>
      </c>
      <c r="C106" s="221" t="s">
        <v>2689</v>
      </c>
      <c r="D106" s="179">
        <v>7</v>
      </c>
      <c r="E106" s="221" t="s">
        <v>1797</v>
      </c>
      <c r="F106" s="179" t="s">
        <v>1796</v>
      </c>
      <c r="G106" s="179">
        <v>14175</v>
      </c>
      <c r="J106" s="179">
        <v>14175</v>
      </c>
      <c r="K106" s="179">
        <v>14175</v>
      </c>
      <c r="N106" s="179">
        <f t="shared" si="1"/>
        <v>0</v>
      </c>
      <c r="O106" s="179" t="s">
        <v>818</v>
      </c>
      <c r="P106" s="179" t="s">
        <v>487</v>
      </c>
      <c r="Q106" s="3">
        <v>14175</v>
      </c>
      <c r="R106">
        <v>14175</v>
      </c>
    </row>
    <row r="107" spans="1:21">
      <c r="A107" s="95">
        <v>20100916</v>
      </c>
      <c r="B107" s="179">
        <v>179</v>
      </c>
      <c r="C107" s="221" t="s">
        <v>2689</v>
      </c>
      <c r="D107" s="179">
        <v>8</v>
      </c>
      <c r="E107" s="221" t="s">
        <v>1817</v>
      </c>
      <c r="F107" s="179" t="s">
        <v>1816</v>
      </c>
      <c r="G107" s="179">
        <v>14175</v>
      </c>
      <c r="J107" s="179">
        <v>14175</v>
      </c>
      <c r="K107" s="179">
        <v>14175</v>
      </c>
      <c r="N107" s="179">
        <f t="shared" si="1"/>
        <v>0</v>
      </c>
      <c r="O107" s="179" t="s">
        <v>488</v>
      </c>
      <c r="P107" s="179" t="s">
        <v>489</v>
      </c>
      <c r="Q107" s="3">
        <v>14175</v>
      </c>
      <c r="R107">
        <v>14175</v>
      </c>
    </row>
    <row r="108" spans="1:21">
      <c r="A108" s="95">
        <v>20101004</v>
      </c>
      <c r="B108" s="179">
        <v>189</v>
      </c>
      <c r="C108" s="221" t="s">
        <v>1764</v>
      </c>
      <c r="D108" s="179">
        <v>2</v>
      </c>
      <c r="E108" s="221" t="s">
        <v>2699</v>
      </c>
      <c r="F108" s="179" t="s">
        <v>2696</v>
      </c>
      <c r="G108" s="179">
        <v>14175</v>
      </c>
      <c r="J108" s="179">
        <v>14175</v>
      </c>
      <c r="K108" s="179">
        <v>14175</v>
      </c>
      <c r="N108" s="179">
        <f t="shared" si="1"/>
        <v>0</v>
      </c>
      <c r="O108" s="179" t="s">
        <v>567</v>
      </c>
      <c r="P108" s="179" t="s">
        <v>568</v>
      </c>
    </row>
    <row r="109" spans="1:21">
      <c r="A109" s="95">
        <v>20101004</v>
      </c>
      <c r="B109" s="179">
        <v>190</v>
      </c>
      <c r="C109" s="221" t="s">
        <v>1764</v>
      </c>
      <c r="D109" s="179">
        <v>3</v>
      </c>
      <c r="E109" s="221" t="s">
        <v>3870</v>
      </c>
      <c r="F109" s="179" t="s">
        <v>3867</v>
      </c>
      <c r="G109" s="179">
        <v>14175</v>
      </c>
      <c r="J109" s="179">
        <v>14175</v>
      </c>
      <c r="K109" s="179">
        <v>14175</v>
      </c>
      <c r="N109" s="179">
        <f t="shared" si="1"/>
        <v>0</v>
      </c>
      <c r="O109" s="179" t="s">
        <v>573</v>
      </c>
      <c r="P109" s="179" t="s">
        <v>2761</v>
      </c>
    </row>
    <row r="110" spans="1:21">
      <c r="A110" s="95">
        <v>20101004</v>
      </c>
      <c r="B110" s="179">
        <v>191</v>
      </c>
      <c r="C110" s="221" t="s">
        <v>1764</v>
      </c>
      <c r="D110" s="179">
        <v>4</v>
      </c>
      <c r="E110" s="221" t="s">
        <v>2411</v>
      </c>
      <c r="F110" s="179" t="s">
        <v>2409</v>
      </c>
      <c r="G110" s="179">
        <v>14175</v>
      </c>
      <c r="J110" s="179">
        <v>14175</v>
      </c>
      <c r="K110" s="179">
        <v>14175</v>
      </c>
      <c r="N110" s="179">
        <f t="shared" si="1"/>
        <v>0</v>
      </c>
      <c r="O110" s="179" t="s">
        <v>2753</v>
      </c>
      <c r="P110" s="179" t="s">
        <v>2754</v>
      </c>
    </row>
    <row r="111" spans="1:21">
      <c r="A111" s="95">
        <v>20101004</v>
      </c>
      <c r="B111" s="179">
        <v>192</v>
      </c>
      <c r="C111" s="221" t="s">
        <v>1764</v>
      </c>
      <c r="D111" s="179">
        <v>5</v>
      </c>
      <c r="E111" s="221" t="s">
        <v>1624</v>
      </c>
      <c r="F111" s="179" t="s">
        <v>1622</v>
      </c>
      <c r="G111" s="179">
        <v>14175</v>
      </c>
      <c r="J111" s="179">
        <v>14175</v>
      </c>
      <c r="K111" s="179">
        <v>14175</v>
      </c>
      <c r="N111" s="179">
        <f t="shared" si="1"/>
        <v>0</v>
      </c>
      <c r="O111" s="179" t="s">
        <v>574</v>
      </c>
      <c r="P111" s="179" t="s">
        <v>575</v>
      </c>
    </row>
    <row r="112" spans="1:21" s="114" customFormat="1">
      <c r="A112" s="114">
        <v>20101004</v>
      </c>
      <c r="B112" s="211">
        <v>193</v>
      </c>
      <c r="C112" s="222" t="s">
        <v>1764</v>
      </c>
      <c r="D112" s="211">
        <v>6</v>
      </c>
      <c r="E112" s="222" t="s">
        <v>1763</v>
      </c>
      <c r="F112" s="211" t="s">
        <v>1762</v>
      </c>
      <c r="G112" s="211">
        <v>14175</v>
      </c>
      <c r="H112" s="211"/>
      <c r="I112" s="211"/>
      <c r="J112" s="211">
        <v>14175</v>
      </c>
      <c r="K112" s="211">
        <v>14175</v>
      </c>
      <c r="L112" s="211"/>
      <c r="M112" s="211"/>
      <c r="N112" s="211">
        <f t="shared" si="1"/>
        <v>0</v>
      </c>
      <c r="O112" s="211" t="s">
        <v>2662</v>
      </c>
      <c r="P112" s="211" t="s">
        <v>2767</v>
      </c>
      <c r="Q112" s="114">
        <v>14175</v>
      </c>
      <c r="R112" s="114">
        <v>14175</v>
      </c>
      <c r="T112" s="211"/>
      <c r="U112" s="222" t="s">
        <v>254</v>
      </c>
    </row>
    <row r="113" spans="1:21">
      <c r="A113" s="95">
        <v>20101004</v>
      </c>
      <c r="B113" s="179">
        <v>194</v>
      </c>
      <c r="C113" s="221" t="s">
        <v>1764</v>
      </c>
      <c r="D113" s="179">
        <v>7</v>
      </c>
      <c r="E113" s="221" t="s">
        <v>1801</v>
      </c>
      <c r="F113" s="179" t="s">
        <v>1800</v>
      </c>
      <c r="G113" s="179">
        <v>14175</v>
      </c>
      <c r="J113" s="179">
        <v>14175</v>
      </c>
      <c r="K113" s="179">
        <v>14175</v>
      </c>
      <c r="N113" s="179">
        <f t="shared" si="1"/>
        <v>0</v>
      </c>
      <c r="O113" s="179" t="s">
        <v>818</v>
      </c>
      <c r="P113" s="179" t="s">
        <v>487</v>
      </c>
      <c r="Q113" s="3">
        <v>14175</v>
      </c>
      <c r="R113">
        <v>14175</v>
      </c>
    </row>
    <row r="114" spans="1:21">
      <c r="A114" s="95">
        <v>20101004</v>
      </c>
      <c r="B114" s="179">
        <v>195</v>
      </c>
      <c r="C114" s="221" t="s">
        <v>1764</v>
      </c>
      <c r="D114" s="179">
        <v>8</v>
      </c>
      <c r="E114" s="221" t="s">
        <v>1819</v>
      </c>
      <c r="F114" s="179" t="s">
        <v>1818</v>
      </c>
      <c r="G114" s="179">
        <v>14175</v>
      </c>
      <c r="J114" s="179">
        <v>14175</v>
      </c>
      <c r="K114" s="179">
        <v>14175</v>
      </c>
      <c r="N114" s="179">
        <f t="shared" si="1"/>
        <v>0</v>
      </c>
      <c r="O114" s="179" t="s">
        <v>490</v>
      </c>
      <c r="P114" s="179" t="s">
        <v>491</v>
      </c>
      <c r="Q114" s="3">
        <v>14175</v>
      </c>
      <c r="R114">
        <v>14175</v>
      </c>
    </row>
    <row r="115" spans="1:21">
      <c r="A115" s="95">
        <v>20101018</v>
      </c>
      <c r="B115" s="179">
        <v>197</v>
      </c>
      <c r="C115" s="221" t="s">
        <v>1270</v>
      </c>
      <c r="D115" s="179">
        <v>2</v>
      </c>
      <c r="E115" s="221" t="s">
        <v>2713</v>
      </c>
      <c r="F115" s="179" t="s">
        <v>2712</v>
      </c>
      <c r="G115" s="179">
        <v>20475</v>
      </c>
      <c r="J115" s="179">
        <v>20475</v>
      </c>
      <c r="K115" s="179">
        <v>20475</v>
      </c>
      <c r="N115" s="179">
        <f t="shared" si="1"/>
        <v>0</v>
      </c>
      <c r="O115" s="179" t="s">
        <v>419</v>
      </c>
      <c r="P115" s="179" t="s">
        <v>572</v>
      </c>
    </row>
    <row r="116" spans="1:21">
      <c r="A116" s="95">
        <v>20101018</v>
      </c>
      <c r="B116" s="179">
        <v>198</v>
      </c>
      <c r="C116" s="221" t="s">
        <v>1270</v>
      </c>
      <c r="D116" s="179">
        <v>3</v>
      </c>
      <c r="E116" s="221" t="s">
        <v>3884</v>
      </c>
      <c r="F116" s="179" t="s">
        <v>3883</v>
      </c>
      <c r="G116" s="179">
        <v>20475</v>
      </c>
      <c r="J116" s="179">
        <v>20475</v>
      </c>
      <c r="K116" s="179">
        <v>20475</v>
      </c>
      <c r="N116" s="179">
        <f t="shared" si="1"/>
        <v>0</v>
      </c>
      <c r="O116" s="179" t="s">
        <v>2751</v>
      </c>
      <c r="P116" s="179" t="s">
        <v>2752</v>
      </c>
    </row>
    <row r="117" spans="1:21">
      <c r="A117" s="95">
        <v>20101018</v>
      </c>
      <c r="B117" s="179">
        <v>199</v>
      </c>
      <c r="C117" s="221" t="s">
        <v>1270</v>
      </c>
      <c r="D117" s="179">
        <v>4</v>
      </c>
      <c r="E117" s="221" t="s">
        <v>1897</v>
      </c>
      <c r="F117" s="179" t="s">
        <v>1896</v>
      </c>
      <c r="G117" s="179">
        <v>20475</v>
      </c>
      <c r="J117" s="179">
        <v>20475</v>
      </c>
      <c r="K117" s="179">
        <v>20475</v>
      </c>
      <c r="N117" s="179">
        <f t="shared" si="1"/>
        <v>0</v>
      </c>
      <c r="O117" s="179" t="s">
        <v>2746</v>
      </c>
      <c r="P117" s="179" t="s">
        <v>2747</v>
      </c>
    </row>
    <row r="118" spans="1:21">
      <c r="A118" s="95">
        <v>20101111</v>
      </c>
      <c r="B118" s="179">
        <v>203</v>
      </c>
      <c r="C118" s="221" t="s">
        <v>2423</v>
      </c>
      <c r="D118" s="179">
        <v>2</v>
      </c>
      <c r="E118" s="221" t="s">
        <v>2734</v>
      </c>
      <c r="F118" s="179" t="s">
        <v>2732</v>
      </c>
      <c r="G118" s="179">
        <v>14175</v>
      </c>
      <c r="J118" s="179">
        <v>14175</v>
      </c>
      <c r="K118" s="179">
        <v>14175</v>
      </c>
      <c r="N118" s="179">
        <f t="shared" si="1"/>
        <v>0</v>
      </c>
      <c r="O118" s="179" t="s">
        <v>569</v>
      </c>
      <c r="P118" s="179" t="s">
        <v>570</v>
      </c>
    </row>
    <row r="119" spans="1:21">
      <c r="A119" s="95">
        <v>20101111</v>
      </c>
      <c r="B119" s="179">
        <v>204</v>
      </c>
      <c r="C119" s="221" t="s">
        <v>2423</v>
      </c>
      <c r="D119" s="179">
        <v>3</v>
      </c>
      <c r="E119" s="221" t="s">
        <v>2404</v>
      </c>
      <c r="F119" s="179" t="s">
        <v>2402</v>
      </c>
      <c r="G119" s="179">
        <v>14175</v>
      </c>
      <c r="J119" s="179">
        <v>14175</v>
      </c>
      <c r="K119" s="179">
        <v>14175</v>
      </c>
      <c r="N119" s="179">
        <f t="shared" si="1"/>
        <v>0</v>
      </c>
      <c r="O119" s="179" t="s">
        <v>571</v>
      </c>
      <c r="P119" s="179" t="s">
        <v>421</v>
      </c>
    </row>
    <row r="120" spans="1:21">
      <c r="A120" s="95">
        <v>20101111</v>
      </c>
      <c r="B120" s="179">
        <v>205</v>
      </c>
      <c r="C120" s="221" t="s">
        <v>2423</v>
      </c>
      <c r="D120" s="179">
        <v>4</v>
      </c>
      <c r="E120" s="221" t="s">
        <v>1617</v>
      </c>
      <c r="F120" s="179" t="s">
        <v>1615</v>
      </c>
      <c r="G120" s="179">
        <v>14175</v>
      </c>
      <c r="J120" s="179">
        <v>14175</v>
      </c>
      <c r="K120" s="179">
        <v>14175</v>
      </c>
      <c r="N120" s="179">
        <f t="shared" si="1"/>
        <v>0</v>
      </c>
      <c r="O120" s="179" t="s">
        <v>2758</v>
      </c>
      <c r="P120" s="179" t="s">
        <v>2759</v>
      </c>
    </row>
    <row r="121" spans="1:21" s="114" customFormat="1">
      <c r="A121" s="114">
        <v>20101111</v>
      </c>
      <c r="B121" s="211">
        <v>206</v>
      </c>
      <c r="C121" s="222" t="s">
        <v>2423</v>
      </c>
      <c r="D121" s="211">
        <v>5</v>
      </c>
      <c r="E121" s="222" t="s">
        <v>2570</v>
      </c>
      <c r="F121" s="211" t="s">
        <v>2568</v>
      </c>
      <c r="G121" s="211">
        <v>14175</v>
      </c>
      <c r="H121" s="211"/>
      <c r="I121" s="211"/>
      <c r="J121" s="211">
        <v>14175</v>
      </c>
      <c r="K121" s="211">
        <v>14175</v>
      </c>
      <c r="L121" s="211"/>
      <c r="M121" s="211"/>
      <c r="N121" s="211">
        <f t="shared" si="1"/>
        <v>0</v>
      </c>
      <c r="O121" s="211" t="s">
        <v>486</v>
      </c>
      <c r="P121" s="211" t="s">
        <v>486</v>
      </c>
      <c r="Q121" s="114">
        <v>14175</v>
      </c>
      <c r="R121" s="114">
        <v>14175</v>
      </c>
      <c r="T121" s="211"/>
      <c r="U121" s="222" t="s">
        <v>254</v>
      </c>
    </row>
    <row r="122" spans="1:21">
      <c r="A122" s="95">
        <v>20101111</v>
      </c>
      <c r="B122" s="179">
        <v>207</v>
      </c>
      <c r="C122" s="221" t="s">
        <v>2423</v>
      </c>
      <c r="D122" s="179">
        <v>6</v>
      </c>
      <c r="E122" s="221" t="s">
        <v>1795</v>
      </c>
      <c r="F122" s="179" t="s">
        <v>1794</v>
      </c>
      <c r="G122" s="179">
        <v>14175</v>
      </c>
      <c r="J122" s="179">
        <v>14175</v>
      </c>
      <c r="K122" s="179">
        <v>14175</v>
      </c>
      <c r="N122" s="179">
        <f t="shared" si="1"/>
        <v>0</v>
      </c>
      <c r="O122" s="179" t="s">
        <v>818</v>
      </c>
      <c r="P122" s="179" t="s">
        <v>487</v>
      </c>
      <c r="Q122" s="3">
        <v>14175</v>
      </c>
      <c r="R122">
        <v>14175</v>
      </c>
    </row>
    <row r="123" spans="1:21">
      <c r="A123" s="95">
        <v>20101111</v>
      </c>
      <c r="B123" s="179">
        <v>208</v>
      </c>
      <c r="C123" s="221" t="s">
        <v>2423</v>
      </c>
      <c r="D123" s="179">
        <v>7</v>
      </c>
      <c r="E123" s="221" t="s">
        <v>1815</v>
      </c>
      <c r="F123" s="179" t="s">
        <v>1814</v>
      </c>
      <c r="G123" s="179">
        <v>14175</v>
      </c>
      <c r="J123" s="179">
        <v>14175</v>
      </c>
      <c r="K123" s="179">
        <v>14175</v>
      </c>
      <c r="N123" s="179">
        <f t="shared" si="1"/>
        <v>0</v>
      </c>
      <c r="O123" s="179" t="s">
        <v>488</v>
      </c>
      <c r="P123" s="179" t="s">
        <v>489</v>
      </c>
      <c r="Q123" s="3">
        <v>14175</v>
      </c>
      <c r="R123">
        <v>14175</v>
      </c>
    </row>
    <row r="124" spans="1:21">
      <c r="A124" s="95">
        <v>20101111</v>
      </c>
      <c r="B124" s="179">
        <v>209</v>
      </c>
      <c r="C124" s="221" t="s">
        <v>2423</v>
      </c>
      <c r="D124" s="179">
        <v>8</v>
      </c>
      <c r="E124" s="221" t="s">
        <v>1382</v>
      </c>
      <c r="F124" s="179" t="s">
        <v>1381</v>
      </c>
      <c r="G124" s="179">
        <v>14175</v>
      </c>
      <c r="J124" s="179">
        <v>14175</v>
      </c>
      <c r="K124" s="179">
        <v>14175</v>
      </c>
      <c r="N124" s="179">
        <f t="shared" si="1"/>
        <v>0</v>
      </c>
      <c r="O124" s="179" t="s">
        <v>1461</v>
      </c>
      <c r="P124" s="179" t="s">
        <v>492</v>
      </c>
      <c r="Q124" s="3">
        <v>14175</v>
      </c>
      <c r="R124">
        <v>14175</v>
      </c>
    </row>
    <row r="125" spans="1:21">
      <c r="A125" s="95">
        <v>20101122</v>
      </c>
      <c r="B125" s="179">
        <v>211</v>
      </c>
      <c r="C125" s="221" t="s">
        <v>2691</v>
      </c>
      <c r="D125" s="179">
        <v>2</v>
      </c>
      <c r="E125" s="221" t="s">
        <v>2722</v>
      </c>
      <c r="F125" s="179" t="s">
        <v>2721</v>
      </c>
      <c r="G125" s="179">
        <v>14175</v>
      </c>
      <c r="J125" s="179">
        <v>14175</v>
      </c>
      <c r="K125" s="179">
        <v>14175</v>
      </c>
      <c r="N125" s="179">
        <f t="shared" si="1"/>
        <v>0</v>
      </c>
      <c r="O125" s="179" t="s">
        <v>2756</v>
      </c>
      <c r="P125" s="179" t="s">
        <v>2757</v>
      </c>
    </row>
    <row r="126" spans="1:21">
      <c r="A126" s="95">
        <v>20101122</v>
      </c>
      <c r="B126" s="179">
        <v>212</v>
      </c>
      <c r="C126" s="221" t="s">
        <v>2691</v>
      </c>
      <c r="D126" s="179">
        <v>3</v>
      </c>
      <c r="E126" s="221" t="s">
        <v>2393</v>
      </c>
      <c r="F126" s="179" t="s">
        <v>2392</v>
      </c>
      <c r="G126" s="179">
        <v>14175</v>
      </c>
      <c r="J126" s="179">
        <v>14175</v>
      </c>
      <c r="K126" s="179">
        <v>14175</v>
      </c>
      <c r="N126" s="179">
        <f t="shared" si="1"/>
        <v>0</v>
      </c>
      <c r="O126" s="179" t="s">
        <v>2751</v>
      </c>
      <c r="P126" s="179" t="s">
        <v>2752</v>
      </c>
    </row>
    <row r="127" spans="1:21">
      <c r="A127" s="95">
        <v>20101122</v>
      </c>
      <c r="B127" s="179">
        <v>213</v>
      </c>
      <c r="C127" s="221" t="s">
        <v>2691</v>
      </c>
      <c r="D127" s="179">
        <v>4</v>
      </c>
      <c r="E127" s="221" t="s">
        <v>1906</v>
      </c>
      <c r="F127" s="179" t="s">
        <v>1905</v>
      </c>
      <c r="G127" s="179">
        <v>14175</v>
      </c>
      <c r="J127" s="179">
        <v>14175</v>
      </c>
      <c r="K127" s="179">
        <v>14175</v>
      </c>
      <c r="N127" s="179">
        <f t="shared" si="1"/>
        <v>0</v>
      </c>
      <c r="O127" s="179" t="s">
        <v>2746</v>
      </c>
      <c r="P127" s="179" t="s">
        <v>2747</v>
      </c>
    </row>
    <row r="128" spans="1:21">
      <c r="A128" s="95">
        <v>20101122</v>
      </c>
      <c r="B128" s="179">
        <v>214</v>
      </c>
      <c r="C128" s="221" t="s">
        <v>2691</v>
      </c>
      <c r="D128" s="179">
        <v>5</v>
      </c>
      <c r="E128" s="221" t="s">
        <v>2559</v>
      </c>
      <c r="F128" s="179" t="s">
        <v>2558</v>
      </c>
      <c r="G128" s="179">
        <v>14175</v>
      </c>
      <c r="J128" s="179">
        <v>14175</v>
      </c>
      <c r="K128" s="179">
        <v>14175</v>
      </c>
      <c r="N128" s="179">
        <f t="shared" si="1"/>
        <v>0</v>
      </c>
      <c r="O128" s="179" t="s">
        <v>415</v>
      </c>
      <c r="P128" s="179" t="s">
        <v>2563</v>
      </c>
    </row>
    <row r="129" spans="1:21">
      <c r="A129" s="95">
        <v>20101122</v>
      </c>
      <c r="B129" s="179">
        <v>215</v>
      </c>
      <c r="C129" s="221" t="s">
        <v>2691</v>
      </c>
      <c r="D129" s="179">
        <v>6</v>
      </c>
      <c r="E129" s="221" t="s">
        <v>1783</v>
      </c>
      <c r="F129" s="179" t="s">
        <v>1782</v>
      </c>
      <c r="G129" s="179">
        <v>14175</v>
      </c>
      <c r="J129" s="179">
        <v>14175</v>
      </c>
      <c r="K129" s="179">
        <v>14175</v>
      </c>
      <c r="N129" s="179">
        <f t="shared" si="1"/>
        <v>0</v>
      </c>
      <c r="O129" s="179" t="s">
        <v>2768</v>
      </c>
      <c r="P129" s="179" t="s">
        <v>815</v>
      </c>
      <c r="Q129" s="3">
        <v>14175</v>
      </c>
      <c r="R129">
        <v>14175</v>
      </c>
    </row>
    <row r="130" spans="1:21">
      <c r="A130" s="95">
        <v>20101122</v>
      </c>
      <c r="B130" s="179">
        <v>216</v>
      </c>
      <c r="C130" s="221" t="s">
        <v>2691</v>
      </c>
      <c r="D130" s="179">
        <v>7</v>
      </c>
      <c r="E130" s="221" t="s">
        <v>1807</v>
      </c>
      <c r="F130" s="179" t="s">
        <v>1806</v>
      </c>
      <c r="G130" s="179">
        <v>14175</v>
      </c>
      <c r="J130" s="179">
        <v>14175</v>
      </c>
      <c r="K130" s="179">
        <v>14175</v>
      </c>
      <c r="N130" s="179">
        <f t="shared" si="1"/>
        <v>0</v>
      </c>
      <c r="O130" s="179" t="s">
        <v>488</v>
      </c>
      <c r="P130" s="179" t="s">
        <v>489</v>
      </c>
      <c r="Q130" s="3">
        <v>14175</v>
      </c>
      <c r="R130">
        <v>14175</v>
      </c>
    </row>
    <row r="131" spans="1:21">
      <c r="A131" s="95">
        <v>20101122</v>
      </c>
      <c r="B131" s="179">
        <v>217</v>
      </c>
      <c r="C131" s="221" t="s">
        <v>2691</v>
      </c>
      <c r="D131" s="179">
        <v>8</v>
      </c>
      <c r="E131" s="221" t="s">
        <v>1380</v>
      </c>
      <c r="F131" s="179" t="s">
        <v>1379</v>
      </c>
      <c r="G131" s="179">
        <v>14175</v>
      </c>
      <c r="J131" s="179">
        <v>14175</v>
      </c>
      <c r="K131" s="179">
        <v>14175</v>
      </c>
      <c r="N131" s="179">
        <f t="shared" si="1"/>
        <v>0</v>
      </c>
      <c r="O131" s="179" t="s">
        <v>493</v>
      </c>
      <c r="P131" s="179" t="s">
        <v>911</v>
      </c>
      <c r="Q131" s="3">
        <v>14175</v>
      </c>
      <c r="R131">
        <v>14175</v>
      </c>
    </row>
    <row r="132" spans="1:21">
      <c r="A132" s="95">
        <v>20101129</v>
      </c>
      <c r="B132" s="179">
        <v>218</v>
      </c>
      <c r="C132" s="221" t="s">
        <v>1699</v>
      </c>
      <c r="D132" s="179">
        <v>1</v>
      </c>
      <c r="E132" s="221" t="s">
        <v>2695</v>
      </c>
      <c r="F132" s="179" t="s">
        <v>2694</v>
      </c>
      <c r="G132" s="179">
        <v>13500</v>
      </c>
      <c r="J132" s="179">
        <v>13500</v>
      </c>
      <c r="K132" s="179">
        <v>13500</v>
      </c>
      <c r="N132" s="179">
        <f t="shared" si="1"/>
        <v>0</v>
      </c>
      <c r="O132" s="179" t="s">
        <v>567</v>
      </c>
      <c r="P132" s="179" t="s">
        <v>568</v>
      </c>
    </row>
    <row r="133" spans="1:21">
      <c r="A133" s="95">
        <v>20101217</v>
      </c>
      <c r="B133" s="179">
        <v>221</v>
      </c>
      <c r="C133" s="221" t="s">
        <v>1306</v>
      </c>
      <c r="D133" s="179">
        <v>1</v>
      </c>
      <c r="E133" s="221" t="s">
        <v>2718</v>
      </c>
      <c r="F133" s="179" t="s">
        <v>561</v>
      </c>
      <c r="G133" s="179">
        <v>14175</v>
      </c>
      <c r="J133" s="179">
        <v>14175</v>
      </c>
      <c r="K133" s="179">
        <v>14175</v>
      </c>
      <c r="N133" s="179">
        <f t="shared" si="1"/>
        <v>0</v>
      </c>
      <c r="O133" s="179" t="s">
        <v>2756</v>
      </c>
      <c r="P133" s="179" t="s">
        <v>2757</v>
      </c>
    </row>
    <row r="134" spans="1:21">
      <c r="A134" s="95">
        <v>20101217</v>
      </c>
      <c r="B134" s="179">
        <v>222</v>
      </c>
      <c r="C134" s="221" t="s">
        <v>1306</v>
      </c>
      <c r="D134" s="179">
        <v>2</v>
      </c>
      <c r="E134" s="221" t="s">
        <v>2389</v>
      </c>
      <c r="F134" s="179" t="s">
        <v>562</v>
      </c>
      <c r="G134" s="179">
        <v>14175</v>
      </c>
      <c r="J134" s="179">
        <v>14175</v>
      </c>
      <c r="K134" s="179">
        <v>14175</v>
      </c>
      <c r="N134" s="179">
        <f t="shared" si="1"/>
        <v>0</v>
      </c>
      <c r="O134" s="179" t="s">
        <v>2751</v>
      </c>
      <c r="P134" s="179" t="s">
        <v>2752</v>
      </c>
    </row>
    <row r="135" spans="1:21">
      <c r="A135" s="95">
        <v>20101217</v>
      </c>
      <c r="B135" s="179">
        <v>223</v>
      </c>
      <c r="C135" s="221" t="s">
        <v>1306</v>
      </c>
      <c r="D135" s="179">
        <v>3</v>
      </c>
      <c r="E135" s="221" t="s">
        <v>1902</v>
      </c>
      <c r="F135" s="179" t="s">
        <v>563</v>
      </c>
      <c r="G135" s="179">
        <v>14175</v>
      </c>
      <c r="J135" s="179">
        <v>14175</v>
      </c>
      <c r="K135" s="179">
        <v>14175</v>
      </c>
      <c r="N135" s="179">
        <f t="shared" si="1"/>
        <v>0</v>
      </c>
      <c r="O135" s="179" t="s">
        <v>2746</v>
      </c>
      <c r="P135" s="179" t="s">
        <v>2747</v>
      </c>
    </row>
    <row r="136" spans="1:21">
      <c r="A136" s="95">
        <v>20101217</v>
      </c>
      <c r="B136" s="179">
        <v>224</v>
      </c>
      <c r="C136" s="221" t="s">
        <v>1306</v>
      </c>
      <c r="D136" s="179">
        <v>4</v>
      </c>
      <c r="E136" s="221" t="s">
        <v>2657</v>
      </c>
      <c r="F136" s="179" t="s">
        <v>2656</v>
      </c>
      <c r="G136" s="179">
        <v>14175</v>
      </c>
      <c r="J136" s="179">
        <v>14175</v>
      </c>
      <c r="K136" s="179">
        <v>14175</v>
      </c>
      <c r="N136" s="179">
        <f t="shared" si="1"/>
        <v>0</v>
      </c>
      <c r="O136" s="179" t="s">
        <v>415</v>
      </c>
      <c r="P136" s="179" t="s">
        <v>2563</v>
      </c>
    </row>
    <row r="137" spans="1:21">
      <c r="A137" s="95">
        <v>20101217</v>
      </c>
      <c r="B137" s="179">
        <v>225</v>
      </c>
      <c r="C137" s="221" t="s">
        <v>1306</v>
      </c>
      <c r="D137" s="179">
        <v>5</v>
      </c>
      <c r="E137" s="221" t="s">
        <v>1778</v>
      </c>
      <c r="F137" s="179" t="s">
        <v>564</v>
      </c>
      <c r="G137" s="179">
        <v>14175</v>
      </c>
      <c r="J137" s="179">
        <v>14175</v>
      </c>
      <c r="K137" s="179">
        <v>14175</v>
      </c>
      <c r="N137" s="179">
        <f t="shared" si="1"/>
        <v>0</v>
      </c>
      <c r="O137" s="179" t="s">
        <v>2768</v>
      </c>
      <c r="P137" s="179" t="s">
        <v>815</v>
      </c>
      <c r="Q137" s="3">
        <v>14175</v>
      </c>
      <c r="R137">
        <v>14175</v>
      </c>
    </row>
    <row r="138" spans="1:21">
      <c r="A138" s="95">
        <v>20101217</v>
      </c>
      <c r="B138" s="179">
        <v>226</v>
      </c>
      <c r="C138" s="221" t="s">
        <v>1306</v>
      </c>
      <c r="D138" s="179">
        <v>6</v>
      </c>
      <c r="E138" s="221" t="s">
        <v>1805</v>
      </c>
      <c r="F138" s="179" t="s">
        <v>565</v>
      </c>
      <c r="G138" s="179">
        <v>14175</v>
      </c>
      <c r="J138" s="179">
        <v>14175</v>
      </c>
      <c r="K138" s="179">
        <v>14175</v>
      </c>
      <c r="N138" s="179">
        <f t="shared" si="1"/>
        <v>0</v>
      </c>
      <c r="O138" s="179" t="s">
        <v>488</v>
      </c>
      <c r="P138" s="179" t="s">
        <v>489</v>
      </c>
      <c r="Q138" s="3">
        <v>14175</v>
      </c>
      <c r="R138">
        <v>14175</v>
      </c>
    </row>
    <row r="139" spans="1:21">
      <c r="A139" s="95">
        <v>20101217</v>
      </c>
      <c r="B139" s="179">
        <v>227</v>
      </c>
      <c r="C139" s="221" t="s">
        <v>1306</v>
      </c>
      <c r="D139" s="179">
        <v>7</v>
      </c>
      <c r="E139" s="221" t="s">
        <v>1820</v>
      </c>
      <c r="F139" s="179" t="s">
        <v>566</v>
      </c>
      <c r="G139" s="179">
        <v>14175</v>
      </c>
      <c r="J139" s="179">
        <v>14175</v>
      </c>
      <c r="K139" s="179">
        <v>14175</v>
      </c>
      <c r="N139" s="179">
        <f>G139-J139</f>
        <v>0</v>
      </c>
      <c r="O139" s="179" t="s">
        <v>493</v>
      </c>
      <c r="P139" s="179" t="s">
        <v>911</v>
      </c>
      <c r="Q139" s="3">
        <v>14175</v>
      </c>
      <c r="R139">
        <v>14175</v>
      </c>
    </row>
    <row r="140" spans="1:21">
      <c r="A140" s="95">
        <v>20101217</v>
      </c>
      <c r="B140" s="179">
        <v>228</v>
      </c>
      <c r="C140" s="221" t="s">
        <v>1306</v>
      </c>
      <c r="D140" s="179">
        <v>8</v>
      </c>
      <c r="E140" s="221" t="s">
        <v>1384</v>
      </c>
      <c r="F140" s="179" t="s">
        <v>1383</v>
      </c>
      <c r="G140" s="179">
        <v>14175</v>
      </c>
      <c r="J140" s="179">
        <v>14175</v>
      </c>
      <c r="K140" s="179">
        <v>14175</v>
      </c>
      <c r="N140" s="179">
        <f>G140-J140</f>
        <v>0</v>
      </c>
      <c r="O140" s="179" t="s">
        <v>458</v>
      </c>
      <c r="P140" s="179" t="s">
        <v>2035</v>
      </c>
      <c r="Q140" s="3">
        <v>14175</v>
      </c>
      <c r="R140">
        <v>14175</v>
      </c>
    </row>
    <row r="141" spans="1:21" s="176" customFormat="1" ht="20.25" customHeight="1">
      <c r="A141" s="203" t="s">
        <v>2531</v>
      </c>
      <c r="B141" s="200"/>
      <c r="C141" s="201"/>
      <c r="D141" s="202"/>
      <c r="E141" s="201"/>
      <c r="F141" s="185" t="s">
        <v>2378</v>
      </c>
      <c r="G141" s="185">
        <f>SUM(G143:G279)</f>
        <v>1643040</v>
      </c>
      <c r="H141" s="185"/>
      <c r="I141" s="185"/>
      <c r="J141" s="185">
        <f>SUM(J143:J279)</f>
        <v>1643040</v>
      </c>
      <c r="K141" s="185">
        <f>SUM(K143:K279)</f>
        <v>1643040</v>
      </c>
      <c r="L141" s="185"/>
      <c r="M141" s="185"/>
      <c r="N141" s="185">
        <f>SUM(N143:N279)</f>
        <v>0</v>
      </c>
      <c r="O141" s="185"/>
      <c r="P141" s="185"/>
      <c r="Q141" s="185">
        <f>SUM(Q143:Q279)</f>
        <v>1286910</v>
      </c>
      <c r="R141" s="185">
        <f>SUM(R143:R279)</f>
        <v>1241205</v>
      </c>
      <c r="S141" s="185"/>
      <c r="T141" s="185">
        <f>SUM(T143:T279)</f>
        <v>345</v>
      </c>
    </row>
    <row r="142" spans="1:21" s="180" customFormat="1">
      <c r="A142" s="181" t="s">
        <v>1281</v>
      </c>
      <c r="B142" s="181" t="s">
        <v>2435</v>
      </c>
      <c r="C142" s="181" t="s">
        <v>1385</v>
      </c>
      <c r="D142" s="181" t="s">
        <v>1275</v>
      </c>
      <c r="E142" s="181" t="s">
        <v>265</v>
      </c>
      <c r="F142" s="181" t="s">
        <v>1280</v>
      </c>
      <c r="G142" s="181" t="s">
        <v>2434</v>
      </c>
      <c r="H142" s="181"/>
      <c r="I142" s="181"/>
      <c r="J142" s="181" t="s">
        <v>1892</v>
      </c>
      <c r="K142" s="181" t="s">
        <v>1892</v>
      </c>
      <c r="L142" s="181"/>
      <c r="M142" s="181"/>
      <c r="N142" s="181" t="s">
        <v>2438</v>
      </c>
      <c r="O142" s="181" t="s">
        <v>1282</v>
      </c>
      <c r="P142" s="181" t="s">
        <v>1386</v>
      </c>
      <c r="Q142" s="181" t="s">
        <v>576</v>
      </c>
      <c r="R142" s="181" t="s">
        <v>3593</v>
      </c>
      <c r="S142" s="181"/>
      <c r="T142" s="181" t="s">
        <v>577</v>
      </c>
    </row>
    <row r="143" spans="1:21" s="8" customFormat="1">
      <c r="A143" s="208" t="s">
        <v>1858</v>
      </c>
      <c r="B143" s="208">
        <v>300</v>
      </c>
      <c r="C143" s="207" t="s">
        <v>255</v>
      </c>
      <c r="D143" s="207">
        <v>1</v>
      </c>
      <c r="E143" s="207" t="s">
        <v>1859</v>
      </c>
      <c r="F143" s="207" t="s">
        <v>1860</v>
      </c>
      <c r="G143" s="208">
        <v>11340</v>
      </c>
      <c r="H143" s="208"/>
      <c r="I143" s="208"/>
      <c r="J143" s="208">
        <v>11340</v>
      </c>
      <c r="K143" s="208">
        <v>11340</v>
      </c>
      <c r="L143" s="208"/>
      <c r="M143" s="208"/>
      <c r="N143" s="208">
        <f t="shared" ref="N143:N206" si="2">G143-J143</f>
        <v>0</v>
      </c>
      <c r="O143" s="207" t="s">
        <v>567</v>
      </c>
      <c r="P143" s="207" t="s">
        <v>568</v>
      </c>
      <c r="Q143" s="184"/>
      <c r="T143" s="184"/>
      <c r="U143" s="8" t="s">
        <v>1910</v>
      </c>
    </row>
    <row r="144" spans="1:21" s="8" customFormat="1">
      <c r="A144" s="208" t="s">
        <v>1858</v>
      </c>
      <c r="B144" s="208">
        <v>301</v>
      </c>
      <c r="C144" s="207" t="s">
        <v>255</v>
      </c>
      <c r="D144" s="207">
        <v>2</v>
      </c>
      <c r="E144" s="207" t="s">
        <v>1861</v>
      </c>
      <c r="F144" s="207" t="s">
        <v>573</v>
      </c>
      <c r="G144" s="208">
        <v>11340</v>
      </c>
      <c r="H144" s="208"/>
      <c r="I144" s="208"/>
      <c r="J144" s="208">
        <v>11340</v>
      </c>
      <c r="K144" s="208">
        <v>11340</v>
      </c>
      <c r="L144" s="208"/>
      <c r="M144" s="208"/>
      <c r="N144" s="208">
        <f t="shared" si="2"/>
        <v>0</v>
      </c>
      <c r="O144" s="207" t="s">
        <v>573</v>
      </c>
      <c r="P144" s="207" t="s">
        <v>2761</v>
      </c>
      <c r="Q144" s="184"/>
      <c r="T144" s="184"/>
      <c r="U144" s="8" t="s">
        <v>1910</v>
      </c>
    </row>
    <row r="145" spans="1:21" s="8" customFormat="1">
      <c r="A145" s="208" t="s">
        <v>1858</v>
      </c>
      <c r="B145" s="208">
        <v>302</v>
      </c>
      <c r="C145" s="207" t="s">
        <v>255</v>
      </c>
      <c r="D145" s="207">
        <v>3</v>
      </c>
      <c r="E145" s="207" t="s">
        <v>1862</v>
      </c>
      <c r="F145" s="207" t="s">
        <v>1863</v>
      </c>
      <c r="G145" s="208">
        <v>11340</v>
      </c>
      <c r="H145" s="208"/>
      <c r="I145" s="208"/>
      <c r="J145" s="208">
        <v>11340</v>
      </c>
      <c r="K145" s="208">
        <v>11340</v>
      </c>
      <c r="L145" s="208"/>
      <c r="M145" s="208"/>
      <c r="N145" s="208">
        <f t="shared" si="2"/>
        <v>0</v>
      </c>
      <c r="O145" s="207" t="s">
        <v>2753</v>
      </c>
      <c r="P145" s="207" t="s">
        <v>2754</v>
      </c>
      <c r="Q145" s="184"/>
      <c r="T145" s="184"/>
      <c r="U145" s="8" t="s">
        <v>1910</v>
      </c>
    </row>
    <row r="146" spans="1:21" s="8" customFormat="1">
      <c r="A146" s="208" t="s">
        <v>1858</v>
      </c>
      <c r="B146" s="208">
        <v>303</v>
      </c>
      <c r="C146" s="207" t="s">
        <v>255</v>
      </c>
      <c r="D146" s="207">
        <v>4</v>
      </c>
      <c r="E146" s="207" t="s">
        <v>1864</v>
      </c>
      <c r="F146" s="207" t="s">
        <v>1865</v>
      </c>
      <c r="G146" s="208">
        <v>11340</v>
      </c>
      <c r="H146" s="208"/>
      <c r="I146" s="208"/>
      <c r="J146" s="208">
        <v>11340</v>
      </c>
      <c r="K146" s="208">
        <v>11340</v>
      </c>
      <c r="L146" s="208"/>
      <c r="M146" s="208"/>
      <c r="N146" s="208">
        <f t="shared" si="2"/>
        <v>0</v>
      </c>
      <c r="O146" s="207" t="s">
        <v>574</v>
      </c>
      <c r="P146" s="207" t="s">
        <v>575</v>
      </c>
      <c r="Q146" s="184"/>
      <c r="T146" s="184"/>
      <c r="U146" s="8" t="s">
        <v>1910</v>
      </c>
    </row>
    <row r="147" spans="1:21" s="8" customFormat="1">
      <c r="A147" s="208" t="s">
        <v>1858</v>
      </c>
      <c r="B147" s="208">
        <v>304</v>
      </c>
      <c r="C147" s="207" t="s">
        <v>255</v>
      </c>
      <c r="D147" s="207">
        <v>5</v>
      </c>
      <c r="E147" s="207" t="s">
        <v>1866</v>
      </c>
      <c r="F147" s="207" t="s">
        <v>1867</v>
      </c>
      <c r="G147" s="208">
        <v>11340</v>
      </c>
      <c r="H147" s="208"/>
      <c r="I147" s="208"/>
      <c r="J147" s="208">
        <v>11340</v>
      </c>
      <c r="K147" s="208">
        <v>11340</v>
      </c>
      <c r="L147" s="208"/>
      <c r="M147" s="208"/>
      <c r="N147" s="208">
        <f t="shared" si="2"/>
        <v>0</v>
      </c>
      <c r="O147" s="207" t="s">
        <v>2662</v>
      </c>
      <c r="P147" s="207" t="s">
        <v>2767</v>
      </c>
      <c r="Q147" s="184">
        <v>11340</v>
      </c>
      <c r="R147" s="8">
        <v>11340</v>
      </c>
      <c r="T147" s="184"/>
      <c r="U147" s="8" t="s">
        <v>1910</v>
      </c>
    </row>
    <row r="148" spans="1:21" s="8" customFormat="1">
      <c r="A148" s="208" t="s">
        <v>1858</v>
      </c>
      <c r="B148" s="208">
        <v>305</v>
      </c>
      <c r="C148" s="207" t="s">
        <v>255</v>
      </c>
      <c r="D148" s="207">
        <v>6</v>
      </c>
      <c r="E148" s="207" t="s">
        <v>1868</v>
      </c>
      <c r="F148" s="207" t="s">
        <v>1869</v>
      </c>
      <c r="G148" s="208">
        <v>11340</v>
      </c>
      <c r="H148" s="208"/>
      <c r="I148" s="208"/>
      <c r="J148" s="208">
        <v>11340</v>
      </c>
      <c r="K148" s="208">
        <v>11340</v>
      </c>
      <c r="L148" s="208"/>
      <c r="M148" s="208"/>
      <c r="N148" s="208">
        <f t="shared" si="2"/>
        <v>0</v>
      </c>
      <c r="O148" s="207" t="s">
        <v>818</v>
      </c>
      <c r="P148" s="207" t="s">
        <v>487</v>
      </c>
      <c r="Q148" s="184">
        <v>11340</v>
      </c>
      <c r="R148" s="8">
        <v>11340</v>
      </c>
      <c r="T148" s="184"/>
      <c r="U148" s="8" t="s">
        <v>1910</v>
      </c>
    </row>
    <row r="149" spans="1:21" s="8" customFormat="1">
      <c r="A149" s="208" t="s">
        <v>1858</v>
      </c>
      <c r="B149" s="208">
        <v>306</v>
      </c>
      <c r="C149" s="207" t="s">
        <v>255</v>
      </c>
      <c r="D149" s="207">
        <v>7</v>
      </c>
      <c r="E149" s="207" t="s">
        <v>1870</v>
      </c>
      <c r="F149" s="207" t="s">
        <v>1871</v>
      </c>
      <c r="G149" s="208">
        <v>11340</v>
      </c>
      <c r="H149" s="208"/>
      <c r="I149" s="208"/>
      <c r="J149" s="208">
        <v>11340</v>
      </c>
      <c r="K149" s="208">
        <v>11340</v>
      </c>
      <c r="L149" s="208"/>
      <c r="M149" s="208"/>
      <c r="N149" s="208">
        <f t="shared" si="2"/>
        <v>0</v>
      </c>
      <c r="O149" s="207" t="s">
        <v>490</v>
      </c>
      <c r="P149" s="207" t="s">
        <v>491</v>
      </c>
      <c r="Q149" s="184">
        <v>11340</v>
      </c>
      <c r="R149" s="8">
        <v>11340</v>
      </c>
      <c r="T149" s="184"/>
      <c r="U149" s="8" t="s">
        <v>1910</v>
      </c>
    </row>
    <row r="150" spans="1:21" s="8" customFormat="1">
      <c r="A150" s="208" t="s">
        <v>1858</v>
      </c>
      <c r="B150" s="208">
        <v>307</v>
      </c>
      <c r="C150" s="207" t="s">
        <v>255</v>
      </c>
      <c r="D150" s="207">
        <v>8</v>
      </c>
      <c r="E150" s="207" t="s">
        <v>1872</v>
      </c>
      <c r="F150" s="207" t="s">
        <v>1873</v>
      </c>
      <c r="G150" s="208">
        <v>11340</v>
      </c>
      <c r="H150" s="208"/>
      <c r="I150" s="208"/>
      <c r="J150" s="208">
        <v>11340</v>
      </c>
      <c r="K150" s="208">
        <v>11340</v>
      </c>
      <c r="L150" s="208"/>
      <c r="M150" s="208"/>
      <c r="N150" s="208">
        <f t="shared" si="2"/>
        <v>0</v>
      </c>
      <c r="O150" s="207" t="s">
        <v>1461</v>
      </c>
      <c r="P150" s="207" t="s">
        <v>492</v>
      </c>
      <c r="Q150" s="184">
        <v>11340</v>
      </c>
      <c r="R150" s="8">
        <v>11340</v>
      </c>
      <c r="T150" s="184"/>
      <c r="U150" s="8" t="s">
        <v>1910</v>
      </c>
    </row>
    <row r="151" spans="1:21">
      <c r="A151" s="209" t="s">
        <v>414</v>
      </c>
      <c r="B151" s="209">
        <v>308</v>
      </c>
      <c r="C151" s="204" t="s">
        <v>7</v>
      </c>
      <c r="D151" s="183">
        <v>1</v>
      </c>
      <c r="E151" s="183" t="s">
        <v>1874</v>
      </c>
      <c r="F151" s="183" t="s">
        <v>2743</v>
      </c>
      <c r="G151" s="209">
        <v>13230</v>
      </c>
      <c r="H151" s="209"/>
      <c r="I151" s="209"/>
      <c r="J151" s="209">
        <v>13230</v>
      </c>
      <c r="K151" s="209">
        <v>13230</v>
      </c>
      <c r="L151" s="209"/>
      <c r="M151" s="209"/>
      <c r="N151" s="209">
        <f t="shared" si="2"/>
        <v>0</v>
      </c>
      <c r="O151" s="183" t="s">
        <v>417</v>
      </c>
      <c r="P151" s="183" t="s">
        <v>2743</v>
      </c>
    </row>
    <row r="152" spans="1:21">
      <c r="A152" s="209" t="s">
        <v>414</v>
      </c>
      <c r="B152" s="209">
        <v>309</v>
      </c>
      <c r="C152" s="204" t="s">
        <v>7</v>
      </c>
      <c r="D152" s="183">
        <v>2</v>
      </c>
      <c r="E152" s="183" t="s">
        <v>1875</v>
      </c>
      <c r="F152" s="183" t="s">
        <v>2659</v>
      </c>
      <c r="G152" s="209">
        <v>13230</v>
      </c>
      <c r="H152" s="209"/>
      <c r="I152" s="209"/>
      <c r="J152" s="209">
        <v>13230</v>
      </c>
      <c r="K152" s="209">
        <v>13230</v>
      </c>
      <c r="L152" s="209"/>
      <c r="M152" s="209"/>
      <c r="N152" s="209">
        <f t="shared" si="2"/>
        <v>0</v>
      </c>
      <c r="O152" s="183" t="s">
        <v>2744</v>
      </c>
      <c r="P152" s="183" t="s">
        <v>2745</v>
      </c>
    </row>
    <row r="153" spans="1:21">
      <c r="A153" s="209" t="s">
        <v>414</v>
      </c>
      <c r="B153" s="209">
        <v>310</v>
      </c>
      <c r="C153" s="204" t="s">
        <v>7</v>
      </c>
      <c r="D153" s="183">
        <v>3</v>
      </c>
      <c r="E153" s="183" t="s">
        <v>1876</v>
      </c>
      <c r="F153" s="183" t="s">
        <v>2660</v>
      </c>
      <c r="G153" s="209">
        <v>13230</v>
      </c>
      <c r="H153" s="209"/>
      <c r="I153" s="209"/>
      <c r="J153" s="209">
        <v>13230</v>
      </c>
      <c r="K153" s="209">
        <v>13230</v>
      </c>
      <c r="L153" s="209"/>
      <c r="M153" s="209"/>
      <c r="N153" s="209">
        <f t="shared" si="2"/>
        <v>0</v>
      </c>
      <c r="O153" s="183" t="s">
        <v>2746</v>
      </c>
      <c r="P153" s="183" t="s">
        <v>2747</v>
      </c>
    </row>
    <row r="154" spans="1:21">
      <c r="A154" s="209" t="s">
        <v>414</v>
      </c>
      <c r="B154" s="209">
        <v>311</v>
      </c>
      <c r="C154" s="204" t="s">
        <v>7</v>
      </c>
      <c r="D154" s="183">
        <v>4</v>
      </c>
      <c r="E154" s="183" t="s">
        <v>1877</v>
      </c>
      <c r="F154" s="183" t="s">
        <v>2649</v>
      </c>
      <c r="G154" s="209">
        <v>13230</v>
      </c>
      <c r="H154" s="209"/>
      <c r="I154" s="209"/>
      <c r="J154" s="209">
        <v>13230</v>
      </c>
      <c r="K154" s="209">
        <v>13230</v>
      </c>
      <c r="L154" s="209"/>
      <c r="M154" s="209"/>
      <c r="N154" s="209">
        <f t="shared" si="2"/>
        <v>0</v>
      </c>
      <c r="O154" s="183" t="s">
        <v>415</v>
      </c>
      <c r="P154" s="183" t="s">
        <v>2563</v>
      </c>
    </row>
    <row r="155" spans="1:21">
      <c r="A155" s="209" t="s">
        <v>414</v>
      </c>
      <c r="B155" s="209">
        <v>312</v>
      </c>
      <c r="C155" s="204" t="s">
        <v>7</v>
      </c>
      <c r="D155" s="183">
        <v>5</v>
      </c>
      <c r="E155" s="183" t="s">
        <v>1878</v>
      </c>
      <c r="F155" s="183" t="s">
        <v>2661</v>
      </c>
      <c r="G155" s="209">
        <v>13230</v>
      </c>
      <c r="H155" s="209"/>
      <c r="I155" s="209"/>
      <c r="J155" s="209">
        <v>13230</v>
      </c>
      <c r="K155" s="209">
        <v>13230</v>
      </c>
      <c r="L155" s="209"/>
      <c r="M155" s="209"/>
      <c r="N155" s="209">
        <f t="shared" si="2"/>
        <v>0</v>
      </c>
      <c r="O155" s="183" t="s">
        <v>2662</v>
      </c>
      <c r="P155" s="183" t="s">
        <v>2767</v>
      </c>
      <c r="Q155" s="3">
        <v>13230</v>
      </c>
      <c r="R155">
        <v>13230</v>
      </c>
    </row>
    <row r="156" spans="1:21">
      <c r="A156" s="209" t="s">
        <v>414</v>
      </c>
      <c r="B156" s="209">
        <v>313</v>
      </c>
      <c r="C156" s="204" t="s">
        <v>7</v>
      </c>
      <c r="D156" s="183">
        <v>6</v>
      </c>
      <c r="E156" s="183" t="s">
        <v>1879</v>
      </c>
      <c r="F156" s="183" t="s">
        <v>2663</v>
      </c>
      <c r="G156" s="209">
        <v>13230</v>
      </c>
      <c r="H156" s="209"/>
      <c r="I156" s="209"/>
      <c r="J156" s="209">
        <v>13230</v>
      </c>
      <c r="K156" s="209">
        <v>13230</v>
      </c>
      <c r="L156" s="209"/>
      <c r="M156" s="209"/>
      <c r="N156" s="209">
        <f t="shared" si="2"/>
        <v>0</v>
      </c>
      <c r="O156" s="183" t="s">
        <v>494</v>
      </c>
      <c r="P156" s="183" t="s">
        <v>908</v>
      </c>
      <c r="Q156" s="3">
        <v>13230</v>
      </c>
      <c r="R156">
        <v>13230</v>
      </c>
    </row>
    <row r="157" spans="1:21">
      <c r="A157" s="209" t="s">
        <v>414</v>
      </c>
      <c r="B157" s="209">
        <v>314</v>
      </c>
      <c r="C157" s="204" t="s">
        <v>7</v>
      </c>
      <c r="D157" s="183">
        <v>7</v>
      </c>
      <c r="E157" s="183" t="s">
        <v>1880</v>
      </c>
      <c r="F157" s="183" t="s">
        <v>2664</v>
      </c>
      <c r="G157" s="209">
        <v>13230</v>
      </c>
      <c r="H157" s="209"/>
      <c r="I157" s="209"/>
      <c r="J157" s="209">
        <v>13230</v>
      </c>
      <c r="K157" s="209">
        <v>13230</v>
      </c>
      <c r="L157" s="209"/>
      <c r="M157" s="209"/>
      <c r="N157" s="209">
        <f t="shared" si="2"/>
        <v>0</v>
      </c>
      <c r="O157" s="183" t="s">
        <v>495</v>
      </c>
      <c r="P157" s="183" t="s">
        <v>1472</v>
      </c>
      <c r="Q157" s="3">
        <v>13230</v>
      </c>
      <c r="R157">
        <v>13230</v>
      </c>
    </row>
    <row r="158" spans="1:21">
      <c r="A158" s="209" t="s">
        <v>414</v>
      </c>
      <c r="B158" s="209">
        <v>315</v>
      </c>
      <c r="C158" s="204" t="s">
        <v>7</v>
      </c>
      <c r="D158" s="183">
        <v>8</v>
      </c>
      <c r="E158" s="183" t="s">
        <v>1881</v>
      </c>
      <c r="F158" s="183" t="s">
        <v>1882</v>
      </c>
      <c r="G158" s="209">
        <v>13230</v>
      </c>
      <c r="H158" s="209"/>
      <c r="I158" s="209"/>
      <c r="J158" s="209">
        <v>13230</v>
      </c>
      <c r="K158" s="209">
        <v>13230</v>
      </c>
      <c r="L158" s="209"/>
      <c r="M158" s="209"/>
      <c r="N158" s="209">
        <f t="shared" si="2"/>
        <v>0</v>
      </c>
      <c r="O158" s="183" t="s">
        <v>1461</v>
      </c>
      <c r="P158" s="183" t="s">
        <v>492</v>
      </c>
      <c r="Q158" s="3">
        <v>13230</v>
      </c>
      <c r="R158">
        <v>13230</v>
      </c>
    </row>
    <row r="159" spans="1:21" s="8" customFormat="1">
      <c r="A159" s="208" t="s">
        <v>416</v>
      </c>
      <c r="B159" s="208">
        <v>316</v>
      </c>
      <c r="C159" s="207" t="s">
        <v>1232</v>
      </c>
      <c r="D159" s="226">
        <v>11</v>
      </c>
      <c r="E159" s="207" t="s">
        <v>1883</v>
      </c>
      <c r="F159" s="207" t="s">
        <v>2748</v>
      </c>
      <c r="G159" s="208">
        <v>16380</v>
      </c>
      <c r="H159" s="208"/>
      <c r="I159" s="208"/>
      <c r="J159" s="208">
        <v>16380</v>
      </c>
      <c r="K159" s="208">
        <v>16380</v>
      </c>
      <c r="L159" s="208"/>
      <c r="M159" s="208"/>
      <c r="N159" s="208">
        <f t="shared" si="2"/>
        <v>0</v>
      </c>
      <c r="O159" s="207" t="s">
        <v>2743</v>
      </c>
      <c r="P159" s="207" t="s">
        <v>2748</v>
      </c>
      <c r="Q159" s="184"/>
      <c r="T159" s="184"/>
      <c r="U159" s="8" t="s">
        <v>1910</v>
      </c>
    </row>
    <row r="160" spans="1:21">
      <c r="A160" s="209" t="s">
        <v>417</v>
      </c>
      <c r="B160" s="209">
        <v>317</v>
      </c>
      <c r="C160" s="205" t="s">
        <v>1884</v>
      </c>
      <c r="D160" s="183">
        <v>1</v>
      </c>
      <c r="E160" s="183" t="s">
        <v>1885</v>
      </c>
      <c r="F160" s="183" t="s">
        <v>2665</v>
      </c>
      <c r="G160" s="209">
        <v>14175</v>
      </c>
      <c r="H160" s="209"/>
      <c r="I160" s="209"/>
      <c r="J160" s="209">
        <v>14175</v>
      </c>
      <c r="K160" s="209">
        <v>14175</v>
      </c>
      <c r="L160" s="209"/>
      <c r="M160" s="209"/>
      <c r="N160" s="209">
        <f t="shared" si="2"/>
        <v>0</v>
      </c>
      <c r="O160" s="183" t="s">
        <v>2743</v>
      </c>
      <c r="P160" s="183" t="s">
        <v>2748</v>
      </c>
    </row>
    <row r="161" spans="1:21">
      <c r="A161" s="209" t="s">
        <v>417</v>
      </c>
      <c r="B161" s="209">
        <v>318</v>
      </c>
      <c r="C161" s="205" t="s">
        <v>1884</v>
      </c>
      <c r="D161" s="183">
        <v>2</v>
      </c>
      <c r="E161" s="183" t="s">
        <v>1886</v>
      </c>
      <c r="F161" s="183" t="s">
        <v>2666</v>
      </c>
      <c r="G161" s="209">
        <v>14175</v>
      </c>
      <c r="H161" s="209"/>
      <c r="I161" s="209"/>
      <c r="J161" s="209">
        <v>14175</v>
      </c>
      <c r="K161" s="209">
        <v>14175</v>
      </c>
      <c r="L161" s="209"/>
      <c r="M161" s="209"/>
      <c r="N161" s="209">
        <f t="shared" si="2"/>
        <v>0</v>
      </c>
      <c r="O161" s="183" t="s">
        <v>2749</v>
      </c>
      <c r="P161" s="183" t="s">
        <v>2750</v>
      </c>
    </row>
    <row r="162" spans="1:21">
      <c r="A162" s="209" t="s">
        <v>417</v>
      </c>
      <c r="B162" s="209">
        <v>319</v>
      </c>
      <c r="C162" s="205" t="s">
        <v>1884</v>
      </c>
      <c r="D162" s="183">
        <v>3</v>
      </c>
      <c r="E162" s="183" t="s">
        <v>1887</v>
      </c>
      <c r="F162" s="183" t="s">
        <v>2667</v>
      </c>
      <c r="G162" s="209">
        <v>14175</v>
      </c>
      <c r="H162" s="209"/>
      <c r="I162" s="209"/>
      <c r="J162" s="209">
        <v>14175</v>
      </c>
      <c r="K162" s="209">
        <v>14175</v>
      </c>
      <c r="L162" s="209"/>
      <c r="M162" s="209"/>
      <c r="N162" s="209">
        <f t="shared" si="2"/>
        <v>0</v>
      </c>
      <c r="O162" s="183" t="s">
        <v>2751</v>
      </c>
      <c r="P162" s="183" t="s">
        <v>2752</v>
      </c>
    </row>
    <row r="163" spans="1:21">
      <c r="A163" s="209" t="s">
        <v>417</v>
      </c>
      <c r="B163" s="209">
        <v>320</v>
      </c>
      <c r="C163" s="205" t="s">
        <v>1884</v>
      </c>
      <c r="D163" s="183">
        <v>4</v>
      </c>
      <c r="E163" s="183" t="s">
        <v>1950</v>
      </c>
      <c r="F163" s="183" t="s">
        <v>2668</v>
      </c>
      <c r="G163" s="209">
        <v>14175</v>
      </c>
      <c r="H163" s="209"/>
      <c r="I163" s="209"/>
      <c r="J163" s="209">
        <v>14175</v>
      </c>
      <c r="K163" s="209">
        <v>14175</v>
      </c>
      <c r="L163" s="209"/>
      <c r="M163" s="209"/>
      <c r="N163" s="209">
        <f t="shared" si="2"/>
        <v>0</v>
      </c>
      <c r="O163" s="183" t="s">
        <v>2753</v>
      </c>
      <c r="P163" s="183" t="s">
        <v>2754</v>
      </c>
    </row>
    <row r="164" spans="1:21">
      <c r="A164" s="209" t="s">
        <v>417</v>
      </c>
      <c r="B164" s="209">
        <v>321</v>
      </c>
      <c r="C164" s="205" t="s">
        <v>1884</v>
      </c>
      <c r="D164" s="183">
        <v>5</v>
      </c>
      <c r="E164" s="183" t="s">
        <v>1951</v>
      </c>
      <c r="F164" s="183" t="s">
        <v>2669</v>
      </c>
      <c r="G164" s="209">
        <v>14175</v>
      </c>
      <c r="H164" s="209"/>
      <c r="I164" s="209"/>
      <c r="J164" s="209">
        <v>14175</v>
      </c>
      <c r="K164" s="209">
        <v>14175</v>
      </c>
      <c r="L164" s="209"/>
      <c r="M164" s="209"/>
      <c r="N164" s="209">
        <f t="shared" si="2"/>
        <v>0</v>
      </c>
      <c r="O164" s="183" t="s">
        <v>2760</v>
      </c>
      <c r="P164" s="183" t="s">
        <v>2755</v>
      </c>
    </row>
    <row r="165" spans="1:21" s="114" customFormat="1">
      <c r="A165" s="214" t="s">
        <v>417</v>
      </c>
      <c r="B165" s="214">
        <v>322</v>
      </c>
      <c r="C165" s="213" t="s">
        <v>1884</v>
      </c>
      <c r="D165" s="213">
        <v>6</v>
      </c>
      <c r="E165" s="213" t="s">
        <v>1952</v>
      </c>
      <c r="F165" s="213" t="s">
        <v>1759</v>
      </c>
      <c r="G165" s="214">
        <v>14175</v>
      </c>
      <c r="H165" s="214"/>
      <c r="I165" s="214"/>
      <c r="J165" s="214">
        <v>14175</v>
      </c>
      <c r="K165" s="214">
        <v>14175</v>
      </c>
      <c r="L165" s="214"/>
      <c r="M165" s="214"/>
      <c r="N165" s="214">
        <f t="shared" si="2"/>
        <v>0</v>
      </c>
      <c r="O165" s="213" t="s">
        <v>2670</v>
      </c>
      <c r="P165" s="213" t="s">
        <v>486</v>
      </c>
      <c r="Q165" s="211">
        <v>14175</v>
      </c>
      <c r="R165" s="114">
        <v>14175</v>
      </c>
      <c r="T165" s="211"/>
      <c r="U165" s="114" t="s">
        <v>254</v>
      </c>
    </row>
    <row r="166" spans="1:21">
      <c r="A166" s="209" t="s">
        <v>417</v>
      </c>
      <c r="B166" s="209">
        <v>323</v>
      </c>
      <c r="C166" s="205" t="s">
        <v>1884</v>
      </c>
      <c r="D166" s="183">
        <v>7</v>
      </c>
      <c r="E166" s="183" t="s">
        <v>1953</v>
      </c>
      <c r="F166" s="183" t="s">
        <v>2671</v>
      </c>
      <c r="G166" s="209">
        <v>14175</v>
      </c>
      <c r="H166" s="209"/>
      <c r="I166" s="209"/>
      <c r="J166" s="209">
        <v>14175</v>
      </c>
      <c r="K166" s="209">
        <v>14175</v>
      </c>
      <c r="L166" s="209"/>
      <c r="M166" s="209"/>
      <c r="N166" s="209">
        <f t="shared" si="2"/>
        <v>0</v>
      </c>
      <c r="O166" s="183" t="s">
        <v>2662</v>
      </c>
      <c r="P166" s="183" t="s">
        <v>2767</v>
      </c>
      <c r="Q166" s="3">
        <v>14175</v>
      </c>
      <c r="R166">
        <v>14175</v>
      </c>
    </row>
    <row r="167" spans="1:21">
      <c r="A167" s="209" t="s">
        <v>417</v>
      </c>
      <c r="B167" s="209">
        <v>324</v>
      </c>
      <c r="C167" s="205" t="s">
        <v>1884</v>
      </c>
      <c r="D167" s="183">
        <v>8</v>
      </c>
      <c r="E167" s="183" t="s">
        <v>1954</v>
      </c>
      <c r="F167" s="183" t="s">
        <v>2764</v>
      </c>
      <c r="G167" s="209">
        <v>14175</v>
      </c>
      <c r="H167" s="209"/>
      <c r="I167" s="209"/>
      <c r="J167" s="209">
        <v>14175</v>
      </c>
      <c r="K167" s="209">
        <v>14175</v>
      </c>
      <c r="L167" s="209"/>
      <c r="M167" s="209"/>
      <c r="N167" s="209">
        <f t="shared" si="2"/>
        <v>0</v>
      </c>
      <c r="O167" s="183" t="s">
        <v>818</v>
      </c>
      <c r="P167" s="183" t="s">
        <v>487</v>
      </c>
      <c r="Q167" s="3">
        <v>14175</v>
      </c>
      <c r="R167">
        <v>14175</v>
      </c>
    </row>
    <row r="168" spans="1:21">
      <c r="A168" s="209" t="s">
        <v>418</v>
      </c>
      <c r="B168" s="209">
        <v>325</v>
      </c>
      <c r="C168" s="205" t="s">
        <v>2422</v>
      </c>
      <c r="D168" s="183">
        <v>1</v>
      </c>
      <c r="E168" s="183" t="s">
        <v>1955</v>
      </c>
      <c r="F168" s="183" t="s">
        <v>2756</v>
      </c>
      <c r="G168" s="209">
        <v>13230</v>
      </c>
      <c r="H168" s="209"/>
      <c r="I168" s="209"/>
      <c r="J168" s="209">
        <v>13230</v>
      </c>
      <c r="K168" s="209">
        <v>13230</v>
      </c>
      <c r="L168" s="209"/>
      <c r="M168" s="209"/>
      <c r="N168" s="209">
        <f t="shared" si="2"/>
        <v>0</v>
      </c>
      <c r="O168" s="183" t="s">
        <v>2756</v>
      </c>
      <c r="P168" s="183" t="s">
        <v>2757</v>
      </c>
    </row>
    <row r="169" spans="1:21">
      <c r="A169" s="209" t="s">
        <v>418</v>
      </c>
      <c r="B169" s="209">
        <v>326</v>
      </c>
      <c r="C169" s="205" t="s">
        <v>2422</v>
      </c>
      <c r="D169" s="183">
        <v>2</v>
      </c>
      <c r="E169" s="183" t="s">
        <v>1956</v>
      </c>
      <c r="F169" s="183" t="s">
        <v>1957</v>
      </c>
      <c r="G169" s="209">
        <v>13230</v>
      </c>
      <c r="H169" s="209"/>
      <c r="I169" s="209"/>
      <c r="J169" s="209">
        <v>13230</v>
      </c>
      <c r="K169" s="209">
        <v>13230</v>
      </c>
      <c r="L169" s="209"/>
      <c r="M169" s="209"/>
      <c r="N169" s="209">
        <f t="shared" si="2"/>
        <v>0</v>
      </c>
      <c r="O169" s="183" t="s">
        <v>2758</v>
      </c>
      <c r="P169" s="183" t="s">
        <v>2759</v>
      </c>
    </row>
    <row r="170" spans="1:21">
      <c r="A170" s="209" t="s">
        <v>418</v>
      </c>
      <c r="B170" s="209">
        <v>327</v>
      </c>
      <c r="C170" s="205" t="s">
        <v>2422</v>
      </c>
      <c r="D170" s="183">
        <v>3</v>
      </c>
      <c r="E170" s="183" t="s">
        <v>1958</v>
      </c>
      <c r="F170" s="183" t="s">
        <v>1959</v>
      </c>
      <c r="G170" s="209">
        <v>13230</v>
      </c>
      <c r="H170" s="209"/>
      <c r="I170" s="209"/>
      <c r="J170" s="209">
        <v>13230</v>
      </c>
      <c r="K170" s="209">
        <v>13230</v>
      </c>
      <c r="L170" s="209"/>
      <c r="M170" s="209"/>
      <c r="N170" s="209">
        <f t="shared" si="2"/>
        <v>0</v>
      </c>
      <c r="O170" s="183" t="s">
        <v>2760</v>
      </c>
      <c r="P170" s="183" t="s">
        <v>2755</v>
      </c>
    </row>
    <row r="171" spans="1:21" s="114" customFormat="1">
      <c r="A171" s="214" t="s">
        <v>418</v>
      </c>
      <c r="B171" s="214">
        <v>328</v>
      </c>
      <c r="C171" s="213" t="s">
        <v>2422</v>
      </c>
      <c r="D171" s="213">
        <v>4</v>
      </c>
      <c r="E171" s="213" t="s">
        <v>1960</v>
      </c>
      <c r="F171" s="213" t="s">
        <v>1961</v>
      </c>
      <c r="G171" s="214">
        <v>13230</v>
      </c>
      <c r="H171" s="214"/>
      <c r="I171" s="214"/>
      <c r="J171" s="214">
        <v>13230</v>
      </c>
      <c r="K171" s="214">
        <v>13230</v>
      </c>
      <c r="L171" s="214"/>
      <c r="M171" s="214"/>
      <c r="N171" s="214">
        <f t="shared" si="2"/>
        <v>0</v>
      </c>
      <c r="O171" s="213" t="s">
        <v>2670</v>
      </c>
      <c r="P171" s="213" t="s">
        <v>486</v>
      </c>
      <c r="Q171" s="211">
        <v>13230</v>
      </c>
      <c r="R171" s="114">
        <v>13230</v>
      </c>
      <c r="T171" s="211"/>
      <c r="U171" s="114" t="s">
        <v>254</v>
      </c>
    </row>
    <row r="172" spans="1:21">
      <c r="A172" s="209" t="s">
        <v>418</v>
      </c>
      <c r="B172" s="209">
        <v>329</v>
      </c>
      <c r="C172" s="205" t="s">
        <v>2422</v>
      </c>
      <c r="D172" s="183">
        <v>5</v>
      </c>
      <c r="E172" s="183" t="s">
        <v>1962</v>
      </c>
      <c r="F172" s="183" t="s">
        <v>1963</v>
      </c>
      <c r="G172" s="209">
        <v>13230</v>
      </c>
      <c r="H172" s="209"/>
      <c r="I172" s="209"/>
      <c r="J172" s="209">
        <v>13230</v>
      </c>
      <c r="K172" s="209">
        <v>13230</v>
      </c>
      <c r="L172" s="209"/>
      <c r="M172" s="209"/>
      <c r="N172" s="209">
        <f t="shared" si="2"/>
        <v>0</v>
      </c>
      <c r="O172" s="183" t="s">
        <v>818</v>
      </c>
      <c r="P172" s="183" t="s">
        <v>487</v>
      </c>
      <c r="Q172" s="3">
        <v>13230</v>
      </c>
      <c r="R172">
        <v>13230</v>
      </c>
    </row>
    <row r="173" spans="1:21">
      <c r="A173" s="209" t="s">
        <v>418</v>
      </c>
      <c r="B173" s="209">
        <v>330</v>
      </c>
      <c r="C173" s="205" t="s">
        <v>2422</v>
      </c>
      <c r="D173" s="183">
        <v>6</v>
      </c>
      <c r="E173" s="183" t="s">
        <v>1964</v>
      </c>
      <c r="F173" s="183" t="s">
        <v>1965</v>
      </c>
      <c r="G173" s="209">
        <v>13230</v>
      </c>
      <c r="H173" s="209"/>
      <c r="I173" s="209"/>
      <c r="J173" s="209">
        <v>13230</v>
      </c>
      <c r="K173" s="209">
        <v>13230</v>
      </c>
      <c r="L173" s="209"/>
      <c r="M173" s="209"/>
      <c r="N173" s="209">
        <f t="shared" si="2"/>
        <v>0</v>
      </c>
      <c r="O173" s="183" t="s">
        <v>488</v>
      </c>
      <c r="P173" s="183" t="s">
        <v>489</v>
      </c>
      <c r="Q173" s="3">
        <v>13230</v>
      </c>
      <c r="R173">
        <v>13230</v>
      </c>
    </row>
    <row r="174" spans="1:21">
      <c r="A174" s="209" t="s">
        <v>418</v>
      </c>
      <c r="B174" s="209">
        <v>331</v>
      </c>
      <c r="C174" s="205" t="s">
        <v>2422</v>
      </c>
      <c r="D174" s="183">
        <v>7</v>
      </c>
      <c r="E174" s="183" t="s">
        <v>1966</v>
      </c>
      <c r="F174" s="183" t="s">
        <v>1967</v>
      </c>
      <c r="G174" s="209">
        <v>13230</v>
      </c>
      <c r="H174" s="209"/>
      <c r="I174" s="209"/>
      <c r="J174" s="209">
        <v>13230</v>
      </c>
      <c r="K174" s="209">
        <v>13230</v>
      </c>
      <c r="L174" s="209"/>
      <c r="M174" s="209"/>
      <c r="N174" s="209">
        <f t="shared" si="2"/>
        <v>0</v>
      </c>
      <c r="O174" s="183" t="s">
        <v>493</v>
      </c>
      <c r="P174" s="183" t="s">
        <v>911</v>
      </c>
      <c r="Q174" s="3">
        <v>13230</v>
      </c>
      <c r="R174">
        <v>13230</v>
      </c>
    </row>
    <row r="175" spans="1:21">
      <c r="A175" s="209" t="s">
        <v>418</v>
      </c>
      <c r="B175" s="209">
        <v>332</v>
      </c>
      <c r="C175" s="205" t="s">
        <v>2422</v>
      </c>
      <c r="D175" s="183">
        <v>8</v>
      </c>
      <c r="E175" s="183" t="s">
        <v>1968</v>
      </c>
      <c r="F175" s="183" t="s">
        <v>1969</v>
      </c>
      <c r="G175" s="209">
        <v>13230</v>
      </c>
      <c r="H175" s="209"/>
      <c r="I175" s="209"/>
      <c r="J175" s="209">
        <v>13230</v>
      </c>
      <c r="K175" s="209">
        <v>13230</v>
      </c>
      <c r="L175" s="209"/>
      <c r="M175" s="209"/>
      <c r="N175" s="209">
        <f t="shared" si="2"/>
        <v>0</v>
      </c>
      <c r="O175" s="183" t="s">
        <v>460</v>
      </c>
      <c r="P175" s="183" t="s">
        <v>1465</v>
      </c>
      <c r="Q175" s="3">
        <v>13230</v>
      </c>
      <c r="R175">
        <v>13230</v>
      </c>
    </row>
    <row r="176" spans="1:21">
      <c r="A176" s="209" t="s">
        <v>419</v>
      </c>
      <c r="B176" s="209">
        <v>333</v>
      </c>
      <c r="C176" s="205" t="s">
        <v>1300</v>
      </c>
      <c r="D176" s="183">
        <v>1</v>
      </c>
      <c r="E176" s="183" t="s">
        <v>1970</v>
      </c>
      <c r="F176" s="183" t="s">
        <v>2765</v>
      </c>
      <c r="G176" s="209">
        <v>14175</v>
      </c>
      <c r="H176" s="209"/>
      <c r="I176" s="209"/>
      <c r="J176" s="209">
        <v>14175</v>
      </c>
      <c r="K176" s="209">
        <v>14175</v>
      </c>
      <c r="L176" s="209"/>
      <c r="M176" s="209"/>
      <c r="N176" s="209">
        <f t="shared" si="2"/>
        <v>0</v>
      </c>
      <c r="O176" s="183" t="s">
        <v>2751</v>
      </c>
      <c r="P176" s="183" t="s">
        <v>2752</v>
      </c>
    </row>
    <row r="177" spans="1:21">
      <c r="A177" s="209" t="s">
        <v>419</v>
      </c>
      <c r="B177" s="209">
        <v>334</v>
      </c>
      <c r="C177" s="205" t="s">
        <v>1300</v>
      </c>
      <c r="D177" s="183">
        <v>2</v>
      </c>
      <c r="E177" s="183" t="s">
        <v>1971</v>
      </c>
      <c r="F177" s="183" t="s">
        <v>2766</v>
      </c>
      <c r="G177" s="209">
        <v>14175</v>
      </c>
      <c r="H177" s="209"/>
      <c r="I177" s="209"/>
      <c r="J177" s="209">
        <v>14175</v>
      </c>
      <c r="K177" s="209">
        <v>14175</v>
      </c>
      <c r="L177" s="209"/>
      <c r="M177" s="209"/>
      <c r="N177" s="209">
        <f t="shared" si="2"/>
        <v>0</v>
      </c>
      <c r="O177" s="183" t="s">
        <v>2746</v>
      </c>
      <c r="P177" s="183" t="s">
        <v>2747</v>
      </c>
    </row>
    <row r="178" spans="1:21">
      <c r="A178" s="209" t="s">
        <v>419</v>
      </c>
      <c r="B178" s="209">
        <v>335</v>
      </c>
      <c r="C178" s="205" t="s">
        <v>1300</v>
      </c>
      <c r="D178" s="183">
        <v>3</v>
      </c>
      <c r="E178" s="183" t="s">
        <v>1972</v>
      </c>
      <c r="F178" s="183" t="s">
        <v>2654</v>
      </c>
      <c r="G178" s="209">
        <v>14175</v>
      </c>
      <c r="H178" s="209"/>
      <c r="I178" s="209"/>
      <c r="J178" s="209">
        <v>14175</v>
      </c>
      <c r="K178" s="209">
        <v>14175</v>
      </c>
      <c r="L178" s="209"/>
      <c r="M178" s="209"/>
      <c r="N178" s="209">
        <f t="shared" si="2"/>
        <v>0</v>
      </c>
      <c r="O178" s="183" t="s">
        <v>415</v>
      </c>
      <c r="P178" s="183" t="s">
        <v>2563</v>
      </c>
    </row>
    <row r="179" spans="1:21">
      <c r="A179" s="209" t="s">
        <v>419</v>
      </c>
      <c r="B179" s="209">
        <v>336</v>
      </c>
      <c r="C179" s="205" t="s">
        <v>1300</v>
      </c>
      <c r="D179" s="183">
        <v>4</v>
      </c>
      <c r="E179" s="183" t="s">
        <v>1973</v>
      </c>
      <c r="F179" s="183" t="s">
        <v>2767</v>
      </c>
      <c r="G179" s="209">
        <v>14175</v>
      </c>
      <c r="H179" s="209"/>
      <c r="I179" s="209"/>
      <c r="J179" s="209">
        <v>14175</v>
      </c>
      <c r="K179" s="209">
        <v>14175</v>
      </c>
      <c r="L179" s="209"/>
      <c r="M179" s="209"/>
      <c r="N179" s="209">
        <f t="shared" si="2"/>
        <v>0</v>
      </c>
      <c r="O179" s="183" t="s">
        <v>2768</v>
      </c>
      <c r="P179" s="183" t="s">
        <v>815</v>
      </c>
      <c r="Q179" s="3">
        <v>14175</v>
      </c>
      <c r="R179">
        <v>14175</v>
      </c>
    </row>
    <row r="180" spans="1:21">
      <c r="A180" s="209" t="s">
        <v>419</v>
      </c>
      <c r="B180" s="209">
        <v>337</v>
      </c>
      <c r="C180" s="205" t="s">
        <v>1300</v>
      </c>
      <c r="D180" s="183">
        <v>5</v>
      </c>
      <c r="E180" s="183" t="s">
        <v>1974</v>
      </c>
      <c r="F180" s="183" t="s">
        <v>2769</v>
      </c>
      <c r="G180" s="209">
        <v>14175</v>
      </c>
      <c r="H180" s="209"/>
      <c r="I180" s="209"/>
      <c r="J180" s="209">
        <v>14175</v>
      </c>
      <c r="K180" s="209">
        <v>14175</v>
      </c>
      <c r="L180" s="209"/>
      <c r="M180" s="209"/>
      <c r="N180" s="209">
        <f t="shared" si="2"/>
        <v>0</v>
      </c>
      <c r="O180" s="183" t="s">
        <v>488</v>
      </c>
      <c r="P180" s="183" t="s">
        <v>489</v>
      </c>
      <c r="Q180" s="3">
        <v>14175</v>
      </c>
      <c r="R180">
        <v>14175</v>
      </c>
    </row>
    <row r="181" spans="1:21">
      <c r="A181" s="209" t="s">
        <v>419</v>
      </c>
      <c r="B181" s="209">
        <v>338</v>
      </c>
      <c r="C181" s="205" t="s">
        <v>1300</v>
      </c>
      <c r="D181" s="183">
        <v>6</v>
      </c>
      <c r="E181" s="183" t="s">
        <v>1975</v>
      </c>
      <c r="F181" s="183" t="s">
        <v>2770</v>
      </c>
      <c r="G181" s="209">
        <v>14175</v>
      </c>
      <c r="H181" s="209"/>
      <c r="I181" s="209"/>
      <c r="J181" s="209">
        <v>14175</v>
      </c>
      <c r="K181" s="209">
        <v>14175</v>
      </c>
      <c r="L181" s="209"/>
      <c r="M181" s="209"/>
      <c r="N181" s="209">
        <f t="shared" si="2"/>
        <v>0</v>
      </c>
      <c r="O181" s="183" t="s">
        <v>493</v>
      </c>
      <c r="P181" s="183" t="s">
        <v>911</v>
      </c>
      <c r="Q181" s="3">
        <v>14175</v>
      </c>
      <c r="R181">
        <v>14175</v>
      </c>
    </row>
    <row r="182" spans="1:21">
      <c r="A182" s="209" t="s">
        <v>419</v>
      </c>
      <c r="B182" s="209">
        <v>339</v>
      </c>
      <c r="C182" s="205" t="s">
        <v>1300</v>
      </c>
      <c r="D182" s="183">
        <v>7</v>
      </c>
      <c r="E182" s="183" t="s">
        <v>1976</v>
      </c>
      <c r="F182" s="183" t="s">
        <v>1977</v>
      </c>
      <c r="G182" s="209">
        <v>14175</v>
      </c>
      <c r="H182" s="209"/>
      <c r="I182" s="209"/>
      <c r="J182" s="209">
        <v>14175</v>
      </c>
      <c r="K182" s="209">
        <v>14175</v>
      </c>
      <c r="L182" s="209"/>
      <c r="M182" s="209"/>
      <c r="N182" s="209">
        <f t="shared" si="2"/>
        <v>0</v>
      </c>
      <c r="O182" s="183" t="s">
        <v>458</v>
      </c>
      <c r="P182" s="183" t="s">
        <v>2035</v>
      </c>
      <c r="Q182" s="3">
        <v>14175</v>
      </c>
      <c r="R182">
        <v>14175</v>
      </c>
    </row>
    <row r="183" spans="1:21">
      <c r="A183" s="209" t="s">
        <v>419</v>
      </c>
      <c r="B183" s="209">
        <v>340</v>
      </c>
      <c r="C183" s="205" t="s">
        <v>1300</v>
      </c>
      <c r="D183" s="183">
        <v>8</v>
      </c>
      <c r="E183" s="183" t="s">
        <v>1978</v>
      </c>
      <c r="F183" s="183" t="s">
        <v>2771</v>
      </c>
      <c r="G183" s="209">
        <v>14175</v>
      </c>
      <c r="H183" s="209"/>
      <c r="I183" s="209"/>
      <c r="J183" s="209">
        <v>14175</v>
      </c>
      <c r="K183" s="209">
        <v>14175</v>
      </c>
      <c r="L183" s="209"/>
      <c r="M183" s="209"/>
      <c r="N183" s="209">
        <f t="shared" si="2"/>
        <v>0</v>
      </c>
      <c r="O183" s="183" t="s">
        <v>496</v>
      </c>
      <c r="P183" s="183" t="s">
        <v>497</v>
      </c>
      <c r="Q183" s="3">
        <v>14175</v>
      </c>
      <c r="R183">
        <v>14175</v>
      </c>
    </row>
    <row r="184" spans="1:21" s="8" customFormat="1">
      <c r="A184" s="208" t="s">
        <v>420</v>
      </c>
      <c r="B184" s="208"/>
      <c r="C184" s="207" t="s">
        <v>1230</v>
      </c>
      <c r="D184" s="226">
        <v>4</v>
      </c>
      <c r="E184" s="207" t="s">
        <v>1283</v>
      </c>
      <c r="F184" s="207" t="s">
        <v>420</v>
      </c>
      <c r="G184" s="184"/>
      <c r="H184" s="184"/>
      <c r="I184" s="184"/>
      <c r="J184" s="208"/>
      <c r="K184" s="208"/>
      <c r="L184" s="208"/>
      <c r="M184" s="208"/>
      <c r="N184" s="208">
        <f t="shared" si="2"/>
        <v>0</v>
      </c>
      <c r="O184" s="207" t="s">
        <v>420</v>
      </c>
      <c r="P184" s="207" t="s">
        <v>420</v>
      </c>
      <c r="Q184" s="184">
        <v>11970</v>
      </c>
      <c r="R184" s="208">
        <v>11940</v>
      </c>
      <c r="S184" s="208"/>
      <c r="T184" s="184">
        <v>30</v>
      </c>
      <c r="U184" s="8" t="s">
        <v>1910</v>
      </c>
    </row>
    <row r="185" spans="1:21">
      <c r="A185" s="209" t="s">
        <v>1979</v>
      </c>
      <c r="B185" s="209"/>
      <c r="C185" s="205" t="s">
        <v>3825</v>
      </c>
      <c r="D185" s="226">
        <v>1</v>
      </c>
      <c r="E185" s="183" t="s">
        <v>1283</v>
      </c>
      <c r="F185" s="183" t="s">
        <v>1979</v>
      </c>
      <c r="G185" s="165"/>
      <c r="H185" s="165"/>
      <c r="I185" s="165"/>
      <c r="J185" s="209"/>
      <c r="K185" s="209"/>
      <c r="L185" s="209"/>
      <c r="M185" s="209"/>
      <c r="N185" s="209">
        <f t="shared" si="2"/>
        <v>0</v>
      </c>
      <c r="O185" s="183" t="s">
        <v>1979</v>
      </c>
      <c r="P185" s="183" t="s">
        <v>1979</v>
      </c>
      <c r="Q185" s="3">
        <v>14175</v>
      </c>
      <c r="R185" s="178">
        <v>14145</v>
      </c>
      <c r="S185" s="178"/>
      <c r="T185" s="3">
        <v>30</v>
      </c>
    </row>
    <row r="186" spans="1:21">
      <c r="A186" s="209" t="s">
        <v>421</v>
      </c>
      <c r="B186" s="209"/>
      <c r="C186" s="205" t="s">
        <v>1532</v>
      </c>
      <c r="D186" s="226">
        <v>2</v>
      </c>
      <c r="E186" s="183" t="s">
        <v>1283</v>
      </c>
      <c r="F186" s="183" t="s">
        <v>421</v>
      </c>
      <c r="G186" s="165"/>
      <c r="H186" s="165"/>
      <c r="I186" s="165"/>
      <c r="J186" s="209"/>
      <c r="K186" s="209"/>
      <c r="L186" s="209"/>
      <c r="M186" s="209"/>
      <c r="N186" s="209">
        <f t="shared" si="2"/>
        <v>0</v>
      </c>
      <c r="O186" s="183" t="s">
        <v>421</v>
      </c>
      <c r="P186" s="183" t="s">
        <v>421</v>
      </c>
      <c r="Q186" s="3">
        <v>13500</v>
      </c>
      <c r="R186" s="178">
        <v>13485</v>
      </c>
      <c r="S186" s="178"/>
      <c r="T186" s="3">
        <v>15</v>
      </c>
    </row>
    <row r="187" spans="1:21" s="8" customFormat="1">
      <c r="A187" s="208" t="s">
        <v>422</v>
      </c>
      <c r="B187" s="208">
        <v>341</v>
      </c>
      <c r="C187" s="207" t="s">
        <v>1264</v>
      </c>
      <c r="D187" s="207">
        <v>5</v>
      </c>
      <c r="E187" s="207" t="s">
        <v>1980</v>
      </c>
      <c r="F187" s="207" t="s">
        <v>421</v>
      </c>
      <c r="G187" s="208">
        <v>11340</v>
      </c>
      <c r="H187" s="208"/>
      <c r="I187" s="208"/>
      <c r="J187" s="208">
        <v>11340</v>
      </c>
      <c r="K187" s="208">
        <v>11340</v>
      </c>
      <c r="L187" s="208"/>
      <c r="M187" s="208"/>
      <c r="N187" s="208">
        <f t="shared" si="2"/>
        <v>0</v>
      </c>
      <c r="O187" s="207" t="s">
        <v>2749</v>
      </c>
      <c r="P187" s="207" t="s">
        <v>2761</v>
      </c>
      <c r="Q187" s="184"/>
      <c r="T187" s="184"/>
      <c r="U187" s="8" t="s">
        <v>1910</v>
      </c>
    </row>
    <row r="188" spans="1:21" s="8" customFormat="1">
      <c r="A188" s="208" t="s">
        <v>422</v>
      </c>
      <c r="B188" s="208">
        <v>342</v>
      </c>
      <c r="C188" s="207" t="s">
        <v>1264</v>
      </c>
      <c r="D188" s="207">
        <v>6</v>
      </c>
      <c r="E188" s="207" t="s">
        <v>1981</v>
      </c>
      <c r="F188" s="207" t="s">
        <v>1957</v>
      </c>
      <c r="G188" s="208">
        <v>11340</v>
      </c>
      <c r="H188" s="208"/>
      <c r="I188" s="208"/>
      <c r="J188" s="208">
        <v>11340</v>
      </c>
      <c r="K188" s="208">
        <v>11340</v>
      </c>
      <c r="L188" s="208"/>
      <c r="M188" s="208"/>
      <c r="N188" s="208">
        <f t="shared" si="2"/>
        <v>0</v>
      </c>
      <c r="O188" s="207" t="s">
        <v>2758</v>
      </c>
      <c r="P188" s="207" t="s">
        <v>1863</v>
      </c>
      <c r="Q188" s="184"/>
      <c r="T188" s="184"/>
      <c r="U188" s="8" t="s">
        <v>1910</v>
      </c>
    </row>
    <row r="189" spans="1:21" s="8" customFormat="1">
      <c r="A189" s="208" t="s">
        <v>422</v>
      </c>
      <c r="B189" s="208">
        <v>343</v>
      </c>
      <c r="C189" s="207" t="s">
        <v>1264</v>
      </c>
      <c r="D189" s="207">
        <v>7</v>
      </c>
      <c r="E189" s="207" t="s">
        <v>1982</v>
      </c>
      <c r="F189" s="207" t="s">
        <v>1959</v>
      </c>
      <c r="G189" s="208">
        <v>11340</v>
      </c>
      <c r="H189" s="208"/>
      <c r="I189" s="208"/>
      <c r="J189" s="208">
        <v>11340</v>
      </c>
      <c r="K189" s="208">
        <v>11340</v>
      </c>
      <c r="L189" s="208"/>
      <c r="M189" s="208"/>
      <c r="N189" s="208">
        <f t="shared" si="2"/>
        <v>0</v>
      </c>
      <c r="O189" s="207" t="s">
        <v>2760</v>
      </c>
      <c r="P189" s="207" t="s">
        <v>1983</v>
      </c>
      <c r="Q189" s="184"/>
      <c r="T189" s="184"/>
      <c r="U189" s="8" t="s">
        <v>1910</v>
      </c>
    </row>
    <row r="190" spans="1:21" s="218" customFormat="1">
      <c r="A190" s="216" t="s">
        <v>422</v>
      </c>
      <c r="B190" s="216">
        <v>344</v>
      </c>
      <c r="C190" s="215" t="s">
        <v>1264</v>
      </c>
      <c r="D190" s="215">
        <v>8</v>
      </c>
      <c r="E190" s="215" t="s">
        <v>1984</v>
      </c>
      <c r="F190" s="215" t="s">
        <v>1961</v>
      </c>
      <c r="G190" s="216">
        <v>11340</v>
      </c>
      <c r="H190" s="216"/>
      <c r="I190" s="216"/>
      <c r="J190" s="216">
        <v>11340</v>
      </c>
      <c r="K190" s="216">
        <v>11340</v>
      </c>
      <c r="L190" s="216"/>
      <c r="M190" s="216"/>
      <c r="N190" s="216">
        <f t="shared" si="2"/>
        <v>0</v>
      </c>
      <c r="O190" s="215" t="s">
        <v>2670</v>
      </c>
      <c r="P190" s="215" t="s">
        <v>498</v>
      </c>
      <c r="Q190" s="217">
        <v>11340</v>
      </c>
      <c r="R190" s="218">
        <v>11340</v>
      </c>
      <c r="T190" s="217"/>
      <c r="U190" s="218" t="s">
        <v>1985</v>
      </c>
    </row>
    <row r="191" spans="1:21">
      <c r="A191" s="209" t="s">
        <v>2741</v>
      </c>
      <c r="B191" s="209">
        <v>345</v>
      </c>
      <c r="C191" s="205" t="s">
        <v>1232</v>
      </c>
      <c r="D191" s="226">
        <v>12</v>
      </c>
      <c r="E191" s="183" t="s">
        <v>1986</v>
      </c>
      <c r="F191" s="183" t="s">
        <v>2007</v>
      </c>
      <c r="G191" s="209">
        <v>16380</v>
      </c>
      <c r="H191" s="209"/>
      <c r="I191" s="209"/>
      <c r="J191" s="209">
        <v>16380</v>
      </c>
      <c r="K191" s="209">
        <v>16380</v>
      </c>
      <c r="L191" s="209"/>
      <c r="M191" s="209"/>
      <c r="N191" s="209">
        <f t="shared" si="2"/>
        <v>0</v>
      </c>
      <c r="O191" s="183" t="s">
        <v>2762</v>
      </c>
      <c r="P191" s="183" t="s">
        <v>2763</v>
      </c>
      <c r="U191" s="770"/>
    </row>
    <row r="192" spans="1:21">
      <c r="A192" s="209" t="s">
        <v>2742</v>
      </c>
      <c r="B192" s="209">
        <v>346</v>
      </c>
      <c r="C192" s="205" t="s">
        <v>1699</v>
      </c>
      <c r="D192" s="226">
        <v>2</v>
      </c>
      <c r="E192" s="183" t="s">
        <v>2008</v>
      </c>
      <c r="F192" s="183" t="s">
        <v>2659</v>
      </c>
      <c r="G192" s="209">
        <v>13500</v>
      </c>
      <c r="H192" s="209"/>
      <c r="I192" s="209"/>
      <c r="J192" s="209">
        <v>13500</v>
      </c>
      <c r="K192" s="209">
        <v>13500</v>
      </c>
      <c r="L192" s="209"/>
      <c r="M192" s="209"/>
      <c r="N192" s="209">
        <f t="shared" si="2"/>
        <v>0</v>
      </c>
      <c r="O192" s="183" t="s">
        <v>2744</v>
      </c>
      <c r="P192" s="183" t="s">
        <v>2745</v>
      </c>
    </row>
    <row r="193" spans="1:18">
      <c r="A193" s="209" t="s">
        <v>2773</v>
      </c>
      <c r="B193" s="209">
        <v>347</v>
      </c>
      <c r="C193" s="205" t="s">
        <v>857</v>
      </c>
      <c r="D193" s="183">
        <v>1</v>
      </c>
      <c r="E193" s="183" t="s">
        <v>2009</v>
      </c>
      <c r="F193" s="183" t="s">
        <v>2774</v>
      </c>
      <c r="G193" s="209">
        <v>14175</v>
      </c>
      <c r="H193" s="209"/>
      <c r="I193" s="209"/>
      <c r="J193" s="209">
        <v>14175</v>
      </c>
      <c r="K193" s="209">
        <v>14175</v>
      </c>
      <c r="L193" s="209"/>
      <c r="M193" s="209"/>
      <c r="N193" s="209">
        <f t="shared" si="2"/>
        <v>0</v>
      </c>
      <c r="O193" s="183" t="s">
        <v>2753</v>
      </c>
      <c r="P193" s="183" t="s">
        <v>2754</v>
      </c>
    </row>
    <row r="194" spans="1:18">
      <c r="A194" s="209" t="s">
        <v>2773</v>
      </c>
      <c r="B194" s="209">
        <v>348</v>
      </c>
      <c r="C194" s="205" t="s">
        <v>857</v>
      </c>
      <c r="D194" s="183">
        <v>2</v>
      </c>
      <c r="E194" s="183" t="s">
        <v>2010</v>
      </c>
      <c r="F194" s="183" t="s">
        <v>2755</v>
      </c>
      <c r="G194" s="209">
        <v>14175</v>
      </c>
      <c r="H194" s="209"/>
      <c r="I194" s="209"/>
      <c r="J194" s="209">
        <v>14175</v>
      </c>
      <c r="K194" s="209">
        <v>14175</v>
      </c>
      <c r="L194" s="209"/>
      <c r="M194" s="209"/>
      <c r="N194" s="209">
        <f t="shared" si="2"/>
        <v>0</v>
      </c>
      <c r="O194" s="183" t="s">
        <v>574</v>
      </c>
      <c r="P194" s="183" t="s">
        <v>575</v>
      </c>
    </row>
    <row r="195" spans="1:18">
      <c r="A195" s="209" t="s">
        <v>2773</v>
      </c>
      <c r="B195" s="209">
        <v>349</v>
      </c>
      <c r="C195" s="205" t="s">
        <v>857</v>
      </c>
      <c r="D195" s="183">
        <v>3</v>
      </c>
      <c r="E195" s="183" t="s">
        <v>2011</v>
      </c>
      <c r="F195" s="183" t="s">
        <v>2012</v>
      </c>
      <c r="G195" s="209">
        <v>14175</v>
      </c>
      <c r="H195" s="209"/>
      <c r="I195" s="209"/>
      <c r="J195" s="209">
        <v>14175</v>
      </c>
      <c r="K195" s="209">
        <v>14175</v>
      </c>
      <c r="L195" s="209"/>
      <c r="M195" s="209"/>
      <c r="N195" s="209">
        <f t="shared" si="2"/>
        <v>0</v>
      </c>
      <c r="O195" s="183" t="s">
        <v>2662</v>
      </c>
      <c r="P195" s="183" t="s">
        <v>2767</v>
      </c>
      <c r="Q195" s="3">
        <v>14175</v>
      </c>
      <c r="R195">
        <v>14175</v>
      </c>
    </row>
    <row r="196" spans="1:18">
      <c r="A196" s="209" t="s">
        <v>2773</v>
      </c>
      <c r="B196" s="209">
        <v>350</v>
      </c>
      <c r="C196" s="205" t="s">
        <v>857</v>
      </c>
      <c r="D196" s="183">
        <v>4</v>
      </c>
      <c r="E196" s="183" t="s">
        <v>2013</v>
      </c>
      <c r="F196" s="183" t="s">
        <v>2775</v>
      </c>
      <c r="G196" s="209">
        <v>14175</v>
      </c>
      <c r="H196" s="209"/>
      <c r="I196" s="209"/>
      <c r="J196" s="209">
        <v>14175</v>
      </c>
      <c r="K196" s="209">
        <v>14175</v>
      </c>
      <c r="L196" s="209"/>
      <c r="M196" s="209"/>
      <c r="N196" s="209">
        <f t="shared" si="2"/>
        <v>0</v>
      </c>
      <c r="O196" s="183" t="s">
        <v>818</v>
      </c>
      <c r="P196" s="183" t="s">
        <v>487</v>
      </c>
      <c r="Q196" s="3">
        <v>14175</v>
      </c>
      <c r="R196">
        <v>14175</v>
      </c>
    </row>
    <row r="197" spans="1:18">
      <c r="A197" s="209" t="s">
        <v>2773</v>
      </c>
      <c r="B197" s="209">
        <v>351</v>
      </c>
      <c r="C197" s="205" t="s">
        <v>857</v>
      </c>
      <c r="D197" s="183">
        <v>5</v>
      </c>
      <c r="E197" s="183" t="s">
        <v>2014</v>
      </c>
      <c r="F197" s="183" t="s">
        <v>2776</v>
      </c>
      <c r="G197" s="209">
        <v>14175</v>
      </c>
      <c r="H197" s="209"/>
      <c r="I197" s="209"/>
      <c r="J197" s="209">
        <v>14175</v>
      </c>
      <c r="K197" s="209">
        <v>14175</v>
      </c>
      <c r="L197" s="209"/>
      <c r="M197" s="209"/>
      <c r="N197" s="209">
        <f t="shared" si="2"/>
        <v>0</v>
      </c>
      <c r="O197" s="183" t="s">
        <v>490</v>
      </c>
      <c r="P197" s="183" t="s">
        <v>491</v>
      </c>
      <c r="Q197" s="3">
        <v>14175</v>
      </c>
      <c r="R197">
        <v>14175</v>
      </c>
    </row>
    <row r="198" spans="1:18">
      <c r="A198" s="209" t="s">
        <v>2773</v>
      </c>
      <c r="B198" s="209">
        <v>352</v>
      </c>
      <c r="C198" s="205" t="s">
        <v>857</v>
      </c>
      <c r="D198" s="183">
        <v>6</v>
      </c>
      <c r="E198" s="183" t="s">
        <v>2015</v>
      </c>
      <c r="F198" s="183" t="s">
        <v>2777</v>
      </c>
      <c r="G198" s="209">
        <v>14175</v>
      </c>
      <c r="H198" s="209"/>
      <c r="I198" s="209"/>
      <c r="J198" s="209">
        <v>14175</v>
      </c>
      <c r="K198" s="209">
        <v>14175</v>
      </c>
      <c r="L198" s="209"/>
      <c r="M198" s="209"/>
      <c r="N198" s="209">
        <f t="shared" si="2"/>
        <v>0</v>
      </c>
      <c r="O198" s="183" t="s">
        <v>1461</v>
      </c>
      <c r="P198" s="183" t="s">
        <v>492</v>
      </c>
      <c r="Q198" s="3">
        <v>14175</v>
      </c>
      <c r="R198">
        <v>14175</v>
      </c>
    </row>
    <row r="199" spans="1:18">
      <c r="A199" s="209" t="s">
        <v>2773</v>
      </c>
      <c r="B199" s="209">
        <v>353</v>
      </c>
      <c r="C199" s="205" t="s">
        <v>857</v>
      </c>
      <c r="D199" s="183">
        <v>7</v>
      </c>
      <c r="E199" s="183" t="s">
        <v>2016</v>
      </c>
      <c r="F199" s="183" t="s">
        <v>2017</v>
      </c>
      <c r="G199" s="209">
        <v>14175</v>
      </c>
      <c r="H199" s="209"/>
      <c r="I199" s="209"/>
      <c r="J199" s="209">
        <v>14175</v>
      </c>
      <c r="K199" s="209">
        <v>14175</v>
      </c>
      <c r="L199" s="209"/>
      <c r="M199" s="209"/>
      <c r="N199" s="209">
        <f t="shared" si="2"/>
        <v>0</v>
      </c>
      <c r="O199" s="183" t="s">
        <v>500</v>
      </c>
      <c r="P199" s="183" t="s">
        <v>500</v>
      </c>
      <c r="Q199" s="3">
        <v>14175</v>
      </c>
      <c r="R199">
        <v>14175</v>
      </c>
    </row>
    <row r="200" spans="1:18">
      <c r="A200" s="209" t="s">
        <v>2773</v>
      </c>
      <c r="B200" s="209">
        <v>354</v>
      </c>
      <c r="C200" s="205" t="s">
        <v>857</v>
      </c>
      <c r="D200" s="183">
        <v>8</v>
      </c>
      <c r="E200" s="183" t="s">
        <v>2018</v>
      </c>
      <c r="F200" s="183" t="s">
        <v>2778</v>
      </c>
      <c r="G200" s="209">
        <v>14175</v>
      </c>
      <c r="H200" s="209"/>
      <c r="I200" s="209"/>
      <c r="J200" s="209">
        <v>14175</v>
      </c>
      <c r="K200" s="209">
        <v>14175</v>
      </c>
      <c r="L200" s="209"/>
      <c r="M200" s="209"/>
      <c r="N200" s="209">
        <f t="shared" si="2"/>
        <v>0</v>
      </c>
      <c r="O200" s="183" t="s">
        <v>501</v>
      </c>
      <c r="P200" s="183" t="s">
        <v>2051</v>
      </c>
      <c r="Q200" s="3">
        <v>14175</v>
      </c>
      <c r="R200">
        <v>14175</v>
      </c>
    </row>
    <row r="201" spans="1:18">
      <c r="A201" s="209" t="s">
        <v>2744</v>
      </c>
      <c r="B201" s="209">
        <v>355</v>
      </c>
      <c r="C201" s="205" t="s">
        <v>2739</v>
      </c>
      <c r="D201" s="183">
        <v>1</v>
      </c>
      <c r="E201" s="183" t="s">
        <v>2019</v>
      </c>
      <c r="F201" s="183" t="s">
        <v>2774</v>
      </c>
      <c r="G201" s="209">
        <v>13500</v>
      </c>
      <c r="H201" s="209"/>
      <c r="I201" s="209"/>
      <c r="J201" s="209">
        <v>13500</v>
      </c>
      <c r="K201" s="209">
        <v>13500</v>
      </c>
      <c r="L201" s="209"/>
      <c r="M201" s="209"/>
      <c r="N201" s="209">
        <f t="shared" si="2"/>
        <v>0</v>
      </c>
      <c r="O201" s="183" t="s">
        <v>2753</v>
      </c>
      <c r="P201" s="183" t="s">
        <v>2754</v>
      </c>
    </row>
    <row r="202" spans="1:18">
      <c r="A202" s="209" t="s">
        <v>2744</v>
      </c>
      <c r="B202" s="209">
        <v>356</v>
      </c>
      <c r="C202" s="205" t="s">
        <v>2739</v>
      </c>
      <c r="D202" s="183">
        <v>2</v>
      </c>
      <c r="E202" s="183" t="s">
        <v>2020</v>
      </c>
      <c r="F202" s="183" t="s">
        <v>2755</v>
      </c>
      <c r="G202" s="209">
        <v>13500</v>
      </c>
      <c r="H202" s="209"/>
      <c r="I202" s="209"/>
      <c r="J202" s="209">
        <v>13500</v>
      </c>
      <c r="K202" s="209">
        <v>13500</v>
      </c>
      <c r="L202" s="209"/>
      <c r="M202" s="209"/>
      <c r="N202" s="209">
        <f t="shared" si="2"/>
        <v>0</v>
      </c>
      <c r="O202" s="183" t="s">
        <v>574</v>
      </c>
      <c r="P202" s="183" t="s">
        <v>575</v>
      </c>
    </row>
    <row r="203" spans="1:18">
      <c r="A203" s="209" t="s">
        <v>2744</v>
      </c>
      <c r="B203" s="209">
        <v>357</v>
      </c>
      <c r="C203" s="205" t="s">
        <v>2739</v>
      </c>
      <c r="D203" s="183">
        <v>3</v>
      </c>
      <c r="E203" s="183" t="s">
        <v>2021</v>
      </c>
      <c r="F203" s="183" t="s">
        <v>2012</v>
      </c>
      <c r="G203" s="209">
        <v>13500</v>
      </c>
      <c r="H203" s="209"/>
      <c r="I203" s="209"/>
      <c r="J203" s="209">
        <v>13500</v>
      </c>
      <c r="K203" s="209">
        <v>13500</v>
      </c>
      <c r="L203" s="209"/>
      <c r="M203" s="209"/>
      <c r="N203" s="209">
        <f t="shared" si="2"/>
        <v>0</v>
      </c>
      <c r="O203" s="183" t="s">
        <v>2662</v>
      </c>
      <c r="P203" s="183" t="s">
        <v>2767</v>
      </c>
      <c r="Q203" s="3">
        <v>13500</v>
      </c>
      <c r="R203">
        <v>13500</v>
      </c>
    </row>
    <row r="204" spans="1:18">
      <c r="A204" s="209" t="s">
        <v>2744</v>
      </c>
      <c r="B204" s="209">
        <v>358</v>
      </c>
      <c r="C204" s="205" t="s">
        <v>2739</v>
      </c>
      <c r="D204" s="183">
        <v>4</v>
      </c>
      <c r="E204" s="183" t="s">
        <v>2022</v>
      </c>
      <c r="F204" s="183" t="s">
        <v>2775</v>
      </c>
      <c r="G204" s="209">
        <v>13500</v>
      </c>
      <c r="H204" s="209"/>
      <c r="I204" s="209"/>
      <c r="J204" s="209">
        <v>13500</v>
      </c>
      <c r="K204" s="209">
        <v>13500</v>
      </c>
      <c r="L204" s="209"/>
      <c r="M204" s="209"/>
      <c r="N204" s="209">
        <f t="shared" si="2"/>
        <v>0</v>
      </c>
      <c r="O204" s="183" t="s">
        <v>818</v>
      </c>
      <c r="P204" s="183" t="s">
        <v>487</v>
      </c>
      <c r="Q204" s="3">
        <v>13500</v>
      </c>
      <c r="R204">
        <v>13500</v>
      </c>
    </row>
    <row r="205" spans="1:18">
      <c r="A205" s="209" t="s">
        <v>2744</v>
      </c>
      <c r="B205" s="209">
        <v>359</v>
      </c>
      <c r="C205" s="205" t="s">
        <v>2739</v>
      </c>
      <c r="D205" s="183">
        <v>5</v>
      </c>
      <c r="E205" s="183" t="s">
        <v>2023</v>
      </c>
      <c r="F205" s="183" t="s">
        <v>2776</v>
      </c>
      <c r="G205" s="209">
        <v>13500</v>
      </c>
      <c r="H205" s="209"/>
      <c r="I205" s="209"/>
      <c r="J205" s="209">
        <v>13500</v>
      </c>
      <c r="K205" s="209">
        <v>13500</v>
      </c>
      <c r="L205" s="209"/>
      <c r="M205" s="209"/>
      <c r="N205" s="209">
        <f t="shared" si="2"/>
        <v>0</v>
      </c>
      <c r="O205" s="183" t="s">
        <v>490</v>
      </c>
      <c r="P205" s="183" t="s">
        <v>491</v>
      </c>
      <c r="Q205" s="3">
        <v>13500</v>
      </c>
      <c r="R205">
        <v>13500</v>
      </c>
    </row>
    <row r="206" spans="1:18">
      <c r="A206" s="209" t="s">
        <v>2744</v>
      </c>
      <c r="B206" s="209">
        <v>360</v>
      </c>
      <c r="C206" s="205" t="s">
        <v>2739</v>
      </c>
      <c r="D206" s="183">
        <v>6</v>
      </c>
      <c r="E206" s="183" t="s">
        <v>2024</v>
      </c>
      <c r="F206" s="183" t="s">
        <v>2777</v>
      </c>
      <c r="G206" s="209">
        <v>13500</v>
      </c>
      <c r="H206" s="209"/>
      <c r="I206" s="209"/>
      <c r="J206" s="209">
        <v>13500</v>
      </c>
      <c r="K206" s="209">
        <v>13500</v>
      </c>
      <c r="L206" s="209"/>
      <c r="M206" s="209"/>
      <c r="N206" s="209">
        <f t="shared" si="2"/>
        <v>0</v>
      </c>
      <c r="O206" s="183" t="s">
        <v>1461</v>
      </c>
      <c r="P206" s="183" t="s">
        <v>492</v>
      </c>
      <c r="Q206" s="3">
        <v>13500</v>
      </c>
      <c r="R206">
        <v>13500</v>
      </c>
    </row>
    <row r="207" spans="1:18">
      <c r="A207" s="209" t="s">
        <v>2744</v>
      </c>
      <c r="B207" s="209">
        <v>361</v>
      </c>
      <c r="C207" s="205" t="s">
        <v>2739</v>
      </c>
      <c r="D207" s="183">
        <v>7</v>
      </c>
      <c r="E207" s="183" t="s">
        <v>2025</v>
      </c>
      <c r="F207" s="183" t="s">
        <v>2017</v>
      </c>
      <c r="G207" s="209">
        <v>13500</v>
      </c>
      <c r="H207" s="209"/>
      <c r="I207" s="209"/>
      <c r="J207" s="209">
        <v>13500</v>
      </c>
      <c r="K207" s="209">
        <v>13500</v>
      </c>
      <c r="L207" s="209"/>
      <c r="M207" s="209"/>
      <c r="N207" s="209">
        <f t="shared" ref="N207:N270" si="3">G207-J207</f>
        <v>0</v>
      </c>
      <c r="O207" s="183" t="s">
        <v>500</v>
      </c>
      <c r="P207" s="183" t="s">
        <v>500</v>
      </c>
      <c r="Q207" s="3">
        <v>13500</v>
      </c>
      <c r="R207">
        <v>13500</v>
      </c>
    </row>
    <row r="208" spans="1:18">
      <c r="A208" s="209" t="s">
        <v>2744</v>
      </c>
      <c r="B208" s="209">
        <v>362</v>
      </c>
      <c r="C208" s="205" t="s">
        <v>2739</v>
      </c>
      <c r="D208" s="183">
        <v>8</v>
      </c>
      <c r="E208" s="183" t="s">
        <v>2026</v>
      </c>
      <c r="F208" s="183" t="s">
        <v>2778</v>
      </c>
      <c r="G208" s="209">
        <v>13500</v>
      </c>
      <c r="H208" s="209"/>
      <c r="I208" s="209"/>
      <c r="J208" s="209">
        <v>13500</v>
      </c>
      <c r="K208" s="209">
        <v>13500</v>
      </c>
      <c r="L208" s="209"/>
      <c r="M208" s="209"/>
      <c r="N208" s="209">
        <f t="shared" si="3"/>
        <v>0</v>
      </c>
      <c r="O208" s="183" t="s">
        <v>501</v>
      </c>
      <c r="P208" s="183" t="s">
        <v>2051</v>
      </c>
      <c r="Q208" s="3">
        <v>13500</v>
      </c>
      <c r="R208">
        <v>13500</v>
      </c>
    </row>
    <row r="209" spans="1:21">
      <c r="A209" s="209" t="s">
        <v>2745</v>
      </c>
      <c r="B209" s="209">
        <v>363</v>
      </c>
      <c r="C209" s="205" t="s">
        <v>2027</v>
      </c>
      <c r="D209" s="183">
        <v>1</v>
      </c>
      <c r="E209" s="183" t="s">
        <v>2028</v>
      </c>
      <c r="F209" s="183" t="s">
        <v>440</v>
      </c>
      <c r="G209" s="209">
        <v>11340</v>
      </c>
      <c r="H209" s="209"/>
      <c r="I209" s="209"/>
      <c r="J209" s="209">
        <v>11340</v>
      </c>
      <c r="K209" s="209">
        <v>11340</v>
      </c>
      <c r="L209" s="209"/>
      <c r="M209" s="209"/>
      <c r="N209" s="209">
        <f t="shared" si="3"/>
        <v>0</v>
      </c>
      <c r="O209" s="183" t="s">
        <v>2758</v>
      </c>
      <c r="P209" s="183" t="s">
        <v>2759</v>
      </c>
    </row>
    <row r="210" spans="1:21">
      <c r="A210" s="209" t="s">
        <v>2745</v>
      </c>
      <c r="B210" s="209">
        <v>364</v>
      </c>
      <c r="C210" s="205" t="s">
        <v>2027</v>
      </c>
      <c r="D210" s="183">
        <v>2</v>
      </c>
      <c r="E210" s="183" t="s">
        <v>2029</v>
      </c>
      <c r="F210" s="183" t="s">
        <v>441</v>
      </c>
      <c r="G210" s="209">
        <v>11340</v>
      </c>
      <c r="H210" s="209"/>
      <c r="I210" s="209"/>
      <c r="J210" s="209">
        <v>11340</v>
      </c>
      <c r="K210" s="209">
        <v>11340</v>
      </c>
      <c r="L210" s="209"/>
      <c r="M210" s="209"/>
      <c r="N210" s="209">
        <f t="shared" si="3"/>
        <v>0</v>
      </c>
      <c r="O210" s="183" t="s">
        <v>2746</v>
      </c>
      <c r="P210" s="183" t="s">
        <v>2747</v>
      </c>
    </row>
    <row r="211" spans="1:21" s="114" customFormat="1">
      <c r="A211" s="214" t="s">
        <v>2745</v>
      </c>
      <c r="B211" s="214">
        <v>365</v>
      </c>
      <c r="C211" s="213" t="s">
        <v>2027</v>
      </c>
      <c r="D211" s="213">
        <v>3</v>
      </c>
      <c r="E211" s="213" t="s">
        <v>2030</v>
      </c>
      <c r="F211" s="213" t="s">
        <v>415</v>
      </c>
      <c r="G211" s="214">
        <v>11340</v>
      </c>
      <c r="H211" s="214"/>
      <c r="I211" s="214"/>
      <c r="J211" s="214">
        <v>11340</v>
      </c>
      <c r="K211" s="214">
        <v>11340</v>
      </c>
      <c r="L211" s="214"/>
      <c r="M211" s="214"/>
      <c r="N211" s="214">
        <f t="shared" si="3"/>
        <v>0</v>
      </c>
      <c r="O211" s="213" t="s">
        <v>2670</v>
      </c>
      <c r="P211" s="213" t="s">
        <v>486</v>
      </c>
      <c r="Q211" s="211">
        <v>11340</v>
      </c>
      <c r="R211" s="114">
        <v>11340</v>
      </c>
      <c r="T211" s="211"/>
      <c r="U211" s="212" t="s">
        <v>254</v>
      </c>
    </row>
    <row r="212" spans="1:21">
      <c r="A212" s="209" t="s">
        <v>2745</v>
      </c>
      <c r="B212" s="209">
        <v>366</v>
      </c>
      <c r="C212" s="205" t="s">
        <v>2027</v>
      </c>
      <c r="D212" s="183">
        <v>4</v>
      </c>
      <c r="E212" s="183" t="s">
        <v>2031</v>
      </c>
      <c r="F212" s="183" t="s">
        <v>442</v>
      </c>
      <c r="G212" s="209">
        <v>11340</v>
      </c>
      <c r="H212" s="209"/>
      <c r="I212" s="209"/>
      <c r="J212" s="209">
        <v>11340</v>
      </c>
      <c r="K212" s="209">
        <v>11340</v>
      </c>
      <c r="L212" s="209"/>
      <c r="M212" s="209"/>
      <c r="N212" s="209">
        <f t="shared" si="3"/>
        <v>0</v>
      </c>
      <c r="O212" s="183" t="s">
        <v>2768</v>
      </c>
      <c r="P212" s="183" t="s">
        <v>815</v>
      </c>
      <c r="Q212" s="3">
        <v>11340</v>
      </c>
      <c r="R212">
        <v>11340</v>
      </c>
    </row>
    <row r="213" spans="1:21">
      <c r="A213" s="209" t="s">
        <v>2745</v>
      </c>
      <c r="B213" s="209">
        <v>367</v>
      </c>
      <c r="C213" s="205" t="s">
        <v>2027</v>
      </c>
      <c r="D213" s="256">
        <v>5</v>
      </c>
      <c r="E213" s="183" t="s">
        <v>2032</v>
      </c>
      <c r="F213" s="183" t="s">
        <v>443</v>
      </c>
      <c r="G213" s="209">
        <v>11340</v>
      </c>
      <c r="H213" s="209"/>
      <c r="I213" s="209"/>
      <c r="J213" s="258">
        <v>11340</v>
      </c>
      <c r="K213" s="258">
        <v>11340</v>
      </c>
      <c r="L213" s="258"/>
      <c r="M213" s="258"/>
      <c r="N213" s="258">
        <f t="shared" si="3"/>
        <v>0</v>
      </c>
      <c r="O213" s="254" t="s">
        <v>488</v>
      </c>
      <c r="P213" s="183"/>
      <c r="Q213" s="3">
        <v>11340</v>
      </c>
      <c r="U213" s="257" t="s">
        <v>502</v>
      </c>
    </row>
    <row r="214" spans="1:21">
      <c r="A214" s="209" t="s">
        <v>2745</v>
      </c>
      <c r="B214" s="209">
        <v>368</v>
      </c>
      <c r="C214" s="205" t="s">
        <v>2027</v>
      </c>
      <c r="D214" s="256">
        <v>6</v>
      </c>
      <c r="E214" s="183" t="s">
        <v>2033</v>
      </c>
      <c r="F214" s="183" t="s">
        <v>444</v>
      </c>
      <c r="G214" s="209">
        <v>11340</v>
      </c>
      <c r="H214" s="209"/>
      <c r="I214" s="209"/>
      <c r="J214" s="258">
        <v>11340</v>
      </c>
      <c r="K214" s="258">
        <v>11340</v>
      </c>
      <c r="L214" s="258"/>
      <c r="M214" s="258"/>
      <c r="N214" s="258">
        <f t="shared" si="3"/>
        <v>0</v>
      </c>
      <c r="O214" s="183"/>
      <c r="P214" s="183"/>
      <c r="Q214" s="3">
        <v>11340</v>
      </c>
      <c r="U214" s="257" t="s">
        <v>503</v>
      </c>
    </row>
    <row r="215" spans="1:21">
      <c r="A215" s="209" t="s">
        <v>2745</v>
      </c>
      <c r="B215" s="209">
        <v>369</v>
      </c>
      <c r="C215" s="205" t="s">
        <v>2027</v>
      </c>
      <c r="D215" s="256">
        <v>7</v>
      </c>
      <c r="E215" s="183" t="s">
        <v>2034</v>
      </c>
      <c r="F215" s="183" t="s">
        <v>2035</v>
      </c>
      <c r="G215" s="209">
        <v>11340</v>
      </c>
      <c r="H215" s="209"/>
      <c r="I215" s="209"/>
      <c r="J215" s="258">
        <v>11340</v>
      </c>
      <c r="K215" s="258">
        <v>11340</v>
      </c>
      <c r="L215" s="258"/>
      <c r="M215" s="258"/>
      <c r="N215" s="258">
        <f t="shared" si="3"/>
        <v>0</v>
      </c>
      <c r="O215" s="183"/>
      <c r="P215" s="183"/>
      <c r="Q215" s="3">
        <v>11340</v>
      </c>
      <c r="U215" s="257" t="s">
        <v>503</v>
      </c>
    </row>
    <row r="216" spans="1:21">
      <c r="A216" s="209" t="s">
        <v>2745</v>
      </c>
      <c r="B216" s="209">
        <v>370</v>
      </c>
      <c r="C216" s="205" t="s">
        <v>2027</v>
      </c>
      <c r="D216" s="256">
        <v>8</v>
      </c>
      <c r="E216" s="183" t="s">
        <v>2036</v>
      </c>
      <c r="F216" s="183" t="s">
        <v>445</v>
      </c>
      <c r="G216" s="209">
        <v>11340</v>
      </c>
      <c r="H216" s="209"/>
      <c r="I216" s="209"/>
      <c r="J216" s="258">
        <v>11340</v>
      </c>
      <c r="K216" s="258">
        <v>11340</v>
      </c>
      <c r="L216" s="258"/>
      <c r="M216" s="258"/>
      <c r="N216" s="258">
        <f t="shared" si="3"/>
        <v>0</v>
      </c>
      <c r="O216" s="183"/>
      <c r="P216" s="183"/>
      <c r="Q216" s="3">
        <v>11340</v>
      </c>
      <c r="U216" s="257" t="s">
        <v>503</v>
      </c>
    </row>
    <row r="217" spans="1:21">
      <c r="A217" s="209" t="s">
        <v>446</v>
      </c>
      <c r="B217" s="209"/>
      <c r="C217" s="205" t="s">
        <v>2421</v>
      </c>
      <c r="D217" s="226">
        <v>2</v>
      </c>
      <c r="E217" s="183" t="s">
        <v>1283</v>
      </c>
      <c r="F217" s="183" t="s">
        <v>446</v>
      </c>
      <c r="G217" s="165"/>
      <c r="H217" s="165"/>
      <c r="I217" s="165"/>
      <c r="J217" s="165"/>
      <c r="K217" s="165"/>
      <c r="L217" s="165"/>
      <c r="M217" s="165"/>
      <c r="N217" s="165">
        <f t="shared" si="3"/>
        <v>0</v>
      </c>
      <c r="O217" s="183" t="s">
        <v>446</v>
      </c>
      <c r="P217" s="183" t="s">
        <v>446</v>
      </c>
      <c r="Q217" s="178">
        <v>14175</v>
      </c>
      <c r="R217" s="178">
        <v>14165</v>
      </c>
      <c r="S217" s="178"/>
      <c r="T217" s="3">
        <v>10</v>
      </c>
      <c r="U217">
        <f>Q217-R217-T217</f>
        <v>0</v>
      </c>
    </row>
    <row r="218" spans="1:21">
      <c r="A218" s="209" t="s">
        <v>2751</v>
      </c>
      <c r="B218" s="209">
        <v>371</v>
      </c>
      <c r="C218" s="205" t="s">
        <v>1699</v>
      </c>
      <c r="D218" s="226">
        <v>3</v>
      </c>
      <c r="E218" s="183" t="s">
        <v>2037</v>
      </c>
      <c r="F218" s="183" t="s">
        <v>2774</v>
      </c>
      <c r="G218" s="209">
        <v>13500</v>
      </c>
      <c r="H218" s="209"/>
      <c r="I218" s="209"/>
      <c r="J218" s="209">
        <v>13500</v>
      </c>
      <c r="K218" s="209">
        <v>13500</v>
      </c>
      <c r="L218" s="209"/>
      <c r="M218" s="209"/>
      <c r="N218" s="209">
        <f t="shared" si="3"/>
        <v>0</v>
      </c>
      <c r="O218" s="183" t="s">
        <v>2753</v>
      </c>
      <c r="P218" s="183" t="s">
        <v>2754</v>
      </c>
    </row>
    <row r="219" spans="1:21">
      <c r="A219" s="209" t="s">
        <v>448</v>
      </c>
      <c r="B219" s="209"/>
      <c r="C219" s="205" t="s">
        <v>1532</v>
      </c>
      <c r="D219" s="226">
        <v>3</v>
      </c>
      <c r="E219" s="183" t="s">
        <v>1283</v>
      </c>
      <c r="F219" s="183" t="s">
        <v>448</v>
      </c>
      <c r="G219" s="165"/>
      <c r="H219" s="165"/>
      <c r="I219" s="165"/>
      <c r="J219" s="165"/>
      <c r="K219" s="165"/>
      <c r="L219" s="165"/>
      <c r="M219" s="165"/>
      <c r="N219" s="165">
        <f t="shared" si="3"/>
        <v>0</v>
      </c>
      <c r="O219" s="183" t="s">
        <v>448</v>
      </c>
      <c r="P219" s="183" t="s">
        <v>448</v>
      </c>
      <c r="Q219" s="178">
        <v>13500</v>
      </c>
      <c r="R219" s="178">
        <v>13500</v>
      </c>
      <c r="S219" s="178"/>
    </row>
    <row r="220" spans="1:21">
      <c r="A220" s="209" t="s">
        <v>449</v>
      </c>
      <c r="B220" s="209">
        <v>372</v>
      </c>
      <c r="C220" s="205" t="s">
        <v>1232</v>
      </c>
      <c r="D220" s="226">
        <v>1</v>
      </c>
      <c r="E220" s="183" t="s">
        <v>2038</v>
      </c>
      <c r="F220" s="183" t="s">
        <v>2039</v>
      </c>
      <c r="G220" s="209">
        <v>16380</v>
      </c>
      <c r="H220" s="209"/>
      <c r="I220" s="209"/>
      <c r="J220" s="209">
        <v>16380</v>
      </c>
      <c r="K220" s="209">
        <v>16380</v>
      </c>
      <c r="L220" s="209"/>
      <c r="M220" s="209"/>
      <c r="N220" s="209">
        <f t="shared" si="3"/>
        <v>0</v>
      </c>
      <c r="O220" s="183" t="s">
        <v>2753</v>
      </c>
      <c r="P220" s="183" t="s">
        <v>2754</v>
      </c>
    </row>
    <row r="221" spans="1:21">
      <c r="A221" s="209" t="s">
        <v>450</v>
      </c>
      <c r="B221" s="209"/>
      <c r="C221" s="205" t="s">
        <v>3825</v>
      </c>
      <c r="D221" s="226">
        <v>2</v>
      </c>
      <c r="E221" s="183" t="s">
        <v>1283</v>
      </c>
      <c r="F221" s="183" t="s">
        <v>450</v>
      </c>
      <c r="G221" s="165"/>
      <c r="H221" s="165"/>
      <c r="I221" s="165"/>
      <c r="J221" s="165"/>
      <c r="K221" s="165"/>
      <c r="L221" s="165"/>
      <c r="M221" s="165"/>
      <c r="N221" s="165">
        <f t="shared" si="3"/>
        <v>0</v>
      </c>
      <c r="O221" s="183" t="s">
        <v>450</v>
      </c>
      <c r="P221" s="183" t="s">
        <v>450</v>
      </c>
      <c r="Q221" s="3">
        <v>14175</v>
      </c>
      <c r="R221" s="178">
        <v>14145</v>
      </c>
      <c r="S221" s="178"/>
      <c r="T221" s="3">
        <v>30</v>
      </c>
    </row>
    <row r="222" spans="1:21" s="770" customFormat="1">
      <c r="A222" s="209" t="s">
        <v>2040</v>
      </c>
      <c r="B222" s="209"/>
      <c r="C222" s="205" t="s">
        <v>1230</v>
      </c>
      <c r="D222" s="226">
        <v>5</v>
      </c>
      <c r="E222" s="199" t="s">
        <v>1283</v>
      </c>
      <c r="F222" s="199" t="s">
        <v>452</v>
      </c>
      <c r="G222" s="165"/>
      <c r="H222" s="165"/>
      <c r="I222" s="165"/>
      <c r="J222" s="165"/>
      <c r="K222" s="165"/>
      <c r="L222" s="165"/>
      <c r="M222" s="165"/>
      <c r="N222" s="165">
        <f t="shared" si="3"/>
        <v>0</v>
      </c>
      <c r="O222" s="199" t="s">
        <v>2040</v>
      </c>
      <c r="P222" s="199" t="s">
        <v>2040</v>
      </c>
      <c r="Q222" s="165">
        <v>11970</v>
      </c>
      <c r="R222" s="209">
        <v>11940</v>
      </c>
      <c r="S222" s="209"/>
      <c r="T222" s="165">
        <v>30</v>
      </c>
    </row>
    <row r="223" spans="1:21">
      <c r="A223" s="209" t="s">
        <v>453</v>
      </c>
      <c r="B223" s="209">
        <v>373</v>
      </c>
      <c r="C223" s="205" t="s">
        <v>2041</v>
      </c>
      <c r="D223" s="183">
        <v>1</v>
      </c>
      <c r="E223" s="183" t="s">
        <v>2042</v>
      </c>
      <c r="F223" s="183" t="s">
        <v>1863</v>
      </c>
      <c r="G223" s="209">
        <v>14175</v>
      </c>
      <c r="H223" s="209"/>
      <c r="I223" s="209"/>
      <c r="J223" s="209">
        <v>14175</v>
      </c>
      <c r="K223" s="209">
        <v>14175</v>
      </c>
      <c r="L223" s="209"/>
      <c r="M223" s="209"/>
      <c r="N223" s="209">
        <f t="shared" si="3"/>
        <v>0</v>
      </c>
      <c r="O223" s="183" t="s">
        <v>2753</v>
      </c>
      <c r="P223" s="183" t="s">
        <v>2754</v>
      </c>
    </row>
    <row r="224" spans="1:21">
      <c r="A224" s="209" t="s">
        <v>453</v>
      </c>
      <c r="B224" s="209">
        <v>374</v>
      </c>
      <c r="C224" s="205" t="s">
        <v>2041</v>
      </c>
      <c r="D224" s="183">
        <v>2</v>
      </c>
      <c r="E224" s="183" t="s">
        <v>2043</v>
      </c>
      <c r="F224" s="183" t="s">
        <v>1865</v>
      </c>
      <c r="G224" s="209">
        <v>14175</v>
      </c>
      <c r="H224" s="209"/>
      <c r="I224" s="209"/>
      <c r="J224" s="209">
        <v>14175</v>
      </c>
      <c r="K224" s="209">
        <v>14175</v>
      </c>
      <c r="L224" s="209"/>
      <c r="M224" s="209"/>
      <c r="N224" s="209">
        <f t="shared" si="3"/>
        <v>0</v>
      </c>
      <c r="O224" s="183" t="s">
        <v>574</v>
      </c>
      <c r="P224" s="183" t="s">
        <v>575</v>
      </c>
    </row>
    <row r="225" spans="1:21">
      <c r="A225" s="209" t="s">
        <v>453</v>
      </c>
      <c r="B225" s="209">
        <v>375</v>
      </c>
      <c r="C225" s="205" t="s">
        <v>2041</v>
      </c>
      <c r="D225" s="183">
        <v>3</v>
      </c>
      <c r="E225" s="183" t="s">
        <v>2044</v>
      </c>
      <c r="F225" s="183" t="s">
        <v>1867</v>
      </c>
      <c r="G225" s="209">
        <v>14175</v>
      </c>
      <c r="H225" s="209"/>
      <c r="I225" s="209"/>
      <c r="J225" s="209">
        <v>14175</v>
      </c>
      <c r="K225" s="209">
        <v>14175</v>
      </c>
      <c r="L225" s="209"/>
      <c r="M225" s="209"/>
      <c r="N225" s="209">
        <f t="shared" si="3"/>
        <v>0</v>
      </c>
      <c r="O225" s="183" t="s">
        <v>2662</v>
      </c>
      <c r="P225" s="183" t="s">
        <v>2767</v>
      </c>
      <c r="Q225" s="3">
        <v>14175</v>
      </c>
      <c r="R225">
        <v>14175</v>
      </c>
    </row>
    <row r="226" spans="1:21">
      <c r="A226" s="209" t="s">
        <v>453</v>
      </c>
      <c r="B226" s="209">
        <v>376</v>
      </c>
      <c r="C226" s="205" t="s">
        <v>2041</v>
      </c>
      <c r="D226" s="183">
        <v>4</v>
      </c>
      <c r="E226" s="183" t="s">
        <v>2045</v>
      </c>
      <c r="F226" s="183" t="s">
        <v>1869</v>
      </c>
      <c r="G226" s="209">
        <v>14175</v>
      </c>
      <c r="H226" s="209"/>
      <c r="I226" s="209"/>
      <c r="J226" s="209">
        <v>14175</v>
      </c>
      <c r="K226" s="209">
        <v>14175</v>
      </c>
      <c r="L226" s="209"/>
      <c r="M226" s="209"/>
      <c r="N226" s="209">
        <f t="shared" si="3"/>
        <v>0</v>
      </c>
      <c r="O226" s="183" t="s">
        <v>818</v>
      </c>
      <c r="P226" s="183" t="s">
        <v>487</v>
      </c>
      <c r="Q226" s="3">
        <v>14175</v>
      </c>
      <c r="R226">
        <v>14175</v>
      </c>
    </row>
    <row r="227" spans="1:21">
      <c r="A227" s="209" t="s">
        <v>453</v>
      </c>
      <c r="B227" s="209">
        <v>377</v>
      </c>
      <c r="C227" s="205" t="s">
        <v>2041</v>
      </c>
      <c r="D227" s="183">
        <v>5</v>
      </c>
      <c r="E227" s="183" t="s">
        <v>2046</v>
      </c>
      <c r="F227" s="183" t="s">
        <v>1871</v>
      </c>
      <c r="G227" s="209">
        <v>14175</v>
      </c>
      <c r="H227" s="209"/>
      <c r="I227" s="209"/>
      <c r="J227" s="209">
        <v>14175</v>
      </c>
      <c r="K227" s="209">
        <v>14175</v>
      </c>
      <c r="L227" s="209"/>
      <c r="M227" s="209"/>
      <c r="N227" s="209">
        <f t="shared" si="3"/>
        <v>0</v>
      </c>
      <c r="O227" s="183" t="s">
        <v>490</v>
      </c>
      <c r="P227" s="183" t="s">
        <v>491</v>
      </c>
      <c r="Q227" s="3">
        <v>14175</v>
      </c>
      <c r="R227">
        <v>14175</v>
      </c>
    </row>
    <row r="228" spans="1:21">
      <c r="A228" s="209" t="s">
        <v>453</v>
      </c>
      <c r="B228" s="209">
        <v>378</v>
      </c>
      <c r="C228" s="205" t="s">
        <v>2041</v>
      </c>
      <c r="D228" s="183">
        <v>6</v>
      </c>
      <c r="E228" s="183" t="s">
        <v>2047</v>
      </c>
      <c r="F228" s="183" t="s">
        <v>1873</v>
      </c>
      <c r="G228" s="209">
        <v>14175</v>
      </c>
      <c r="H228" s="209"/>
      <c r="I228" s="209"/>
      <c r="J228" s="209">
        <v>14175</v>
      </c>
      <c r="K228" s="209">
        <v>14175</v>
      </c>
      <c r="L228" s="209"/>
      <c r="M228" s="209"/>
      <c r="N228" s="209">
        <f t="shared" si="3"/>
        <v>0</v>
      </c>
      <c r="O228" s="183" t="s">
        <v>1461</v>
      </c>
      <c r="P228" s="183" t="s">
        <v>492</v>
      </c>
      <c r="Q228" s="3">
        <v>14175</v>
      </c>
      <c r="R228">
        <v>14175</v>
      </c>
    </row>
    <row r="229" spans="1:21">
      <c r="A229" s="209" t="s">
        <v>453</v>
      </c>
      <c r="B229" s="209">
        <v>379</v>
      </c>
      <c r="C229" s="205" t="s">
        <v>2041</v>
      </c>
      <c r="D229" s="183">
        <v>7</v>
      </c>
      <c r="E229" s="183" t="s">
        <v>2048</v>
      </c>
      <c r="F229" s="183" t="s">
        <v>2049</v>
      </c>
      <c r="G229" s="209">
        <v>14175</v>
      </c>
      <c r="H229" s="209"/>
      <c r="I229" s="209"/>
      <c r="J229" s="209">
        <v>14175</v>
      </c>
      <c r="K229" s="209">
        <v>14175</v>
      </c>
      <c r="L229" s="209"/>
      <c r="M229" s="209"/>
      <c r="N229" s="209">
        <f t="shared" si="3"/>
        <v>0</v>
      </c>
      <c r="O229" s="183" t="s">
        <v>505</v>
      </c>
      <c r="P229" s="183" t="s">
        <v>505</v>
      </c>
      <c r="Q229" s="3">
        <v>14175</v>
      </c>
      <c r="R229">
        <v>14175</v>
      </c>
    </row>
    <row r="230" spans="1:21">
      <c r="A230" s="209" t="s">
        <v>453</v>
      </c>
      <c r="B230" s="209">
        <v>380</v>
      </c>
      <c r="C230" s="205" t="s">
        <v>2041</v>
      </c>
      <c r="D230" s="183">
        <v>8</v>
      </c>
      <c r="E230" s="183" t="s">
        <v>2050</v>
      </c>
      <c r="F230" s="183" t="s">
        <v>2051</v>
      </c>
      <c r="G230" s="209">
        <v>14175</v>
      </c>
      <c r="H230" s="209"/>
      <c r="I230" s="209"/>
      <c r="J230" s="209">
        <v>14175</v>
      </c>
      <c r="K230" s="209">
        <v>14175</v>
      </c>
      <c r="L230" s="209"/>
      <c r="M230" s="209"/>
      <c r="N230" s="209">
        <f t="shared" si="3"/>
        <v>0</v>
      </c>
      <c r="O230" s="183" t="s">
        <v>506</v>
      </c>
      <c r="P230" s="183" t="s">
        <v>507</v>
      </c>
      <c r="Q230" s="3">
        <v>14175</v>
      </c>
      <c r="R230">
        <v>14175</v>
      </c>
    </row>
    <row r="231" spans="1:21">
      <c r="A231" s="209" t="s">
        <v>454</v>
      </c>
      <c r="B231" s="209">
        <v>381</v>
      </c>
      <c r="C231" s="205" t="s">
        <v>1307</v>
      </c>
      <c r="D231" s="183">
        <v>1</v>
      </c>
      <c r="E231" s="183" t="s">
        <v>2052</v>
      </c>
      <c r="F231" s="183" t="s">
        <v>1863</v>
      </c>
      <c r="G231" s="209">
        <v>13500</v>
      </c>
      <c r="H231" s="209"/>
      <c r="I231" s="209"/>
      <c r="J231" s="209">
        <v>13500</v>
      </c>
      <c r="K231" s="209">
        <v>13500</v>
      </c>
      <c r="L231" s="209"/>
      <c r="M231" s="209"/>
      <c r="N231" s="209">
        <f t="shared" si="3"/>
        <v>0</v>
      </c>
      <c r="O231" s="183" t="s">
        <v>2753</v>
      </c>
      <c r="P231" s="183" t="s">
        <v>2754</v>
      </c>
    </row>
    <row r="232" spans="1:21">
      <c r="A232" s="209" t="s">
        <v>454</v>
      </c>
      <c r="B232" s="209">
        <v>382</v>
      </c>
      <c r="C232" s="205" t="s">
        <v>1307</v>
      </c>
      <c r="D232" s="183">
        <v>2</v>
      </c>
      <c r="E232" s="183" t="s">
        <v>2053</v>
      </c>
      <c r="F232" s="183" t="s">
        <v>1865</v>
      </c>
      <c r="G232" s="209">
        <v>13500</v>
      </c>
      <c r="H232" s="209"/>
      <c r="I232" s="209"/>
      <c r="J232" s="209">
        <v>13500</v>
      </c>
      <c r="K232" s="209">
        <v>13500</v>
      </c>
      <c r="L232" s="209"/>
      <c r="M232" s="209"/>
      <c r="N232" s="209">
        <f t="shared" si="3"/>
        <v>0</v>
      </c>
      <c r="O232" s="183" t="s">
        <v>574</v>
      </c>
      <c r="P232" s="183" t="s">
        <v>575</v>
      </c>
    </row>
    <row r="233" spans="1:21">
      <c r="A233" s="209" t="s">
        <v>454</v>
      </c>
      <c r="B233" s="209">
        <v>383</v>
      </c>
      <c r="C233" s="205" t="s">
        <v>1307</v>
      </c>
      <c r="D233" s="183">
        <v>3</v>
      </c>
      <c r="E233" s="183" t="s">
        <v>2054</v>
      </c>
      <c r="F233" s="183" t="s">
        <v>1867</v>
      </c>
      <c r="G233" s="209">
        <v>13500</v>
      </c>
      <c r="H233" s="209"/>
      <c r="I233" s="209"/>
      <c r="J233" s="209">
        <v>13500</v>
      </c>
      <c r="K233" s="209">
        <v>13500</v>
      </c>
      <c r="L233" s="209"/>
      <c r="M233" s="209"/>
      <c r="N233" s="209">
        <f t="shared" si="3"/>
        <v>0</v>
      </c>
      <c r="O233" s="183" t="s">
        <v>2662</v>
      </c>
      <c r="P233" s="183" t="s">
        <v>2767</v>
      </c>
      <c r="Q233" s="3">
        <v>13500</v>
      </c>
      <c r="R233">
        <v>13500</v>
      </c>
    </row>
    <row r="234" spans="1:21">
      <c r="A234" s="209" t="s">
        <v>454</v>
      </c>
      <c r="B234" s="209">
        <v>384</v>
      </c>
      <c r="C234" s="205" t="s">
        <v>1307</v>
      </c>
      <c r="D234" s="183">
        <v>4</v>
      </c>
      <c r="E234" s="183" t="s">
        <v>2055</v>
      </c>
      <c r="F234" s="183" t="s">
        <v>1869</v>
      </c>
      <c r="G234" s="209">
        <v>13500</v>
      </c>
      <c r="H234" s="209"/>
      <c r="I234" s="209"/>
      <c r="J234" s="209">
        <v>13500</v>
      </c>
      <c r="K234" s="209">
        <v>13500</v>
      </c>
      <c r="L234" s="209"/>
      <c r="M234" s="209"/>
      <c r="N234" s="209">
        <f t="shared" si="3"/>
        <v>0</v>
      </c>
      <c r="O234" s="183" t="s">
        <v>818</v>
      </c>
      <c r="P234" s="183" t="s">
        <v>487</v>
      </c>
      <c r="Q234" s="3">
        <v>13500</v>
      </c>
      <c r="R234">
        <v>13500</v>
      </c>
    </row>
    <row r="235" spans="1:21">
      <c r="A235" s="209" t="s">
        <v>454</v>
      </c>
      <c r="B235" s="209">
        <v>385</v>
      </c>
      <c r="C235" s="205" t="s">
        <v>1307</v>
      </c>
      <c r="D235" s="183">
        <v>5</v>
      </c>
      <c r="E235" s="183" t="s">
        <v>2056</v>
      </c>
      <c r="F235" s="183" t="s">
        <v>1871</v>
      </c>
      <c r="G235" s="209">
        <v>13500</v>
      </c>
      <c r="H235" s="209"/>
      <c r="I235" s="209"/>
      <c r="J235" s="209">
        <v>13500</v>
      </c>
      <c r="K235" s="209">
        <v>13500</v>
      </c>
      <c r="L235" s="209"/>
      <c r="M235" s="209"/>
      <c r="N235" s="209">
        <f t="shared" si="3"/>
        <v>0</v>
      </c>
      <c r="O235" s="183" t="s">
        <v>490</v>
      </c>
      <c r="P235" s="183" t="s">
        <v>491</v>
      </c>
      <c r="Q235" s="3">
        <v>13500</v>
      </c>
      <c r="R235">
        <v>13500</v>
      </c>
    </row>
    <row r="236" spans="1:21">
      <c r="A236" s="209" t="s">
        <v>454</v>
      </c>
      <c r="B236" s="209">
        <v>386</v>
      </c>
      <c r="C236" s="205" t="s">
        <v>1307</v>
      </c>
      <c r="D236" s="183">
        <v>6</v>
      </c>
      <c r="E236" s="183" t="s">
        <v>2057</v>
      </c>
      <c r="F236" s="183" t="s">
        <v>1873</v>
      </c>
      <c r="G236" s="209">
        <v>13500</v>
      </c>
      <c r="H236" s="209"/>
      <c r="I236" s="209"/>
      <c r="J236" s="209">
        <v>13500</v>
      </c>
      <c r="K236" s="209">
        <v>13500</v>
      </c>
      <c r="L236" s="209"/>
      <c r="M236" s="209"/>
      <c r="N236" s="209">
        <f t="shared" si="3"/>
        <v>0</v>
      </c>
      <c r="O236" s="183" t="s">
        <v>1461</v>
      </c>
      <c r="P236" s="183" t="s">
        <v>492</v>
      </c>
      <c r="Q236" s="3">
        <v>13500</v>
      </c>
      <c r="R236">
        <v>13500</v>
      </c>
    </row>
    <row r="237" spans="1:21">
      <c r="A237" s="209" t="s">
        <v>454</v>
      </c>
      <c r="B237" s="209">
        <v>387</v>
      </c>
      <c r="C237" s="205" t="s">
        <v>1307</v>
      </c>
      <c r="D237" s="183">
        <v>7</v>
      </c>
      <c r="E237" s="183" t="s">
        <v>2058</v>
      </c>
      <c r="F237" s="183" t="s">
        <v>2049</v>
      </c>
      <c r="G237" s="209">
        <v>13500</v>
      </c>
      <c r="H237" s="209"/>
      <c r="I237" s="209"/>
      <c r="J237" s="209">
        <v>13500</v>
      </c>
      <c r="K237" s="209">
        <v>13500</v>
      </c>
      <c r="L237" s="209"/>
      <c r="M237" s="209"/>
      <c r="N237" s="209">
        <f t="shared" si="3"/>
        <v>0</v>
      </c>
      <c r="O237" s="183" t="s">
        <v>505</v>
      </c>
      <c r="P237" s="183" t="s">
        <v>505</v>
      </c>
      <c r="Q237" s="3">
        <v>13500</v>
      </c>
      <c r="R237">
        <v>13500</v>
      </c>
    </row>
    <row r="238" spans="1:21">
      <c r="A238" s="209" t="s">
        <v>454</v>
      </c>
      <c r="B238" s="209">
        <v>388</v>
      </c>
      <c r="C238" s="205" t="s">
        <v>1307</v>
      </c>
      <c r="D238" s="183">
        <v>8</v>
      </c>
      <c r="E238" s="183" t="s">
        <v>2059</v>
      </c>
      <c r="F238" s="183" t="s">
        <v>2051</v>
      </c>
      <c r="G238" s="209">
        <v>13500</v>
      </c>
      <c r="H238" s="209"/>
      <c r="I238" s="209"/>
      <c r="J238" s="209">
        <v>13500</v>
      </c>
      <c r="K238" s="209">
        <v>13500</v>
      </c>
      <c r="L238" s="209"/>
      <c r="M238" s="209"/>
      <c r="N238" s="209">
        <f t="shared" si="3"/>
        <v>0</v>
      </c>
      <c r="O238" s="183" t="s">
        <v>506</v>
      </c>
      <c r="P238" s="183" t="s">
        <v>507</v>
      </c>
      <c r="Q238" s="3">
        <v>13500</v>
      </c>
      <c r="R238">
        <v>13500</v>
      </c>
    </row>
    <row r="239" spans="1:21" s="95" customFormat="1">
      <c r="A239" s="182" t="s">
        <v>455</v>
      </c>
      <c r="B239" s="182"/>
      <c r="C239" s="210" t="s">
        <v>2060</v>
      </c>
      <c r="D239" s="226">
        <v>1</v>
      </c>
      <c r="E239" s="210" t="s">
        <v>1283</v>
      </c>
      <c r="F239" s="210" t="s">
        <v>455</v>
      </c>
      <c r="G239" s="179"/>
      <c r="H239" s="179"/>
      <c r="I239" s="179"/>
      <c r="J239" s="179"/>
      <c r="K239" s="179"/>
      <c r="L239" s="179"/>
      <c r="M239" s="179"/>
      <c r="N239" s="179">
        <f t="shared" si="3"/>
        <v>0</v>
      </c>
      <c r="O239" s="210" t="s">
        <v>455</v>
      </c>
      <c r="P239" s="210" t="s">
        <v>455</v>
      </c>
      <c r="Q239" s="182">
        <v>14175</v>
      </c>
      <c r="R239" s="182">
        <v>14145</v>
      </c>
      <c r="S239" s="182"/>
      <c r="T239" s="179">
        <v>30</v>
      </c>
      <c r="U239" s="210" t="s">
        <v>245</v>
      </c>
    </row>
    <row r="240" spans="1:21" s="770" customFormat="1">
      <c r="A240" s="209" t="s">
        <v>455</v>
      </c>
      <c r="B240" s="209"/>
      <c r="C240" s="205" t="s">
        <v>1230</v>
      </c>
      <c r="D240" s="226">
        <v>6</v>
      </c>
      <c r="E240" s="199" t="s">
        <v>1283</v>
      </c>
      <c r="F240" s="199" t="s">
        <v>455</v>
      </c>
      <c r="G240" s="165"/>
      <c r="H240" s="165"/>
      <c r="I240" s="165"/>
      <c r="J240" s="165"/>
      <c r="K240" s="165"/>
      <c r="L240" s="165"/>
      <c r="M240" s="165"/>
      <c r="N240" s="165">
        <f t="shared" si="3"/>
        <v>0</v>
      </c>
      <c r="O240" s="199" t="s">
        <v>455</v>
      </c>
      <c r="P240" s="199" t="s">
        <v>455</v>
      </c>
      <c r="Q240" s="165">
        <v>11970</v>
      </c>
      <c r="R240" s="209">
        <v>11940</v>
      </c>
      <c r="S240" s="209"/>
      <c r="T240" s="165">
        <v>30</v>
      </c>
    </row>
    <row r="241" spans="1:20">
      <c r="A241" s="209" t="s">
        <v>441</v>
      </c>
      <c r="B241" s="209">
        <v>389</v>
      </c>
      <c r="C241" s="205" t="s">
        <v>1699</v>
      </c>
      <c r="D241" s="226">
        <v>4</v>
      </c>
      <c r="E241" s="183" t="s">
        <v>2061</v>
      </c>
      <c r="F241" s="183" t="s">
        <v>2755</v>
      </c>
      <c r="G241" s="165">
        <v>13500</v>
      </c>
      <c r="H241" s="165"/>
      <c r="I241" s="165"/>
      <c r="J241" s="165">
        <v>13500</v>
      </c>
      <c r="K241" s="165">
        <v>13500</v>
      </c>
      <c r="L241" s="165"/>
      <c r="M241" s="165"/>
      <c r="N241" s="165">
        <f t="shared" si="3"/>
        <v>0</v>
      </c>
      <c r="O241" s="183" t="s">
        <v>574</v>
      </c>
      <c r="P241" s="183" t="s">
        <v>575</v>
      </c>
      <c r="R241" s="178"/>
      <c r="S241" s="178"/>
      <c r="T241" s="165"/>
    </row>
    <row r="242" spans="1:20">
      <c r="A242" s="209" t="s">
        <v>2746</v>
      </c>
      <c r="B242" s="209">
        <v>390</v>
      </c>
      <c r="C242" s="205" t="s">
        <v>1232</v>
      </c>
      <c r="D242" s="226">
        <v>2</v>
      </c>
      <c r="E242" s="183" t="s">
        <v>2062</v>
      </c>
      <c r="F242" s="183" t="s">
        <v>2063</v>
      </c>
      <c r="G242" s="209">
        <v>16380</v>
      </c>
      <c r="H242" s="209"/>
      <c r="I242" s="209"/>
      <c r="J242" s="209">
        <v>16380</v>
      </c>
      <c r="K242" s="209">
        <v>16380</v>
      </c>
      <c r="L242" s="209"/>
      <c r="M242" s="209"/>
      <c r="N242" s="209">
        <f t="shared" si="3"/>
        <v>0</v>
      </c>
      <c r="O242" s="183" t="s">
        <v>2760</v>
      </c>
      <c r="P242" s="183" t="s">
        <v>2755</v>
      </c>
    </row>
    <row r="243" spans="1:20">
      <c r="A243" s="209" t="s">
        <v>457</v>
      </c>
      <c r="B243" s="209"/>
      <c r="C243" s="205" t="s">
        <v>2421</v>
      </c>
      <c r="D243" s="226">
        <v>3</v>
      </c>
      <c r="E243" s="183" t="s">
        <v>1283</v>
      </c>
      <c r="F243" s="183" t="s">
        <v>457</v>
      </c>
      <c r="G243" s="165"/>
      <c r="H243" s="165"/>
      <c r="I243" s="165"/>
      <c r="J243" s="165"/>
      <c r="K243" s="165"/>
      <c r="L243" s="165"/>
      <c r="M243" s="165"/>
      <c r="N243" s="165">
        <f t="shared" si="3"/>
        <v>0</v>
      </c>
      <c r="O243" s="183" t="s">
        <v>457</v>
      </c>
      <c r="P243" s="183" t="s">
        <v>457</v>
      </c>
      <c r="Q243" s="178">
        <v>14175</v>
      </c>
      <c r="R243" s="178">
        <v>14165</v>
      </c>
      <c r="S243" s="178"/>
      <c r="T243" s="3">
        <v>10</v>
      </c>
    </row>
    <row r="244" spans="1:20">
      <c r="A244" s="209" t="s">
        <v>2760</v>
      </c>
      <c r="B244" s="209">
        <v>391</v>
      </c>
      <c r="C244" s="205" t="s">
        <v>8</v>
      </c>
      <c r="D244" s="183">
        <v>1</v>
      </c>
      <c r="E244" s="183" t="s">
        <v>2064</v>
      </c>
      <c r="F244" s="183" t="s">
        <v>2065</v>
      </c>
      <c r="G244" s="209">
        <v>14175</v>
      </c>
      <c r="H244" s="209"/>
      <c r="I244" s="209"/>
      <c r="J244" s="209">
        <v>14175</v>
      </c>
      <c r="K244" s="209">
        <v>14175</v>
      </c>
      <c r="L244" s="209"/>
      <c r="M244" s="209"/>
      <c r="N244" s="209">
        <f t="shared" si="3"/>
        <v>0</v>
      </c>
      <c r="O244" s="183" t="s">
        <v>415</v>
      </c>
      <c r="P244" s="183" t="s">
        <v>2563</v>
      </c>
    </row>
    <row r="245" spans="1:20">
      <c r="A245" s="209" t="s">
        <v>2760</v>
      </c>
      <c r="B245" s="209">
        <v>392</v>
      </c>
      <c r="C245" s="205" t="s">
        <v>8</v>
      </c>
      <c r="D245" s="183">
        <v>2</v>
      </c>
      <c r="E245" s="183" t="s">
        <v>2066</v>
      </c>
      <c r="F245" s="183" t="s">
        <v>2067</v>
      </c>
      <c r="G245" s="209">
        <v>14175</v>
      </c>
      <c r="H245" s="209"/>
      <c r="I245" s="209"/>
      <c r="J245" s="209">
        <v>14175</v>
      </c>
      <c r="K245" s="209">
        <v>14175</v>
      </c>
      <c r="L245" s="209"/>
      <c r="M245" s="209"/>
      <c r="N245" s="209">
        <f t="shared" si="3"/>
        <v>0</v>
      </c>
      <c r="O245" s="183" t="s">
        <v>415</v>
      </c>
      <c r="P245" s="183" t="s">
        <v>2563</v>
      </c>
    </row>
    <row r="246" spans="1:20">
      <c r="A246" s="209" t="s">
        <v>2760</v>
      </c>
      <c r="B246" s="209">
        <v>393</v>
      </c>
      <c r="C246" s="205" t="s">
        <v>8</v>
      </c>
      <c r="D246" s="183">
        <v>3</v>
      </c>
      <c r="E246" s="183" t="s">
        <v>2068</v>
      </c>
      <c r="F246" s="183" t="s">
        <v>2069</v>
      </c>
      <c r="G246" s="209">
        <v>14175</v>
      </c>
      <c r="H246" s="209"/>
      <c r="I246" s="209"/>
      <c r="J246" s="209">
        <v>14175</v>
      </c>
      <c r="K246" s="209">
        <v>14175</v>
      </c>
      <c r="L246" s="209"/>
      <c r="M246" s="209"/>
      <c r="N246" s="209">
        <f t="shared" si="3"/>
        <v>0</v>
      </c>
      <c r="O246" s="183" t="s">
        <v>2768</v>
      </c>
      <c r="P246" s="183" t="s">
        <v>815</v>
      </c>
      <c r="Q246" s="3">
        <v>14175</v>
      </c>
      <c r="R246">
        <v>14175</v>
      </c>
    </row>
    <row r="247" spans="1:20">
      <c r="A247" s="209" t="s">
        <v>2760</v>
      </c>
      <c r="B247" s="209">
        <v>394</v>
      </c>
      <c r="C247" s="205" t="s">
        <v>8</v>
      </c>
      <c r="D247" s="183">
        <v>4</v>
      </c>
      <c r="E247" s="183" t="s">
        <v>2070</v>
      </c>
      <c r="F247" s="183" t="s">
        <v>2071</v>
      </c>
      <c r="G247" s="209">
        <v>14175</v>
      </c>
      <c r="H247" s="209"/>
      <c r="I247" s="209"/>
      <c r="J247" s="209">
        <v>14175</v>
      </c>
      <c r="K247" s="209">
        <v>14175</v>
      </c>
      <c r="L247" s="209"/>
      <c r="M247" s="209"/>
      <c r="N247" s="209">
        <f t="shared" si="3"/>
        <v>0</v>
      </c>
      <c r="O247" s="183" t="s">
        <v>488</v>
      </c>
      <c r="P247" s="183" t="s">
        <v>489</v>
      </c>
      <c r="Q247" s="3">
        <v>14175</v>
      </c>
      <c r="R247">
        <v>14175</v>
      </c>
    </row>
    <row r="248" spans="1:20">
      <c r="A248" s="209" t="s">
        <v>2760</v>
      </c>
      <c r="B248" s="209">
        <v>395</v>
      </c>
      <c r="C248" s="205" t="s">
        <v>8</v>
      </c>
      <c r="D248" s="183">
        <v>5</v>
      </c>
      <c r="E248" s="183" t="s">
        <v>2072</v>
      </c>
      <c r="F248" s="183" t="s">
        <v>2073</v>
      </c>
      <c r="G248" s="209">
        <v>14175</v>
      </c>
      <c r="H248" s="209"/>
      <c r="I248" s="209"/>
      <c r="J248" s="209">
        <v>14175</v>
      </c>
      <c r="K248" s="209">
        <v>14175</v>
      </c>
      <c r="L248" s="209"/>
      <c r="M248" s="209"/>
      <c r="N248" s="209">
        <f t="shared" si="3"/>
        <v>0</v>
      </c>
      <c r="O248" s="183" t="s">
        <v>493</v>
      </c>
      <c r="P248" s="183" t="s">
        <v>911</v>
      </c>
      <c r="Q248" s="3">
        <v>14175</v>
      </c>
      <c r="R248">
        <v>14175</v>
      </c>
    </row>
    <row r="249" spans="1:20">
      <c r="A249" s="209" t="s">
        <v>2760</v>
      </c>
      <c r="B249" s="209">
        <v>396</v>
      </c>
      <c r="C249" s="205" t="s">
        <v>8</v>
      </c>
      <c r="D249" s="183">
        <v>6</v>
      </c>
      <c r="E249" s="183" t="s">
        <v>2074</v>
      </c>
      <c r="F249" s="183" t="s">
        <v>2075</v>
      </c>
      <c r="G249" s="209">
        <v>14175</v>
      </c>
      <c r="H249" s="209"/>
      <c r="I249" s="209"/>
      <c r="J249" s="209">
        <v>14175</v>
      </c>
      <c r="K249" s="209">
        <v>14175</v>
      </c>
      <c r="L249" s="209"/>
      <c r="M249" s="209"/>
      <c r="N249" s="209">
        <f t="shared" si="3"/>
        <v>0</v>
      </c>
      <c r="O249" s="183" t="s">
        <v>458</v>
      </c>
      <c r="P249" s="183" t="s">
        <v>2035</v>
      </c>
      <c r="Q249" s="3">
        <v>14175</v>
      </c>
      <c r="R249">
        <v>14175</v>
      </c>
    </row>
    <row r="250" spans="1:20">
      <c r="A250" s="209" t="s">
        <v>2760</v>
      </c>
      <c r="B250" s="209">
        <v>397</v>
      </c>
      <c r="C250" s="205" t="s">
        <v>8</v>
      </c>
      <c r="D250" s="183">
        <v>7</v>
      </c>
      <c r="E250" s="183" t="s">
        <v>2076</v>
      </c>
      <c r="F250" s="183" t="s">
        <v>2077</v>
      </c>
      <c r="G250" s="209">
        <v>14175</v>
      </c>
      <c r="H250" s="209"/>
      <c r="I250" s="209"/>
      <c r="J250" s="209">
        <v>14175</v>
      </c>
      <c r="K250" s="209">
        <v>14175</v>
      </c>
      <c r="L250" s="209"/>
      <c r="M250" s="209"/>
      <c r="N250" s="209">
        <f t="shared" si="3"/>
        <v>0</v>
      </c>
      <c r="O250" s="183" t="s">
        <v>496</v>
      </c>
      <c r="P250" s="183" t="s">
        <v>497</v>
      </c>
      <c r="Q250" s="3">
        <v>14175</v>
      </c>
      <c r="R250">
        <v>14175</v>
      </c>
    </row>
    <row r="251" spans="1:20">
      <c r="A251" s="209" t="s">
        <v>2760</v>
      </c>
      <c r="B251" s="209">
        <v>398</v>
      </c>
      <c r="C251" s="205" t="s">
        <v>8</v>
      </c>
      <c r="D251" s="183">
        <v>8</v>
      </c>
      <c r="E251" s="183" t="s">
        <v>2078</v>
      </c>
      <c r="F251" s="183" t="s">
        <v>2079</v>
      </c>
      <c r="G251" s="209">
        <v>14175</v>
      </c>
      <c r="H251" s="209"/>
      <c r="I251" s="209"/>
      <c r="J251" s="209">
        <v>14175</v>
      </c>
      <c r="K251" s="209">
        <v>14175</v>
      </c>
      <c r="L251" s="209"/>
      <c r="M251" s="209"/>
      <c r="N251" s="209">
        <f t="shared" si="3"/>
        <v>0</v>
      </c>
      <c r="O251" s="183" t="s">
        <v>609</v>
      </c>
      <c r="P251" s="183" t="s">
        <v>2079</v>
      </c>
      <c r="Q251" s="3">
        <v>14175</v>
      </c>
      <c r="R251">
        <v>14175</v>
      </c>
    </row>
    <row r="252" spans="1:20">
      <c r="A252" s="209" t="s">
        <v>2080</v>
      </c>
      <c r="B252" s="209"/>
      <c r="C252" s="205" t="s">
        <v>1532</v>
      </c>
      <c r="D252" s="226">
        <v>4</v>
      </c>
      <c r="E252" s="183" t="s">
        <v>1283</v>
      </c>
      <c r="F252" s="183" t="s">
        <v>2080</v>
      </c>
      <c r="G252" s="165"/>
      <c r="H252" s="165"/>
      <c r="I252" s="165"/>
      <c r="J252" s="165"/>
      <c r="K252" s="165"/>
      <c r="L252" s="165"/>
      <c r="M252" s="165"/>
      <c r="N252" s="165">
        <f t="shared" si="3"/>
        <v>0</v>
      </c>
      <c r="O252" s="183" t="s">
        <v>2080</v>
      </c>
      <c r="P252" s="183" t="s">
        <v>2080</v>
      </c>
      <c r="Q252" s="178">
        <v>13500</v>
      </c>
      <c r="R252" s="178">
        <v>13485</v>
      </c>
      <c r="S252" s="178"/>
      <c r="T252" s="3">
        <v>15</v>
      </c>
    </row>
    <row r="253" spans="1:20">
      <c r="A253" s="209" t="s">
        <v>2081</v>
      </c>
      <c r="B253" s="209"/>
      <c r="C253" s="205" t="s">
        <v>3825</v>
      </c>
      <c r="D253" s="226">
        <v>3</v>
      </c>
      <c r="E253" s="183" t="s">
        <v>1283</v>
      </c>
      <c r="F253" s="183" t="s">
        <v>2081</v>
      </c>
      <c r="G253" s="165"/>
      <c r="H253" s="165"/>
      <c r="I253" s="165"/>
      <c r="J253" s="165"/>
      <c r="K253" s="165"/>
      <c r="L253" s="165"/>
      <c r="M253" s="165"/>
      <c r="N253" s="165">
        <f t="shared" si="3"/>
        <v>0</v>
      </c>
      <c r="O253" s="183" t="s">
        <v>2081</v>
      </c>
      <c r="P253" s="183" t="s">
        <v>2081</v>
      </c>
      <c r="Q253" s="178">
        <v>14175</v>
      </c>
      <c r="R253" s="178">
        <v>14145</v>
      </c>
      <c r="S253" s="178"/>
      <c r="T253" s="3">
        <v>30</v>
      </c>
    </row>
    <row r="254" spans="1:20">
      <c r="A254" s="209" t="s">
        <v>2082</v>
      </c>
      <c r="B254" s="209">
        <v>399</v>
      </c>
      <c r="C254" s="205" t="s">
        <v>1270</v>
      </c>
      <c r="D254" s="183">
        <v>5</v>
      </c>
      <c r="E254" s="183" t="s">
        <v>2083</v>
      </c>
      <c r="F254" s="183" t="s">
        <v>2652</v>
      </c>
      <c r="G254" s="209">
        <v>20475</v>
      </c>
      <c r="H254" s="209"/>
      <c r="I254" s="209"/>
      <c r="J254" s="209">
        <v>20475</v>
      </c>
      <c r="K254" s="209">
        <v>20475</v>
      </c>
      <c r="L254" s="209"/>
      <c r="M254" s="209"/>
      <c r="N254" s="209">
        <f t="shared" si="3"/>
        <v>0</v>
      </c>
      <c r="O254" s="183" t="s">
        <v>415</v>
      </c>
      <c r="P254" s="183" t="s">
        <v>2563</v>
      </c>
    </row>
    <row r="255" spans="1:20">
      <c r="A255" s="209" t="s">
        <v>2082</v>
      </c>
      <c r="B255" s="209">
        <v>400</v>
      </c>
      <c r="C255" s="205" t="s">
        <v>1270</v>
      </c>
      <c r="D255" s="183">
        <v>6</v>
      </c>
      <c r="E255" s="183" t="s">
        <v>2084</v>
      </c>
      <c r="F255" s="183" t="s">
        <v>819</v>
      </c>
      <c r="G255" s="209">
        <v>20475</v>
      </c>
      <c r="H255" s="209"/>
      <c r="I255" s="209"/>
      <c r="J255" s="209">
        <v>20475</v>
      </c>
      <c r="K255" s="209">
        <v>20475</v>
      </c>
      <c r="L255" s="209"/>
      <c r="M255" s="209"/>
      <c r="N255" s="209">
        <f t="shared" si="3"/>
        <v>0</v>
      </c>
      <c r="O255" s="183" t="s">
        <v>2768</v>
      </c>
      <c r="P255" s="183" t="s">
        <v>815</v>
      </c>
      <c r="Q255" s="3">
        <v>20475</v>
      </c>
      <c r="R255">
        <v>20475</v>
      </c>
    </row>
    <row r="256" spans="1:20">
      <c r="A256" s="209" t="s">
        <v>2082</v>
      </c>
      <c r="B256" s="209">
        <v>401</v>
      </c>
      <c r="C256" s="205" t="s">
        <v>1270</v>
      </c>
      <c r="D256" s="183">
        <v>7</v>
      </c>
      <c r="E256" s="183" t="s">
        <v>2085</v>
      </c>
      <c r="F256" s="183" t="s">
        <v>820</v>
      </c>
      <c r="G256" s="209">
        <v>20475</v>
      </c>
      <c r="H256" s="209"/>
      <c r="I256" s="209"/>
      <c r="J256" s="209">
        <v>20475</v>
      </c>
      <c r="K256" s="209">
        <v>20475</v>
      </c>
      <c r="L256" s="209"/>
      <c r="M256" s="209"/>
      <c r="N256" s="209">
        <f t="shared" si="3"/>
        <v>0</v>
      </c>
      <c r="O256" s="183" t="s">
        <v>488</v>
      </c>
      <c r="P256" s="183" t="s">
        <v>489</v>
      </c>
      <c r="Q256" s="3">
        <v>20475</v>
      </c>
      <c r="R256">
        <v>20475</v>
      </c>
    </row>
    <row r="257" spans="1:21">
      <c r="A257" s="209" t="s">
        <v>2082</v>
      </c>
      <c r="B257" s="209">
        <v>402</v>
      </c>
      <c r="C257" s="205" t="s">
        <v>1270</v>
      </c>
      <c r="D257" s="183">
        <v>8</v>
      </c>
      <c r="E257" s="183" t="s">
        <v>2086</v>
      </c>
      <c r="F257" s="183" t="s">
        <v>821</v>
      </c>
      <c r="G257" s="209">
        <v>20475</v>
      </c>
      <c r="H257" s="209"/>
      <c r="I257" s="209"/>
      <c r="J257" s="209">
        <v>20475</v>
      </c>
      <c r="K257" s="209">
        <v>20475</v>
      </c>
      <c r="L257" s="209"/>
      <c r="M257" s="209"/>
      <c r="N257" s="209">
        <f t="shared" si="3"/>
        <v>0</v>
      </c>
      <c r="O257" s="183" t="s">
        <v>493</v>
      </c>
      <c r="P257" s="183" t="s">
        <v>911</v>
      </c>
      <c r="Q257" s="3">
        <v>20475</v>
      </c>
      <c r="R257">
        <v>20475</v>
      </c>
    </row>
    <row r="258" spans="1:21">
      <c r="A258" s="209" t="s">
        <v>2087</v>
      </c>
      <c r="B258" s="209"/>
      <c r="C258" s="205" t="s">
        <v>2421</v>
      </c>
      <c r="D258" s="226">
        <v>4</v>
      </c>
      <c r="E258" s="183" t="s">
        <v>1283</v>
      </c>
      <c r="F258" s="183" t="s">
        <v>2088</v>
      </c>
      <c r="G258" s="165"/>
      <c r="H258" s="165"/>
      <c r="I258" s="165"/>
      <c r="J258" s="165"/>
      <c r="K258" s="165"/>
      <c r="L258" s="165"/>
      <c r="M258" s="165"/>
      <c r="N258" s="165">
        <f t="shared" si="3"/>
        <v>0</v>
      </c>
      <c r="O258" s="183" t="s">
        <v>2087</v>
      </c>
      <c r="P258" s="206" t="s">
        <v>2087</v>
      </c>
      <c r="Q258" s="178">
        <v>14175</v>
      </c>
      <c r="R258" s="178">
        <v>14165</v>
      </c>
      <c r="S258" s="178"/>
      <c r="T258" s="3">
        <v>10</v>
      </c>
    </row>
    <row r="259" spans="1:21">
      <c r="A259" s="209" t="s">
        <v>1961</v>
      </c>
      <c r="B259" s="209">
        <v>403</v>
      </c>
      <c r="C259" s="205" t="s">
        <v>1699</v>
      </c>
      <c r="D259" s="226">
        <v>5</v>
      </c>
      <c r="E259" s="183" t="s">
        <v>2089</v>
      </c>
      <c r="F259" s="183" t="s">
        <v>2012</v>
      </c>
      <c r="G259" s="209">
        <v>13500</v>
      </c>
      <c r="H259" s="209"/>
      <c r="I259" s="209"/>
      <c r="J259" s="209">
        <v>13500</v>
      </c>
      <c r="K259" s="209">
        <v>13500</v>
      </c>
      <c r="L259" s="209"/>
      <c r="M259" s="209"/>
      <c r="N259" s="209">
        <f t="shared" si="3"/>
        <v>0</v>
      </c>
      <c r="O259" s="183" t="s">
        <v>2662</v>
      </c>
      <c r="P259" s="183" t="s">
        <v>2767</v>
      </c>
      <c r="Q259" s="3">
        <v>13500</v>
      </c>
      <c r="R259">
        <v>13500</v>
      </c>
    </row>
    <row r="260" spans="1:21">
      <c r="A260" s="209" t="s">
        <v>1961</v>
      </c>
      <c r="B260" s="209">
        <v>404</v>
      </c>
      <c r="C260" s="205" t="s">
        <v>1302</v>
      </c>
      <c r="D260" s="183">
        <v>1</v>
      </c>
      <c r="E260" s="183" t="s">
        <v>2090</v>
      </c>
      <c r="F260" s="183" t="s">
        <v>822</v>
      </c>
      <c r="G260" s="209">
        <v>11970</v>
      </c>
      <c r="H260" s="209"/>
      <c r="I260" s="209"/>
      <c r="J260" s="209">
        <v>11970</v>
      </c>
      <c r="K260" s="209">
        <v>11970</v>
      </c>
      <c r="L260" s="209"/>
      <c r="M260" s="209"/>
      <c r="N260" s="209">
        <f t="shared" si="3"/>
        <v>0</v>
      </c>
      <c r="O260" s="183" t="s">
        <v>2662</v>
      </c>
      <c r="P260" s="183" t="s">
        <v>2767</v>
      </c>
      <c r="Q260" s="3">
        <v>11970</v>
      </c>
      <c r="R260">
        <v>11970</v>
      </c>
    </row>
    <row r="261" spans="1:21">
      <c r="A261" s="209" t="s">
        <v>1961</v>
      </c>
      <c r="B261" s="209">
        <v>405</v>
      </c>
      <c r="C261" s="205" t="s">
        <v>1302</v>
      </c>
      <c r="D261" s="183">
        <v>2</v>
      </c>
      <c r="E261" s="183" t="s">
        <v>2091</v>
      </c>
      <c r="F261" s="183" t="s">
        <v>823</v>
      </c>
      <c r="G261" s="209">
        <v>11970</v>
      </c>
      <c r="H261" s="209"/>
      <c r="I261" s="209"/>
      <c r="J261" s="209">
        <v>11970</v>
      </c>
      <c r="K261" s="209">
        <v>11970</v>
      </c>
      <c r="L261" s="209"/>
      <c r="M261" s="209"/>
      <c r="N261" s="209">
        <f t="shared" si="3"/>
        <v>0</v>
      </c>
      <c r="O261" s="183" t="s">
        <v>494</v>
      </c>
      <c r="P261" s="183" t="s">
        <v>908</v>
      </c>
      <c r="Q261" s="3">
        <v>11970</v>
      </c>
      <c r="R261">
        <v>11970</v>
      </c>
    </row>
    <row r="262" spans="1:21">
      <c r="A262" s="209" t="s">
        <v>1961</v>
      </c>
      <c r="B262" s="209">
        <v>406</v>
      </c>
      <c r="C262" s="205" t="s">
        <v>1302</v>
      </c>
      <c r="D262" s="183">
        <v>3</v>
      </c>
      <c r="E262" s="183" t="s">
        <v>2092</v>
      </c>
      <c r="F262" s="183" t="s">
        <v>824</v>
      </c>
      <c r="G262" s="209">
        <v>11970</v>
      </c>
      <c r="H262" s="209"/>
      <c r="I262" s="209"/>
      <c r="J262" s="209">
        <v>11970</v>
      </c>
      <c r="K262" s="209">
        <v>11970</v>
      </c>
      <c r="L262" s="209"/>
      <c r="M262" s="209"/>
      <c r="N262" s="209">
        <f t="shared" si="3"/>
        <v>0</v>
      </c>
      <c r="O262" s="183" t="s">
        <v>495</v>
      </c>
      <c r="P262" s="183" t="s">
        <v>1472</v>
      </c>
      <c r="Q262" s="3">
        <v>11970</v>
      </c>
      <c r="R262">
        <v>11970</v>
      </c>
    </row>
    <row r="263" spans="1:21">
      <c r="A263" s="209" t="s">
        <v>1961</v>
      </c>
      <c r="B263" s="209">
        <v>407</v>
      </c>
      <c r="C263" s="205" t="s">
        <v>1302</v>
      </c>
      <c r="D263" s="183">
        <v>4</v>
      </c>
      <c r="E263" s="183" t="s">
        <v>2093</v>
      </c>
      <c r="F263" s="183" t="s">
        <v>2094</v>
      </c>
      <c r="G263" s="209">
        <v>11970</v>
      </c>
      <c r="H263" s="209"/>
      <c r="I263" s="209"/>
      <c r="J263" s="209">
        <v>11970</v>
      </c>
      <c r="K263" s="209">
        <v>11970</v>
      </c>
      <c r="L263" s="209"/>
      <c r="M263" s="209"/>
      <c r="N263" s="209">
        <f t="shared" si="3"/>
        <v>0</v>
      </c>
      <c r="O263" s="183" t="s">
        <v>1461</v>
      </c>
      <c r="P263" s="183" t="s">
        <v>492</v>
      </c>
      <c r="Q263" s="3">
        <v>11970</v>
      </c>
      <c r="R263">
        <v>11970</v>
      </c>
    </row>
    <row r="264" spans="1:21">
      <c r="A264" s="209" t="s">
        <v>1961</v>
      </c>
      <c r="B264" s="209">
        <v>408</v>
      </c>
      <c r="C264" s="205" t="s">
        <v>1302</v>
      </c>
      <c r="D264" s="183">
        <v>5</v>
      </c>
      <c r="E264" s="183" t="s">
        <v>2095</v>
      </c>
      <c r="F264" s="183" t="s">
        <v>825</v>
      </c>
      <c r="G264" s="209">
        <v>11970</v>
      </c>
      <c r="H264" s="209"/>
      <c r="I264" s="209"/>
      <c r="J264" s="209">
        <v>11970</v>
      </c>
      <c r="K264" s="209">
        <v>11970</v>
      </c>
      <c r="L264" s="209"/>
      <c r="M264" s="209"/>
      <c r="N264" s="209">
        <f t="shared" si="3"/>
        <v>0</v>
      </c>
      <c r="O264" s="183" t="s">
        <v>504</v>
      </c>
      <c r="P264" s="183" t="s">
        <v>505</v>
      </c>
      <c r="Q264" s="3">
        <v>11970</v>
      </c>
      <c r="R264">
        <v>11970</v>
      </c>
    </row>
    <row r="265" spans="1:21">
      <c r="A265" s="209" t="s">
        <v>1961</v>
      </c>
      <c r="B265" s="209">
        <v>409</v>
      </c>
      <c r="C265" s="205" t="s">
        <v>1302</v>
      </c>
      <c r="D265" s="183">
        <v>6</v>
      </c>
      <c r="E265" s="183" t="s">
        <v>2096</v>
      </c>
      <c r="F265" s="183" t="s">
        <v>826</v>
      </c>
      <c r="G265" s="209">
        <v>11970</v>
      </c>
      <c r="H265" s="209"/>
      <c r="I265" s="209"/>
      <c r="J265" s="209">
        <v>11970</v>
      </c>
      <c r="K265" s="209">
        <v>11970</v>
      </c>
      <c r="L265" s="209"/>
      <c r="M265" s="209"/>
      <c r="N265" s="209">
        <f t="shared" si="3"/>
        <v>0</v>
      </c>
      <c r="O265" s="183" t="s">
        <v>610</v>
      </c>
      <c r="P265" s="183" t="s">
        <v>611</v>
      </c>
      <c r="Q265" s="3">
        <v>11970</v>
      </c>
      <c r="R265">
        <v>11970</v>
      </c>
    </row>
    <row r="266" spans="1:21">
      <c r="A266" s="209" t="s">
        <v>1961</v>
      </c>
      <c r="B266" s="209">
        <v>410</v>
      </c>
      <c r="C266" s="205" t="s">
        <v>1302</v>
      </c>
      <c r="D266" s="183">
        <v>7</v>
      </c>
      <c r="E266" s="183" t="s">
        <v>2097</v>
      </c>
      <c r="F266" s="183" t="s">
        <v>827</v>
      </c>
      <c r="G266" s="209">
        <v>11970</v>
      </c>
      <c r="H266" s="209"/>
      <c r="I266" s="209"/>
      <c r="J266" s="209">
        <v>11970</v>
      </c>
      <c r="K266" s="209">
        <v>11970</v>
      </c>
      <c r="L266" s="209"/>
      <c r="M266" s="209"/>
      <c r="N266" s="209">
        <f t="shared" si="3"/>
        <v>0</v>
      </c>
      <c r="O266" s="183" t="s">
        <v>612</v>
      </c>
      <c r="P266" s="183" t="s">
        <v>2201</v>
      </c>
      <c r="Q266" s="3">
        <v>11970</v>
      </c>
      <c r="R266">
        <v>11970</v>
      </c>
    </row>
    <row r="267" spans="1:21">
      <c r="A267" s="209" t="s">
        <v>1961</v>
      </c>
      <c r="B267" s="209">
        <v>411</v>
      </c>
      <c r="C267" s="205" t="s">
        <v>1302</v>
      </c>
      <c r="D267" s="183">
        <v>8</v>
      </c>
      <c r="E267" s="183" t="s">
        <v>2098</v>
      </c>
      <c r="F267" s="183" t="s">
        <v>2099</v>
      </c>
      <c r="G267" s="209">
        <v>11970</v>
      </c>
      <c r="H267" s="209"/>
      <c r="I267" s="209"/>
      <c r="J267" s="209">
        <v>11970</v>
      </c>
      <c r="K267" s="209">
        <v>11970</v>
      </c>
      <c r="L267" s="209"/>
      <c r="M267" s="209"/>
      <c r="N267" s="209">
        <f t="shared" si="3"/>
        <v>0</v>
      </c>
      <c r="O267" s="183" t="s">
        <v>613</v>
      </c>
      <c r="P267" s="183" t="s">
        <v>614</v>
      </c>
      <c r="Q267" s="3">
        <v>11970</v>
      </c>
      <c r="R267">
        <v>11970</v>
      </c>
    </row>
    <row r="268" spans="1:21">
      <c r="A268" s="209" t="s">
        <v>2100</v>
      </c>
      <c r="B268" s="209"/>
      <c r="C268" s="205" t="s">
        <v>3825</v>
      </c>
      <c r="D268" s="226">
        <v>4</v>
      </c>
      <c r="E268" s="183" t="s">
        <v>1283</v>
      </c>
      <c r="F268" s="183" t="s">
        <v>2100</v>
      </c>
      <c r="G268" s="165"/>
      <c r="H268" s="165"/>
      <c r="I268" s="165"/>
      <c r="J268" s="209"/>
      <c r="K268" s="209"/>
      <c r="L268" s="209"/>
      <c r="M268" s="209"/>
      <c r="N268" s="209">
        <f t="shared" si="3"/>
        <v>0</v>
      </c>
      <c r="O268" s="183" t="s">
        <v>2100</v>
      </c>
      <c r="P268" s="183"/>
      <c r="Q268" s="178">
        <v>14175</v>
      </c>
      <c r="R268" s="178">
        <v>14145</v>
      </c>
      <c r="S268" s="178"/>
      <c r="T268" s="3">
        <v>30</v>
      </c>
    </row>
    <row r="269" spans="1:21" s="114" customFormat="1">
      <c r="A269" s="214" t="s">
        <v>2100</v>
      </c>
      <c r="B269" s="214">
        <v>412</v>
      </c>
      <c r="C269" s="213" t="s">
        <v>606</v>
      </c>
      <c r="D269" s="213">
        <v>1</v>
      </c>
      <c r="E269" s="213" t="s">
        <v>2101</v>
      </c>
      <c r="F269" s="213" t="s">
        <v>1961</v>
      </c>
      <c r="G269" s="214">
        <v>13500</v>
      </c>
      <c r="H269" s="214"/>
      <c r="I269" s="214"/>
      <c r="J269" s="214">
        <v>13500</v>
      </c>
      <c r="K269" s="214">
        <v>13500</v>
      </c>
      <c r="L269" s="214"/>
      <c r="M269" s="214"/>
      <c r="N269" s="214">
        <f t="shared" si="3"/>
        <v>0</v>
      </c>
      <c r="O269" s="213" t="s">
        <v>2670</v>
      </c>
      <c r="P269" s="213" t="s">
        <v>486</v>
      </c>
      <c r="Q269" s="211">
        <v>13500</v>
      </c>
      <c r="R269" s="114">
        <v>13500</v>
      </c>
      <c r="T269" s="211"/>
      <c r="U269" s="114" t="s">
        <v>254</v>
      </c>
    </row>
    <row r="270" spans="1:21">
      <c r="A270" s="209" t="s">
        <v>2100</v>
      </c>
      <c r="B270" s="209">
        <v>413</v>
      </c>
      <c r="C270" s="205" t="s">
        <v>606</v>
      </c>
      <c r="D270" s="183">
        <v>2</v>
      </c>
      <c r="E270" s="183" t="s">
        <v>2102</v>
      </c>
      <c r="F270" s="183" t="s">
        <v>1963</v>
      </c>
      <c r="G270" s="209">
        <v>13500</v>
      </c>
      <c r="H270" s="209"/>
      <c r="I270" s="209"/>
      <c r="J270" s="209">
        <v>13500</v>
      </c>
      <c r="K270" s="209">
        <v>13500</v>
      </c>
      <c r="L270" s="209"/>
      <c r="M270" s="209"/>
      <c r="N270" s="209">
        <f t="shared" si="3"/>
        <v>0</v>
      </c>
      <c r="O270" s="183" t="s">
        <v>818</v>
      </c>
      <c r="P270" s="183" t="s">
        <v>487</v>
      </c>
      <c r="Q270" s="3">
        <v>13500</v>
      </c>
      <c r="R270">
        <v>13500</v>
      </c>
    </row>
    <row r="271" spans="1:21">
      <c r="A271" s="209" t="s">
        <v>2100</v>
      </c>
      <c r="B271" s="209">
        <v>414</v>
      </c>
      <c r="C271" s="205" t="s">
        <v>606</v>
      </c>
      <c r="D271" s="183">
        <v>3</v>
      </c>
      <c r="E271" s="183" t="s">
        <v>2103</v>
      </c>
      <c r="F271" s="183" t="s">
        <v>1965</v>
      </c>
      <c r="G271" s="209">
        <v>13500</v>
      </c>
      <c r="H271" s="209"/>
      <c r="I271" s="209"/>
      <c r="J271" s="209">
        <v>13500</v>
      </c>
      <c r="K271" s="209">
        <v>13500</v>
      </c>
      <c r="L271" s="209"/>
      <c r="M271" s="209"/>
      <c r="N271" s="209">
        <f t="shared" ref="N271:N279" si="4">G271-J271</f>
        <v>0</v>
      </c>
      <c r="O271" s="183" t="s">
        <v>488</v>
      </c>
      <c r="P271" s="183" t="s">
        <v>489</v>
      </c>
      <c r="Q271" s="3">
        <v>13500</v>
      </c>
      <c r="R271">
        <v>13500</v>
      </c>
    </row>
    <row r="272" spans="1:21">
      <c r="A272" s="209" t="s">
        <v>2100</v>
      </c>
      <c r="B272" s="209">
        <v>415</v>
      </c>
      <c r="C272" s="205" t="s">
        <v>606</v>
      </c>
      <c r="D272" s="183">
        <v>4</v>
      </c>
      <c r="E272" s="183" t="s">
        <v>2104</v>
      </c>
      <c r="F272" s="183" t="s">
        <v>1967</v>
      </c>
      <c r="G272" s="209">
        <v>13500</v>
      </c>
      <c r="H272" s="209"/>
      <c r="I272" s="209"/>
      <c r="J272" s="209">
        <v>13500</v>
      </c>
      <c r="K272" s="209">
        <v>13500</v>
      </c>
      <c r="L272" s="209"/>
      <c r="M272" s="209"/>
      <c r="N272" s="209">
        <f t="shared" si="4"/>
        <v>0</v>
      </c>
      <c r="O272" s="183" t="s">
        <v>493</v>
      </c>
      <c r="P272" s="183" t="s">
        <v>911</v>
      </c>
      <c r="Q272" s="3">
        <v>13500</v>
      </c>
      <c r="R272">
        <v>13500</v>
      </c>
    </row>
    <row r="273" spans="1:21">
      <c r="A273" s="209" t="s">
        <v>2100</v>
      </c>
      <c r="B273" s="209">
        <v>416</v>
      </c>
      <c r="C273" s="205" t="s">
        <v>606</v>
      </c>
      <c r="D273" s="183">
        <v>5</v>
      </c>
      <c r="E273" s="183" t="s">
        <v>2105</v>
      </c>
      <c r="F273" s="183" t="s">
        <v>1969</v>
      </c>
      <c r="G273" s="209">
        <v>13500</v>
      </c>
      <c r="H273" s="209"/>
      <c r="I273" s="209"/>
      <c r="J273" s="209">
        <v>13500</v>
      </c>
      <c r="K273" s="209">
        <v>13500</v>
      </c>
      <c r="L273" s="209"/>
      <c r="M273" s="209"/>
      <c r="N273" s="209">
        <f t="shared" si="4"/>
        <v>0</v>
      </c>
      <c r="O273" s="183" t="s">
        <v>460</v>
      </c>
      <c r="P273" s="183" t="s">
        <v>1465</v>
      </c>
      <c r="Q273" s="3">
        <v>13500</v>
      </c>
      <c r="R273">
        <v>13500</v>
      </c>
    </row>
    <row r="274" spans="1:21">
      <c r="A274" s="209" t="s">
        <v>2100</v>
      </c>
      <c r="B274" s="209">
        <v>417</v>
      </c>
      <c r="C274" s="205" t="s">
        <v>606</v>
      </c>
      <c r="D274" s="183">
        <v>6</v>
      </c>
      <c r="E274" s="183" t="s">
        <v>2106</v>
      </c>
      <c r="F274" s="183" t="s">
        <v>2107</v>
      </c>
      <c r="G274" s="209">
        <v>13500</v>
      </c>
      <c r="H274" s="209"/>
      <c r="I274" s="209"/>
      <c r="J274" s="209">
        <v>13500</v>
      </c>
      <c r="K274" s="209">
        <v>13500</v>
      </c>
      <c r="L274" s="209"/>
      <c r="M274" s="209"/>
      <c r="N274" s="209">
        <f t="shared" si="4"/>
        <v>0</v>
      </c>
      <c r="O274" s="183" t="s">
        <v>508</v>
      </c>
      <c r="P274" s="183" t="s">
        <v>2107</v>
      </c>
      <c r="Q274" s="3">
        <v>13500</v>
      </c>
      <c r="R274">
        <v>13500</v>
      </c>
    </row>
    <row r="275" spans="1:21">
      <c r="A275" s="209" t="s">
        <v>2100</v>
      </c>
      <c r="B275" s="209">
        <v>418</v>
      </c>
      <c r="C275" s="205" t="s">
        <v>606</v>
      </c>
      <c r="D275" s="183">
        <v>7</v>
      </c>
      <c r="E275" s="183" t="s">
        <v>2108</v>
      </c>
      <c r="F275" s="183" t="s">
        <v>2109</v>
      </c>
      <c r="G275" s="209">
        <v>13500</v>
      </c>
      <c r="H275" s="209"/>
      <c r="I275" s="209"/>
      <c r="J275" s="209">
        <v>13500</v>
      </c>
      <c r="K275" s="209">
        <v>13500</v>
      </c>
      <c r="L275" s="209"/>
      <c r="M275" s="209"/>
      <c r="N275" s="209">
        <f t="shared" si="4"/>
        <v>0</v>
      </c>
      <c r="O275" s="183" t="s">
        <v>615</v>
      </c>
      <c r="P275" s="183" t="s">
        <v>616</v>
      </c>
      <c r="Q275" s="3">
        <v>13500</v>
      </c>
      <c r="R275">
        <v>13500</v>
      </c>
    </row>
    <row r="276" spans="1:21">
      <c r="A276" s="209" t="s">
        <v>2100</v>
      </c>
      <c r="B276" s="209">
        <v>419</v>
      </c>
      <c r="C276" s="205" t="s">
        <v>606</v>
      </c>
      <c r="D276" s="183">
        <v>8</v>
      </c>
      <c r="E276" s="183" t="s">
        <v>2110</v>
      </c>
      <c r="F276" s="183" t="s">
        <v>2111</v>
      </c>
      <c r="G276" s="209">
        <v>13500</v>
      </c>
      <c r="H276" s="209"/>
      <c r="I276" s="209"/>
      <c r="J276" s="209">
        <v>13500</v>
      </c>
      <c r="K276" s="209">
        <v>13500</v>
      </c>
      <c r="L276" s="209"/>
      <c r="M276" s="209"/>
      <c r="N276" s="209">
        <f t="shared" si="4"/>
        <v>0</v>
      </c>
      <c r="O276" s="183" t="s">
        <v>617</v>
      </c>
      <c r="P276" s="183" t="s">
        <v>618</v>
      </c>
      <c r="Q276" s="3">
        <v>13500</v>
      </c>
      <c r="R276">
        <v>13500</v>
      </c>
    </row>
    <row r="277" spans="1:21" s="95" customFormat="1">
      <c r="A277" s="182" t="s">
        <v>2112</v>
      </c>
      <c r="B277" s="182"/>
      <c r="C277" s="210" t="s">
        <v>2060</v>
      </c>
      <c r="D277" s="226">
        <v>2</v>
      </c>
      <c r="E277" s="210" t="s">
        <v>1283</v>
      </c>
      <c r="F277" s="210" t="s">
        <v>2112</v>
      </c>
      <c r="G277" s="179"/>
      <c r="H277" s="179"/>
      <c r="I277" s="179"/>
      <c r="J277" s="179"/>
      <c r="K277" s="179"/>
      <c r="L277" s="179"/>
      <c r="M277" s="179"/>
      <c r="N277" s="179">
        <f t="shared" si="4"/>
        <v>0</v>
      </c>
      <c r="O277" s="210" t="s">
        <v>2112</v>
      </c>
      <c r="P277" s="210" t="s">
        <v>2112</v>
      </c>
      <c r="Q277" s="182">
        <v>14175</v>
      </c>
      <c r="R277" s="182">
        <v>14145</v>
      </c>
      <c r="S277" s="182"/>
      <c r="T277" s="179">
        <v>30</v>
      </c>
      <c r="U277" s="210" t="s">
        <v>245</v>
      </c>
    </row>
    <row r="278" spans="1:21">
      <c r="A278" s="209" t="s">
        <v>2568</v>
      </c>
      <c r="B278" s="209"/>
      <c r="C278" s="205" t="s">
        <v>1532</v>
      </c>
      <c r="D278" s="226">
        <v>5</v>
      </c>
      <c r="E278" s="183" t="s">
        <v>1283</v>
      </c>
      <c r="F278" s="183" t="s">
        <v>2568</v>
      </c>
      <c r="G278" s="165"/>
      <c r="H278" s="165"/>
      <c r="I278" s="165"/>
      <c r="J278" s="165"/>
      <c r="K278" s="165"/>
      <c r="L278" s="165"/>
      <c r="M278" s="165"/>
      <c r="N278" s="165">
        <f t="shared" si="4"/>
        <v>0</v>
      </c>
      <c r="O278" s="183" t="s">
        <v>2568</v>
      </c>
      <c r="P278" s="183" t="s">
        <v>2568</v>
      </c>
      <c r="Q278" s="178">
        <v>13500</v>
      </c>
      <c r="R278" s="178">
        <v>13485</v>
      </c>
      <c r="S278" s="178"/>
      <c r="T278" s="3">
        <v>15</v>
      </c>
    </row>
    <row r="279" spans="1:21" s="5" customFormat="1">
      <c r="A279" s="249" t="s">
        <v>2113</v>
      </c>
      <c r="B279" s="249">
        <v>420</v>
      </c>
      <c r="C279" s="265" t="s">
        <v>1232</v>
      </c>
      <c r="D279" s="266">
        <v>3</v>
      </c>
      <c r="E279" s="267" t="s">
        <v>2114</v>
      </c>
      <c r="F279" s="267" t="s">
        <v>2115</v>
      </c>
      <c r="G279" s="249">
        <v>16380</v>
      </c>
      <c r="H279" s="249"/>
      <c r="I279" s="249"/>
      <c r="J279" s="249">
        <v>16380</v>
      </c>
      <c r="K279" s="249">
        <v>16380</v>
      </c>
      <c r="L279" s="249"/>
      <c r="M279" s="249"/>
      <c r="N279" s="249">
        <f t="shared" si="4"/>
        <v>0</v>
      </c>
      <c r="O279" s="267" t="s">
        <v>2662</v>
      </c>
      <c r="P279" s="267" t="s">
        <v>2767</v>
      </c>
      <c r="Q279" s="93">
        <v>16380</v>
      </c>
      <c r="R279" s="5">
        <v>16380</v>
      </c>
      <c r="T279" s="93"/>
    </row>
    <row r="280" spans="1:21" s="5" customFormat="1">
      <c r="A280" s="249"/>
      <c r="B280" s="249"/>
      <c r="C280" s="265"/>
      <c r="D280" s="266"/>
      <c r="E280" s="267"/>
      <c r="F280" s="267"/>
      <c r="G280" s="249"/>
      <c r="H280" s="249"/>
      <c r="I280" s="249"/>
      <c r="J280" s="249"/>
      <c r="K280" s="249"/>
      <c r="L280" s="249"/>
      <c r="M280" s="249"/>
      <c r="N280" s="249"/>
      <c r="O280" s="267"/>
      <c r="P280" s="267"/>
      <c r="Q280" s="93"/>
      <c r="T280" s="93"/>
    </row>
    <row r="281" spans="1:21" s="176" customFormat="1" ht="20.25" customHeight="1">
      <c r="A281" s="203" t="s">
        <v>2118</v>
      </c>
      <c r="B281" s="200"/>
      <c r="C281" s="201"/>
      <c r="D281" s="202"/>
      <c r="E281" s="201"/>
      <c r="F281" s="185" t="s">
        <v>2378</v>
      </c>
      <c r="G281" s="185">
        <f>SUM(G283:G509)</f>
        <v>2736915</v>
      </c>
      <c r="H281" s="185"/>
      <c r="I281" s="185"/>
      <c r="J281" s="185">
        <f>SUM(J283:J509)</f>
        <v>550043</v>
      </c>
      <c r="K281" s="185">
        <f>SUM(K283:K509)</f>
        <v>2144347</v>
      </c>
      <c r="L281" s="185"/>
      <c r="M281" s="185"/>
      <c r="N281" s="185">
        <f>SUM(N283:N509)</f>
        <v>42525</v>
      </c>
      <c r="O281" s="185"/>
      <c r="P281" s="185"/>
      <c r="Q281" s="185">
        <f>SUM(Q283:Q509)</f>
        <v>2904989</v>
      </c>
      <c r="R281" s="185">
        <f>SUM(R283:R509)</f>
        <v>2904715</v>
      </c>
      <c r="S281" s="185"/>
      <c r="T281" s="185">
        <f>SUM(T283:T509)</f>
        <v>275</v>
      </c>
    </row>
    <row r="282" spans="1:21" s="270" customFormat="1">
      <c r="A282" s="269" t="s">
        <v>1281</v>
      </c>
      <c r="B282" s="269" t="s">
        <v>2435</v>
      </c>
      <c r="C282" s="269" t="s">
        <v>1385</v>
      </c>
      <c r="D282" s="269" t="s">
        <v>1275</v>
      </c>
      <c r="E282" s="269" t="s">
        <v>265</v>
      </c>
      <c r="F282" s="269" t="s">
        <v>1280</v>
      </c>
      <c r="G282" s="269" t="s">
        <v>2434</v>
      </c>
      <c r="H282" s="269"/>
      <c r="I282" s="269"/>
      <c r="J282" s="269" t="s">
        <v>878</v>
      </c>
      <c r="K282" s="269" t="s">
        <v>879</v>
      </c>
      <c r="L282" s="269"/>
      <c r="M282" s="269"/>
      <c r="N282" s="269" t="s">
        <v>2438</v>
      </c>
      <c r="O282" s="269" t="s">
        <v>1282</v>
      </c>
      <c r="P282" s="269" t="s">
        <v>1386</v>
      </c>
      <c r="Q282" s="269" t="s">
        <v>576</v>
      </c>
      <c r="R282" s="269" t="s">
        <v>3593</v>
      </c>
      <c r="S282" s="269"/>
      <c r="T282" s="269" t="s">
        <v>577</v>
      </c>
    </row>
    <row r="283" spans="1:21" s="5" customFormat="1">
      <c r="A283" s="249" t="s">
        <v>509</v>
      </c>
      <c r="B283" s="249"/>
      <c r="C283" s="265" t="s">
        <v>2421</v>
      </c>
      <c r="D283" s="266">
        <v>5</v>
      </c>
      <c r="E283" s="267" t="s">
        <v>1283</v>
      </c>
      <c r="F283" s="249" t="s">
        <v>509</v>
      </c>
      <c r="G283" s="94"/>
      <c r="H283" s="94"/>
      <c r="I283" s="94"/>
      <c r="J283" s="94"/>
      <c r="K283" s="94"/>
      <c r="L283" s="94"/>
      <c r="M283" s="94"/>
      <c r="N283" s="94">
        <f>G283-J283-K283</f>
        <v>0</v>
      </c>
      <c r="O283" s="249" t="s">
        <v>509</v>
      </c>
      <c r="P283" s="249" t="s">
        <v>509</v>
      </c>
      <c r="Q283" s="268">
        <v>14175</v>
      </c>
      <c r="R283" s="268">
        <v>14165</v>
      </c>
      <c r="S283" s="268"/>
      <c r="T283" s="93">
        <v>10</v>
      </c>
    </row>
    <row r="284" spans="1:21" s="95" customFormat="1">
      <c r="A284" s="182" t="s">
        <v>819</v>
      </c>
      <c r="B284" s="182"/>
      <c r="C284" s="210" t="s">
        <v>2060</v>
      </c>
      <c r="D284" s="226">
        <v>3</v>
      </c>
      <c r="E284" s="210" t="s">
        <v>1283</v>
      </c>
      <c r="F284" s="182" t="s">
        <v>819</v>
      </c>
      <c r="G284" s="179"/>
      <c r="H284" s="179"/>
      <c r="I284" s="179"/>
      <c r="J284" s="179"/>
      <c r="K284" s="179"/>
      <c r="L284" s="179"/>
      <c r="M284" s="179"/>
      <c r="N284" s="179">
        <f t="shared" ref="N284:N347" si="5">G284-J284-K284</f>
        <v>0</v>
      </c>
      <c r="O284" s="182" t="s">
        <v>819</v>
      </c>
      <c r="P284" s="182" t="s">
        <v>819</v>
      </c>
      <c r="Q284" s="182">
        <v>14175</v>
      </c>
      <c r="R284" s="182">
        <v>14145</v>
      </c>
      <c r="S284" s="182"/>
      <c r="T284" s="179">
        <v>30</v>
      </c>
      <c r="U284" s="210" t="s">
        <v>245</v>
      </c>
    </row>
    <row r="285" spans="1:21">
      <c r="A285" s="178" t="s">
        <v>814</v>
      </c>
      <c r="B285" s="183">
        <v>421</v>
      </c>
      <c r="C285" s="178" t="s">
        <v>1232</v>
      </c>
      <c r="D285" s="178">
        <v>4</v>
      </c>
      <c r="E285" s="178" t="s">
        <v>510</v>
      </c>
      <c r="F285" s="178" t="s">
        <v>1963</v>
      </c>
      <c r="G285" s="178">
        <v>16380</v>
      </c>
      <c r="H285" s="178"/>
      <c r="I285" s="178"/>
      <c r="J285" s="165"/>
      <c r="K285" s="165">
        <v>16380</v>
      </c>
      <c r="L285" s="165"/>
      <c r="M285" s="165"/>
      <c r="N285" s="165">
        <f t="shared" si="5"/>
        <v>0</v>
      </c>
      <c r="O285" s="165" t="s">
        <v>818</v>
      </c>
      <c r="P285" s="165" t="s">
        <v>487</v>
      </c>
      <c r="Q285" s="3">
        <v>16380</v>
      </c>
      <c r="R285">
        <v>16380</v>
      </c>
    </row>
    <row r="286" spans="1:21">
      <c r="A286" s="178" t="s">
        <v>814</v>
      </c>
      <c r="B286" s="183">
        <v>422</v>
      </c>
      <c r="C286" s="178" t="s">
        <v>1699</v>
      </c>
      <c r="D286" s="178">
        <v>6</v>
      </c>
      <c r="E286" s="178" t="s">
        <v>511</v>
      </c>
      <c r="F286" s="178" t="s">
        <v>2775</v>
      </c>
      <c r="G286" s="178">
        <v>13500</v>
      </c>
      <c r="H286" s="178"/>
      <c r="I286" s="178"/>
      <c r="J286" s="165"/>
      <c r="K286" s="165">
        <v>13500</v>
      </c>
      <c r="L286" s="165"/>
      <c r="M286" s="165"/>
      <c r="N286" s="165">
        <f t="shared" si="5"/>
        <v>0</v>
      </c>
      <c r="O286" s="165" t="s">
        <v>818</v>
      </c>
      <c r="P286" s="165" t="s">
        <v>487</v>
      </c>
      <c r="Q286" s="3">
        <v>13500</v>
      </c>
      <c r="R286">
        <v>13500</v>
      </c>
    </row>
    <row r="287" spans="1:21">
      <c r="A287" s="165" t="s">
        <v>1456</v>
      </c>
      <c r="B287" s="183">
        <v>423</v>
      </c>
      <c r="C287" s="165" t="s">
        <v>1249</v>
      </c>
      <c r="D287" s="165">
        <v>1</v>
      </c>
      <c r="E287" s="165" t="s">
        <v>512</v>
      </c>
      <c r="F287" s="165" t="s">
        <v>513</v>
      </c>
      <c r="G287" s="165">
        <v>3780</v>
      </c>
      <c r="H287" s="165"/>
      <c r="I287" s="165"/>
      <c r="J287" s="165"/>
      <c r="K287" s="165">
        <v>3780</v>
      </c>
      <c r="L287" s="165"/>
      <c r="M287" s="165"/>
      <c r="N287" s="165">
        <f t="shared" si="5"/>
        <v>0</v>
      </c>
      <c r="O287" s="165" t="s">
        <v>818</v>
      </c>
      <c r="P287" s="165" t="s">
        <v>487</v>
      </c>
      <c r="Q287" s="3">
        <v>3780</v>
      </c>
      <c r="R287">
        <v>3780</v>
      </c>
    </row>
    <row r="288" spans="1:21">
      <c r="A288" s="165" t="s">
        <v>1456</v>
      </c>
      <c r="B288" s="183">
        <v>424</v>
      </c>
      <c r="C288" s="165" t="s">
        <v>1249</v>
      </c>
      <c r="D288" s="165">
        <v>2</v>
      </c>
      <c r="E288" s="165" t="s">
        <v>85</v>
      </c>
      <c r="F288" s="165" t="s">
        <v>823</v>
      </c>
      <c r="G288" s="165">
        <v>3780</v>
      </c>
      <c r="H288" s="165"/>
      <c r="I288" s="165"/>
      <c r="J288" s="165"/>
      <c r="K288" s="165">
        <v>3780</v>
      </c>
      <c r="L288" s="165"/>
      <c r="M288" s="165"/>
      <c r="N288" s="165">
        <f t="shared" si="5"/>
        <v>0</v>
      </c>
      <c r="O288" s="165" t="s">
        <v>494</v>
      </c>
      <c r="P288" s="165" t="s">
        <v>908</v>
      </c>
      <c r="Q288" s="3">
        <v>3780</v>
      </c>
      <c r="R288">
        <v>3780</v>
      </c>
    </row>
    <row r="289" spans="1:20">
      <c r="A289" s="165" t="s">
        <v>1456</v>
      </c>
      <c r="B289" s="183">
        <v>425</v>
      </c>
      <c r="C289" s="165" t="s">
        <v>1249</v>
      </c>
      <c r="D289" s="165">
        <v>3</v>
      </c>
      <c r="E289" s="165" t="s">
        <v>86</v>
      </c>
      <c r="F289" s="165" t="s">
        <v>820</v>
      </c>
      <c r="G289" s="165">
        <v>3780</v>
      </c>
      <c r="H289" s="165"/>
      <c r="I289" s="165"/>
      <c r="J289" s="165"/>
      <c r="K289" s="165">
        <v>3780</v>
      </c>
      <c r="L289" s="165"/>
      <c r="M289" s="165"/>
      <c r="N289" s="165">
        <f t="shared" si="5"/>
        <v>0</v>
      </c>
      <c r="O289" s="165" t="s">
        <v>488</v>
      </c>
      <c r="P289" s="165" t="s">
        <v>489</v>
      </c>
      <c r="Q289" s="3">
        <v>3780</v>
      </c>
      <c r="R289">
        <v>3780</v>
      </c>
    </row>
    <row r="290" spans="1:20">
      <c r="A290" s="165" t="s">
        <v>1456</v>
      </c>
      <c r="B290" s="183">
        <v>426</v>
      </c>
      <c r="C290" s="165" t="s">
        <v>1249</v>
      </c>
      <c r="D290" s="165">
        <v>4</v>
      </c>
      <c r="E290" s="165" t="s">
        <v>87</v>
      </c>
      <c r="F290" s="165" t="s">
        <v>514</v>
      </c>
      <c r="G290" s="165">
        <v>3780</v>
      </c>
      <c r="H290" s="165"/>
      <c r="I290" s="165"/>
      <c r="J290" s="165"/>
      <c r="K290" s="165">
        <v>3780</v>
      </c>
      <c r="L290" s="165"/>
      <c r="M290" s="165"/>
      <c r="N290" s="165">
        <f t="shared" si="5"/>
        <v>0</v>
      </c>
      <c r="O290" s="165" t="s">
        <v>488</v>
      </c>
      <c r="P290" s="165" t="s">
        <v>489</v>
      </c>
      <c r="Q290" s="3">
        <v>3780</v>
      </c>
      <c r="R290">
        <v>3780</v>
      </c>
    </row>
    <row r="291" spans="1:20">
      <c r="A291" s="165" t="s">
        <v>1456</v>
      </c>
      <c r="B291" s="183">
        <v>427</v>
      </c>
      <c r="C291" s="165" t="s">
        <v>1249</v>
      </c>
      <c r="D291" s="165">
        <v>5</v>
      </c>
      <c r="E291" s="165" t="s">
        <v>88</v>
      </c>
      <c r="F291" s="165" t="s">
        <v>824</v>
      </c>
      <c r="G291" s="165">
        <v>3780</v>
      </c>
      <c r="H291" s="165"/>
      <c r="I291" s="165"/>
      <c r="J291" s="165"/>
      <c r="K291" s="165">
        <v>3780</v>
      </c>
      <c r="L291" s="165"/>
      <c r="M291" s="165"/>
      <c r="N291" s="165">
        <f t="shared" si="5"/>
        <v>0</v>
      </c>
      <c r="O291" s="165" t="s">
        <v>495</v>
      </c>
      <c r="P291" s="165" t="s">
        <v>1472</v>
      </c>
      <c r="Q291" s="3">
        <v>3780</v>
      </c>
      <c r="R291">
        <v>3780</v>
      </c>
    </row>
    <row r="292" spans="1:20">
      <c r="A292" s="165" t="s">
        <v>1456</v>
      </c>
      <c r="B292" s="183">
        <v>428</v>
      </c>
      <c r="C292" s="165" t="s">
        <v>1249</v>
      </c>
      <c r="D292" s="165">
        <v>6</v>
      </c>
      <c r="E292" s="165" t="s">
        <v>89</v>
      </c>
      <c r="F292" s="165" t="s">
        <v>821</v>
      </c>
      <c r="G292" s="165">
        <v>3780</v>
      </c>
      <c r="H292" s="165"/>
      <c r="I292" s="165"/>
      <c r="J292" s="165"/>
      <c r="K292" s="165">
        <v>3780</v>
      </c>
      <c r="L292" s="165"/>
      <c r="M292" s="165"/>
      <c r="N292" s="165">
        <f t="shared" si="5"/>
        <v>0</v>
      </c>
      <c r="O292" s="165" t="s">
        <v>493</v>
      </c>
      <c r="P292" s="165" t="s">
        <v>911</v>
      </c>
      <c r="Q292" s="3">
        <v>3780</v>
      </c>
      <c r="R292">
        <v>3780</v>
      </c>
    </row>
    <row r="293" spans="1:20">
      <c r="A293" s="165" t="s">
        <v>1456</v>
      </c>
      <c r="B293" s="183">
        <v>429</v>
      </c>
      <c r="C293" s="165" t="s">
        <v>1249</v>
      </c>
      <c r="D293" s="165">
        <v>7</v>
      </c>
      <c r="E293" s="165" t="s">
        <v>90</v>
      </c>
      <c r="F293" s="165" t="s">
        <v>515</v>
      </c>
      <c r="G293" s="165">
        <v>3780</v>
      </c>
      <c r="H293" s="165"/>
      <c r="I293" s="165"/>
      <c r="J293" s="165"/>
      <c r="K293" s="165">
        <v>3780</v>
      </c>
      <c r="L293" s="165"/>
      <c r="M293" s="165"/>
      <c r="N293" s="165">
        <f t="shared" si="5"/>
        <v>0</v>
      </c>
      <c r="O293" s="165" t="s">
        <v>493</v>
      </c>
      <c r="P293" s="165" t="s">
        <v>911</v>
      </c>
      <c r="Q293" s="3">
        <v>3780</v>
      </c>
      <c r="R293">
        <v>3780</v>
      </c>
    </row>
    <row r="294" spans="1:20">
      <c r="A294" s="165" t="s">
        <v>1456</v>
      </c>
      <c r="B294" s="183">
        <v>430</v>
      </c>
      <c r="C294" s="165" t="s">
        <v>1249</v>
      </c>
      <c r="D294" s="165">
        <v>8</v>
      </c>
      <c r="E294" s="165" t="s">
        <v>516</v>
      </c>
      <c r="F294" s="165" t="s">
        <v>2094</v>
      </c>
      <c r="G294" s="165">
        <v>3780</v>
      </c>
      <c r="H294" s="165"/>
      <c r="I294" s="165"/>
      <c r="J294" s="165"/>
      <c r="K294" s="165">
        <v>3780</v>
      </c>
      <c r="L294" s="165"/>
      <c r="M294" s="165"/>
      <c r="N294" s="165">
        <f t="shared" si="5"/>
        <v>0</v>
      </c>
      <c r="O294" s="165" t="s">
        <v>1461</v>
      </c>
      <c r="P294" s="165" t="s">
        <v>492</v>
      </c>
      <c r="Q294" s="3">
        <v>3780</v>
      </c>
      <c r="R294">
        <v>3780</v>
      </c>
    </row>
    <row r="295" spans="1:20">
      <c r="A295" s="165" t="s">
        <v>1456</v>
      </c>
      <c r="B295" s="183">
        <v>431</v>
      </c>
      <c r="C295" s="165" t="s">
        <v>1249</v>
      </c>
      <c r="D295" s="165">
        <v>9</v>
      </c>
      <c r="E295" s="165" t="s">
        <v>517</v>
      </c>
      <c r="F295" s="165" t="s">
        <v>518</v>
      </c>
      <c r="G295" s="165">
        <v>3780</v>
      </c>
      <c r="H295" s="165"/>
      <c r="I295" s="165"/>
      <c r="J295" s="165"/>
      <c r="K295" s="165">
        <v>3780</v>
      </c>
      <c r="L295" s="165"/>
      <c r="M295" s="165"/>
      <c r="N295" s="165">
        <f t="shared" si="5"/>
        <v>0</v>
      </c>
      <c r="O295" s="165" t="s">
        <v>458</v>
      </c>
      <c r="P295" s="165" t="s">
        <v>2035</v>
      </c>
      <c r="Q295" s="3">
        <v>3780</v>
      </c>
      <c r="R295">
        <v>3780</v>
      </c>
    </row>
    <row r="296" spans="1:20">
      <c r="A296" s="165" t="s">
        <v>1456</v>
      </c>
      <c r="B296" s="183">
        <v>432</v>
      </c>
      <c r="C296" s="165" t="s">
        <v>1249</v>
      </c>
      <c r="D296" s="165">
        <v>10</v>
      </c>
      <c r="E296" s="165" t="s">
        <v>519</v>
      </c>
      <c r="F296" s="165" t="s">
        <v>460</v>
      </c>
      <c r="G296" s="165">
        <v>3780</v>
      </c>
      <c r="H296" s="165"/>
      <c r="I296" s="165"/>
      <c r="J296" s="165"/>
      <c r="K296" s="165">
        <v>3780</v>
      </c>
      <c r="L296" s="165"/>
      <c r="M296" s="165"/>
      <c r="N296" s="165">
        <f t="shared" si="5"/>
        <v>0</v>
      </c>
      <c r="O296" s="165" t="s">
        <v>460</v>
      </c>
      <c r="P296" s="165" t="s">
        <v>1465</v>
      </c>
      <c r="Q296" s="3">
        <v>3780</v>
      </c>
      <c r="R296">
        <v>3780</v>
      </c>
    </row>
    <row r="297" spans="1:20">
      <c r="A297" s="165" t="s">
        <v>1456</v>
      </c>
      <c r="B297" s="183">
        <v>433</v>
      </c>
      <c r="C297" s="165" t="s">
        <v>1249</v>
      </c>
      <c r="D297" s="165">
        <v>11</v>
      </c>
      <c r="E297" s="165" t="s">
        <v>520</v>
      </c>
      <c r="F297" s="165" t="s">
        <v>825</v>
      </c>
      <c r="G297" s="165">
        <v>3780</v>
      </c>
      <c r="H297" s="165"/>
      <c r="I297" s="165"/>
      <c r="J297" s="165"/>
      <c r="K297" s="165">
        <v>3780</v>
      </c>
      <c r="L297" s="165"/>
      <c r="M297" s="165"/>
      <c r="N297" s="165">
        <f t="shared" si="5"/>
        <v>0</v>
      </c>
      <c r="O297" s="165" t="s">
        <v>505</v>
      </c>
      <c r="P297" s="165" t="s">
        <v>505</v>
      </c>
      <c r="Q297" s="3">
        <v>3780</v>
      </c>
      <c r="R297">
        <v>3780</v>
      </c>
    </row>
    <row r="298" spans="1:20">
      <c r="A298" s="165" t="s">
        <v>1456</v>
      </c>
      <c r="B298" s="183">
        <v>434</v>
      </c>
      <c r="C298" s="165" t="s">
        <v>1249</v>
      </c>
      <c r="D298" s="165">
        <v>12</v>
      </c>
      <c r="E298" s="165" t="s">
        <v>521</v>
      </c>
      <c r="F298" s="165" t="s">
        <v>522</v>
      </c>
      <c r="G298" s="165">
        <v>3780</v>
      </c>
      <c r="H298" s="165"/>
      <c r="I298" s="165"/>
      <c r="J298" s="165"/>
      <c r="K298" s="165">
        <v>3780</v>
      </c>
      <c r="L298" s="165"/>
      <c r="M298" s="165"/>
      <c r="N298" s="165">
        <f t="shared" si="5"/>
        <v>0</v>
      </c>
      <c r="O298" s="165" t="s">
        <v>496</v>
      </c>
      <c r="P298" s="165" t="s">
        <v>497</v>
      </c>
      <c r="Q298" s="3">
        <v>3780</v>
      </c>
      <c r="R298">
        <v>3780</v>
      </c>
    </row>
    <row r="299" spans="1:20">
      <c r="A299" s="209" t="s">
        <v>523</v>
      </c>
      <c r="B299" s="209"/>
      <c r="C299" s="205" t="s">
        <v>3825</v>
      </c>
      <c r="D299" s="226">
        <v>5</v>
      </c>
      <c r="E299" s="183" t="s">
        <v>1283</v>
      </c>
      <c r="F299" s="209" t="s">
        <v>523</v>
      </c>
      <c r="G299" s="165"/>
      <c r="H299" s="165"/>
      <c r="I299" s="165"/>
      <c r="J299" s="209"/>
      <c r="K299" s="209"/>
      <c r="L299" s="209"/>
      <c r="M299" s="209"/>
      <c r="N299" s="209">
        <f t="shared" si="5"/>
        <v>0</v>
      </c>
      <c r="O299" s="209" t="s">
        <v>523</v>
      </c>
      <c r="P299" s="209" t="s">
        <v>523</v>
      </c>
      <c r="Q299" s="178">
        <v>14175</v>
      </c>
      <c r="R299" s="178">
        <v>14145</v>
      </c>
      <c r="S299" s="178"/>
      <c r="T299" s="3">
        <v>30</v>
      </c>
    </row>
    <row r="300" spans="1:20">
      <c r="A300" s="165" t="s">
        <v>815</v>
      </c>
      <c r="B300" s="165">
        <v>435</v>
      </c>
      <c r="C300" s="165" t="s">
        <v>264</v>
      </c>
      <c r="D300" s="165">
        <v>1</v>
      </c>
      <c r="E300" s="165" t="s">
        <v>524</v>
      </c>
      <c r="F300" s="165" t="s">
        <v>525</v>
      </c>
      <c r="G300" s="165">
        <v>11340</v>
      </c>
      <c r="H300" s="165"/>
      <c r="I300" s="165"/>
      <c r="J300" s="165"/>
      <c r="K300" s="165">
        <v>11340</v>
      </c>
      <c r="L300" s="165"/>
      <c r="M300" s="165"/>
      <c r="N300" s="165">
        <f t="shared" si="5"/>
        <v>0</v>
      </c>
      <c r="O300" s="165" t="s">
        <v>493</v>
      </c>
      <c r="P300" s="165" t="s">
        <v>911</v>
      </c>
      <c r="Q300" s="3">
        <v>11340</v>
      </c>
      <c r="R300">
        <v>11340</v>
      </c>
    </row>
    <row r="301" spans="1:20">
      <c r="A301" s="165" t="s">
        <v>815</v>
      </c>
      <c r="B301" s="165">
        <v>436</v>
      </c>
      <c r="C301" s="165" t="s">
        <v>264</v>
      </c>
      <c r="D301" s="165">
        <v>2</v>
      </c>
      <c r="E301" s="165" t="s">
        <v>526</v>
      </c>
      <c r="F301" s="165" t="s">
        <v>527</v>
      </c>
      <c r="G301" s="165">
        <v>11340</v>
      </c>
      <c r="H301" s="165"/>
      <c r="I301" s="165"/>
      <c r="J301" s="165"/>
      <c r="K301" s="165">
        <v>11340</v>
      </c>
      <c r="L301" s="165"/>
      <c r="M301" s="165"/>
      <c r="N301" s="165">
        <f t="shared" si="5"/>
        <v>0</v>
      </c>
      <c r="O301" s="165" t="s">
        <v>495</v>
      </c>
      <c r="P301" s="165" t="s">
        <v>1472</v>
      </c>
      <c r="Q301" s="3">
        <v>11340</v>
      </c>
      <c r="R301">
        <v>11340</v>
      </c>
    </row>
    <row r="302" spans="1:20">
      <c r="A302" s="165" t="s">
        <v>815</v>
      </c>
      <c r="B302" s="165">
        <v>437</v>
      </c>
      <c r="C302" s="165" t="s">
        <v>264</v>
      </c>
      <c r="D302" s="165">
        <v>3</v>
      </c>
      <c r="E302" s="165" t="s">
        <v>528</v>
      </c>
      <c r="F302" s="165" t="s">
        <v>529</v>
      </c>
      <c r="G302" s="165">
        <v>11340</v>
      </c>
      <c r="H302" s="165"/>
      <c r="I302" s="165"/>
      <c r="J302" s="165"/>
      <c r="K302" s="165">
        <v>11340</v>
      </c>
      <c r="L302" s="165"/>
      <c r="M302" s="165"/>
      <c r="N302" s="165">
        <f t="shared" si="5"/>
        <v>0</v>
      </c>
      <c r="O302" s="165" t="s">
        <v>1461</v>
      </c>
      <c r="P302" s="165" t="s">
        <v>492</v>
      </c>
      <c r="Q302" s="3">
        <v>11340</v>
      </c>
      <c r="R302">
        <v>11340</v>
      </c>
    </row>
    <row r="303" spans="1:20">
      <c r="A303" s="165" t="s">
        <v>815</v>
      </c>
      <c r="B303" s="165">
        <v>438</v>
      </c>
      <c r="C303" s="165" t="s">
        <v>264</v>
      </c>
      <c r="D303" s="165">
        <v>4</v>
      </c>
      <c r="E303" s="165" t="s">
        <v>530</v>
      </c>
      <c r="F303" s="165" t="s">
        <v>531</v>
      </c>
      <c r="G303" s="165">
        <v>11340</v>
      </c>
      <c r="H303" s="165"/>
      <c r="I303" s="165"/>
      <c r="J303" s="165"/>
      <c r="K303" s="165">
        <v>11340</v>
      </c>
      <c r="L303" s="165"/>
      <c r="M303" s="165"/>
      <c r="N303" s="165">
        <f t="shared" si="5"/>
        <v>0</v>
      </c>
      <c r="O303" s="165" t="s">
        <v>505</v>
      </c>
      <c r="P303" s="165" t="s">
        <v>505</v>
      </c>
      <c r="Q303" s="3">
        <v>11340</v>
      </c>
      <c r="R303">
        <v>11340</v>
      </c>
    </row>
    <row r="304" spans="1:20">
      <c r="A304" s="165" t="s">
        <v>815</v>
      </c>
      <c r="B304" s="165">
        <v>439</v>
      </c>
      <c r="C304" s="165" t="s">
        <v>264</v>
      </c>
      <c r="D304" s="165">
        <v>5</v>
      </c>
      <c r="E304" s="165" t="s">
        <v>532</v>
      </c>
      <c r="F304" s="165" t="s">
        <v>533</v>
      </c>
      <c r="G304" s="165">
        <v>11340</v>
      </c>
      <c r="H304" s="165"/>
      <c r="I304" s="165"/>
      <c r="J304" s="165"/>
      <c r="K304" s="165">
        <v>11340</v>
      </c>
      <c r="L304" s="165"/>
      <c r="M304" s="165"/>
      <c r="N304" s="165">
        <f t="shared" si="5"/>
        <v>0</v>
      </c>
      <c r="O304" s="165" t="s">
        <v>610</v>
      </c>
      <c r="P304" s="165" t="s">
        <v>611</v>
      </c>
      <c r="Q304" s="3">
        <v>11340</v>
      </c>
      <c r="R304">
        <v>11340</v>
      </c>
    </row>
    <row r="305" spans="1:20">
      <c r="A305" s="165" t="s">
        <v>815</v>
      </c>
      <c r="B305" s="165">
        <v>440</v>
      </c>
      <c r="C305" s="165" t="s">
        <v>264</v>
      </c>
      <c r="D305" s="165">
        <v>6</v>
      </c>
      <c r="E305" s="165" t="s">
        <v>534</v>
      </c>
      <c r="F305" s="165" t="s">
        <v>535</v>
      </c>
      <c r="G305" s="165">
        <v>11340</v>
      </c>
      <c r="H305" s="165"/>
      <c r="I305" s="165"/>
      <c r="J305" s="165"/>
      <c r="K305" s="165">
        <v>11340</v>
      </c>
      <c r="L305" s="165"/>
      <c r="M305" s="165"/>
      <c r="N305" s="165">
        <f t="shared" si="5"/>
        <v>0</v>
      </c>
      <c r="O305" s="165" t="s">
        <v>612</v>
      </c>
      <c r="P305" s="165" t="s">
        <v>2201</v>
      </c>
      <c r="Q305" s="3">
        <v>11340</v>
      </c>
      <c r="R305">
        <v>11340</v>
      </c>
    </row>
    <row r="306" spans="1:20">
      <c r="A306" s="165" t="s">
        <v>815</v>
      </c>
      <c r="B306" s="165">
        <v>441</v>
      </c>
      <c r="C306" s="165" t="s">
        <v>264</v>
      </c>
      <c r="D306" s="165">
        <v>7</v>
      </c>
      <c r="E306" s="165" t="s">
        <v>536</v>
      </c>
      <c r="F306" s="165" t="s">
        <v>537</v>
      </c>
      <c r="G306" s="165">
        <v>11340</v>
      </c>
      <c r="H306" s="165"/>
      <c r="I306" s="165"/>
      <c r="J306" s="165"/>
      <c r="K306" s="165">
        <v>11340</v>
      </c>
      <c r="L306" s="165"/>
      <c r="M306" s="165"/>
      <c r="N306" s="165">
        <f t="shared" si="5"/>
        <v>0</v>
      </c>
      <c r="O306" s="165" t="s">
        <v>619</v>
      </c>
      <c r="P306" s="165" t="s">
        <v>620</v>
      </c>
      <c r="Q306" s="3">
        <v>11340</v>
      </c>
      <c r="R306">
        <v>11340</v>
      </c>
    </row>
    <row r="307" spans="1:20">
      <c r="A307" s="165" t="s">
        <v>815</v>
      </c>
      <c r="B307" s="165">
        <v>442</v>
      </c>
      <c r="C307" s="165" t="s">
        <v>264</v>
      </c>
      <c r="D307" s="165">
        <v>8</v>
      </c>
      <c r="E307" s="165" t="s">
        <v>538</v>
      </c>
      <c r="F307" s="165" t="s">
        <v>539</v>
      </c>
      <c r="G307" s="165">
        <v>11340</v>
      </c>
      <c r="H307" s="165"/>
      <c r="I307" s="165"/>
      <c r="J307" s="165">
        <v>11340</v>
      </c>
      <c r="K307" s="165"/>
      <c r="L307" s="165"/>
      <c r="M307" s="165"/>
      <c r="N307" s="165">
        <f t="shared" si="5"/>
        <v>0</v>
      </c>
      <c r="O307" s="165" t="s">
        <v>621</v>
      </c>
      <c r="P307" s="165" t="s">
        <v>622</v>
      </c>
      <c r="Q307" s="3">
        <v>11340</v>
      </c>
      <c r="R307">
        <v>11340</v>
      </c>
    </row>
    <row r="308" spans="1:20">
      <c r="A308" s="209" t="s">
        <v>540</v>
      </c>
      <c r="B308" s="209"/>
      <c r="C308" s="205" t="s">
        <v>1532</v>
      </c>
      <c r="D308" s="226">
        <v>6</v>
      </c>
      <c r="E308" s="183" t="s">
        <v>1283</v>
      </c>
      <c r="F308" s="209" t="s">
        <v>540</v>
      </c>
      <c r="G308" s="165"/>
      <c r="H308" s="165"/>
      <c r="I308" s="165"/>
      <c r="J308" s="165"/>
      <c r="K308" s="165"/>
      <c r="L308" s="165"/>
      <c r="M308" s="165"/>
      <c r="N308" s="165">
        <f t="shared" si="5"/>
        <v>0</v>
      </c>
      <c r="O308" s="209" t="s">
        <v>540</v>
      </c>
      <c r="P308" s="209" t="s">
        <v>540</v>
      </c>
      <c r="Q308" s="178">
        <v>13500</v>
      </c>
      <c r="R308" s="178">
        <v>13485</v>
      </c>
      <c r="S308" s="178"/>
      <c r="T308" s="3">
        <v>15</v>
      </c>
    </row>
    <row r="309" spans="1:20">
      <c r="A309" s="165" t="s">
        <v>540</v>
      </c>
      <c r="B309" s="165">
        <v>443</v>
      </c>
      <c r="C309" s="165" t="s">
        <v>1303</v>
      </c>
      <c r="D309" s="165">
        <v>1</v>
      </c>
      <c r="E309" s="165" t="s">
        <v>541</v>
      </c>
      <c r="F309" s="165" t="s">
        <v>2663</v>
      </c>
      <c r="G309" s="165">
        <v>13230</v>
      </c>
      <c r="H309" s="165"/>
      <c r="I309" s="165"/>
      <c r="J309" s="165"/>
      <c r="K309" s="165">
        <v>13230</v>
      </c>
      <c r="L309" s="165"/>
      <c r="M309" s="165"/>
      <c r="N309" s="165">
        <f t="shared" si="5"/>
        <v>0</v>
      </c>
      <c r="O309" s="165" t="s">
        <v>494</v>
      </c>
      <c r="P309" s="165" t="s">
        <v>908</v>
      </c>
      <c r="Q309" s="3">
        <v>13230</v>
      </c>
      <c r="R309">
        <v>13230</v>
      </c>
    </row>
    <row r="310" spans="1:20">
      <c r="A310" s="165" t="s">
        <v>540</v>
      </c>
      <c r="B310" s="165">
        <v>444</v>
      </c>
      <c r="C310" s="165" t="s">
        <v>1303</v>
      </c>
      <c r="D310" s="165">
        <v>2</v>
      </c>
      <c r="E310" s="165" t="s">
        <v>542</v>
      </c>
      <c r="F310" s="165" t="s">
        <v>543</v>
      </c>
      <c r="G310" s="165">
        <v>13230</v>
      </c>
      <c r="H310" s="165"/>
      <c r="I310" s="165"/>
      <c r="J310" s="165"/>
      <c r="K310" s="165">
        <v>13230</v>
      </c>
      <c r="L310" s="165"/>
      <c r="M310" s="165"/>
      <c r="N310" s="165">
        <f t="shared" si="5"/>
        <v>0</v>
      </c>
      <c r="O310" s="165" t="s">
        <v>495</v>
      </c>
      <c r="P310" s="165" t="s">
        <v>1472</v>
      </c>
      <c r="Q310" s="3">
        <v>13230</v>
      </c>
      <c r="R310">
        <v>13230</v>
      </c>
    </row>
    <row r="311" spans="1:20">
      <c r="A311" s="165" t="s">
        <v>540</v>
      </c>
      <c r="B311" s="165">
        <v>445</v>
      </c>
      <c r="C311" s="165" t="s">
        <v>1303</v>
      </c>
      <c r="D311" s="165">
        <v>3</v>
      </c>
      <c r="E311" s="165" t="s">
        <v>544</v>
      </c>
      <c r="F311" s="165" t="s">
        <v>545</v>
      </c>
      <c r="G311" s="165">
        <v>13230</v>
      </c>
      <c r="H311" s="165"/>
      <c r="I311" s="165"/>
      <c r="J311" s="165"/>
      <c r="K311" s="165">
        <v>13230</v>
      </c>
      <c r="L311" s="165"/>
      <c r="M311" s="165"/>
      <c r="N311" s="165">
        <f t="shared" si="5"/>
        <v>0</v>
      </c>
      <c r="O311" s="165" t="s">
        <v>1461</v>
      </c>
      <c r="P311" s="165" t="s">
        <v>492</v>
      </c>
      <c r="Q311" s="3">
        <v>13230</v>
      </c>
      <c r="R311">
        <v>13230</v>
      </c>
    </row>
    <row r="312" spans="1:20">
      <c r="A312" s="165" t="s">
        <v>540</v>
      </c>
      <c r="B312" s="165">
        <v>446</v>
      </c>
      <c r="C312" s="165" t="s">
        <v>1303</v>
      </c>
      <c r="D312" s="165">
        <v>4</v>
      </c>
      <c r="E312" s="165" t="s">
        <v>546</v>
      </c>
      <c r="F312" s="165" t="s">
        <v>504</v>
      </c>
      <c r="G312" s="165">
        <v>13230</v>
      </c>
      <c r="H312" s="165"/>
      <c r="I312" s="165"/>
      <c r="J312" s="165"/>
      <c r="K312" s="165">
        <v>13230</v>
      </c>
      <c r="L312" s="165"/>
      <c r="M312" s="165"/>
      <c r="N312" s="165">
        <f t="shared" si="5"/>
        <v>0</v>
      </c>
      <c r="O312" s="165" t="s">
        <v>496</v>
      </c>
      <c r="P312" s="165" t="s">
        <v>497</v>
      </c>
      <c r="Q312" s="3">
        <v>13230</v>
      </c>
      <c r="R312">
        <v>13230</v>
      </c>
    </row>
    <row r="313" spans="1:20">
      <c r="A313" s="165" t="s">
        <v>540</v>
      </c>
      <c r="B313" s="165">
        <v>447</v>
      </c>
      <c r="C313" s="165" t="s">
        <v>1303</v>
      </c>
      <c r="D313" s="165">
        <v>5</v>
      </c>
      <c r="E313" s="165" t="s">
        <v>547</v>
      </c>
      <c r="F313" s="165" t="s">
        <v>548</v>
      </c>
      <c r="G313" s="165">
        <v>13230</v>
      </c>
      <c r="H313" s="165"/>
      <c r="I313" s="165"/>
      <c r="J313" s="165"/>
      <c r="K313" s="165">
        <v>13230</v>
      </c>
      <c r="L313" s="165"/>
      <c r="M313" s="165"/>
      <c r="N313" s="165">
        <f t="shared" si="5"/>
        <v>0</v>
      </c>
      <c r="O313" s="165" t="s">
        <v>623</v>
      </c>
      <c r="P313" s="165" t="s">
        <v>624</v>
      </c>
      <c r="Q313" s="3">
        <v>13230</v>
      </c>
      <c r="R313">
        <v>13230</v>
      </c>
    </row>
    <row r="314" spans="1:20">
      <c r="A314" s="165" t="s">
        <v>540</v>
      </c>
      <c r="B314" s="165">
        <v>448</v>
      </c>
      <c r="C314" s="165" t="s">
        <v>1303</v>
      </c>
      <c r="D314" s="165">
        <v>6</v>
      </c>
      <c r="E314" s="165" t="s">
        <v>549</v>
      </c>
      <c r="F314" s="165" t="s">
        <v>550</v>
      </c>
      <c r="G314" s="165">
        <v>13230</v>
      </c>
      <c r="H314" s="165"/>
      <c r="I314" s="165"/>
      <c r="J314" s="165"/>
      <c r="K314" s="165">
        <v>13230</v>
      </c>
      <c r="L314" s="165"/>
      <c r="M314" s="165"/>
      <c r="N314" s="165">
        <f t="shared" si="5"/>
        <v>0</v>
      </c>
      <c r="O314" s="165" t="s">
        <v>612</v>
      </c>
      <c r="P314" s="165" t="s">
        <v>2201</v>
      </c>
      <c r="Q314" s="3">
        <v>13230</v>
      </c>
      <c r="R314">
        <v>13230</v>
      </c>
    </row>
    <row r="315" spans="1:20">
      <c r="A315" s="165" t="s">
        <v>540</v>
      </c>
      <c r="B315" s="165">
        <v>449</v>
      </c>
      <c r="C315" s="165" t="s">
        <v>1303</v>
      </c>
      <c r="D315" s="165">
        <v>7</v>
      </c>
      <c r="E315" s="165" t="s">
        <v>551</v>
      </c>
      <c r="F315" s="165" t="s">
        <v>552</v>
      </c>
      <c r="G315" s="165">
        <v>13230</v>
      </c>
      <c r="H315" s="165"/>
      <c r="I315" s="165"/>
      <c r="J315" s="165"/>
      <c r="K315" s="165">
        <v>13230</v>
      </c>
      <c r="L315" s="165"/>
      <c r="M315" s="165"/>
      <c r="N315" s="165">
        <f t="shared" si="5"/>
        <v>0</v>
      </c>
      <c r="O315" s="165" t="s">
        <v>619</v>
      </c>
      <c r="P315" s="165" t="s">
        <v>620</v>
      </c>
      <c r="Q315" s="3">
        <v>13230</v>
      </c>
      <c r="R315">
        <v>13230</v>
      </c>
    </row>
    <row r="316" spans="1:20">
      <c r="A316" s="165" t="s">
        <v>540</v>
      </c>
      <c r="B316" s="165">
        <v>450</v>
      </c>
      <c r="C316" s="165" t="s">
        <v>1303</v>
      </c>
      <c r="D316" s="165">
        <v>8</v>
      </c>
      <c r="E316" s="165" t="s">
        <v>553</v>
      </c>
      <c r="F316" s="165" t="s">
        <v>554</v>
      </c>
      <c r="G316" s="165">
        <v>13230</v>
      </c>
      <c r="H316" s="165"/>
      <c r="I316" s="165"/>
      <c r="J316" s="165">
        <v>13230</v>
      </c>
      <c r="K316" s="165"/>
      <c r="L316" s="165"/>
      <c r="M316" s="165"/>
      <c r="N316" s="165">
        <f t="shared" si="5"/>
        <v>0</v>
      </c>
      <c r="O316" s="165" t="s">
        <v>625</v>
      </c>
      <c r="P316" s="165" t="s">
        <v>626</v>
      </c>
      <c r="Q316" s="3">
        <v>13230</v>
      </c>
      <c r="R316">
        <v>13230</v>
      </c>
    </row>
    <row r="317" spans="1:20">
      <c r="A317" s="165" t="s">
        <v>816</v>
      </c>
      <c r="B317" s="165">
        <v>451</v>
      </c>
      <c r="C317" s="165" t="s">
        <v>555</v>
      </c>
      <c r="D317" s="165">
        <v>1</v>
      </c>
      <c r="E317" s="165" t="s">
        <v>556</v>
      </c>
      <c r="F317" s="165" t="s">
        <v>2764</v>
      </c>
      <c r="G317" s="165">
        <v>12600</v>
      </c>
      <c r="H317" s="165"/>
      <c r="I317" s="165"/>
      <c r="J317" s="165"/>
      <c r="K317" s="165">
        <v>12600</v>
      </c>
      <c r="L317" s="165"/>
      <c r="M317" s="165"/>
      <c r="N317" s="165">
        <f t="shared" si="5"/>
        <v>0</v>
      </c>
      <c r="O317" s="165" t="s">
        <v>493</v>
      </c>
      <c r="P317" s="165" t="s">
        <v>911</v>
      </c>
      <c r="Q317" s="3">
        <v>12600</v>
      </c>
      <c r="R317">
        <v>12600</v>
      </c>
    </row>
    <row r="318" spans="1:20">
      <c r="A318" s="165" t="s">
        <v>816</v>
      </c>
      <c r="B318" s="165">
        <v>452</v>
      </c>
      <c r="C318" s="165" t="s">
        <v>555</v>
      </c>
      <c r="D318" s="165">
        <v>2</v>
      </c>
      <c r="E318" s="165" t="s">
        <v>557</v>
      </c>
      <c r="F318" s="165" t="s">
        <v>910</v>
      </c>
      <c r="G318" s="165">
        <v>12600</v>
      </c>
      <c r="H318" s="165"/>
      <c r="I318" s="165"/>
      <c r="J318" s="165"/>
      <c r="K318" s="165">
        <v>12600</v>
      </c>
      <c r="L318" s="165"/>
      <c r="M318" s="165"/>
      <c r="N318" s="165">
        <f t="shared" si="5"/>
        <v>0</v>
      </c>
      <c r="O318" s="165" t="s">
        <v>488</v>
      </c>
      <c r="P318" s="165" t="s">
        <v>489</v>
      </c>
      <c r="Q318" s="3">
        <v>12600</v>
      </c>
      <c r="R318">
        <v>12600</v>
      </c>
    </row>
    <row r="319" spans="1:20">
      <c r="A319" s="165" t="s">
        <v>816</v>
      </c>
      <c r="B319" s="165">
        <v>453</v>
      </c>
      <c r="C319" s="165" t="s">
        <v>555</v>
      </c>
      <c r="D319" s="165">
        <v>3</v>
      </c>
      <c r="E319" s="165" t="s">
        <v>558</v>
      </c>
      <c r="F319" s="165" t="s">
        <v>559</v>
      </c>
      <c r="G319" s="165">
        <v>12600</v>
      </c>
      <c r="H319" s="165"/>
      <c r="I319" s="165"/>
      <c r="J319" s="165"/>
      <c r="K319" s="165">
        <v>12600</v>
      </c>
      <c r="L319" s="165"/>
      <c r="M319" s="165"/>
      <c r="N319" s="165">
        <f t="shared" si="5"/>
        <v>0</v>
      </c>
      <c r="O319" s="165" t="s">
        <v>1461</v>
      </c>
      <c r="P319" s="165" t="s">
        <v>492</v>
      </c>
      <c r="Q319" s="3">
        <v>12600</v>
      </c>
      <c r="R319">
        <v>12600</v>
      </c>
    </row>
    <row r="320" spans="1:20">
      <c r="A320" s="165" t="s">
        <v>816</v>
      </c>
      <c r="B320" s="165">
        <v>454</v>
      </c>
      <c r="C320" s="165" t="s">
        <v>555</v>
      </c>
      <c r="D320" s="165">
        <v>4</v>
      </c>
      <c r="E320" s="165" t="s">
        <v>560</v>
      </c>
      <c r="F320" s="165" t="s">
        <v>1467</v>
      </c>
      <c r="G320" s="165">
        <v>12600</v>
      </c>
      <c r="H320" s="165"/>
      <c r="I320" s="165"/>
      <c r="J320" s="165"/>
      <c r="K320" s="165">
        <v>12600</v>
      </c>
      <c r="L320" s="165"/>
      <c r="M320" s="165"/>
      <c r="N320" s="165">
        <f t="shared" si="5"/>
        <v>0</v>
      </c>
      <c r="O320" s="165" t="s">
        <v>500</v>
      </c>
      <c r="P320" s="165" t="s">
        <v>500</v>
      </c>
      <c r="Q320" s="3">
        <v>12600</v>
      </c>
      <c r="R320">
        <v>12600</v>
      </c>
    </row>
    <row r="321" spans="1:18">
      <c r="A321" s="165" t="s">
        <v>816</v>
      </c>
      <c r="B321" s="165">
        <v>455</v>
      </c>
      <c r="C321" s="165" t="s">
        <v>555</v>
      </c>
      <c r="D321" s="165">
        <v>5</v>
      </c>
      <c r="E321" s="165" t="s">
        <v>2158</v>
      </c>
      <c r="F321" s="165" t="s">
        <v>2159</v>
      </c>
      <c r="G321" s="165">
        <v>12600</v>
      </c>
      <c r="H321" s="165"/>
      <c r="I321" s="165"/>
      <c r="J321" s="165"/>
      <c r="K321" s="165">
        <v>12600</v>
      </c>
      <c r="L321" s="165"/>
      <c r="M321" s="165"/>
      <c r="N321" s="165">
        <f t="shared" si="5"/>
        <v>0</v>
      </c>
      <c r="O321" s="165" t="s">
        <v>501</v>
      </c>
      <c r="P321" s="165" t="s">
        <v>2160</v>
      </c>
      <c r="Q321" s="3">
        <v>12600</v>
      </c>
      <c r="R321">
        <v>12600</v>
      </c>
    </row>
    <row r="322" spans="1:18">
      <c r="A322" s="165" t="s">
        <v>816</v>
      </c>
      <c r="B322" s="165">
        <v>456</v>
      </c>
      <c r="C322" s="165" t="s">
        <v>555</v>
      </c>
      <c r="D322" s="165">
        <v>6</v>
      </c>
      <c r="E322" s="165" t="s">
        <v>2161</v>
      </c>
      <c r="F322" s="165" t="s">
        <v>2162</v>
      </c>
      <c r="G322" s="165">
        <v>12600</v>
      </c>
      <c r="H322" s="165"/>
      <c r="I322" s="165"/>
      <c r="J322" s="165"/>
      <c r="K322" s="165">
        <v>12600</v>
      </c>
      <c r="L322" s="165"/>
      <c r="M322" s="165"/>
      <c r="N322" s="165">
        <f t="shared" si="5"/>
        <v>0</v>
      </c>
      <c r="O322" s="165" t="s">
        <v>2162</v>
      </c>
      <c r="P322" s="165" t="s">
        <v>1024</v>
      </c>
      <c r="Q322" s="3">
        <v>12600</v>
      </c>
      <c r="R322">
        <v>12600</v>
      </c>
    </row>
    <row r="323" spans="1:18">
      <c r="A323" s="165" t="s">
        <v>816</v>
      </c>
      <c r="B323" s="165">
        <v>457</v>
      </c>
      <c r="C323" s="165" t="s">
        <v>555</v>
      </c>
      <c r="D323" s="165">
        <v>7</v>
      </c>
      <c r="E323" s="165" t="s">
        <v>2163</v>
      </c>
      <c r="F323" s="165" t="s">
        <v>2164</v>
      </c>
      <c r="G323" s="165">
        <v>12600</v>
      </c>
      <c r="H323" s="165"/>
      <c r="I323" s="165"/>
      <c r="J323" s="165"/>
      <c r="K323" s="165">
        <v>12600</v>
      </c>
      <c r="L323" s="165"/>
      <c r="M323" s="165"/>
      <c r="N323" s="165">
        <f t="shared" si="5"/>
        <v>0</v>
      </c>
      <c r="O323" s="165" t="s">
        <v>2164</v>
      </c>
      <c r="P323" s="165" t="s">
        <v>1025</v>
      </c>
      <c r="Q323" s="3">
        <v>12600</v>
      </c>
      <c r="R323">
        <v>12600</v>
      </c>
    </row>
    <row r="324" spans="1:18">
      <c r="A324" s="165" t="s">
        <v>816</v>
      </c>
      <c r="B324" s="165">
        <v>458</v>
      </c>
      <c r="C324" s="165" t="s">
        <v>555</v>
      </c>
      <c r="D324" s="165">
        <v>8</v>
      </c>
      <c r="E324" s="165" t="s">
        <v>2165</v>
      </c>
      <c r="F324" s="165" t="s">
        <v>2166</v>
      </c>
      <c r="G324" s="165">
        <v>12600</v>
      </c>
      <c r="H324" s="165"/>
      <c r="I324" s="165"/>
      <c r="J324" s="165"/>
      <c r="K324" s="165">
        <v>12600</v>
      </c>
      <c r="L324" s="165"/>
      <c r="M324" s="165"/>
      <c r="N324" s="165">
        <f t="shared" si="5"/>
        <v>0</v>
      </c>
      <c r="O324" s="165" t="s">
        <v>621</v>
      </c>
      <c r="P324" s="165" t="s">
        <v>622</v>
      </c>
      <c r="Q324" s="3">
        <v>12600</v>
      </c>
      <c r="R324">
        <v>12600</v>
      </c>
    </row>
    <row r="325" spans="1:18">
      <c r="A325" s="165" t="s">
        <v>817</v>
      </c>
      <c r="B325" s="165">
        <v>459</v>
      </c>
      <c r="C325" s="165" t="s">
        <v>9</v>
      </c>
      <c r="D325" s="165">
        <v>1</v>
      </c>
      <c r="E325" s="165" t="s">
        <v>2167</v>
      </c>
      <c r="F325" s="165" t="s">
        <v>2168</v>
      </c>
      <c r="G325" s="165">
        <v>12000</v>
      </c>
      <c r="H325" s="165"/>
      <c r="I325" s="165"/>
      <c r="J325" s="165"/>
      <c r="K325" s="165">
        <v>12000</v>
      </c>
      <c r="L325" s="165"/>
      <c r="M325" s="165"/>
      <c r="N325" s="165">
        <f t="shared" si="5"/>
        <v>0</v>
      </c>
      <c r="O325" s="165" t="s">
        <v>494</v>
      </c>
      <c r="P325" s="165" t="s">
        <v>908</v>
      </c>
      <c r="Q325" s="3">
        <v>12000</v>
      </c>
      <c r="R325">
        <v>12000</v>
      </c>
    </row>
    <row r="326" spans="1:18">
      <c r="A326" s="165" t="s">
        <v>817</v>
      </c>
      <c r="B326" s="165">
        <v>460</v>
      </c>
      <c r="C326" s="165" t="s">
        <v>9</v>
      </c>
      <c r="D326" s="165">
        <v>2</v>
      </c>
      <c r="E326" s="165" t="s">
        <v>2169</v>
      </c>
      <c r="F326" s="165" t="s">
        <v>2170</v>
      </c>
      <c r="G326" s="165">
        <v>12000</v>
      </c>
      <c r="H326" s="165"/>
      <c r="I326" s="165"/>
      <c r="J326" s="165"/>
      <c r="K326" s="165">
        <v>12000</v>
      </c>
      <c r="L326" s="165"/>
      <c r="M326" s="165"/>
      <c r="N326" s="165">
        <f t="shared" si="5"/>
        <v>0</v>
      </c>
      <c r="O326" s="165" t="s">
        <v>2171</v>
      </c>
      <c r="P326" s="165" t="s">
        <v>1472</v>
      </c>
      <c r="Q326" s="3">
        <v>12000</v>
      </c>
      <c r="R326">
        <v>12000</v>
      </c>
    </row>
    <row r="327" spans="1:18">
      <c r="A327" s="165" t="s">
        <v>817</v>
      </c>
      <c r="B327" s="165">
        <v>461</v>
      </c>
      <c r="C327" s="165" t="s">
        <v>9</v>
      </c>
      <c r="D327" s="165">
        <v>3</v>
      </c>
      <c r="E327" s="165" t="s">
        <v>2172</v>
      </c>
      <c r="F327" s="165" t="s">
        <v>2173</v>
      </c>
      <c r="G327" s="165">
        <v>12000</v>
      </c>
      <c r="H327" s="165"/>
      <c r="I327" s="165"/>
      <c r="J327" s="165"/>
      <c r="K327" s="165">
        <v>12000</v>
      </c>
      <c r="L327" s="165"/>
      <c r="M327" s="165"/>
      <c r="N327" s="165">
        <f t="shared" si="5"/>
        <v>0</v>
      </c>
      <c r="O327" s="165" t="s">
        <v>1461</v>
      </c>
      <c r="P327" s="165" t="s">
        <v>492</v>
      </c>
      <c r="Q327" s="3">
        <v>12000</v>
      </c>
      <c r="R327">
        <v>12000</v>
      </c>
    </row>
    <row r="328" spans="1:18">
      <c r="A328" s="165" t="s">
        <v>817</v>
      </c>
      <c r="B328" s="165">
        <v>462</v>
      </c>
      <c r="C328" s="165" t="s">
        <v>9</v>
      </c>
      <c r="D328" s="165">
        <v>4</v>
      </c>
      <c r="E328" s="165" t="s">
        <v>2174</v>
      </c>
      <c r="F328" s="165" t="s">
        <v>2175</v>
      </c>
      <c r="G328" s="165">
        <v>12000</v>
      </c>
      <c r="H328" s="165"/>
      <c r="I328" s="165"/>
      <c r="J328" s="165"/>
      <c r="K328" s="165">
        <v>12000</v>
      </c>
      <c r="L328" s="165"/>
      <c r="M328" s="165"/>
      <c r="N328" s="165">
        <f t="shared" si="5"/>
        <v>0</v>
      </c>
      <c r="O328" s="165" t="s">
        <v>504</v>
      </c>
      <c r="P328" s="165" t="s">
        <v>505</v>
      </c>
      <c r="Q328" s="3">
        <v>12000</v>
      </c>
      <c r="R328">
        <v>12000</v>
      </c>
    </row>
    <row r="329" spans="1:18">
      <c r="A329" s="165" t="s">
        <v>817</v>
      </c>
      <c r="B329" s="165">
        <v>463</v>
      </c>
      <c r="C329" s="165" t="s">
        <v>9</v>
      </c>
      <c r="D329" s="165">
        <v>5</v>
      </c>
      <c r="E329" s="165" t="s">
        <v>2176</v>
      </c>
      <c r="F329" s="165" t="s">
        <v>2177</v>
      </c>
      <c r="G329" s="165">
        <v>12000</v>
      </c>
      <c r="H329" s="165"/>
      <c r="I329" s="165"/>
      <c r="J329" s="165"/>
      <c r="K329" s="165">
        <v>12000</v>
      </c>
      <c r="L329" s="165"/>
      <c r="M329" s="165"/>
      <c r="N329" s="165">
        <f t="shared" si="5"/>
        <v>0</v>
      </c>
      <c r="O329" s="165" t="s">
        <v>610</v>
      </c>
      <c r="P329" s="165" t="s">
        <v>611</v>
      </c>
      <c r="Q329" s="3">
        <v>12000</v>
      </c>
      <c r="R329">
        <v>12000</v>
      </c>
    </row>
    <row r="330" spans="1:18">
      <c r="A330" s="165" t="s">
        <v>817</v>
      </c>
      <c r="B330" s="165">
        <v>464</v>
      </c>
      <c r="C330" s="165" t="s">
        <v>9</v>
      </c>
      <c r="D330" s="165">
        <v>6</v>
      </c>
      <c r="E330" s="165" t="s">
        <v>2178</v>
      </c>
      <c r="F330" s="165" t="s">
        <v>2179</v>
      </c>
      <c r="G330" s="165">
        <v>12000</v>
      </c>
      <c r="H330" s="165"/>
      <c r="I330" s="165"/>
      <c r="J330" s="165"/>
      <c r="K330" s="165">
        <v>12000</v>
      </c>
      <c r="L330" s="165"/>
      <c r="M330" s="165"/>
      <c r="N330" s="165">
        <f t="shared" si="5"/>
        <v>0</v>
      </c>
      <c r="O330" s="165" t="s">
        <v>612</v>
      </c>
      <c r="P330" s="165" t="s">
        <v>2201</v>
      </c>
      <c r="Q330" s="3">
        <v>12000</v>
      </c>
      <c r="R330">
        <v>12000</v>
      </c>
    </row>
    <row r="331" spans="1:18">
      <c r="A331" s="165" t="s">
        <v>817</v>
      </c>
      <c r="B331" s="165">
        <v>465</v>
      </c>
      <c r="C331" s="165" t="s">
        <v>9</v>
      </c>
      <c r="D331" s="165">
        <v>7</v>
      </c>
      <c r="E331" s="165" t="s">
        <v>2180</v>
      </c>
      <c r="F331" s="165" t="s">
        <v>2181</v>
      </c>
      <c r="G331" s="165">
        <v>12000</v>
      </c>
      <c r="H331" s="165"/>
      <c r="I331" s="165"/>
      <c r="J331" s="165"/>
      <c r="K331" s="165">
        <v>12000</v>
      </c>
      <c r="L331" s="165"/>
      <c r="M331" s="165"/>
      <c r="N331" s="165">
        <f t="shared" si="5"/>
        <v>0</v>
      </c>
      <c r="O331" s="165" t="s">
        <v>619</v>
      </c>
      <c r="P331" s="165" t="s">
        <v>620</v>
      </c>
      <c r="Q331" s="3">
        <v>12000</v>
      </c>
      <c r="R331">
        <v>12000</v>
      </c>
    </row>
    <row r="332" spans="1:18">
      <c r="A332" s="165" t="s">
        <v>817</v>
      </c>
      <c r="B332" s="165">
        <v>466</v>
      </c>
      <c r="C332" s="165" t="s">
        <v>9</v>
      </c>
      <c r="D332" s="165">
        <v>8</v>
      </c>
      <c r="E332" s="165" t="s">
        <v>2182</v>
      </c>
      <c r="F332" s="165" t="s">
        <v>2183</v>
      </c>
      <c r="G332" s="165">
        <v>12000</v>
      </c>
      <c r="H332" s="165"/>
      <c r="I332" s="165"/>
      <c r="J332" s="165">
        <v>12000</v>
      </c>
      <c r="K332" s="165"/>
      <c r="L332" s="165"/>
      <c r="M332" s="165"/>
      <c r="N332" s="165">
        <f t="shared" si="5"/>
        <v>0</v>
      </c>
      <c r="O332" s="165" t="s">
        <v>621</v>
      </c>
      <c r="P332" s="165" t="s">
        <v>622</v>
      </c>
      <c r="Q332" s="3">
        <v>12000</v>
      </c>
      <c r="R332">
        <v>12000</v>
      </c>
    </row>
    <row r="333" spans="1:18">
      <c r="A333" s="165" t="s">
        <v>1457</v>
      </c>
      <c r="B333" s="165">
        <v>467</v>
      </c>
      <c r="C333" s="165" t="s">
        <v>2424</v>
      </c>
      <c r="D333" s="165">
        <v>1</v>
      </c>
      <c r="E333" s="165" t="s">
        <v>2184</v>
      </c>
      <c r="F333" s="165" t="s">
        <v>1869</v>
      </c>
      <c r="G333" s="165">
        <v>11340</v>
      </c>
      <c r="H333" s="165"/>
      <c r="I333" s="165"/>
      <c r="J333" s="165"/>
      <c r="K333" s="165">
        <v>11340</v>
      </c>
      <c r="L333" s="165"/>
      <c r="M333" s="165"/>
      <c r="N333" s="165">
        <f t="shared" si="5"/>
        <v>0</v>
      </c>
      <c r="O333" s="165" t="s">
        <v>818</v>
      </c>
      <c r="P333" s="165" t="s">
        <v>487</v>
      </c>
      <c r="Q333" s="3">
        <v>11340</v>
      </c>
      <c r="R333">
        <v>11340</v>
      </c>
    </row>
    <row r="334" spans="1:18">
      <c r="A334" s="165" t="s">
        <v>1457</v>
      </c>
      <c r="B334" s="165">
        <v>468</v>
      </c>
      <c r="C334" s="165" t="s">
        <v>2424</v>
      </c>
      <c r="D334" s="165">
        <v>2</v>
      </c>
      <c r="E334" s="165" t="s">
        <v>2185</v>
      </c>
      <c r="F334" s="165" t="s">
        <v>1871</v>
      </c>
      <c r="G334" s="165">
        <v>11340</v>
      </c>
      <c r="H334" s="165"/>
      <c r="I334" s="165"/>
      <c r="J334" s="165"/>
      <c r="K334" s="165">
        <v>11340</v>
      </c>
      <c r="L334" s="165"/>
      <c r="M334" s="165"/>
      <c r="N334" s="165">
        <f t="shared" si="5"/>
        <v>0</v>
      </c>
      <c r="O334" s="165" t="s">
        <v>490</v>
      </c>
      <c r="P334" s="165" t="s">
        <v>491</v>
      </c>
      <c r="Q334" s="3">
        <v>11340</v>
      </c>
      <c r="R334">
        <v>11340</v>
      </c>
    </row>
    <row r="335" spans="1:18">
      <c r="A335" s="165" t="s">
        <v>1457</v>
      </c>
      <c r="B335" s="165">
        <v>469</v>
      </c>
      <c r="C335" s="165" t="s">
        <v>2424</v>
      </c>
      <c r="D335" s="165">
        <v>3</v>
      </c>
      <c r="E335" s="165" t="s">
        <v>2186</v>
      </c>
      <c r="F335" s="165" t="s">
        <v>1873</v>
      </c>
      <c r="G335" s="165">
        <v>11340</v>
      </c>
      <c r="H335" s="165"/>
      <c r="I335" s="165"/>
      <c r="J335" s="165"/>
      <c r="K335" s="165">
        <v>11340</v>
      </c>
      <c r="L335" s="165"/>
      <c r="M335" s="165"/>
      <c r="N335" s="165">
        <f t="shared" si="5"/>
        <v>0</v>
      </c>
      <c r="O335" s="165" t="s">
        <v>1461</v>
      </c>
      <c r="P335" s="165" t="s">
        <v>492</v>
      </c>
      <c r="Q335" s="3">
        <v>11340</v>
      </c>
      <c r="R335">
        <v>11340</v>
      </c>
    </row>
    <row r="336" spans="1:18">
      <c r="A336" s="165" t="s">
        <v>1457</v>
      </c>
      <c r="B336" s="165">
        <v>470</v>
      </c>
      <c r="C336" s="165" t="s">
        <v>2424</v>
      </c>
      <c r="D336" s="165">
        <v>4</v>
      </c>
      <c r="E336" s="165" t="s">
        <v>2187</v>
      </c>
      <c r="F336" s="165" t="s">
        <v>2049</v>
      </c>
      <c r="G336" s="165">
        <v>11340</v>
      </c>
      <c r="H336" s="165"/>
      <c r="I336" s="165"/>
      <c r="J336" s="165"/>
      <c r="K336" s="165">
        <v>11340</v>
      </c>
      <c r="L336" s="165"/>
      <c r="M336" s="165"/>
      <c r="N336" s="165">
        <f t="shared" si="5"/>
        <v>0</v>
      </c>
      <c r="O336" s="165" t="s">
        <v>504</v>
      </c>
      <c r="P336" s="165" t="s">
        <v>505</v>
      </c>
      <c r="Q336" s="3">
        <v>11340</v>
      </c>
      <c r="R336">
        <v>11340</v>
      </c>
    </row>
    <row r="337" spans="1:20">
      <c r="A337" s="165" t="s">
        <v>1457</v>
      </c>
      <c r="B337" s="165">
        <v>471</v>
      </c>
      <c r="C337" s="165" t="s">
        <v>2424</v>
      </c>
      <c r="D337" s="165">
        <v>5</v>
      </c>
      <c r="E337" s="165" t="s">
        <v>2188</v>
      </c>
      <c r="F337" s="165" t="s">
        <v>2051</v>
      </c>
      <c r="G337" s="165">
        <v>11340</v>
      </c>
      <c r="H337" s="165"/>
      <c r="I337" s="165"/>
      <c r="J337" s="165"/>
      <c r="K337" s="165">
        <v>11340</v>
      </c>
      <c r="L337" s="165"/>
      <c r="M337" s="165"/>
      <c r="N337" s="165">
        <f t="shared" si="5"/>
        <v>0</v>
      </c>
      <c r="O337" s="165" t="s">
        <v>506</v>
      </c>
      <c r="P337" s="165" t="s">
        <v>507</v>
      </c>
      <c r="Q337" s="3">
        <v>11340</v>
      </c>
      <c r="R337">
        <v>11340</v>
      </c>
    </row>
    <row r="338" spans="1:20">
      <c r="A338" s="165" t="s">
        <v>1457</v>
      </c>
      <c r="B338" s="165">
        <v>472</v>
      </c>
      <c r="C338" s="165" t="s">
        <v>2424</v>
      </c>
      <c r="D338" s="165">
        <v>6</v>
      </c>
      <c r="E338" s="165" t="s">
        <v>2189</v>
      </c>
      <c r="F338" s="165" t="s">
        <v>2190</v>
      </c>
      <c r="G338" s="165">
        <v>11340</v>
      </c>
      <c r="H338" s="165"/>
      <c r="I338" s="165"/>
      <c r="J338" s="165"/>
      <c r="K338" s="165">
        <v>11340</v>
      </c>
      <c r="L338" s="165"/>
      <c r="M338" s="165"/>
      <c r="N338" s="165">
        <f t="shared" si="5"/>
        <v>0</v>
      </c>
      <c r="O338" s="165" t="s">
        <v>627</v>
      </c>
      <c r="P338" s="165" t="s">
        <v>827</v>
      </c>
      <c r="Q338" s="3">
        <v>11340</v>
      </c>
      <c r="R338">
        <v>11340</v>
      </c>
    </row>
    <row r="339" spans="1:20">
      <c r="A339" s="165" t="s">
        <v>1457</v>
      </c>
      <c r="B339" s="165">
        <v>473</v>
      </c>
      <c r="C339" s="165" t="s">
        <v>2424</v>
      </c>
      <c r="D339" s="165">
        <v>7</v>
      </c>
      <c r="E339" s="165" t="s">
        <v>2191</v>
      </c>
      <c r="F339" s="165" t="s">
        <v>2192</v>
      </c>
      <c r="G339" s="165">
        <v>11340</v>
      </c>
      <c r="H339" s="165"/>
      <c r="I339" s="165"/>
      <c r="J339" s="165"/>
      <c r="K339" s="165">
        <v>11340</v>
      </c>
      <c r="L339" s="165"/>
      <c r="M339" s="165"/>
      <c r="N339" s="165">
        <f t="shared" si="5"/>
        <v>0</v>
      </c>
      <c r="O339" s="165" t="s">
        <v>613</v>
      </c>
      <c r="P339" s="165" t="s">
        <v>614</v>
      </c>
      <c r="Q339" s="3">
        <v>11340</v>
      </c>
      <c r="R339">
        <v>11340</v>
      </c>
    </row>
    <row r="340" spans="1:20">
      <c r="A340" s="165" t="s">
        <v>1457</v>
      </c>
      <c r="B340" s="165">
        <v>474</v>
      </c>
      <c r="C340" s="165" t="s">
        <v>2424</v>
      </c>
      <c r="D340" s="165">
        <v>8</v>
      </c>
      <c r="E340" s="165" t="s">
        <v>2193</v>
      </c>
      <c r="F340" s="165" t="s">
        <v>2194</v>
      </c>
      <c r="G340" s="165">
        <v>11340</v>
      </c>
      <c r="H340" s="165"/>
      <c r="I340" s="165"/>
      <c r="J340" s="165">
        <v>11340</v>
      </c>
      <c r="K340" s="165"/>
      <c r="L340" s="165"/>
      <c r="M340" s="165"/>
      <c r="N340" s="165">
        <f t="shared" si="5"/>
        <v>0</v>
      </c>
      <c r="O340" s="165" t="s">
        <v>621</v>
      </c>
      <c r="P340" s="165" t="s">
        <v>622</v>
      </c>
      <c r="Q340" s="3">
        <v>11340</v>
      </c>
      <c r="R340">
        <v>11340</v>
      </c>
    </row>
    <row r="341" spans="1:20">
      <c r="A341" s="165" t="s">
        <v>1471</v>
      </c>
      <c r="B341" s="165">
        <v>475</v>
      </c>
      <c r="C341" s="165" t="s">
        <v>2690</v>
      </c>
      <c r="D341" s="165">
        <v>1</v>
      </c>
      <c r="E341" s="165" t="s">
        <v>2195</v>
      </c>
      <c r="F341" s="165" t="s">
        <v>2663</v>
      </c>
      <c r="G341" s="165">
        <v>11340</v>
      </c>
      <c r="H341" s="165"/>
      <c r="I341" s="165"/>
      <c r="J341" s="165"/>
      <c r="K341" s="165">
        <v>11340</v>
      </c>
      <c r="L341" s="165"/>
      <c r="M341" s="165"/>
      <c r="N341" s="165">
        <f t="shared" si="5"/>
        <v>0</v>
      </c>
      <c r="O341" s="165" t="s">
        <v>494</v>
      </c>
      <c r="P341" s="165" t="s">
        <v>908</v>
      </c>
      <c r="Q341" s="3">
        <v>11340</v>
      </c>
      <c r="R341">
        <v>11340</v>
      </c>
    </row>
    <row r="342" spans="1:20">
      <c r="A342" s="165" t="s">
        <v>1471</v>
      </c>
      <c r="B342" s="165">
        <v>476</v>
      </c>
      <c r="C342" s="165" t="s">
        <v>2690</v>
      </c>
      <c r="D342" s="165">
        <v>2</v>
      </c>
      <c r="E342" s="165" t="s">
        <v>2196</v>
      </c>
      <c r="F342" s="165" t="s">
        <v>2664</v>
      </c>
      <c r="G342" s="165">
        <v>11340</v>
      </c>
      <c r="H342" s="165"/>
      <c r="I342" s="165"/>
      <c r="J342" s="165"/>
      <c r="K342" s="165">
        <v>11340</v>
      </c>
      <c r="L342" s="165"/>
      <c r="M342" s="165"/>
      <c r="N342" s="165">
        <f t="shared" si="5"/>
        <v>0</v>
      </c>
      <c r="O342" s="165" t="s">
        <v>495</v>
      </c>
      <c r="P342" s="165" t="s">
        <v>1472</v>
      </c>
      <c r="Q342" s="3">
        <v>11340</v>
      </c>
      <c r="R342">
        <v>11340</v>
      </c>
    </row>
    <row r="343" spans="1:20">
      <c r="A343" s="165" t="s">
        <v>1471</v>
      </c>
      <c r="B343" s="165">
        <v>477</v>
      </c>
      <c r="C343" s="165" t="s">
        <v>2690</v>
      </c>
      <c r="D343" s="165">
        <v>3</v>
      </c>
      <c r="E343" s="165" t="s">
        <v>2197</v>
      </c>
      <c r="F343" s="165" t="s">
        <v>1882</v>
      </c>
      <c r="G343" s="165">
        <v>11340</v>
      </c>
      <c r="H343" s="165"/>
      <c r="I343" s="165"/>
      <c r="J343" s="165"/>
      <c r="K343" s="165">
        <v>11340</v>
      </c>
      <c r="L343" s="165"/>
      <c r="M343" s="165"/>
      <c r="N343" s="165">
        <f t="shared" si="5"/>
        <v>0</v>
      </c>
      <c r="O343" s="165" t="s">
        <v>1461</v>
      </c>
      <c r="P343" s="165" t="s">
        <v>492</v>
      </c>
      <c r="Q343" s="3">
        <v>11340</v>
      </c>
      <c r="R343">
        <v>11340</v>
      </c>
    </row>
    <row r="344" spans="1:20">
      <c r="A344" s="165" t="s">
        <v>1471</v>
      </c>
      <c r="B344" s="165">
        <v>478</v>
      </c>
      <c r="C344" s="165" t="s">
        <v>2690</v>
      </c>
      <c r="D344" s="165">
        <v>4</v>
      </c>
      <c r="E344" s="165" t="s">
        <v>2198</v>
      </c>
      <c r="F344" s="165" t="s">
        <v>505</v>
      </c>
      <c r="G344" s="165">
        <v>11340</v>
      </c>
      <c r="H344" s="165"/>
      <c r="I344" s="165"/>
      <c r="J344" s="165"/>
      <c r="K344" s="165">
        <v>11340</v>
      </c>
      <c r="L344" s="165"/>
      <c r="M344" s="165"/>
      <c r="N344" s="165">
        <f t="shared" si="5"/>
        <v>0</v>
      </c>
      <c r="O344" s="165" t="s">
        <v>496</v>
      </c>
      <c r="P344" s="165" t="s">
        <v>497</v>
      </c>
      <c r="Q344" s="3">
        <v>11340</v>
      </c>
      <c r="R344">
        <v>11340</v>
      </c>
    </row>
    <row r="345" spans="1:20">
      <c r="A345" s="165" t="s">
        <v>1471</v>
      </c>
      <c r="B345" s="165">
        <v>479</v>
      </c>
      <c r="C345" s="165" t="s">
        <v>2690</v>
      </c>
      <c r="D345" s="165">
        <v>5</v>
      </c>
      <c r="E345" s="165" t="s">
        <v>2199</v>
      </c>
      <c r="F345" s="165" t="s">
        <v>548</v>
      </c>
      <c r="G345" s="165">
        <v>11340</v>
      </c>
      <c r="H345" s="165"/>
      <c r="I345" s="165"/>
      <c r="J345" s="165"/>
      <c r="K345" s="165">
        <v>11340</v>
      </c>
      <c r="L345" s="165"/>
      <c r="M345" s="165"/>
      <c r="N345" s="165">
        <f t="shared" si="5"/>
        <v>0</v>
      </c>
      <c r="O345" s="165" t="s">
        <v>623</v>
      </c>
      <c r="P345" s="165" t="s">
        <v>624</v>
      </c>
      <c r="Q345" s="3">
        <v>11340</v>
      </c>
      <c r="R345">
        <v>11340</v>
      </c>
    </row>
    <row r="346" spans="1:20">
      <c r="A346" s="165" t="s">
        <v>1471</v>
      </c>
      <c r="B346" s="165">
        <v>480</v>
      </c>
      <c r="C346" s="165" t="s">
        <v>2690</v>
      </c>
      <c r="D346" s="165">
        <v>6</v>
      </c>
      <c r="E346" s="165" t="s">
        <v>2200</v>
      </c>
      <c r="F346" s="165" t="s">
        <v>2201</v>
      </c>
      <c r="G346" s="165">
        <v>11340</v>
      </c>
      <c r="H346" s="165"/>
      <c r="I346" s="165"/>
      <c r="J346" s="165"/>
      <c r="K346" s="165">
        <v>11340</v>
      </c>
      <c r="L346" s="165"/>
      <c r="M346" s="165"/>
      <c r="N346" s="165">
        <f t="shared" si="5"/>
        <v>0</v>
      </c>
      <c r="O346" s="165" t="s">
        <v>612</v>
      </c>
      <c r="P346" s="165" t="s">
        <v>2201</v>
      </c>
      <c r="Q346" s="3">
        <v>11340</v>
      </c>
      <c r="R346">
        <v>11340</v>
      </c>
    </row>
    <row r="347" spans="1:20">
      <c r="A347" s="165" t="s">
        <v>1471</v>
      </c>
      <c r="B347" s="165">
        <v>481</v>
      </c>
      <c r="C347" s="165" t="s">
        <v>2690</v>
      </c>
      <c r="D347" s="165">
        <v>7</v>
      </c>
      <c r="E347" s="165" t="s">
        <v>2202</v>
      </c>
      <c r="F347" s="165" t="s">
        <v>2203</v>
      </c>
      <c r="G347" s="165">
        <v>11340</v>
      </c>
      <c r="H347" s="165"/>
      <c r="I347" s="165"/>
      <c r="J347" s="165"/>
      <c r="K347" s="165">
        <v>11340</v>
      </c>
      <c r="L347" s="165"/>
      <c r="M347" s="165"/>
      <c r="N347" s="165">
        <f t="shared" si="5"/>
        <v>0</v>
      </c>
      <c r="O347" s="165" t="s">
        <v>619</v>
      </c>
      <c r="P347" s="165" t="s">
        <v>620</v>
      </c>
      <c r="Q347" s="3">
        <v>11340</v>
      </c>
      <c r="R347">
        <v>11340</v>
      </c>
    </row>
    <row r="348" spans="1:20">
      <c r="A348" s="165" t="s">
        <v>1471</v>
      </c>
      <c r="B348" s="165">
        <v>482</v>
      </c>
      <c r="C348" s="165" t="s">
        <v>2690</v>
      </c>
      <c r="D348" s="165">
        <v>8</v>
      </c>
      <c r="E348" s="165" t="s">
        <v>2204</v>
      </c>
      <c r="F348" s="165" t="s">
        <v>2205</v>
      </c>
      <c r="G348" s="165">
        <v>11340</v>
      </c>
      <c r="H348" s="165"/>
      <c r="I348" s="165"/>
      <c r="J348" s="165">
        <v>11340</v>
      </c>
      <c r="K348" s="165"/>
      <c r="L348" s="165"/>
      <c r="M348" s="165"/>
      <c r="N348" s="165">
        <f t="shared" ref="N348:N411" si="6">G348-J348-K348</f>
        <v>0</v>
      </c>
      <c r="O348" s="165" t="s">
        <v>625</v>
      </c>
      <c r="P348" s="165" t="s">
        <v>626</v>
      </c>
      <c r="Q348" s="3">
        <v>11340</v>
      </c>
      <c r="R348">
        <v>11340</v>
      </c>
    </row>
    <row r="349" spans="1:20">
      <c r="A349" s="209" t="s">
        <v>487</v>
      </c>
      <c r="B349" s="209"/>
      <c r="C349" s="205" t="s">
        <v>2421</v>
      </c>
      <c r="D349" s="226">
        <v>6</v>
      </c>
      <c r="E349" s="183" t="s">
        <v>1283</v>
      </c>
      <c r="F349" s="209" t="s">
        <v>487</v>
      </c>
      <c r="G349" s="165"/>
      <c r="H349" s="165"/>
      <c r="I349" s="165"/>
      <c r="J349" s="165"/>
      <c r="K349" s="165"/>
      <c r="L349" s="165"/>
      <c r="M349" s="165"/>
      <c r="N349" s="165">
        <f t="shared" si="6"/>
        <v>0</v>
      </c>
      <c r="O349" s="209" t="s">
        <v>487</v>
      </c>
      <c r="P349" s="209" t="s">
        <v>487</v>
      </c>
      <c r="Q349" s="178">
        <v>14175</v>
      </c>
      <c r="R349" s="178">
        <v>14165</v>
      </c>
      <c r="S349" s="178"/>
      <c r="T349" s="3">
        <v>10</v>
      </c>
    </row>
    <row r="350" spans="1:20">
      <c r="A350" s="165" t="s">
        <v>2071</v>
      </c>
      <c r="B350" s="165">
        <v>483</v>
      </c>
      <c r="C350" s="165" t="s">
        <v>2206</v>
      </c>
      <c r="D350" s="165">
        <v>1</v>
      </c>
      <c r="E350" s="165" t="s">
        <v>2207</v>
      </c>
      <c r="F350" s="165" t="s">
        <v>908</v>
      </c>
      <c r="G350" s="165">
        <v>14175</v>
      </c>
      <c r="H350" s="165"/>
      <c r="I350" s="165"/>
      <c r="J350" s="165"/>
      <c r="K350" s="165">
        <v>14175</v>
      </c>
      <c r="L350" s="165"/>
      <c r="M350" s="165"/>
      <c r="N350" s="165">
        <f t="shared" si="6"/>
        <v>0</v>
      </c>
      <c r="O350" s="165" t="s">
        <v>490</v>
      </c>
      <c r="P350" s="165" t="s">
        <v>491</v>
      </c>
      <c r="Q350" s="3">
        <v>14175</v>
      </c>
      <c r="R350">
        <v>14175</v>
      </c>
    </row>
    <row r="351" spans="1:20">
      <c r="A351" s="165" t="s">
        <v>2071</v>
      </c>
      <c r="B351" s="165">
        <v>484</v>
      </c>
      <c r="C351" s="165" t="s">
        <v>2206</v>
      </c>
      <c r="D351" s="165">
        <v>2</v>
      </c>
      <c r="E351" s="165" t="s">
        <v>2208</v>
      </c>
      <c r="F351" s="165" t="s">
        <v>2209</v>
      </c>
      <c r="G351" s="165">
        <v>14175</v>
      </c>
      <c r="H351" s="165"/>
      <c r="I351" s="165"/>
      <c r="J351" s="165"/>
      <c r="K351" s="165">
        <v>14175</v>
      </c>
      <c r="L351" s="165"/>
      <c r="M351" s="165"/>
      <c r="N351" s="165">
        <f t="shared" si="6"/>
        <v>0</v>
      </c>
      <c r="O351" s="165" t="s">
        <v>493</v>
      </c>
      <c r="P351" s="165" t="s">
        <v>911</v>
      </c>
      <c r="Q351" s="3">
        <v>14175</v>
      </c>
      <c r="R351">
        <v>14175</v>
      </c>
    </row>
    <row r="352" spans="1:20">
      <c r="A352" s="165" t="s">
        <v>2071</v>
      </c>
      <c r="B352" s="165">
        <v>485</v>
      </c>
      <c r="C352" s="165" t="s">
        <v>2206</v>
      </c>
      <c r="D352" s="165">
        <v>3</v>
      </c>
      <c r="E352" s="165" t="s">
        <v>2210</v>
      </c>
      <c r="F352" s="165" t="s">
        <v>459</v>
      </c>
      <c r="G352" s="165">
        <v>14175</v>
      </c>
      <c r="H352" s="165"/>
      <c r="I352" s="165"/>
      <c r="J352" s="165"/>
      <c r="K352" s="165">
        <v>14175</v>
      </c>
      <c r="L352" s="165"/>
      <c r="M352" s="165"/>
      <c r="N352" s="165">
        <f t="shared" si="6"/>
        <v>0</v>
      </c>
      <c r="O352" s="165" t="s">
        <v>460</v>
      </c>
      <c r="P352" s="165" t="s">
        <v>1465</v>
      </c>
      <c r="Q352" s="3">
        <v>14175</v>
      </c>
      <c r="R352">
        <v>14175</v>
      </c>
    </row>
    <row r="353" spans="1:21">
      <c r="A353" s="165" t="s">
        <v>2071</v>
      </c>
      <c r="B353" s="165">
        <v>486</v>
      </c>
      <c r="C353" s="165" t="s">
        <v>2206</v>
      </c>
      <c r="D353" s="165">
        <v>4</v>
      </c>
      <c r="E353" s="165" t="s">
        <v>2211</v>
      </c>
      <c r="F353" s="165" t="s">
        <v>445</v>
      </c>
      <c r="G353" s="165">
        <v>14175</v>
      </c>
      <c r="H353" s="165"/>
      <c r="I353" s="165"/>
      <c r="J353" s="165"/>
      <c r="K353" s="165">
        <v>14175</v>
      </c>
      <c r="L353" s="165"/>
      <c r="M353" s="165"/>
      <c r="N353" s="165">
        <f t="shared" si="6"/>
        <v>0</v>
      </c>
      <c r="O353" s="165" t="s">
        <v>508</v>
      </c>
      <c r="P353" s="165" t="s">
        <v>2107</v>
      </c>
      <c r="Q353" s="3">
        <v>14175</v>
      </c>
      <c r="R353">
        <v>14175</v>
      </c>
    </row>
    <row r="354" spans="1:21">
      <c r="A354" s="165" t="s">
        <v>2071</v>
      </c>
      <c r="B354" s="165">
        <v>487</v>
      </c>
      <c r="C354" s="165" t="s">
        <v>2206</v>
      </c>
      <c r="D354" s="165">
        <v>5</v>
      </c>
      <c r="E354" s="165" t="s">
        <v>2212</v>
      </c>
      <c r="F354" s="165" t="s">
        <v>2079</v>
      </c>
      <c r="G354" s="165">
        <v>14175</v>
      </c>
      <c r="H354" s="165"/>
      <c r="I354" s="165"/>
      <c r="J354" s="165"/>
      <c r="K354" s="165">
        <v>14175</v>
      </c>
      <c r="L354" s="165"/>
      <c r="M354" s="165"/>
      <c r="N354" s="165">
        <f t="shared" si="6"/>
        <v>0</v>
      </c>
      <c r="O354" s="165" t="s">
        <v>615</v>
      </c>
      <c r="P354" s="165" t="s">
        <v>616</v>
      </c>
      <c r="Q354" s="3">
        <v>14175</v>
      </c>
      <c r="R354">
        <v>14175</v>
      </c>
    </row>
    <row r="355" spans="1:21">
      <c r="A355" s="165" t="s">
        <v>2071</v>
      </c>
      <c r="B355" s="165">
        <v>488</v>
      </c>
      <c r="C355" s="165" t="s">
        <v>2206</v>
      </c>
      <c r="D355" s="165">
        <v>6</v>
      </c>
      <c r="E355" s="165" t="s">
        <v>2213</v>
      </c>
      <c r="F355" s="165" t="s">
        <v>2214</v>
      </c>
      <c r="G355" s="165">
        <v>14175</v>
      </c>
      <c r="H355" s="165"/>
      <c r="I355" s="165"/>
      <c r="J355" s="165"/>
      <c r="K355" s="165">
        <v>14175</v>
      </c>
      <c r="L355" s="165"/>
      <c r="M355" s="165"/>
      <c r="N355" s="165">
        <f t="shared" si="6"/>
        <v>0</v>
      </c>
      <c r="O355" s="165" t="s">
        <v>617</v>
      </c>
      <c r="P355" s="165" t="s">
        <v>618</v>
      </c>
      <c r="Q355" s="3">
        <v>14175</v>
      </c>
      <c r="R355">
        <v>14175</v>
      </c>
    </row>
    <row r="356" spans="1:21">
      <c r="A356" s="165" t="s">
        <v>2071</v>
      </c>
      <c r="B356" s="165">
        <v>489</v>
      </c>
      <c r="C356" s="165" t="s">
        <v>2206</v>
      </c>
      <c r="D356" s="165">
        <v>7</v>
      </c>
      <c r="E356" s="165" t="s">
        <v>2215</v>
      </c>
      <c r="F356" s="165" t="s">
        <v>2216</v>
      </c>
      <c r="G356" s="165">
        <v>14175</v>
      </c>
      <c r="H356" s="165"/>
      <c r="I356" s="165"/>
      <c r="J356" s="165"/>
      <c r="K356" s="165">
        <v>14175</v>
      </c>
      <c r="L356" s="165"/>
      <c r="M356" s="165"/>
      <c r="N356" s="165">
        <f t="shared" si="6"/>
        <v>0</v>
      </c>
      <c r="O356" s="165" t="s">
        <v>628</v>
      </c>
      <c r="P356" s="165" t="s">
        <v>629</v>
      </c>
      <c r="Q356" s="3">
        <v>14175</v>
      </c>
      <c r="R356">
        <v>14175</v>
      </c>
    </row>
    <row r="357" spans="1:21">
      <c r="A357" s="165" t="s">
        <v>2071</v>
      </c>
      <c r="B357" s="165">
        <v>490</v>
      </c>
      <c r="C357" s="165" t="s">
        <v>2206</v>
      </c>
      <c r="D357" s="165">
        <v>8</v>
      </c>
      <c r="E357" s="165" t="s">
        <v>2217</v>
      </c>
      <c r="F357" s="165" t="s">
        <v>2218</v>
      </c>
      <c r="G357" s="165">
        <v>14175</v>
      </c>
      <c r="H357" s="165"/>
      <c r="I357" s="165"/>
      <c r="J357" s="165">
        <v>14175</v>
      </c>
      <c r="K357" s="165"/>
      <c r="L357" s="165"/>
      <c r="M357" s="165"/>
      <c r="N357" s="165">
        <f t="shared" si="6"/>
        <v>0</v>
      </c>
      <c r="O357" s="165" t="s">
        <v>625</v>
      </c>
      <c r="P357" s="165" t="s">
        <v>626</v>
      </c>
      <c r="Q357" s="3">
        <v>14175</v>
      </c>
      <c r="R357">
        <v>14175</v>
      </c>
    </row>
    <row r="358" spans="1:21" s="95" customFormat="1">
      <c r="A358" s="182" t="s">
        <v>820</v>
      </c>
      <c r="B358" s="182"/>
      <c r="C358" s="210" t="s">
        <v>2060</v>
      </c>
      <c r="D358" s="226">
        <v>4</v>
      </c>
      <c r="E358" s="210" t="s">
        <v>1283</v>
      </c>
      <c r="F358" s="182" t="s">
        <v>820</v>
      </c>
      <c r="G358" s="179"/>
      <c r="H358" s="179"/>
      <c r="I358" s="179"/>
      <c r="J358" s="179"/>
      <c r="K358" s="179"/>
      <c r="L358" s="179"/>
      <c r="M358" s="179"/>
      <c r="N358" s="179">
        <f t="shared" si="6"/>
        <v>0</v>
      </c>
      <c r="O358" s="182" t="s">
        <v>820</v>
      </c>
      <c r="P358" s="182" t="s">
        <v>820</v>
      </c>
      <c r="Q358" s="182">
        <v>14175</v>
      </c>
      <c r="R358" s="182">
        <v>14145</v>
      </c>
      <c r="S358" s="182"/>
      <c r="T358" s="179">
        <v>30</v>
      </c>
      <c r="U358" s="210" t="s">
        <v>245</v>
      </c>
    </row>
    <row r="359" spans="1:21">
      <c r="A359" s="165" t="s">
        <v>2219</v>
      </c>
      <c r="B359" s="165">
        <v>491</v>
      </c>
      <c r="C359" s="165" t="s">
        <v>1264</v>
      </c>
      <c r="D359" s="165">
        <v>1</v>
      </c>
      <c r="E359" s="165" t="s">
        <v>2220</v>
      </c>
      <c r="F359" s="165" t="s">
        <v>1965</v>
      </c>
      <c r="G359" s="165">
        <v>11340</v>
      </c>
      <c r="H359" s="165"/>
      <c r="I359" s="165"/>
      <c r="J359" s="165"/>
      <c r="K359" s="165">
        <v>11340</v>
      </c>
      <c r="L359" s="165"/>
      <c r="M359" s="165"/>
      <c r="N359" s="165">
        <f t="shared" si="6"/>
        <v>0</v>
      </c>
      <c r="O359" s="165" t="s">
        <v>490</v>
      </c>
      <c r="P359" s="165" t="s">
        <v>1459</v>
      </c>
      <c r="Q359" s="3">
        <v>11340</v>
      </c>
      <c r="R359">
        <v>11340</v>
      </c>
    </row>
    <row r="360" spans="1:21">
      <c r="A360" s="165" t="s">
        <v>2219</v>
      </c>
      <c r="B360" s="165">
        <v>492</v>
      </c>
      <c r="C360" s="165" t="s">
        <v>1264</v>
      </c>
      <c r="D360" s="165">
        <v>2</v>
      </c>
      <c r="E360" s="165" t="s">
        <v>2221</v>
      </c>
      <c r="F360" s="165" t="s">
        <v>1871</v>
      </c>
      <c r="G360" s="165">
        <v>11340</v>
      </c>
      <c r="H360" s="165"/>
      <c r="I360" s="165"/>
      <c r="J360" s="165"/>
      <c r="K360" s="165">
        <v>11340</v>
      </c>
      <c r="L360" s="165"/>
      <c r="M360" s="165"/>
      <c r="N360" s="165">
        <f t="shared" si="6"/>
        <v>0</v>
      </c>
      <c r="O360" s="165" t="s">
        <v>490</v>
      </c>
      <c r="P360" s="165" t="s">
        <v>1459</v>
      </c>
      <c r="Q360" s="3">
        <v>11340</v>
      </c>
      <c r="R360">
        <v>11340</v>
      </c>
    </row>
    <row r="361" spans="1:21">
      <c r="A361" s="165" t="s">
        <v>2219</v>
      </c>
      <c r="B361" s="165">
        <v>493</v>
      </c>
      <c r="C361" s="165" t="s">
        <v>1264</v>
      </c>
      <c r="D361" s="165">
        <v>3</v>
      </c>
      <c r="E361" s="165" t="s">
        <v>2222</v>
      </c>
      <c r="F361" s="165" t="s">
        <v>1873</v>
      </c>
      <c r="G361" s="165">
        <v>11340</v>
      </c>
      <c r="H361" s="165"/>
      <c r="I361" s="165"/>
      <c r="J361" s="165"/>
      <c r="K361" s="165">
        <v>11340</v>
      </c>
      <c r="L361" s="165"/>
      <c r="M361" s="165"/>
      <c r="N361" s="165">
        <f t="shared" si="6"/>
        <v>0</v>
      </c>
      <c r="O361" s="165" t="s">
        <v>1461</v>
      </c>
      <c r="P361" s="165" t="s">
        <v>1462</v>
      </c>
      <c r="Q361" s="3">
        <v>11340</v>
      </c>
      <c r="R361">
        <v>11340</v>
      </c>
    </row>
    <row r="362" spans="1:21">
      <c r="A362" s="165" t="s">
        <v>2219</v>
      </c>
      <c r="B362" s="165">
        <v>494</v>
      </c>
      <c r="C362" s="165" t="s">
        <v>1264</v>
      </c>
      <c r="D362" s="165">
        <v>4</v>
      </c>
      <c r="E362" s="165" t="s">
        <v>2223</v>
      </c>
      <c r="F362" s="165" t="s">
        <v>2049</v>
      </c>
      <c r="G362" s="165">
        <v>11340</v>
      </c>
      <c r="H362" s="165"/>
      <c r="I362" s="165"/>
      <c r="J362" s="165"/>
      <c r="K362" s="165">
        <v>11340</v>
      </c>
      <c r="L362" s="165"/>
      <c r="M362" s="165"/>
      <c r="N362" s="165">
        <f t="shared" si="6"/>
        <v>0</v>
      </c>
      <c r="O362" s="165" t="s">
        <v>504</v>
      </c>
      <c r="P362" s="165" t="s">
        <v>2499</v>
      </c>
      <c r="Q362" s="3">
        <v>11340</v>
      </c>
      <c r="R362">
        <v>11340</v>
      </c>
    </row>
    <row r="363" spans="1:21">
      <c r="A363" s="165" t="s">
        <v>2224</v>
      </c>
      <c r="B363" s="165">
        <v>495</v>
      </c>
      <c r="C363" s="165" t="s">
        <v>1301</v>
      </c>
      <c r="D363" s="165">
        <v>1</v>
      </c>
      <c r="E363" s="165" t="s">
        <v>2225</v>
      </c>
      <c r="F363" s="165" t="s">
        <v>514</v>
      </c>
      <c r="G363" s="165">
        <v>14175</v>
      </c>
      <c r="H363" s="165"/>
      <c r="I363" s="165"/>
      <c r="J363" s="165"/>
      <c r="K363" s="165">
        <v>14175</v>
      </c>
      <c r="L363" s="165"/>
      <c r="M363" s="165"/>
      <c r="N363" s="165">
        <f t="shared" si="6"/>
        <v>0</v>
      </c>
      <c r="O363" s="165" t="s">
        <v>490</v>
      </c>
      <c r="P363" s="165" t="s">
        <v>491</v>
      </c>
      <c r="Q363" s="3">
        <v>14175</v>
      </c>
      <c r="R363">
        <v>14175</v>
      </c>
    </row>
    <row r="364" spans="1:21">
      <c r="A364" s="165" t="s">
        <v>2224</v>
      </c>
      <c r="B364" s="165">
        <v>496</v>
      </c>
      <c r="C364" s="165" t="s">
        <v>1301</v>
      </c>
      <c r="D364" s="165">
        <v>2</v>
      </c>
      <c r="E364" s="165" t="s">
        <v>2226</v>
      </c>
      <c r="F364" s="165" t="s">
        <v>515</v>
      </c>
      <c r="G364" s="165">
        <v>14175</v>
      </c>
      <c r="H364" s="165"/>
      <c r="I364" s="165"/>
      <c r="J364" s="165"/>
      <c r="K364" s="165">
        <v>14175</v>
      </c>
      <c r="L364" s="165"/>
      <c r="M364" s="165"/>
      <c r="N364" s="165">
        <f t="shared" si="6"/>
        <v>0</v>
      </c>
      <c r="O364" s="165" t="s">
        <v>493</v>
      </c>
      <c r="P364" s="165" t="s">
        <v>911</v>
      </c>
      <c r="Q364" s="3">
        <v>14175</v>
      </c>
      <c r="R364">
        <v>14175</v>
      </c>
    </row>
    <row r="365" spans="1:21">
      <c r="A365" s="165" t="s">
        <v>2224</v>
      </c>
      <c r="B365" s="165">
        <v>497</v>
      </c>
      <c r="C365" s="165" t="s">
        <v>1301</v>
      </c>
      <c r="D365" s="165">
        <v>3</v>
      </c>
      <c r="E365" s="165" t="s">
        <v>2227</v>
      </c>
      <c r="F365" s="165" t="s">
        <v>460</v>
      </c>
      <c r="G365" s="165">
        <v>14175</v>
      </c>
      <c r="H365" s="165"/>
      <c r="I365" s="165"/>
      <c r="J365" s="165"/>
      <c r="K365" s="165">
        <v>14175</v>
      </c>
      <c r="L365" s="165"/>
      <c r="M365" s="165"/>
      <c r="N365" s="165">
        <f t="shared" si="6"/>
        <v>0</v>
      </c>
      <c r="O365" s="165" t="s">
        <v>460</v>
      </c>
      <c r="P365" s="165" t="s">
        <v>1465</v>
      </c>
      <c r="Q365" s="3">
        <v>14175</v>
      </c>
      <c r="R365">
        <v>14175</v>
      </c>
    </row>
    <row r="366" spans="1:21">
      <c r="A366" s="165" t="s">
        <v>2224</v>
      </c>
      <c r="B366" s="165">
        <v>498</v>
      </c>
      <c r="C366" s="165" t="s">
        <v>1301</v>
      </c>
      <c r="D366" s="165">
        <v>4</v>
      </c>
      <c r="E366" s="165" t="s">
        <v>2228</v>
      </c>
      <c r="F366" s="165" t="s">
        <v>2229</v>
      </c>
      <c r="G366" s="165">
        <v>14175</v>
      </c>
      <c r="H366" s="165"/>
      <c r="I366" s="165"/>
      <c r="J366" s="165"/>
      <c r="K366" s="165">
        <v>14175</v>
      </c>
      <c r="L366" s="165"/>
      <c r="M366" s="165"/>
      <c r="N366" s="165">
        <f t="shared" si="6"/>
        <v>0</v>
      </c>
      <c r="O366" s="165" t="s">
        <v>472</v>
      </c>
      <c r="P366" s="165" t="s">
        <v>2230</v>
      </c>
      <c r="Q366" s="3">
        <v>14175</v>
      </c>
      <c r="R366">
        <v>14175</v>
      </c>
    </row>
    <row r="367" spans="1:21">
      <c r="A367" s="165" t="s">
        <v>2224</v>
      </c>
      <c r="B367" s="165">
        <v>499</v>
      </c>
      <c r="C367" s="165" t="s">
        <v>1301</v>
      </c>
      <c r="D367" s="165">
        <v>5</v>
      </c>
      <c r="E367" s="165" t="s">
        <v>2231</v>
      </c>
      <c r="F367" s="165" t="s">
        <v>2232</v>
      </c>
      <c r="G367" s="165">
        <v>14175</v>
      </c>
      <c r="H367" s="165"/>
      <c r="I367" s="165"/>
      <c r="J367" s="165"/>
      <c r="K367" s="165">
        <v>14175</v>
      </c>
      <c r="L367" s="165"/>
      <c r="M367" s="165"/>
      <c r="N367" s="165">
        <f t="shared" si="6"/>
        <v>0</v>
      </c>
      <c r="O367" s="165" t="s">
        <v>2162</v>
      </c>
      <c r="P367" s="165" t="s">
        <v>1024</v>
      </c>
      <c r="Q367" s="3">
        <v>14175</v>
      </c>
      <c r="R367">
        <v>14175</v>
      </c>
    </row>
    <row r="368" spans="1:21">
      <c r="A368" s="165" t="s">
        <v>2224</v>
      </c>
      <c r="B368" s="165">
        <v>500</v>
      </c>
      <c r="C368" s="165" t="s">
        <v>1301</v>
      </c>
      <c r="D368" s="165">
        <v>6</v>
      </c>
      <c r="E368" s="165" t="s">
        <v>2233</v>
      </c>
      <c r="F368" s="165" t="s">
        <v>2234</v>
      </c>
      <c r="G368" s="165">
        <v>14175</v>
      </c>
      <c r="H368" s="165"/>
      <c r="I368" s="165"/>
      <c r="J368" s="165"/>
      <c r="K368" s="165">
        <v>14175</v>
      </c>
      <c r="L368" s="165"/>
      <c r="M368" s="165"/>
      <c r="N368" s="165">
        <f t="shared" si="6"/>
        <v>0</v>
      </c>
      <c r="O368" s="165" t="s">
        <v>2164</v>
      </c>
      <c r="P368" s="165" t="s">
        <v>1025</v>
      </c>
      <c r="Q368" s="3">
        <v>14175</v>
      </c>
      <c r="R368">
        <v>14175</v>
      </c>
    </row>
    <row r="369" spans="1:20">
      <c r="A369" s="165" t="s">
        <v>2224</v>
      </c>
      <c r="B369" s="165">
        <v>501</v>
      </c>
      <c r="C369" s="165" t="s">
        <v>1301</v>
      </c>
      <c r="D369" s="165">
        <v>7</v>
      </c>
      <c r="E369" s="165" t="s">
        <v>2235</v>
      </c>
      <c r="F369" s="165" t="s">
        <v>2236</v>
      </c>
      <c r="G369" s="165">
        <v>14175</v>
      </c>
      <c r="H369" s="165"/>
      <c r="I369" s="165"/>
      <c r="J369" s="165"/>
      <c r="K369" s="165">
        <v>14175</v>
      </c>
      <c r="L369" s="165"/>
      <c r="M369" s="165"/>
      <c r="N369" s="165">
        <f t="shared" si="6"/>
        <v>0</v>
      </c>
      <c r="O369" s="165" t="s">
        <v>628</v>
      </c>
      <c r="P369" s="165" t="s">
        <v>629</v>
      </c>
      <c r="Q369" s="3">
        <v>14175</v>
      </c>
      <c r="R369">
        <v>14175</v>
      </c>
    </row>
    <row r="370" spans="1:20">
      <c r="A370" s="165" t="s">
        <v>2224</v>
      </c>
      <c r="B370" s="165">
        <v>502</v>
      </c>
      <c r="C370" s="165" t="s">
        <v>1301</v>
      </c>
      <c r="D370" s="165">
        <v>8</v>
      </c>
      <c r="E370" s="165" t="s">
        <v>2237</v>
      </c>
      <c r="F370" s="165" t="s">
        <v>2238</v>
      </c>
      <c r="G370" s="165">
        <v>14175</v>
      </c>
      <c r="H370" s="165"/>
      <c r="I370" s="165"/>
      <c r="J370" s="165">
        <v>14175</v>
      </c>
      <c r="K370" s="165"/>
      <c r="L370" s="165"/>
      <c r="M370" s="165"/>
      <c r="N370" s="165">
        <f t="shared" si="6"/>
        <v>0</v>
      </c>
      <c r="O370" s="165" t="s">
        <v>3159</v>
      </c>
      <c r="P370" s="165" t="s">
        <v>3160</v>
      </c>
      <c r="Q370" s="3">
        <v>14175</v>
      </c>
      <c r="R370">
        <v>14175</v>
      </c>
    </row>
    <row r="371" spans="1:20">
      <c r="A371" s="209" t="s">
        <v>2239</v>
      </c>
      <c r="B371" s="209"/>
      <c r="C371" s="205" t="s">
        <v>1532</v>
      </c>
      <c r="D371" s="226">
        <v>7</v>
      </c>
      <c r="E371" s="183" t="s">
        <v>1283</v>
      </c>
      <c r="F371" s="209" t="s">
        <v>2239</v>
      </c>
      <c r="G371" s="165"/>
      <c r="H371" s="165"/>
      <c r="I371" s="165"/>
      <c r="J371" s="165"/>
      <c r="K371" s="165"/>
      <c r="L371" s="165"/>
      <c r="M371" s="165"/>
      <c r="N371" s="165">
        <f t="shared" si="6"/>
        <v>0</v>
      </c>
      <c r="O371" s="209" t="s">
        <v>2239</v>
      </c>
      <c r="P371" s="209" t="s">
        <v>2239</v>
      </c>
      <c r="Q371" s="178">
        <v>13500</v>
      </c>
      <c r="R371" s="178">
        <v>13485</v>
      </c>
      <c r="S371" s="178"/>
      <c r="T371" s="3">
        <v>15</v>
      </c>
    </row>
    <row r="372" spans="1:20">
      <c r="A372" s="165" t="s">
        <v>2240</v>
      </c>
      <c r="B372" s="165">
        <v>503</v>
      </c>
      <c r="C372" s="165" t="s">
        <v>1781</v>
      </c>
      <c r="D372" s="165">
        <v>1</v>
      </c>
      <c r="E372" s="165" t="s">
        <v>2241</v>
      </c>
      <c r="F372" s="165" t="s">
        <v>2240</v>
      </c>
      <c r="G372" s="165">
        <v>14175</v>
      </c>
      <c r="H372" s="165"/>
      <c r="I372" s="165"/>
      <c r="J372" s="165"/>
      <c r="K372" s="165">
        <v>14175</v>
      </c>
      <c r="L372" s="165"/>
      <c r="M372" s="165"/>
      <c r="N372" s="165">
        <f t="shared" si="6"/>
        <v>0</v>
      </c>
      <c r="O372" s="165" t="s">
        <v>490</v>
      </c>
      <c r="P372" s="165" t="s">
        <v>491</v>
      </c>
      <c r="Q372" s="3">
        <v>14175</v>
      </c>
      <c r="R372">
        <v>14175</v>
      </c>
    </row>
    <row r="373" spans="1:20">
      <c r="A373" s="165" t="s">
        <v>2240</v>
      </c>
      <c r="B373" s="165">
        <v>504</v>
      </c>
      <c r="C373" s="165" t="s">
        <v>1781</v>
      </c>
      <c r="D373" s="165">
        <v>2</v>
      </c>
      <c r="E373" s="165" t="s">
        <v>2242</v>
      </c>
      <c r="F373" s="165" t="s">
        <v>913</v>
      </c>
      <c r="G373" s="165">
        <v>14175</v>
      </c>
      <c r="H373" s="165"/>
      <c r="I373" s="165"/>
      <c r="J373" s="165"/>
      <c r="K373" s="165">
        <v>14175</v>
      </c>
      <c r="L373" s="165"/>
      <c r="M373" s="165"/>
      <c r="N373" s="165">
        <f t="shared" si="6"/>
        <v>0</v>
      </c>
      <c r="O373" s="165" t="s">
        <v>1461</v>
      </c>
      <c r="P373" s="165" t="s">
        <v>492</v>
      </c>
      <c r="Q373" s="3">
        <v>14175</v>
      </c>
      <c r="R373">
        <v>14175</v>
      </c>
    </row>
    <row r="374" spans="1:20">
      <c r="A374" s="165" t="s">
        <v>2240</v>
      </c>
      <c r="B374" s="165">
        <v>505</v>
      </c>
      <c r="C374" s="165" t="s">
        <v>1781</v>
      </c>
      <c r="D374" s="165">
        <v>3</v>
      </c>
      <c r="E374" s="165" t="s">
        <v>2243</v>
      </c>
      <c r="F374" s="165" t="s">
        <v>1470</v>
      </c>
      <c r="G374" s="165">
        <v>14175</v>
      </c>
      <c r="H374" s="165"/>
      <c r="I374" s="165"/>
      <c r="J374" s="165"/>
      <c r="K374" s="165">
        <v>14175</v>
      </c>
      <c r="L374" s="165"/>
      <c r="M374" s="165"/>
      <c r="N374" s="165">
        <f t="shared" si="6"/>
        <v>0</v>
      </c>
      <c r="O374" s="165" t="s">
        <v>500</v>
      </c>
      <c r="P374" s="165" t="s">
        <v>500</v>
      </c>
      <c r="Q374" s="3">
        <v>14175</v>
      </c>
      <c r="R374">
        <v>14175</v>
      </c>
    </row>
    <row r="375" spans="1:20">
      <c r="A375" s="165" t="s">
        <v>2240</v>
      </c>
      <c r="B375" s="165">
        <v>506</v>
      </c>
      <c r="C375" s="165" t="s">
        <v>1781</v>
      </c>
      <c r="D375" s="165">
        <v>4</v>
      </c>
      <c r="E375" s="165" t="s">
        <v>2244</v>
      </c>
      <c r="F375" s="165" t="s">
        <v>2245</v>
      </c>
      <c r="G375" s="165">
        <v>14175</v>
      </c>
      <c r="H375" s="165"/>
      <c r="I375" s="165"/>
      <c r="J375" s="165"/>
      <c r="K375" s="165">
        <v>14175</v>
      </c>
      <c r="L375" s="165"/>
      <c r="M375" s="165"/>
      <c r="N375" s="165">
        <f t="shared" si="6"/>
        <v>0</v>
      </c>
      <c r="O375" s="165" t="s">
        <v>501</v>
      </c>
      <c r="P375" s="165" t="s">
        <v>2160</v>
      </c>
      <c r="Q375" s="3">
        <v>14175</v>
      </c>
      <c r="R375">
        <v>14175</v>
      </c>
    </row>
    <row r="376" spans="1:20">
      <c r="A376" s="165" t="s">
        <v>2240</v>
      </c>
      <c r="B376" s="165">
        <v>507</v>
      </c>
      <c r="C376" s="165" t="s">
        <v>1781</v>
      </c>
      <c r="D376" s="165">
        <v>5</v>
      </c>
      <c r="E376" s="165" t="s">
        <v>2246</v>
      </c>
      <c r="F376" s="165" t="s">
        <v>2247</v>
      </c>
      <c r="G376" s="165">
        <v>14175</v>
      </c>
      <c r="H376" s="165"/>
      <c r="I376" s="165"/>
      <c r="J376" s="165"/>
      <c r="K376" s="165">
        <v>14175</v>
      </c>
      <c r="L376" s="165"/>
      <c r="M376" s="165"/>
      <c r="N376" s="165">
        <f t="shared" si="6"/>
        <v>0</v>
      </c>
      <c r="O376" s="165" t="s">
        <v>2162</v>
      </c>
      <c r="P376" s="165" t="s">
        <v>1024</v>
      </c>
      <c r="Q376" s="3">
        <v>14175</v>
      </c>
      <c r="R376">
        <v>14175</v>
      </c>
    </row>
    <row r="377" spans="1:20">
      <c r="A377" s="165" t="s">
        <v>2240</v>
      </c>
      <c r="B377" s="165">
        <v>508</v>
      </c>
      <c r="C377" s="165" t="s">
        <v>1781</v>
      </c>
      <c r="D377" s="165">
        <v>6</v>
      </c>
      <c r="E377" s="165" t="s">
        <v>2248</v>
      </c>
      <c r="F377" s="165" t="s">
        <v>2249</v>
      </c>
      <c r="G377" s="165">
        <v>14175</v>
      </c>
      <c r="H377" s="165"/>
      <c r="I377" s="165"/>
      <c r="J377" s="165"/>
      <c r="K377" s="165">
        <v>14175</v>
      </c>
      <c r="L377" s="165"/>
      <c r="M377" s="165"/>
      <c r="N377" s="165">
        <f t="shared" si="6"/>
        <v>0</v>
      </c>
      <c r="O377" s="165" t="s">
        <v>2164</v>
      </c>
      <c r="P377" s="165" t="s">
        <v>1025</v>
      </c>
      <c r="Q377" s="3">
        <v>14175</v>
      </c>
      <c r="R377">
        <v>14175</v>
      </c>
    </row>
    <row r="378" spans="1:20">
      <c r="A378" s="165" t="s">
        <v>2240</v>
      </c>
      <c r="B378" s="165">
        <v>509</v>
      </c>
      <c r="C378" s="165" t="s">
        <v>1781</v>
      </c>
      <c r="D378" s="165">
        <v>7</v>
      </c>
      <c r="E378" s="165" t="s">
        <v>2250</v>
      </c>
      <c r="F378" s="165" t="s">
        <v>2251</v>
      </c>
      <c r="G378" s="165">
        <v>14175</v>
      </c>
      <c r="H378" s="165"/>
      <c r="I378" s="165"/>
      <c r="J378" s="165"/>
      <c r="K378" s="165">
        <v>14175</v>
      </c>
      <c r="L378" s="165"/>
      <c r="M378" s="165"/>
      <c r="N378" s="165">
        <f t="shared" si="6"/>
        <v>0</v>
      </c>
      <c r="O378" s="165" t="s">
        <v>628</v>
      </c>
      <c r="P378" s="165" t="s">
        <v>629</v>
      </c>
      <c r="Q378" s="3">
        <v>14175</v>
      </c>
      <c r="R378">
        <v>14175</v>
      </c>
    </row>
    <row r="379" spans="1:20">
      <c r="A379" s="165" t="s">
        <v>2240</v>
      </c>
      <c r="B379" s="165">
        <v>510</v>
      </c>
      <c r="C379" s="165" t="s">
        <v>1781</v>
      </c>
      <c r="D379" s="165">
        <v>8</v>
      </c>
      <c r="E379" s="165" t="s">
        <v>630</v>
      </c>
      <c r="F379" s="165" t="s">
        <v>2252</v>
      </c>
      <c r="G379" s="165">
        <v>14175</v>
      </c>
      <c r="H379" s="165"/>
      <c r="I379" s="165"/>
      <c r="J379" s="165">
        <v>14175</v>
      </c>
      <c r="K379" s="165"/>
      <c r="L379" s="165"/>
      <c r="M379" s="165"/>
      <c r="N379" s="165">
        <f t="shared" si="6"/>
        <v>0</v>
      </c>
      <c r="O379" s="165" t="s">
        <v>3159</v>
      </c>
      <c r="P379" s="165" t="s">
        <v>3160</v>
      </c>
      <c r="Q379" s="3">
        <v>14175</v>
      </c>
      <c r="R379">
        <v>14175</v>
      </c>
    </row>
    <row r="380" spans="1:20">
      <c r="A380" s="178" t="s">
        <v>910</v>
      </c>
      <c r="B380" s="165">
        <v>511</v>
      </c>
      <c r="C380" s="178" t="s">
        <v>1232</v>
      </c>
      <c r="D380" s="178">
        <v>5</v>
      </c>
      <c r="E380" s="178" t="s">
        <v>2253</v>
      </c>
      <c r="F380" s="178" t="s">
        <v>910</v>
      </c>
      <c r="G380" s="178">
        <v>16380</v>
      </c>
      <c r="H380" s="178"/>
      <c r="I380" s="178"/>
      <c r="J380" s="165"/>
      <c r="K380" s="165">
        <v>16380</v>
      </c>
      <c r="L380" s="165"/>
      <c r="M380" s="165"/>
      <c r="N380" s="165">
        <f t="shared" si="6"/>
        <v>0</v>
      </c>
      <c r="O380" s="165" t="s">
        <v>490</v>
      </c>
      <c r="P380" s="165" t="s">
        <v>491</v>
      </c>
      <c r="Q380" s="3">
        <v>16380</v>
      </c>
      <c r="R380">
        <v>16380</v>
      </c>
    </row>
    <row r="381" spans="1:20">
      <c r="A381" s="165" t="s">
        <v>488</v>
      </c>
      <c r="B381" s="165">
        <v>512</v>
      </c>
      <c r="C381" s="165" t="s">
        <v>2254</v>
      </c>
      <c r="D381" s="165">
        <v>1</v>
      </c>
      <c r="E381" s="165" t="s">
        <v>2255</v>
      </c>
      <c r="F381" s="165" t="s">
        <v>490</v>
      </c>
      <c r="G381" s="165">
        <v>12600</v>
      </c>
      <c r="H381" s="165"/>
      <c r="I381" s="165"/>
      <c r="J381" s="165"/>
      <c r="K381" s="165">
        <v>12600</v>
      </c>
      <c r="L381" s="165"/>
      <c r="M381" s="165"/>
      <c r="N381" s="165">
        <f t="shared" si="6"/>
        <v>0</v>
      </c>
      <c r="O381" s="165" t="s">
        <v>490</v>
      </c>
      <c r="P381" s="165" t="s">
        <v>491</v>
      </c>
      <c r="Q381" s="3">
        <v>12600</v>
      </c>
      <c r="R381">
        <v>12600</v>
      </c>
    </row>
    <row r="382" spans="1:20">
      <c r="A382" s="165" t="s">
        <v>488</v>
      </c>
      <c r="B382" s="165">
        <v>513</v>
      </c>
      <c r="C382" s="165" t="s">
        <v>2254</v>
      </c>
      <c r="D382" s="165">
        <v>2</v>
      </c>
      <c r="E382" s="165" t="s">
        <v>2256</v>
      </c>
      <c r="F382" s="165" t="s">
        <v>2257</v>
      </c>
      <c r="G382" s="165">
        <v>12600</v>
      </c>
      <c r="H382" s="165"/>
      <c r="I382" s="165"/>
      <c r="J382" s="165"/>
      <c r="K382" s="165">
        <v>12600</v>
      </c>
      <c r="L382" s="165"/>
      <c r="M382" s="165"/>
      <c r="N382" s="165">
        <f t="shared" si="6"/>
        <v>0</v>
      </c>
      <c r="O382" s="165" t="s">
        <v>1461</v>
      </c>
      <c r="P382" s="165" t="s">
        <v>492</v>
      </c>
      <c r="Q382" s="3">
        <v>12600</v>
      </c>
      <c r="R382">
        <v>12600</v>
      </c>
    </row>
    <row r="383" spans="1:20">
      <c r="A383" s="165" t="s">
        <v>488</v>
      </c>
      <c r="B383" s="165">
        <v>514</v>
      </c>
      <c r="C383" s="165" t="s">
        <v>2254</v>
      </c>
      <c r="D383" s="165">
        <v>3</v>
      </c>
      <c r="E383" s="165" t="s">
        <v>2258</v>
      </c>
      <c r="F383" s="165" t="s">
        <v>2259</v>
      </c>
      <c r="G383" s="165">
        <v>12600</v>
      </c>
      <c r="H383" s="165"/>
      <c r="I383" s="165"/>
      <c r="J383" s="165"/>
      <c r="K383" s="165">
        <v>12600</v>
      </c>
      <c r="L383" s="165"/>
      <c r="M383" s="165"/>
      <c r="N383" s="165">
        <f t="shared" si="6"/>
        <v>0</v>
      </c>
      <c r="O383" s="165" t="s">
        <v>504</v>
      </c>
      <c r="P383" s="165" t="s">
        <v>505</v>
      </c>
      <c r="Q383" s="3">
        <v>12600</v>
      </c>
      <c r="R383">
        <v>12600</v>
      </c>
    </row>
    <row r="384" spans="1:20">
      <c r="A384" s="165" t="s">
        <v>488</v>
      </c>
      <c r="B384" s="165">
        <v>515</v>
      </c>
      <c r="C384" s="165" t="s">
        <v>2254</v>
      </c>
      <c r="D384" s="165">
        <v>4</v>
      </c>
      <c r="E384" s="165" t="s">
        <v>2260</v>
      </c>
      <c r="F384" s="165" t="s">
        <v>2261</v>
      </c>
      <c r="G384" s="165">
        <v>12600</v>
      </c>
      <c r="H384" s="165"/>
      <c r="I384" s="165"/>
      <c r="J384" s="165"/>
      <c r="K384" s="165">
        <v>12600</v>
      </c>
      <c r="L384" s="165"/>
      <c r="M384" s="165"/>
      <c r="N384" s="165">
        <f t="shared" si="6"/>
        <v>0</v>
      </c>
      <c r="O384" s="209" t="s">
        <v>610</v>
      </c>
      <c r="P384" s="165" t="s">
        <v>611</v>
      </c>
      <c r="Q384" s="3">
        <v>12600</v>
      </c>
      <c r="R384">
        <v>12600</v>
      </c>
    </row>
    <row r="385" spans="1:18">
      <c r="A385" s="165" t="s">
        <v>488</v>
      </c>
      <c r="B385" s="165">
        <v>516</v>
      </c>
      <c r="C385" s="165" t="s">
        <v>2254</v>
      </c>
      <c r="D385" s="165">
        <v>5</v>
      </c>
      <c r="E385" s="165" t="s">
        <v>2262</v>
      </c>
      <c r="F385" s="165" t="s">
        <v>2263</v>
      </c>
      <c r="G385" s="165">
        <v>12600</v>
      </c>
      <c r="H385" s="165"/>
      <c r="I385" s="165"/>
      <c r="J385" s="165"/>
      <c r="K385" s="165">
        <v>12600</v>
      </c>
      <c r="L385" s="165"/>
      <c r="M385" s="165"/>
      <c r="N385" s="165">
        <f t="shared" si="6"/>
        <v>0</v>
      </c>
      <c r="O385" s="165" t="s">
        <v>627</v>
      </c>
      <c r="P385" s="165" t="s">
        <v>827</v>
      </c>
      <c r="Q385" s="3">
        <v>12600</v>
      </c>
      <c r="R385">
        <v>12600</v>
      </c>
    </row>
    <row r="386" spans="1:18">
      <c r="A386" s="165" t="s">
        <v>488</v>
      </c>
      <c r="B386" s="165">
        <v>517</v>
      </c>
      <c r="C386" s="165" t="s">
        <v>2254</v>
      </c>
      <c r="D386" s="165">
        <v>6</v>
      </c>
      <c r="E386" s="165" t="s">
        <v>2264</v>
      </c>
      <c r="F386" s="165" t="s">
        <v>2265</v>
      </c>
      <c r="G386" s="165">
        <v>12600</v>
      </c>
      <c r="H386" s="165"/>
      <c r="I386" s="165"/>
      <c r="J386" s="165"/>
      <c r="K386" s="165">
        <v>12600</v>
      </c>
      <c r="L386" s="165"/>
      <c r="M386" s="165"/>
      <c r="N386" s="165">
        <f t="shared" si="6"/>
        <v>0</v>
      </c>
      <c r="O386" s="165" t="s">
        <v>613</v>
      </c>
      <c r="P386" s="165" t="s">
        <v>614</v>
      </c>
      <c r="Q386" s="3">
        <v>12600</v>
      </c>
      <c r="R386">
        <v>12600</v>
      </c>
    </row>
    <row r="387" spans="1:18">
      <c r="A387" s="165" t="s">
        <v>488</v>
      </c>
      <c r="B387" s="165">
        <v>518</v>
      </c>
      <c r="C387" s="165" t="s">
        <v>2254</v>
      </c>
      <c r="D387" s="165">
        <v>7</v>
      </c>
      <c r="E387" s="165" t="s">
        <v>2266</v>
      </c>
      <c r="F387" s="165" t="s">
        <v>2267</v>
      </c>
      <c r="G387" s="165">
        <v>12600</v>
      </c>
      <c r="H387" s="165"/>
      <c r="I387" s="165"/>
      <c r="J387" s="165">
        <v>12600</v>
      </c>
      <c r="K387" s="165"/>
      <c r="L387" s="165"/>
      <c r="M387" s="165"/>
      <c r="N387" s="165">
        <f t="shared" si="6"/>
        <v>0</v>
      </c>
      <c r="O387" s="165" t="s">
        <v>621</v>
      </c>
      <c r="P387" s="165" t="s">
        <v>622</v>
      </c>
      <c r="Q387" s="3">
        <v>12600</v>
      </c>
      <c r="R387">
        <v>12600</v>
      </c>
    </row>
    <row r="388" spans="1:18">
      <c r="A388" s="165" t="s">
        <v>488</v>
      </c>
      <c r="B388" s="165">
        <v>519</v>
      </c>
      <c r="C388" s="165" t="s">
        <v>2254</v>
      </c>
      <c r="D388" s="165">
        <v>8</v>
      </c>
      <c r="E388" s="165" t="s">
        <v>2268</v>
      </c>
      <c r="F388" s="165" t="s">
        <v>2269</v>
      </c>
      <c r="G388" s="165">
        <v>12600</v>
      </c>
      <c r="H388" s="165"/>
      <c r="I388" s="165"/>
      <c r="J388" s="165">
        <v>12600</v>
      </c>
      <c r="K388" s="165"/>
      <c r="L388" s="165"/>
      <c r="M388" s="165"/>
      <c r="N388" s="165">
        <f t="shared" si="6"/>
        <v>0</v>
      </c>
      <c r="O388" s="165" t="s">
        <v>3161</v>
      </c>
      <c r="P388" s="165" t="s">
        <v>3162</v>
      </c>
      <c r="Q388" s="3">
        <v>12600</v>
      </c>
      <c r="R388">
        <v>12600</v>
      </c>
    </row>
    <row r="389" spans="1:18">
      <c r="A389" s="165" t="s">
        <v>488</v>
      </c>
      <c r="B389" s="165">
        <v>520</v>
      </c>
      <c r="C389" s="165" t="s">
        <v>2270</v>
      </c>
      <c r="D389" s="165">
        <v>1</v>
      </c>
      <c r="E389" s="165" t="s">
        <v>2271</v>
      </c>
      <c r="F389" s="165" t="s">
        <v>490</v>
      </c>
      <c r="G389" s="165">
        <v>18900</v>
      </c>
      <c r="H389" s="165"/>
      <c r="I389" s="165"/>
      <c r="J389" s="165"/>
      <c r="K389" s="165">
        <v>18900</v>
      </c>
      <c r="L389" s="165"/>
      <c r="M389" s="165"/>
      <c r="N389" s="165">
        <f t="shared" si="6"/>
        <v>0</v>
      </c>
      <c r="O389" s="165" t="s">
        <v>490</v>
      </c>
      <c r="P389" s="165" t="s">
        <v>491</v>
      </c>
      <c r="Q389" s="3">
        <v>18900</v>
      </c>
      <c r="R389">
        <v>18900</v>
      </c>
    </row>
    <row r="390" spans="1:18">
      <c r="A390" s="165" t="s">
        <v>488</v>
      </c>
      <c r="B390" s="165">
        <v>521</v>
      </c>
      <c r="C390" s="165" t="s">
        <v>2270</v>
      </c>
      <c r="D390" s="165">
        <v>2</v>
      </c>
      <c r="E390" s="165" t="s">
        <v>2272</v>
      </c>
      <c r="F390" s="165" t="s">
        <v>2257</v>
      </c>
      <c r="G390" s="165">
        <v>18900</v>
      </c>
      <c r="H390" s="165"/>
      <c r="I390" s="165"/>
      <c r="J390" s="165"/>
      <c r="K390" s="165">
        <v>18900</v>
      </c>
      <c r="L390" s="165"/>
      <c r="M390" s="165"/>
      <c r="N390" s="165">
        <f t="shared" si="6"/>
        <v>0</v>
      </c>
      <c r="O390" s="165" t="s">
        <v>1461</v>
      </c>
      <c r="P390" s="165" t="s">
        <v>492</v>
      </c>
      <c r="Q390" s="3">
        <v>18900</v>
      </c>
      <c r="R390">
        <v>18900</v>
      </c>
    </row>
    <row r="391" spans="1:18">
      <c r="A391" s="165" t="s">
        <v>488</v>
      </c>
      <c r="B391" s="165">
        <v>522</v>
      </c>
      <c r="C391" s="165" t="s">
        <v>2270</v>
      </c>
      <c r="D391" s="165">
        <v>3</v>
      </c>
      <c r="E391" s="165" t="s">
        <v>2273</v>
      </c>
      <c r="F391" s="165" t="s">
        <v>2259</v>
      </c>
      <c r="G391" s="165">
        <v>18900</v>
      </c>
      <c r="H391" s="165"/>
      <c r="I391" s="165"/>
      <c r="J391" s="165"/>
      <c r="K391" s="165">
        <v>18900</v>
      </c>
      <c r="L391" s="165"/>
      <c r="M391" s="165"/>
      <c r="N391" s="165">
        <f t="shared" si="6"/>
        <v>0</v>
      </c>
      <c r="O391" s="165" t="s">
        <v>504</v>
      </c>
      <c r="P391" s="165" t="s">
        <v>505</v>
      </c>
      <c r="Q391" s="3">
        <v>18900</v>
      </c>
      <c r="R391">
        <v>18900</v>
      </c>
    </row>
    <row r="392" spans="1:18">
      <c r="A392" s="165" t="s">
        <v>488</v>
      </c>
      <c r="B392" s="165">
        <v>523</v>
      </c>
      <c r="C392" s="165" t="s">
        <v>2270</v>
      </c>
      <c r="D392" s="165">
        <v>4</v>
      </c>
      <c r="E392" s="165" t="s">
        <v>2274</v>
      </c>
      <c r="F392" s="165" t="s">
        <v>2261</v>
      </c>
      <c r="G392" s="165">
        <v>18900</v>
      </c>
      <c r="H392" s="165"/>
      <c r="I392" s="165"/>
      <c r="J392" s="165"/>
      <c r="K392" s="165">
        <v>18900</v>
      </c>
      <c r="L392" s="165"/>
      <c r="M392" s="165"/>
      <c r="N392" s="165">
        <f t="shared" si="6"/>
        <v>0</v>
      </c>
      <c r="O392" s="165" t="s">
        <v>610</v>
      </c>
      <c r="P392" s="165" t="s">
        <v>611</v>
      </c>
      <c r="Q392" s="3">
        <v>18900</v>
      </c>
      <c r="R392">
        <v>18900</v>
      </c>
    </row>
    <row r="393" spans="1:18">
      <c r="A393" s="165" t="s">
        <v>488</v>
      </c>
      <c r="B393" s="165">
        <v>524</v>
      </c>
      <c r="C393" s="165" t="s">
        <v>2270</v>
      </c>
      <c r="D393" s="165">
        <v>5</v>
      </c>
      <c r="E393" s="165" t="s">
        <v>2275</v>
      </c>
      <c r="F393" s="165" t="s">
        <v>2263</v>
      </c>
      <c r="G393" s="165">
        <v>18900</v>
      </c>
      <c r="H393" s="165"/>
      <c r="I393" s="165"/>
      <c r="J393" s="165"/>
      <c r="K393" s="165">
        <v>18900</v>
      </c>
      <c r="L393" s="165"/>
      <c r="M393" s="165"/>
      <c r="N393" s="165">
        <f t="shared" si="6"/>
        <v>0</v>
      </c>
      <c r="O393" s="165" t="s">
        <v>627</v>
      </c>
      <c r="P393" s="165" t="s">
        <v>827</v>
      </c>
      <c r="Q393" s="3">
        <v>18900</v>
      </c>
      <c r="R393">
        <v>18900</v>
      </c>
    </row>
    <row r="394" spans="1:18">
      <c r="A394" s="165" t="s">
        <v>488</v>
      </c>
      <c r="B394" s="165">
        <v>525</v>
      </c>
      <c r="C394" s="165" t="s">
        <v>2270</v>
      </c>
      <c r="D394" s="165">
        <v>6</v>
      </c>
      <c r="E394" s="165" t="s">
        <v>2276</v>
      </c>
      <c r="F394" s="165" t="s">
        <v>2265</v>
      </c>
      <c r="G394" s="165">
        <v>18900</v>
      </c>
      <c r="H394" s="165"/>
      <c r="I394" s="165"/>
      <c r="J394" s="165"/>
      <c r="K394" s="165">
        <v>18900</v>
      </c>
      <c r="L394" s="165"/>
      <c r="M394" s="165"/>
      <c r="N394" s="165">
        <f t="shared" si="6"/>
        <v>0</v>
      </c>
      <c r="O394" s="165" t="s">
        <v>613</v>
      </c>
      <c r="P394" s="165" t="s">
        <v>614</v>
      </c>
      <c r="Q394" s="3">
        <v>18900</v>
      </c>
      <c r="R394">
        <v>18900</v>
      </c>
    </row>
    <row r="395" spans="1:18">
      <c r="A395" s="165" t="s">
        <v>488</v>
      </c>
      <c r="B395" s="165">
        <v>526</v>
      </c>
      <c r="C395" s="165" t="s">
        <v>2270</v>
      </c>
      <c r="D395" s="165">
        <v>7</v>
      </c>
      <c r="E395" s="165" t="s">
        <v>2277</v>
      </c>
      <c r="F395" s="165" t="s">
        <v>2267</v>
      </c>
      <c r="G395" s="165">
        <v>18900</v>
      </c>
      <c r="H395" s="165"/>
      <c r="I395" s="165"/>
      <c r="J395" s="165">
        <v>18900</v>
      </c>
      <c r="K395" s="165"/>
      <c r="L395" s="165"/>
      <c r="M395" s="165"/>
      <c r="N395" s="165">
        <f t="shared" si="6"/>
        <v>0</v>
      </c>
      <c r="O395" s="165" t="s">
        <v>621</v>
      </c>
      <c r="P395" s="165" t="s">
        <v>622</v>
      </c>
      <c r="Q395" s="3">
        <v>18900</v>
      </c>
      <c r="R395">
        <v>18900</v>
      </c>
    </row>
    <row r="396" spans="1:18">
      <c r="A396" s="165" t="s">
        <v>488</v>
      </c>
      <c r="B396" s="165">
        <v>527</v>
      </c>
      <c r="C396" s="165" t="s">
        <v>2270</v>
      </c>
      <c r="D396" s="165">
        <v>8</v>
      </c>
      <c r="E396" s="165" t="s">
        <v>2278</v>
      </c>
      <c r="F396" s="165" t="s">
        <v>2269</v>
      </c>
      <c r="G396" s="165">
        <v>18900</v>
      </c>
      <c r="H396" s="165"/>
      <c r="I396" s="165"/>
      <c r="J396" s="165">
        <v>18900</v>
      </c>
      <c r="K396" s="165"/>
      <c r="L396" s="165"/>
      <c r="M396" s="165"/>
      <c r="N396" s="165">
        <f t="shared" si="6"/>
        <v>0</v>
      </c>
      <c r="O396" s="165" t="s">
        <v>3161</v>
      </c>
      <c r="P396" s="165" t="s">
        <v>3162</v>
      </c>
      <c r="Q396" s="3">
        <v>18900</v>
      </c>
      <c r="R396">
        <v>18900</v>
      </c>
    </row>
    <row r="397" spans="1:18">
      <c r="A397" s="178" t="s">
        <v>489</v>
      </c>
      <c r="B397" s="165">
        <v>528</v>
      </c>
      <c r="C397" s="178" t="s">
        <v>1699</v>
      </c>
      <c r="D397" s="178">
        <v>7</v>
      </c>
      <c r="E397" s="178" t="s">
        <v>2279</v>
      </c>
      <c r="F397" s="178" t="s">
        <v>2664</v>
      </c>
      <c r="G397" s="178">
        <v>13500</v>
      </c>
      <c r="H397" s="178"/>
      <c r="I397" s="178"/>
      <c r="J397" s="165"/>
      <c r="K397" s="165">
        <v>13500</v>
      </c>
      <c r="L397" s="165"/>
      <c r="M397" s="165"/>
      <c r="N397" s="165">
        <f t="shared" si="6"/>
        <v>0</v>
      </c>
      <c r="O397" s="165" t="s">
        <v>495</v>
      </c>
      <c r="P397" s="165" t="s">
        <v>1472</v>
      </c>
      <c r="Q397" s="3">
        <v>13500</v>
      </c>
      <c r="R397">
        <v>13500</v>
      </c>
    </row>
    <row r="398" spans="1:18">
      <c r="A398" s="165" t="s">
        <v>2280</v>
      </c>
      <c r="B398" s="165">
        <v>529</v>
      </c>
      <c r="C398" s="165" t="s">
        <v>1304</v>
      </c>
      <c r="D398" s="165">
        <v>1</v>
      </c>
      <c r="E398" s="165" t="s">
        <v>2281</v>
      </c>
      <c r="F398" s="165" t="s">
        <v>909</v>
      </c>
      <c r="G398" s="165">
        <v>9450</v>
      </c>
      <c r="H398" s="165"/>
      <c r="I398" s="165"/>
      <c r="J398" s="165"/>
      <c r="K398" s="165">
        <v>9450</v>
      </c>
      <c r="L398" s="165"/>
      <c r="M398" s="165"/>
      <c r="N398" s="165">
        <f t="shared" si="6"/>
        <v>0</v>
      </c>
      <c r="O398" s="165" t="s">
        <v>490</v>
      </c>
      <c r="P398" s="165" t="s">
        <v>491</v>
      </c>
      <c r="Q398" s="3">
        <v>9450</v>
      </c>
      <c r="R398">
        <v>9450</v>
      </c>
    </row>
    <row r="399" spans="1:18">
      <c r="A399" s="165" t="s">
        <v>2280</v>
      </c>
      <c r="B399" s="165">
        <v>530</v>
      </c>
      <c r="C399" s="165" t="s">
        <v>1304</v>
      </c>
      <c r="D399" s="165">
        <v>2</v>
      </c>
      <c r="E399" s="165" t="s">
        <v>2282</v>
      </c>
      <c r="F399" s="165" t="s">
        <v>912</v>
      </c>
      <c r="G399" s="165">
        <v>9450</v>
      </c>
      <c r="H399" s="165"/>
      <c r="I399" s="165"/>
      <c r="J399" s="165"/>
      <c r="K399" s="165">
        <v>9450</v>
      </c>
      <c r="L399" s="165"/>
      <c r="M399" s="165"/>
      <c r="N399" s="165">
        <f t="shared" si="6"/>
        <v>0</v>
      </c>
      <c r="O399" s="165" t="s">
        <v>1461</v>
      </c>
      <c r="P399" s="165" t="s">
        <v>492</v>
      </c>
      <c r="Q399" s="3">
        <v>9450</v>
      </c>
      <c r="R399">
        <v>9450</v>
      </c>
    </row>
    <row r="400" spans="1:18">
      <c r="A400" s="165" t="s">
        <v>2280</v>
      </c>
      <c r="B400" s="165">
        <v>531</v>
      </c>
      <c r="C400" s="165" t="s">
        <v>1304</v>
      </c>
      <c r="D400" s="165">
        <v>3</v>
      </c>
      <c r="E400" s="165" t="s">
        <v>2283</v>
      </c>
      <c r="F400" s="165" t="s">
        <v>1468</v>
      </c>
      <c r="G400" s="165">
        <v>9450</v>
      </c>
      <c r="H400" s="165"/>
      <c r="I400" s="165"/>
      <c r="J400" s="165"/>
      <c r="K400" s="165">
        <v>9450</v>
      </c>
      <c r="L400" s="165"/>
      <c r="M400" s="165"/>
      <c r="N400" s="165">
        <f t="shared" si="6"/>
        <v>0</v>
      </c>
      <c r="O400" s="165" t="s">
        <v>500</v>
      </c>
      <c r="P400" s="165" t="s">
        <v>500</v>
      </c>
      <c r="Q400" s="3">
        <v>9450</v>
      </c>
      <c r="R400">
        <v>9450</v>
      </c>
    </row>
    <row r="401" spans="1:20">
      <c r="A401" s="165" t="s">
        <v>2280</v>
      </c>
      <c r="B401" s="165">
        <v>532</v>
      </c>
      <c r="C401" s="165" t="s">
        <v>1304</v>
      </c>
      <c r="D401" s="165">
        <v>4</v>
      </c>
      <c r="E401" s="165" t="s">
        <v>2284</v>
      </c>
      <c r="F401" s="165" t="s">
        <v>2285</v>
      </c>
      <c r="G401" s="165">
        <v>9450</v>
      </c>
      <c r="H401" s="165"/>
      <c r="I401" s="165"/>
      <c r="J401" s="165"/>
      <c r="K401" s="165">
        <v>9450</v>
      </c>
      <c r="L401" s="165"/>
      <c r="M401" s="165"/>
      <c r="N401" s="165">
        <f t="shared" si="6"/>
        <v>0</v>
      </c>
      <c r="O401" s="165" t="s">
        <v>501</v>
      </c>
      <c r="P401" s="165" t="s">
        <v>2160</v>
      </c>
      <c r="Q401" s="3">
        <v>9450</v>
      </c>
      <c r="R401">
        <v>9450</v>
      </c>
    </row>
    <row r="402" spans="1:20">
      <c r="A402" s="165" t="s">
        <v>2280</v>
      </c>
      <c r="B402" s="165">
        <v>533</v>
      </c>
      <c r="C402" s="165" t="s">
        <v>1304</v>
      </c>
      <c r="D402" s="165">
        <v>5</v>
      </c>
      <c r="E402" s="165" t="s">
        <v>2286</v>
      </c>
      <c r="F402" s="165" t="s">
        <v>2287</v>
      </c>
      <c r="G402" s="165">
        <v>9450</v>
      </c>
      <c r="H402" s="165"/>
      <c r="I402" s="165"/>
      <c r="J402" s="165"/>
      <c r="K402" s="165">
        <v>9450</v>
      </c>
      <c r="L402" s="165"/>
      <c r="M402" s="165"/>
      <c r="N402" s="165">
        <f t="shared" si="6"/>
        <v>0</v>
      </c>
      <c r="O402" s="165" t="s">
        <v>2162</v>
      </c>
      <c r="P402" s="165" t="s">
        <v>2162</v>
      </c>
      <c r="Q402" s="3">
        <v>9450</v>
      </c>
      <c r="R402">
        <v>9450</v>
      </c>
    </row>
    <row r="403" spans="1:20">
      <c r="A403" s="165" t="s">
        <v>2280</v>
      </c>
      <c r="B403" s="165">
        <v>534</v>
      </c>
      <c r="C403" s="165" t="s">
        <v>1304</v>
      </c>
      <c r="D403" s="165">
        <v>6</v>
      </c>
      <c r="E403" s="165" t="s">
        <v>2288</v>
      </c>
      <c r="F403" s="165" t="s">
        <v>2289</v>
      </c>
      <c r="G403" s="165">
        <v>9450</v>
      </c>
      <c r="H403" s="165"/>
      <c r="I403" s="165"/>
      <c r="J403" s="165"/>
      <c r="K403" s="165">
        <v>9450</v>
      </c>
      <c r="L403" s="165"/>
      <c r="M403" s="165"/>
      <c r="N403" s="165">
        <f t="shared" si="6"/>
        <v>0</v>
      </c>
      <c r="O403" s="165" t="s">
        <v>2164</v>
      </c>
      <c r="P403" s="165" t="s">
        <v>1025</v>
      </c>
      <c r="Q403" s="3">
        <v>9450</v>
      </c>
      <c r="R403">
        <v>9450</v>
      </c>
    </row>
    <row r="404" spans="1:20">
      <c r="A404" s="165" t="s">
        <v>2280</v>
      </c>
      <c r="B404" s="165">
        <v>535</v>
      </c>
      <c r="C404" s="165" t="s">
        <v>1304</v>
      </c>
      <c r="D404" s="165">
        <v>7</v>
      </c>
      <c r="E404" s="165" t="s">
        <v>2290</v>
      </c>
      <c r="F404" s="165" t="s">
        <v>2291</v>
      </c>
      <c r="G404" s="165">
        <v>9450</v>
      </c>
      <c r="H404" s="165"/>
      <c r="I404" s="165"/>
      <c r="J404" s="165"/>
      <c r="K404" s="165">
        <v>9450</v>
      </c>
      <c r="L404" s="165"/>
      <c r="M404" s="165"/>
      <c r="N404" s="165">
        <f t="shared" si="6"/>
        <v>0</v>
      </c>
      <c r="O404" s="165" t="s">
        <v>628</v>
      </c>
      <c r="P404" s="165" t="s">
        <v>629</v>
      </c>
      <c r="Q404" s="3">
        <v>9450</v>
      </c>
      <c r="R404">
        <v>9450</v>
      </c>
    </row>
    <row r="405" spans="1:20">
      <c r="A405" s="165" t="s">
        <v>2280</v>
      </c>
      <c r="B405" s="165">
        <v>536</v>
      </c>
      <c r="C405" s="165" t="s">
        <v>1304</v>
      </c>
      <c r="D405" s="165">
        <v>8</v>
      </c>
      <c r="E405" s="165" t="s">
        <v>2292</v>
      </c>
      <c r="F405" s="165" t="s">
        <v>2293</v>
      </c>
      <c r="G405" s="165">
        <v>9450</v>
      </c>
      <c r="H405" s="165"/>
      <c r="I405" s="165"/>
      <c r="J405" s="165">
        <v>9450</v>
      </c>
      <c r="K405" s="165"/>
      <c r="L405" s="165"/>
      <c r="M405" s="165"/>
      <c r="N405" s="165">
        <f t="shared" si="6"/>
        <v>0</v>
      </c>
      <c r="O405" s="165" t="s">
        <v>3159</v>
      </c>
      <c r="P405" s="165" t="s">
        <v>3160</v>
      </c>
      <c r="Q405" s="3">
        <v>9450</v>
      </c>
      <c r="R405">
        <v>9450</v>
      </c>
    </row>
    <row r="406" spans="1:20">
      <c r="A406" s="209" t="s">
        <v>1458</v>
      </c>
      <c r="B406" s="209"/>
      <c r="C406" s="205" t="s">
        <v>3825</v>
      </c>
      <c r="D406" s="226">
        <v>6</v>
      </c>
      <c r="E406" s="183" t="s">
        <v>1283</v>
      </c>
      <c r="F406" s="209" t="s">
        <v>1458</v>
      </c>
      <c r="G406" s="165"/>
      <c r="H406" s="165"/>
      <c r="I406" s="165"/>
      <c r="J406" s="209"/>
      <c r="K406" s="209"/>
      <c r="L406" s="209"/>
      <c r="M406" s="209"/>
      <c r="N406" s="209">
        <f t="shared" si="6"/>
        <v>0</v>
      </c>
      <c r="O406" s="209" t="s">
        <v>1458</v>
      </c>
      <c r="P406" s="209" t="s">
        <v>1458</v>
      </c>
      <c r="Q406" s="178">
        <v>14175</v>
      </c>
      <c r="R406" s="178">
        <v>14145</v>
      </c>
      <c r="S406" s="178"/>
      <c r="T406" s="3">
        <v>30</v>
      </c>
    </row>
    <row r="407" spans="1:20">
      <c r="A407" s="165" t="s">
        <v>2294</v>
      </c>
      <c r="B407" s="165">
        <v>537</v>
      </c>
      <c r="C407" s="165" t="s">
        <v>1699</v>
      </c>
      <c r="D407" s="165">
        <v>8</v>
      </c>
      <c r="E407" s="165" t="s">
        <v>2295</v>
      </c>
      <c r="F407" s="165" t="s">
        <v>2777</v>
      </c>
      <c r="G407" s="165">
        <v>13500</v>
      </c>
      <c r="H407" s="165"/>
      <c r="I407" s="165"/>
      <c r="J407" s="165"/>
      <c r="K407" s="165">
        <v>13500</v>
      </c>
      <c r="L407" s="165"/>
      <c r="M407" s="165"/>
      <c r="N407" s="165">
        <f t="shared" si="6"/>
        <v>0</v>
      </c>
      <c r="O407" s="165" t="s">
        <v>1461</v>
      </c>
      <c r="P407" s="165" t="s">
        <v>492</v>
      </c>
      <c r="Q407" s="3">
        <v>13500</v>
      </c>
      <c r="R407">
        <v>13500</v>
      </c>
    </row>
    <row r="408" spans="1:20">
      <c r="A408" s="165" t="s">
        <v>2294</v>
      </c>
      <c r="B408" s="165">
        <v>538</v>
      </c>
      <c r="C408" s="165" t="s">
        <v>2686</v>
      </c>
      <c r="D408" s="165">
        <v>1</v>
      </c>
      <c r="E408" s="165" t="s">
        <v>2296</v>
      </c>
      <c r="F408" s="165" t="s">
        <v>2209</v>
      </c>
      <c r="G408" s="165">
        <v>11340</v>
      </c>
      <c r="H408" s="165"/>
      <c r="I408" s="165"/>
      <c r="J408" s="165"/>
      <c r="K408" s="165">
        <v>11340</v>
      </c>
      <c r="L408" s="165"/>
      <c r="M408" s="165"/>
      <c r="N408" s="165">
        <f t="shared" si="6"/>
        <v>0</v>
      </c>
      <c r="O408" s="165" t="s">
        <v>493</v>
      </c>
      <c r="P408" s="165" t="s">
        <v>911</v>
      </c>
      <c r="Q408" s="3">
        <v>11340</v>
      </c>
      <c r="R408">
        <v>11340</v>
      </c>
    </row>
    <row r="409" spans="1:20">
      <c r="A409" s="165" t="s">
        <v>2294</v>
      </c>
      <c r="B409" s="165">
        <v>539</v>
      </c>
      <c r="C409" s="165" t="s">
        <v>2686</v>
      </c>
      <c r="D409" s="165">
        <v>2</v>
      </c>
      <c r="E409" s="165" t="s">
        <v>2297</v>
      </c>
      <c r="F409" s="165" t="s">
        <v>459</v>
      </c>
      <c r="G409" s="165">
        <v>11340</v>
      </c>
      <c r="H409" s="165"/>
      <c r="I409" s="165"/>
      <c r="J409" s="165"/>
      <c r="K409" s="165">
        <v>11340</v>
      </c>
      <c r="L409" s="165"/>
      <c r="M409" s="165"/>
      <c r="N409" s="165">
        <f t="shared" si="6"/>
        <v>0</v>
      </c>
      <c r="O409" s="165" t="s">
        <v>460</v>
      </c>
      <c r="P409" s="165" t="s">
        <v>1465</v>
      </c>
      <c r="Q409" s="3">
        <v>11340</v>
      </c>
      <c r="R409">
        <v>11340</v>
      </c>
    </row>
    <row r="410" spans="1:20">
      <c r="A410" s="165" t="s">
        <v>2294</v>
      </c>
      <c r="B410" s="165">
        <v>540</v>
      </c>
      <c r="C410" s="165" t="s">
        <v>2686</v>
      </c>
      <c r="D410" s="165">
        <v>3</v>
      </c>
      <c r="E410" s="165" t="s">
        <v>2298</v>
      </c>
      <c r="F410" s="165" t="s">
        <v>445</v>
      </c>
      <c r="G410" s="165">
        <v>11340</v>
      </c>
      <c r="H410" s="165"/>
      <c r="I410" s="165"/>
      <c r="J410" s="165"/>
      <c r="K410" s="165">
        <v>11340</v>
      </c>
      <c r="L410" s="165"/>
      <c r="M410" s="165"/>
      <c r="N410" s="165">
        <f t="shared" si="6"/>
        <v>0</v>
      </c>
      <c r="O410" s="165" t="s">
        <v>508</v>
      </c>
      <c r="P410" s="165" t="s">
        <v>2299</v>
      </c>
      <c r="Q410" s="3">
        <v>11340</v>
      </c>
      <c r="R410">
        <v>11340</v>
      </c>
    </row>
    <row r="411" spans="1:20">
      <c r="A411" s="165" t="s">
        <v>2294</v>
      </c>
      <c r="B411" s="165">
        <v>541</v>
      </c>
      <c r="C411" s="165" t="s">
        <v>2686</v>
      </c>
      <c r="D411" s="165">
        <v>4</v>
      </c>
      <c r="E411" s="165" t="s">
        <v>2300</v>
      </c>
      <c r="F411" s="165" t="s">
        <v>2301</v>
      </c>
      <c r="G411" s="165">
        <v>11340</v>
      </c>
      <c r="H411" s="165"/>
      <c r="I411" s="165"/>
      <c r="J411" s="165"/>
      <c r="K411" s="165">
        <v>11340</v>
      </c>
      <c r="L411" s="165"/>
      <c r="M411" s="165"/>
      <c r="N411" s="165">
        <f t="shared" si="6"/>
        <v>0</v>
      </c>
      <c r="O411" s="165" t="s">
        <v>615</v>
      </c>
      <c r="P411" s="165" t="s">
        <v>616</v>
      </c>
      <c r="Q411" s="3">
        <v>11340</v>
      </c>
      <c r="R411">
        <v>11340</v>
      </c>
    </row>
    <row r="412" spans="1:20">
      <c r="A412" s="165" t="s">
        <v>2294</v>
      </c>
      <c r="B412" s="165">
        <v>542</v>
      </c>
      <c r="C412" s="165" t="s">
        <v>2686</v>
      </c>
      <c r="D412" s="165">
        <v>5</v>
      </c>
      <c r="E412" s="165" t="s">
        <v>2302</v>
      </c>
      <c r="F412" s="165" t="s">
        <v>2214</v>
      </c>
      <c r="G412" s="165">
        <v>11340</v>
      </c>
      <c r="H412" s="165"/>
      <c r="I412" s="165"/>
      <c r="J412" s="165"/>
      <c r="K412" s="165">
        <v>11340</v>
      </c>
      <c r="L412" s="165"/>
      <c r="M412" s="165"/>
      <c r="N412" s="165">
        <f t="shared" ref="N412:N475" si="7">G412-J412-K412</f>
        <v>0</v>
      </c>
      <c r="O412" s="165" t="s">
        <v>617</v>
      </c>
      <c r="P412" s="165" t="s">
        <v>618</v>
      </c>
      <c r="Q412" s="3">
        <v>11340</v>
      </c>
      <c r="R412">
        <v>11340</v>
      </c>
    </row>
    <row r="413" spans="1:20">
      <c r="A413" s="165" t="s">
        <v>2294</v>
      </c>
      <c r="B413" s="165">
        <v>543</v>
      </c>
      <c r="C413" s="165" t="s">
        <v>2686</v>
      </c>
      <c r="D413" s="165">
        <v>6</v>
      </c>
      <c r="E413" s="165" t="s">
        <v>2303</v>
      </c>
      <c r="F413" s="165" t="s">
        <v>2216</v>
      </c>
      <c r="G413" s="165">
        <v>11340</v>
      </c>
      <c r="H413" s="165"/>
      <c r="I413" s="165"/>
      <c r="J413" s="165"/>
      <c r="K413" s="165">
        <v>11340</v>
      </c>
      <c r="L413" s="165"/>
      <c r="M413" s="165"/>
      <c r="N413" s="165">
        <f t="shared" si="7"/>
        <v>0</v>
      </c>
      <c r="O413" s="165" t="s">
        <v>628</v>
      </c>
      <c r="P413" s="165" t="s">
        <v>629</v>
      </c>
      <c r="Q413" s="3">
        <v>11340</v>
      </c>
      <c r="R413">
        <v>11340</v>
      </c>
    </row>
    <row r="414" spans="1:20">
      <c r="A414" s="165" t="s">
        <v>2294</v>
      </c>
      <c r="B414" s="165">
        <v>544</v>
      </c>
      <c r="C414" s="165" t="s">
        <v>2686</v>
      </c>
      <c r="D414" s="165">
        <v>7</v>
      </c>
      <c r="E414" s="165" t="s">
        <v>2304</v>
      </c>
      <c r="F414" s="165" t="s">
        <v>2218</v>
      </c>
      <c r="G414" s="165">
        <v>11340</v>
      </c>
      <c r="H414" s="165"/>
      <c r="I414" s="165"/>
      <c r="J414" s="165">
        <v>11340</v>
      </c>
      <c r="K414" s="165"/>
      <c r="L414" s="165"/>
      <c r="M414" s="165"/>
      <c r="N414" s="165">
        <f t="shared" si="7"/>
        <v>0</v>
      </c>
      <c r="O414" s="165" t="s">
        <v>625</v>
      </c>
      <c r="P414" s="165" t="s">
        <v>626</v>
      </c>
      <c r="Q414" s="3">
        <v>11340</v>
      </c>
      <c r="R414">
        <v>11340</v>
      </c>
    </row>
    <row r="415" spans="1:20">
      <c r="A415" s="165" t="s">
        <v>2294</v>
      </c>
      <c r="B415" s="165">
        <v>545</v>
      </c>
      <c r="C415" s="165" t="s">
        <v>2686</v>
      </c>
      <c r="D415" s="165">
        <v>8</v>
      </c>
      <c r="E415" s="165" t="s">
        <v>2305</v>
      </c>
      <c r="F415" s="165" t="s">
        <v>2306</v>
      </c>
      <c r="G415" s="165">
        <v>11340</v>
      </c>
      <c r="H415" s="165"/>
      <c r="I415" s="165"/>
      <c r="J415" s="165">
        <v>11340</v>
      </c>
      <c r="K415" s="165"/>
      <c r="L415" s="165"/>
      <c r="M415" s="165"/>
      <c r="N415" s="165">
        <f t="shared" si="7"/>
        <v>0</v>
      </c>
      <c r="O415" s="165" t="s">
        <v>683</v>
      </c>
      <c r="P415" s="165" t="s">
        <v>3163</v>
      </c>
      <c r="Q415" s="3">
        <v>11340</v>
      </c>
      <c r="R415">
        <v>11340</v>
      </c>
    </row>
    <row r="416" spans="1:20">
      <c r="A416" s="209" t="s">
        <v>2307</v>
      </c>
      <c r="B416" s="209"/>
      <c r="C416" s="205" t="s">
        <v>2421</v>
      </c>
      <c r="D416" s="226">
        <v>7</v>
      </c>
      <c r="E416" s="183" t="s">
        <v>1283</v>
      </c>
      <c r="F416" s="209" t="s">
        <v>2307</v>
      </c>
      <c r="G416" s="165"/>
      <c r="H416" s="165"/>
      <c r="I416" s="165"/>
      <c r="J416" s="165"/>
      <c r="K416" s="165"/>
      <c r="L416" s="165"/>
      <c r="M416" s="165"/>
      <c r="N416" s="165">
        <f t="shared" si="7"/>
        <v>0</v>
      </c>
      <c r="O416" s="209" t="s">
        <v>2307</v>
      </c>
      <c r="P416" s="209" t="s">
        <v>2307</v>
      </c>
      <c r="Q416" s="178">
        <v>14175</v>
      </c>
      <c r="R416" s="178">
        <v>14165</v>
      </c>
      <c r="S416" s="178"/>
      <c r="T416" s="3">
        <v>10</v>
      </c>
    </row>
    <row r="417" spans="1:19">
      <c r="A417" s="165" t="s">
        <v>2307</v>
      </c>
      <c r="B417" s="165">
        <v>546</v>
      </c>
      <c r="C417" s="165" t="s">
        <v>1775</v>
      </c>
      <c r="D417" s="165">
        <v>1</v>
      </c>
      <c r="E417" s="165" t="s">
        <v>2308</v>
      </c>
      <c r="F417" s="165" t="s">
        <v>2209</v>
      </c>
      <c r="G417" s="165">
        <v>10800</v>
      </c>
      <c r="H417" s="165"/>
      <c r="I417" s="165"/>
      <c r="J417" s="165"/>
      <c r="K417" s="165">
        <v>10800</v>
      </c>
      <c r="L417" s="165"/>
      <c r="M417" s="165"/>
      <c r="N417" s="165">
        <f t="shared" si="7"/>
        <v>0</v>
      </c>
      <c r="O417" s="165" t="s">
        <v>493</v>
      </c>
      <c r="P417" s="165" t="s">
        <v>911</v>
      </c>
      <c r="Q417" s="3">
        <v>10800</v>
      </c>
      <c r="R417">
        <v>10800</v>
      </c>
    </row>
    <row r="418" spans="1:19">
      <c r="A418" s="165" t="s">
        <v>2307</v>
      </c>
      <c r="B418" s="165">
        <v>547</v>
      </c>
      <c r="C418" s="165" t="s">
        <v>1775</v>
      </c>
      <c r="D418" s="165">
        <v>2</v>
      </c>
      <c r="E418" s="165" t="s">
        <v>2309</v>
      </c>
      <c r="F418" s="165" t="s">
        <v>459</v>
      </c>
      <c r="G418" s="165">
        <v>10800</v>
      </c>
      <c r="H418" s="165"/>
      <c r="I418" s="165"/>
      <c r="J418" s="165"/>
      <c r="K418" s="165">
        <v>10800</v>
      </c>
      <c r="L418" s="165"/>
      <c r="M418" s="165"/>
      <c r="N418" s="165">
        <f t="shared" si="7"/>
        <v>0</v>
      </c>
      <c r="O418" s="165" t="s">
        <v>460</v>
      </c>
      <c r="P418" s="165" t="s">
        <v>1465</v>
      </c>
      <c r="Q418" s="3">
        <v>10800</v>
      </c>
      <c r="R418">
        <v>10800</v>
      </c>
    </row>
    <row r="419" spans="1:19">
      <c r="A419" s="165" t="s">
        <v>2307</v>
      </c>
      <c r="B419" s="165">
        <v>548</v>
      </c>
      <c r="C419" s="165" t="s">
        <v>1775</v>
      </c>
      <c r="D419" s="165">
        <v>3</v>
      </c>
      <c r="E419" s="165" t="s">
        <v>2310</v>
      </c>
      <c r="F419" s="165" t="s">
        <v>445</v>
      </c>
      <c r="G419" s="165">
        <v>10800</v>
      </c>
      <c r="H419" s="165"/>
      <c r="I419" s="165"/>
      <c r="J419" s="165"/>
      <c r="K419" s="165">
        <v>10800</v>
      </c>
      <c r="L419" s="165"/>
      <c r="M419" s="165"/>
      <c r="N419" s="165">
        <f t="shared" si="7"/>
        <v>0</v>
      </c>
      <c r="O419" s="165" t="s">
        <v>508</v>
      </c>
      <c r="P419" s="165" t="s">
        <v>2107</v>
      </c>
      <c r="Q419" s="3">
        <v>10800</v>
      </c>
      <c r="R419">
        <v>10800</v>
      </c>
    </row>
    <row r="420" spans="1:19">
      <c r="A420" s="165" t="s">
        <v>2307</v>
      </c>
      <c r="B420" s="165">
        <v>549</v>
      </c>
      <c r="C420" s="165" t="s">
        <v>1775</v>
      </c>
      <c r="D420" s="165">
        <v>4</v>
      </c>
      <c r="E420" s="165" t="s">
        <v>2311</v>
      </c>
      <c r="F420" s="165" t="s">
        <v>2301</v>
      </c>
      <c r="G420" s="165">
        <v>10800</v>
      </c>
      <c r="H420" s="165"/>
      <c r="I420" s="165"/>
      <c r="J420" s="165"/>
      <c r="K420" s="165">
        <v>10800</v>
      </c>
      <c r="L420" s="165"/>
      <c r="M420" s="165"/>
      <c r="N420" s="165">
        <f t="shared" si="7"/>
        <v>0</v>
      </c>
      <c r="O420" s="165" t="s">
        <v>615</v>
      </c>
      <c r="P420" s="165" t="s">
        <v>616</v>
      </c>
      <c r="Q420" s="3">
        <v>10800</v>
      </c>
      <c r="R420">
        <v>10800</v>
      </c>
    </row>
    <row r="421" spans="1:19">
      <c r="A421" s="165" t="s">
        <v>2307</v>
      </c>
      <c r="B421" s="165">
        <v>550</v>
      </c>
      <c r="C421" s="165" t="s">
        <v>1775</v>
      </c>
      <c r="D421" s="165">
        <v>5</v>
      </c>
      <c r="E421" s="165" t="s">
        <v>2312</v>
      </c>
      <c r="F421" s="165" t="s">
        <v>2214</v>
      </c>
      <c r="G421" s="165">
        <v>10800</v>
      </c>
      <c r="H421" s="165"/>
      <c r="I421" s="165"/>
      <c r="J421" s="165"/>
      <c r="K421" s="165">
        <v>10800</v>
      </c>
      <c r="L421" s="165"/>
      <c r="M421" s="165"/>
      <c r="N421" s="165">
        <f t="shared" si="7"/>
        <v>0</v>
      </c>
      <c r="O421" s="165" t="s">
        <v>617</v>
      </c>
      <c r="P421" s="165" t="s">
        <v>618</v>
      </c>
      <c r="Q421" s="3">
        <v>10800</v>
      </c>
      <c r="R421">
        <v>10800</v>
      </c>
    </row>
    <row r="422" spans="1:19">
      <c r="A422" s="165" t="s">
        <v>2307</v>
      </c>
      <c r="B422" s="165">
        <v>551</v>
      </c>
      <c r="C422" s="165" t="s">
        <v>1775</v>
      </c>
      <c r="D422" s="165">
        <v>6</v>
      </c>
      <c r="E422" s="165" t="s">
        <v>2313</v>
      </c>
      <c r="F422" s="165" t="s">
        <v>2216</v>
      </c>
      <c r="G422" s="165">
        <v>10800</v>
      </c>
      <c r="H422" s="165"/>
      <c r="I422" s="165"/>
      <c r="J422" s="165"/>
      <c r="K422" s="165">
        <v>10800</v>
      </c>
      <c r="L422" s="165"/>
      <c r="M422" s="165"/>
      <c r="N422" s="165">
        <f t="shared" si="7"/>
        <v>0</v>
      </c>
      <c r="O422" s="165" t="s">
        <v>628</v>
      </c>
      <c r="P422" s="165" t="s">
        <v>629</v>
      </c>
      <c r="Q422" s="3">
        <v>10800</v>
      </c>
      <c r="R422">
        <v>10800</v>
      </c>
    </row>
    <row r="423" spans="1:19">
      <c r="A423" s="165" t="s">
        <v>2307</v>
      </c>
      <c r="B423" s="165">
        <v>552</v>
      </c>
      <c r="C423" s="165" t="s">
        <v>1775</v>
      </c>
      <c r="D423" s="165">
        <v>7</v>
      </c>
      <c r="E423" s="165" t="s">
        <v>2314</v>
      </c>
      <c r="F423" s="165" t="s">
        <v>2218</v>
      </c>
      <c r="G423" s="165">
        <v>10800</v>
      </c>
      <c r="H423" s="165"/>
      <c r="I423" s="165"/>
      <c r="J423" s="165">
        <v>10800</v>
      </c>
      <c r="K423" s="165"/>
      <c r="L423" s="165"/>
      <c r="M423" s="165"/>
      <c r="N423" s="165">
        <f t="shared" si="7"/>
        <v>0</v>
      </c>
      <c r="O423" s="165" t="s">
        <v>625</v>
      </c>
      <c r="P423" s="165" t="s">
        <v>626</v>
      </c>
      <c r="Q423" s="3">
        <v>10800</v>
      </c>
      <c r="R423">
        <v>10800</v>
      </c>
    </row>
    <row r="424" spans="1:19">
      <c r="A424" s="165" t="s">
        <v>2307</v>
      </c>
      <c r="B424" s="165">
        <v>553</v>
      </c>
      <c r="C424" s="165" t="s">
        <v>1775</v>
      </c>
      <c r="D424" s="165">
        <v>8</v>
      </c>
      <c r="E424" s="165" t="s">
        <v>2315</v>
      </c>
      <c r="F424" s="165" t="s">
        <v>2306</v>
      </c>
      <c r="G424" s="165">
        <v>10800</v>
      </c>
      <c r="H424" s="165"/>
      <c r="I424" s="165"/>
      <c r="J424" s="165">
        <v>10800</v>
      </c>
      <c r="K424" s="165"/>
      <c r="L424" s="165"/>
      <c r="M424" s="165"/>
      <c r="N424" s="165">
        <f t="shared" si="7"/>
        <v>0</v>
      </c>
      <c r="O424" s="165" t="s">
        <v>683</v>
      </c>
      <c r="P424" s="165" t="s">
        <v>3163</v>
      </c>
      <c r="Q424" s="3">
        <v>10800</v>
      </c>
      <c r="R424">
        <v>10800</v>
      </c>
    </row>
    <row r="425" spans="1:19">
      <c r="A425" s="165" t="s">
        <v>1473</v>
      </c>
      <c r="B425" s="165">
        <v>554</v>
      </c>
      <c r="C425" s="165" t="s">
        <v>1246</v>
      </c>
      <c r="D425" s="165">
        <v>1</v>
      </c>
      <c r="E425" s="165" t="s">
        <v>2316</v>
      </c>
      <c r="F425" s="165" t="s">
        <v>1967</v>
      </c>
      <c r="G425" s="165">
        <v>10080</v>
      </c>
      <c r="H425" s="165"/>
      <c r="I425" s="165"/>
      <c r="J425" s="165"/>
      <c r="K425" s="165">
        <v>10080</v>
      </c>
      <c r="L425" s="165"/>
      <c r="M425" s="165"/>
      <c r="N425" s="165">
        <f t="shared" si="7"/>
        <v>0</v>
      </c>
      <c r="O425" s="165" t="s">
        <v>493</v>
      </c>
      <c r="P425" s="165" t="s">
        <v>911</v>
      </c>
      <c r="Q425" s="3">
        <v>10080</v>
      </c>
      <c r="R425">
        <v>10080</v>
      </c>
    </row>
    <row r="426" spans="1:19">
      <c r="A426" s="165" t="s">
        <v>1473</v>
      </c>
      <c r="B426" s="165">
        <v>555</v>
      </c>
      <c r="C426" s="165" t="s">
        <v>1246</v>
      </c>
      <c r="D426" s="165">
        <v>2</v>
      </c>
      <c r="E426" s="165" t="s">
        <v>2317</v>
      </c>
      <c r="F426" s="165" t="s">
        <v>1873</v>
      </c>
      <c r="G426" s="165">
        <v>10080</v>
      </c>
      <c r="H426" s="165"/>
      <c r="I426" s="165"/>
      <c r="J426" s="165"/>
      <c r="K426" s="165">
        <v>10080</v>
      </c>
      <c r="L426" s="165"/>
      <c r="M426" s="165"/>
      <c r="N426" s="165">
        <f t="shared" si="7"/>
        <v>0</v>
      </c>
      <c r="O426" s="165" t="s">
        <v>1461</v>
      </c>
      <c r="P426" s="165" t="s">
        <v>492</v>
      </c>
      <c r="Q426" s="3">
        <v>10080</v>
      </c>
      <c r="R426">
        <v>10080</v>
      </c>
    </row>
    <row r="427" spans="1:19">
      <c r="A427" s="165" t="s">
        <v>1473</v>
      </c>
      <c r="B427" s="165">
        <v>556</v>
      </c>
      <c r="C427" s="165" t="s">
        <v>1246</v>
      </c>
      <c r="D427" s="165">
        <v>3</v>
      </c>
      <c r="E427" s="165" t="s">
        <v>2318</v>
      </c>
      <c r="F427" s="165" t="s">
        <v>500</v>
      </c>
      <c r="G427" s="165">
        <v>10080</v>
      </c>
      <c r="H427" s="165"/>
      <c r="I427" s="165"/>
      <c r="J427" s="165"/>
      <c r="K427" s="165">
        <v>10080</v>
      </c>
      <c r="L427" s="165"/>
      <c r="M427" s="165"/>
      <c r="N427" s="165">
        <f t="shared" si="7"/>
        <v>0</v>
      </c>
      <c r="O427" s="165" t="s">
        <v>505</v>
      </c>
      <c r="P427" s="165" t="s">
        <v>505</v>
      </c>
      <c r="Q427" s="3">
        <v>10080</v>
      </c>
      <c r="R427">
        <v>10080</v>
      </c>
    </row>
    <row r="428" spans="1:19">
      <c r="A428" s="165" t="s">
        <v>1473</v>
      </c>
      <c r="B428" s="165">
        <v>557</v>
      </c>
      <c r="C428" s="165" t="s">
        <v>1246</v>
      </c>
      <c r="D428" s="165">
        <v>4</v>
      </c>
      <c r="E428" s="165" t="s">
        <v>2319</v>
      </c>
      <c r="F428" s="165" t="s">
        <v>2051</v>
      </c>
      <c r="G428" s="165">
        <v>10080</v>
      </c>
      <c r="H428" s="165"/>
      <c r="I428" s="165"/>
      <c r="J428" s="165"/>
      <c r="K428" s="165">
        <v>10080</v>
      </c>
      <c r="L428" s="165"/>
      <c r="M428" s="165"/>
      <c r="N428" s="165">
        <f t="shared" si="7"/>
        <v>0</v>
      </c>
      <c r="O428" s="165" t="s">
        <v>506</v>
      </c>
      <c r="P428" s="165" t="s">
        <v>507</v>
      </c>
      <c r="Q428" s="3">
        <v>10080</v>
      </c>
      <c r="R428">
        <v>10080</v>
      </c>
    </row>
    <row r="429" spans="1:19">
      <c r="A429" s="165" t="s">
        <v>1473</v>
      </c>
      <c r="B429" s="165">
        <v>558</v>
      </c>
      <c r="C429" s="165" t="s">
        <v>1246</v>
      </c>
      <c r="D429" s="165">
        <v>5</v>
      </c>
      <c r="E429" s="165" t="s">
        <v>2320</v>
      </c>
      <c r="F429" s="165" t="s">
        <v>2190</v>
      </c>
      <c r="G429" s="165">
        <v>10080</v>
      </c>
      <c r="H429" s="165"/>
      <c r="I429" s="165"/>
      <c r="J429" s="165"/>
      <c r="K429" s="165">
        <v>10080</v>
      </c>
      <c r="L429" s="165"/>
      <c r="M429" s="165"/>
      <c r="N429" s="165">
        <f t="shared" si="7"/>
        <v>0</v>
      </c>
      <c r="O429" s="165" t="s">
        <v>627</v>
      </c>
      <c r="P429" s="165" t="s">
        <v>827</v>
      </c>
      <c r="Q429" s="3">
        <v>10080</v>
      </c>
      <c r="R429">
        <v>10080</v>
      </c>
    </row>
    <row r="430" spans="1:19">
      <c r="A430" s="165" t="s">
        <v>1473</v>
      </c>
      <c r="B430" s="165">
        <v>559</v>
      </c>
      <c r="C430" s="165" t="s">
        <v>1246</v>
      </c>
      <c r="D430" s="165">
        <v>6</v>
      </c>
      <c r="E430" s="165" t="s">
        <v>2321</v>
      </c>
      <c r="F430" s="165" t="s">
        <v>2192</v>
      </c>
      <c r="G430" s="165">
        <v>10080</v>
      </c>
      <c r="H430" s="165"/>
      <c r="I430" s="165"/>
      <c r="J430" s="165"/>
      <c r="K430" s="165">
        <v>10080</v>
      </c>
      <c r="L430" s="165"/>
      <c r="M430" s="165"/>
      <c r="N430" s="165">
        <f t="shared" si="7"/>
        <v>0</v>
      </c>
      <c r="O430" s="165" t="s">
        <v>613</v>
      </c>
      <c r="P430" s="165" t="s">
        <v>614</v>
      </c>
      <c r="Q430" s="3">
        <v>10080</v>
      </c>
      <c r="R430">
        <v>10080</v>
      </c>
    </row>
    <row r="431" spans="1:19">
      <c r="A431" s="165" t="s">
        <v>1473</v>
      </c>
      <c r="B431" s="165">
        <v>560</v>
      </c>
      <c r="C431" s="165" t="s">
        <v>1246</v>
      </c>
      <c r="D431" s="165">
        <v>7</v>
      </c>
      <c r="E431" s="165" t="s">
        <v>2322</v>
      </c>
      <c r="F431" s="165" t="s">
        <v>2323</v>
      </c>
      <c r="G431" s="165">
        <v>10080</v>
      </c>
      <c r="H431" s="165"/>
      <c r="I431" s="165"/>
      <c r="J431" s="165">
        <v>10080</v>
      </c>
      <c r="K431" s="165"/>
      <c r="L431" s="165"/>
      <c r="M431" s="165"/>
      <c r="N431" s="165">
        <f t="shared" si="7"/>
        <v>0</v>
      </c>
      <c r="O431" s="165" t="s">
        <v>621</v>
      </c>
      <c r="P431" s="165" t="s">
        <v>622</v>
      </c>
      <c r="Q431" s="3">
        <v>10080</v>
      </c>
      <c r="R431" s="3">
        <v>10080</v>
      </c>
      <c r="S431" s="3"/>
    </row>
    <row r="432" spans="1:19">
      <c r="A432" s="165" t="s">
        <v>1473</v>
      </c>
      <c r="B432" s="165">
        <v>561</v>
      </c>
      <c r="C432" s="165" t="s">
        <v>1246</v>
      </c>
      <c r="D432" s="165">
        <v>8</v>
      </c>
      <c r="E432" s="165" t="s">
        <v>2324</v>
      </c>
      <c r="F432" s="165" t="s">
        <v>2325</v>
      </c>
      <c r="G432" s="165">
        <v>10080</v>
      </c>
      <c r="H432" s="165"/>
      <c r="I432" s="165"/>
      <c r="J432" s="165">
        <v>10080</v>
      </c>
      <c r="K432" s="165"/>
      <c r="L432" s="165"/>
      <c r="M432" s="165"/>
      <c r="N432" s="165">
        <f t="shared" si="7"/>
        <v>0</v>
      </c>
      <c r="O432" s="165" t="s">
        <v>3161</v>
      </c>
      <c r="P432" s="165" t="s">
        <v>3162</v>
      </c>
      <c r="Q432" s="3">
        <v>10080</v>
      </c>
      <c r="R432">
        <v>10080</v>
      </c>
    </row>
    <row r="433" spans="1:21">
      <c r="A433" s="209" t="s">
        <v>2326</v>
      </c>
      <c r="B433" s="209"/>
      <c r="C433" s="205" t="s">
        <v>3825</v>
      </c>
      <c r="D433" s="226">
        <v>7</v>
      </c>
      <c r="E433" s="183" t="s">
        <v>1283</v>
      </c>
      <c r="F433" s="209" t="s">
        <v>2326</v>
      </c>
      <c r="G433" s="165"/>
      <c r="H433" s="165"/>
      <c r="I433" s="165"/>
      <c r="J433" s="209"/>
      <c r="K433" s="209"/>
      <c r="L433" s="209"/>
      <c r="M433" s="209"/>
      <c r="N433" s="209">
        <f t="shared" si="7"/>
        <v>0</v>
      </c>
      <c r="O433" s="209" t="s">
        <v>2326</v>
      </c>
      <c r="P433" s="209" t="s">
        <v>2326</v>
      </c>
      <c r="Q433" s="178">
        <v>14175</v>
      </c>
      <c r="R433" s="178">
        <v>14145</v>
      </c>
      <c r="S433" s="178"/>
      <c r="T433" s="3">
        <v>30</v>
      </c>
    </row>
    <row r="434" spans="1:21" s="95" customFormat="1">
      <c r="A434" s="182" t="s">
        <v>515</v>
      </c>
      <c r="B434" s="182"/>
      <c r="C434" s="210" t="s">
        <v>2060</v>
      </c>
      <c r="D434" s="226">
        <v>5</v>
      </c>
      <c r="E434" s="210" t="s">
        <v>1283</v>
      </c>
      <c r="F434" s="182" t="s">
        <v>515</v>
      </c>
      <c r="G434" s="179"/>
      <c r="H434" s="179"/>
      <c r="I434" s="179"/>
      <c r="J434" s="179"/>
      <c r="K434" s="179"/>
      <c r="L434" s="179"/>
      <c r="M434" s="179"/>
      <c r="N434" s="179">
        <f t="shared" si="7"/>
        <v>0</v>
      </c>
      <c r="O434" s="182" t="s">
        <v>515</v>
      </c>
      <c r="P434" s="182" t="s">
        <v>515</v>
      </c>
      <c r="Q434" s="182">
        <v>14175</v>
      </c>
      <c r="R434" s="182">
        <v>14175</v>
      </c>
      <c r="S434" s="182"/>
      <c r="T434" s="179">
        <v>0</v>
      </c>
      <c r="U434" s="210" t="s">
        <v>245</v>
      </c>
    </row>
    <row r="435" spans="1:21" s="95" customFormat="1">
      <c r="A435" s="182" t="s">
        <v>2327</v>
      </c>
      <c r="B435" s="182"/>
      <c r="C435" s="210" t="s">
        <v>2060</v>
      </c>
      <c r="D435" s="226">
        <v>6</v>
      </c>
      <c r="E435" s="210" t="s">
        <v>1283</v>
      </c>
      <c r="F435" s="182" t="s">
        <v>2327</v>
      </c>
      <c r="G435" s="179"/>
      <c r="H435" s="179"/>
      <c r="I435" s="179"/>
      <c r="J435" s="179"/>
      <c r="K435" s="179"/>
      <c r="L435" s="179"/>
      <c r="M435" s="179"/>
      <c r="N435" s="179">
        <f t="shared" si="7"/>
        <v>0</v>
      </c>
      <c r="O435" s="182" t="s">
        <v>2327</v>
      </c>
      <c r="P435" s="182" t="s">
        <v>2327</v>
      </c>
      <c r="Q435" s="182">
        <v>14175</v>
      </c>
      <c r="R435" s="182">
        <v>14165</v>
      </c>
      <c r="S435" s="182"/>
      <c r="T435" s="179">
        <v>10</v>
      </c>
      <c r="U435" s="210" t="s">
        <v>245</v>
      </c>
    </row>
    <row r="436" spans="1:21">
      <c r="A436" s="209" t="s">
        <v>914</v>
      </c>
      <c r="B436" s="209"/>
      <c r="C436" s="205" t="s">
        <v>1532</v>
      </c>
      <c r="D436" s="226">
        <v>8</v>
      </c>
      <c r="E436" s="183" t="s">
        <v>1283</v>
      </c>
      <c r="F436" s="209" t="s">
        <v>914</v>
      </c>
      <c r="G436" s="165"/>
      <c r="H436" s="165"/>
      <c r="I436" s="165"/>
      <c r="J436" s="165"/>
      <c r="K436" s="165"/>
      <c r="L436" s="165"/>
      <c r="M436" s="165"/>
      <c r="N436" s="165">
        <f t="shared" si="7"/>
        <v>0</v>
      </c>
      <c r="O436" s="209" t="s">
        <v>914</v>
      </c>
      <c r="P436" s="209" t="s">
        <v>914</v>
      </c>
      <c r="Q436" s="178">
        <v>13500</v>
      </c>
      <c r="R436" s="178">
        <v>13485</v>
      </c>
      <c r="S436" s="178"/>
      <c r="T436" s="3">
        <v>15</v>
      </c>
    </row>
    <row r="437" spans="1:21">
      <c r="A437" s="165" t="s">
        <v>559</v>
      </c>
      <c r="B437" s="165">
        <v>562</v>
      </c>
      <c r="C437" s="165" t="s">
        <v>1232</v>
      </c>
      <c r="D437" s="165">
        <v>6</v>
      </c>
      <c r="E437" s="165" t="s">
        <v>2328</v>
      </c>
      <c r="F437" s="165" t="s">
        <v>559</v>
      </c>
      <c r="G437" s="165">
        <v>16380</v>
      </c>
      <c r="H437" s="165"/>
      <c r="I437" s="165"/>
      <c r="J437" s="165"/>
      <c r="K437" s="165">
        <v>16380</v>
      </c>
      <c r="L437" s="165"/>
      <c r="M437" s="165"/>
      <c r="N437" s="165">
        <f t="shared" si="7"/>
        <v>0</v>
      </c>
      <c r="O437" s="165" t="s">
        <v>458</v>
      </c>
      <c r="P437" s="165" t="s">
        <v>2035</v>
      </c>
      <c r="Q437" s="3">
        <v>16380</v>
      </c>
      <c r="R437">
        <v>16380</v>
      </c>
    </row>
    <row r="438" spans="1:21">
      <c r="A438" s="209" t="s">
        <v>1460</v>
      </c>
      <c r="B438" s="209"/>
      <c r="C438" s="205" t="s">
        <v>2421</v>
      </c>
      <c r="D438" s="226">
        <v>8</v>
      </c>
      <c r="E438" s="183" t="s">
        <v>1283</v>
      </c>
      <c r="F438" s="209" t="s">
        <v>1460</v>
      </c>
      <c r="G438" s="165"/>
      <c r="H438" s="165"/>
      <c r="I438" s="165"/>
      <c r="J438" s="165"/>
      <c r="K438" s="165"/>
      <c r="L438" s="165"/>
      <c r="M438" s="165"/>
      <c r="N438" s="165">
        <f t="shared" si="7"/>
        <v>0</v>
      </c>
      <c r="O438" s="209" t="s">
        <v>1460</v>
      </c>
      <c r="P438" s="209" t="s">
        <v>1460</v>
      </c>
      <c r="Q438" s="178">
        <v>14175</v>
      </c>
      <c r="R438" s="178">
        <v>14165</v>
      </c>
      <c r="S438" s="178"/>
      <c r="T438" s="3">
        <v>10</v>
      </c>
    </row>
    <row r="439" spans="1:21">
      <c r="A439" s="165" t="s">
        <v>1977</v>
      </c>
      <c r="B439" s="165">
        <v>563</v>
      </c>
      <c r="C439" s="165" t="s">
        <v>1764</v>
      </c>
      <c r="D439" s="165">
        <v>1</v>
      </c>
      <c r="E439" s="165" t="s">
        <v>2329</v>
      </c>
      <c r="F439" s="165" t="s">
        <v>1475</v>
      </c>
      <c r="G439" s="165">
        <v>14175</v>
      </c>
      <c r="H439" s="165"/>
      <c r="I439" s="165"/>
      <c r="J439" s="165"/>
      <c r="K439" s="165">
        <v>14175</v>
      </c>
      <c r="L439" s="165"/>
      <c r="M439" s="165"/>
      <c r="N439" s="165">
        <f t="shared" si="7"/>
        <v>0</v>
      </c>
      <c r="O439" s="165" t="s">
        <v>500</v>
      </c>
      <c r="P439" s="165" t="s">
        <v>500</v>
      </c>
      <c r="Q439" s="3">
        <v>14175</v>
      </c>
      <c r="R439">
        <v>14175</v>
      </c>
    </row>
    <row r="440" spans="1:21">
      <c r="A440" s="165" t="s">
        <v>1977</v>
      </c>
      <c r="B440" s="165">
        <v>563</v>
      </c>
      <c r="C440" s="165" t="s">
        <v>1764</v>
      </c>
      <c r="D440" s="165">
        <v>1</v>
      </c>
      <c r="E440" s="165" t="s">
        <v>2329</v>
      </c>
      <c r="F440" s="165" t="s">
        <v>1475</v>
      </c>
      <c r="G440" s="165">
        <v>14175</v>
      </c>
      <c r="H440" s="165"/>
      <c r="I440" s="165"/>
      <c r="J440" s="165"/>
      <c r="K440" s="165">
        <v>14175</v>
      </c>
      <c r="L440" s="165"/>
      <c r="M440" s="165"/>
      <c r="N440" s="165">
        <f t="shared" si="7"/>
        <v>0</v>
      </c>
      <c r="O440" s="165" t="s">
        <v>499</v>
      </c>
      <c r="P440" s="165" t="s">
        <v>500</v>
      </c>
      <c r="Q440" s="3">
        <v>14175</v>
      </c>
      <c r="R440">
        <v>14175</v>
      </c>
    </row>
    <row r="441" spans="1:21">
      <c r="A441" s="165" t="s">
        <v>1977</v>
      </c>
      <c r="B441" s="165">
        <v>564</v>
      </c>
      <c r="C441" s="165" t="s">
        <v>1764</v>
      </c>
      <c r="D441" s="165">
        <v>2</v>
      </c>
      <c r="E441" s="165" t="s">
        <v>98</v>
      </c>
      <c r="F441" s="165" t="s">
        <v>2330</v>
      </c>
      <c r="G441" s="165">
        <v>14175</v>
      </c>
      <c r="H441" s="165"/>
      <c r="I441" s="165"/>
      <c r="J441" s="165"/>
      <c r="K441" s="165">
        <v>14175</v>
      </c>
      <c r="L441" s="165"/>
      <c r="M441" s="165"/>
      <c r="N441" s="165">
        <f t="shared" si="7"/>
        <v>0</v>
      </c>
      <c r="O441" s="165" t="s">
        <v>501</v>
      </c>
      <c r="P441" s="165" t="s">
        <v>2160</v>
      </c>
      <c r="Q441" s="3">
        <v>14175</v>
      </c>
      <c r="R441">
        <v>14175</v>
      </c>
    </row>
    <row r="442" spans="1:21">
      <c r="A442" s="165" t="s">
        <v>1977</v>
      </c>
      <c r="B442" s="165">
        <v>565</v>
      </c>
      <c r="C442" s="165" t="s">
        <v>1764</v>
      </c>
      <c r="D442" s="165">
        <v>3</v>
      </c>
      <c r="E442" s="165" t="s">
        <v>99</v>
      </c>
      <c r="F442" s="165" t="s">
        <v>2331</v>
      </c>
      <c r="G442" s="165">
        <v>14175</v>
      </c>
      <c r="H442" s="165"/>
      <c r="I442" s="165"/>
      <c r="J442" s="165"/>
      <c r="K442" s="165">
        <v>14175</v>
      </c>
      <c r="L442" s="165"/>
      <c r="M442" s="165"/>
      <c r="N442" s="165">
        <f t="shared" si="7"/>
        <v>0</v>
      </c>
      <c r="O442" s="165" t="s">
        <v>2162</v>
      </c>
      <c r="P442" s="165" t="s">
        <v>1024</v>
      </c>
      <c r="Q442" s="3">
        <v>14175</v>
      </c>
      <c r="R442">
        <v>14175</v>
      </c>
    </row>
    <row r="443" spans="1:21">
      <c r="A443" s="165" t="s">
        <v>1977</v>
      </c>
      <c r="B443" s="165">
        <v>566</v>
      </c>
      <c r="C443" s="165" t="s">
        <v>1764</v>
      </c>
      <c r="D443" s="165">
        <v>4</v>
      </c>
      <c r="E443" s="165" t="s">
        <v>100</v>
      </c>
      <c r="F443" s="165" t="s">
        <v>2332</v>
      </c>
      <c r="G443" s="165">
        <v>14175</v>
      </c>
      <c r="H443" s="165"/>
      <c r="I443" s="165"/>
      <c r="J443" s="165"/>
      <c r="K443" s="165">
        <v>14175</v>
      </c>
      <c r="L443" s="165"/>
      <c r="M443" s="165"/>
      <c r="N443" s="165">
        <f t="shared" si="7"/>
        <v>0</v>
      </c>
      <c r="O443" s="165" t="s">
        <v>2164</v>
      </c>
      <c r="P443" s="165" t="s">
        <v>1025</v>
      </c>
      <c r="Q443" s="3">
        <v>14175</v>
      </c>
      <c r="R443">
        <v>14175</v>
      </c>
    </row>
    <row r="444" spans="1:21">
      <c r="A444" s="165" t="s">
        <v>1977</v>
      </c>
      <c r="B444" s="165">
        <v>567</v>
      </c>
      <c r="C444" s="165" t="s">
        <v>1764</v>
      </c>
      <c r="D444" s="165">
        <v>5</v>
      </c>
      <c r="E444" s="165" t="s">
        <v>101</v>
      </c>
      <c r="F444" s="165" t="s">
        <v>2333</v>
      </c>
      <c r="G444" s="165">
        <v>14175</v>
      </c>
      <c r="H444" s="165"/>
      <c r="I444" s="165"/>
      <c r="J444" s="165"/>
      <c r="K444" s="165">
        <v>14175</v>
      </c>
      <c r="L444" s="165"/>
      <c r="M444" s="165"/>
      <c r="N444" s="165">
        <f t="shared" si="7"/>
        <v>0</v>
      </c>
      <c r="O444" s="165" t="s">
        <v>628</v>
      </c>
      <c r="P444" s="165" t="s">
        <v>629</v>
      </c>
      <c r="Q444" s="3">
        <v>14175</v>
      </c>
      <c r="R444">
        <v>14175</v>
      </c>
    </row>
    <row r="445" spans="1:21">
      <c r="A445" s="165" t="s">
        <v>1977</v>
      </c>
      <c r="B445" s="165">
        <v>568</v>
      </c>
      <c r="C445" s="165" t="s">
        <v>1764</v>
      </c>
      <c r="D445" s="165">
        <v>6</v>
      </c>
      <c r="E445" s="165" t="s">
        <v>102</v>
      </c>
      <c r="F445" s="165" t="s">
        <v>2334</v>
      </c>
      <c r="G445" s="165">
        <v>14175</v>
      </c>
      <c r="H445" s="165"/>
      <c r="I445" s="165"/>
      <c r="J445" s="165">
        <v>14175</v>
      </c>
      <c r="K445" s="165"/>
      <c r="L445" s="165"/>
      <c r="M445" s="165"/>
      <c r="N445" s="165">
        <f t="shared" si="7"/>
        <v>0</v>
      </c>
      <c r="O445" s="165" t="s">
        <v>3159</v>
      </c>
      <c r="P445" s="165" t="s">
        <v>3160</v>
      </c>
      <c r="Q445" s="3">
        <v>14175</v>
      </c>
      <c r="R445">
        <v>14175</v>
      </c>
    </row>
    <row r="446" spans="1:21">
      <c r="A446" s="165" t="s">
        <v>1977</v>
      </c>
      <c r="B446" s="165">
        <v>569</v>
      </c>
      <c r="C446" s="165" t="s">
        <v>1764</v>
      </c>
      <c r="D446" s="165">
        <v>7</v>
      </c>
      <c r="E446" s="165" t="s">
        <v>103</v>
      </c>
      <c r="F446" s="165" t="s">
        <v>2335</v>
      </c>
      <c r="G446" s="165">
        <v>14175</v>
      </c>
      <c r="H446" s="165"/>
      <c r="I446" s="165"/>
      <c r="J446" s="165">
        <v>14175</v>
      </c>
      <c r="K446" s="165"/>
      <c r="L446" s="165"/>
      <c r="M446" s="165"/>
      <c r="N446" s="165">
        <f t="shared" si="7"/>
        <v>0</v>
      </c>
      <c r="O446" s="165" t="s">
        <v>3164</v>
      </c>
      <c r="P446" s="165" t="s">
        <v>808</v>
      </c>
      <c r="Q446" s="3">
        <v>14175</v>
      </c>
      <c r="R446">
        <v>14175</v>
      </c>
    </row>
    <row r="447" spans="1:21">
      <c r="A447" s="165" t="s">
        <v>1977</v>
      </c>
      <c r="B447" s="165">
        <v>570</v>
      </c>
      <c r="C447" s="165" t="s">
        <v>1764</v>
      </c>
      <c r="D447" s="165">
        <v>8</v>
      </c>
      <c r="E447" s="165" t="s">
        <v>104</v>
      </c>
      <c r="F447" s="165" t="s">
        <v>2336</v>
      </c>
      <c r="G447" s="165">
        <v>14175</v>
      </c>
      <c r="H447" s="165"/>
      <c r="I447" s="165"/>
      <c r="J447" s="165">
        <v>14175</v>
      </c>
      <c r="K447" s="165"/>
      <c r="L447" s="165"/>
      <c r="M447" s="165"/>
      <c r="N447" s="165">
        <f t="shared" si="7"/>
        <v>0</v>
      </c>
      <c r="O447" s="165" t="s">
        <v>3165</v>
      </c>
      <c r="P447" s="165" t="s">
        <v>3166</v>
      </c>
      <c r="Q447" s="3">
        <v>14175</v>
      </c>
      <c r="R447">
        <v>14175</v>
      </c>
    </row>
    <row r="448" spans="1:21">
      <c r="A448" s="165" t="s">
        <v>1463</v>
      </c>
      <c r="B448" s="165">
        <v>571</v>
      </c>
      <c r="C448" s="165" t="s">
        <v>2687</v>
      </c>
      <c r="D448" s="165">
        <v>1</v>
      </c>
      <c r="E448" s="165" t="s">
        <v>2337</v>
      </c>
      <c r="F448" s="165" t="s">
        <v>1969</v>
      </c>
      <c r="G448" s="165">
        <v>14175</v>
      </c>
      <c r="H448" s="165"/>
      <c r="I448" s="165"/>
      <c r="J448" s="165"/>
      <c r="K448" s="165">
        <v>14175</v>
      </c>
      <c r="L448" s="165"/>
      <c r="M448" s="165"/>
      <c r="N448" s="165">
        <f t="shared" si="7"/>
        <v>0</v>
      </c>
      <c r="O448" s="165" t="s">
        <v>460</v>
      </c>
      <c r="P448" s="165" t="s">
        <v>1465</v>
      </c>
      <c r="Q448" s="3">
        <v>14175</v>
      </c>
      <c r="R448">
        <v>14175</v>
      </c>
    </row>
    <row r="449" spans="1:19">
      <c r="A449" s="165" t="s">
        <v>1463</v>
      </c>
      <c r="B449" s="165">
        <v>572</v>
      </c>
      <c r="C449" s="165" t="s">
        <v>2687</v>
      </c>
      <c r="D449" s="165">
        <v>2</v>
      </c>
      <c r="E449" s="165" t="s">
        <v>71</v>
      </c>
      <c r="F449" s="165" t="s">
        <v>2107</v>
      </c>
      <c r="G449" s="165">
        <v>14175</v>
      </c>
      <c r="H449" s="165"/>
      <c r="I449" s="165"/>
      <c r="J449" s="165"/>
      <c r="K449" s="165">
        <v>14175</v>
      </c>
      <c r="L449" s="165"/>
      <c r="M449" s="165"/>
      <c r="N449" s="165">
        <f t="shared" si="7"/>
        <v>0</v>
      </c>
      <c r="O449" s="165" t="s">
        <v>508</v>
      </c>
      <c r="P449" s="165" t="s">
        <v>2107</v>
      </c>
      <c r="Q449" s="3">
        <v>14175</v>
      </c>
      <c r="R449">
        <v>14175</v>
      </c>
    </row>
    <row r="450" spans="1:19">
      <c r="A450" s="165" t="s">
        <v>1463</v>
      </c>
      <c r="B450" s="165">
        <v>573</v>
      </c>
      <c r="C450" s="165" t="s">
        <v>2687</v>
      </c>
      <c r="D450" s="165">
        <v>3</v>
      </c>
      <c r="E450" s="165" t="s">
        <v>72</v>
      </c>
      <c r="F450" s="165" t="s">
        <v>2109</v>
      </c>
      <c r="G450" s="165">
        <v>14175</v>
      </c>
      <c r="H450" s="165"/>
      <c r="I450" s="165"/>
      <c r="J450" s="165"/>
      <c r="K450" s="165">
        <v>14175</v>
      </c>
      <c r="L450" s="165"/>
      <c r="M450" s="165"/>
      <c r="N450" s="165">
        <f t="shared" si="7"/>
        <v>0</v>
      </c>
      <c r="O450" s="165" t="s">
        <v>615</v>
      </c>
      <c r="P450" s="165" t="s">
        <v>616</v>
      </c>
      <c r="Q450" s="3">
        <v>14175</v>
      </c>
      <c r="R450">
        <v>14175</v>
      </c>
    </row>
    <row r="451" spans="1:19">
      <c r="A451" s="165" t="s">
        <v>1463</v>
      </c>
      <c r="B451" s="165">
        <v>574</v>
      </c>
      <c r="C451" s="165" t="s">
        <v>2687</v>
      </c>
      <c r="D451" s="165">
        <v>4</v>
      </c>
      <c r="E451" s="165" t="s">
        <v>73</v>
      </c>
      <c r="F451" s="165" t="s">
        <v>2111</v>
      </c>
      <c r="G451" s="165">
        <v>14175</v>
      </c>
      <c r="H451" s="165"/>
      <c r="I451" s="165"/>
      <c r="J451" s="165"/>
      <c r="K451" s="165">
        <v>14175</v>
      </c>
      <c r="L451" s="165"/>
      <c r="M451" s="165"/>
      <c r="N451" s="165">
        <f t="shared" si="7"/>
        <v>0</v>
      </c>
      <c r="O451" s="165" t="s">
        <v>617</v>
      </c>
      <c r="P451" s="165" t="s">
        <v>618</v>
      </c>
      <c r="Q451" s="3">
        <v>14175</v>
      </c>
      <c r="R451" s="10">
        <v>14175</v>
      </c>
      <c r="S451" s="10"/>
    </row>
    <row r="452" spans="1:19">
      <c r="A452" s="165" t="s">
        <v>1463</v>
      </c>
      <c r="B452" s="165">
        <v>575</v>
      </c>
      <c r="C452" s="165" t="s">
        <v>2687</v>
      </c>
      <c r="D452" s="165">
        <v>5</v>
      </c>
      <c r="E452" s="165" t="s">
        <v>74</v>
      </c>
      <c r="F452" s="165" t="s">
        <v>2338</v>
      </c>
      <c r="G452" s="165">
        <v>14175</v>
      </c>
      <c r="H452" s="165"/>
      <c r="I452" s="165"/>
      <c r="J452" s="165"/>
      <c r="K452" s="165">
        <v>14175</v>
      </c>
      <c r="L452" s="165"/>
      <c r="M452" s="165"/>
      <c r="N452" s="165">
        <f t="shared" si="7"/>
        <v>0</v>
      </c>
      <c r="O452" s="165" t="s">
        <v>628</v>
      </c>
      <c r="P452" s="165" t="s">
        <v>629</v>
      </c>
      <c r="Q452" s="3">
        <v>14175</v>
      </c>
      <c r="R452">
        <v>14175</v>
      </c>
    </row>
    <row r="453" spans="1:19">
      <c r="A453" s="165" t="s">
        <v>1463</v>
      </c>
      <c r="B453" s="165">
        <v>576</v>
      </c>
      <c r="C453" s="165" t="s">
        <v>2687</v>
      </c>
      <c r="D453" s="165">
        <v>6</v>
      </c>
      <c r="E453" s="165" t="s">
        <v>75</v>
      </c>
      <c r="F453" s="165" t="s">
        <v>2339</v>
      </c>
      <c r="G453" s="165">
        <v>14175</v>
      </c>
      <c r="H453" s="165"/>
      <c r="I453" s="165"/>
      <c r="J453" s="165">
        <v>14175</v>
      </c>
      <c r="K453" s="165"/>
      <c r="L453" s="165"/>
      <c r="M453" s="165"/>
      <c r="N453" s="165">
        <f t="shared" si="7"/>
        <v>0</v>
      </c>
      <c r="O453" s="165" t="s">
        <v>3159</v>
      </c>
      <c r="P453" s="165" t="s">
        <v>3160</v>
      </c>
      <c r="Q453" s="3">
        <v>14175</v>
      </c>
      <c r="R453">
        <v>14175</v>
      </c>
    </row>
    <row r="454" spans="1:19">
      <c r="A454" s="165" t="s">
        <v>1463</v>
      </c>
      <c r="B454" s="165">
        <v>577</v>
      </c>
      <c r="C454" s="165" t="s">
        <v>2687</v>
      </c>
      <c r="D454" s="165">
        <v>7</v>
      </c>
      <c r="E454" s="165" t="s">
        <v>76</v>
      </c>
      <c r="F454" s="165" t="s">
        <v>2340</v>
      </c>
      <c r="G454" s="165">
        <v>14175</v>
      </c>
      <c r="H454" s="165"/>
      <c r="I454" s="165"/>
      <c r="J454" s="165">
        <v>14175</v>
      </c>
      <c r="K454" s="165"/>
      <c r="L454" s="165"/>
      <c r="M454" s="165"/>
      <c r="N454" s="165">
        <f t="shared" si="7"/>
        <v>0</v>
      </c>
      <c r="O454" s="165" t="s">
        <v>3164</v>
      </c>
      <c r="P454" s="165" t="s">
        <v>808</v>
      </c>
      <c r="Q454" s="3">
        <v>14175</v>
      </c>
      <c r="R454">
        <v>14175</v>
      </c>
    </row>
    <row r="455" spans="1:19">
      <c r="A455" s="165" t="s">
        <v>1463</v>
      </c>
      <c r="B455" s="165">
        <v>578</v>
      </c>
      <c r="C455" s="165" t="s">
        <v>2687</v>
      </c>
      <c r="D455" s="165">
        <v>8</v>
      </c>
      <c r="E455" s="165" t="s">
        <v>77</v>
      </c>
      <c r="F455" s="165" t="s">
        <v>2341</v>
      </c>
      <c r="G455" s="165">
        <v>14175</v>
      </c>
      <c r="H455" s="165"/>
      <c r="I455" s="165"/>
      <c r="J455" s="165">
        <v>14175</v>
      </c>
      <c r="K455" s="165"/>
      <c r="L455" s="165"/>
      <c r="M455" s="165"/>
      <c r="N455" s="165">
        <f t="shared" si="7"/>
        <v>0</v>
      </c>
      <c r="O455" s="165" t="s">
        <v>3165</v>
      </c>
      <c r="P455" s="165" t="s">
        <v>3166</v>
      </c>
      <c r="Q455" s="3">
        <v>14175</v>
      </c>
      <c r="R455">
        <v>14175</v>
      </c>
    </row>
    <row r="456" spans="1:19">
      <c r="A456" s="165" t="s">
        <v>2342</v>
      </c>
      <c r="B456" s="165">
        <v>579</v>
      </c>
      <c r="C456" s="165" t="s">
        <v>1270</v>
      </c>
      <c r="D456" s="165">
        <v>1</v>
      </c>
      <c r="E456" s="165" t="s">
        <v>2343</v>
      </c>
      <c r="F456" s="165" t="s">
        <v>1469</v>
      </c>
      <c r="G456" s="165">
        <v>20475</v>
      </c>
      <c r="H456" s="165"/>
      <c r="I456" s="165"/>
      <c r="J456" s="165"/>
      <c r="K456" s="165">
        <v>20475</v>
      </c>
      <c r="L456" s="165"/>
      <c r="M456" s="165"/>
      <c r="N456" s="165">
        <f t="shared" si="7"/>
        <v>0</v>
      </c>
      <c r="O456" s="165" t="s">
        <v>458</v>
      </c>
      <c r="P456" s="165" t="s">
        <v>2035</v>
      </c>
      <c r="Q456" s="3">
        <v>20475</v>
      </c>
      <c r="R456">
        <v>20475</v>
      </c>
    </row>
    <row r="457" spans="1:19">
      <c r="A457" s="165" t="s">
        <v>2342</v>
      </c>
      <c r="B457" s="165">
        <v>580</v>
      </c>
      <c r="C457" s="165" t="s">
        <v>1270</v>
      </c>
      <c r="D457" s="165">
        <v>2</v>
      </c>
      <c r="E457" s="165" t="s">
        <v>69</v>
      </c>
      <c r="F457" s="165" t="s">
        <v>2120</v>
      </c>
      <c r="G457" s="165">
        <v>20475</v>
      </c>
      <c r="H457" s="165"/>
      <c r="I457" s="165"/>
      <c r="J457" s="165"/>
      <c r="K457" s="165">
        <v>20475</v>
      </c>
      <c r="L457" s="165"/>
      <c r="M457" s="165"/>
      <c r="N457" s="165">
        <f t="shared" si="7"/>
        <v>0</v>
      </c>
      <c r="O457" s="165" t="s">
        <v>496</v>
      </c>
      <c r="P457" s="165" t="s">
        <v>497</v>
      </c>
      <c r="Q457" s="3">
        <v>20475</v>
      </c>
      <c r="R457">
        <v>20475</v>
      </c>
    </row>
    <row r="458" spans="1:19">
      <c r="A458" s="165" t="s">
        <v>2342</v>
      </c>
      <c r="B458" s="165">
        <v>581</v>
      </c>
      <c r="C458" s="165" t="s">
        <v>1270</v>
      </c>
      <c r="D458" s="165">
        <v>3</v>
      </c>
      <c r="E458" s="165" t="s">
        <v>70</v>
      </c>
      <c r="F458" s="165" t="s">
        <v>2344</v>
      </c>
      <c r="G458" s="165">
        <v>20475</v>
      </c>
      <c r="H458" s="165"/>
      <c r="I458" s="165"/>
      <c r="J458" s="165"/>
      <c r="K458" s="165">
        <v>20475</v>
      </c>
      <c r="L458" s="165"/>
      <c r="M458" s="165"/>
      <c r="N458" s="165">
        <f t="shared" si="7"/>
        <v>0</v>
      </c>
      <c r="O458" s="165" t="s">
        <v>631</v>
      </c>
      <c r="P458" s="165" t="s">
        <v>632</v>
      </c>
      <c r="Q458" s="3">
        <v>20475</v>
      </c>
      <c r="R458">
        <v>20475</v>
      </c>
    </row>
    <row r="459" spans="1:19">
      <c r="A459" s="165" t="s">
        <v>2342</v>
      </c>
      <c r="B459" s="165">
        <v>582</v>
      </c>
      <c r="C459" s="165" t="s">
        <v>1270</v>
      </c>
      <c r="D459" s="165">
        <v>4</v>
      </c>
      <c r="E459" s="165" t="s">
        <v>68</v>
      </c>
      <c r="F459" s="165" t="s">
        <v>2345</v>
      </c>
      <c r="G459" s="165">
        <v>20475</v>
      </c>
      <c r="H459" s="165"/>
      <c r="I459" s="165"/>
      <c r="J459" s="165"/>
      <c r="K459" s="165">
        <v>20475</v>
      </c>
      <c r="L459" s="165"/>
      <c r="M459" s="165"/>
      <c r="N459" s="165">
        <f t="shared" si="7"/>
        <v>0</v>
      </c>
      <c r="O459" s="165" t="s">
        <v>633</v>
      </c>
      <c r="P459" s="165" t="s">
        <v>634</v>
      </c>
      <c r="Q459" s="3">
        <v>20475</v>
      </c>
      <c r="R459">
        <v>20475</v>
      </c>
    </row>
    <row r="460" spans="1:19">
      <c r="A460" s="165" t="s">
        <v>1469</v>
      </c>
      <c r="B460" s="165">
        <v>583</v>
      </c>
      <c r="C460" s="165" t="s">
        <v>2346</v>
      </c>
      <c r="D460" s="165">
        <v>1</v>
      </c>
      <c r="E460" s="165" t="s">
        <v>2347</v>
      </c>
      <c r="F460" s="165" t="s">
        <v>2348</v>
      </c>
      <c r="G460" s="165">
        <v>14175</v>
      </c>
      <c r="H460" s="165"/>
      <c r="I460" s="165"/>
      <c r="J460" s="165"/>
      <c r="K460" s="165">
        <v>14175</v>
      </c>
      <c r="L460" s="165"/>
      <c r="M460" s="165"/>
      <c r="N460" s="165">
        <f t="shared" si="7"/>
        <v>0</v>
      </c>
      <c r="O460" s="165" t="s">
        <v>500</v>
      </c>
      <c r="P460" s="165" t="s">
        <v>500</v>
      </c>
      <c r="Q460" s="3">
        <v>14175</v>
      </c>
      <c r="R460">
        <v>14175</v>
      </c>
    </row>
    <row r="461" spans="1:19">
      <c r="A461" s="165" t="s">
        <v>1469</v>
      </c>
      <c r="B461" s="165">
        <v>584</v>
      </c>
      <c r="C461" s="165" t="s">
        <v>2346</v>
      </c>
      <c r="D461" s="165">
        <v>2</v>
      </c>
      <c r="E461" s="165" t="s">
        <v>105</v>
      </c>
      <c r="F461" s="165" t="s">
        <v>2349</v>
      </c>
      <c r="G461" s="165">
        <v>14175</v>
      </c>
      <c r="H461" s="165"/>
      <c r="I461" s="165"/>
      <c r="J461" s="165"/>
      <c r="K461" s="165">
        <v>14175</v>
      </c>
      <c r="L461" s="165"/>
      <c r="M461" s="165"/>
      <c r="N461" s="165">
        <f t="shared" si="7"/>
        <v>0</v>
      </c>
      <c r="O461" s="165" t="s">
        <v>501</v>
      </c>
      <c r="P461" s="165" t="s">
        <v>2160</v>
      </c>
      <c r="Q461" s="3">
        <v>14175</v>
      </c>
      <c r="R461">
        <v>14175</v>
      </c>
    </row>
    <row r="462" spans="1:19">
      <c r="A462" s="165" t="s">
        <v>1469</v>
      </c>
      <c r="B462" s="165">
        <v>585</v>
      </c>
      <c r="C462" s="165" t="s">
        <v>2346</v>
      </c>
      <c r="D462" s="165">
        <v>3</v>
      </c>
      <c r="E462" s="165" t="s">
        <v>106</v>
      </c>
      <c r="F462" s="165" t="s">
        <v>2350</v>
      </c>
      <c r="G462" s="165">
        <v>14175</v>
      </c>
      <c r="H462" s="165"/>
      <c r="I462" s="165"/>
      <c r="J462" s="165"/>
      <c r="K462" s="165">
        <v>14175</v>
      </c>
      <c r="L462" s="165"/>
      <c r="M462" s="165"/>
      <c r="N462" s="165">
        <f t="shared" si="7"/>
        <v>0</v>
      </c>
      <c r="O462" s="165" t="s">
        <v>2162</v>
      </c>
      <c r="P462" s="165" t="s">
        <v>1024</v>
      </c>
      <c r="Q462" s="3">
        <v>14175</v>
      </c>
      <c r="R462">
        <v>14175</v>
      </c>
    </row>
    <row r="463" spans="1:19">
      <c r="A463" s="165" t="s">
        <v>1469</v>
      </c>
      <c r="B463" s="165">
        <v>586</v>
      </c>
      <c r="C463" s="165" t="s">
        <v>2346</v>
      </c>
      <c r="D463" s="165">
        <v>4</v>
      </c>
      <c r="E463" s="165" t="s">
        <v>2351</v>
      </c>
      <c r="F463" s="165" t="s">
        <v>2352</v>
      </c>
      <c r="G463" s="165">
        <v>14175</v>
      </c>
      <c r="H463" s="165"/>
      <c r="I463" s="165"/>
      <c r="J463" s="165"/>
      <c r="K463" s="165">
        <v>14175</v>
      </c>
      <c r="L463" s="165"/>
      <c r="M463" s="165"/>
      <c r="N463" s="165">
        <f t="shared" si="7"/>
        <v>0</v>
      </c>
      <c r="O463" s="165" t="s">
        <v>2164</v>
      </c>
      <c r="P463" s="165" t="s">
        <v>1025</v>
      </c>
      <c r="Q463" s="3">
        <v>14175</v>
      </c>
      <c r="R463">
        <v>14175</v>
      </c>
    </row>
    <row r="464" spans="1:19">
      <c r="A464" s="165" t="s">
        <v>1469</v>
      </c>
      <c r="B464" s="165">
        <v>587</v>
      </c>
      <c r="C464" s="165" t="s">
        <v>2346</v>
      </c>
      <c r="D464" s="165">
        <v>5</v>
      </c>
      <c r="E464" s="165" t="s">
        <v>107</v>
      </c>
      <c r="F464" s="165" t="s">
        <v>2353</v>
      </c>
      <c r="G464" s="165">
        <v>14175</v>
      </c>
      <c r="H464" s="165"/>
      <c r="I464" s="165"/>
      <c r="J464" s="165"/>
      <c r="K464" s="165">
        <v>14175</v>
      </c>
      <c r="L464" s="165"/>
      <c r="M464" s="165"/>
      <c r="N464" s="165">
        <f t="shared" si="7"/>
        <v>0</v>
      </c>
      <c r="O464" s="165" t="s">
        <v>628</v>
      </c>
      <c r="P464" s="165" t="s">
        <v>629</v>
      </c>
      <c r="Q464" s="3">
        <v>14175</v>
      </c>
      <c r="R464">
        <v>14175</v>
      </c>
    </row>
    <row r="465" spans="1:20" s="8" customFormat="1">
      <c r="A465" s="184" t="s">
        <v>1469</v>
      </c>
      <c r="B465" s="184">
        <v>588</v>
      </c>
      <c r="C465" s="184" t="s">
        <v>2346</v>
      </c>
      <c r="D465" s="184">
        <v>6</v>
      </c>
      <c r="E465" s="184" t="s">
        <v>108</v>
      </c>
      <c r="F465" s="184" t="s">
        <v>2354</v>
      </c>
      <c r="G465" s="184">
        <v>14175</v>
      </c>
      <c r="H465" s="184"/>
      <c r="I465" s="184"/>
      <c r="J465" s="184"/>
      <c r="K465" s="184"/>
      <c r="L465" s="184"/>
      <c r="M465" s="184"/>
      <c r="N465" s="184">
        <f t="shared" si="7"/>
        <v>14175</v>
      </c>
      <c r="O465" s="184"/>
      <c r="P465" s="184"/>
      <c r="Q465" s="184"/>
      <c r="T465" s="184" t="s">
        <v>635</v>
      </c>
    </row>
    <row r="466" spans="1:20" s="8" customFormat="1">
      <c r="A466" s="184" t="s">
        <v>1469</v>
      </c>
      <c r="B466" s="184">
        <v>589</v>
      </c>
      <c r="C466" s="184" t="s">
        <v>2346</v>
      </c>
      <c r="D466" s="184">
        <v>7</v>
      </c>
      <c r="E466" s="184" t="s">
        <v>109</v>
      </c>
      <c r="F466" s="184" t="s">
        <v>2355</v>
      </c>
      <c r="G466" s="184">
        <v>14175</v>
      </c>
      <c r="H466" s="184"/>
      <c r="I466" s="184"/>
      <c r="J466" s="184"/>
      <c r="K466" s="184"/>
      <c r="L466" s="184"/>
      <c r="M466" s="184"/>
      <c r="N466" s="184">
        <f t="shared" si="7"/>
        <v>14175</v>
      </c>
      <c r="O466" s="184"/>
      <c r="P466" s="184"/>
      <c r="Q466" s="184"/>
      <c r="T466" s="184" t="s">
        <v>635</v>
      </c>
    </row>
    <row r="467" spans="1:20" s="8" customFormat="1">
      <c r="A467" s="184" t="s">
        <v>1469</v>
      </c>
      <c r="B467" s="184">
        <v>590</v>
      </c>
      <c r="C467" s="184" t="s">
        <v>2346</v>
      </c>
      <c r="D467" s="184">
        <v>8</v>
      </c>
      <c r="E467" s="184" t="s">
        <v>110</v>
      </c>
      <c r="F467" s="184" t="s">
        <v>2356</v>
      </c>
      <c r="G467" s="184">
        <v>14175</v>
      </c>
      <c r="H467" s="184"/>
      <c r="I467" s="184"/>
      <c r="J467" s="184"/>
      <c r="K467" s="184"/>
      <c r="L467" s="184"/>
      <c r="M467" s="184"/>
      <c r="N467" s="184">
        <f t="shared" si="7"/>
        <v>14175</v>
      </c>
      <c r="O467" s="184"/>
      <c r="P467" s="184"/>
      <c r="Q467" s="184"/>
      <c r="T467" s="184" t="s">
        <v>635</v>
      </c>
    </row>
    <row r="468" spans="1:20">
      <c r="A468" s="165" t="s">
        <v>2357</v>
      </c>
      <c r="B468" s="165">
        <v>591</v>
      </c>
      <c r="C468" s="165" t="s">
        <v>1761</v>
      </c>
      <c r="D468" s="165">
        <v>1</v>
      </c>
      <c r="E468" s="165" t="s">
        <v>2358</v>
      </c>
      <c r="F468" s="165" t="s">
        <v>1873</v>
      </c>
      <c r="G468" s="165">
        <v>8977</v>
      </c>
      <c r="H468" s="165"/>
      <c r="I468" s="165"/>
      <c r="J468" s="165"/>
      <c r="K468" s="165">
        <v>8977</v>
      </c>
      <c r="L468" s="165"/>
      <c r="M468" s="165"/>
      <c r="N468" s="165">
        <f t="shared" si="7"/>
        <v>0</v>
      </c>
      <c r="O468" s="165" t="s">
        <v>458</v>
      </c>
      <c r="P468" s="165" t="s">
        <v>2035</v>
      </c>
      <c r="Q468" s="3">
        <v>8977</v>
      </c>
      <c r="R468">
        <v>8977</v>
      </c>
    </row>
    <row r="469" spans="1:20">
      <c r="A469" s="165" t="s">
        <v>2357</v>
      </c>
      <c r="B469" s="165">
        <v>592</v>
      </c>
      <c r="C469" s="165" t="s">
        <v>1761</v>
      </c>
      <c r="D469" s="165">
        <v>2</v>
      </c>
      <c r="E469" s="165" t="s">
        <v>78</v>
      </c>
      <c r="F469" s="165" t="s">
        <v>2049</v>
      </c>
      <c r="G469" s="165">
        <v>8978</v>
      </c>
      <c r="H469" s="165"/>
      <c r="I469" s="165"/>
      <c r="J469" s="165"/>
      <c r="K469" s="165">
        <v>8978</v>
      </c>
      <c r="L469" s="165"/>
      <c r="M469" s="165"/>
      <c r="N469" s="165">
        <f t="shared" si="7"/>
        <v>0</v>
      </c>
      <c r="O469" s="165" t="s">
        <v>505</v>
      </c>
      <c r="P469" s="165" t="s">
        <v>505</v>
      </c>
      <c r="Q469" s="3">
        <v>8977</v>
      </c>
      <c r="R469">
        <v>8978</v>
      </c>
    </row>
    <row r="470" spans="1:20">
      <c r="A470" s="165" t="s">
        <v>2357</v>
      </c>
      <c r="B470" s="165">
        <v>593</v>
      </c>
      <c r="C470" s="165" t="s">
        <v>1761</v>
      </c>
      <c r="D470" s="165">
        <v>3</v>
      </c>
      <c r="E470" s="165" t="s">
        <v>79</v>
      </c>
      <c r="F470" s="165" t="s">
        <v>2051</v>
      </c>
      <c r="G470" s="165">
        <v>8977</v>
      </c>
      <c r="H470" s="165"/>
      <c r="I470" s="165"/>
      <c r="J470" s="165"/>
      <c r="K470" s="165">
        <v>8977</v>
      </c>
      <c r="L470" s="165"/>
      <c r="M470" s="165"/>
      <c r="N470" s="165">
        <f t="shared" si="7"/>
        <v>0</v>
      </c>
      <c r="O470" s="165" t="s">
        <v>506</v>
      </c>
      <c r="P470" s="165" t="s">
        <v>507</v>
      </c>
      <c r="Q470" s="3">
        <v>8977</v>
      </c>
      <c r="R470">
        <v>8977</v>
      </c>
    </row>
    <row r="471" spans="1:20">
      <c r="A471" s="165" t="s">
        <v>2357</v>
      </c>
      <c r="B471" s="165">
        <v>594</v>
      </c>
      <c r="C471" s="165" t="s">
        <v>1761</v>
      </c>
      <c r="D471" s="165">
        <v>4</v>
      </c>
      <c r="E471" s="165" t="s">
        <v>80</v>
      </c>
      <c r="F471" s="165" t="s">
        <v>2190</v>
      </c>
      <c r="G471" s="165">
        <v>8978</v>
      </c>
      <c r="H471" s="165"/>
      <c r="I471" s="165"/>
      <c r="J471" s="165"/>
      <c r="K471" s="165">
        <v>8978</v>
      </c>
      <c r="L471" s="165"/>
      <c r="M471" s="165"/>
      <c r="N471" s="165">
        <f t="shared" si="7"/>
        <v>0</v>
      </c>
      <c r="O471" s="165" t="s">
        <v>627</v>
      </c>
      <c r="P471" s="165" t="s">
        <v>827</v>
      </c>
      <c r="Q471" s="3">
        <v>8978</v>
      </c>
      <c r="R471">
        <v>8978</v>
      </c>
    </row>
    <row r="472" spans="1:20">
      <c r="A472" s="165" t="s">
        <v>2357</v>
      </c>
      <c r="B472" s="165">
        <v>595</v>
      </c>
      <c r="C472" s="165" t="s">
        <v>1761</v>
      </c>
      <c r="D472" s="165">
        <v>5</v>
      </c>
      <c r="E472" s="165" t="s">
        <v>81</v>
      </c>
      <c r="F472" s="165" t="s">
        <v>2192</v>
      </c>
      <c r="G472" s="165">
        <v>8977</v>
      </c>
      <c r="H472" s="165"/>
      <c r="I472" s="165"/>
      <c r="J472" s="165"/>
      <c r="K472" s="165">
        <v>8977</v>
      </c>
      <c r="L472" s="165"/>
      <c r="M472" s="165"/>
      <c r="N472" s="165">
        <f t="shared" si="7"/>
        <v>0</v>
      </c>
      <c r="O472" s="165" t="s">
        <v>613</v>
      </c>
      <c r="P472" s="165" t="s">
        <v>614</v>
      </c>
      <c r="Q472" s="3">
        <v>8977</v>
      </c>
      <c r="R472">
        <v>8977</v>
      </c>
    </row>
    <row r="473" spans="1:20">
      <c r="A473" s="165" t="s">
        <v>2357</v>
      </c>
      <c r="B473" s="165">
        <v>596</v>
      </c>
      <c r="C473" s="165" t="s">
        <v>1761</v>
      </c>
      <c r="D473" s="165">
        <v>6</v>
      </c>
      <c r="E473" s="165" t="s">
        <v>82</v>
      </c>
      <c r="F473" s="165" t="s">
        <v>2194</v>
      </c>
      <c r="G473" s="165">
        <v>8978</v>
      </c>
      <c r="H473" s="165"/>
      <c r="I473" s="165"/>
      <c r="J473" s="165">
        <v>8978</v>
      </c>
      <c r="K473" s="165"/>
      <c r="L473" s="165"/>
      <c r="M473" s="165"/>
      <c r="N473" s="165">
        <f t="shared" si="7"/>
        <v>0</v>
      </c>
      <c r="O473" s="165" t="s">
        <v>621</v>
      </c>
      <c r="P473" s="165" t="s">
        <v>622</v>
      </c>
      <c r="Q473" s="3">
        <v>8978</v>
      </c>
      <c r="R473">
        <v>8978</v>
      </c>
    </row>
    <row r="474" spans="1:20">
      <c r="A474" s="165" t="s">
        <v>2357</v>
      </c>
      <c r="B474" s="165">
        <v>597</v>
      </c>
      <c r="C474" s="165" t="s">
        <v>1761</v>
      </c>
      <c r="D474" s="165">
        <v>7</v>
      </c>
      <c r="E474" s="165" t="s">
        <v>83</v>
      </c>
      <c r="F474" s="165" t="s">
        <v>2325</v>
      </c>
      <c r="G474" s="165">
        <v>8977</v>
      </c>
      <c r="H474" s="165"/>
      <c r="I474" s="165"/>
      <c r="J474" s="165">
        <v>8977</v>
      </c>
      <c r="K474" s="165"/>
      <c r="L474" s="165"/>
      <c r="M474" s="165"/>
      <c r="N474" s="165">
        <f t="shared" si="7"/>
        <v>0</v>
      </c>
      <c r="O474" s="165" t="s">
        <v>3161</v>
      </c>
      <c r="P474" s="165" t="s">
        <v>3162</v>
      </c>
      <c r="Q474" s="3">
        <v>8977</v>
      </c>
      <c r="R474">
        <v>8977</v>
      </c>
    </row>
    <row r="475" spans="1:20">
      <c r="A475" s="165" t="s">
        <v>2357</v>
      </c>
      <c r="B475" s="165">
        <v>598</v>
      </c>
      <c r="C475" s="165" t="s">
        <v>1761</v>
      </c>
      <c r="D475" s="165">
        <v>8</v>
      </c>
      <c r="E475" s="165" t="s">
        <v>84</v>
      </c>
      <c r="F475" s="165" t="s">
        <v>683</v>
      </c>
      <c r="G475" s="165">
        <v>8978</v>
      </c>
      <c r="H475" s="165"/>
      <c r="I475" s="165"/>
      <c r="J475" s="165">
        <v>8978</v>
      </c>
      <c r="K475" s="165"/>
      <c r="L475" s="165"/>
      <c r="M475" s="165"/>
      <c r="N475" s="165">
        <f t="shared" si="7"/>
        <v>0</v>
      </c>
      <c r="O475" s="165" t="s">
        <v>3164</v>
      </c>
      <c r="P475" s="165" t="s">
        <v>808</v>
      </c>
      <c r="Q475" s="3">
        <v>8978</v>
      </c>
      <c r="R475">
        <v>8978</v>
      </c>
    </row>
    <row r="476" spans="1:20">
      <c r="A476" s="165" t="s">
        <v>2359</v>
      </c>
      <c r="B476" s="165">
        <v>599</v>
      </c>
      <c r="C476" s="165" t="s">
        <v>2691</v>
      </c>
      <c r="D476" s="165">
        <v>1</v>
      </c>
      <c r="E476" s="165" t="s">
        <v>2360</v>
      </c>
      <c r="F476" s="165" t="s">
        <v>2361</v>
      </c>
      <c r="G476" s="165">
        <v>14175</v>
      </c>
      <c r="H476" s="165"/>
      <c r="I476" s="165"/>
      <c r="J476" s="165"/>
      <c r="K476" s="165">
        <v>14175</v>
      </c>
      <c r="L476" s="165"/>
      <c r="M476" s="165"/>
      <c r="N476" s="165">
        <f t="shared" ref="N476:N509" si="8">G476-J476-K476</f>
        <v>0</v>
      </c>
      <c r="O476" s="165" t="s">
        <v>458</v>
      </c>
      <c r="P476" s="165" t="s">
        <v>2035</v>
      </c>
      <c r="Q476" s="3">
        <v>14175</v>
      </c>
      <c r="R476">
        <v>14175</v>
      </c>
    </row>
    <row r="477" spans="1:20">
      <c r="A477" s="165" t="s">
        <v>2359</v>
      </c>
      <c r="B477" s="165">
        <v>600</v>
      </c>
      <c r="C477" s="165" t="s">
        <v>2691</v>
      </c>
      <c r="D477" s="165">
        <v>2</v>
      </c>
      <c r="E477" s="165" t="s">
        <v>91</v>
      </c>
      <c r="F477" s="165" t="s">
        <v>469</v>
      </c>
      <c r="G477" s="165">
        <v>14175</v>
      </c>
      <c r="H477" s="165"/>
      <c r="I477" s="165"/>
      <c r="J477" s="165"/>
      <c r="K477" s="165">
        <v>14175</v>
      </c>
      <c r="L477" s="165"/>
      <c r="M477" s="165"/>
      <c r="N477" s="165">
        <f t="shared" si="8"/>
        <v>0</v>
      </c>
      <c r="O477" s="165" t="s">
        <v>469</v>
      </c>
      <c r="P477" s="165" t="s">
        <v>470</v>
      </c>
      <c r="Q477" s="3">
        <v>14175</v>
      </c>
      <c r="R477">
        <v>14175</v>
      </c>
    </row>
    <row r="478" spans="1:20">
      <c r="A478" s="165" t="s">
        <v>2359</v>
      </c>
      <c r="B478" s="165">
        <v>601</v>
      </c>
      <c r="C478" s="165" t="s">
        <v>2691</v>
      </c>
      <c r="D478" s="165">
        <v>3</v>
      </c>
      <c r="E478" s="165" t="s">
        <v>92</v>
      </c>
      <c r="F478" s="165" t="s">
        <v>2362</v>
      </c>
      <c r="G478" s="165">
        <v>14175</v>
      </c>
      <c r="H478" s="165"/>
      <c r="I478" s="165"/>
      <c r="J478" s="165"/>
      <c r="K478" s="165">
        <v>14175</v>
      </c>
      <c r="L478" s="165"/>
      <c r="M478" s="165"/>
      <c r="N478" s="165">
        <f t="shared" si="8"/>
        <v>0</v>
      </c>
      <c r="O478" s="165" t="s">
        <v>631</v>
      </c>
      <c r="P478" s="165" t="s">
        <v>632</v>
      </c>
      <c r="Q478" s="3">
        <v>14175</v>
      </c>
      <c r="R478">
        <v>14175</v>
      </c>
    </row>
    <row r="479" spans="1:20">
      <c r="A479" s="165" t="s">
        <v>2359</v>
      </c>
      <c r="B479" s="165">
        <v>602</v>
      </c>
      <c r="C479" s="165" t="s">
        <v>2691</v>
      </c>
      <c r="D479" s="165">
        <v>4</v>
      </c>
      <c r="E479" s="165" t="s">
        <v>93</v>
      </c>
      <c r="F479" s="165" t="s">
        <v>2363</v>
      </c>
      <c r="G479" s="165">
        <v>14175</v>
      </c>
      <c r="H479" s="165"/>
      <c r="I479" s="165"/>
      <c r="J479" s="165"/>
      <c r="K479" s="165">
        <v>14175</v>
      </c>
      <c r="L479" s="165"/>
      <c r="M479" s="165"/>
      <c r="N479" s="165">
        <f t="shared" si="8"/>
        <v>0</v>
      </c>
      <c r="O479" s="165" t="s">
        <v>633</v>
      </c>
      <c r="P479" s="165" t="s">
        <v>634</v>
      </c>
      <c r="Q479" s="3">
        <v>14175</v>
      </c>
      <c r="R479">
        <v>14175</v>
      </c>
    </row>
    <row r="480" spans="1:20">
      <c r="A480" s="165" t="s">
        <v>2359</v>
      </c>
      <c r="B480" s="165">
        <v>603</v>
      </c>
      <c r="C480" s="165" t="s">
        <v>2691</v>
      </c>
      <c r="D480" s="165">
        <v>5</v>
      </c>
      <c r="E480" s="165" t="s">
        <v>94</v>
      </c>
      <c r="F480" s="165" t="s">
        <v>2364</v>
      </c>
      <c r="G480" s="165">
        <v>14175</v>
      </c>
      <c r="H480" s="165"/>
      <c r="I480" s="165"/>
      <c r="J480" s="165"/>
      <c r="K480" s="165">
        <v>14175</v>
      </c>
      <c r="L480" s="165"/>
      <c r="M480" s="165"/>
      <c r="N480" s="165">
        <f t="shared" si="8"/>
        <v>0</v>
      </c>
      <c r="O480" s="165" t="s">
        <v>628</v>
      </c>
      <c r="P480" s="165" t="s">
        <v>629</v>
      </c>
      <c r="Q480" s="3">
        <v>14175</v>
      </c>
      <c r="R480">
        <v>14175</v>
      </c>
    </row>
    <row r="481" spans="1:20">
      <c r="A481" s="165" t="s">
        <v>2359</v>
      </c>
      <c r="B481" s="165">
        <v>604</v>
      </c>
      <c r="C481" s="165" t="s">
        <v>2691</v>
      </c>
      <c r="D481" s="165">
        <v>6</v>
      </c>
      <c r="E481" s="165" t="s">
        <v>95</v>
      </c>
      <c r="F481" s="165" t="s">
        <v>2365</v>
      </c>
      <c r="G481" s="165">
        <v>14175</v>
      </c>
      <c r="H481" s="165"/>
      <c r="I481" s="165"/>
      <c r="J481" s="165">
        <v>14175</v>
      </c>
      <c r="K481" s="165"/>
      <c r="L481" s="165"/>
      <c r="M481" s="165"/>
      <c r="N481" s="165">
        <f t="shared" si="8"/>
        <v>0</v>
      </c>
      <c r="O481" s="165" t="s">
        <v>625</v>
      </c>
      <c r="P481" s="165" t="s">
        <v>626</v>
      </c>
      <c r="Q481" s="3">
        <v>14175</v>
      </c>
      <c r="R481">
        <v>14175</v>
      </c>
    </row>
    <row r="482" spans="1:20">
      <c r="A482" s="165" t="s">
        <v>2359</v>
      </c>
      <c r="B482" s="165">
        <v>605</v>
      </c>
      <c r="C482" s="165" t="s">
        <v>2691</v>
      </c>
      <c r="D482" s="165">
        <v>7</v>
      </c>
      <c r="E482" s="165" t="s">
        <v>96</v>
      </c>
      <c r="F482" s="165" t="s">
        <v>2366</v>
      </c>
      <c r="G482" s="165">
        <v>14175</v>
      </c>
      <c r="H482" s="165"/>
      <c r="I482" s="165"/>
      <c r="J482" s="165">
        <v>14175</v>
      </c>
      <c r="K482" s="165"/>
      <c r="L482" s="165"/>
      <c r="M482" s="165"/>
      <c r="N482" s="165">
        <f t="shared" si="8"/>
        <v>0</v>
      </c>
      <c r="O482" s="165" t="s">
        <v>683</v>
      </c>
      <c r="P482" s="165" t="s">
        <v>3163</v>
      </c>
      <c r="Q482" s="3">
        <v>14175</v>
      </c>
      <c r="R482">
        <v>14175</v>
      </c>
    </row>
    <row r="483" spans="1:20">
      <c r="A483" s="165" t="s">
        <v>2359</v>
      </c>
      <c r="B483" s="165">
        <v>606</v>
      </c>
      <c r="C483" s="165" t="s">
        <v>2691</v>
      </c>
      <c r="D483" s="165">
        <v>8</v>
      </c>
      <c r="E483" s="165" t="s">
        <v>97</v>
      </c>
      <c r="F483" s="165" t="s">
        <v>2367</v>
      </c>
      <c r="G483" s="165">
        <v>14175</v>
      </c>
      <c r="H483" s="165"/>
      <c r="I483" s="165"/>
      <c r="J483" s="165">
        <v>14175</v>
      </c>
      <c r="K483" s="165"/>
      <c r="L483" s="165"/>
      <c r="M483" s="165"/>
      <c r="N483" s="165">
        <f t="shared" si="8"/>
        <v>0</v>
      </c>
      <c r="O483" s="165" t="s">
        <v>3167</v>
      </c>
      <c r="P483" s="165" t="s">
        <v>3168</v>
      </c>
      <c r="Q483" s="3">
        <v>14175</v>
      </c>
      <c r="R483">
        <v>14175</v>
      </c>
    </row>
    <row r="484" spans="1:20">
      <c r="A484" s="209" t="s">
        <v>1464</v>
      </c>
      <c r="B484" s="209"/>
      <c r="C484" s="205" t="s">
        <v>3825</v>
      </c>
      <c r="D484" s="226">
        <v>8</v>
      </c>
      <c r="E484" s="183" t="s">
        <v>1283</v>
      </c>
      <c r="F484" s="209" t="s">
        <v>1464</v>
      </c>
      <c r="G484" s="165"/>
      <c r="H484" s="165"/>
      <c r="I484" s="165"/>
      <c r="J484" s="209"/>
      <c r="K484" s="209"/>
      <c r="L484" s="209"/>
      <c r="M484" s="209"/>
      <c r="N484" s="209">
        <f t="shared" si="8"/>
        <v>0</v>
      </c>
      <c r="O484" s="209" t="s">
        <v>1464</v>
      </c>
      <c r="P484" s="209" t="s">
        <v>1464</v>
      </c>
      <c r="Q484" s="178">
        <v>14175</v>
      </c>
      <c r="R484" s="178">
        <v>14145</v>
      </c>
      <c r="S484" s="178"/>
      <c r="T484" s="3">
        <v>30</v>
      </c>
    </row>
    <row r="485" spans="1:20">
      <c r="A485" s="165" t="s">
        <v>1465</v>
      </c>
      <c r="B485" s="165">
        <v>607</v>
      </c>
      <c r="C485" s="165" t="s">
        <v>2688</v>
      </c>
      <c r="D485" s="165">
        <v>1</v>
      </c>
      <c r="E485" s="165" t="s">
        <v>2368</v>
      </c>
      <c r="F485" s="165" t="s">
        <v>2017</v>
      </c>
      <c r="G485" s="165">
        <v>11340</v>
      </c>
      <c r="H485" s="165"/>
      <c r="I485" s="165"/>
      <c r="J485" s="165"/>
      <c r="K485" s="165">
        <v>11340</v>
      </c>
      <c r="L485" s="165"/>
      <c r="M485" s="165"/>
      <c r="N485" s="165">
        <f t="shared" si="8"/>
        <v>0</v>
      </c>
      <c r="O485" s="165" t="s">
        <v>500</v>
      </c>
      <c r="P485" s="165" t="s">
        <v>500</v>
      </c>
      <c r="Q485" s="3">
        <v>11340</v>
      </c>
      <c r="R485">
        <v>11340</v>
      </c>
    </row>
    <row r="486" spans="1:20">
      <c r="A486" s="165" t="s">
        <v>1465</v>
      </c>
      <c r="B486" s="165">
        <v>608</v>
      </c>
      <c r="C486" s="165" t="s">
        <v>2688</v>
      </c>
      <c r="D486" s="165">
        <v>2</v>
      </c>
      <c r="E486" s="165" t="s">
        <v>111</v>
      </c>
      <c r="F486" s="165" t="s">
        <v>2778</v>
      </c>
      <c r="G486" s="165">
        <v>11340</v>
      </c>
      <c r="H486" s="165"/>
      <c r="I486" s="165"/>
      <c r="J486" s="165"/>
      <c r="K486" s="165">
        <v>11340</v>
      </c>
      <c r="L486" s="165"/>
      <c r="M486" s="165"/>
      <c r="N486" s="165">
        <f t="shared" si="8"/>
        <v>0</v>
      </c>
      <c r="O486" s="165" t="s">
        <v>1006</v>
      </c>
      <c r="P486" s="165" t="s">
        <v>2051</v>
      </c>
      <c r="Q486" s="3">
        <v>11340</v>
      </c>
      <c r="R486">
        <v>11340</v>
      </c>
    </row>
    <row r="487" spans="1:20">
      <c r="A487" s="165" t="s">
        <v>1465</v>
      </c>
      <c r="B487" s="165">
        <v>609</v>
      </c>
      <c r="C487" s="165" t="s">
        <v>2688</v>
      </c>
      <c r="D487" s="165">
        <v>3</v>
      </c>
      <c r="E487" s="165" t="s">
        <v>112</v>
      </c>
      <c r="F487" s="165" t="s">
        <v>1007</v>
      </c>
      <c r="G487" s="165">
        <v>11340</v>
      </c>
      <c r="H487" s="165"/>
      <c r="I487" s="165"/>
      <c r="J487" s="165"/>
      <c r="K487" s="165">
        <v>11340</v>
      </c>
      <c r="L487" s="165"/>
      <c r="M487" s="165"/>
      <c r="N487" s="165">
        <f t="shared" si="8"/>
        <v>0</v>
      </c>
      <c r="O487" s="165" t="s">
        <v>627</v>
      </c>
      <c r="P487" s="165" t="s">
        <v>827</v>
      </c>
      <c r="Q487" s="3">
        <v>11340</v>
      </c>
      <c r="R487">
        <v>11340</v>
      </c>
    </row>
    <row r="488" spans="1:20">
      <c r="A488" s="165" t="s">
        <v>1465</v>
      </c>
      <c r="B488" s="165">
        <v>610</v>
      </c>
      <c r="C488" s="165" t="s">
        <v>2688</v>
      </c>
      <c r="D488" s="165">
        <v>4</v>
      </c>
      <c r="E488" s="165" t="s">
        <v>113</v>
      </c>
      <c r="F488" s="165" t="s">
        <v>1008</v>
      </c>
      <c r="G488" s="165">
        <v>11340</v>
      </c>
      <c r="H488" s="165"/>
      <c r="I488" s="165"/>
      <c r="J488" s="165"/>
      <c r="K488" s="165">
        <v>11340</v>
      </c>
      <c r="L488" s="165"/>
      <c r="M488" s="165"/>
      <c r="N488" s="165">
        <f t="shared" si="8"/>
        <v>0</v>
      </c>
      <c r="O488" s="165" t="s">
        <v>613</v>
      </c>
      <c r="P488" s="165" t="s">
        <v>614</v>
      </c>
      <c r="Q488" s="3">
        <v>11340</v>
      </c>
      <c r="R488">
        <v>11340</v>
      </c>
    </row>
    <row r="489" spans="1:20">
      <c r="A489" s="165" t="s">
        <v>1465</v>
      </c>
      <c r="B489" s="165">
        <v>611</v>
      </c>
      <c r="C489" s="165" t="s">
        <v>2688</v>
      </c>
      <c r="D489" s="165">
        <v>5</v>
      </c>
      <c r="E489" s="165" t="s">
        <v>114</v>
      </c>
      <c r="F489" s="165" t="s">
        <v>1009</v>
      </c>
      <c r="G489" s="165">
        <v>11340</v>
      </c>
      <c r="H489" s="165"/>
      <c r="I489" s="165"/>
      <c r="J489" s="165"/>
      <c r="K489" s="165">
        <v>11340</v>
      </c>
      <c r="L489" s="165"/>
      <c r="M489" s="165"/>
      <c r="N489" s="165">
        <f t="shared" si="8"/>
        <v>0</v>
      </c>
      <c r="O489" s="165" t="s">
        <v>621</v>
      </c>
      <c r="P489" s="165" t="s">
        <v>622</v>
      </c>
      <c r="Q489" s="3">
        <v>11340</v>
      </c>
      <c r="R489">
        <v>11340</v>
      </c>
    </row>
    <row r="490" spans="1:20">
      <c r="A490" s="165" t="s">
        <v>1465</v>
      </c>
      <c r="B490" s="165">
        <v>612</v>
      </c>
      <c r="C490" s="165" t="s">
        <v>2688</v>
      </c>
      <c r="D490" s="165">
        <v>6</v>
      </c>
      <c r="E490" s="165" t="s">
        <v>115</v>
      </c>
      <c r="F490" s="165" t="s">
        <v>1010</v>
      </c>
      <c r="G490" s="165">
        <v>11340</v>
      </c>
      <c r="H490" s="165"/>
      <c r="I490" s="165"/>
      <c r="J490" s="165">
        <v>11340</v>
      </c>
      <c r="K490" s="165"/>
      <c r="L490" s="165"/>
      <c r="M490" s="165"/>
      <c r="N490" s="165">
        <f t="shared" si="8"/>
        <v>0</v>
      </c>
      <c r="O490" s="165" t="s">
        <v>3159</v>
      </c>
      <c r="P490" s="165" t="s">
        <v>3160</v>
      </c>
      <c r="Q490" s="3">
        <v>11340</v>
      </c>
      <c r="R490">
        <v>11340</v>
      </c>
    </row>
    <row r="491" spans="1:20">
      <c r="A491" s="165" t="s">
        <v>1465</v>
      </c>
      <c r="B491" s="165">
        <v>613</v>
      </c>
      <c r="C491" s="165" t="s">
        <v>2688</v>
      </c>
      <c r="D491" s="165">
        <v>7</v>
      </c>
      <c r="E491" s="165" t="s">
        <v>116</v>
      </c>
      <c r="F491" s="165" t="s">
        <v>1011</v>
      </c>
      <c r="G491" s="165">
        <v>11340</v>
      </c>
      <c r="H491" s="165"/>
      <c r="I491" s="165"/>
      <c r="J491" s="165">
        <v>11340</v>
      </c>
      <c r="K491" s="165"/>
      <c r="L491" s="165"/>
      <c r="M491" s="165"/>
      <c r="N491" s="165">
        <f t="shared" si="8"/>
        <v>0</v>
      </c>
      <c r="O491" s="165" t="s">
        <v>3164</v>
      </c>
      <c r="P491" s="165" t="s">
        <v>808</v>
      </c>
      <c r="Q491" s="3">
        <v>11340</v>
      </c>
      <c r="R491">
        <v>11340</v>
      </c>
    </row>
    <row r="492" spans="1:20">
      <c r="A492" s="165" t="s">
        <v>1465</v>
      </c>
      <c r="B492" s="165">
        <v>614</v>
      </c>
      <c r="C492" s="165" t="s">
        <v>2688</v>
      </c>
      <c r="D492" s="165">
        <v>8</v>
      </c>
      <c r="E492" s="165" t="s">
        <v>117</v>
      </c>
      <c r="F492" s="165" t="s">
        <v>1012</v>
      </c>
      <c r="G492" s="165">
        <v>11340</v>
      </c>
      <c r="H492" s="165"/>
      <c r="I492" s="165"/>
      <c r="J492" s="165">
        <v>11340</v>
      </c>
      <c r="K492" s="165"/>
      <c r="L492" s="165"/>
      <c r="M492" s="165"/>
      <c r="N492" s="165">
        <f t="shared" si="8"/>
        <v>0</v>
      </c>
      <c r="O492" s="165" t="s">
        <v>3165</v>
      </c>
      <c r="P492" s="165" t="s">
        <v>3166</v>
      </c>
      <c r="Q492" s="3">
        <v>11340</v>
      </c>
      <c r="R492">
        <v>11340</v>
      </c>
    </row>
    <row r="493" spans="1:20">
      <c r="A493" s="165" t="s">
        <v>1466</v>
      </c>
      <c r="B493" s="165">
        <v>615</v>
      </c>
      <c r="C493" s="165" t="s">
        <v>1013</v>
      </c>
      <c r="D493" s="165">
        <v>1</v>
      </c>
      <c r="E493" s="165" t="s">
        <v>1014</v>
      </c>
      <c r="F493" s="165" t="s">
        <v>1474</v>
      </c>
      <c r="G493" s="165">
        <v>20475</v>
      </c>
      <c r="H493" s="165"/>
      <c r="I493" s="165"/>
      <c r="J493" s="165"/>
      <c r="K493" s="165">
        <v>20475</v>
      </c>
      <c r="L493" s="165"/>
      <c r="M493" s="165"/>
      <c r="N493" s="165">
        <f t="shared" si="8"/>
        <v>0</v>
      </c>
      <c r="O493" s="165" t="s">
        <v>500</v>
      </c>
      <c r="P493" s="165" t="s">
        <v>500</v>
      </c>
      <c r="Q493" s="3">
        <v>20475</v>
      </c>
      <c r="R493">
        <v>20475</v>
      </c>
    </row>
    <row r="494" spans="1:20">
      <c r="A494" s="165" t="s">
        <v>1466</v>
      </c>
      <c r="B494" s="165">
        <v>616</v>
      </c>
      <c r="C494" s="165" t="s">
        <v>1013</v>
      </c>
      <c r="D494" s="165">
        <v>2</v>
      </c>
      <c r="E494" s="165" t="s">
        <v>118</v>
      </c>
      <c r="F494" s="165" t="s">
        <v>469</v>
      </c>
      <c r="G494" s="165">
        <v>20475</v>
      </c>
      <c r="H494" s="165"/>
      <c r="I494" s="165"/>
      <c r="J494" s="165"/>
      <c r="K494" s="165">
        <v>20475</v>
      </c>
      <c r="L494" s="165"/>
      <c r="M494" s="165"/>
      <c r="N494" s="165">
        <f t="shared" si="8"/>
        <v>0</v>
      </c>
      <c r="O494" s="165" t="s">
        <v>469</v>
      </c>
      <c r="P494" s="165" t="s">
        <v>470</v>
      </c>
      <c r="Q494" s="3">
        <v>20475</v>
      </c>
      <c r="R494">
        <v>20475</v>
      </c>
      <c r="T494" s="271" t="s">
        <v>2740</v>
      </c>
    </row>
    <row r="495" spans="1:20">
      <c r="A495" s="165" t="s">
        <v>1466</v>
      </c>
      <c r="B495" s="165">
        <v>617</v>
      </c>
      <c r="C495" s="165" t="s">
        <v>1013</v>
      </c>
      <c r="D495" s="165">
        <v>3</v>
      </c>
      <c r="E495" s="165" t="s">
        <v>119</v>
      </c>
      <c r="F495" s="165" t="s">
        <v>2362</v>
      </c>
      <c r="G495" s="165">
        <v>20475</v>
      </c>
      <c r="H495" s="165"/>
      <c r="I495" s="165"/>
      <c r="J495" s="165"/>
      <c r="K495" s="165">
        <v>20475</v>
      </c>
      <c r="L495" s="165"/>
      <c r="M495" s="165"/>
      <c r="N495" s="165">
        <f t="shared" si="8"/>
        <v>0</v>
      </c>
      <c r="O495" s="165" t="s">
        <v>631</v>
      </c>
      <c r="P495" s="165" t="s">
        <v>632</v>
      </c>
      <c r="Q495" s="3">
        <v>20475</v>
      </c>
      <c r="R495">
        <v>20475</v>
      </c>
      <c r="T495" s="271" t="s">
        <v>2740</v>
      </c>
    </row>
    <row r="496" spans="1:20">
      <c r="A496" s="165" t="s">
        <v>1466</v>
      </c>
      <c r="B496" s="165">
        <v>618</v>
      </c>
      <c r="C496" s="165" t="s">
        <v>1013</v>
      </c>
      <c r="D496" s="165">
        <v>4</v>
      </c>
      <c r="E496" s="165" t="s">
        <v>120</v>
      </c>
      <c r="F496" s="165" t="s">
        <v>2363</v>
      </c>
      <c r="G496" s="165">
        <v>20475</v>
      </c>
      <c r="H496" s="165"/>
      <c r="I496" s="165"/>
      <c r="J496" s="165"/>
      <c r="K496" s="165">
        <v>20475</v>
      </c>
      <c r="L496" s="165"/>
      <c r="M496" s="165"/>
      <c r="N496" s="165">
        <f t="shared" si="8"/>
        <v>0</v>
      </c>
      <c r="O496" s="165" t="s">
        <v>633</v>
      </c>
      <c r="P496" s="165" t="s">
        <v>634</v>
      </c>
      <c r="Q496" s="3">
        <v>20475</v>
      </c>
      <c r="R496">
        <v>20475</v>
      </c>
      <c r="T496" s="271" t="s">
        <v>2740</v>
      </c>
    </row>
    <row r="497" spans="1:20">
      <c r="A497" s="165" t="s">
        <v>1466</v>
      </c>
      <c r="B497" s="165">
        <v>619</v>
      </c>
      <c r="C497" s="165" t="s">
        <v>1013</v>
      </c>
      <c r="D497" s="165">
        <v>5</v>
      </c>
      <c r="E497" s="165" t="s">
        <v>121</v>
      </c>
      <c r="F497" s="165" t="s">
        <v>2364</v>
      </c>
      <c r="G497" s="165">
        <v>20475</v>
      </c>
      <c r="H497" s="165"/>
      <c r="I497" s="165"/>
      <c r="J497" s="165"/>
      <c r="K497" s="165">
        <v>20475</v>
      </c>
      <c r="L497" s="165"/>
      <c r="M497" s="165"/>
      <c r="N497" s="165">
        <f t="shared" si="8"/>
        <v>0</v>
      </c>
      <c r="O497" s="165" t="s">
        <v>628</v>
      </c>
      <c r="P497" s="165" t="s">
        <v>629</v>
      </c>
      <c r="Q497" s="3">
        <v>20475</v>
      </c>
      <c r="R497">
        <v>20475</v>
      </c>
      <c r="T497" s="271" t="s">
        <v>2740</v>
      </c>
    </row>
    <row r="498" spans="1:20">
      <c r="A498" s="165" t="s">
        <v>1466</v>
      </c>
      <c r="B498" s="165">
        <v>620</v>
      </c>
      <c r="C498" s="165" t="s">
        <v>1013</v>
      </c>
      <c r="D498" s="165">
        <v>6</v>
      </c>
      <c r="E498" s="165" t="s">
        <v>122</v>
      </c>
      <c r="F498" s="165" t="s">
        <v>2365</v>
      </c>
      <c r="G498" s="165">
        <v>20475</v>
      </c>
      <c r="H498" s="165"/>
      <c r="I498" s="165"/>
      <c r="J498" s="165">
        <v>20475</v>
      </c>
      <c r="K498" s="165"/>
      <c r="L498" s="165"/>
      <c r="M498" s="165"/>
      <c r="N498" s="165">
        <f t="shared" si="8"/>
        <v>0</v>
      </c>
      <c r="O498" s="165" t="s">
        <v>625</v>
      </c>
      <c r="P498" s="165" t="s">
        <v>471</v>
      </c>
      <c r="Q498" s="3">
        <v>20475</v>
      </c>
      <c r="R498">
        <v>20475</v>
      </c>
      <c r="T498" s="271" t="s">
        <v>2740</v>
      </c>
    </row>
    <row r="499" spans="1:20">
      <c r="A499" s="165" t="s">
        <v>1466</v>
      </c>
      <c r="B499" s="165">
        <v>621</v>
      </c>
      <c r="C499" s="165" t="s">
        <v>1013</v>
      </c>
      <c r="D499" s="165">
        <v>7</v>
      </c>
      <c r="E499" s="165" t="s">
        <v>123</v>
      </c>
      <c r="F499" s="165" t="s">
        <v>2366</v>
      </c>
      <c r="G499" s="165">
        <v>20475</v>
      </c>
      <c r="H499" s="165"/>
      <c r="I499" s="165"/>
      <c r="J499" s="165">
        <v>20475</v>
      </c>
      <c r="K499" s="165"/>
      <c r="L499" s="165"/>
      <c r="M499" s="165"/>
      <c r="N499" s="165">
        <f t="shared" si="8"/>
        <v>0</v>
      </c>
      <c r="O499" s="165" t="s">
        <v>683</v>
      </c>
      <c r="P499" s="165" t="s">
        <v>3163</v>
      </c>
      <c r="Q499" s="3">
        <v>20475</v>
      </c>
      <c r="R499">
        <v>20475</v>
      </c>
      <c r="T499" s="271" t="s">
        <v>2740</v>
      </c>
    </row>
    <row r="500" spans="1:20">
      <c r="A500" s="165" t="s">
        <v>1466</v>
      </c>
      <c r="B500" s="165">
        <v>622</v>
      </c>
      <c r="C500" s="165" t="s">
        <v>1013</v>
      </c>
      <c r="D500" s="165">
        <v>8</v>
      </c>
      <c r="E500" s="165" t="s">
        <v>1015</v>
      </c>
      <c r="F500" s="165" t="s">
        <v>2367</v>
      </c>
      <c r="G500" s="165">
        <v>20475</v>
      </c>
      <c r="H500" s="165"/>
      <c r="I500" s="165"/>
      <c r="J500" s="165">
        <v>20475</v>
      </c>
      <c r="K500" s="165"/>
      <c r="L500" s="165"/>
      <c r="M500" s="165"/>
      <c r="N500" s="165">
        <f t="shared" si="8"/>
        <v>0</v>
      </c>
      <c r="O500" s="165" t="s">
        <v>3167</v>
      </c>
      <c r="P500" s="165" t="s">
        <v>3168</v>
      </c>
      <c r="Q500" s="3">
        <v>20475</v>
      </c>
      <c r="R500">
        <v>20475</v>
      </c>
      <c r="T500" s="271" t="s">
        <v>2740</v>
      </c>
    </row>
    <row r="501" spans="1:20">
      <c r="A501" s="165" t="s">
        <v>1466</v>
      </c>
      <c r="B501" s="165">
        <v>623</v>
      </c>
      <c r="C501" s="165" t="s">
        <v>1016</v>
      </c>
      <c r="D501" s="165">
        <v>1</v>
      </c>
      <c r="E501" s="165" t="s">
        <v>1017</v>
      </c>
      <c r="F501" s="165" t="s">
        <v>1474</v>
      </c>
      <c r="G501" s="165">
        <v>20475</v>
      </c>
      <c r="H501" s="165"/>
      <c r="I501" s="165"/>
      <c r="J501" s="165"/>
      <c r="K501" s="165">
        <v>20475</v>
      </c>
      <c r="L501" s="165"/>
      <c r="M501" s="165"/>
      <c r="N501" s="165">
        <f t="shared" si="8"/>
        <v>0</v>
      </c>
      <c r="O501" s="165" t="s">
        <v>500</v>
      </c>
      <c r="P501" s="165" t="s">
        <v>500</v>
      </c>
      <c r="Q501" s="3">
        <v>20475</v>
      </c>
      <c r="R501">
        <v>20475</v>
      </c>
    </row>
    <row r="502" spans="1:20">
      <c r="A502" s="165" t="s">
        <v>1466</v>
      </c>
      <c r="B502" s="165">
        <v>624</v>
      </c>
      <c r="C502" s="165" t="s">
        <v>1016</v>
      </c>
      <c r="D502" s="165">
        <v>2</v>
      </c>
      <c r="E502" s="165" t="s">
        <v>124</v>
      </c>
      <c r="F502" s="165" t="s">
        <v>469</v>
      </c>
      <c r="G502" s="165">
        <v>20475</v>
      </c>
      <c r="H502" s="165"/>
      <c r="I502" s="165"/>
      <c r="J502" s="165"/>
      <c r="K502" s="165">
        <v>20475</v>
      </c>
      <c r="L502" s="165"/>
      <c r="M502" s="165"/>
      <c r="N502" s="165">
        <f t="shared" si="8"/>
        <v>0</v>
      </c>
      <c r="O502" s="165" t="s">
        <v>469</v>
      </c>
      <c r="P502" s="165" t="s">
        <v>470</v>
      </c>
      <c r="Q502" s="3">
        <v>20475</v>
      </c>
      <c r="R502">
        <v>20475</v>
      </c>
      <c r="T502" s="271" t="s">
        <v>2740</v>
      </c>
    </row>
    <row r="503" spans="1:20">
      <c r="A503" s="165" t="s">
        <v>1466</v>
      </c>
      <c r="B503" s="165">
        <v>625</v>
      </c>
      <c r="C503" s="165" t="s">
        <v>1016</v>
      </c>
      <c r="D503" s="165">
        <v>3</v>
      </c>
      <c r="E503" s="165" t="s">
        <v>125</v>
      </c>
      <c r="F503" s="165" t="s">
        <v>2362</v>
      </c>
      <c r="G503" s="165">
        <v>20475</v>
      </c>
      <c r="H503" s="165"/>
      <c r="I503" s="165"/>
      <c r="J503" s="165"/>
      <c r="K503" s="165">
        <v>20475</v>
      </c>
      <c r="L503" s="165"/>
      <c r="M503" s="165"/>
      <c r="N503" s="165">
        <f t="shared" si="8"/>
        <v>0</v>
      </c>
      <c r="O503" s="165" t="s">
        <v>631</v>
      </c>
      <c r="P503" s="165" t="s">
        <v>632</v>
      </c>
      <c r="Q503" s="3">
        <v>20475</v>
      </c>
      <c r="R503">
        <v>20475</v>
      </c>
      <c r="T503" s="271" t="s">
        <v>2740</v>
      </c>
    </row>
    <row r="504" spans="1:20">
      <c r="A504" s="165" t="s">
        <v>1466</v>
      </c>
      <c r="B504" s="165">
        <v>626</v>
      </c>
      <c r="C504" s="165" t="s">
        <v>1016</v>
      </c>
      <c r="D504" s="165">
        <v>4</v>
      </c>
      <c r="E504" s="165" t="s">
        <v>126</v>
      </c>
      <c r="F504" s="165" t="s">
        <v>2363</v>
      </c>
      <c r="G504" s="165">
        <v>20475</v>
      </c>
      <c r="H504" s="165"/>
      <c r="I504" s="165"/>
      <c r="J504" s="165"/>
      <c r="K504" s="165">
        <v>20475</v>
      </c>
      <c r="L504" s="165"/>
      <c r="M504" s="165"/>
      <c r="N504" s="165">
        <f t="shared" si="8"/>
        <v>0</v>
      </c>
      <c r="O504" s="165" t="s">
        <v>633</v>
      </c>
      <c r="P504" s="165" t="s">
        <v>634</v>
      </c>
      <c r="Q504" s="3">
        <v>20475</v>
      </c>
      <c r="R504">
        <v>20475</v>
      </c>
      <c r="T504" s="271" t="s">
        <v>2740</v>
      </c>
    </row>
    <row r="505" spans="1:20">
      <c r="A505" s="165" t="s">
        <v>1466</v>
      </c>
      <c r="B505" s="165">
        <v>627</v>
      </c>
      <c r="C505" s="165" t="s">
        <v>1016</v>
      </c>
      <c r="D505" s="165">
        <v>5</v>
      </c>
      <c r="E505" s="165" t="s">
        <v>127</v>
      </c>
      <c r="F505" s="165" t="s">
        <v>2364</v>
      </c>
      <c r="G505" s="165">
        <v>20475</v>
      </c>
      <c r="H505" s="165"/>
      <c r="I505" s="165"/>
      <c r="J505" s="165"/>
      <c r="K505" s="165">
        <v>20475</v>
      </c>
      <c r="L505" s="165"/>
      <c r="M505" s="165"/>
      <c r="N505" s="165">
        <f t="shared" si="8"/>
        <v>0</v>
      </c>
      <c r="O505" s="165" t="s">
        <v>628</v>
      </c>
      <c r="P505" s="165" t="s">
        <v>629</v>
      </c>
      <c r="Q505" s="3">
        <v>20475</v>
      </c>
      <c r="R505">
        <v>20475</v>
      </c>
      <c r="T505" s="271" t="s">
        <v>2740</v>
      </c>
    </row>
    <row r="506" spans="1:20">
      <c r="A506" s="165" t="s">
        <v>1466</v>
      </c>
      <c r="B506" s="165">
        <v>628</v>
      </c>
      <c r="C506" s="165" t="s">
        <v>1016</v>
      </c>
      <c r="D506" s="165">
        <v>6</v>
      </c>
      <c r="E506" s="165" t="s">
        <v>128</v>
      </c>
      <c r="F506" s="165" t="s">
        <v>2365</v>
      </c>
      <c r="G506" s="165">
        <v>20475</v>
      </c>
      <c r="H506" s="165"/>
      <c r="I506" s="165"/>
      <c r="J506" s="165">
        <v>20475</v>
      </c>
      <c r="K506" s="165"/>
      <c r="L506" s="165"/>
      <c r="M506" s="165"/>
      <c r="N506" s="165">
        <f t="shared" si="8"/>
        <v>0</v>
      </c>
      <c r="O506" s="165" t="s">
        <v>625</v>
      </c>
      <c r="P506" s="165" t="s">
        <v>626</v>
      </c>
      <c r="Q506" s="3">
        <v>20475</v>
      </c>
      <c r="R506">
        <v>20475</v>
      </c>
      <c r="T506" s="271" t="s">
        <v>2740</v>
      </c>
    </row>
    <row r="507" spans="1:20">
      <c r="A507" s="165" t="s">
        <v>1466</v>
      </c>
      <c r="B507" s="165">
        <v>629</v>
      </c>
      <c r="C507" s="165" t="s">
        <v>1016</v>
      </c>
      <c r="D507" s="165">
        <v>7</v>
      </c>
      <c r="E507" s="165" t="s">
        <v>129</v>
      </c>
      <c r="F507" s="165" t="s">
        <v>2366</v>
      </c>
      <c r="G507" s="165">
        <v>20475</v>
      </c>
      <c r="H507" s="165"/>
      <c r="I507" s="165"/>
      <c r="J507" s="165">
        <v>20475</v>
      </c>
      <c r="K507" s="165"/>
      <c r="L507" s="165"/>
      <c r="M507" s="165"/>
      <c r="N507" s="165">
        <f t="shared" si="8"/>
        <v>0</v>
      </c>
      <c r="O507" s="165" t="s">
        <v>683</v>
      </c>
      <c r="P507" s="165" t="s">
        <v>3163</v>
      </c>
      <c r="Q507" s="3">
        <v>20475</v>
      </c>
      <c r="R507">
        <v>20475</v>
      </c>
      <c r="T507" s="271" t="s">
        <v>2740</v>
      </c>
    </row>
    <row r="508" spans="1:20">
      <c r="A508" s="165" t="s">
        <v>1466</v>
      </c>
      <c r="B508" s="165">
        <v>630</v>
      </c>
      <c r="C508" s="165" t="s">
        <v>1016</v>
      </c>
      <c r="D508" s="165">
        <v>8</v>
      </c>
      <c r="E508" s="165" t="s">
        <v>130</v>
      </c>
      <c r="F508" s="165" t="s">
        <v>2367</v>
      </c>
      <c r="G508" s="165">
        <v>20475</v>
      </c>
      <c r="H508" s="165"/>
      <c r="I508" s="165"/>
      <c r="J508" s="165">
        <v>20475</v>
      </c>
      <c r="K508" s="165"/>
      <c r="L508" s="165"/>
      <c r="M508" s="165"/>
      <c r="N508" s="165">
        <f t="shared" si="8"/>
        <v>0</v>
      </c>
      <c r="O508" s="165" t="s">
        <v>3167</v>
      </c>
      <c r="P508" s="165" t="s">
        <v>3168</v>
      </c>
      <c r="Q508" s="3">
        <v>20475</v>
      </c>
      <c r="R508">
        <v>20475</v>
      </c>
      <c r="T508" s="271" t="s">
        <v>2740</v>
      </c>
    </row>
    <row r="509" spans="1:20">
      <c r="A509" s="165" t="s">
        <v>461</v>
      </c>
      <c r="B509" s="165">
        <v>631</v>
      </c>
      <c r="C509" s="165" t="s">
        <v>1232</v>
      </c>
      <c r="D509" s="165">
        <v>7</v>
      </c>
      <c r="E509" s="165" t="s">
        <v>1018</v>
      </c>
      <c r="F509" s="165" t="s">
        <v>1467</v>
      </c>
      <c r="G509" s="165">
        <v>16380</v>
      </c>
      <c r="H509" s="165"/>
      <c r="I509" s="165"/>
      <c r="J509" s="165"/>
      <c r="K509" s="165">
        <v>16380</v>
      </c>
      <c r="L509" s="165"/>
      <c r="M509" s="165"/>
      <c r="N509" s="165">
        <f t="shared" si="8"/>
        <v>0</v>
      </c>
      <c r="O509" s="165" t="s">
        <v>500</v>
      </c>
      <c r="P509" s="165" t="s">
        <v>500</v>
      </c>
      <c r="Q509" s="3">
        <v>16380</v>
      </c>
      <c r="R509">
        <v>16380</v>
      </c>
    </row>
    <row r="510" spans="1:20">
      <c r="A510" s="165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</row>
    <row r="511" spans="1:20" s="176" customFormat="1" ht="20.25" customHeight="1">
      <c r="A511" s="203" t="s">
        <v>2119</v>
      </c>
      <c r="B511" s="200"/>
      <c r="C511" s="201"/>
      <c r="D511" s="202"/>
      <c r="E511" s="201"/>
      <c r="F511" s="185" t="s">
        <v>2378</v>
      </c>
      <c r="G511" s="185">
        <f t="shared" ref="G511:N511" si="9">SUM(G513:G658)</f>
        <v>1934310</v>
      </c>
      <c r="H511" s="185">
        <f t="shared" si="9"/>
        <v>45360</v>
      </c>
      <c r="I511" s="185">
        <f t="shared" si="9"/>
        <v>81900</v>
      </c>
      <c r="J511" s="185">
        <f>SUM(J513:J658)</f>
        <v>1140825</v>
      </c>
      <c r="K511" s="185">
        <f>SUM(K513:K658)</f>
        <v>719775</v>
      </c>
      <c r="L511" s="185">
        <f t="shared" si="9"/>
        <v>200970</v>
      </c>
      <c r="M511" s="185">
        <f>SUM(M513:M658)</f>
        <v>41580</v>
      </c>
      <c r="N511" s="185">
        <f t="shared" si="9"/>
        <v>0</v>
      </c>
      <c r="O511" s="185"/>
      <c r="P511" s="185"/>
      <c r="Q511" s="185">
        <f>SUM(Q513:Q658)</f>
        <v>2693970</v>
      </c>
      <c r="R511" s="185">
        <f>SUM(R513:R658)</f>
        <v>2693235</v>
      </c>
      <c r="S511" s="185"/>
      <c r="T511" s="185">
        <f>SUM(T513:T658)</f>
        <v>195</v>
      </c>
    </row>
    <row r="512" spans="1:20" s="270" customFormat="1">
      <c r="A512" s="269" t="s">
        <v>1281</v>
      </c>
      <c r="B512" s="269" t="s">
        <v>2435</v>
      </c>
      <c r="C512" s="269" t="s">
        <v>1385</v>
      </c>
      <c r="D512" s="269" t="s">
        <v>1275</v>
      </c>
      <c r="E512" s="269" t="s">
        <v>265</v>
      </c>
      <c r="F512" s="269" t="s">
        <v>1280</v>
      </c>
      <c r="G512" s="269" t="s">
        <v>3724</v>
      </c>
      <c r="H512" s="269" t="s">
        <v>3725</v>
      </c>
      <c r="I512" s="269" t="s">
        <v>3727</v>
      </c>
      <c r="J512" s="269" t="s">
        <v>879</v>
      </c>
      <c r="K512" s="269" t="s">
        <v>878</v>
      </c>
      <c r="L512" s="269" t="s">
        <v>3991</v>
      </c>
      <c r="M512" s="269" t="s">
        <v>3728</v>
      </c>
      <c r="N512" s="269" t="s">
        <v>2438</v>
      </c>
      <c r="O512" s="269" t="s">
        <v>1282</v>
      </c>
      <c r="P512" s="269" t="s">
        <v>1386</v>
      </c>
      <c r="Q512" s="269" t="s">
        <v>576</v>
      </c>
      <c r="R512" s="269" t="s">
        <v>3593</v>
      </c>
      <c r="S512" s="269"/>
      <c r="T512" s="269" t="s">
        <v>577</v>
      </c>
    </row>
    <row r="513" spans="1:18">
      <c r="A513" s="165" t="s">
        <v>1019</v>
      </c>
      <c r="B513" s="165">
        <v>632</v>
      </c>
      <c r="C513" s="165" t="s">
        <v>2693</v>
      </c>
      <c r="D513" s="165">
        <v>1</v>
      </c>
      <c r="E513" s="165" t="s">
        <v>1020</v>
      </c>
      <c r="F513" s="165" t="s">
        <v>1021</v>
      </c>
      <c r="G513" s="165">
        <v>13230</v>
      </c>
      <c r="H513" s="165"/>
      <c r="I513" s="165"/>
      <c r="J513" s="165">
        <v>13230</v>
      </c>
      <c r="K513" s="165"/>
      <c r="L513" s="165"/>
      <c r="M513" s="165"/>
      <c r="N513" s="165">
        <f t="shared" ref="N513:N576" si="10">G513+H513+I513-K513-J513-L513</f>
        <v>0</v>
      </c>
      <c r="O513" s="165" t="s">
        <v>504</v>
      </c>
      <c r="P513" s="165" t="s">
        <v>505</v>
      </c>
      <c r="Q513" s="3">
        <v>13230</v>
      </c>
      <c r="R513">
        <v>13230</v>
      </c>
    </row>
    <row r="514" spans="1:18">
      <c r="A514" s="165" t="s">
        <v>1019</v>
      </c>
      <c r="B514" s="165">
        <v>633</v>
      </c>
      <c r="C514" s="165" t="s">
        <v>2693</v>
      </c>
      <c r="D514" s="165">
        <v>2</v>
      </c>
      <c r="E514" s="165" t="s">
        <v>163</v>
      </c>
      <c r="F514" s="165" t="s">
        <v>1022</v>
      </c>
      <c r="G514" s="165">
        <v>13230</v>
      </c>
      <c r="H514" s="165"/>
      <c r="I514" s="165"/>
      <c r="J514" s="165">
        <v>13230</v>
      </c>
      <c r="K514" s="165"/>
      <c r="L514" s="165"/>
      <c r="M514" s="165"/>
      <c r="N514" s="165">
        <f t="shared" si="10"/>
        <v>0</v>
      </c>
      <c r="O514" s="165" t="s">
        <v>504</v>
      </c>
      <c r="P514" s="165" t="s">
        <v>505</v>
      </c>
      <c r="Q514" s="3">
        <v>13230</v>
      </c>
      <c r="R514">
        <v>13230</v>
      </c>
    </row>
    <row r="515" spans="1:18">
      <c r="A515" s="165" t="s">
        <v>1019</v>
      </c>
      <c r="B515" s="165">
        <v>634</v>
      </c>
      <c r="C515" s="165" t="s">
        <v>2693</v>
      </c>
      <c r="D515" s="165">
        <v>3</v>
      </c>
      <c r="E515" s="165" t="s">
        <v>164</v>
      </c>
      <c r="F515" s="165" t="s">
        <v>1476</v>
      </c>
      <c r="G515" s="165">
        <v>13230</v>
      </c>
      <c r="H515" s="165"/>
      <c r="I515" s="165"/>
      <c r="J515" s="165">
        <v>13230</v>
      </c>
      <c r="K515" s="165"/>
      <c r="L515" s="165"/>
      <c r="M515" s="165"/>
      <c r="N515" s="165">
        <f t="shared" si="10"/>
        <v>0</v>
      </c>
      <c r="O515" s="165" t="s">
        <v>504</v>
      </c>
      <c r="P515" s="165" t="s">
        <v>505</v>
      </c>
      <c r="Q515" s="3">
        <v>13230</v>
      </c>
      <c r="R515">
        <v>13230</v>
      </c>
    </row>
    <row r="516" spans="1:18">
      <c r="A516" s="165" t="s">
        <v>1019</v>
      </c>
      <c r="B516" s="165">
        <v>635</v>
      </c>
      <c r="C516" s="165" t="s">
        <v>2693</v>
      </c>
      <c r="D516" s="165">
        <v>4</v>
      </c>
      <c r="E516" s="165" t="s">
        <v>165</v>
      </c>
      <c r="F516" s="165" t="s">
        <v>1023</v>
      </c>
      <c r="G516" s="165">
        <v>13230</v>
      </c>
      <c r="H516" s="165"/>
      <c r="I516" s="165"/>
      <c r="J516" s="165">
        <v>13230</v>
      </c>
      <c r="K516" s="165"/>
      <c r="L516" s="165"/>
      <c r="M516" s="165"/>
      <c r="N516" s="165">
        <f t="shared" si="10"/>
        <v>0</v>
      </c>
      <c r="O516" s="165" t="s">
        <v>501</v>
      </c>
      <c r="P516" s="165" t="s">
        <v>2160</v>
      </c>
      <c r="Q516" s="3">
        <v>13230</v>
      </c>
      <c r="R516">
        <v>13230</v>
      </c>
    </row>
    <row r="517" spans="1:18">
      <c r="A517" s="165" t="s">
        <v>1019</v>
      </c>
      <c r="B517" s="165">
        <v>636</v>
      </c>
      <c r="C517" s="165" t="s">
        <v>2693</v>
      </c>
      <c r="D517" s="165">
        <v>5</v>
      </c>
      <c r="E517" s="165" t="s">
        <v>166</v>
      </c>
      <c r="F517" s="165" t="s">
        <v>1024</v>
      </c>
      <c r="G517" s="165">
        <v>13230</v>
      </c>
      <c r="H517" s="165"/>
      <c r="I517" s="165"/>
      <c r="J517" s="165">
        <v>13230</v>
      </c>
      <c r="K517" s="165"/>
      <c r="L517" s="165"/>
      <c r="M517" s="165"/>
      <c r="N517" s="165">
        <f t="shared" si="10"/>
        <v>0</v>
      </c>
      <c r="O517" s="165" t="s">
        <v>2162</v>
      </c>
      <c r="P517" s="165" t="s">
        <v>1024</v>
      </c>
      <c r="Q517" s="3">
        <v>13230</v>
      </c>
      <c r="R517">
        <v>13230</v>
      </c>
    </row>
    <row r="518" spans="1:18">
      <c r="A518" s="165" t="s">
        <v>1019</v>
      </c>
      <c r="B518" s="165">
        <v>637</v>
      </c>
      <c r="C518" s="165" t="s">
        <v>2693</v>
      </c>
      <c r="D518" s="165">
        <v>6</v>
      </c>
      <c r="E518" s="165" t="s">
        <v>167</v>
      </c>
      <c r="F518" s="165" t="s">
        <v>1025</v>
      </c>
      <c r="G518" s="165">
        <v>13230</v>
      </c>
      <c r="H518" s="165"/>
      <c r="I518" s="165"/>
      <c r="J518" s="165">
        <v>13230</v>
      </c>
      <c r="K518" s="165"/>
      <c r="L518" s="165"/>
      <c r="M518" s="165"/>
      <c r="N518" s="165">
        <f t="shared" si="10"/>
        <v>0</v>
      </c>
      <c r="O518" s="165" t="s">
        <v>2164</v>
      </c>
      <c r="P518" s="165" t="s">
        <v>1025</v>
      </c>
      <c r="Q518" s="3">
        <v>13230</v>
      </c>
      <c r="R518">
        <v>13230</v>
      </c>
    </row>
    <row r="519" spans="1:18">
      <c r="A519" s="165" t="s">
        <v>1019</v>
      </c>
      <c r="B519" s="165">
        <v>638</v>
      </c>
      <c r="C519" s="165" t="s">
        <v>2693</v>
      </c>
      <c r="D519" s="165">
        <v>7</v>
      </c>
      <c r="E519" s="165" t="s">
        <v>168</v>
      </c>
      <c r="F519" s="165" t="s">
        <v>1026</v>
      </c>
      <c r="G519" s="165">
        <v>13230</v>
      </c>
      <c r="H519" s="165"/>
      <c r="I519" s="165"/>
      <c r="J519" s="165">
        <v>13230</v>
      </c>
      <c r="K519" s="165"/>
      <c r="L519" s="165"/>
      <c r="M519" s="165"/>
      <c r="N519" s="165">
        <f t="shared" si="10"/>
        <v>0</v>
      </c>
      <c r="O519" s="165" t="s">
        <v>621</v>
      </c>
      <c r="P519" s="165" t="s">
        <v>622</v>
      </c>
      <c r="Q519" s="3">
        <v>13230</v>
      </c>
      <c r="R519">
        <v>13230</v>
      </c>
    </row>
    <row r="520" spans="1:18">
      <c r="A520" s="165" t="s">
        <v>1019</v>
      </c>
      <c r="B520" s="165">
        <v>639</v>
      </c>
      <c r="C520" s="165" t="s">
        <v>2693</v>
      </c>
      <c r="D520" s="165">
        <v>8</v>
      </c>
      <c r="E520" s="165" t="s">
        <v>169</v>
      </c>
      <c r="F520" s="165" t="s">
        <v>1027</v>
      </c>
      <c r="G520" s="165">
        <v>13230</v>
      </c>
      <c r="H520" s="165"/>
      <c r="I520" s="165"/>
      <c r="J520" s="165"/>
      <c r="K520" s="165">
        <v>13230</v>
      </c>
      <c r="L520" s="165"/>
      <c r="M520" s="165"/>
      <c r="N520" s="165">
        <f t="shared" si="10"/>
        <v>0</v>
      </c>
      <c r="O520" s="165" t="s">
        <v>3159</v>
      </c>
      <c r="P520" s="165" t="s">
        <v>3160</v>
      </c>
      <c r="Q520" s="3">
        <v>13230</v>
      </c>
      <c r="R520">
        <v>13230</v>
      </c>
    </row>
    <row r="521" spans="1:18">
      <c r="A521" s="165" t="s">
        <v>1028</v>
      </c>
      <c r="B521" s="165">
        <v>640</v>
      </c>
      <c r="C521" s="165" t="s">
        <v>1789</v>
      </c>
      <c r="D521" s="165">
        <v>1</v>
      </c>
      <c r="E521" s="165" t="s">
        <v>1029</v>
      </c>
      <c r="F521" s="165" t="s">
        <v>505</v>
      </c>
      <c r="G521" s="165">
        <v>14175</v>
      </c>
      <c r="H521" s="165"/>
      <c r="I521" s="165"/>
      <c r="J521" s="165">
        <v>14175</v>
      </c>
      <c r="K521" s="165"/>
      <c r="L521" s="165"/>
      <c r="M521" s="165"/>
      <c r="N521" s="165">
        <f t="shared" si="10"/>
        <v>0</v>
      </c>
      <c r="O521" s="165" t="s">
        <v>496</v>
      </c>
      <c r="P521" s="165" t="s">
        <v>497</v>
      </c>
      <c r="Q521" s="3">
        <v>14175</v>
      </c>
      <c r="R521">
        <v>14175</v>
      </c>
    </row>
    <row r="522" spans="1:18">
      <c r="A522" s="165" t="s">
        <v>1028</v>
      </c>
      <c r="B522" s="165">
        <v>641</v>
      </c>
      <c r="C522" s="165" t="s">
        <v>1789</v>
      </c>
      <c r="D522" s="165">
        <v>2</v>
      </c>
      <c r="E522" s="165" t="s">
        <v>170</v>
      </c>
      <c r="F522" s="165" t="s">
        <v>548</v>
      </c>
      <c r="G522" s="165">
        <v>14175</v>
      </c>
      <c r="H522" s="165"/>
      <c r="I522" s="165"/>
      <c r="J522" s="165">
        <v>14175</v>
      </c>
      <c r="K522" s="165"/>
      <c r="L522" s="165"/>
      <c r="M522" s="165"/>
      <c r="N522" s="165">
        <f t="shared" si="10"/>
        <v>0</v>
      </c>
      <c r="O522" s="165" t="s">
        <v>623</v>
      </c>
      <c r="P522" s="165" t="s">
        <v>624</v>
      </c>
      <c r="Q522" s="3">
        <v>14175</v>
      </c>
      <c r="R522">
        <v>14175</v>
      </c>
    </row>
    <row r="523" spans="1:18">
      <c r="A523" s="165" t="s">
        <v>1028</v>
      </c>
      <c r="B523" s="165">
        <v>642</v>
      </c>
      <c r="C523" s="165" t="s">
        <v>1789</v>
      </c>
      <c r="D523" s="165">
        <v>3</v>
      </c>
      <c r="E523" s="165" t="s">
        <v>171</v>
      </c>
      <c r="F523" s="165" t="s">
        <v>2201</v>
      </c>
      <c r="G523" s="165">
        <v>14175</v>
      </c>
      <c r="H523" s="165"/>
      <c r="I523" s="165"/>
      <c r="J523" s="165">
        <v>14175</v>
      </c>
      <c r="K523" s="165"/>
      <c r="L523" s="165"/>
      <c r="M523" s="165"/>
      <c r="N523" s="165">
        <f t="shared" si="10"/>
        <v>0</v>
      </c>
      <c r="O523" s="165" t="s">
        <v>636</v>
      </c>
      <c r="P523" s="165" t="s">
        <v>637</v>
      </c>
      <c r="Q523" s="3">
        <v>14175</v>
      </c>
      <c r="R523">
        <v>14175</v>
      </c>
    </row>
    <row r="524" spans="1:18">
      <c r="A524" s="165" t="s">
        <v>1028</v>
      </c>
      <c r="B524" s="165">
        <v>643</v>
      </c>
      <c r="C524" s="165" t="s">
        <v>1789</v>
      </c>
      <c r="D524" s="165">
        <v>4</v>
      </c>
      <c r="E524" s="165" t="s">
        <v>172</v>
      </c>
      <c r="F524" s="165" t="s">
        <v>2203</v>
      </c>
      <c r="G524" s="165">
        <v>14175</v>
      </c>
      <c r="H524" s="165"/>
      <c r="I524" s="165"/>
      <c r="J524" s="165">
        <v>14175</v>
      </c>
      <c r="K524" s="165"/>
      <c r="L524" s="165"/>
      <c r="M524" s="165"/>
      <c r="N524" s="165">
        <f t="shared" si="10"/>
        <v>0</v>
      </c>
      <c r="O524" s="165" t="s">
        <v>619</v>
      </c>
      <c r="P524" s="165" t="s">
        <v>620</v>
      </c>
      <c r="Q524" s="3">
        <v>14175</v>
      </c>
      <c r="R524">
        <v>14175</v>
      </c>
    </row>
    <row r="525" spans="1:18">
      <c r="A525" s="165" t="s">
        <v>1028</v>
      </c>
      <c r="B525" s="165">
        <v>644</v>
      </c>
      <c r="C525" s="165" t="s">
        <v>1789</v>
      </c>
      <c r="D525" s="165">
        <v>5</v>
      </c>
      <c r="E525" s="165" t="s">
        <v>173</v>
      </c>
      <c r="F525" s="165" t="s">
        <v>2205</v>
      </c>
      <c r="G525" s="165">
        <v>14175</v>
      </c>
      <c r="H525" s="165"/>
      <c r="I525" s="165"/>
      <c r="J525" s="165"/>
      <c r="K525" s="165">
        <v>14175</v>
      </c>
      <c r="L525" s="165"/>
      <c r="M525" s="165"/>
      <c r="N525" s="165">
        <f t="shared" si="10"/>
        <v>0</v>
      </c>
      <c r="O525" s="165" t="s">
        <v>625</v>
      </c>
      <c r="P525" s="165" t="s">
        <v>626</v>
      </c>
      <c r="Q525" s="3">
        <v>14175</v>
      </c>
      <c r="R525">
        <v>14175</v>
      </c>
    </row>
    <row r="526" spans="1:18">
      <c r="A526" s="165" t="s">
        <v>1028</v>
      </c>
      <c r="B526" s="165">
        <v>645</v>
      </c>
      <c r="C526" s="165" t="s">
        <v>1789</v>
      </c>
      <c r="D526" s="165">
        <v>6</v>
      </c>
      <c r="E526" s="165" t="s">
        <v>174</v>
      </c>
      <c r="F526" s="165" t="s">
        <v>1030</v>
      </c>
      <c r="G526" s="165">
        <v>14175</v>
      </c>
      <c r="H526" s="165"/>
      <c r="I526" s="165"/>
      <c r="J526" s="165"/>
      <c r="K526" s="165">
        <v>14175</v>
      </c>
      <c r="L526" s="165"/>
      <c r="M526" s="165"/>
      <c r="N526" s="165">
        <f t="shared" si="10"/>
        <v>0</v>
      </c>
      <c r="O526" s="165" t="s">
        <v>3161</v>
      </c>
      <c r="P526" s="165" t="s">
        <v>3162</v>
      </c>
      <c r="Q526" s="3">
        <v>14175</v>
      </c>
      <c r="R526">
        <v>14175</v>
      </c>
    </row>
    <row r="527" spans="1:18">
      <c r="A527" s="165" t="s">
        <v>1028</v>
      </c>
      <c r="B527" s="165">
        <v>646</v>
      </c>
      <c r="C527" s="165" t="s">
        <v>1789</v>
      </c>
      <c r="D527" s="165">
        <v>7</v>
      </c>
      <c r="E527" s="165" t="s">
        <v>175</v>
      </c>
      <c r="F527" s="165" t="s">
        <v>1031</v>
      </c>
      <c r="G527" s="165">
        <v>14175</v>
      </c>
      <c r="H527" s="165"/>
      <c r="I527" s="165"/>
      <c r="J527" s="165"/>
      <c r="K527" s="165">
        <v>14175</v>
      </c>
      <c r="L527" s="165"/>
      <c r="M527" s="165"/>
      <c r="N527" s="165">
        <f t="shared" si="10"/>
        <v>0</v>
      </c>
      <c r="O527" s="165" t="s">
        <v>3167</v>
      </c>
      <c r="P527" s="165" t="s">
        <v>3168</v>
      </c>
      <c r="Q527" s="3">
        <v>14175</v>
      </c>
      <c r="R527">
        <v>14175</v>
      </c>
    </row>
    <row r="528" spans="1:18">
      <c r="A528" s="165" t="s">
        <v>1028</v>
      </c>
      <c r="B528" s="165">
        <v>647</v>
      </c>
      <c r="C528" s="165" t="s">
        <v>1789</v>
      </c>
      <c r="D528" s="165">
        <v>8</v>
      </c>
      <c r="E528" s="165" t="s">
        <v>176</v>
      </c>
      <c r="F528" s="165" t="s">
        <v>1032</v>
      </c>
      <c r="G528" s="165">
        <v>14175</v>
      </c>
      <c r="H528" s="165"/>
      <c r="I528" s="165"/>
      <c r="J528" s="165"/>
      <c r="K528" s="165">
        <v>14175</v>
      </c>
      <c r="L528" s="165"/>
      <c r="M528" s="165"/>
      <c r="N528" s="165">
        <f t="shared" si="10"/>
        <v>0</v>
      </c>
      <c r="O528" s="165" t="s">
        <v>3169</v>
      </c>
      <c r="P528" s="165" t="s">
        <v>3170</v>
      </c>
      <c r="Q528" s="3">
        <v>14175</v>
      </c>
      <c r="R528">
        <v>14175</v>
      </c>
    </row>
    <row r="529" spans="1:21" s="283" customFormat="1">
      <c r="A529" s="279" t="s">
        <v>1033</v>
      </c>
      <c r="B529" s="279"/>
      <c r="C529" s="279" t="s">
        <v>2060</v>
      </c>
      <c r="D529" s="279">
        <v>7</v>
      </c>
      <c r="E529" s="279" t="s">
        <v>1283</v>
      </c>
      <c r="F529" s="279" t="s">
        <v>1033</v>
      </c>
      <c r="G529" s="280"/>
      <c r="H529" s="280"/>
      <c r="I529" s="280"/>
      <c r="J529" s="280"/>
      <c r="K529" s="280"/>
      <c r="L529" s="280"/>
      <c r="M529" s="280"/>
      <c r="N529" s="280">
        <f t="shared" si="10"/>
        <v>0</v>
      </c>
      <c r="O529" s="279" t="s">
        <v>1033</v>
      </c>
      <c r="P529" s="279" t="s">
        <v>1033</v>
      </c>
      <c r="Q529" s="279">
        <v>14175</v>
      </c>
      <c r="R529" s="279">
        <v>14175</v>
      </c>
      <c r="S529" s="279"/>
      <c r="T529" s="280"/>
      <c r="U529" s="282" t="s">
        <v>245</v>
      </c>
    </row>
    <row r="530" spans="1:21">
      <c r="A530" s="165" t="s">
        <v>1034</v>
      </c>
      <c r="B530" s="165">
        <v>648</v>
      </c>
      <c r="C530" s="165" t="s">
        <v>2423</v>
      </c>
      <c r="D530" s="165">
        <v>1</v>
      </c>
      <c r="E530" s="165" t="s">
        <v>1035</v>
      </c>
      <c r="F530" s="165" t="s">
        <v>2349</v>
      </c>
      <c r="G530" s="165">
        <v>14175</v>
      </c>
      <c r="H530" s="165"/>
      <c r="I530" s="165"/>
      <c r="J530" s="165">
        <v>14175</v>
      </c>
      <c r="K530" s="165"/>
      <c r="L530" s="165"/>
      <c r="M530" s="165"/>
      <c r="N530" s="165">
        <f t="shared" si="10"/>
        <v>0</v>
      </c>
      <c r="O530" s="165" t="s">
        <v>501</v>
      </c>
      <c r="P530" s="165" t="s">
        <v>2160</v>
      </c>
      <c r="Q530" s="3">
        <v>14175</v>
      </c>
      <c r="R530">
        <v>14175</v>
      </c>
    </row>
    <row r="531" spans="1:21">
      <c r="A531" s="165" t="s">
        <v>1034</v>
      </c>
      <c r="B531" s="165">
        <v>649</v>
      </c>
      <c r="C531" s="165" t="s">
        <v>2423</v>
      </c>
      <c r="D531" s="165">
        <v>2</v>
      </c>
      <c r="E531" s="165" t="s">
        <v>156</v>
      </c>
      <c r="F531" s="165" t="s">
        <v>2350</v>
      </c>
      <c r="G531" s="165">
        <v>14175</v>
      </c>
      <c r="H531" s="165"/>
      <c r="I531" s="165"/>
      <c r="J531" s="165">
        <v>14175</v>
      </c>
      <c r="K531" s="165"/>
      <c r="L531" s="165"/>
      <c r="M531" s="165"/>
      <c r="N531" s="165">
        <f t="shared" si="10"/>
        <v>0</v>
      </c>
      <c r="O531" s="165" t="s">
        <v>2162</v>
      </c>
      <c r="P531" s="165" t="s">
        <v>1024</v>
      </c>
      <c r="Q531" s="3">
        <v>14175</v>
      </c>
      <c r="R531">
        <v>14175</v>
      </c>
    </row>
    <row r="532" spans="1:21">
      <c r="A532" s="165" t="s">
        <v>1034</v>
      </c>
      <c r="B532" s="165">
        <v>650</v>
      </c>
      <c r="C532" s="165" t="s">
        <v>2423</v>
      </c>
      <c r="D532" s="165">
        <v>3</v>
      </c>
      <c r="E532" s="165" t="s">
        <v>157</v>
      </c>
      <c r="F532" s="165" t="s">
        <v>2352</v>
      </c>
      <c r="G532" s="165">
        <v>14175</v>
      </c>
      <c r="H532" s="165"/>
      <c r="I532" s="165"/>
      <c r="J532" s="165">
        <v>14175</v>
      </c>
      <c r="K532" s="165"/>
      <c r="L532" s="165"/>
      <c r="M532" s="165"/>
      <c r="N532" s="165">
        <f t="shared" si="10"/>
        <v>0</v>
      </c>
      <c r="O532" s="165" t="s">
        <v>2164</v>
      </c>
      <c r="P532" s="165" t="s">
        <v>1025</v>
      </c>
      <c r="Q532" s="3">
        <v>14175</v>
      </c>
      <c r="R532">
        <v>14175</v>
      </c>
    </row>
    <row r="533" spans="1:21">
      <c r="A533" s="165" t="s">
        <v>1034</v>
      </c>
      <c r="B533" s="165">
        <v>651</v>
      </c>
      <c r="C533" s="165" t="s">
        <v>2423</v>
      </c>
      <c r="D533" s="165">
        <v>4</v>
      </c>
      <c r="E533" s="165" t="s">
        <v>158</v>
      </c>
      <c r="F533" s="165" t="s">
        <v>2353</v>
      </c>
      <c r="G533" s="165">
        <v>14175</v>
      </c>
      <c r="H533" s="165"/>
      <c r="I533" s="165"/>
      <c r="J533" s="165">
        <v>14175</v>
      </c>
      <c r="K533" s="165"/>
      <c r="L533" s="165"/>
      <c r="M533" s="165"/>
      <c r="N533" s="165">
        <f t="shared" si="10"/>
        <v>0</v>
      </c>
      <c r="O533" s="165" t="s">
        <v>628</v>
      </c>
      <c r="P533" s="165" t="s">
        <v>629</v>
      </c>
      <c r="Q533" s="3">
        <v>14175</v>
      </c>
      <c r="R533">
        <v>14175</v>
      </c>
    </row>
    <row r="534" spans="1:21">
      <c r="A534" s="165" t="s">
        <v>1034</v>
      </c>
      <c r="B534" s="165">
        <v>652</v>
      </c>
      <c r="C534" s="165" t="s">
        <v>2423</v>
      </c>
      <c r="D534" s="165">
        <v>5</v>
      </c>
      <c r="E534" s="165" t="s">
        <v>159</v>
      </c>
      <c r="F534" s="165" t="s">
        <v>2354</v>
      </c>
      <c r="G534" s="165">
        <v>14175</v>
      </c>
      <c r="H534" s="165"/>
      <c r="I534" s="165"/>
      <c r="J534" s="165"/>
      <c r="K534" s="165">
        <v>14175</v>
      </c>
      <c r="L534" s="165"/>
      <c r="M534" s="165"/>
      <c r="N534" s="165">
        <f t="shared" si="10"/>
        <v>0</v>
      </c>
      <c r="O534" s="165" t="s">
        <v>3159</v>
      </c>
      <c r="P534" s="165" t="s">
        <v>3160</v>
      </c>
      <c r="Q534" s="3">
        <v>14175</v>
      </c>
      <c r="R534">
        <v>14175</v>
      </c>
    </row>
    <row r="535" spans="1:21">
      <c r="A535" s="165" t="s">
        <v>1034</v>
      </c>
      <c r="B535" s="165">
        <v>653</v>
      </c>
      <c r="C535" s="165" t="s">
        <v>2423</v>
      </c>
      <c r="D535" s="165">
        <v>6</v>
      </c>
      <c r="E535" s="165" t="s">
        <v>160</v>
      </c>
      <c r="F535" s="165" t="s">
        <v>2355</v>
      </c>
      <c r="G535" s="165">
        <v>14175</v>
      </c>
      <c r="H535" s="165"/>
      <c r="I535" s="165"/>
      <c r="J535" s="165"/>
      <c r="K535" s="165">
        <v>14175</v>
      </c>
      <c r="L535" s="165"/>
      <c r="M535" s="165"/>
      <c r="N535" s="165">
        <f t="shared" si="10"/>
        <v>0</v>
      </c>
      <c r="O535" s="165" t="s">
        <v>3164</v>
      </c>
      <c r="P535" s="165" t="s">
        <v>808</v>
      </c>
      <c r="Q535" s="3">
        <v>14175</v>
      </c>
      <c r="R535">
        <v>14175</v>
      </c>
    </row>
    <row r="536" spans="1:21">
      <c r="A536" s="165" t="s">
        <v>1034</v>
      </c>
      <c r="B536" s="165">
        <v>654</v>
      </c>
      <c r="C536" s="165" t="s">
        <v>2423</v>
      </c>
      <c r="D536" s="165">
        <v>7</v>
      </c>
      <c r="E536" s="165" t="s">
        <v>161</v>
      </c>
      <c r="F536" s="165" t="s">
        <v>2356</v>
      </c>
      <c r="G536" s="165">
        <v>14175</v>
      </c>
      <c r="H536" s="165"/>
      <c r="I536" s="165"/>
      <c r="J536" s="165"/>
      <c r="K536" s="165">
        <v>14175</v>
      </c>
      <c r="L536" s="165"/>
      <c r="M536" s="165"/>
      <c r="N536" s="165">
        <f t="shared" si="10"/>
        <v>0</v>
      </c>
      <c r="O536" s="165" t="s">
        <v>3165</v>
      </c>
      <c r="P536" s="165" t="s">
        <v>3166</v>
      </c>
      <c r="Q536" s="3">
        <v>14175</v>
      </c>
      <c r="R536">
        <v>14175</v>
      </c>
    </row>
    <row r="537" spans="1:21" s="5" customFormat="1">
      <c r="A537" s="94" t="s">
        <v>1034</v>
      </c>
      <c r="B537" s="165">
        <v>655</v>
      </c>
      <c r="C537" s="94" t="s">
        <v>2423</v>
      </c>
      <c r="D537" s="94">
        <v>8</v>
      </c>
      <c r="E537" s="94" t="s">
        <v>162</v>
      </c>
      <c r="F537" s="94" t="s">
        <v>1042</v>
      </c>
      <c r="G537" s="94">
        <v>14175</v>
      </c>
      <c r="H537" s="94"/>
      <c r="I537" s="94"/>
      <c r="J537" s="94"/>
      <c r="K537" s="307">
        <v>14175</v>
      </c>
      <c r="L537" s="94"/>
      <c r="M537" s="307">
        <v>14175</v>
      </c>
      <c r="N537" s="94">
        <f t="shared" si="10"/>
        <v>0</v>
      </c>
      <c r="O537" s="94" t="s">
        <v>3171</v>
      </c>
      <c r="P537" s="94" t="s">
        <v>3172</v>
      </c>
      <c r="Q537" s="93">
        <v>14175</v>
      </c>
      <c r="R537" s="5">
        <v>14175</v>
      </c>
      <c r="T537" s="93"/>
    </row>
    <row r="538" spans="1:21">
      <c r="A538" s="165" t="s">
        <v>462</v>
      </c>
      <c r="B538" s="165">
        <v>656</v>
      </c>
      <c r="C538" s="165" t="s">
        <v>1013</v>
      </c>
      <c r="D538" s="165"/>
      <c r="E538" s="165" t="s">
        <v>1036</v>
      </c>
      <c r="F538" s="165" t="s">
        <v>1037</v>
      </c>
      <c r="G538" s="165">
        <v>126000</v>
      </c>
      <c r="H538" s="165"/>
      <c r="I538" s="165"/>
      <c r="J538" s="165">
        <v>126000</v>
      </c>
      <c r="K538" s="165"/>
      <c r="L538" s="165"/>
      <c r="M538" s="165"/>
      <c r="N538" s="165">
        <f t="shared" si="10"/>
        <v>0</v>
      </c>
      <c r="O538" s="165" t="s">
        <v>504</v>
      </c>
      <c r="P538" s="165" t="s">
        <v>505</v>
      </c>
      <c r="Q538" s="3">
        <v>126000</v>
      </c>
      <c r="R538">
        <v>126000</v>
      </c>
      <c r="U538" t="s">
        <v>1038</v>
      </c>
    </row>
    <row r="539" spans="1:21">
      <c r="A539" s="165" t="s">
        <v>1039</v>
      </c>
      <c r="B539" s="165">
        <v>657</v>
      </c>
      <c r="C539" s="165" t="s">
        <v>1016</v>
      </c>
      <c r="D539" s="165"/>
      <c r="E539" s="165" t="s">
        <v>1040</v>
      </c>
      <c r="F539" s="165" t="s">
        <v>1041</v>
      </c>
      <c r="G539" s="165">
        <v>126000</v>
      </c>
      <c r="H539" s="165"/>
      <c r="I539" s="165"/>
      <c r="J539" s="165">
        <v>126000</v>
      </c>
      <c r="K539" s="165"/>
      <c r="L539" s="165"/>
      <c r="M539" s="165"/>
      <c r="N539" s="165">
        <f t="shared" si="10"/>
        <v>0</v>
      </c>
      <c r="O539" s="165" t="s">
        <v>504</v>
      </c>
      <c r="P539" s="165" t="s">
        <v>505</v>
      </c>
      <c r="Q539" s="3">
        <v>126000</v>
      </c>
      <c r="R539">
        <v>126000</v>
      </c>
      <c r="U539" t="s">
        <v>1038</v>
      </c>
    </row>
    <row r="540" spans="1:21" s="163" customFormat="1">
      <c r="A540" s="281" t="s">
        <v>472</v>
      </c>
      <c r="B540" s="281"/>
      <c r="C540" s="281" t="s">
        <v>3825</v>
      </c>
      <c r="D540" s="281">
        <v>1</v>
      </c>
      <c r="E540" s="281" t="s">
        <v>1283</v>
      </c>
      <c r="F540" s="281" t="s">
        <v>472</v>
      </c>
      <c r="G540" s="284"/>
      <c r="H540" s="284"/>
      <c r="I540" s="284"/>
      <c r="J540" s="281"/>
      <c r="K540" s="281"/>
      <c r="L540" s="281"/>
      <c r="M540" s="281"/>
      <c r="N540" s="281">
        <f t="shared" si="10"/>
        <v>0</v>
      </c>
      <c r="O540" s="281" t="s">
        <v>472</v>
      </c>
      <c r="P540" s="281" t="s">
        <v>472</v>
      </c>
      <c r="Q540" s="281">
        <v>14175</v>
      </c>
      <c r="R540" s="281">
        <v>14145</v>
      </c>
      <c r="S540" s="281"/>
      <c r="T540" s="284">
        <v>30</v>
      </c>
    </row>
    <row r="541" spans="1:21" s="283" customFormat="1">
      <c r="A541" s="279" t="s">
        <v>2349</v>
      </c>
      <c r="B541" s="279"/>
      <c r="C541" s="279" t="s">
        <v>2060</v>
      </c>
      <c r="D541" s="279">
        <v>8</v>
      </c>
      <c r="E541" s="279" t="s">
        <v>1283</v>
      </c>
      <c r="F541" s="279" t="s">
        <v>2349</v>
      </c>
      <c r="G541" s="280"/>
      <c r="H541" s="280"/>
      <c r="I541" s="280"/>
      <c r="J541" s="280"/>
      <c r="K541" s="280"/>
      <c r="L541" s="280"/>
      <c r="M541" s="280"/>
      <c r="N541" s="280">
        <f t="shared" si="10"/>
        <v>0</v>
      </c>
      <c r="O541" s="279" t="s">
        <v>2349</v>
      </c>
      <c r="P541" s="279" t="s">
        <v>2349</v>
      </c>
      <c r="Q541" s="279">
        <v>14175</v>
      </c>
      <c r="R541" s="279">
        <v>14165</v>
      </c>
      <c r="S541" s="279"/>
      <c r="T541" s="280">
        <v>10</v>
      </c>
      <c r="U541" s="282" t="s">
        <v>245</v>
      </c>
    </row>
    <row r="542" spans="1:21" s="5" customFormat="1">
      <c r="A542" s="94" t="s">
        <v>1043</v>
      </c>
      <c r="B542" s="94">
        <v>658</v>
      </c>
      <c r="C542" s="94" t="s">
        <v>1232</v>
      </c>
      <c r="D542" s="94">
        <v>8</v>
      </c>
      <c r="E542" s="94" t="s">
        <v>1044</v>
      </c>
      <c r="F542" s="94" t="s">
        <v>2261</v>
      </c>
      <c r="G542" s="94">
        <v>16380</v>
      </c>
      <c r="H542" s="94"/>
      <c r="I542" s="94"/>
      <c r="J542" s="94">
        <v>16380</v>
      </c>
      <c r="K542" s="94"/>
      <c r="L542" s="94"/>
      <c r="M542" s="94"/>
      <c r="N542" s="94">
        <f t="shared" si="10"/>
        <v>0</v>
      </c>
      <c r="O542" s="94" t="s">
        <v>610</v>
      </c>
      <c r="P542" s="94" t="s">
        <v>611</v>
      </c>
      <c r="Q542" s="93">
        <v>16380</v>
      </c>
      <c r="R542" s="4">
        <v>16380</v>
      </c>
      <c r="S542" s="4"/>
      <c r="T542" s="93"/>
    </row>
    <row r="543" spans="1:21">
      <c r="A543" s="165" t="s">
        <v>473</v>
      </c>
      <c r="B543" s="94">
        <v>659</v>
      </c>
      <c r="C543" s="165" t="s">
        <v>1264</v>
      </c>
      <c r="D543" s="165">
        <v>5</v>
      </c>
      <c r="E543" s="165" t="s">
        <v>1045</v>
      </c>
      <c r="F543" s="165" t="s">
        <v>2051</v>
      </c>
      <c r="G543" s="165"/>
      <c r="H543" s="165">
        <v>11340</v>
      </c>
      <c r="I543" s="165"/>
      <c r="J543" s="165">
        <v>11340</v>
      </c>
      <c r="K543" s="165"/>
      <c r="L543" s="165"/>
      <c r="M543" s="165"/>
      <c r="N543" s="165">
        <f t="shared" si="10"/>
        <v>0</v>
      </c>
      <c r="O543" s="165" t="s">
        <v>506</v>
      </c>
      <c r="P543" s="165" t="s">
        <v>826</v>
      </c>
      <c r="Q543" s="3">
        <v>11340</v>
      </c>
      <c r="R543" s="4">
        <v>11340</v>
      </c>
      <c r="S543" s="4"/>
    </row>
    <row r="544" spans="1:21">
      <c r="A544" s="165" t="s">
        <v>473</v>
      </c>
      <c r="B544" s="94">
        <v>660</v>
      </c>
      <c r="C544" s="165" t="s">
        <v>1264</v>
      </c>
      <c r="D544" s="165">
        <v>6</v>
      </c>
      <c r="E544" s="165" t="s">
        <v>131</v>
      </c>
      <c r="F544" s="165" t="s">
        <v>2190</v>
      </c>
      <c r="G544" s="165"/>
      <c r="H544" s="165">
        <v>11340</v>
      </c>
      <c r="I544" s="165"/>
      <c r="J544" s="165">
        <v>11340</v>
      </c>
      <c r="K544" s="165"/>
      <c r="L544" s="165"/>
      <c r="M544" s="165"/>
      <c r="N544" s="165">
        <f t="shared" si="10"/>
        <v>0</v>
      </c>
      <c r="O544" s="165" t="s">
        <v>627</v>
      </c>
      <c r="P544" s="165" t="s">
        <v>827</v>
      </c>
      <c r="Q544" s="3">
        <v>11340</v>
      </c>
      <c r="R544" s="4">
        <v>11340</v>
      </c>
      <c r="S544" s="4"/>
    </row>
    <row r="545" spans="1:22">
      <c r="A545" s="165" t="s">
        <v>473</v>
      </c>
      <c r="B545" s="94">
        <v>661</v>
      </c>
      <c r="C545" s="165" t="s">
        <v>1264</v>
      </c>
      <c r="D545" s="165">
        <v>7</v>
      </c>
      <c r="E545" s="165" t="s">
        <v>132</v>
      </c>
      <c r="F545" s="165" t="s">
        <v>2192</v>
      </c>
      <c r="G545" s="165"/>
      <c r="H545" s="165">
        <v>11340</v>
      </c>
      <c r="I545" s="165"/>
      <c r="J545" s="165">
        <v>11340</v>
      </c>
      <c r="K545" s="165"/>
      <c r="L545" s="165"/>
      <c r="M545" s="165"/>
      <c r="N545" s="165">
        <f t="shared" si="10"/>
        <v>0</v>
      </c>
      <c r="O545" s="165" t="s">
        <v>613</v>
      </c>
      <c r="P545" s="165" t="s">
        <v>614</v>
      </c>
      <c r="Q545" s="3">
        <v>11340</v>
      </c>
      <c r="R545" s="4">
        <v>11340</v>
      </c>
      <c r="S545" s="4"/>
    </row>
    <row r="546" spans="1:22">
      <c r="A546" s="165" t="s">
        <v>473</v>
      </c>
      <c r="B546" s="94">
        <v>662</v>
      </c>
      <c r="C546" s="165" t="s">
        <v>1264</v>
      </c>
      <c r="D546" s="165">
        <v>8</v>
      </c>
      <c r="E546" s="165" t="s">
        <v>133</v>
      </c>
      <c r="F546" s="165" t="s">
        <v>2194</v>
      </c>
      <c r="G546" s="165"/>
      <c r="H546" s="165">
        <v>11340</v>
      </c>
      <c r="I546" s="165"/>
      <c r="J546" s="165"/>
      <c r="K546" s="165">
        <v>11340</v>
      </c>
      <c r="L546" s="165"/>
      <c r="M546" s="165"/>
      <c r="N546" s="165">
        <f t="shared" si="10"/>
        <v>0</v>
      </c>
      <c r="O546" s="165" t="s">
        <v>621</v>
      </c>
      <c r="P546" s="165" t="s">
        <v>622</v>
      </c>
      <c r="Q546" s="3">
        <v>11340</v>
      </c>
      <c r="R546" s="4">
        <v>11340</v>
      </c>
      <c r="S546" s="4"/>
    </row>
    <row r="547" spans="1:22">
      <c r="A547" s="165" t="s">
        <v>506</v>
      </c>
      <c r="B547" s="94">
        <v>663</v>
      </c>
      <c r="C547" s="165" t="s">
        <v>1249</v>
      </c>
      <c r="D547" s="165">
        <v>13</v>
      </c>
      <c r="E547" s="165" t="s">
        <v>1046</v>
      </c>
      <c r="F547" s="165" t="s">
        <v>2229</v>
      </c>
      <c r="G547" s="165">
        <v>3780</v>
      </c>
      <c r="H547" s="165"/>
      <c r="I547" s="165"/>
      <c r="J547" s="165">
        <v>3780</v>
      </c>
      <c r="K547" s="165"/>
      <c r="L547" s="165"/>
      <c r="M547" s="165"/>
      <c r="N547" s="165">
        <f t="shared" si="10"/>
        <v>0</v>
      </c>
      <c r="O547" s="165" t="s">
        <v>610</v>
      </c>
      <c r="P547" s="165" t="s">
        <v>611</v>
      </c>
      <c r="Q547" s="3">
        <v>3780</v>
      </c>
      <c r="R547">
        <v>3780</v>
      </c>
    </row>
    <row r="548" spans="1:22" s="3" customFormat="1">
      <c r="A548" s="165" t="s">
        <v>506</v>
      </c>
      <c r="B548" s="94">
        <v>664</v>
      </c>
      <c r="C548" s="165" t="s">
        <v>1249</v>
      </c>
      <c r="D548" s="165">
        <v>14</v>
      </c>
      <c r="E548" s="165" t="s">
        <v>146</v>
      </c>
      <c r="F548" s="165" t="s">
        <v>826</v>
      </c>
      <c r="G548" s="165">
        <v>3780</v>
      </c>
      <c r="H548" s="165"/>
      <c r="I548" s="165"/>
      <c r="J548" s="165">
        <v>3780</v>
      </c>
      <c r="K548" s="165"/>
      <c r="L548" s="165"/>
      <c r="M548" s="165"/>
      <c r="N548" s="165">
        <f t="shared" si="10"/>
        <v>0</v>
      </c>
      <c r="O548" s="165" t="s">
        <v>610</v>
      </c>
      <c r="P548" s="165" t="s">
        <v>611</v>
      </c>
      <c r="Q548" s="3">
        <v>3780</v>
      </c>
      <c r="R548">
        <v>3780</v>
      </c>
      <c r="S548"/>
      <c r="U548"/>
      <c r="V548"/>
    </row>
    <row r="549" spans="1:22" s="3" customFormat="1">
      <c r="A549" s="165" t="s">
        <v>506</v>
      </c>
      <c r="B549" s="94">
        <v>665</v>
      </c>
      <c r="C549" s="165" t="s">
        <v>1249</v>
      </c>
      <c r="D549" s="165">
        <v>15</v>
      </c>
      <c r="E549" s="165" t="s">
        <v>147</v>
      </c>
      <c r="F549" s="165" t="s">
        <v>1047</v>
      </c>
      <c r="G549" s="165">
        <v>3780</v>
      </c>
      <c r="H549" s="165"/>
      <c r="I549" s="165"/>
      <c r="J549" s="165">
        <v>3780</v>
      </c>
      <c r="K549" s="165"/>
      <c r="L549" s="165"/>
      <c r="M549" s="165"/>
      <c r="N549" s="165">
        <f t="shared" si="10"/>
        <v>0</v>
      </c>
      <c r="O549" s="165" t="s">
        <v>631</v>
      </c>
      <c r="P549" s="165" t="s">
        <v>632</v>
      </c>
      <c r="Q549" s="3">
        <v>3780</v>
      </c>
      <c r="R549">
        <v>3780</v>
      </c>
      <c r="S549"/>
      <c r="U549"/>
      <c r="V549"/>
    </row>
    <row r="550" spans="1:22" s="3" customFormat="1">
      <c r="A550" s="165" t="s">
        <v>506</v>
      </c>
      <c r="B550" s="94">
        <v>666</v>
      </c>
      <c r="C550" s="165" t="s">
        <v>1249</v>
      </c>
      <c r="D550" s="165">
        <v>16</v>
      </c>
      <c r="E550" s="165" t="s">
        <v>148</v>
      </c>
      <c r="F550" s="165" t="s">
        <v>2232</v>
      </c>
      <c r="G550" s="165">
        <v>3780</v>
      </c>
      <c r="H550" s="165"/>
      <c r="I550" s="165"/>
      <c r="J550" s="165">
        <v>3780</v>
      </c>
      <c r="K550" s="165"/>
      <c r="L550" s="165"/>
      <c r="M550" s="165"/>
      <c r="N550" s="165">
        <f t="shared" si="10"/>
        <v>0</v>
      </c>
      <c r="O550" s="165" t="s">
        <v>2162</v>
      </c>
      <c r="P550" s="165" t="s">
        <v>1024</v>
      </c>
      <c r="Q550" s="3">
        <v>3780</v>
      </c>
      <c r="R550">
        <v>3780</v>
      </c>
      <c r="S550"/>
      <c r="U550"/>
      <c r="V550"/>
    </row>
    <row r="551" spans="1:22" s="3" customFormat="1">
      <c r="A551" s="165" t="s">
        <v>506</v>
      </c>
      <c r="B551" s="94">
        <v>667</v>
      </c>
      <c r="C551" s="165" t="s">
        <v>1249</v>
      </c>
      <c r="D551" s="165">
        <v>17</v>
      </c>
      <c r="E551" s="165" t="s">
        <v>149</v>
      </c>
      <c r="F551" s="165" t="s">
        <v>827</v>
      </c>
      <c r="G551" s="165">
        <v>3780</v>
      </c>
      <c r="H551" s="165"/>
      <c r="I551" s="165"/>
      <c r="J551" s="165">
        <v>3780</v>
      </c>
      <c r="K551" s="165"/>
      <c r="L551" s="165"/>
      <c r="M551" s="165"/>
      <c r="N551" s="165">
        <f t="shared" si="10"/>
        <v>0</v>
      </c>
      <c r="O551" s="165" t="s">
        <v>612</v>
      </c>
      <c r="P551" s="165" t="s">
        <v>2201</v>
      </c>
      <c r="Q551" s="3">
        <v>3780</v>
      </c>
      <c r="R551">
        <v>3780</v>
      </c>
      <c r="S551"/>
      <c r="U551"/>
      <c r="V551"/>
    </row>
    <row r="552" spans="1:22" s="3" customFormat="1">
      <c r="A552" s="165" t="s">
        <v>506</v>
      </c>
      <c r="B552" s="94">
        <v>668</v>
      </c>
      <c r="C552" s="165" t="s">
        <v>1249</v>
      </c>
      <c r="D552" s="165">
        <v>18</v>
      </c>
      <c r="E552" s="165" t="s">
        <v>1048</v>
      </c>
      <c r="F552" s="165" t="s">
        <v>1049</v>
      </c>
      <c r="G552" s="165">
        <v>3780</v>
      </c>
      <c r="H552" s="165"/>
      <c r="I552" s="165"/>
      <c r="J552" s="165">
        <v>3780</v>
      </c>
      <c r="K552" s="165"/>
      <c r="L552" s="165"/>
      <c r="M552" s="165"/>
      <c r="N552" s="165">
        <f t="shared" si="10"/>
        <v>0</v>
      </c>
      <c r="O552" s="165" t="s">
        <v>633</v>
      </c>
      <c r="P552" s="165" t="s">
        <v>634</v>
      </c>
      <c r="Q552" s="3">
        <v>3780</v>
      </c>
      <c r="R552">
        <v>3780</v>
      </c>
      <c r="S552"/>
      <c r="U552"/>
      <c r="V552"/>
    </row>
    <row r="553" spans="1:22" s="3" customFormat="1">
      <c r="A553" s="165" t="s">
        <v>506</v>
      </c>
      <c r="B553" s="94">
        <v>669</v>
      </c>
      <c r="C553" s="165" t="s">
        <v>1249</v>
      </c>
      <c r="D553" s="165">
        <v>19</v>
      </c>
      <c r="E553" s="165" t="s">
        <v>150</v>
      </c>
      <c r="F553" s="165" t="s">
        <v>2234</v>
      </c>
      <c r="G553" s="165">
        <v>3780</v>
      </c>
      <c r="H553" s="165"/>
      <c r="I553" s="165"/>
      <c r="J553" s="165">
        <v>3780</v>
      </c>
      <c r="K553" s="165"/>
      <c r="L553" s="165"/>
      <c r="M553" s="165"/>
      <c r="N553" s="165">
        <f t="shared" si="10"/>
        <v>0</v>
      </c>
      <c r="O553" s="165" t="s">
        <v>2164</v>
      </c>
      <c r="P553" s="165" t="s">
        <v>1025</v>
      </c>
      <c r="Q553" s="3">
        <v>3780</v>
      </c>
      <c r="R553">
        <v>3780</v>
      </c>
      <c r="S553"/>
      <c r="U553"/>
      <c r="V553"/>
    </row>
    <row r="554" spans="1:22" s="3" customFormat="1">
      <c r="A554" s="165" t="s">
        <v>506</v>
      </c>
      <c r="B554" s="94">
        <v>670</v>
      </c>
      <c r="C554" s="165" t="s">
        <v>1249</v>
      </c>
      <c r="D554" s="165">
        <v>20</v>
      </c>
      <c r="E554" s="165" t="s">
        <v>151</v>
      </c>
      <c r="F554" s="165" t="s">
        <v>2099</v>
      </c>
      <c r="G554" s="165">
        <v>3780</v>
      </c>
      <c r="H554" s="165"/>
      <c r="I554" s="165"/>
      <c r="J554" s="165">
        <v>3780</v>
      </c>
      <c r="K554" s="165"/>
      <c r="L554" s="165"/>
      <c r="M554" s="165"/>
      <c r="N554" s="165">
        <f t="shared" si="10"/>
        <v>0</v>
      </c>
      <c r="O554" s="165" t="s">
        <v>613</v>
      </c>
      <c r="P554" s="165" t="s">
        <v>614</v>
      </c>
      <c r="Q554" s="3">
        <v>3780</v>
      </c>
      <c r="R554">
        <v>3780</v>
      </c>
      <c r="S554"/>
      <c r="U554"/>
      <c r="V554"/>
    </row>
    <row r="555" spans="1:22" s="3" customFormat="1">
      <c r="A555" s="165" t="s">
        <v>506</v>
      </c>
      <c r="B555" s="94">
        <v>671</v>
      </c>
      <c r="C555" s="165" t="s">
        <v>1249</v>
      </c>
      <c r="D555" s="165">
        <v>21</v>
      </c>
      <c r="E555" s="165" t="s">
        <v>152</v>
      </c>
      <c r="F555" s="165" t="s">
        <v>1050</v>
      </c>
      <c r="G555" s="165">
        <v>3780</v>
      </c>
      <c r="H555" s="165"/>
      <c r="I555" s="165"/>
      <c r="J555" s="165">
        <v>3780</v>
      </c>
      <c r="K555" s="165"/>
      <c r="L555" s="165"/>
      <c r="M555" s="165"/>
      <c r="N555" s="165">
        <f t="shared" si="10"/>
        <v>0</v>
      </c>
      <c r="O555" s="165" t="s">
        <v>619</v>
      </c>
      <c r="P555" s="165" t="s">
        <v>620</v>
      </c>
      <c r="Q555" s="3">
        <v>3780</v>
      </c>
      <c r="R555">
        <v>3780</v>
      </c>
      <c r="S555"/>
      <c r="U555"/>
      <c r="V555"/>
    </row>
    <row r="556" spans="1:22" s="3" customFormat="1">
      <c r="A556" s="165" t="s">
        <v>506</v>
      </c>
      <c r="B556" s="94">
        <v>672</v>
      </c>
      <c r="C556" s="165" t="s">
        <v>1249</v>
      </c>
      <c r="D556" s="165">
        <v>22</v>
      </c>
      <c r="E556" s="165" t="s">
        <v>153</v>
      </c>
      <c r="F556" s="165" t="s">
        <v>2236</v>
      </c>
      <c r="G556" s="165">
        <v>3780</v>
      </c>
      <c r="H556" s="165"/>
      <c r="I556" s="165"/>
      <c r="J556" s="165">
        <v>3780</v>
      </c>
      <c r="K556" s="165"/>
      <c r="L556" s="165"/>
      <c r="M556" s="165"/>
      <c r="N556" s="165">
        <f t="shared" si="10"/>
        <v>0</v>
      </c>
      <c r="O556" s="165" t="s">
        <v>628</v>
      </c>
      <c r="P556" s="165" t="s">
        <v>629</v>
      </c>
      <c r="Q556" s="3">
        <v>3780</v>
      </c>
      <c r="R556">
        <v>3780</v>
      </c>
      <c r="S556"/>
      <c r="U556"/>
      <c r="V556"/>
    </row>
    <row r="557" spans="1:22" s="3" customFormat="1">
      <c r="A557" s="165" t="s">
        <v>506</v>
      </c>
      <c r="B557" s="94">
        <v>673</v>
      </c>
      <c r="C557" s="165" t="s">
        <v>1249</v>
      </c>
      <c r="D557" s="165">
        <v>23</v>
      </c>
      <c r="E557" s="165" t="s">
        <v>154</v>
      </c>
      <c r="F557" s="165" t="s">
        <v>1051</v>
      </c>
      <c r="G557" s="165">
        <v>3780</v>
      </c>
      <c r="H557" s="165"/>
      <c r="I557" s="165"/>
      <c r="J557" s="165"/>
      <c r="K557" s="165">
        <v>3780</v>
      </c>
      <c r="L557" s="165"/>
      <c r="M557" s="165"/>
      <c r="N557" s="165">
        <f t="shared" si="10"/>
        <v>0</v>
      </c>
      <c r="O557" s="165" t="s">
        <v>621</v>
      </c>
      <c r="P557" s="165" t="s">
        <v>622</v>
      </c>
      <c r="Q557" s="3">
        <v>3780</v>
      </c>
      <c r="R557">
        <v>3780</v>
      </c>
      <c r="S557"/>
      <c r="U557"/>
      <c r="V557"/>
    </row>
    <row r="558" spans="1:22" s="3" customFormat="1">
      <c r="A558" s="165" t="s">
        <v>506</v>
      </c>
      <c r="B558" s="94">
        <v>674</v>
      </c>
      <c r="C558" s="165" t="s">
        <v>1249</v>
      </c>
      <c r="D558" s="165">
        <v>24</v>
      </c>
      <c r="E558" s="165" t="s">
        <v>155</v>
      </c>
      <c r="F558" s="165" t="s">
        <v>1052</v>
      </c>
      <c r="G558" s="165">
        <v>3780</v>
      </c>
      <c r="H558" s="165"/>
      <c r="I558" s="165"/>
      <c r="J558" s="165"/>
      <c r="K558" s="165">
        <v>3780</v>
      </c>
      <c r="L558" s="165"/>
      <c r="M558" s="165"/>
      <c r="N558" s="165">
        <f t="shared" si="10"/>
        <v>0</v>
      </c>
      <c r="O558" s="165" t="s">
        <v>625</v>
      </c>
      <c r="P558" s="165" t="s">
        <v>626</v>
      </c>
      <c r="Q558" s="3">
        <v>3780</v>
      </c>
      <c r="R558">
        <v>3780</v>
      </c>
      <c r="S558"/>
      <c r="U558"/>
      <c r="V558"/>
    </row>
    <row r="559" spans="1:22" s="3" customFormat="1">
      <c r="A559" s="165" t="s">
        <v>507</v>
      </c>
      <c r="B559" s="94">
        <v>675</v>
      </c>
      <c r="C559" s="165" t="s">
        <v>7</v>
      </c>
      <c r="D559" s="165">
        <v>1</v>
      </c>
      <c r="E559" s="165" t="s">
        <v>1053</v>
      </c>
      <c r="F559" s="165" t="s">
        <v>2778</v>
      </c>
      <c r="G559" s="165">
        <v>13230</v>
      </c>
      <c r="H559" s="165"/>
      <c r="I559" s="165"/>
      <c r="J559" s="165">
        <v>13230</v>
      </c>
      <c r="K559" s="165"/>
      <c r="L559" s="165"/>
      <c r="M559" s="165"/>
      <c r="N559" s="165">
        <f t="shared" si="10"/>
        <v>0</v>
      </c>
      <c r="O559" s="165" t="s">
        <v>610</v>
      </c>
      <c r="P559" s="165" t="s">
        <v>611</v>
      </c>
      <c r="Q559" s="3">
        <v>13230</v>
      </c>
      <c r="R559">
        <v>13230</v>
      </c>
      <c r="S559"/>
      <c r="U559"/>
      <c r="V559"/>
    </row>
    <row r="560" spans="1:22" s="3" customFormat="1">
      <c r="A560" s="165" t="s">
        <v>507</v>
      </c>
      <c r="B560" s="94">
        <v>676</v>
      </c>
      <c r="C560" s="165" t="s">
        <v>7</v>
      </c>
      <c r="D560" s="165">
        <v>2</v>
      </c>
      <c r="E560" s="165" t="s">
        <v>141</v>
      </c>
      <c r="F560" s="165" t="s">
        <v>1007</v>
      </c>
      <c r="G560" s="165">
        <v>13230</v>
      </c>
      <c r="H560" s="165"/>
      <c r="I560" s="165"/>
      <c r="J560" s="165">
        <v>13230</v>
      </c>
      <c r="K560" s="165"/>
      <c r="L560" s="165"/>
      <c r="M560" s="165"/>
      <c r="N560" s="165">
        <f t="shared" si="10"/>
        <v>0</v>
      </c>
      <c r="O560" s="165" t="s">
        <v>627</v>
      </c>
      <c r="P560" s="165" t="s">
        <v>827</v>
      </c>
      <c r="Q560" s="3">
        <v>13230</v>
      </c>
      <c r="R560">
        <v>13230</v>
      </c>
      <c r="S560"/>
      <c r="U560"/>
      <c r="V560"/>
    </row>
    <row r="561" spans="1:22" s="3" customFormat="1">
      <c r="A561" s="165" t="s">
        <v>507</v>
      </c>
      <c r="B561" s="94">
        <v>677</v>
      </c>
      <c r="C561" s="165" t="s">
        <v>7</v>
      </c>
      <c r="D561" s="165">
        <v>3</v>
      </c>
      <c r="E561" s="165" t="s">
        <v>142</v>
      </c>
      <c r="F561" s="165" t="s">
        <v>1008</v>
      </c>
      <c r="G561" s="165">
        <v>13230</v>
      </c>
      <c r="H561" s="165"/>
      <c r="I561" s="165"/>
      <c r="J561" s="165">
        <v>13230</v>
      </c>
      <c r="K561" s="165"/>
      <c r="L561" s="165"/>
      <c r="M561" s="165"/>
      <c r="N561" s="165">
        <f t="shared" si="10"/>
        <v>0</v>
      </c>
      <c r="O561" s="165" t="s">
        <v>613</v>
      </c>
      <c r="P561" s="165" t="s">
        <v>614</v>
      </c>
      <c r="Q561" s="3">
        <v>13230</v>
      </c>
      <c r="R561">
        <v>13230</v>
      </c>
      <c r="S561"/>
      <c r="U561"/>
      <c r="V561"/>
    </row>
    <row r="562" spans="1:22" s="3" customFormat="1">
      <c r="A562" s="165" t="s">
        <v>507</v>
      </c>
      <c r="B562" s="94">
        <v>678</v>
      </c>
      <c r="C562" s="165" t="s">
        <v>7</v>
      </c>
      <c r="D562" s="165">
        <v>4</v>
      </c>
      <c r="E562" s="165" t="s">
        <v>143</v>
      </c>
      <c r="F562" s="165" t="s">
        <v>2166</v>
      </c>
      <c r="G562" s="165">
        <v>13230</v>
      </c>
      <c r="H562" s="165"/>
      <c r="I562" s="165"/>
      <c r="J562" s="165">
        <v>13230</v>
      </c>
      <c r="K562" s="165"/>
      <c r="L562" s="165"/>
      <c r="M562" s="165"/>
      <c r="N562" s="165">
        <f t="shared" si="10"/>
        <v>0</v>
      </c>
      <c r="O562" s="165" t="s">
        <v>621</v>
      </c>
      <c r="P562" s="165" t="s">
        <v>622</v>
      </c>
      <c r="Q562" s="3">
        <v>13230</v>
      </c>
      <c r="R562">
        <v>13230</v>
      </c>
      <c r="S562"/>
      <c r="U562"/>
      <c r="V562"/>
    </row>
    <row r="563" spans="1:22" s="3" customFormat="1">
      <c r="A563" s="165" t="s">
        <v>507</v>
      </c>
      <c r="B563" s="94">
        <v>679</v>
      </c>
      <c r="C563" s="165" t="s">
        <v>7</v>
      </c>
      <c r="D563" s="165">
        <v>5</v>
      </c>
      <c r="E563" s="165" t="s">
        <v>1054</v>
      </c>
      <c r="F563" s="165" t="s">
        <v>1010</v>
      </c>
      <c r="G563" s="165">
        <v>13230</v>
      </c>
      <c r="H563" s="165"/>
      <c r="I563" s="165"/>
      <c r="J563" s="165"/>
      <c r="K563" s="165">
        <v>13230</v>
      </c>
      <c r="L563" s="165"/>
      <c r="M563" s="165"/>
      <c r="N563" s="165">
        <f t="shared" si="10"/>
        <v>0</v>
      </c>
      <c r="O563" s="165" t="s">
        <v>3159</v>
      </c>
      <c r="P563" s="165" t="s">
        <v>3160</v>
      </c>
      <c r="Q563" s="3">
        <v>13230</v>
      </c>
      <c r="R563">
        <v>13230</v>
      </c>
      <c r="S563"/>
      <c r="U563"/>
      <c r="V563"/>
    </row>
    <row r="564" spans="1:22">
      <c r="A564" s="165" t="s">
        <v>507</v>
      </c>
      <c r="B564" s="94">
        <v>680</v>
      </c>
      <c r="C564" s="165" t="s">
        <v>7</v>
      </c>
      <c r="D564" s="165">
        <v>6</v>
      </c>
      <c r="E564" s="165" t="s">
        <v>144</v>
      </c>
      <c r="F564" s="165" t="s">
        <v>1011</v>
      </c>
      <c r="G564" s="165">
        <v>13230</v>
      </c>
      <c r="H564" s="165"/>
      <c r="I564" s="165"/>
      <c r="J564" s="165"/>
      <c r="K564" s="165">
        <v>13230</v>
      </c>
      <c r="L564" s="165"/>
      <c r="M564" s="165"/>
      <c r="N564" s="165">
        <f t="shared" si="10"/>
        <v>0</v>
      </c>
      <c r="O564" s="165" t="s">
        <v>3164</v>
      </c>
      <c r="P564" s="165" t="s">
        <v>808</v>
      </c>
      <c r="Q564" s="3">
        <v>13230</v>
      </c>
      <c r="R564">
        <v>13230</v>
      </c>
    </row>
    <row r="565" spans="1:22">
      <c r="A565" s="165" t="s">
        <v>507</v>
      </c>
      <c r="B565" s="94">
        <v>681</v>
      </c>
      <c r="C565" s="165" t="s">
        <v>7</v>
      </c>
      <c r="D565" s="165">
        <v>7</v>
      </c>
      <c r="E565" s="165" t="s">
        <v>1055</v>
      </c>
      <c r="F565" s="165" t="s">
        <v>1012</v>
      </c>
      <c r="G565" s="165">
        <v>13230</v>
      </c>
      <c r="H565" s="165"/>
      <c r="I565" s="165"/>
      <c r="J565" s="165"/>
      <c r="K565" s="165">
        <v>13230</v>
      </c>
      <c r="L565" s="165"/>
      <c r="M565" s="165"/>
      <c r="N565" s="165">
        <f t="shared" si="10"/>
        <v>0</v>
      </c>
      <c r="O565" s="165" t="s">
        <v>3165</v>
      </c>
      <c r="P565" s="165" t="s">
        <v>3166</v>
      </c>
      <c r="Q565" s="3">
        <v>13230</v>
      </c>
      <c r="R565">
        <v>13230</v>
      </c>
    </row>
    <row r="566" spans="1:22">
      <c r="A566" s="165" t="s">
        <v>507</v>
      </c>
      <c r="B566" s="94">
        <v>682</v>
      </c>
      <c r="C566" s="165" t="s">
        <v>7</v>
      </c>
      <c r="D566" s="165">
        <v>8</v>
      </c>
      <c r="E566" s="165" t="s">
        <v>145</v>
      </c>
      <c r="F566" s="165" t="s">
        <v>1056</v>
      </c>
      <c r="G566" s="165">
        <v>13230</v>
      </c>
      <c r="H566" s="165"/>
      <c r="I566" s="165"/>
      <c r="J566" s="165"/>
      <c r="K566" s="211">
        <v>13230</v>
      </c>
      <c r="L566" s="165"/>
      <c r="M566" s="211">
        <v>13230</v>
      </c>
      <c r="N566" s="165">
        <f t="shared" si="10"/>
        <v>0</v>
      </c>
      <c r="O566" s="165" t="s">
        <v>3171</v>
      </c>
      <c r="P566" s="165" t="s">
        <v>3172</v>
      </c>
      <c r="Q566" s="3">
        <v>13230</v>
      </c>
      <c r="R566">
        <v>13230</v>
      </c>
    </row>
    <row r="567" spans="1:22">
      <c r="A567" s="165" t="s">
        <v>1057</v>
      </c>
      <c r="B567" s="94">
        <v>683</v>
      </c>
      <c r="C567" s="165" t="s">
        <v>2422</v>
      </c>
      <c r="D567" s="165">
        <v>1</v>
      </c>
      <c r="E567" s="165" t="s">
        <v>1058</v>
      </c>
      <c r="F567" s="165" t="s">
        <v>1059</v>
      </c>
      <c r="G567" s="165">
        <v>13230</v>
      </c>
      <c r="H567" s="165"/>
      <c r="I567" s="165"/>
      <c r="J567" s="165">
        <v>13230</v>
      </c>
      <c r="K567" s="165"/>
      <c r="L567" s="165"/>
      <c r="M567" s="165"/>
      <c r="N567" s="165">
        <f t="shared" si="10"/>
        <v>0</v>
      </c>
      <c r="O567" s="165" t="s">
        <v>631</v>
      </c>
      <c r="P567" s="165" t="s">
        <v>632</v>
      </c>
      <c r="Q567" s="3">
        <v>13230</v>
      </c>
      <c r="R567">
        <v>13230</v>
      </c>
    </row>
    <row r="568" spans="1:22">
      <c r="A568" s="165" t="s">
        <v>1057</v>
      </c>
      <c r="B568" s="94">
        <v>684</v>
      </c>
      <c r="C568" s="165" t="s">
        <v>2422</v>
      </c>
      <c r="D568" s="165">
        <v>2</v>
      </c>
      <c r="E568" s="165" t="s">
        <v>134</v>
      </c>
      <c r="F568" s="165" t="s">
        <v>1060</v>
      </c>
      <c r="G568" s="165">
        <v>13230</v>
      </c>
      <c r="H568" s="165"/>
      <c r="I568" s="165"/>
      <c r="J568" s="165">
        <v>13230</v>
      </c>
      <c r="K568" s="165"/>
      <c r="L568" s="165"/>
      <c r="M568" s="165"/>
      <c r="N568" s="165">
        <f t="shared" si="10"/>
        <v>0</v>
      </c>
      <c r="O568" s="165" t="s">
        <v>633</v>
      </c>
      <c r="P568" s="165" t="s">
        <v>634</v>
      </c>
      <c r="Q568" s="3">
        <v>13230</v>
      </c>
      <c r="R568">
        <v>13230</v>
      </c>
    </row>
    <row r="569" spans="1:22">
      <c r="A569" s="165" t="s">
        <v>1057</v>
      </c>
      <c r="B569" s="94">
        <v>685</v>
      </c>
      <c r="C569" s="165" t="s">
        <v>2422</v>
      </c>
      <c r="D569" s="165">
        <v>3</v>
      </c>
      <c r="E569" s="165" t="s">
        <v>135</v>
      </c>
      <c r="F569" s="165" t="s">
        <v>1061</v>
      </c>
      <c r="G569" s="165">
        <v>13230</v>
      </c>
      <c r="H569" s="165"/>
      <c r="I569" s="165"/>
      <c r="J569" s="165">
        <v>13230</v>
      </c>
      <c r="K569" s="165"/>
      <c r="L569" s="165"/>
      <c r="M569" s="165"/>
      <c r="N569" s="165">
        <f t="shared" si="10"/>
        <v>0</v>
      </c>
      <c r="O569" s="165" t="s">
        <v>619</v>
      </c>
      <c r="P569" s="165" t="s">
        <v>620</v>
      </c>
      <c r="Q569" s="3">
        <v>13230</v>
      </c>
      <c r="R569">
        <v>13230</v>
      </c>
    </row>
    <row r="570" spans="1:22">
      <c r="A570" s="165" t="s">
        <v>1057</v>
      </c>
      <c r="B570" s="94">
        <v>686</v>
      </c>
      <c r="C570" s="165" t="s">
        <v>2422</v>
      </c>
      <c r="D570" s="165">
        <v>4</v>
      </c>
      <c r="E570" s="165" t="s">
        <v>136</v>
      </c>
      <c r="F570" s="165" t="s">
        <v>1062</v>
      </c>
      <c r="G570" s="165">
        <v>13230</v>
      </c>
      <c r="H570" s="165"/>
      <c r="I570" s="165"/>
      <c r="J570" s="165"/>
      <c r="K570" s="165">
        <v>13230</v>
      </c>
      <c r="L570" s="165"/>
      <c r="M570" s="165"/>
      <c r="N570" s="165">
        <f t="shared" si="10"/>
        <v>0</v>
      </c>
      <c r="O570" s="165" t="s">
        <v>625</v>
      </c>
      <c r="P570" s="165" t="s">
        <v>626</v>
      </c>
      <c r="Q570" s="3">
        <v>13230</v>
      </c>
      <c r="R570">
        <v>13230</v>
      </c>
    </row>
    <row r="571" spans="1:22">
      <c r="A571" s="165" t="s">
        <v>1057</v>
      </c>
      <c r="B571" s="94">
        <v>687</v>
      </c>
      <c r="C571" s="165" t="s">
        <v>2422</v>
      </c>
      <c r="D571" s="165">
        <v>5</v>
      </c>
      <c r="E571" s="165" t="s">
        <v>137</v>
      </c>
      <c r="F571" s="165" t="s">
        <v>1063</v>
      </c>
      <c r="G571" s="165">
        <v>13230</v>
      </c>
      <c r="H571" s="165"/>
      <c r="I571" s="165"/>
      <c r="J571" s="165"/>
      <c r="K571" s="165">
        <v>13230</v>
      </c>
      <c r="L571" s="165"/>
      <c r="M571" s="165"/>
      <c r="N571" s="165">
        <f t="shared" si="10"/>
        <v>0</v>
      </c>
      <c r="O571" s="165" t="s">
        <v>683</v>
      </c>
      <c r="P571" s="165" t="s">
        <v>3163</v>
      </c>
      <c r="Q571" s="3">
        <v>13230</v>
      </c>
      <c r="R571">
        <v>13230</v>
      </c>
    </row>
    <row r="572" spans="1:22">
      <c r="A572" s="165" t="s">
        <v>1057</v>
      </c>
      <c r="B572" s="94">
        <v>688</v>
      </c>
      <c r="C572" s="165" t="s">
        <v>2422</v>
      </c>
      <c r="D572" s="165">
        <v>6</v>
      </c>
      <c r="E572" s="165" t="s">
        <v>138</v>
      </c>
      <c r="F572" s="165" t="s">
        <v>1064</v>
      </c>
      <c r="G572" s="165">
        <v>13230</v>
      </c>
      <c r="H572" s="165"/>
      <c r="I572" s="165"/>
      <c r="J572" s="165"/>
      <c r="K572" s="165">
        <v>13230</v>
      </c>
      <c r="L572" s="165"/>
      <c r="M572" s="165"/>
      <c r="N572" s="165">
        <f t="shared" si="10"/>
        <v>0</v>
      </c>
      <c r="O572" s="165" t="s">
        <v>3167</v>
      </c>
      <c r="P572" s="165" t="s">
        <v>3168</v>
      </c>
      <c r="Q572" s="3">
        <v>13230</v>
      </c>
      <c r="R572">
        <v>13230</v>
      </c>
    </row>
    <row r="573" spans="1:22">
      <c r="A573" s="165" t="s">
        <v>1057</v>
      </c>
      <c r="B573" s="94">
        <v>689</v>
      </c>
      <c r="C573" s="165" t="s">
        <v>2422</v>
      </c>
      <c r="D573" s="165">
        <v>7</v>
      </c>
      <c r="E573" s="165" t="s">
        <v>139</v>
      </c>
      <c r="F573" s="165" t="s">
        <v>1065</v>
      </c>
      <c r="G573" s="165">
        <v>13230</v>
      </c>
      <c r="H573" s="165"/>
      <c r="I573" s="165"/>
      <c r="J573" s="165"/>
      <c r="K573" s="165">
        <v>13230</v>
      </c>
      <c r="L573" s="165"/>
      <c r="M573" s="165"/>
      <c r="N573" s="165">
        <f t="shared" si="10"/>
        <v>0</v>
      </c>
      <c r="O573" s="165" t="s">
        <v>3169</v>
      </c>
      <c r="P573" s="165" t="s">
        <v>3170</v>
      </c>
      <c r="Q573" s="3">
        <v>13230</v>
      </c>
      <c r="R573">
        <v>13230</v>
      </c>
    </row>
    <row r="574" spans="1:22">
      <c r="A574" s="165" t="s">
        <v>1057</v>
      </c>
      <c r="B574" s="94">
        <v>690</v>
      </c>
      <c r="C574" s="165" t="s">
        <v>2422</v>
      </c>
      <c r="D574" s="165">
        <v>8</v>
      </c>
      <c r="E574" s="165" t="s">
        <v>140</v>
      </c>
      <c r="F574" s="165" t="s">
        <v>1066</v>
      </c>
      <c r="G574" s="165">
        <v>13230</v>
      </c>
      <c r="H574" s="165"/>
      <c r="I574" s="165"/>
      <c r="J574" s="165"/>
      <c r="K574" s="165"/>
      <c r="L574" s="165">
        <v>13230</v>
      </c>
      <c r="M574" s="165"/>
      <c r="N574" s="165">
        <f t="shared" si="10"/>
        <v>0</v>
      </c>
      <c r="O574" s="165" t="s">
        <v>3934</v>
      </c>
      <c r="P574" s="165" t="s">
        <v>3935</v>
      </c>
      <c r="Q574" s="3">
        <v>13230</v>
      </c>
      <c r="R574">
        <v>13230</v>
      </c>
    </row>
    <row r="575" spans="1:22" s="163" customFormat="1">
      <c r="A575" s="281" t="s">
        <v>533</v>
      </c>
      <c r="B575" s="281"/>
      <c r="C575" s="281" t="s">
        <v>1532</v>
      </c>
      <c r="D575" s="281">
        <v>1</v>
      </c>
      <c r="E575" s="281" t="s">
        <v>1283</v>
      </c>
      <c r="F575" s="281" t="s">
        <v>533</v>
      </c>
      <c r="G575" s="284"/>
      <c r="H575" s="284"/>
      <c r="I575" s="284"/>
      <c r="J575" s="281"/>
      <c r="K575" s="281"/>
      <c r="L575" s="281"/>
      <c r="M575" s="281"/>
      <c r="N575" s="281">
        <f t="shared" si="10"/>
        <v>0</v>
      </c>
      <c r="O575" s="281" t="s">
        <v>533</v>
      </c>
      <c r="P575" s="281" t="s">
        <v>533</v>
      </c>
      <c r="Q575" s="281">
        <v>13500</v>
      </c>
      <c r="R575" s="281">
        <v>13485</v>
      </c>
      <c r="S575" s="281"/>
      <c r="T575" s="284">
        <v>15</v>
      </c>
    </row>
    <row r="576" spans="1:22">
      <c r="A576" s="165" t="s">
        <v>624</v>
      </c>
      <c r="B576" s="165">
        <v>691</v>
      </c>
      <c r="C576" s="165" t="s">
        <v>1013</v>
      </c>
      <c r="D576" s="165">
        <v>2</v>
      </c>
      <c r="E576" s="165" t="s">
        <v>638</v>
      </c>
      <c r="F576" s="165" t="s">
        <v>624</v>
      </c>
      <c r="G576" s="165">
        <v>126000</v>
      </c>
      <c r="H576" s="165"/>
      <c r="I576" s="165"/>
      <c r="J576" s="209">
        <v>126000</v>
      </c>
      <c r="K576" s="209"/>
      <c r="L576" s="209"/>
      <c r="M576" s="209"/>
      <c r="N576" s="209">
        <f t="shared" si="10"/>
        <v>0</v>
      </c>
      <c r="O576" s="165" t="s">
        <v>624</v>
      </c>
      <c r="P576" s="165" t="s">
        <v>609</v>
      </c>
      <c r="Q576" s="3">
        <v>126000</v>
      </c>
      <c r="R576">
        <v>126000</v>
      </c>
      <c r="U576" t="s">
        <v>639</v>
      </c>
    </row>
    <row r="577" spans="1:21" s="163" customFormat="1">
      <c r="A577" s="281" t="s">
        <v>609</v>
      </c>
      <c r="B577" s="281"/>
      <c r="C577" s="281" t="s">
        <v>1016</v>
      </c>
      <c r="D577" s="281">
        <v>2</v>
      </c>
      <c r="E577" s="281" t="s">
        <v>1283</v>
      </c>
      <c r="F577" s="281" t="s">
        <v>609</v>
      </c>
      <c r="G577" s="284"/>
      <c r="H577" s="284"/>
      <c r="I577" s="284"/>
      <c r="J577" s="281"/>
      <c r="K577" s="281"/>
      <c r="L577" s="281"/>
      <c r="M577" s="281"/>
      <c r="N577" s="281">
        <f t="shared" ref="N577:N640" si="11">G577+H577+I577-K577-J577-L577</f>
        <v>0</v>
      </c>
      <c r="O577" s="281" t="s">
        <v>609</v>
      </c>
      <c r="P577" s="281" t="s">
        <v>609</v>
      </c>
      <c r="Q577" s="281">
        <v>126000</v>
      </c>
      <c r="R577" s="281">
        <v>126000</v>
      </c>
      <c r="S577" s="281"/>
      <c r="T577" s="284"/>
      <c r="U577" s="163" t="s">
        <v>639</v>
      </c>
    </row>
    <row r="578" spans="1:21" s="5" customFormat="1">
      <c r="A578" s="94" t="s">
        <v>640</v>
      </c>
      <c r="B578" s="165">
        <v>692</v>
      </c>
      <c r="C578" s="94" t="s">
        <v>1232</v>
      </c>
      <c r="D578" s="94">
        <v>9</v>
      </c>
      <c r="E578" s="94" t="s">
        <v>641</v>
      </c>
      <c r="F578" s="94" t="s">
        <v>2109</v>
      </c>
      <c r="G578" s="94">
        <v>16380</v>
      </c>
      <c r="H578" s="94"/>
      <c r="I578" s="94"/>
      <c r="J578" s="94">
        <v>16380</v>
      </c>
      <c r="K578" s="94"/>
      <c r="L578" s="94"/>
      <c r="M578" s="94"/>
      <c r="N578" s="94">
        <f t="shared" si="11"/>
        <v>0</v>
      </c>
      <c r="O578" s="94" t="s">
        <v>610</v>
      </c>
      <c r="P578" s="94" t="s">
        <v>611</v>
      </c>
      <c r="Q578" s="93">
        <v>16380</v>
      </c>
      <c r="R578" s="4">
        <v>16380</v>
      </c>
      <c r="S578" s="4"/>
      <c r="T578" s="93"/>
    </row>
    <row r="579" spans="1:21" s="163" customFormat="1">
      <c r="A579" s="281" t="s">
        <v>2232</v>
      </c>
      <c r="B579" s="281"/>
      <c r="C579" s="281" t="s">
        <v>3825</v>
      </c>
      <c r="D579" s="281">
        <v>2</v>
      </c>
      <c r="E579" s="281" t="s">
        <v>1283</v>
      </c>
      <c r="F579" s="281" t="s">
        <v>2232</v>
      </c>
      <c r="G579" s="284"/>
      <c r="H579" s="284"/>
      <c r="I579" s="284"/>
      <c r="J579" s="281"/>
      <c r="K579" s="281"/>
      <c r="L579" s="281"/>
      <c r="M579" s="281"/>
      <c r="N579" s="281">
        <f t="shared" si="11"/>
        <v>0</v>
      </c>
      <c r="O579" s="281" t="s">
        <v>2232</v>
      </c>
      <c r="P579" s="281" t="s">
        <v>2232</v>
      </c>
      <c r="Q579" s="281">
        <v>14175</v>
      </c>
      <c r="R579" s="281">
        <v>14145</v>
      </c>
      <c r="S579" s="281"/>
      <c r="T579" s="284">
        <v>30</v>
      </c>
    </row>
    <row r="580" spans="1:21">
      <c r="A580" s="165" t="s">
        <v>2331</v>
      </c>
      <c r="B580" s="165">
        <v>693</v>
      </c>
      <c r="C580" s="165" t="s">
        <v>857</v>
      </c>
      <c r="D580" s="165">
        <v>1</v>
      </c>
      <c r="E580" s="165" t="s">
        <v>642</v>
      </c>
      <c r="F580" s="165" t="s">
        <v>1007</v>
      </c>
      <c r="G580" s="165">
        <v>14175</v>
      </c>
      <c r="H580" s="165"/>
      <c r="I580" s="165"/>
      <c r="J580" s="209">
        <v>14175</v>
      </c>
      <c r="K580" s="209"/>
      <c r="L580" s="209"/>
      <c r="M580" s="209"/>
      <c r="N580" s="209">
        <f t="shared" si="11"/>
        <v>0</v>
      </c>
      <c r="O580" s="165" t="s">
        <v>627</v>
      </c>
      <c r="P580" s="165" t="s">
        <v>827</v>
      </c>
      <c r="Q580" s="3">
        <v>14175</v>
      </c>
      <c r="R580" s="249">
        <v>14175</v>
      </c>
      <c r="S580" s="249"/>
    </row>
    <row r="581" spans="1:21">
      <c r="A581" s="165" t="s">
        <v>2331</v>
      </c>
      <c r="B581" s="165">
        <v>694</v>
      </c>
      <c r="C581" s="165" t="s">
        <v>857</v>
      </c>
      <c r="D581" s="165">
        <v>2</v>
      </c>
      <c r="E581" s="165" t="s">
        <v>643</v>
      </c>
      <c r="F581" s="165" t="s">
        <v>1008</v>
      </c>
      <c r="G581" s="165">
        <v>14175</v>
      </c>
      <c r="H581" s="165"/>
      <c r="I581" s="165"/>
      <c r="J581" s="209">
        <v>14175</v>
      </c>
      <c r="K581" s="209"/>
      <c r="L581" s="209"/>
      <c r="M581" s="209"/>
      <c r="N581" s="209">
        <f t="shared" si="11"/>
        <v>0</v>
      </c>
      <c r="O581" s="165" t="s">
        <v>613</v>
      </c>
      <c r="P581" s="165" t="s">
        <v>614</v>
      </c>
      <c r="Q581" s="3">
        <v>14175</v>
      </c>
      <c r="R581" s="94">
        <v>14175</v>
      </c>
      <c r="S581" s="94"/>
    </row>
    <row r="582" spans="1:21">
      <c r="A582" s="165" t="s">
        <v>2331</v>
      </c>
      <c r="B582" s="165">
        <v>695</v>
      </c>
      <c r="C582" s="165" t="s">
        <v>857</v>
      </c>
      <c r="D582" s="165">
        <v>3</v>
      </c>
      <c r="E582" s="165" t="s">
        <v>644</v>
      </c>
      <c r="F582" s="165" t="s">
        <v>645</v>
      </c>
      <c r="G582" s="165">
        <v>14175</v>
      </c>
      <c r="H582" s="165"/>
      <c r="I582" s="165"/>
      <c r="J582" s="209">
        <v>14175</v>
      </c>
      <c r="K582" s="209"/>
      <c r="L582" s="209"/>
      <c r="M582" s="209"/>
      <c r="N582" s="209">
        <f t="shared" si="11"/>
        <v>0</v>
      </c>
      <c r="O582" s="165" t="s">
        <v>621</v>
      </c>
      <c r="P582" s="165" t="s">
        <v>622</v>
      </c>
      <c r="Q582" s="3">
        <v>14175</v>
      </c>
      <c r="R582" s="3">
        <v>14175</v>
      </c>
      <c r="S582" s="3"/>
    </row>
    <row r="583" spans="1:21">
      <c r="A583" s="165" t="s">
        <v>2331</v>
      </c>
      <c r="B583" s="165">
        <v>696</v>
      </c>
      <c r="C583" s="165" t="s">
        <v>857</v>
      </c>
      <c r="D583" s="165">
        <v>4</v>
      </c>
      <c r="E583" s="165" t="s">
        <v>646</v>
      </c>
      <c r="F583" s="165" t="s">
        <v>647</v>
      </c>
      <c r="G583" s="165">
        <v>14175</v>
      </c>
      <c r="H583" s="165"/>
      <c r="I583" s="165"/>
      <c r="J583" s="209"/>
      <c r="K583" s="209">
        <v>14175</v>
      </c>
      <c r="L583" s="209"/>
      <c r="M583" s="209"/>
      <c r="N583" s="209">
        <f t="shared" si="11"/>
        <v>0</v>
      </c>
      <c r="O583" s="165" t="s">
        <v>3159</v>
      </c>
      <c r="P583" s="165" t="s">
        <v>3160</v>
      </c>
      <c r="Q583" s="3">
        <v>14175</v>
      </c>
      <c r="R583">
        <v>14175</v>
      </c>
    </row>
    <row r="584" spans="1:21">
      <c r="A584" s="165" t="s">
        <v>2331</v>
      </c>
      <c r="B584" s="165">
        <v>697</v>
      </c>
      <c r="C584" s="165" t="s">
        <v>857</v>
      </c>
      <c r="D584" s="165">
        <v>5</v>
      </c>
      <c r="E584" s="165" t="s">
        <v>648</v>
      </c>
      <c r="F584" s="165" t="s">
        <v>1011</v>
      </c>
      <c r="G584" s="165">
        <v>14175</v>
      </c>
      <c r="H584" s="165"/>
      <c r="I584" s="165"/>
      <c r="J584" s="209"/>
      <c r="K584" s="209">
        <v>14175</v>
      </c>
      <c r="L584" s="209"/>
      <c r="M584" s="209"/>
      <c r="N584" s="209">
        <f t="shared" si="11"/>
        <v>0</v>
      </c>
      <c r="O584" s="165" t="s">
        <v>3164</v>
      </c>
      <c r="P584" s="165" t="s">
        <v>808</v>
      </c>
      <c r="Q584" s="3">
        <v>14175</v>
      </c>
      <c r="R584">
        <v>14175</v>
      </c>
    </row>
    <row r="585" spans="1:21">
      <c r="A585" s="165" t="s">
        <v>2331</v>
      </c>
      <c r="B585" s="165">
        <v>698</v>
      </c>
      <c r="C585" s="165" t="s">
        <v>857</v>
      </c>
      <c r="D585" s="165">
        <v>6</v>
      </c>
      <c r="E585" s="165" t="s">
        <v>649</v>
      </c>
      <c r="F585" s="165" t="s">
        <v>1012</v>
      </c>
      <c r="G585" s="165">
        <v>14175</v>
      </c>
      <c r="H585" s="165"/>
      <c r="I585" s="165"/>
      <c r="J585" s="209"/>
      <c r="K585" s="209">
        <v>14175</v>
      </c>
      <c r="L585" s="209"/>
      <c r="M585" s="209"/>
      <c r="N585" s="209">
        <f t="shared" si="11"/>
        <v>0</v>
      </c>
      <c r="O585" s="165" t="s">
        <v>3165</v>
      </c>
      <c r="P585" s="165" t="s">
        <v>3166</v>
      </c>
      <c r="Q585" s="3">
        <v>14175</v>
      </c>
      <c r="R585">
        <v>14175</v>
      </c>
    </row>
    <row r="586" spans="1:21">
      <c r="A586" s="165" t="s">
        <v>2331</v>
      </c>
      <c r="B586" s="165">
        <v>699</v>
      </c>
      <c r="C586" s="165" t="s">
        <v>857</v>
      </c>
      <c r="D586" s="165">
        <v>7</v>
      </c>
      <c r="E586" s="165" t="s">
        <v>650</v>
      </c>
      <c r="F586" s="165" t="s">
        <v>651</v>
      </c>
      <c r="G586" s="165">
        <v>14175</v>
      </c>
      <c r="H586" s="165"/>
      <c r="I586" s="165"/>
      <c r="J586" s="209"/>
      <c r="K586" s="214">
        <v>14175</v>
      </c>
      <c r="L586" s="209"/>
      <c r="M586" s="214">
        <v>14175</v>
      </c>
      <c r="N586" s="209">
        <f t="shared" si="11"/>
        <v>0</v>
      </c>
      <c r="O586" s="165" t="s">
        <v>3171</v>
      </c>
      <c r="P586" s="165" t="s">
        <v>3172</v>
      </c>
      <c r="Q586" s="3">
        <v>14175</v>
      </c>
      <c r="R586">
        <v>14175</v>
      </c>
    </row>
    <row r="587" spans="1:21">
      <c r="A587" s="165" t="s">
        <v>2331</v>
      </c>
      <c r="B587" s="165">
        <v>700</v>
      </c>
      <c r="C587" s="165" t="s">
        <v>857</v>
      </c>
      <c r="D587" s="165">
        <v>8</v>
      </c>
      <c r="E587" s="165" t="s">
        <v>652</v>
      </c>
      <c r="F587" s="165" t="s">
        <v>653</v>
      </c>
      <c r="G587" s="165">
        <v>14175</v>
      </c>
      <c r="H587" s="165"/>
      <c r="I587" s="165"/>
      <c r="J587" s="209"/>
      <c r="K587" s="209"/>
      <c r="L587" s="209">
        <v>14175</v>
      </c>
      <c r="M587" s="209"/>
      <c r="N587" s="209">
        <f t="shared" si="11"/>
        <v>0</v>
      </c>
      <c r="O587" s="165" t="s">
        <v>3936</v>
      </c>
      <c r="P587" s="165" t="s">
        <v>3937</v>
      </c>
      <c r="Q587" s="3">
        <v>14175</v>
      </c>
      <c r="R587">
        <v>14175</v>
      </c>
    </row>
    <row r="588" spans="1:21">
      <c r="A588" s="165" t="s">
        <v>1024</v>
      </c>
      <c r="B588" s="165">
        <v>701</v>
      </c>
      <c r="C588" s="165" t="s">
        <v>1884</v>
      </c>
      <c r="D588" s="165">
        <v>1</v>
      </c>
      <c r="E588" s="165" t="s">
        <v>654</v>
      </c>
      <c r="F588" s="165" t="s">
        <v>2162</v>
      </c>
      <c r="G588" s="165">
        <v>14175</v>
      </c>
      <c r="H588" s="165"/>
      <c r="I588" s="165"/>
      <c r="J588" s="209">
        <v>14175</v>
      </c>
      <c r="K588" s="209"/>
      <c r="L588" s="209"/>
      <c r="M588" s="209"/>
      <c r="N588" s="209">
        <f t="shared" si="11"/>
        <v>0</v>
      </c>
      <c r="O588" s="165" t="s">
        <v>627</v>
      </c>
      <c r="P588" s="165" t="s">
        <v>827</v>
      </c>
      <c r="Q588" s="3">
        <v>14175</v>
      </c>
      <c r="R588">
        <v>14175</v>
      </c>
    </row>
    <row r="589" spans="1:21">
      <c r="A589" s="165" t="s">
        <v>1024</v>
      </c>
      <c r="B589" s="165">
        <v>702</v>
      </c>
      <c r="C589" s="165" t="s">
        <v>1884</v>
      </c>
      <c r="D589" s="165">
        <v>2</v>
      </c>
      <c r="E589" s="165" t="s">
        <v>655</v>
      </c>
      <c r="F589" s="165" t="s">
        <v>2363</v>
      </c>
      <c r="G589" s="165">
        <v>14175</v>
      </c>
      <c r="H589" s="165"/>
      <c r="I589" s="165"/>
      <c r="J589" s="209">
        <v>14175</v>
      </c>
      <c r="K589" s="209"/>
      <c r="L589" s="209"/>
      <c r="M589" s="209"/>
      <c r="N589" s="209">
        <f t="shared" si="11"/>
        <v>0</v>
      </c>
      <c r="O589" s="165" t="s">
        <v>633</v>
      </c>
      <c r="P589" s="165" t="s">
        <v>634</v>
      </c>
      <c r="Q589" s="3">
        <v>14175</v>
      </c>
      <c r="R589" s="3">
        <v>14175</v>
      </c>
      <c r="S589" s="3"/>
    </row>
    <row r="590" spans="1:21">
      <c r="A590" s="165" t="s">
        <v>1024</v>
      </c>
      <c r="B590" s="165">
        <v>703</v>
      </c>
      <c r="C590" s="165" t="s">
        <v>1884</v>
      </c>
      <c r="D590" s="165">
        <v>3</v>
      </c>
      <c r="E590" s="165" t="s">
        <v>656</v>
      </c>
      <c r="F590" s="165" t="s">
        <v>3737</v>
      </c>
      <c r="G590" s="165">
        <v>14175</v>
      </c>
      <c r="H590" s="165"/>
      <c r="I590" s="165"/>
      <c r="J590" s="209">
        <v>14175</v>
      </c>
      <c r="K590" s="209"/>
      <c r="L590" s="209"/>
      <c r="M590" s="209"/>
      <c r="N590" s="209">
        <f t="shared" si="11"/>
        <v>0</v>
      </c>
      <c r="O590" s="165" t="s">
        <v>619</v>
      </c>
      <c r="P590" s="165" t="s">
        <v>620</v>
      </c>
      <c r="Q590" s="3">
        <v>14175</v>
      </c>
      <c r="R590" s="3">
        <v>14175</v>
      </c>
      <c r="S590" s="3"/>
    </row>
    <row r="591" spans="1:21">
      <c r="A591" s="165" t="s">
        <v>1024</v>
      </c>
      <c r="B591" s="165">
        <v>704</v>
      </c>
      <c r="C591" s="165" t="s">
        <v>1884</v>
      </c>
      <c r="D591" s="165">
        <v>4</v>
      </c>
      <c r="E591" s="165" t="s">
        <v>657</v>
      </c>
      <c r="F591" s="165" t="s">
        <v>2166</v>
      </c>
      <c r="G591" s="165">
        <v>14175</v>
      </c>
      <c r="H591" s="165"/>
      <c r="I591" s="165"/>
      <c r="J591" s="209">
        <v>14175</v>
      </c>
      <c r="K591" s="209"/>
      <c r="L591" s="209"/>
      <c r="M591" s="209"/>
      <c r="N591" s="209">
        <f t="shared" si="11"/>
        <v>0</v>
      </c>
      <c r="O591" s="165" t="s">
        <v>621</v>
      </c>
      <c r="P591" s="165" t="s">
        <v>622</v>
      </c>
      <c r="Q591" s="3">
        <v>14175</v>
      </c>
      <c r="R591" s="3">
        <v>14175</v>
      </c>
      <c r="S591" s="3"/>
    </row>
    <row r="592" spans="1:21">
      <c r="A592" s="165" t="s">
        <v>1024</v>
      </c>
      <c r="B592" s="165">
        <v>705</v>
      </c>
      <c r="C592" s="165" t="s">
        <v>1884</v>
      </c>
      <c r="D592" s="165">
        <v>5</v>
      </c>
      <c r="E592" s="165" t="s">
        <v>658</v>
      </c>
      <c r="F592" s="165" t="s">
        <v>2365</v>
      </c>
      <c r="G592" s="165">
        <v>14175</v>
      </c>
      <c r="H592" s="165"/>
      <c r="I592" s="165"/>
      <c r="J592" s="209"/>
      <c r="K592" s="209">
        <v>14175</v>
      </c>
      <c r="L592" s="209"/>
      <c r="M592" s="209"/>
      <c r="N592" s="209">
        <f t="shared" si="11"/>
        <v>0</v>
      </c>
      <c r="O592" s="165" t="s">
        <v>625</v>
      </c>
      <c r="P592" s="165" t="s">
        <v>471</v>
      </c>
      <c r="Q592" s="3">
        <v>14175</v>
      </c>
      <c r="R592" s="3">
        <v>14175</v>
      </c>
      <c r="S592" s="3"/>
    </row>
    <row r="593" spans="1:21">
      <c r="A593" s="165" t="s">
        <v>1024</v>
      </c>
      <c r="B593" s="165">
        <v>706</v>
      </c>
      <c r="C593" s="165" t="s">
        <v>1884</v>
      </c>
      <c r="D593" s="165">
        <v>6</v>
      </c>
      <c r="E593" s="165" t="s">
        <v>660</v>
      </c>
      <c r="F593" s="165" t="s">
        <v>3738</v>
      </c>
      <c r="G593" s="165">
        <v>14175</v>
      </c>
      <c r="H593" s="165"/>
      <c r="I593" s="165"/>
      <c r="J593" s="209"/>
      <c r="K593" s="209">
        <v>14175</v>
      </c>
      <c r="L593" s="209"/>
      <c r="M593" s="209"/>
      <c r="N593" s="209">
        <f t="shared" si="11"/>
        <v>0</v>
      </c>
      <c r="O593" s="165" t="s">
        <v>3161</v>
      </c>
      <c r="P593" s="165" t="s">
        <v>3162</v>
      </c>
      <c r="Q593" s="3">
        <v>14175</v>
      </c>
      <c r="R593" s="3">
        <v>14175</v>
      </c>
      <c r="S593" s="3"/>
    </row>
    <row r="594" spans="1:21">
      <c r="A594" s="165" t="s">
        <v>1024</v>
      </c>
      <c r="B594" s="165">
        <v>707</v>
      </c>
      <c r="C594" s="165" t="s">
        <v>1884</v>
      </c>
      <c r="D594" s="165">
        <v>7</v>
      </c>
      <c r="E594" s="165" t="s">
        <v>661</v>
      </c>
      <c r="F594" s="165" t="s">
        <v>3739</v>
      </c>
      <c r="G594" s="165">
        <v>14175</v>
      </c>
      <c r="H594" s="165"/>
      <c r="I594" s="165"/>
      <c r="J594" s="165"/>
      <c r="K594" s="165">
        <v>14175</v>
      </c>
      <c r="L594" s="165"/>
      <c r="M594" s="165"/>
      <c r="N594" s="165">
        <f t="shared" si="11"/>
        <v>0</v>
      </c>
      <c r="O594" s="165" t="s">
        <v>3164</v>
      </c>
      <c r="P594" s="165" t="s">
        <v>808</v>
      </c>
      <c r="Q594" s="3">
        <v>14175</v>
      </c>
      <c r="R594" s="3">
        <v>14175</v>
      </c>
      <c r="S594" s="3"/>
    </row>
    <row r="595" spans="1:21">
      <c r="A595" s="165" t="s">
        <v>1024</v>
      </c>
      <c r="B595" s="165">
        <v>708</v>
      </c>
      <c r="C595" s="165" t="s">
        <v>1884</v>
      </c>
      <c r="D595" s="165">
        <v>8</v>
      </c>
      <c r="E595" s="165" t="s">
        <v>662</v>
      </c>
      <c r="F595" s="165" t="s">
        <v>2367</v>
      </c>
      <c r="G595" s="165">
        <v>14175</v>
      </c>
      <c r="H595" s="165"/>
      <c r="I595" s="165"/>
      <c r="J595" s="165"/>
      <c r="K595" s="165">
        <v>14175</v>
      </c>
      <c r="L595" s="165"/>
      <c r="M595" s="165"/>
      <c r="N595" s="165">
        <f t="shared" si="11"/>
        <v>0</v>
      </c>
      <c r="O595" s="165" t="s">
        <v>3173</v>
      </c>
      <c r="P595" s="165" t="s">
        <v>3174</v>
      </c>
      <c r="Q595" s="3">
        <v>14175</v>
      </c>
      <c r="R595" s="3">
        <v>14175</v>
      </c>
      <c r="S595" s="3"/>
    </row>
    <row r="596" spans="1:21" s="163" customFormat="1">
      <c r="A596" s="281" t="s">
        <v>664</v>
      </c>
      <c r="B596" s="281"/>
      <c r="C596" s="281" t="s">
        <v>1016</v>
      </c>
      <c r="D596" s="281">
        <v>1</v>
      </c>
      <c r="E596" s="281" t="s">
        <v>1283</v>
      </c>
      <c r="F596" s="281" t="s">
        <v>664</v>
      </c>
      <c r="G596" s="284"/>
      <c r="H596" s="284"/>
      <c r="I596" s="284"/>
      <c r="J596" s="281"/>
      <c r="K596" s="281"/>
      <c r="L596" s="281"/>
      <c r="M596" s="281"/>
      <c r="N596" s="281">
        <f t="shared" si="11"/>
        <v>0</v>
      </c>
      <c r="O596" s="281" t="s">
        <v>664</v>
      </c>
      <c r="P596" s="281" t="s">
        <v>664</v>
      </c>
      <c r="Q596" s="281">
        <v>63000</v>
      </c>
      <c r="R596" s="281">
        <v>63000</v>
      </c>
      <c r="S596" s="281"/>
      <c r="T596" s="284"/>
      <c r="U596" s="163" t="s">
        <v>665</v>
      </c>
    </row>
    <row r="597" spans="1:21" s="163" customFormat="1">
      <c r="A597" s="281" t="s">
        <v>666</v>
      </c>
      <c r="B597" s="281"/>
      <c r="C597" s="281" t="s">
        <v>1013</v>
      </c>
      <c r="D597" s="281">
        <v>1</v>
      </c>
      <c r="E597" s="281" t="s">
        <v>1283</v>
      </c>
      <c r="F597" s="281" t="s">
        <v>666</v>
      </c>
      <c r="G597" s="284"/>
      <c r="H597" s="284"/>
      <c r="I597" s="284"/>
      <c r="J597" s="281"/>
      <c r="K597" s="281"/>
      <c r="L597" s="281"/>
      <c r="M597" s="281"/>
      <c r="N597" s="281">
        <f t="shared" si="11"/>
        <v>0</v>
      </c>
      <c r="O597" s="281" t="s">
        <v>666</v>
      </c>
      <c r="P597" s="281" t="s">
        <v>666</v>
      </c>
      <c r="Q597" s="281">
        <v>63000</v>
      </c>
      <c r="R597" s="281">
        <v>63000</v>
      </c>
      <c r="S597" s="281"/>
      <c r="T597" s="284"/>
      <c r="U597" s="163" t="s">
        <v>665</v>
      </c>
    </row>
    <row r="598" spans="1:21">
      <c r="A598" s="165" t="s">
        <v>2190</v>
      </c>
      <c r="B598" s="165">
        <v>709</v>
      </c>
      <c r="C598" s="165" t="s">
        <v>2739</v>
      </c>
      <c r="D598" s="165">
        <v>1</v>
      </c>
      <c r="E598" s="165" t="s">
        <v>667</v>
      </c>
      <c r="F598" s="165" t="s">
        <v>2201</v>
      </c>
      <c r="G598" s="165">
        <v>11970</v>
      </c>
      <c r="H598" s="165"/>
      <c r="I598" s="165"/>
      <c r="J598" s="165">
        <v>11970</v>
      </c>
      <c r="K598" s="165"/>
      <c r="L598" s="165"/>
      <c r="M598" s="165"/>
      <c r="N598" s="165">
        <f t="shared" si="11"/>
        <v>0</v>
      </c>
      <c r="O598" s="165" t="s">
        <v>612</v>
      </c>
      <c r="P598" s="165" t="s">
        <v>2201</v>
      </c>
      <c r="Q598" s="3">
        <v>11970</v>
      </c>
      <c r="R598">
        <v>11970</v>
      </c>
    </row>
    <row r="599" spans="1:21">
      <c r="A599" s="165" t="s">
        <v>2190</v>
      </c>
      <c r="B599" s="165">
        <v>710</v>
      </c>
      <c r="C599" s="165" t="s">
        <v>2739</v>
      </c>
      <c r="D599" s="165">
        <v>2</v>
      </c>
      <c r="E599" s="165" t="s">
        <v>668</v>
      </c>
      <c r="F599" s="165" t="s">
        <v>2203</v>
      </c>
      <c r="G599" s="165">
        <v>11970</v>
      </c>
      <c r="H599" s="165"/>
      <c r="I599" s="165"/>
      <c r="J599" s="165">
        <v>11970</v>
      </c>
      <c r="K599" s="165"/>
      <c r="L599" s="165"/>
      <c r="M599" s="165"/>
      <c r="N599" s="165">
        <f t="shared" si="11"/>
        <v>0</v>
      </c>
      <c r="O599" s="165" t="s">
        <v>619</v>
      </c>
      <c r="P599" s="165" t="s">
        <v>620</v>
      </c>
      <c r="Q599" s="3">
        <v>11970</v>
      </c>
      <c r="R599" s="3">
        <v>11970</v>
      </c>
      <c r="S599" s="3"/>
    </row>
    <row r="600" spans="1:21">
      <c r="A600" s="165" t="s">
        <v>2190</v>
      </c>
      <c r="B600" s="165">
        <v>711</v>
      </c>
      <c r="C600" s="165" t="s">
        <v>2739</v>
      </c>
      <c r="D600" s="165">
        <v>3</v>
      </c>
      <c r="E600" s="165" t="s">
        <v>669</v>
      </c>
      <c r="F600" s="165" t="s">
        <v>2205</v>
      </c>
      <c r="G600" s="165">
        <v>11970</v>
      </c>
      <c r="H600" s="165"/>
      <c r="I600" s="165"/>
      <c r="J600" s="165"/>
      <c r="K600" s="165">
        <v>11970</v>
      </c>
      <c r="L600" s="165"/>
      <c r="M600" s="165"/>
      <c r="N600" s="165">
        <f t="shared" si="11"/>
        <v>0</v>
      </c>
      <c r="O600" s="165" t="s">
        <v>625</v>
      </c>
      <c r="P600" s="165" t="s">
        <v>626</v>
      </c>
      <c r="Q600" s="3">
        <v>11970</v>
      </c>
      <c r="R600" s="3">
        <v>11970</v>
      </c>
      <c r="S600" s="3"/>
    </row>
    <row r="601" spans="1:21">
      <c r="A601" s="165" t="s">
        <v>2190</v>
      </c>
      <c r="B601" s="165">
        <v>712</v>
      </c>
      <c r="C601" s="165" t="s">
        <v>2739</v>
      </c>
      <c r="D601" s="165">
        <v>4</v>
      </c>
      <c r="E601" s="165" t="s">
        <v>670</v>
      </c>
      <c r="F601" s="165" t="s">
        <v>1030</v>
      </c>
      <c r="G601" s="165">
        <v>11970</v>
      </c>
      <c r="H601" s="165"/>
      <c r="I601" s="165"/>
      <c r="J601" s="165"/>
      <c r="K601" s="165">
        <v>11970</v>
      </c>
      <c r="L601" s="165"/>
      <c r="M601" s="165"/>
      <c r="N601" s="165">
        <f t="shared" si="11"/>
        <v>0</v>
      </c>
      <c r="O601" s="165" t="s">
        <v>3161</v>
      </c>
      <c r="P601" s="165" t="s">
        <v>3162</v>
      </c>
      <c r="Q601" s="3">
        <v>11970</v>
      </c>
      <c r="R601">
        <v>11970</v>
      </c>
    </row>
    <row r="602" spans="1:21">
      <c r="A602" s="165" t="s">
        <v>2190</v>
      </c>
      <c r="B602" s="165">
        <v>713</v>
      </c>
      <c r="C602" s="165" t="s">
        <v>2739</v>
      </c>
      <c r="D602" s="165">
        <v>5</v>
      </c>
      <c r="E602" s="165" t="s">
        <v>671</v>
      </c>
      <c r="F602" s="165" t="s">
        <v>1031</v>
      </c>
      <c r="G602" s="165">
        <v>11970</v>
      </c>
      <c r="H602" s="165"/>
      <c r="I602" s="165"/>
      <c r="J602" s="165"/>
      <c r="K602" s="165">
        <v>11970</v>
      </c>
      <c r="L602" s="165"/>
      <c r="M602" s="165"/>
      <c r="N602" s="165">
        <f t="shared" si="11"/>
        <v>0</v>
      </c>
      <c r="O602" s="165" t="s">
        <v>3167</v>
      </c>
      <c r="P602" s="165" t="s">
        <v>3168</v>
      </c>
      <c r="Q602" s="3">
        <v>11970</v>
      </c>
      <c r="R602">
        <v>11970</v>
      </c>
    </row>
    <row r="603" spans="1:21">
      <c r="A603" s="165" t="s">
        <v>2190</v>
      </c>
      <c r="B603" s="165">
        <v>714</v>
      </c>
      <c r="C603" s="165" t="s">
        <v>2739</v>
      </c>
      <c r="D603" s="165">
        <v>6</v>
      </c>
      <c r="E603" s="165" t="s">
        <v>672</v>
      </c>
      <c r="F603" s="165" t="s">
        <v>1032</v>
      </c>
      <c r="G603" s="165">
        <v>11970</v>
      </c>
      <c r="H603" s="165"/>
      <c r="I603" s="165"/>
      <c r="J603" s="165"/>
      <c r="K603" s="165">
        <v>11970</v>
      </c>
      <c r="L603" s="165"/>
      <c r="M603" s="165"/>
      <c r="N603" s="165">
        <f t="shared" si="11"/>
        <v>0</v>
      </c>
      <c r="O603" s="165" t="s">
        <v>3169</v>
      </c>
      <c r="P603" s="165" t="s">
        <v>3170</v>
      </c>
      <c r="Q603" s="3">
        <v>11970</v>
      </c>
      <c r="R603">
        <v>11970</v>
      </c>
    </row>
    <row r="604" spans="1:21">
      <c r="A604" s="165" t="s">
        <v>2190</v>
      </c>
      <c r="B604" s="165">
        <v>715</v>
      </c>
      <c r="C604" s="165" t="s">
        <v>2739</v>
      </c>
      <c r="D604" s="165">
        <v>7</v>
      </c>
      <c r="E604" s="165" t="s">
        <v>673</v>
      </c>
      <c r="F604" s="165" t="s">
        <v>674</v>
      </c>
      <c r="G604" s="165">
        <v>11970</v>
      </c>
      <c r="H604" s="165"/>
      <c r="I604" s="165"/>
      <c r="J604" s="165"/>
      <c r="K604" s="165"/>
      <c r="L604" s="165">
        <v>11970</v>
      </c>
      <c r="M604" s="165"/>
      <c r="N604" s="165">
        <f t="shared" si="11"/>
        <v>0</v>
      </c>
      <c r="O604" s="165" t="s">
        <v>3938</v>
      </c>
      <c r="P604" s="165" t="s">
        <v>3939</v>
      </c>
      <c r="Q604" s="3">
        <v>11970</v>
      </c>
      <c r="R604">
        <v>11970</v>
      </c>
    </row>
    <row r="605" spans="1:21">
      <c r="A605" s="165" t="s">
        <v>2190</v>
      </c>
      <c r="B605" s="165">
        <v>716</v>
      </c>
      <c r="C605" s="165" t="s">
        <v>2739</v>
      </c>
      <c r="D605" s="165">
        <v>8</v>
      </c>
      <c r="E605" s="165" t="s">
        <v>675</v>
      </c>
      <c r="F605" s="165" t="s">
        <v>676</v>
      </c>
      <c r="G605" s="165">
        <v>11970</v>
      </c>
      <c r="H605" s="165"/>
      <c r="I605" s="165"/>
      <c r="J605" s="165"/>
      <c r="K605" s="165"/>
      <c r="L605" s="165">
        <v>11970</v>
      </c>
      <c r="M605" s="165"/>
      <c r="N605" s="165">
        <f t="shared" si="11"/>
        <v>0</v>
      </c>
      <c r="O605" s="165" t="s">
        <v>3940</v>
      </c>
      <c r="P605" s="165" t="s">
        <v>3941</v>
      </c>
      <c r="Q605" s="3">
        <v>11970</v>
      </c>
      <c r="R605">
        <v>11970</v>
      </c>
    </row>
    <row r="606" spans="1:21" s="163" customFormat="1">
      <c r="A606" s="281" t="s">
        <v>677</v>
      </c>
      <c r="B606" s="281"/>
      <c r="C606" s="281" t="s">
        <v>1532</v>
      </c>
      <c r="D606" s="281">
        <v>2</v>
      </c>
      <c r="E606" s="281" t="s">
        <v>1283</v>
      </c>
      <c r="F606" s="281" t="s">
        <v>677</v>
      </c>
      <c r="G606" s="284"/>
      <c r="H606" s="284"/>
      <c r="I606" s="284"/>
      <c r="J606" s="281"/>
      <c r="K606" s="281"/>
      <c r="L606" s="281"/>
      <c r="M606" s="281"/>
      <c r="N606" s="281">
        <f t="shared" si="11"/>
        <v>0</v>
      </c>
      <c r="O606" s="281" t="s">
        <v>677</v>
      </c>
      <c r="P606" s="281" t="s">
        <v>677</v>
      </c>
      <c r="Q606" s="281">
        <v>13500</v>
      </c>
      <c r="R606" s="281">
        <v>13485</v>
      </c>
      <c r="S606" s="281"/>
      <c r="T606" s="284">
        <v>15</v>
      </c>
    </row>
    <row r="607" spans="1:21">
      <c r="A607" s="165" t="s">
        <v>612</v>
      </c>
      <c r="B607" s="165">
        <v>717</v>
      </c>
      <c r="C607" s="165" t="s">
        <v>2041</v>
      </c>
      <c r="D607" s="165">
        <v>1</v>
      </c>
      <c r="E607" s="165" t="s">
        <v>678</v>
      </c>
      <c r="F607" s="165" t="s">
        <v>2190</v>
      </c>
      <c r="G607" s="165">
        <v>14175</v>
      </c>
      <c r="H607" s="165"/>
      <c r="I607" s="165"/>
      <c r="J607" s="165">
        <v>14175</v>
      </c>
      <c r="K607" s="165"/>
      <c r="L607" s="165"/>
      <c r="M607" s="165"/>
      <c r="N607" s="165">
        <f t="shared" si="11"/>
        <v>0</v>
      </c>
      <c r="O607" s="165" t="s">
        <v>633</v>
      </c>
      <c r="P607" s="165" t="s">
        <v>634</v>
      </c>
      <c r="Q607" s="3">
        <v>14175</v>
      </c>
      <c r="R607">
        <v>14175</v>
      </c>
    </row>
    <row r="608" spans="1:21">
      <c r="A608" s="165" t="s">
        <v>612</v>
      </c>
      <c r="B608" s="165">
        <v>718</v>
      </c>
      <c r="C608" s="165" t="s">
        <v>2041</v>
      </c>
      <c r="D608" s="165">
        <v>2</v>
      </c>
      <c r="E608" s="165" t="s">
        <v>679</v>
      </c>
      <c r="F608" s="165" t="s">
        <v>2192</v>
      </c>
      <c r="G608" s="165">
        <v>14175</v>
      </c>
      <c r="H608" s="165"/>
      <c r="I608" s="165"/>
      <c r="J608" s="165">
        <v>14175</v>
      </c>
      <c r="K608" s="165"/>
      <c r="L608" s="165"/>
      <c r="M608" s="165"/>
      <c r="N608" s="165">
        <f t="shared" si="11"/>
        <v>0</v>
      </c>
      <c r="O608" s="165" t="s">
        <v>613</v>
      </c>
      <c r="P608" s="165" t="s">
        <v>614</v>
      </c>
      <c r="Q608" s="3">
        <v>14175</v>
      </c>
      <c r="R608" s="3">
        <v>14175</v>
      </c>
      <c r="S608" s="3"/>
    </row>
    <row r="609" spans="1:21">
      <c r="A609" s="165" t="s">
        <v>612</v>
      </c>
      <c r="B609" s="165">
        <v>719</v>
      </c>
      <c r="C609" s="165" t="s">
        <v>2041</v>
      </c>
      <c r="D609" s="165">
        <v>3</v>
      </c>
      <c r="E609" s="165" t="s">
        <v>680</v>
      </c>
      <c r="F609" s="165" t="s">
        <v>2194</v>
      </c>
      <c r="G609" s="165">
        <v>14175</v>
      </c>
      <c r="H609" s="165"/>
      <c r="I609" s="165"/>
      <c r="J609" s="165"/>
      <c r="K609" s="165">
        <v>14175</v>
      </c>
      <c r="L609" s="165"/>
      <c r="M609" s="165"/>
      <c r="N609" s="165">
        <f t="shared" si="11"/>
        <v>0</v>
      </c>
      <c r="O609" s="165" t="s">
        <v>621</v>
      </c>
      <c r="P609" s="165" t="s">
        <v>622</v>
      </c>
      <c r="Q609" s="3">
        <v>14175</v>
      </c>
      <c r="R609" s="3">
        <v>14175</v>
      </c>
      <c r="S609" s="3"/>
    </row>
    <row r="610" spans="1:21">
      <c r="A610" s="165" t="s">
        <v>612</v>
      </c>
      <c r="B610" s="165">
        <v>720</v>
      </c>
      <c r="C610" s="165" t="s">
        <v>2041</v>
      </c>
      <c r="D610" s="165">
        <v>4</v>
      </c>
      <c r="E610" s="165" t="s">
        <v>681</v>
      </c>
      <c r="F610" s="165" t="s">
        <v>2325</v>
      </c>
      <c r="G610" s="165">
        <v>14175</v>
      </c>
      <c r="H610" s="165"/>
      <c r="I610" s="165"/>
      <c r="J610" s="165"/>
      <c r="K610" s="165">
        <v>14175</v>
      </c>
      <c r="L610" s="165"/>
      <c r="M610" s="165"/>
      <c r="N610" s="165">
        <f t="shared" si="11"/>
        <v>0</v>
      </c>
      <c r="O610" s="165" t="s">
        <v>3161</v>
      </c>
      <c r="P610" s="165" t="s">
        <v>3162</v>
      </c>
      <c r="Q610" s="3">
        <v>14175</v>
      </c>
      <c r="R610">
        <v>14175</v>
      </c>
    </row>
    <row r="611" spans="1:21">
      <c r="A611" s="165" t="s">
        <v>612</v>
      </c>
      <c r="B611" s="165">
        <v>721</v>
      </c>
      <c r="C611" s="165" t="s">
        <v>2041</v>
      </c>
      <c r="D611" s="165">
        <v>5</v>
      </c>
      <c r="E611" s="165" t="s">
        <v>682</v>
      </c>
      <c r="F611" s="165" t="s">
        <v>683</v>
      </c>
      <c r="G611" s="165">
        <v>14175</v>
      </c>
      <c r="H611" s="165"/>
      <c r="I611" s="165"/>
      <c r="J611" s="165"/>
      <c r="K611" s="165">
        <v>14175</v>
      </c>
      <c r="L611" s="165"/>
      <c r="M611" s="165"/>
      <c r="N611" s="165">
        <f t="shared" si="11"/>
        <v>0</v>
      </c>
      <c r="O611" s="165" t="s">
        <v>3164</v>
      </c>
      <c r="P611" s="165" t="s">
        <v>808</v>
      </c>
      <c r="Q611" s="3">
        <v>14175</v>
      </c>
      <c r="R611">
        <v>14175</v>
      </c>
    </row>
    <row r="612" spans="1:21">
      <c r="A612" s="165" t="s">
        <v>612</v>
      </c>
      <c r="B612" s="165">
        <v>722</v>
      </c>
      <c r="C612" s="165" t="s">
        <v>2041</v>
      </c>
      <c r="D612" s="165">
        <v>6</v>
      </c>
      <c r="E612" s="165" t="s">
        <v>684</v>
      </c>
      <c r="F612" s="164" t="s">
        <v>685</v>
      </c>
      <c r="G612" s="165">
        <v>14175</v>
      </c>
      <c r="H612" s="165"/>
      <c r="I612" s="165"/>
      <c r="J612" s="165"/>
      <c r="K612" s="165">
        <v>14175</v>
      </c>
      <c r="L612" s="165"/>
      <c r="M612" s="165"/>
      <c r="N612" s="165">
        <f t="shared" si="11"/>
        <v>0</v>
      </c>
      <c r="O612" s="165" t="s">
        <v>3165</v>
      </c>
      <c r="P612" s="165" t="s">
        <v>3166</v>
      </c>
      <c r="Q612" s="3">
        <v>14175</v>
      </c>
      <c r="R612">
        <v>14175</v>
      </c>
    </row>
    <row r="613" spans="1:21">
      <c r="A613" s="165" t="s">
        <v>612</v>
      </c>
      <c r="B613" s="165">
        <v>723</v>
      </c>
      <c r="C613" s="165" t="s">
        <v>2041</v>
      </c>
      <c r="D613" s="165">
        <v>7</v>
      </c>
      <c r="E613" s="165" t="s">
        <v>686</v>
      </c>
      <c r="F613" s="165" t="s">
        <v>687</v>
      </c>
      <c r="G613" s="165">
        <v>14175</v>
      </c>
      <c r="H613" s="165"/>
      <c r="I613" s="165"/>
      <c r="J613" s="165"/>
      <c r="K613" s="165"/>
      <c r="L613" s="165">
        <v>14175</v>
      </c>
      <c r="M613" s="165"/>
      <c r="N613" s="165">
        <f t="shared" si="11"/>
        <v>0</v>
      </c>
      <c r="O613" s="165" t="s">
        <v>3942</v>
      </c>
      <c r="P613" s="165" t="s">
        <v>3943</v>
      </c>
      <c r="Q613" s="3">
        <v>14175</v>
      </c>
      <c r="R613">
        <v>14175</v>
      </c>
    </row>
    <row r="614" spans="1:21">
      <c r="A614" s="165" t="s">
        <v>612</v>
      </c>
      <c r="B614" s="165">
        <v>724</v>
      </c>
      <c r="C614" s="165" t="s">
        <v>2041</v>
      </c>
      <c r="D614" s="165">
        <v>8</v>
      </c>
      <c r="E614" s="165" t="s">
        <v>688</v>
      </c>
      <c r="F614" s="165" t="s">
        <v>689</v>
      </c>
      <c r="G614" s="165">
        <v>14175</v>
      </c>
      <c r="H614" s="165"/>
      <c r="I614" s="165"/>
      <c r="J614" s="165"/>
      <c r="K614" s="165"/>
      <c r="L614" s="165">
        <v>14175</v>
      </c>
      <c r="M614" s="165"/>
      <c r="N614" s="165">
        <f t="shared" si="11"/>
        <v>0</v>
      </c>
      <c r="O614" s="165" t="s">
        <v>3944</v>
      </c>
      <c r="P614" s="165" t="s">
        <v>3945</v>
      </c>
      <c r="Q614" s="3">
        <v>14715</v>
      </c>
      <c r="R614">
        <v>14175</v>
      </c>
    </row>
    <row r="615" spans="1:21" s="283" customFormat="1">
      <c r="A615" s="279" t="s">
        <v>690</v>
      </c>
      <c r="B615" s="279"/>
      <c r="C615" s="279" t="s">
        <v>2060</v>
      </c>
      <c r="D615" s="279">
        <v>1</v>
      </c>
      <c r="E615" s="279" t="s">
        <v>1283</v>
      </c>
      <c r="F615" s="279" t="s">
        <v>690</v>
      </c>
      <c r="G615" s="280"/>
      <c r="H615" s="280"/>
      <c r="I615" s="280"/>
      <c r="J615" s="280"/>
      <c r="K615" s="280"/>
      <c r="L615" s="280"/>
      <c r="M615" s="280"/>
      <c r="N615" s="280">
        <f t="shared" si="11"/>
        <v>0</v>
      </c>
      <c r="O615" s="279" t="s">
        <v>690</v>
      </c>
      <c r="P615" s="279" t="s">
        <v>690</v>
      </c>
      <c r="Q615" s="279">
        <v>14175</v>
      </c>
      <c r="R615" s="279">
        <v>14175</v>
      </c>
      <c r="S615" s="279"/>
      <c r="T615" s="280">
        <v>0</v>
      </c>
      <c r="U615" s="282" t="s">
        <v>245</v>
      </c>
    </row>
    <row r="616" spans="1:21">
      <c r="A616" s="165" t="s">
        <v>1060</v>
      </c>
      <c r="B616" s="165">
        <v>725</v>
      </c>
      <c r="C616" s="165" t="s">
        <v>1300</v>
      </c>
      <c r="D616" s="165">
        <v>1</v>
      </c>
      <c r="E616" s="165" t="s">
        <v>691</v>
      </c>
      <c r="F616" s="165" t="s">
        <v>1061</v>
      </c>
      <c r="G616" s="165">
        <v>12600</v>
      </c>
      <c r="H616" s="165"/>
      <c r="I616" s="165"/>
      <c r="J616" s="165">
        <v>12600</v>
      </c>
      <c r="K616" s="165"/>
      <c r="L616" s="165"/>
      <c r="M616" s="165"/>
      <c r="N616" s="165">
        <f t="shared" si="11"/>
        <v>0</v>
      </c>
      <c r="O616" s="165" t="s">
        <v>619</v>
      </c>
      <c r="P616" s="165" t="s">
        <v>620</v>
      </c>
      <c r="Q616" s="3">
        <v>12600</v>
      </c>
      <c r="R616" s="3">
        <v>12600</v>
      </c>
      <c r="S616" s="3"/>
    </row>
    <row r="617" spans="1:21">
      <c r="A617" s="165" t="s">
        <v>1060</v>
      </c>
      <c r="B617" s="165">
        <v>726</v>
      </c>
      <c r="C617" s="165" t="s">
        <v>1300</v>
      </c>
      <c r="D617" s="165">
        <v>2</v>
      </c>
      <c r="E617" s="165" t="s">
        <v>692</v>
      </c>
      <c r="F617" s="165" t="s">
        <v>1062</v>
      </c>
      <c r="G617" s="165">
        <v>12600</v>
      </c>
      <c r="H617" s="165"/>
      <c r="I617" s="165"/>
      <c r="J617" s="165"/>
      <c r="K617" s="165">
        <v>12600</v>
      </c>
      <c r="L617" s="165"/>
      <c r="M617" s="165"/>
      <c r="N617" s="165">
        <f t="shared" si="11"/>
        <v>0</v>
      </c>
      <c r="O617" s="165" t="s">
        <v>625</v>
      </c>
      <c r="P617" s="165" t="s">
        <v>626</v>
      </c>
      <c r="Q617" s="3">
        <v>12600</v>
      </c>
      <c r="R617" s="3">
        <v>12600</v>
      </c>
      <c r="S617" s="3"/>
    </row>
    <row r="618" spans="1:21">
      <c r="A618" s="165" t="s">
        <v>1060</v>
      </c>
      <c r="B618" s="165">
        <v>727</v>
      </c>
      <c r="C618" s="165" t="s">
        <v>1300</v>
      </c>
      <c r="D618" s="165">
        <v>3</v>
      </c>
      <c r="E618" s="165" t="s">
        <v>693</v>
      </c>
      <c r="F618" s="165" t="s">
        <v>1063</v>
      </c>
      <c r="G618" s="165">
        <v>12600</v>
      </c>
      <c r="H618" s="165"/>
      <c r="I618" s="165"/>
      <c r="J618" s="165"/>
      <c r="K618" s="165">
        <v>12600</v>
      </c>
      <c r="L618" s="165"/>
      <c r="M618" s="165"/>
      <c r="N618" s="165">
        <f t="shared" si="11"/>
        <v>0</v>
      </c>
      <c r="O618" s="165" t="s">
        <v>683</v>
      </c>
      <c r="P618" s="165" t="s">
        <v>3163</v>
      </c>
      <c r="Q618" s="3">
        <v>12600</v>
      </c>
      <c r="R618">
        <v>12600</v>
      </c>
    </row>
    <row r="619" spans="1:21">
      <c r="A619" s="165" t="s">
        <v>1060</v>
      </c>
      <c r="B619" s="165">
        <v>728</v>
      </c>
      <c r="C619" s="165" t="s">
        <v>1300</v>
      </c>
      <c r="D619" s="165">
        <v>4</v>
      </c>
      <c r="E619" s="165" t="s">
        <v>694</v>
      </c>
      <c r="F619" s="165" t="s">
        <v>1064</v>
      </c>
      <c r="G619" s="165">
        <v>12600</v>
      </c>
      <c r="H619" s="165"/>
      <c r="I619" s="165"/>
      <c r="J619" s="165"/>
      <c r="K619" s="165">
        <v>12600</v>
      </c>
      <c r="L619" s="165"/>
      <c r="M619" s="165"/>
      <c r="N619" s="165">
        <f t="shared" si="11"/>
        <v>0</v>
      </c>
      <c r="O619" s="165" t="s">
        <v>3167</v>
      </c>
      <c r="P619" s="165" t="s">
        <v>3168</v>
      </c>
      <c r="Q619" s="3">
        <v>12600</v>
      </c>
      <c r="R619">
        <v>12600</v>
      </c>
    </row>
    <row r="620" spans="1:21">
      <c r="A620" s="165" t="s">
        <v>1060</v>
      </c>
      <c r="B620" s="165">
        <v>729</v>
      </c>
      <c r="C620" s="165" t="s">
        <v>1300</v>
      </c>
      <c r="D620" s="165">
        <v>5</v>
      </c>
      <c r="E620" s="165" t="s">
        <v>695</v>
      </c>
      <c r="F620" s="165" t="s">
        <v>1065</v>
      </c>
      <c r="G620" s="165">
        <v>12600</v>
      </c>
      <c r="H620" s="165"/>
      <c r="I620" s="165"/>
      <c r="J620" s="165"/>
      <c r="K620" s="165">
        <v>12600</v>
      </c>
      <c r="L620" s="165"/>
      <c r="M620" s="165"/>
      <c r="N620" s="165">
        <f t="shared" si="11"/>
        <v>0</v>
      </c>
      <c r="O620" s="165" t="s">
        <v>3169</v>
      </c>
      <c r="P620" s="165" t="s">
        <v>3170</v>
      </c>
      <c r="Q620" s="3">
        <v>12600</v>
      </c>
      <c r="R620">
        <v>12600</v>
      </c>
    </row>
    <row r="621" spans="1:21">
      <c r="A621" s="165" t="s">
        <v>1060</v>
      </c>
      <c r="B621" s="165">
        <v>730</v>
      </c>
      <c r="C621" s="165" t="s">
        <v>1300</v>
      </c>
      <c r="D621" s="165">
        <v>6</v>
      </c>
      <c r="E621" s="165" t="s">
        <v>696</v>
      </c>
      <c r="F621" s="165" t="s">
        <v>1066</v>
      </c>
      <c r="G621" s="165">
        <v>12600</v>
      </c>
      <c r="H621" s="165"/>
      <c r="I621" s="165"/>
      <c r="J621" s="165"/>
      <c r="K621" s="165"/>
      <c r="L621" s="165">
        <v>12600</v>
      </c>
      <c r="M621" s="165"/>
      <c r="N621" s="165">
        <f t="shared" si="11"/>
        <v>0</v>
      </c>
      <c r="O621" s="165" t="s">
        <v>3934</v>
      </c>
      <c r="P621" s="165" t="s">
        <v>3935</v>
      </c>
      <c r="Q621" s="3">
        <v>12600</v>
      </c>
      <c r="R621">
        <v>12600</v>
      </c>
    </row>
    <row r="622" spans="1:21">
      <c r="A622" s="165" t="s">
        <v>1060</v>
      </c>
      <c r="B622" s="165">
        <v>731</v>
      </c>
      <c r="C622" s="165" t="s">
        <v>1300</v>
      </c>
      <c r="D622" s="165">
        <v>7</v>
      </c>
      <c r="E622" s="165" t="s">
        <v>697</v>
      </c>
      <c r="F622" s="165" t="s">
        <v>698</v>
      </c>
      <c r="G622" s="165">
        <v>12600</v>
      </c>
      <c r="H622" s="165"/>
      <c r="I622" s="165"/>
      <c r="J622" s="165"/>
      <c r="K622" s="165"/>
      <c r="L622" s="165">
        <v>12600</v>
      </c>
      <c r="M622" s="165"/>
      <c r="N622" s="165">
        <f t="shared" si="11"/>
        <v>0</v>
      </c>
      <c r="O622" s="165" t="s">
        <v>3946</v>
      </c>
      <c r="P622" s="165" t="s">
        <v>3947</v>
      </c>
      <c r="Q622" s="3">
        <v>12600</v>
      </c>
      <c r="R622">
        <v>12600</v>
      </c>
    </row>
    <row r="623" spans="1:21">
      <c r="A623" s="165" t="s">
        <v>1060</v>
      </c>
      <c r="B623" s="165">
        <v>732</v>
      </c>
      <c r="C623" s="165" t="s">
        <v>1300</v>
      </c>
      <c r="D623" s="165">
        <v>8</v>
      </c>
      <c r="E623" s="165" t="s">
        <v>699</v>
      </c>
      <c r="F623" s="165" t="s">
        <v>700</v>
      </c>
      <c r="G623" s="165">
        <v>12600</v>
      </c>
      <c r="H623" s="165"/>
      <c r="I623" s="165"/>
      <c r="J623" s="165"/>
      <c r="K623" s="165"/>
      <c r="L623" s="165">
        <v>12600</v>
      </c>
      <c r="M623" s="165"/>
      <c r="N623" s="165">
        <f t="shared" si="11"/>
        <v>0</v>
      </c>
      <c r="O623" s="165" t="s">
        <v>3948</v>
      </c>
      <c r="P623" s="165" t="s">
        <v>3949</v>
      </c>
      <c r="Q623" s="3">
        <v>12600</v>
      </c>
      <c r="R623">
        <v>12600</v>
      </c>
    </row>
    <row r="624" spans="1:21" s="163" customFormat="1">
      <c r="A624" s="281" t="s">
        <v>634</v>
      </c>
      <c r="B624" s="281"/>
      <c r="C624" s="281" t="s">
        <v>2421</v>
      </c>
      <c r="D624" s="281">
        <v>1</v>
      </c>
      <c r="E624" s="281" t="s">
        <v>1283</v>
      </c>
      <c r="F624" s="281" t="s">
        <v>634</v>
      </c>
      <c r="G624" s="284"/>
      <c r="H624" s="284"/>
      <c r="I624" s="284"/>
      <c r="J624" s="281"/>
      <c r="K624" s="281"/>
      <c r="L624" s="281"/>
      <c r="M624" s="281"/>
      <c r="N624" s="281">
        <f t="shared" si="11"/>
        <v>0</v>
      </c>
      <c r="O624" s="281" t="s">
        <v>634</v>
      </c>
      <c r="P624" s="281" t="s">
        <v>634</v>
      </c>
      <c r="Q624" s="281">
        <v>13230</v>
      </c>
      <c r="R624" s="281">
        <v>13220</v>
      </c>
      <c r="S624" s="281"/>
      <c r="T624" s="284">
        <v>10</v>
      </c>
    </row>
    <row r="625" spans="1:21" s="163" customFormat="1">
      <c r="A625" s="281" t="s">
        <v>2234</v>
      </c>
      <c r="B625" s="281"/>
      <c r="C625" s="281" t="s">
        <v>3825</v>
      </c>
      <c r="D625" s="281">
        <v>3</v>
      </c>
      <c r="E625" s="281" t="s">
        <v>1283</v>
      </c>
      <c r="F625" s="281" t="s">
        <v>2234</v>
      </c>
      <c r="G625" s="284"/>
      <c r="H625" s="284"/>
      <c r="I625" s="284"/>
      <c r="J625" s="281"/>
      <c r="K625" s="281"/>
      <c r="L625" s="281"/>
      <c r="M625" s="281"/>
      <c r="N625" s="281">
        <f t="shared" si="11"/>
        <v>0</v>
      </c>
      <c r="O625" s="281" t="s">
        <v>2234</v>
      </c>
      <c r="P625" s="281" t="s">
        <v>2234</v>
      </c>
      <c r="Q625" s="281">
        <v>14175</v>
      </c>
      <c r="R625" s="281">
        <v>14145</v>
      </c>
      <c r="S625" s="281"/>
      <c r="T625" s="284">
        <v>30</v>
      </c>
    </row>
    <row r="626" spans="1:21">
      <c r="A626" s="165" t="s">
        <v>2332</v>
      </c>
      <c r="B626" s="165">
        <v>733</v>
      </c>
      <c r="C626" s="165" t="s">
        <v>701</v>
      </c>
      <c r="D626" s="165">
        <v>1</v>
      </c>
      <c r="E626" s="165" t="s">
        <v>702</v>
      </c>
      <c r="F626" s="165" t="s">
        <v>2363</v>
      </c>
      <c r="G626" s="165">
        <v>20475</v>
      </c>
      <c r="H626" s="165"/>
      <c r="I626" s="165"/>
      <c r="J626" s="165">
        <v>20475</v>
      </c>
      <c r="K626" s="165"/>
      <c r="L626" s="165"/>
      <c r="M626" s="165"/>
      <c r="N626" s="165">
        <f t="shared" si="11"/>
        <v>0</v>
      </c>
      <c r="O626" s="165" t="s">
        <v>2164</v>
      </c>
      <c r="P626" s="165" t="s">
        <v>1025</v>
      </c>
      <c r="Q626" s="3">
        <v>20475</v>
      </c>
      <c r="R626" s="3">
        <v>20475</v>
      </c>
      <c r="S626" s="3"/>
      <c r="U626" s="271" t="s">
        <v>2740</v>
      </c>
    </row>
    <row r="627" spans="1:21">
      <c r="A627" s="165" t="s">
        <v>2332</v>
      </c>
      <c r="B627" s="165">
        <v>734</v>
      </c>
      <c r="C627" s="165" t="s">
        <v>701</v>
      </c>
      <c r="D627" s="165">
        <v>2</v>
      </c>
      <c r="E627" s="165" t="s">
        <v>703</v>
      </c>
      <c r="F627" s="165" t="s">
        <v>2364</v>
      </c>
      <c r="G627" s="165">
        <v>20475</v>
      </c>
      <c r="H627" s="165"/>
      <c r="I627" s="165"/>
      <c r="J627" s="165">
        <v>20475</v>
      </c>
      <c r="K627" s="165"/>
      <c r="L627" s="165"/>
      <c r="M627" s="165"/>
      <c r="N627" s="165">
        <f t="shared" si="11"/>
        <v>0</v>
      </c>
      <c r="O627" s="165" t="s">
        <v>628</v>
      </c>
      <c r="P627" s="165" t="s">
        <v>629</v>
      </c>
      <c r="Q627" s="3">
        <v>20475</v>
      </c>
      <c r="R627" s="3">
        <v>20475</v>
      </c>
      <c r="S627" s="3"/>
      <c r="U627" s="271" t="s">
        <v>2740</v>
      </c>
    </row>
    <row r="628" spans="1:21">
      <c r="A628" s="165" t="s">
        <v>2332</v>
      </c>
      <c r="B628" s="165">
        <v>735</v>
      </c>
      <c r="C628" s="165" t="s">
        <v>701</v>
      </c>
      <c r="D628" s="165">
        <v>3</v>
      </c>
      <c r="E628" s="165" t="s">
        <v>704</v>
      </c>
      <c r="F628" s="165" t="s">
        <v>2365</v>
      </c>
      <c r="G628" s="165"/>
      <c r="H628" s="165"/>
      <c r="I628" s="165">
        <v>20475</v>
      </c>
      <c r="J628" s="165"/>
      <c r="K628" s="165">
        <v>20475</v>
      </c>
      <c r="L628" s="165"/>
      <c r="M628" s="165"/>
      <c r="N628" s="165">
        <f t="shared" si="11"/>
        <v>0</v>
      </c>
      <c r="O628" s="165" t="s">
        <v>625</v>
      </c>
      <c r="P628" s="165" t="s">
        <v>626</v>
      </c>
      <c r="Q628" s="3">
        <v>20475</v>
      </c>
      <c r="R628" s="3">
        <v>20475</v>
      </c>
      <c r="S628" s="3"/>
      <c r="U628" s="271" t="s">
        <v>2740</v>
      </c>
    </row>
    <row r="629" spans="1:21">
      <c r="A629" s="165" t="s">
        <v>2332</v>
      </c>
      <c r="B629" s="165">
        <v>736</v>
      </c>
      <c r="C629" s="165" t="s">
        <v>701</v>
      </c>
      <c r="D629" s="165">
        <v>4</v>
      </c>
      <c r="E629" s="165" t="s">
        <v>705</v>
      </c>
      <c r="F629" s="165" t="s">
        <v>2366</v>
      </c>
      <c r="G629" s="165"/>
      <c r="H629" s="165"/>
      <c r="I629" s="165">
        <v>20475</v>
      </c>
      <c r="J629" s="165"/>
      <c r="K629" s="165">
        <v>20475</v>
      </c>
      <c r="L629" s="165"/>
      <c r="M629" s="165"/>
      <c r="N629" s="165">
        <f t="shared" si="11"/>
        <v>0</v>
      </c>
      <c r="O629" s="165" t="s">
        <v>683</v>
      </c>
      <c r="P629" s="165" t="s">
        <v>3163</v>
      </c>
      <c r="Q629" s="3">
        <v>20475</v>
      </c>
      <c r="R629" s="3">
        <v>20475</v>
      </c>
      <c r="S629" s="3"/>
      <c r="U629" s="271" t="s">
        <v>2740</v>
      </c>
    </row>
    <row r="630" spans="1:21">
      <c r="A630" s="165" t="s">
        <v>2332</v>
      </c>
      <c r="B630" s="165">
        <v>737</v>
      </c>
      <c r="C630" s="165" t="s">
        <v>701</v>
      </c>
      <c r="D630" s="165">
        <v>5</v>
      </c>
      <c r="E630" s="165" t="s">
        <v>706</v>
      </c>
      <c r="F630" s="165" t="s">
        <v>2367</v>
      </c>
      <c r="G630" s="165"/>
      <c r="H630" s="165"/>
      <c r="I630" s="165">
        <v>20475</v>
      </c>
      <c r="J630" s="165"/>
      <c r="K630" s="165">
        <v>20475</v>
      </c>
      <c r="L630" s="165"/>
      <c r="M630" s="165"/>
      <c r="N630" s="165">
        <f t="shared" si="11"/>
        <v>0</v>
      </c>
      <c r="O630" s="165" t="s">
        <v>3167</v>
      </c>
      <c r="P630" s="165" t="s">
        <v>3168</v>
      </c>
      <c r="Q630" s="3">
        <v>20475</v>
      </c>
      <c r="R630" s="3">
        <v>20475</v>
      </c>
      <c r="S630" s="3"/>
      <c r="U630" s="271" t="s">
        <v>2740</v>
      </c>
    </row>
    <row r="631" spans="1:21">
      <c r="A631" s="165" t="s">
        <v>2332</v>
      </c>
      <c r="B631" s="165">
        <v>738</v>
      </c>
      <c r="C631" s="165" t="s">
        <v>701</v>
      </c>
      <c r="D631" s="165">
        <v>6</v>
      </c>
      <c r="E631" s="165" t="s">
        <v>707</v>
      </c>
      <c r="F631" s="165" t="s">
        <v>708</v>
      </c>
      <c r="G631" s="165"/>
      <c r="H631" s="165"/>
      <c r="I631" s="165">
        <v>20475</v>
      </c>
      <c r="J631" s="165"/>
      <c r="K631" s="165">
        <v>20475</v>
      </c>
      <c r="L631" s="165"/>
      <c r="M631" s="165"/>
      <c r="N631" s="165">
        <f t="shared" si="11"/>
        <v>0</v>
      </c>
      <c r="O631" s="165" t="s">
        <v>3169</v>
      </c>
      <c r="P631" s="165" t="s">
        <v>3170</v>
      </c>
      <c r="Q631" s="3">
        <v>20475</v>
      </c>
      <c r="R631" s="3">
        <v>20475</v>
      </c>
      <c r="S631" s="3"/>
      <c r="U631" s="271" t="s">
        <v>2740</v>
      </c>
    </row>
    <row r="632" spans="1:21">
      <c r="A632" s="165" t="s">
        <v>2332</v>
      </c>
      <c r="B632" s="165">
        <v>739</v>
      </c>
      <c r="C632" s="165" t="s">
        <v>701</v>
      </c>
      <c r="D632" s="165">
        <v>7</v>
      </c>
      <c r="E632" s="165" t="s">
        <v>709</v>
      </c>
      <c r="F632" s="165" t="s">
        <v>659</v>
      </c>
      <c r="G632" s="165">
        <v>20475</v>
      </c>
      <c r="H632" s="165"/>
      <c r="I632" s="165"/>
      <c r="J632" s="165"/>
      <c r="K632" s="165"/>
      <c r="L632" s="165">
        <v>20475</v>
      </c>
      <c r="M632" s="165"/>
      <c r="N632" s="165">
        <f t="shared" si="11"/>
        <v>0</v>
      </c>
      <c r="O632" s="165" t="s">
        <v>3934</v>
      </c>
      <c r="P632" s="165" t="s">
        <v>3935</v>
      </c>
      <c r="Q632" s="3">
        <v>20475</v>
      </c>
      <c r="R632" s="3">
        <v>20475</v>
      </c>
      <c r="U632" s="271" t="s">
        <v>2740</v>
      </c>
    </row>
    <row r="633" spans="1:21">
      <c r="A633" s="165" t="s">
        <v>2332</v>
      </c>
      <c r="B633" s="165">
        <v>740</v>
      </c>
      <c r="C633" s="165" t="s">
        <v>701</v>
      </c>
      <c r="D633" s="165">
        <v>8</v>
      </c>
      <c r="E633" s="165" t="s">
        <v>710</v>
      </c>
      <c r="F633" s="165" t="s">
        <v>711</v>
      </c>
      <c r="G633" s="165">
        <v>20475</v>
      </c>
      <c r="H633" s="165"/>
      <c r="I633" s="165"/>
      <c r="J633" s="165"/>
      <c r="K633" s="165"/>
      <c r="L633" s="165">
        <v>20475</v>
      </c>
      <c r="M633" s="165"/>
      <c r="N633" s="165">
        <f t="shared" si="11"/>
        <v>0</v>
      </c>
      <c r="O633" s="165" t="s">
        <v>3950</v>
      </c>
      <c r="P633" s="165" t="s">
        <v>3951</v>
      </c>
      <c r="Q633" s="3">
        <v>20475</v>
      </c>
      <c r="R633" s="3">
        <v>20475</v>
      </c>
      <c r="U633" s="271" t="s">
        <v>2740</v>
      </c>
    </row>
    <row r="634" spans="1:21" s="5" customFormat="1">
      <c r="A634" s="94" t="s">
        <v>1025</v>
      </c>
      <c r="B634" s="165">
        <v>741</v>
      </c>
      <c r="C634" s="94" t="s">
        <v>1232</v>
      </c>
      <c r="D634" s="94">
        <v>10</v>
      </c>
      <c r="E634" s="94" t="s">
        <v>712</v>
      </c>
      <c r="F634" s="94" t="s">
        <v>2164</v>
      </c>
      <c r="G634" s="94">
        <v>16380</v>
      </c>
      <c r="H634" s="94"/>
      <c r="I634" s="94"/>
      <c r="J634" s="94">
        <v>16380</v>
      </c>
      <c r="K634" s="94"/>
      <c r="L634" s="94"/>
      <c r="M634" s="94"/>
      <c r="N634" s="94">
        <f t="shared" si="11"/>
        <v>0</v>
      </c>
      <c r="O634" s="94" t="s">
        <v>613</v>
      </c>
      <c r="P634" s="94" t="s">
        <v>614</v>
      </c>
      <c r="Q634" s="93">
        <v>16380</v>
      </c>
      <c r="R634" s="4">
        <v>16380</v>
      </c>
      <c r="S634" s="4"/>
      <c r="T634" s="93"/>
    </row>
    <row r="635" spans="1:21" s="163" customFormat="1">
      <c r="A635" s="281" t="s">
        <v>537</v>
      </c>
      <c r="B635" s="281"/>
      <c r="C635" s="281" t="s">
        <v>1532</v>
      </c>
      <c r="D635" s="281">
        <v>3</v>
      </c>
      <c r="E635" s="281" t="s">
        <v>1283</v>
      </c>
      <c r="F635" s="281" t="s">
        <v>537</v>
      </c>
      <c r="G635" s="284"/>
      <c r="H635" s="284"/>
      <c r="I635" s="284"/>
      <c r="J635" s="281"/>
      <c r="K635" s="281"/>
      <c r="L635" s="281"/>
      <c r="M635" s="281"/>
      <c r="N635" s="281">
        <f t="shared" si="11"/>
        <v>0</v>
      </c>
      <c r="O635" s="281" t="s">
        <v>537</v>
      </c>
      <c r="P635" s="281" t="s">
        <v>537</v>
      </c>
      <c r="Q635" s="281">
        <v>13500</v>
      </c>
      <c r="R635" s="281">
        <v>13485</v>
      </c>
      <c r="S635" s="281"/>
      <c r="T635" s="284">
        <v>15</v>
      </c>
    </row>
    <row r="636" spans="1:21">
      <c r="A636" s="165" t="s">
        <v>713</v>
      </c>
      <c r="B636" s="165">
        <v>742</v>
      </c>
      <c r="C636" s="165" t="s">
        <v>1307</v>
      </c>
      <c r="D636" s="165">
        <v>1</v>
      </c>
      <c r="E636" s="165" t="s">
        <v>714</v>
      </c>
      <c r="F636" s="165" t="s">
        <v>715</v>
      </c>
      <c r="G636" s="165">
        <v>14175</v>
      </c>
      <c r="H636" s="165"/>
      <c r="I636" s="165"/>
      <c r="J636" s="165">
        <v>14175</v>
      </c>
      <c r="K636" s="165"/>
      <c r="L636" s="165"/>
      <c r="M636" s="165"/>
      <c r="N636" s="165">
        <f t="shared" si="11"/>
        <v>0</v>
      </c>
      <c r="O636" s="165" t="s">
        <v>619</v>
      </c>
      <c r="P636" s="165" t="s">
        <v>620</v>
      </c>
      <c r="Q636" s="3">
        <v>14175</v>
      </c>
      <c r="R636" s="3">
        <v>14175</v>
      </c>
      <c r="S636" s="3"/>
    </row>
    <row r="637" spans="1:21">
      <c r="A637" s="165" t="s">
        <v>713</v>
      </c>
      <c r="B637" s="165">
        <v>743</v>
      </c>
      <c r="C637" s="165" t="s">
        <v>1307</v>
      </c>
      <c r="D637" s="165">
        <v>2</v>
      </c>
      <c r="E637" s="165" t="s">
        <v>716</v>
      </c>
      <c r="F637" s="165" t="s">
        <v>717</v>
      </c>
      <c r="G637" s="165">
        <v>14175</v>
      </c>
      <c r="H637" s="165"/>
      <c r="I637" s="165"/>
      <c r="J637" s="165"/>
      <c r="K637" s="165">
        <v>14175</v>
      </c>
      <c r="L637" s="165"/>
      <c r="M637" s="165"/>
      <c r="N637" s="165">
        <f t="shared" si="11"/>
        <v>0</v>
      </c>
      <c r="O637" s="165" t="s">
        <v>621</v>
      </c>
      <c r="P637" s="165" t="s">
        <v>622</v>
      </c>
      <c r="Q637" s="3">
        <v>14175</v>
      </c>
      <c r="R637" s="3">
        <v>14175</v>
      </c>
      <c r="S637" s="3"/>
    </row>
    <row r="638" spans="1:21">
      <c r="A638" s="165" t="s">
        <v>713</v>
      </c>
      <c r="B638" s="165">
        <v>744</v>
      </c>
      <c r="C638" s="165" t="s">
        <v>1307</v>
      </c>
      <c r="D638" s="165">
        <v>3</v>
      </c>
      <c r="E638" s="165" t="s">
        <v>718</v>
      </c>
      <c r="F638" s="165" t="s">
        <v>719</v>
      </c>
      <c r="G638" s="165">
        <v>14175</v>
      </c>
      <c r="H638" s="165"/>
      <c r="I638" s="165"/>
      <c r="J638" s="165"/>
      <c r="K638" s="165">
        <v>14175</v>
      </c>
      <c r="L638" s="165"/>
      <c r="M638" s="165"/>
      <c r="N638" s="165">
        <f t="shared" si="11"/>
        <v>0</v>
      </c>
      <c r="O638" s="165" t="s">
        <v>3161</v>
      </c>
      <c r="P638" s="165" t="s">
        <v>3162</v>
      </c>
      <c r="Q638" s="3">
        <v>14175</v>
      </c>
      <c r="R638">
        <v>14175</v>
      </c>
    </row>
    <row r="639" spans="1:21">
      <c r="A639" s="165" t="s">
        <v>713</v>
      </c>
      <c r="B639" s="165">
        <v>745</v>
      </c>
      <c r="C639" s="165" t="s">
        <v>1307</v>
      </c>
      <c r="D639" s="165">
        <v>4</v>
      </c>
      <c r="E639" s="165" t="s">
        <v>720</v>
      </c>
      <c r="F639" s="165" t="s">
        <v>721</v>
      </c>
      <c r="G639" s="165">
        <v>14175</v>
      </c>
      <c r="H639" s="165"/>
      <c r="I639" s="165"/>
      <c r="J639" s="165"/>
      <c r="K639" s="165">
        <v>14175</v>
      </c>
      <c r="L639" s="165"/>
      <c r="M639" s="165"/>
      <c r="N639" s="165">
        <f t="shared" si="11"/>
        <v>0</v>
      </c>
      <c r="O639" s="165" t="s">
        <v>3164</v>
      </c>
      <c r="P639" s="165" t="s">
        <v>808</v>
      </c>
      <c r="Q639" s="3">
        <v>14175</v>
      </c>
      <c r="R639">
        <v>14175</v>
      </c>
    </row>
    <row r="640" spans="1:21">
      <c r="A640" s="165" t="s">
        <v>713</v>
      </c>
      <c r="B640" s="165">
        <v>746</v>
      </c>
      <c r="C640" s="165" t="s">
        <v>1307</v>
      </c>
      <c r="D640" s="165">
        <v>5</v>
      </c>
      <c r="E640" s="165" t="s">
        <v>722</v>
      </c>
      <c r="F640" s="165" t="s">
        <v>723</v>
      </c>
      <c r="G640" s="165">
        <v>14175</v>
      </c>
      <c r="H640" s="165"/>
      <c r="I640" s="165"/>
      <c r="J640" s="165"/>
      <c r="K640" s="165">
        <v>14175</v>
      </c>
      <c r="L640" s="165"/>
      <c r="M640" s="165"/>
      <c r="N640" s="165">
        <f t="shared" si="11"/>
        <v>0</v>
      </c>
      <c r="O640" s="165" t="s">
        <v>3165</v>
      </c>
      <c r="P640" s="165" t="s">
        <v>3166</v>
      </c>
      <c r="Q640" s="3">
        <v>14175</v>
      </c>
      <c r="R640">
        <v>14175</v>
      </c>
    </row>
    <row r="641" spans="1:21">
      <c r="A641" s="165" t="s">
        <v>713</v>
      </c>
      <c r="B641" s="165">
        <v>747</v>
      </c>
      <c r="C641" s="165" t="s">
        <v>1307</v>
      </c>
      <c r="D641" s="165">
        <v>6</v>
      </c>
      <c r="E641" s="165" t="s">
        <v>724</v>
      </c>
      <c r="F641" s="165" t="s">
        <v>725</v>
      </c>
      <c r="G641" s="165">
        <v>14175</v>
      </c>
      <c r="H641" s="165"/>
      <c r="I641" s="165"/>
      <c r="J641" s="165"/>
      <c r="K641" s="165"/>
      <c r="L641" s="165">
        <v>14175</v>
      </c>
      <c r="M641" s="165"/>
      <c r="N641" s="165">
        <f t="shared" ref="N641:N658" si="12">G641+H641+I641-K641-J641-L641</f>
        <v>0</v>
      </c>
      <c r="O641" s="165" t="s">
        <v>3942</v>
      </c>
      <c r="P641" s="165" t="s">
        <v>3943</v>
      </c>
      <c r="Q641" s="3">
        <v>14175</v>
      </c>
      <c r="R641">
        <v>14175</v>
      </c>
    </row>
    <row r="642" spans="1:21">
      <c r="A642" s="165" t="s">
        <v>713</v>
      </c>
      <c r="B642" s="165">
        <v>748</v>
      </c>
      <c r="C642" s="165" t="s">
        <v>1307</v>
      </c>
      <c r="D642" s="165">
        <v>7</v>
      </c>
      <c r="E642" s="165" t="s">
        <v>726</v>
      </c>
      <c r="F642" s="165" t="s">
        <v>727</v>
      </c>
      <c r="G642" s="165">
        <v>14175</v>
      </c>
      <c r="H642" s="165"/>
      <c r="I642" s="165"/>
      <c r="J642" s="165"/>
      <c r="K642" s="165"/>
      <c r="L642" s="165">
        <v>14175</v>
      </c>
      <c r="M642" s="165"/>
      <c r="N642" s="165">
        <f t="shared" si="12"/>
        <v>0</v>
      </c>
      <c r="O642" s="165" t="s">
        <v>3944</v>
      </c>
      <c r="P642" s="165" t="s">
        <v>3945</v>
      </c>
      <c r="Q642" s="3">
        <v>14175</v>
      </c>
      <c r="R642">
        <v>14175</v>
      </c>
    </row>
    <row r="643" spans="1:21">
      <c r="A643" s="165" t="s">
        <v>713</v>
      </c>
      <c r="B643" s="165">
        <v>749</v>
      </c>
      <c r="C643" s="165" t="s">
        <v>1307</v>
      </c>
      <c r="D643" s="165">
        <v>8</v>
      </c>
      <c r="E643" s="165" t="s">
        <v>728</v>
      </c>
      <c r="F643" s="165" t="s">
        <v>729</v>
      </c>
      <c r="G643" s="165">
        <v>14175</v>
      </c>
      <c r="H643" s="165"/>
      <c r="I643" s="165"/>
      <c r="J643" s="165"/>
      <c r="K643" s="165"/>
      <c r="L643" s="165">
        <v>14175</v>
      </c>
      <c r="M643" s="165"/>
      <c r="N643" s="165">
        <f t="shared" si="12"/>
        <v>0</v>
      </c>
      <c r="O643" s="165" t="s">
        <v>3952</v>
      </c>
      <c r="P643" s="165" t="s">
        <v>3953</v>
      </c>
      <c r="Q643" s="3">
        <v>14175</v>
      </c>
      <c r="R643">
        <v>14175</v>
      </c>
    </row>
    <row r="644" spans="1:21" s="283" customFormat="1">
      <c r="A644" s="279" t="s">
        <v>730</v>
      </c>
      <c r="B644" s="279"/>
      <c r="C644" s="279" t="s">
        <v>2060</v>
      </c>
      <c r="D644" s="279">
        <v>2</v>
      </c>
      <c r="E644" s="279" t="s">
        <v>1283</v>
      </c>
      <c r="F644" s="279" t="s">
        <v>730</v>
      </c>
      <c r="G644" s="280"/>
      <c r="H644" s="280"/>
      <c r="I644" s="280"/>
      <c r="J644" s="280"/>
      <c r="K644" s="280"/>
      <c r="L644" s="280"/>
      <c r="M644" s="280"/>
      <c r="N644" s="280">
        <f t="shared" si="12"/>
        <v>0</v>
      </c>
      <c r="O644" s="279" t="s">
        <v>730</v>
      </c>
      <c r="P644" s="279" t="s">
        <v>730</v>
      </c>
      <c r="Q644" s="279">
        <v>14175</v>
      </c>
      <c r="R644" s="279">
        <v>14175</v>
      </c>
      <c r="S644" s="279"/>
      <c r="T644" s="280">
        <v>0</v>
      </c>
      <c r="U644" s="282" t="s">
        <v>245</v>
      </c>
    </row>
    <row r="645" spans="1:21">
      <c r="A645" s="165" t="s">
        <v>731</v>
      </c>
      <c r="B645" s="165">
        <v>750</v>
      </c>
      <c r="C645" s="165" t="s">
        <v>701</v>
      </c>
      <c r="D645" s="165">
        <v>1</v>
      </c>
      <c r="E645" s="165" t="s">
        <v>732</v>
      </c>
      <c r="F645" s="165" t="s">
        <v>1061</v>
      </c>
      <c r="G645" s="165">
        <v>84000</v>
      </c>
      <c r="H645" s="165"/>
      <c r="I645" s="165"/>
      <c r="J645" s="165">
        <v>84000</v>
      </c>
      <c r="K645" s="165"/>
      <c r="L645" s="165"/>
      <c r="M645" s="165"/>
      <c r="N645" s="165">
        <f t="shared" si="12"/>
        <v>0</v>
      </c>
      <c r="O645" s="165" t="s">
        <v>619</v>
      </c>
      <c r="P645" s="165" t="s">
        <v>620</v>
      </c>
      <c r="Q645" s="3">
        <v>84000</v>
      </c>
      <c r="R645" s="3">
        <v>84000</v>
      </c>
      <c r="S645" s="3"/>
      <c r="U645" t="s">
        <v>1038</v>
      </c>
    </row>
    <row r="646" spans="1:21">
      <c r="A646" s="165" t="s">
        <v>731</v>
      </c>
      <c r="B646" s="165">
        <v>751</v>
      </c>
      <c r="C646" s="165" t="s">
        <v>701</v>
      </c>
      <c r="D646" s="165">
        <v>1</v>
      </c>
      <c r="E646" s="165" t="s">
        <v>733</v>
      </c>
      <c r="F646" s="165" t="s">
        <v>734</v>
      </c>
      <c r="G646" s="165">
        <v>3150</v>
      </c>
      <c r="H646" s="165"/>
      <c r="I646" s="165"/>
      <c r="J646" s="165">
        <v>3150</v>
      </c>
      <c r="K646" s="165"/>
      <c r="L646" s="165"/>
      <c r="M646" s="165"/>
      <c r="N646" s="165">
        <f t="shared" si="12"/>
        <v>0</v>
      </c>
      <c r="O646" s="165" t="s">
        <v>628</v>
      </c>
      <c r="P646" s="165" t="s">
        <v>629</v>
      </c>
      <c r="Q646" s="3">
        <v>3150</v>
      </c>
      <c r="R646" s="3">
        <v>3150</v>
      </c>
      <c r="S646" s="3"/>
      <c r="U646" t="s">
        <v>735</v>
      </c>
    </row>
    <row r="647" spans="1:21">
      <c r="A647" s="165" t="s">
        <v>736</v>
      </c>
      <c r="B647" s="165">
        <v>752</v>
      </c>
      <c r="C647" s="165" t="s">
        <v>1270</v>
      </c>
      <c r="D647" s="165">
        <v>5</v>
      </c>
      <c r="E647" s="165" t="s">
        <v>737</v>
      </c>
      <c r="F647" s="165" t="s">
        <v>738</v>
      </c>
      <c r="G647" s="165">
        <v>20475</v>
      </c>
      <c r="H647" s="165"/>
      <c r="I647" s="165"/>
      <c r="J647" s="165">
        <v>20475</v>
      </c>
      <c r="K647" s="165"/>
      <c r="L647" s="165"/>
      <c r="M647" s="165"/>
      <c r="N647" s="165">
        <f t="shared" si="12"/>
        <v>0</v>
      </c>
      <c r="O647" s="165" t="s">
        <v>619</v>
      </c>
      <c r="P647" s="165" t="s">
        <v>620</v>
      </c>
      <c r="Q647" s="3">
        <v>20475</v>
      </c>
      <c r="R647" s="3">
        <v>20475</v>
      </c>
      <c r="S647" s="3"/>
    </row>
    <row r="648" spans="1:21">
      <c r="A648" s="165" t="s">
        <v>736</v>
      </c>
      <c r="B648" s="165">
        <v>753</v>
      </c>
      <c r="C648" s="165" t="s">
        <v>1270</v>
      </c>
      <c r="D648" s="165">
        <v>6</v>
      </c>
      <c r="E648" s="165" t="s">
        <v>739</v>
      </c>
      <c r="F648" s="165" t="s">
        <v>740</v>
      </c>
      <c r="G648" s="165">
        <v>20475</v>
      </c>
      <c r="H648" s="165"/>
      <c r="I648" s="165"/>
      <c r="J648" s="165"/>
      <c r="K648" s="165">
        <v>20475</v>
      </c>
      <c r="L648" s="165"/>
      <c r="M648" s="165"/>
      <c r="N648" s="165">
        <f t="shared" si="12"/>
        <v>0</v>
      </c>
      <c r="O648" s="165" t="s">
        <v>625</v>
      </c>
      <c r="P648" s="165" t="s">
        <v>741</v>
      </c>
      <c r="Q648" s="3">
        <v>20475</v>
      </c>
      <c r="R648" s="3">
        <v>20475</v>
      </c>
      <c r="S648" s="3"/>
    </row>
    <row r="649" spans="1:21">
      <c r="A649" s="165" t="s">
        <v>736</v>
      </c>
      <c r="B649" s="165">
        <v>754</v>
      </c>
      <c r="C649" s="165" t="s">
        <v>1270</v>
      </c>
      <c r="D649" s="165">
        <v>7</v>
      </c>
      <c r="E649" s="165" t="s">
        <v>742</v>
      </c>
      <c r="F649" s="165" t="s">
        <v>743</v>
      </c>
      <c r="G649" s="165">
        <v>20475</v>
      </c>
      <c r="H649" s="165"/>
      <c r="I649" s="165"/>
      <c r="J649" s="165"/>
      <c r="K649" s="165">
        <v>20475</v>
      </c>
      <c r="L649" s="165"/>
      <c r="M649" s="165"/>
      <c r="N649" s="165">
        <f t="shared" si="12"/>
        <v>0</v>
      </c>
      <c r="O649" s="165" t="s">
        <v>683</v>
      </c>
      <c r="P649" s="165" t="s">
        <v>3163</v>
      </c>
      <c r="Q649" s="3">
        <v>20475</v>
      </c>
      <c r="R649" s="3">
        <v>20475</v>
      </c>
      <c r="S649" s="3"/>
    </row>
    <row r="650" spans="1:21">
      <c r="A650" s="165" t="s">
        <v>736</v>
      </c>
      <c r="B650" s="165">
        <v>755</v>
      </c>
      <c r="C650" s="165" t="s">
        <v>1270</v>
      </c>
      <c r="D650" s="165">
        <v>8</v>
      </c>
      <c r="E650" s="165" t="s">
        <v>744</v>
      </c>
      <c r="F650" s="165" t="s">
        <v>745</v>
      </c>
      <c r="G650" s="165">
        <v>20475</v>
      </c>
      <c r="H650" s="165"/>
      <c r="I650" s="165"/>
      <c r="J650" s="165"/>
      <c r="K650" s="165">
        <v>20475</v>
      </c>
      <c r="L650" s="165"/>
      <c r="M650" s="165"/>
      <c r="N650" s="165">
        <f t="shared" si="12"/>
        <v>0</v>
      </c>
      <c r="O650" s="165" t="s">
        <v>3167</v>
      </c>
      <c r="P650" s="165" t="s">
        <v>3168</v>
      </c>
      <c r="Q650" s="3">
        <v>20475</v>
      </c>
      <c r="R650" s="3">
        <v>20475</v>
      </c>
      <c r="S650" s="3"/>
    </row>
    <row r="651" spans="1:21" s="163" customFormat="1">
      <c r="A651" s="281" t="s">
        <v>1061</v>
      </c>
      <c r="B651" s="281"/>
      <c r="C651" s="281" t="s">
        <v>1013</v>
      </c>
      <c r="D651" s="281">
        <v>1</v>
      </c>
      <c r="E651" s="281" t="s">
        <v>1283</v>
      </c>
      <c r="F651" s="281" t="s">
        <v>1061</v>
      </c>
      <c r="G651" s="284"/>
      <c r="H651" s="284"/>
      <c r="I651" s="284"/>
      <c r="J651" s="281"/>
      <c r="K651" s="281"/>
      <c r="L651" s="281"/>
      <c r="M651" s="281"/>
      <c r="N651" s="281">
        <f t="shared" si="12"/>
        <v>0</v>
      </c>
      <c r="O651" s="281" t="s">
        <v>1061</v>
      </c>
      <c r="P651" s="281" t="s">
        <v>1061</v>
      </c>
      <c r="Q651" s="281">
        <v>75600</v>
      </c>
      <c r="R651" s="281">
        <v>75600</v>
      </c>
      <c r="S651" s="281"/>
      <c r="T651" s="284"/>
      <c r="U651" s="163" t="s">
        <v>746</v>
      </c>
    </row>
    <row r="652" spans="1:21" s="163" customFormat="1">
      <c r="A652" s="281" t="s">
        <v>1061</v>
      </c>
      <c r="B652" s="281"/>
      <c r="C652" s="281" t="s">
        <v>1016</v>
      </c>
      <c r="D652" s="281">
        <v>1</v>
      </c>
      <c r="E652" s="281" t="s">
        <v>1283</v>
      </c>
      <c r="F652" s="281" t="s">
        <v>1061</v>
      </c>
      <c r="G652" s="284"/>
      <c r="H652" s="284"/>
      <c r="I652" s="284"/>
      <c r="J652" s="281"/>
      <c r="K652" s="281"/>
      <c r="L652" s="281"/>
      <c r="M652" s="281"/>
      <c r="N652" s="281">
        <f t="shared" si="12"/>
        <v>0</v>
      </c>
      <c r="O652" s="281" t="s">
        <v>1061</v>
      </c>
      <c r="P652" s="281" t="s">
        <v>1061</v>
      </c>
      <c r="Q652" s="281">
        <v>3150</v>
      </c>
      <c r="R652" s="281">
        <v>3150</v>
      </c>
      <c r="S652" s="281"/>
      <c r="T652" s="284"/>
      <c r="U652" s="163" t="s">
        <v>735</v>
      </c>
    </row>
    <row r="653" spans="1:21" s="163" customFormat="1">
      <c r="A653" s="281" t="s">
        <v>1061</v>
      </c>
      <c r="B653" s="281"/>
      <c r="C653" s="281" t="s">
        <v>1016</v>
      </c>
      <c r="D653" s="281">
        <v>1</v>
      </c>
      <c r="E653" s="281" t="s">
        <v>1283</v>
      </c>
      <c r="F653" s="281" t="s">
        <v>1061</v>
      </c>
      <c r="G653" s="284"/>
      <c r="H653" s="284"/>
      <c r="I653" s="284"/>
      <c r="J653" s="281"/>
      <c r="K653" s="281"/>
      <c r="L653" s="281"/>
      <c r="M653" s="281"/>
      <c r="N653" s="281">
        <f t="shared" si="12"/>
        <v>0</v>
      </c>
      <c r="O653" s="281" t="s">
        <v>1061</v>
      </c>
      <c r="P653" s="281" t="s">
        <v>1061</v>
      </c>
      <c r="Q653" s="281">
        <v>75600</v>
      </c>
      <c r="R653" s="281">
        <v>75600</v>
      </c>
      <c r="S653" s="281"/>
      <c r="T653" s="284"/>
      <c r="U653" s="163" t="s">
        <v>746</v>
      </c>
    </row>
    <row r="654" spans="1:21" s="163" customFormat="1">
      <c r="A654" s="281" t="s">
        <v>1061</v>
      </c>
      <c r="B654" s="281"/>
      <c r="C654" s="281" t="s">
        <v>747</v>
      </c>
      <c r="D654" s="281">
        <v>1</v>
      </c>
      <c r="E654" s="281" t="s">
        <v>1283</v>
      </c>
      <c r="F654" s="281" t="s">
        <v>1061</v>
      </c>
      <c r="G654" s="284"/>
      <c r="H654" s="284"/>
      <c r="I654" s="284"/>
      <c r="J654" s="281"/>
      <c r="K654" s="281"/>
      <c r="L654" s="281"/>
      <c r="M654" s="281"/>
      <c r="N654" s="281">
        <f t="shared" si="12"/>
        <v>0</v>
      </c>
      <c r="O654" s="281" t="s">
        <v>1061</v>
      </c>
      <c r="P654" s="281" t="s">
        <v>1061</v>
      </c>
      <c r="Q654" s="281">
        <v>42000</v>
      </c>
      <c r="R654" s="281">
        <v>42000</v>
      </c>
      <c r="S654" s="281"/>
      <c r="T654" s="284"/>
      <c r="U654" s="163" t="s">
        <v>748</v>
      </c>
    </row>
    <row r="655" spans="1:21" s="163" customFormat="1">
      <c r="A655" s="281" t="s">
        <v>749</v>
      </c>
      <c r="B655" s="281"/>
      <c r="C655" s="281" t="s">
        <v>2421</v>
      </c>
      <c r="D655" s="281">
        <v>2</v>
      </c>
      <c r="E655" s="281" t="s">
        <v>1283</v>
      </c>
      <c r="F655" s="281" t="s">
        <v>749</v>
      </c>
      <c r="G655" s="284"/>
      <c r="H655" s="284"/>
      <c r="I655" s="284"/>
      <c r="J655" s="281"/>
      <c r="K655" s="281"/>
      <c r="L655" s="281"/>
      <c r="M655" s="281"/>
      <c r="N655" s="281">
        <f t="shared" si="12"/>
        <v>0</v>
      </c>
      <c r="O655" s="281" t="s">
        <v>749</v>
      </c>
      <c r="P655" s="281" t="s">
        <v>749</v>
      </c>
      <c r="Q655" s="281">
        <v>13230</v>
      </c>
      <c r="R655" s="281">
        <v>13220</v>
      </c>
      <c r="S655" s="281"/>
      <c r="T655" s="284">
        <v>10</v>
      </c>
    </row>
    <row r="656" spans="1:21" s="163" customFormat="1">
      <c r="A656" s="281" t="s">
        <v>734</v>
      </c>
      <c r="B656" s="281"/>
      <c r="C656" s="281" t="s">
        <v>1013</v>
      </c>
      <c r="D656" s="281">
        <v>1</v>
      </c>
      <c r="E656" s="281" t="s">
        <v>1283</v>
      </c>
      <c r="F656" s="281" t="s">
        <v>1061</v>
      </c>
      <c r="G656" s="284"/>
      <c r="H656" s="284"/>
      <c r="I656" s="284"/>
      <c r="J656" s="281"/>
      <c r="K656" s="281"/>
      <c r="L656" s="281"/>
      <c r="M656" s="281"/>
      <c r="N656" s="281">
        <f t="shared" si="12"/>
        <v>0</v>
      </c>
      <c r="O656" s="281" t="s">
        <v>734</v>
      </c>
      <c r="P656" s="281" t="s">
        <v>734</v>
      </c>
      <c r="Q656" s="281">
        <v>3150</v>
      </c>
      <c r="R656" s="281">
        <v>3150</v>
      </c>
      <c r="S656" s="281"/>
      <c r="T656" s="284"/>
      <c r="U656" s="163" t="s">
        <v>735</v>
      </c>
    </row>
    <row r="657" spans="1:21" s="163" customFormat="1">
      <c r="A657" s="281" t="s">
        <v>2236</v>
      </c>
      <c r="B657" s="281"/>
      <c r="C657" s="281" t="s">
        <v>3825</v>
      </c>
      <c r="D657" s="281">
        <v>4</v>
      </c>
      <c r="E657" s="281" t="s">
        <v>1283</v>
      </c>
      <c r="F657" s="281" t="s">
        <v>2236</v>
      </c>
      <c r="G657" s="284"/>
      <c r="H657" s="284"/>
      <c r="I657" s="284"/>
      <c r="J657" s="281"/>
      <c r="K657" s="281"/>
      <c r="L657" s="281"/>
      <c r="M657" s="281"/>
      <c r="N657" s="281">
        <f t="shared" si="12"/>
        <v>0</v>
      </c>
      <c r="O657" s="281" t="s">
        <v>2236</v>
      </c>
      <c r="P657" s="281" t="s">
        <v>2236</v>
      </c>
      <c r="Q657" s="281">
        <v>14175</v>
      </c>
      <c r="R657" s="281">
        <v>14145</v>
      </c>
      <c r="S657" s="281"/>
      <c r="T657" s="284">
        <v>30</v>
      </c>
    </row>
    <row r="658" spans="1:21" s="5" customFormat="1">
      <c r="A658" s="94" t="s">
        <v>628</v>
      </c>
      <c r="B658" s="94">
        <v>756</v>
      </c>
      <c r="C658" s="94" t="s">
        <v>1232</v>
      </c>
      <c r="D658" s="94">
        <v>11</v>
      </c>
      <c r="E658" s="94" t="s">
        <v>750</v>
      </c>
      <c r="F658" s="94" t="s">
        <v>1026</v>
      </c>
      <c r="G658" s="94">
        <v>16380</v>
      </c>
      <c r="H658" s="94"/>
      <c r="I658" s="94"/>
      <c r="J658" s="94">
        <v>16380</v>
      </c>
      <c r="K658" s="94"/>
      <c r="L658" s="94"/>
      <c r="M658" s="94"/>
      <c r="N658" s="94">
        <f t="shared" si="12"/>
        <v>0</v>
      </c>
      <c r="O658" s="94" t="s">
        <v>621</v>
      </c>
      <c r="P658" s="94" t="s">
        <v>622</v>
      </c>
      <c r="Q658" s="93">
        <v>16380</v>
      </c>
      <c r="R658" s="4">
        <v>16380</v>
      </c>
      <c r="S658" s="4"/>
      <c r="T658" s="93"/>
    </row>
    <row r="659" spans="1:21" s="5" customFormat="1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3"/>
      <c r="R659" s="4"/>
      <c r="S659" s="4"/>
      <c r="T659" s="93"/>
    </row>
    <row r="660" spans="1:21" s="176" customFormat="1" ht="20.25" customHeight="1">
      <c r="A660" s="203" t="s">
        <v>2614</v>
      </c>
      <c r="B660" s="200"/>
      <c r="C660" s="201"/>
      <c r="D660" s="202"/>
      <c r="E660" s="201"/>
      <c r="F660" s="185" t="s">
        <v>2378</v>
      </c>
      <c r="G660" s="185">
        <f>SUM(G662:G853)</f>
        <v>2482940</v>
      </c>
      <c r="H660" s="185">
        <f t="shared" ref="H660:T660" si="13">SUM(H662:H853)</f>
        <v>0</v>
      </c>
      <c r="I660" s="185">
        <f t="shared" si="13"/>
        <v>0</v>
      </c>
      <c r="J660" s="185">
        <f t="shared" si="13"/>
        <v>878195</v>
      </c>
      <c r="K660" s="185">
        <f>SUM(K662:K853)</f>
        <v>1128150</v>
      </c>
      <c r="L660" s="185">
        <f>SUM(L662:L853)</f>
        <v>476595</v>
      </c>
      <c r="M660" s="185">
        <f>SUM(M662:M853)</f>
        <v>0</v>
      </c>
      <c r="N660" s="185">
        <f t="shared" si="13"/>
        <v>0</v>
      </c>
      <c r="O660" s="185">
        <v>2736360</v>
      </c>
      <c r="P660" s="185">
        <f>N660+N511-O660</f>
        <v>-2736360</v>
      </c>
      <c r="Q660" s="185">
        <f t="shared" si="13"/>
        <v>3392320</v>
      </c>
      <c r="R660" s="185">
        <f>SUM(R662:R853)</f>
        <v>3392110</v>
      </c>
      <c r="S660" s="185">
        <f>SUM(S662:S853)</f>
        <v>937520</v>
      </c>
      <c r="T660" s="185">
        <f t="shared" si="13"/>
        <v>210</v>
      </c>
    </row>
    <row r="661" spans="1:21" s="270" customFormat="1">
      <c r="A661" s="269" t="s">
        <v>1281</v>
      </c>
      <c r="B661" s="269" t="s">
        <v>2435</v>
      </c>
      <c r="C661" s="269" t="s">
        <v>1385</v>
      </c>
      <c r="D661" s="269" t="s">
        <v>1275</v>
      </c>
      <c r="E661" s="269" t="s">
        <v>265</v>
      </c>
      <c r="F661" s="269" t="s">
        <v>1280</v>
      </c>
      <c r="G661" s="269" t="s">
        <v>3735</v>
      </c>
      <c r="H661" s="269" t="s">
        <v>3736</v>
      </c>
      <c r="I661" s="269" t="s">
        <v>3726</v>
      </c>
      <c r="J661" s="269" t="s">
        <v>878</v>
      </c>
      <c r="K661" s="269" t="s">
        <v>3991</v>
      </c>
      <c r="L661" s="269" t="s">
        <v>4470</v>
      </c>
      <c r="M661" s="269" t="s">
        <v>3728</v>
      </c>
      <c r="N661" s="269" t="s">
        <v>2438</v>
      </c>
      <c r="O661" s="269" t="s">
        <v>1282</v>
      </c>
      <c r="P661" s="269" t="s">
        <v>1386</v>
      </c>
      <c r="Q661" s="269" t="s">
        <v>576</v>
      </c>
      <c r="R661" s="269" t="s">
        <v>3593</v>
      </c>
      <c r="S661" s="269" t="s">
        <v>1283</v>
      </c>
      <c r="T661" s="269" t="s">
        <v>577</v>
      </c>
    </row>
    <row r="662" spans="1:21">
      <c r="A662" s="165" t="s">
        <v>751</v>
      </c>
      <c r="B662" s="94">
        <v>757</v>
      </c>
      <c r="C662" s="165" t="s">
        <v>3954</v>
      </c>
      <c r="D662" s="165">
        <v>1</v>
      </c>
      <c r="E662" s="165" t="s">
        <v>752</v>
      </c>
      <c r="F662" s="165" t="s">
        <v>740</v>
      </c>
      <c r="G662" s="165">
        <v>17325</v>
      </c>
      <c r="H662" s="165"/>
      <c r="I662" s="165"/>
      <c r="J662" s="165">
        <v>17325</v>
      </c>
      <c r="K662" s="165"/>
      <c r="L662" s="165"/>
      <c r="M662" s="165"/>
      <c r="N662" s="165">
        <f>G662+H662+I662-J662-K662</f>
        <v>0</v>
      </c>
      <c r="O662" s="165" t="s">
        <v>625</v>
      </c>
      <c r="P662" s="165" t="s">
        <v>625</v>
      </c>
      <c r="Q662" s="3">
        <v>17325</v>
      </c>
      <c r="R662" s="3">
        <v>17325</v>
      </c>
      <c r="S662" s="3"/>
    </row>
    <row r="663" spans="1:21">
      <c r="A663" s="165" t="s">
        <v>751</v>
      </c>
      <c r="B663" s="94">
        <v>758</v>
      </c>
      <c r="C663" s="165" t="s">
        <v>3954</v>
      </c>
      <c r="D663" s="165">
        <v>2</v>
      </c>
      <c r="E663" s="165" t="s">
        <v>753</v>
      </c>
      <c r="F663" s="165" t="s">
        <v>743</v>
      </c>
      <c r="G663" s="165">
        <v>17325</v>
      </c>
      <c r="H663" s="165"/>
      <c r="I663" s="165"/>
      <c r="J663" s="165">
        <v>17325</v>
      </c>
      <c r="K663" s="165"/>
      <c r="L663" s="165"/>
      <c r="M663" s="165"/>
      <c r="N663" s="165">
        <f t="shared" ref="N663:N725" si="14">G663+H663+I663-J663-K663</f>
        <v>0</v>
      </c>
      <c r="O663" s="165" t="s">
        <v>683</v>
      </c>
      <c r="P663" s="165" t="s">
        <v>3163</v>
      </c>
      <c r="Q663" s="3">
        <v>17325</v>
      </c>
      <c r="R663">
        <v>17325</v>
      </c>
    </row>
    <row r="664" spans="1:21">
      <c r="A664" s="165" t="s">
        <v>751</v>
      </c>
      <c r="B664" s="94">
        <v>759</v>
      </c>
      <c r="C664" s="165" t="s">
        <v>3954</v>
      </c>
      <c r="D664" s="165">
        <v>3</v>
      </c>
      <c r="E664" s="165" t="s">
        <v>754</v>
      </c>
      <c r="F664" s="165" t="s">
        <v>745</v>
      </c>
      <c r="G664" s="165">
        <v>17325</v>
      </c>
      <c r="H664" s="165"/>
      <c r="I664" s="165"/>
      <c r="J664" s="165">
        <v>17325</v>
      </c>
      <c r="K664" s="165"/>
      <c r="L664" s="165"/>
      <c r="M664" s="165"/>
      <c r="N664" s="165">
        <f t="shared" si="14"/>
        <v>0</v>
      </c>
      <c r="O664" s="165" t="s">
        <v>3167</v>
      </c>
      <c r="P664" s="165" t="s">
        <v>3168</v>
      </c>
      <c r="Q664" s="3">
        <v>17325</v>
      </c>
      <c r="R664">
        <v>17325</v>
      </c>
    </row>
    <row r="665" spans="1:21">
      <c r="A665" s="165" t="s">
        <v>751</v>
      </c>
      <c r="B665" s="94">
        <v>760</v>
      </c>
      <c r="C665" s="165" t="s">
        <v>3954</v>
      </c>
      <c r="D665" s="165">
        <v>4</v>
      </c>
      <c r="E665" s="165" t="s">
        <v>755</v>
      </c>
      <c r="F665" s="165" t="s">
        <v>756</v>
      </c>
      <c r="G665" s="165">
        <v>17325</v>
      </c>
      <c r="H665" s="165"/>
      <c r="I665" s="165"/>
      <c r="J665" s="165">
        <v>17325</v>
      </c>
      <c r="K665" s="165"/>
      <c r="L665" s="165"/>
      <c r="M665" s="165"/>
      <c r="N665" s="165">
        <f t="shared" si="14"/>
        <v>0</v>
      </c>
      <c r="O665" s="165" t="s">
        <v>3169</v>
      </c>
      <c r="P665" s="165" t="s">
        <v>3170</v>
      </c>
      <c r="Q665" s="3">
        <v>17325</v>
      </c>
      <c r="R665">
        <v>17325</v>
      </c>
    </row>
    <row r="666" spans="1:21">
      <c r="A666" s="165" t="s">
        <v>751</v>
      </c>
      <c r="B666" s="94">
        <v>761</v>
      </c>
      <c r="C666" s="165" t="s">
        <v>3954</v>
      </c>
      <c r="D666" s="165">
        <v>5</v>
      </c>
      <c r="E666" s="165" t="s">
        <v>757</v>
      </c>
      <c r="F666" s="165" t="s">
        <v>758</v>
      </c>
      <c r="G666" s="165">
        <v>17325</v>
      </c>
      <c r="H666" s="165"/>
      <c r="I666" s="165"/>
      <c r="J666" s="165"/>
      <c r="K666" s="165">
        <v>17325</v>
      </c>
      <c r="L666" s="165"/>
      <c r="M666" s="165"/>
      <c r="N666" s="165">
        <f t="shared" si="14"/>
        <v>0</v>
      </c>
      <c r="O666" s="165" t="s">
        <v>3934</v>
      </c>
      <c r="P666" s="165" t="s">
        <v>3935</v>
      </c>
      <c r="Q666" s="3">
        <v>17325</v>
      </c>
      <c r="R666">
        <v>17325</v>
      </c>
    </row>
    <row r="667" spans="1:21">
      <c r="A667" s="165" t="s">
        <v>751</v>
      </c>
      <c r="B667" s="94">
        <v>762</v>
      </c>
      <c r="C667" s="165" t="s">
        <v>3954</v>
      </c>
      <c r="D667" s="165">
        <v>6</v>
      </c>
      <c r="E667" s="165" t="s">
        <v>759</v>
      </c>
      <c r="F667" s="165" t="s">
        <v>760</v>
      </c>
      <c r="G667" s="165">
        <v>17325</v>
      </c>
      <c r="H667" s="165"/>
      <c r="I667" s="165"/>
      <c r="J667" s="165"/>
      <c r="K667" s="165">
        <v>17325</v>
      </c>
      <c r="L667" s="165"/>
      <c r="M667" s="165"/>
      <c r="N667" s="165">
        <f t="shared" si="14"/>
        <v>0</v>
      </c>
      <c r="O667" s="165" t="s">
        <v>3946</v>
      </c>
      <c r="P667" s="165" t="s">
        <v>3947</v>
      </c>
      <c r="Q667" s="3">
        <v>17325</v>
      </c>
      <c r="R667">
        <v>17325</v>
      </c>
    </row>
    <row r="668" spans="1:21">
      <c r="A668" s="165" t="s">
        <v>751</v>
      </c>
      <c r="B668" s="94">
        <v>763</v>
      </c>
      <c r="C668" s="165" t="s">
        <v>3954</v>
      </c>
      <c r="D668" s="165">
        <v>7</v>
      </c>
      <c r="E668" s="165" t="s">
        <v>761</v>
      </c>
      <c r="F668" s="165" t="s">
        <v>762</v>
      </c>
      <c r="G668" s="165">
        <v>17325</v>
      </c>
      <c r="H668" s="165"/>
      <c r="I668" s="165"/>
      <c r="J668" s="165"/>
      <c r="K668" s="165">
        <v>17325</v>
      </c>
      <c r="L668" s="165"/>
      <c r="M668" s="165"/>
      <c r="N668" s="165">
        <f t="shared" si="14"/>
        <v>0</v>
      </c>
      <c r="O668" s="165" t="s">
        <v>3955</v>
      </c>
      <c r="P668" s="165" t="s">
        <v>3956</v>
      </c>
      <c r="Q668" s="3">
        <v>17325</v>
      </c>
      <c r="R668">
        <v>17325</v>
      </c>
    </row>
    <row r="669" spans="1:21">
      <c r="A669" s="165" t="s">
        <v>751</v>
      </c>
      <c r="B669" s="94">
        <v>764</v>
      </c>
      <c r="C669" s="165" t="s">
        <v>3954</v>
      </c>
      <c r="D669" s="165">
        <v>8</v>
      </c>
      <c r="E669" s="165" t="s">
        <v>763</v>
      </c>
      <c r="F669" s="165" t="s">
        <v>764</v>
      </c>
      <c r="G669" s="165">
        <v>17325</v>
      </c>
      <c r="H669" s="165"/>
      <c r="I669" s="165"/>
      <c r="J669" s="165"/>
      <c r="K669" s="165">
        <v>17325</v>
      </c>
      <c r="L669" s="165"/>
      <c r="M669" s="165"/>
      <c r="N669" s="165">
        <f t="shared" si="14"/>
        <v>0</v>
      </c>
      <c r="O669" s="165" t="s">
        <v>3957</v>
      </c>
      <c r="P669" s="165" t="s">
        <v>3958</v>
      </c>
      <c r="Q669" s="3">
        <v>17325</v>
      </c>
      <c r="R669">
        <v>17325</v>
      </c>
    </row>
    <row r="670" spans="1:21" s="163" customFormat="1">
      <c r="A670" s="281" t="s">
        <v>539</v>
      </c>
      <c r="B670" s="281"/>
      <c r="C670" s="281" t="s">
        <v>1532</v>
      </c>
      <c r="D670" s="281">
        <v>4</v>
      </c>
      <c r="E670" s="281" t="s">
        <v>1283</v>
      </c>
      <c r="F670" s="281" t="s">
        <v>539</v>
      </c>
      <c r="G670" s="284"/>
      <c r="H670" s="284"/>
      <c r="I670" s="284"/>
      <c r="J670" s="281"/>
      <c r="K670" s="281"/>
      <c r="L670" s="281"/>
      <c r="M670" s="281"/>
      <c r="N670" s="281">
        <f t="shared" si="14"/>
        <v>0</v>
      </c>
      <c r="O670" s="281" t="s">
        <v>539</v>
      </c>
      <c r="P670" s="281" t="s">
        <v>539</v>
      </c>
      <c r="Q670" s="281">
        <v>13500</v>
      </c>
      <c r="R670" s="281">
        <v>13485</v>
      </c>
      <c r="S670" s="281">
        <v>13485</v>
      </c>
      <c r="T670" s="284">
        <v>15</v>
      </c>
    </row>
    <row r="671" spans="1:21" s="163" customFormat="1">
      <c r="A671" s="281" t="s">
        <v>765</v>
      </c>
      <c r="B671" s="281"/>
      <c r="C671" s="281" t="s">
        <v>747</v>
      </c>
      <c r="D671" s="281">
        <v>2</v>
      </c>
      <c r="E671" s="281" t="s">
        <v>1283</v>
      </c>
      <c r="F671" s="281" t="s">
        <v>765</v>
      </c>
      <c r="G671" s="284"/>
      <c r="H671" s="284"/>
      <c r="I671" s="284"/>
      <c r="J671" s="281"/>
      <c r="K671" s="281"/>
      <c r="L671" s="281"/>
      <c r="M671" s="281"/>
      <c r="N671" s="281">
        <f t="shared" si="14"/>
        <v>0</v>
      </c>
      <c r="O671" s="281" t="s">
        <v>765</v>
      </c>
      <c r="P671" s="281" t="s">
        <v>765</v>
      </c>
      <c r="Q671" s="281">
        <v>42000</v>
      </c>
      <c r="R671" s="281">
        <v>42000</v>
      </c>
      <c r="S671" s="281">
        <v>42000</v>
      </c>
      <c r="T671" s="284"/>
      <c r="U671" s="163" t="s">
        <v>748</v>
      </c>
    </row>
    <row r="672" spans="1:21" s="283" customFormat="1">
      <c r="A672" s="279" t="s">
        <v>3042</v>
      </c>
      <c r="B672" s="279"/>
      <c r="C672" s="279" t="s">
        <v>2060</v>
      </c>
      <c r="D672" s="279">
        <v>3</v>
      </c>
      <c r="E672" s="279" t="s">
        <v>1283</v>
      </c>
      <c r="F672" s="279" t="s">
        <v>765</v>
      </c>
      <c r="G672" s="280"/>
      <c r="H672" s="280"/>
      <c r="I672" s="280"/>
      <c r="J672" s="280"/>
      <c r="K672" s="280"/>
      <c r="L672" s="280"/>
      <c r="M672" s="280"/>
      <c r="N672" s="280">
        <f t="shared" si="14"/>
        <v>0</v>
      </c>
      <c r="O672" s="279" t="s">
        <v>3042</v>
      </c>
      <c r="P672" s="279" t="s">
        <v>3042</v>
      </c>
      <c r="Q672" s="279">
        <v>14175</v>
      </c>
      <c r="R672" s="279">
        <v>14175</v>
      </c>
      <c r="S672" s="279">
        <v>14175</v>
      </c>
      <c r="T672" s="280">
        <v>0</v>
      </c>
      <c r="U672" s="282" t="s">
        <v>245</v>
      </c>
    </row>
    <row r="673" spans="1:21" s="8" customFormat="1">
      <c r="A673" s="184" t="s">
        <v>765</v>
      </c>
      <c r="B673" s="304">
        <v>765</v>
      </c>
      <c r="C673" s="184" t="s">
        <v>2346</v>
      </c>
      <c r="D673" s="184"/>
      <c r="E673" s="184" t="s">
        <v>766</v>
      </c>
      <c r="F673" s="184" t="s">
        <v>767</v>
      </c>
      <c r="G673" s="184">
        <v>20000</v>
      </c>
      <c r="H673" s="184"/>
      <c r="I673" s="184"/>
      <c r="J673" s="184">
        <v>20000</v>
      </c>
      <c r="K673" s="184"/>
      <c r="L673" s="184"/>
      <c r="M673" s="184"/>
      <c r="N673" s="184">
        <f t="shared" si="14"/>
        <v>0</v>
      </c>
      <c r="O673" s="184" t="s">
        <v>765</v>
      </c>
      <c r="P673" s="184" t="s">
        <v>768</v>
      </c>
      <c r="Q673" s="184">
        <v>20000</v>
      </c>
      <c r="R673" s="184">
        <v>20000</v>
      </c>
      <c r="S673" s="184"/>
      <c r="T673" s="184"/>
      <c r="U673" s="8" t="s">
        <v>769</v>
      </c>
    </row>
    <row r="674" spans="1:21">
      <c r="A674" s="165" t="s">
        <v>767</v>
      </c>
      <c r="B674" s="94">
        <v>766</v>
      </c>
      <c r="C674" s="165" t="s">
        <v>606</v>
      </c>
      <c r="D674" s="165">
        <v>1</v>
      </c>
      <c r="E674" s="165" t="s">
        <v>770</v>
      </c>
      <c r="F674" s="165" t="s">
        <v>771</v>
      </c>
      <c r="G674" s="165">
        <v>13500</v>
      </c>
      <c r="H674" s="165"/>
      <c r="I674" s="165"/>
      <c r="J674" s="165">
        <v>13500</v>
      </c>
      <c r="K674" s="165"/>
      <c r="L674" s="165"/>
      <c r="M674" s="165"/>
      <c r="N674" s="165">
        <f t="shared" si="14"/>
        <v>0</v>
      </c>
      <c r="O674" s="165" t="s">
        <v>3159</v>
      </c>
      <c r="P674" s="165" t="s">
        <v>3160</v>
      </c>
      <c r="Q674" s="3">
        <v>13500</v>
      </c>
      <c r="R674">
        <v>13500</v>
      </c>
    </row>
    <row r="675" spans="1:21">
      <c r="A675" s="165" t="s">
        <v>767</v>
      </c>
      <c r="B675" s="94">
        <v>767</v>
      </c>
      <c r="C675" s="165" t="s">
        <v>606</v>
      </c>
      <c r="D675" s="165">
        <v>2</v>
      </c>
      <c r="E675" s="165" t="s">
        <v>772</v>
      </c>
      <c r="F675" s="165" t="s">
        <v>773</v>
      </c>
      <c r="G675" s="165">
        <v>13500</v>
      </c>
      <c r="H675" s="165"/>
      <c r="I675" s="165"/>
      <c r="J675" s="165">
        <v>13500</v>
      </c>
      <c r="K675" s="165"/>
      <c r="L675" s="165"/>
      <c r="M675" s="165"/>
      <c r="N675" s="165">
        <f t="shared" si="14"/>
        <v>0</v>
      </c>
      <c r="O675" s="165" t="s">
        <v>3164</v>
      </c>
      <c r="P675" s="165" t="s">
        <v>808</v>
      </c>
      <c r="Q675" s="3">
        <v>13500</v>
      </c>
      <c r="R675">
        <v>13500</v>
      </c>
    </row>
    <row r="676" spans="1:21">
      <c r="A676" s="165" t="s">
        <v>767</v>
      </c>
      <c r="B676" s="94">
        <v>768</v>
      </c>
      <c r="C676" s="165" t="s">
        <v>606</v>
      </c>
      <c r="D676" s="165">
        <v>3</v>
      </c>
      <c r="E676" s="165" t="s">
        <v>774</v>
      </c>
      <c r="F676" s="165" t="s">
        <v>775</v>
      </c>
      <c r="G676" s="165">
        <v>13500</v>
      </c>
      <c r="H676" s="165"/>
      <c r="I676" s="165"/>
      <c r="J676" s="165">
        <v>13500</v>
      </c>
      <c r="K676" s="165"/>
      <c r="L676" s="165"/>
      <c r="M676" s="165"/>
      <c r="N676" s="165">
        <f t="shared" si="14"/>
        <v>0</v>
      </c>
      <c r="O676" s="165" t="s">
        <v>3165</v>
      </c>
      <c r="P676" s="165" t="s">
        <v>3166</v>
      </c>
      <c r="Q676" s="3">
        <v>13500</v>
      </c>
      <c r="R676">
        <v>13500</v>
      </c>
    </row>
    <row r="677" spans="1:21">
      <c r="A677" s="165" t="s">
        <v>767</v>
      </c>
      <c r="B677" s="94">
        <v>769</v>
      </c>
      <c r="C677" s="165" t="s">
        <v>606</v>
      </c>
      <c r="D677" s="165">
        <v>4</v>
      </c>
      <c r="E677" s="165" t="s">
        <v>776</v>
      </c>
      <c r="F677" s="165" t="s">
        <v>777</v>
      </c>
      <c r="G677" s="165">
        <v>13500</v>
      </c>
      <c r="H677" s="165"/>
      <c r="I677" s="165"/>
      <c r="J677" s="165">
        <v>13500</v>
      </c>
      <c r="K677" s="165"/>
      <c r="L677" s="165"/>
      <c r="M677" s="165"/>
      <c r="N677" s="165">
        <f t="shared" si="14"/>
        <v>0</v>
      </c>
      <c r="O677" s="165" t="s">
        <v>3171</v>
      </c>
      <c r="P677" s="165" t="s">
        <v>3172</v>
      </c>
      <c r="Q677" s="3">
        <v>13500</v>
      </c>
      <c r="R677">
        <v>13500</v>
      </c>
    </row>
    <row r="678" spans="1:21">
      <c r="A678" s="165" t="s">
        <v>767</v>
      </c>
      <c r="B678" s="94">
        <v>770</v>
      </c>
      <c r="C678" s="165" t="s">
        <v>606</v>
      </c>
      <c r="D678" s="165">
        <v>5</v>
      </c>
      <c r="E678" s="165" t="s">
        <v>778</v>
      </c>
      <c r="F678" s="165" t="s">
        <v>779</v>
      </c>
      <c r="G678" s="165">
        <v>13500</v>
      </c>
      <c r="H678" s="165"/>
      <c r="I678" s="165"/>
      <c r="J678" s="165"/>
      <c r="K678" s="165">
        <v>13500</v>
      </c>
      <c r="L678" s="165"/>
      <c r="M678" s="165"/>
      <c r="N678" s="165">
        <f t="shared" si="14"/>
        <v>0</v>
      </c>
      <c r="O678" s="165" t="s">
        <v>3936</v>
      </c>
      <c r="P678" s="165" t="s">
        <v>3937</v>
      </c>
      <c r="Q678" s="3">
        <v>13500</v>
      </c>
      <c r="R678">
        <v>13500</v>
      </c>
    </row>
    <row r="679" spans="1:21">
      <c r="A679" s="165" t="s">
        <v>767</v>
      </c>
      <c r="B679" s="94">
        <v>771</v>
      </c>
      <c r="C679" s="165" t="s">
        <v>606</v>
      </c>
      <c r="D679" s="165">
        <v>6</v>
      </c>
      <c r="E679" s="165" t="s">
        <v>780</v>
      </c>
      <c r="F679" s="165" t="s">
        <v>781</v>
      </c>
      <c r="G679" s="165">
        <v>13500</v>
      </c>
      <c r="H679" s="165"/>
      <c r="I679" s="165"/>
      <c r="J679" s="165"/>
      <c r="K679" s="165">
        <v>13500</v>
      </c>
      <c r="L679" s="165"/>
      <c r="M679" s="165"/>
      <c r="N679" s="165">
        <f t="shared" si="14"/>
        <v>0</v>
      </c>
      <c r="O679" s="165" t="s">
        <v>3959</v>
      </c>
      <c r="P679" s="165" t="s">
        <v>3960</v>
      </c>
      <c r="Q679" s="3">
        <v>13500</v>
      </c>
      <c r="R679">
        <v>13500</v>
      </c>
    </row>
    <row r="680" spans="1:21">
      <c r="A680" s="165" t="s">
        <v>767</v>
      </c>
      <c r="B680" s="94">
        <v>772</v>
      </c>
      <c r="C680" s="165" t="s">
        <v>606</v>
      </c>
      <c r="D680" s="165">
        <v>7</v>
      </c>
      <c r="E680" s="165" t="s">
        <v>782</v>
      </c>
      <c r="F680" s="165" t="s">
        <v>783</v>
      </c>
      <c r="G680" s="165">
        <v>13500</v>
      </c>
      <c r="H680" s="165"/>
      <c r="I680" s="165"/>
      <c r="J680" s="165"/>
      <c r="K680" s="165">
        <v>13500</v>
      </c>
      <c r="L680" s="165"/>
      <c r="M680" s="165"/>
      <c r="N680" s="165">
        <f t="shared" si="14"/>
        <v>0</v>
      </c>
      <c r="O680" s="165" t="s">
        <v>3961</v>
      </c>
      <c r="P680" s="165" t="s">
        <v>3962</v>
      </c>
      <c r="Q680" s="3">
        <v>13500</v>
      </c>
      <c r="R680">
        <v>13500</v>
      </c>
    </row>
    <row r="681" spans="1:21">
      <c r="A681" s="165" t="s">
        <v>767</v>
      </c>
      <c r="B681" s="94">
        <v>773</v>
      </c>
      <c r="C681" s="165" t="s">
        <v>606</v>
      </c>
      <c r="D681" s="165">
        <v>8</v>
      </c>
      <c r="E681" s="165" t="s">
        <v>784</v>
      </c>
      <c r="F681" s="165" t="s">
        <v>785</v>
      </c>
      <c r="G681" s="165">
        <v>13500</v>
      </c>
      <c r="H681" s="165"/>
      <c r="I681" s="165"/>
      <c r="J681" s="165"/>
      <c r="K681" s="165">
        <v>13500</v>
      </c>
      <c r="L681" s="165"/>
      <c r="M681" s="165"/>
      <c r="N681" s="165">
        <f t="shared" si="14"/>
        <v>0</v>
      </c>
      <c r="O681" s="165" t="s">
        <v>3963</v>
      </c>
      <c r="P681" s="165" t="s">
        <v>3964</v>
      </c>
      <c r="Q681" s="3">
        <v>13500</v>
      </c>
      <c r="R681">
        <v>13500</v>
      </c>
    </row>
    <row r="682" spans="1:21" s="163" customFormat="1">
      <c r="A682" s="281" t="s">
        <v>2365</v>
      </c>
      <c r="B682" s="281"/>
      <c r="C682" s="281" t="s">
        <v>2421</v>
      </c>
      <c r="D682" s="281">
        <v>3</v>
      </c>
      <c r="E682" s="281" t="s">
        <v>1283</v>
      </c>
      <c r="F682" s="281" t="s">
        <v>2365</v>
      </c>
      <c r="G682" s="284"/>
      <c r="H682" s="284"/>
      <c r="I682" s="284"/>
      <c r="J682" s="281"/>
      <c r="K682" s="281"/>
      <c r="L682" s="281"/>
      <c r="M682" s="281"/>
      <c r="N682" s="281">
        <f t="shared" si="14"/>
        <v>0</v>
      </c>
      <c r="O682" s="281" t="s">
        <v>2365</v>
      </c>
      <c r="P682" s="281" t="s">
        <v>2365</v>
      </c>
      <c r="Q682" s="281">
        <v>13230</v>
      </c>
      <c r="R682" s="281">
        <v>13220</v>
      </c>
      <c r="S682" s="281">
        <v>13220</v>
      </c>
      <c r="T682" s="284">
        <v>10</v>
      </c>
    </row>
    <row r="683" spans="1:21">
      <c r="A683" s="165" t="s">
        <v>786</v>
      </c>
      <c r="B683" s="94">
        <v>774</v>
      </c>
      <c r="C683" s="165" t="s">
        <v>1302</v>
      </c>
      <c r="D683" s="165">
        <v>1</v>
      </c>
      <c r="E683" s="165" t="s">
        <v>787</v>
      </c>
      <c r="F683" s="165" t="s">
        <v>788</v>
      </c>
      <c r="G683" s="165">
        <v>11970</v>
      </c>
      <c r="H683" s="165"/>
      <c r="I683" s="165"/>
      <c r="J683" s="165">
        <v>11970</v>
      </c>
      <c r="K683" s="165"/>
      <c r="L683" s="165"/>
      <c r="M683" s="165"/>
      <c r="N683" s="165">
        <f t="shared" si="14"/>
        <v>0</v>
      </c>
      <c r="O683" s="165" t="s">
        <v>3161</v>
      </c>
      <c r="P683" s="165" t="s">
        <v>3162</v>
      </c>
      <c r="Q683" s="3">
        <v>11970</v>
      </c>
      <c r="R683">
        <v>11970</v>
      </c>
    </row>
    <row r="684" spans="1:21">
      <c r="A684" s="165" t="s">
        <v>786</v>
      </c>
      <c r="B684" s="94">
        <v>775</v>
      </c>
      <c r="C684" s="165" t="s">
        <v>1302</v>
      </c>
      <c r="D684" s="165">
        <v>2</v>
      </c>
      <c r="E684" s="165" t="s">
        <v>789</v>
      </c>
      <c r="F684" s="165" t="s">
        <v>790</v>
      </c>
      <c r="G684" s="165">
        <v>11970</v>
      </c>
      <c r="H684" s="165"/>
      <c r="I684" s="165"/>
      <c r="J684" s="165">
        <v>11970</v>
      </c>
      <c r="K684" s="165"/>
      <c r="L684" s="165"/>
      <c r="M684" s="165"/>
      <c r="N684" s="165">
        <f t="shared" si="14"/>
        <v>0</v>
      </c>
      <c r="O684" s="165" t="s">
        <v>3167</v>
      </c>
      <c r="P684" s="165" t="s">
        <v>3168</v>
      </c>
      <c r="Q684" s="3">
        <v>11970</v>
      </c>
      <c r="R684">
        <v>11970</v>
      </c>
    </row>
    <row r="685" spans="1:21">
      <c r="A685" s="165" t="s">
        <v>786</v>
      </c>
      <c r="B685" s="94">
        <v>776</v>
      </c>
      <c r="C685" s="165" t="s">
        <v>1302</v>
      </c>
      <c r="D685" s="165">
        <v>3</v>
      </c>
      <c r="E685" s="165" t="s">
        <v>791</v>
      </c>
      <c r="F685" s="165" t="s">
        <v>792</v>
      </c>
      <c r="G685" s="165">
        <v>11970</v>
      </c>
      <c r="H685" s="165"/>
      <c r="I685" s="165"/>
      <c r="J685" s="165">
        <v>11970</v>
      </c>
      <c r="K685" s="165"/>
      <c r="L685" s="165"/>
      <c r="M685" s="165"/>
      <c r="N685" s="165">
        <f t="shared" si="14"/>
        <v>0</v>
      </c>
      <c r="O685" s="165" t="s">
        <v>3165</v>
      </c>
      <c r="P685" s="165" t="s">
        <v>3166</v>
      </c>
      <c r="Q685" s="3">
        <v>11970</v>
      </c>
      <c r="R685">
        <v>11970</v>
      </c>
    </row>
    <row r="686" spans="1:21">
      <c r="A686" s="165" t="s">
        <v>786</v>
      </c>
      <c r="B686" s="94">
        <v>777</v>
      </c>
      <c r="C686" s="165" t="s">
        <v>1302</v>
      </c>
      <c r="D686" s="165">
        <v>4</v>
      </c>
      <c r="E686" s="165" t="s">
        <v>793</v>
      </c>
      <c r="F686" s="165" t="s">
        <v>794</v>
      </c>
      <c r="G686" s="165">
        <v>11970</v>
      </c>
      <c r="H686" s="165"/>
      <c r="I686" s="165"/>
      <c r="J686" s="165"/>
      <c r="K686" s="165">
        <v>11970</v>
      </c>
      <c r="L686" s="165"/>
      <c r="M686" s="165"/>
      <c r="N686" s="165">
        <f t="shared" si="14"/>
        <v>0</v>
      </c>
      <c r="O686" s="165" t="s">
        <v>3938</v>
      </c>
      <c r="P686" s="165" t="s">
        <v>3939</v>
      </c>
      <c r="Q686" s="3">
        <v>11970</v>
      </c>
      <c r="R686">
        <v>11970</v>
      </c>
    </row>
    <row r="687" spans="1:21">
      <c r="A687" s="165" t="s">
        <v>786</v>
      </c>
      <c r="B687" s="94">
        <v>778</v>
      </c>
      <c r="C687" s="165" t="s">
        <v>1302</v>
      </c>
      <c r="D687" s="165">
        <v>5</v>
      </c>
      <c r="E687" s="165" t="s">
        <v>795</v>
      </c>
      <c r="F687" s="165" t="s">
        <v>796</v>
      </c>
      <c r="G687" s="165">
        <v>11970</v>
      </c>
      <c r="H687" s="165"/>
      <c r="I687" s="165"/>
      <c r="J687" s="165"/>
      <c r="K687" s="165">
        <v>11970</v>
      </c>
      <c r="L687" s="165"/>
      <c r="M687" s="165"/>
      <c r="N687" s="165">
        <f t="shared" si="14"/>
        <v>0</v>
      </c>
      <c r="O687" s="165" t="s">
        <v>3944</v>
      </c>
      <c r="P687" s="165" t="s">
        <v>3945</v>
      </c>
      <c r="Q687" s="3">
        <v>11970</v>
      </c>
      <c r="R687">
        <v>11970</v>
      </c>
    </row>
    <row r="688" spans="1:21">
      <c r="A688" s="165" t="s">
        <v>786</v>
      </c>
      <c r="B688" s="94">
        <v>779</v>
      </c>
      <c r="C688" s="165" t="s">
        <v>1302</v>
      </c>
      <c r="D688" s="165">
        <v>6</v>
      </c>
      <c r="E688" s="165" t="s">
        <v>797</v>
      </c>
      <c r="F688" s="165" t="s">
        <v>798</v>
      </c>
      <c r="G688" s="165">
        <v>11970</v>
      </c>
      <c r="H688" s="165"/>
      <c r="I688" s="165"/>
      <c r="J688" s="165"/>
      <c r="K688" s="165">
        <v>11970</v>
      </c>
      <c r="L688" s="165"/>
      <c r="M688" s="165"/>
      <c r="N688" s="165">
        <f t="shared" si="14"/>
        <v>0</v>
      </c>
      <c r="O688" s="165" t="s">
        <v>3952</v>
      </c>
      <c r="P688" s="165" t="s">
        <v>3953</v>
      </c>
      <c r="Q688" s="3">
        <v>11970</v>
      </c>
      <c r="R688">
        <v>11970</v>
      </c>
    </row>
    <row r="689" spans="1:21">
      <c r="A689" s="165" t="s">
        <v>786</v>
      </c>
      <c r="B689" s="94">
        <v>780</v>
      </c>
      <c r="C689" s="165" t="s">
        <v>1302</v>
      </c>
      <c r="D689" s="165">
        <v>7</v>
      </c>
      <c r="E689" s="165" t="s">
        <v>799</v>
      </c>
      <c r="F689" s="165" t="s">
        <v>800</v>
      </c>
      <c r="G689" s="165">
        <v>11970</v>
      </c>
      <c r="H689" s="165"/>
      <c r="I689" s="165"/>
      <c r="J689" s="165"/>
      <c r="K689" s="165">
        <v>11970</v>
      </c>
      <c r="L689" s="165"/>
      <c r="M689" s="165"/>
      <c r="N689" s="165">
        <f t="shared" si="14"/>
        <v>0</v>
      </c>
      <c r="O689" s="165" t="s">
        <v>3965</v>
      </c>
      <c r="P689" s="165" t="s">
        <v>3966</v>
      </c>
      <c r="Q689" s="3">
        <v>11970</v>
      </c>
      <c r="R689">
        <v>11970</v>
      </c>
    </row>
    <row r="690" spans="1:21">
      <c r="A690" s="165" t="s">
        <v>786</v>
      </c>
      <c r="B690" s="94">
        <v>781</v>
      </c>
      <c r="C690" s="165" t="s">
        <v>1302</v>
      </c>
      <c r="D690" s="165">
        <v>8</v>
      </c>
      <c r="E690" s="165" t="s">
        <v>801</v>
      </c>
      <c r="F690" s="165" t="s">
        <v>802</v>
      </c>
      <c r="G690" s="165">
        <v>11970</v>
      </c>
      <c r="H690" s="165"/>
      <c r="I690" s="165"/>
      <c r="J690" s="165"/>
      <c r="K690" s="165"/>
      <c r="L690" s="165">
        <v>11970</v>
      </c>
      <c r="M690" s="165"/>
      <c r="N690" s="165">
        <f>G690+H690+I690-J690-K690-L690</f>
        <v>0</v>
      </c>
      <c r="O690" s="165" t="s">
        <v>4236</v>
      </c>
      <c r="P690" s="165" t="s">
        <v>4752</v>
      </c>
      <c r="Q690" s="3">
        <v>11970</v>
      </c>
      <c r="R690">
        <v>11970</v>
      </c>
    </row>
    <row r="691" spans="1:21" s="163" customFormat="1">
      <c r="A691" s="281" t="s">
        <v>3046</v>
      </c>
      <c r="B691" s="281"/>
      <c r="C691" s="281" t="s">
        <v>3825</v>
      </c>
      <c r="D691" s="281">
        <v>5</v>
      </c>
      <c r="E691" s="281" t="s">
        <v>1283</v>
      </c>
      <c r="F691" s="281" t="s">
        <v>3046</v>
      </c>
      <c r="G691" s="284"/>
      <c r="H691" s="284"/>
      <c r="I691" s="284"/>
      <c r="J691" s="281"/>
      <c r="K691" s="281"/>
      <c r="L691" s="281"/>
      <c r="M691" s="281"/>
      <c r="N691" s="281">
        <f t="shared" si="14"/>
        <v>0</v>
      </c>
      <c r="O691" s="281" t="s">
        <v>3046</v>
      </c>
      <c r="P691" s="281" t="s">
        <v>3046</v>
      </c>
      <c r="Q691" s="281">
        <v>14175</v>
      </c>
      <c r="R691" s="281">
        <v>14145</v>
      </c>
      <c r="S691" s="281">
        <v>14145</v>
      </c>
      <c r="T691" s="284">
        <v>30</v>
      </c>
    </row>
    <row r="692" spans="1:21" s="5" customFormat="1">
      <c r="A692" s="94" t="s">
        <v>803</v>
      </c>
      <c r="B692" s="94">
        <v>782</v>
      </c>
      <c r="C692" s="94" t="s">
        <v>1232</v>
      </c>
      <c r="D692" s="94">
        <v>12</v>
      </c>
      <c r="E692" s="94" t="s">
        <v>804</v>
      </c>
      <c r="F692" s="94" t="s">
        <v>719</v>
      </c>
      <c r="G692" s="94">
        <v>16380</v>
      </c>
      <c r="H692" s="94"/>
      <c r="I692" s="94"/>
      <c r="J692" s="94">
        <v>16380</v>
      </c>
      <c r="K692" s="94"/>
      <c r="L692" s="94"/>
      <c r="M692" s="94"/>
      <c r="N692" s="94">
        <f t="shared" si="14"/>
        <v>0</v>
      </c>
      <c r="O692" s="94" t="s">
        <v>3161</v>
      </c>
      <c r="P692" s="94" t="s">
        <v>3162</v>
      </c>
      <c r="Q692" s="93">
        <v>16380</v>
      </c>
      <c r="R692" s="5">
        <v>16380</v>
      </c>
      <c r="T692" s="93"/>
    </row>
    <row r="693" spans="1:21" s="114" customFormat="1">
      <c r="A693" s="214" t="s">
        <v>1010</v>
      </c>
      <c r="B693" s="305" t="s">
        <v>3175</v>
      </c>
      <c r="C693" s="305" t="s">
        <v>3176</v>
      </c>
      <c r="D693" s="214">
        <v>1</v>
      </c>
      <c r="E693" s="214" t="s">
        <v>1283</v>
      </c>
      <c r="F693" s="214" t="s">
        <v>1010</v>
      </c>
      <c r="G693" s="211"/>
      <c r="H693" s="211"/>
      <c r="I693" s="211"/>
      <c r="J693" s="214"/>
      <c r="K693" s="214"/>
      <c r="L693" s="214"/>
      <c r="M693" s="214"/>
      <c r="N693" s="214">
        <f t="shared" si="14"/>
        <v>0</v>
      </c>
      <c r="O693" s="214" t="s">
        <v>1010</v>
      </c>
      <c r="P693" s="214" t="s">
        <v>1010</v>
      </c>
      <c r="Q693" s="214">
        <v>37800</v>
      </c>
      <c r="R693" s="214">
        <v>37800</v>
      </c>
      <c r="S693" s="214">
        <v>37800</v>
      </c>
      <c r="T693" s="211"/>
    </row>
    <row r="694" spans="1:21" s="163" customFormat="1">
      <c r="A694" s="281" t="s">
        <v>3177</v>
      </c>
      <c r="B694" s="281"/>
      <c r="C694" s="281" t="s">
        <v>1013</v>
      </c>
      <c r="D694" s="281">
        <v>1</v>
      </c>
      <c r="E694" s="281" t="s">
        <v>1283</v>
      </c>
      <c r="F694" s="281" t="s">
        <v>3177</v>
      </c>
      <c r="G694" s="284"/>
      <c r="H694" s="284"/>
      <c r="I694" s="284"/>
      <c r="J694" s="281"/>
      <c r="K694" s="281"/>
      <c r="L694" s="281"/>
      <c r="M694" s="281"/>
      <c r="N694" s="281">
        <f t="shared" si="14"/>
        <v>0</v>
      </c>
      <c r="O694" s="281" t="s">
        <v>3177</v>
      </c>
      <c r="P694" s="281" t="s">
        <v>3177</v>
      </c>
      <c r="Q694" s="281">
        <v>105000</v>
      </c>
      <c r="R694" s="281">
        <v>105000</v>
      </c>
      <c r="S694" s="281">
        <v>105000</v>
      </c>
      <c r="T694" s="284"/>
      <c r="U694" s="163" t="s">
        <v>746</v>
      </c>
    </row>
    <row r="695" spans="1:21" s="163" customFormat="1">
      <c r="A695" s="281" t="s">
        <v>3733</v>
      </c>
      <c r="B695" s="281"/>
      <c r="C695" s="281" t="s">
        <v>1016</v>
      </c>
      <c r="D695" s="281">
        <v>1</v>
      </c>
      <c r="E695" s="281" t="s">
        <v>1283</v>
      </c>
      <c r="F695" s="281" t="s">
        <v>3733</v>
      </c>
      <c r="G695" s="284"/>
      <c r="H695" s="284"/>
      <c r="I695" s="284"/>
      <c r="J695" s="281"/>
      <c r="K695" s="281"/>
      <c r="L695" s="281"/>
      <c r="M695" s="281"/>
      <c r="N695" s="281">
        <f t="shared" si="14"/>
        <v>0</v>
      </c>
      <c r="O695" s="281" t="s">
        <v>3733</v>
      </c>
      <c r="P695" s="281" t="s">
        <v>3733</v>
      </c>
      <c r="Q695" s="281">
        <v>105000</v>
      </c>
      <c r="R695" s="281">
        <v>105000</v>
      </c>
      <c r="S695" s="281">
        <v>105000</v>
      </c>
      <c r="T695" s="284"/>
      <c r="U695" s="163" t="s">
        <v>746</v>
      </c>
    </row>
    <row r="696" spans="1:21" s="163" customFormat="1">
      <c r="A696" s="281" t="s">
        <v>3738</v>
      </c>
      <c r="B696" s="281"/>
      <c r="C696" s="281" t="s">
        <v>1016</v>
      </c>
      <c r="D696" s="281">
        <v>1</v>
      </c>
      <c r="E696" s="281" t="s">
        <v>1283</v>
      </c>
      <c r="F696" s="281" t="s">
        <v>3738</v>
      </c>
      <c r="G696" s="284"/>
      <c r="H696" s="284"/>
      <c r="I696" s="284"/>
      <c r="J696" s="281"/>
      <c r="K696" s="281"/>
      <c r="L696" s="281"/>
      <c r="M696" s="281"/>
      <c r="N696" s="281">
        <f t="shared" si="14"/>
        <v>0</v>
      </c>
      <c r="O696" s="281" t="s">
        <v>3738</v>
      </c>
      <c r="P696" s="281" t="s">
        <v>3738</v>
      </c>
      <c r="Q696" s="281">
        <v>20000</v>
      </c>
      <c r="R696" s="281">
        <v>20000</v>
      </c>
      <c r="S696" s="281">
        <v>20000</v>
      </c>
      <c r="T696" s="284"/>
      <c r="U696" s="163" t="s">
        <v>746</v>
      </c>
    </row>
    <row r="697" spans="1:21">
      <c r="A697" s="165" t="s">
        <v>805</v>
      </c>
      <c r="B697" s="94">
        <v>783</v>
      </c>
      <c r="C697" s="165" t="s">
        <v>1303</v>
      </c>
      <c r="D697" s="165">
        <v>1</v>
      </c>
      <c r="E697" s="165" t="s">
        <v>806</v>
      </c>
      <c r="F697" s="165" t="s">
        <v>1030</v>
      </c>
      <c r="G697" s="165">
        <v>13230</v>
      </c>
      <c r="H697" s="165"/>
      <c r="I697" s="165"/>
      <c r="J697" s="165">
        <v>13230</v>
      </c>
      <c r="K697" s="165"/>
      <c r="L697" s="165"/>
      <c r="M697" s="165"/>
      <c r="N697" s="165">
        <f t="shared" si="14"/>
        <v>0</v>
      </c>
      <c r="O697" s="165" t="s">
        <v>3161</v>
      </c>
      <c r="P697" s="165" t="s">
        <v>3162</v>
      </c>
      <c r="Q697" s="3">
        <v>13230</v>
      </c>
      <c r="R697">
        <v>13230</v>
      </c>
    </row>
    <row r="698" spans="1:21">
      <c r="A698" s="165" t="s">
        <v>805</v>
      </c>
      <c r="B698" s="94">
        <v>784</v>
      </c>
      <c r="C698" s="165" t="s">
        <v>1303</v>
      </c>
      <c r="D698" s="165">
        <v>2</v>
      </c>
      <c r="E698" s="165" t="s">
        <v>807</v>
      </c>
      <c r="F698" s="165" t="s">
        <v>808</v>
      </c>
      <c r="G698" s="165">
        <v>13230</v>
      </c>
      <c r="H698" s="165"/>
      <c r="I698" s="165"/>
      <c r="J698" s="165">
        <v>13230</v>
      </c>
      <c r="K698" s="165"/>
      <c r="L698" s="165"/>
      <c r="M698" s="165"/>
      <c r="N698" s="165">
        <f t="shared" si="14"/>
        <v>0</v>
      </c>
      <c r="O698" s="165" t="s">
        <v>3167</v>
      </c>
      <c r="P698" s="165" t="s">
        <v>3168</v>
      </c>
      <c r="Q698" s="3">
        <v>13230</v>
      </c>
      <c r="R698">
        <v>13230</v>
      </c>
    </row>
    <row r="699" spans="1:21">
      <c r="A699" s="165" t="s">
        <v>805</v>
      </c>
      <c r="B699" s="94">
        <v>785</v>
      </c>
      <c r="C699" s="165" t="s">
        <v>1303</v>
      </c>
      <c r="D699" s="165">
        <v>3</v>
      </c>
      <c r="E699" s="165" t="s">
        <v>809</v>
      </c>
      <c r="F699" s="165" t="s">
        <v>810</v>
      </c>
      <c r="G699" s="165">
        <v>13230</v>
      </c>
      <c r="H699" s="165"/>
      <c r="I699" s="165"/>
      <c r="J699" s="165">
        <v>13230</v>
      </c>
      <c r="K699" s="165"/>
      <c r="L699" s="165"/>
      <c r="M699" s="165"/>
      <c r="N699" s="165">
        <f t="shared" si="14"/>
        <v>0</v>
      </c>
      <c r="O699" s="165" t="s">
        <v>3169</v>
      </c>
      <c r="P699" s="165" t="s">
        <v>3170</v>
      </c>
      <c r="Q699" s="3">
        <v>13230</v>
      </c>
      <c r="R699">
        <v>13230</v>
      </c>
    </row>
    <row r="700" spans="1:21">
      <c r="A700" s="165" t="s">
        <v>805</v>
      </c>
      <c r="B700" s="94">
        <v>786</v>
      </c>
      <c r="C700" s="165" t="s">
        <v>1303</v>
      </c>
      <c r="D700" s="165">
        <v>4</v>
      </c>
      <c r="E700" s="165" t="s">
        <v>811</v>
      </c>
      <c r="F700" s="165" t="s">
        <v>812</v>
      </c>
      <c r="G700" s="165">
        <v>13230</v>
      </c>
      <c r="H700" s="165"/>
      <c r="I700" s="165"/>
      <c r="J700" s="165"/>
      <c r="K700" s="165">
        <v>13230</v>
      </c>
      <c r="L700" s="165"/>
      <c r="M700" s="165"/>
      <c r="N700" s="165">
        <f t="shared" si="14"/>
        <v>0</v>
      </c>
      <c r="O700" s="165" t="s">
        <v>3938</v>
      </c>
      <c r="P700" s="165" t="s">
        <v>3939</v>
      </c>
      <c r="Q700" s="3">
        <v>13230</v>
      </c>
      <c r="R700">
        <v>13230</v>
      </c>
    </row>
    <row r="701" spans="1:21">
      <c r="A701" s="165" t="s">
        <v>805</v>
      </c>
      <c r="B701" s="94">
        <v>787</v>
      </c>
      <c r="C701" s="165" t="s">
        <v>1303</v>
      </c>
      <c r="D701" s="165">
        <v>5</v>
      </c>
      <c r="E701" s="165" t="s">
        <v>3644</v>
      </c>
      <c r="F701" s="165" t="s">
        <v>676</v>
      </c>
      <c r="G701" s="165">
        <v>13230</v>
      </c>
      <c r="H701" s="165"/>
      <c r="I701" s="165"/>
      <c r="J701" s="165"/>
      <c r="K701" s="165">
        <v>13230</v>
      </c>
      <c r="L701" s="165"/>
      <c r="M701" s="165"/>
      <c r="N701" s="165">
        <f t="shared" si="14"/>
        <v>0</v>
      </c>
      <c r="O701" s="165" t="s">
        <v>3940</v>
      </c>
      <c r="P701" s="165" t="s">
        <v>3941</v>
      </c>
      <c r="Q701" s="3">
        <v>13230</v>
      </c>
      <c r="R701">
        <v>13230</v>
      </c>
    </row>
    <row r="702" spans="1:21">
      <c r="A702" s="165" t="s">
        <v>805</v>
      </c>
      <c r="B702" s="94">
        <v>788</v>
      </c>
      <c r="C702" s="165" t="s">
        <v>1303</v>
      </c>
      <c r="D702" s="165">
        <v>6</v>
      </c>
      <c r="E702" s="165" t="s">
        <v>3645</v>
      </c>
      <c r="F702" s="165" t="s">
        <v>3646</v>
      </c>
      <c r="G702" s="165">
        <v>13230</v>
      </c>
      <c r="H702" s="165"/>
      <c r="I702" s="165"/>
      <c r="J702" s="165"/>
      <c r="K702" s="165">
        <v>13230</v>
      </c>
      <c r="L702" s="165"/>
      <c r="M702" s="165"/>
      <c r="N702" s="165">
        <f t="shared" si="14"/>
        <v>0</v>
      </c>
      <c r="O702" s="165" t="s">
        <v>3948</v>
      </c>
      <c r="P702" s="165" t="s">
        <v>3949</v>
      </c>
      <c r="Q702" s="3">
        <v>13230</v>
      </c>
      <c r="R702">
        <v>13230</v>
      </c>
    </row>
    <row r="703" spans="1:21">
      <c r="A703" s="165" t="s">
        <v>805</v>
      </c>
      <c r="B703" s="94">
        <v>789</v>
      </c>
      <c r="C703" s="165" t="s">
        <v>1303</v>
      </c>
      <c r="D703" s="165">
        <v>7</v>
      </c>
      <c r="E703" s="165" t="s">
        <v>3647</v>
      </c>
      <c r="F703" s="165" t="s">
        <v>3648</v>
      </c>
      <c r="G703" s="165">
        <v>13230</v>
      </c>
      <c r="H703" s="165"/>
      <c r="I703" s="165"/>
      <c r="J703" s="165"/>
      <c r="K703" s="165">
        <v>13230</v>
      </c>
      <c r="L703" s="165"/>
      <c r="M703" s="165"/>
      <c r="N703" s="165">
        <f t="shared" si="14"/>
        <v>0</v>
      </c>
      <c r="O703" s="165" t="s">
        <v>3967</v>
      </c>
      <c r="P703" s="165" t="s">
        <v>3968</v>
      </c>
      <c r="Q703" s="3">
        <v>13230</v>
      </c>
      <c r="R703">
        <v>13230</v>
      </c>
    </row>
    <row r="704" spans="1:21">
      <c r="A704" s="165" t="s">
        <v>805</v>
      </c>
      <c r="B704" s="94">
        <v>790</v>
      </c>
      <c r="C704" s="165" t="s">
        <v>1303</v>
      </c>
      <c r="D704" s="165">
        <v>8</v>
      </c>
      <c r="E704" s="165" t="s">
        <v>3649</v>
      </c>
      <c r="F704" s="165" t="s">
        <v>3650</v>
      </c>
      <c r="G704" s="165">
        <v>13230</v>
      </c>
      <c r="H704" s="165"/>
      <c r="I704" s="165"/>
      <c r="J704" s="165"/>
      <c r="K704" s="165"/>
      <c r="L704" s="165">
        <v>13230</v>
      </c>
      <c r="M704" s="165"/>
      <c r="N704" s="165">
        <f>G704+H704+I704-J704-K704-L704</f>
        <v>0</v>
      </c>
      <c r="O704" s="165" t="s">
        <v>4236</v>
      </c>
      <c r="P704" s="165" t="s">
        <v>4580</v>
      </c>
      <c r="Q704" s="3">
        <v>13230</v>
      </c>
      <c r="R704">
        <v>13230</v>
      </c>
    </row>
    <row r="705" spans="1:21" s="283" customFormat="1">
      <c r="A705" s="279" t="s">
        <v>3074</v>
      </c>
      <c r="B705" s="279"/>
      <c r="C705" s="279" t="s">
        <v>2060</v>
      </c>
      <c r="D705" s="279">
        <v>4</v>
      </c>
      <c r="E705" s="279" t="s">
        <v>1283</v>
      </c>
      <c r="F705" s="279" t="s">
        <v>880</v>
      </c>
      <c r="G705" s="280"/>
      <c r="H705" s="280"/>
      <c r="I705" s="280"/>
      <c r="J705" s="280"/>
      <c r="K705" s="280"/>
      <c r="L705" s="280"/>
      <c r="M705" s="280"/>
      <c r="N705" s="280">
        <f t="shared" si="14"/>
        <v>0</v>
      </c>
      <c r="O705" s="279" t="s">
        <v>3074</v>
      </c>
      <c r="P705" s="279" t="s">
        <v>3074</v>
      </c>
      <c r="Q705" s="279">
        <v>14175</v>
      </c>
      <c r="R705" s="279">
        <v>14165</v>
      </c>
      <c r="S705" s="279">
        <v>14165</v>
      </c>
      <c r="T705" s="280">
        <v>10</v>
      </c>
      <c r="U705" s="282" t="s">
        <v>245</v>
      </c>
    </row>
    <row r="706" spans="1:21" s="163" customFormat="1">
      <c r="A706" s="281" t="s">
        <v>3178</v>
      </c>
      <c r="B706" s="281"/>
      <c r="C706" s="281" t="s">
        <v>1264</v>
      </c>
      <c r="D706" s="281">
        <v>1</v>
      </c>
      <c r="E706" s="281" t="s">
        <v>1283</v>
      </c>
      <c r="F706" s="281" t="s">
        <v>3178</v>
      </c>
      <c r="G706" s="284"/>
      <c r="H706" s="284"/>
      <c r="I706" s="284"/>
      <c r="J706" s="281"/>
      <c r="K706" s="281"/>
      <c r="L706" s="281"/>
      <c r="M706" s="281"/>
      <c r="N706" s="281">
        <f t="shared" si="14"/>
        <v>0</v>
      </c>
      <c r="O706" s="281" t="s">
        <v>3178</v>
      </c>
      <c r="P706" s="281" t="s">
        <v>3178</v>
      </c>
      <c r="Q706" s="281">
        <v>45360</v>
      </c>
      <c r="R706" s="281">
        <v>45360</v>
      </c>
      <c r="S706" s="281">
        <v>45360</v>
      </c>
      <c r="T706" s="284"/>
    </row>
    <row r="707" spans="1:21" s="163" customFormat="1">
      <c r="A707" s="281" t="s">
        <v>1063</v>
      </c>
      <c r="B707" s="281"/>
      <c r="C707" s="281" t="s">
        <v>1532</v>
      </c>
      <c r="D707" s="281">
        <v>5</v>
      </c>
      <c r="E707" s="281" t="s">
        <v>1283</v>
      </c>
      <c r="F707" s="281" t="s">
        <v>1063</v>
      </c>
      <c r="G707" s="284"/>
      <c r="H707" s="284"/>
      <c r="I707" s="284"/>
      <c r="J707" s="281"/>
      <c r="K707" s="281"/>
      <c r="L707" s="281"/>
      <c r="M707" s="281"/>
      <c r="N707" s="281">
        <f t="shared" si="14"/>
        <v>0</v>
      </c>
      <c r="O707" s="281" t="s">
        <v>1063</v>
      </c>
      <c r="P707" s="281" t="s">
        <v>1063</v>
      </c>
      <c r="Q707" s="281">
        <v>13500</v>
      </c>
      <c r="R707" s="281">
        <v>13485</v>
      </c>
      <c r="S707" s="281">
        <v>13485</v>
      </c>
      <c r="T707" s="284">
        <v>15</v>
      </c>
    </row>
    <row r="708" spans="1:21" s="114" customFormat="1">
      <c r="A708" s="214" t="s">
        <v>3179</v>
      </c>
      <c r="B708" s="305" t="s">
        <v>3175</v>
      </c>
      <c r="C708" s="305" t="s">
        <v>3176</v>
      </c>
      <c r="D708" s="214">
        <v>2</v>
      </c>
      <c r="E708" s="214" t="s">
        <v>1283</v>
      </c>
      <c r="F708" s="214" t="s">
        <v>3179</v>
      </c>
      <c r="G708" s="211"/>
      <c r="H708" s="211"/>
      <c r="I708" s="211"/>
      <c r="J708" s="214"/>
      <c r="K708" s="214"/>
      <c r="L708" s="214"/>
      <c r="M708" s="214"/>
      <c r="N708" s="214">
        <f t="shared" si="14"/>
        <v>0</v>
      </c>
      <c r="O708" s="214" t="s">
        <v>3179</v>
      </c>
      <c r="P708" s="214" t="s">
        <v>3179</v>
      </c>
      <c r="Q708" s="214">
        <v>75600</v>
      </c>
      <c r="R708" s="214">
        <v>75600</v>
      </c>
      <c r="S708" s="214">
        <v>75600</v>
      </c>
      <c r="T708" s="211"/>
    </row>
    <row r="709" spans="1:21">
      <c r="A709" s="165" t="s">
        <v>3180</v>
      </c>
      <c r="B709" s="94">
        <v>791</v>
      </c>
      <c r="C709" s="165" t="s">
        <v>2690</v>
      </c>
      <c r="D709" s="165">
        <v>1</v>
      </c>
      <c r="E709" s="165" t="s">
        <v>3181</v>
      </c>
      <c r="F709" s="165" t="s">
        <v>1030</v>
      </c>
      <c r="G709" s="165">
        <v>12600</v>
      </c>
      <c r="H709" s="165"/>
      <c r="I709" s="165"/>
      <c r="J709" s="165">
        <v>12600</v>
      </c>
      <c r="K709" s="165"/>
      <c r="L709" s="165"/>
      <c r="M709" s="165"/>
      <c r="N709" s="165">
        <f t="shared" si="14"/>
        <v>0</v>
      </c>
      <c r="O709" s="165" t="s">
        <v>683</v>
      </c>
      <c r="P709" s="165" t="s">
        <v>3163</v>
      </c>
      <c r="Q709" s="3">
        <v>12600</v>
      </c>
      <c r="R709">
        <v>12600</v>
      </c>
    </row>
    <row r="710" spans="1:21">
      <c r="A710" s="165" t="s">
        <v>3180</v>
      </c>
      <c r="B710" s="94">
        <v>792</v>
      </c>
      <c r="C710" s="165" t="s">
        <v>2690</v>
      </c>
      <c r="D710" s="165">
        <v>2</v>
      </c>
      <c r="E710" s="165" t="s">
        <v>3182</v>
      </c>
      <c r="F710" s="165" t="s">
        <v>1031</v>
      </c>
      <c r="G710" s="165">
        <v>12600</v>
      </c>
      <c r="H710" s="165"/>
      <c r="I710" s="165"/>
      <c r="J710" s="165">
        <v>12600</v>
      </c>
      <c r="K710" s="165"/>
      <c r="L710" s="165"/>
      <c r="M710" s="165"/>
      <c r="N710" s="165">
        <f t="shared" si="14"/>
        <v>0</v>
      </c>
      <c r="O710" s="165" t="s">
        <v>3167</v>
      </c>
      <c r="P710" s="165" t="s">
        <v>3168</v>
      </c>
      <c r="Q710" s="3">
        <v>12600</v>
      </c>
      <c r="R710">
        <v>12600</v>
      </c>
    </row>
    <row r="711" spans="1:21">
      <c r="A711" s="165" t="s">
        <v>3180</v>
      </c>
      <c r="B711" s="94">
        <v>793</v>
      </c>
      <c r="C711" s="165" t="s">
        <v>2690</v>
      </c>
      <c r="D711" s="165">
        <v>3</v>
      </c>
      <c r="E711" s="165" t="s">
        <v>3183</v>
      </c>
      <c r="F711" s="165" t="s">
        <v>1032</v>
      </c>
      <c r="G711" s="165">
        <v>12600</v>
      </c>
      <c r="H711" s="165"/>
      <c r="I711" s="165"/>
      <c r="J711" s="165">
        <v>12600</v>
      </c>
      <c r="K711" s="165"/>
      <c r="L711" s="165"/>
      <c r="M711" s="165"/>
      <c r="N711" s="165">
        <f t="shared" si="14"/>
        <v>0</v>
      </c>
      <c r="O711" s="165" t="s">
        <v>3169</v>
      </c>
      <c r="P711" s="165" t="s">
        <v>3170</v>
      </c>
      <c r="Q711" s="3">
        <v>12600</v>
      </c>
      <c r="R711">
        <v>12600</v>
      </c>
    </row>
    <row r="712" spans="1:21">
      <c r="A712" s="165" t="s">
        <v>3180</v>
      </c>
      <c r="B712" s="94">
        <v>794</v>
      </c>
      <c r="C712" s="165" t="s">
        <v>2690</v>
      </c>
      <c r="D712" s="165">
        <v>4</v>
      </c>
      <c r="E712" s="165" t="s">
        <v>3184</v>
      </c>
      <c r="F712" s="165" t="s">
        <v>674</v>
      </c>
      <c r="G712" s="165">
        <v>12600</v>
      </c>
      <c r="H712" s="165"/>
      <c r="I712" s="165"/>
      <c r="J712" s="165"/>
      <c r="K712" s="165">
        <v>12600</v>
      </c>
      <c r="L712" s="165"/>
      <c r="M712" s="165"/>
      <c r="N712" s="165">
        <f t="shared" si="14"/>
        <v>0</v>
      </c>
      <c r="O712" s="165" t="s">
        <v>3938</v>
      </c>
      <c r="P712" s="165" t="s">
        <v>3939</v>
      </c>
      <c r="Q712" s="3">
        <v>12600</v>
      </c>
      <c r="R712">
        <v>12600</v>
      </c>
    </row>
    <row r="713" spans="1:21">
      <c r="A713" s="165" t="s">
        <v>3180</v>
      </c>
      <c r="B713" s="94">
        <v>795</v>
      </c>
      <c r="C713" s="165" t="s">
        <v>2690</v>
      </c>
      <c r="D713" s="165">
        <v>5</v>
      </c>
      <c r="E713" s="165" t="s">
        <v>3185</v>
      </c>
      <c r="F713" s="165" t="s">
        <v>676</v>
      </c>
      <c r="G713" s="165">
        <v>12600</v>
      </c>
      <c r="H713" s="165"/>
      <c r="I713" s="165"/>
      <c r="J713" s="165"/>
      <c r="K713" s="165">
        <v>12600</v>
      </c>
      <c r="L713" s="165"/>
      <c r="M713" s="165"/>
      <c r="N713" s="165">
        <f t="shared" si="14"/>
        <v>0</v>
      </c>
      <c r="O713" s="165" t="s">
        <v>3940</v>
      </c>
      <c r="P713" s="165" t="s">
        <v>3941</v>
      </c>
      <c r="Q713" s="3">
        <v>12600</v>
      </c>
      <c r="R713">
        <v>12600</v>
      </c>
    </row>
    <row r="714" spans="1:21">
      <c r="A714" s="165" t="s">
        <v>3180</v>
      </c>
      <c r="B714" s="94">
        <v>796</v>
      </c>
      <c r="C714" s="165" t="s">
        <v>2690</v>
      </c>
      <c r="D714" s="165">
        <v>6</v>
      </c>
      <c r="E714" s="165" t="s">
        <v>3186</v>
      </c>
      <c r="F714" s="165" t="s">
        <v>3187</v>
      </c>
      <c r="G714" s="165">
        <v>12600</v>
      </c>
      <c r="H714" s="165"/>
      <c r="I714" s="165"/>
      <c r="J714" s="165"/>
      <c r="K714" s="165">
        <v>12600</v>
      </c>
      <c r="L714" s="165"/>
      <c r="M714" s="165"/>
      <c r="N714" s="165">
        <f t="shared" si="14"/>
        <v>0</v>
      </c>
      <c r="O714" s="165" t="s">
        <v>3948</v>
      </c>
      <c r="P714" s="165" t="s">
        <v>3949</v>
      </c>
      <c r="Q714" s="3">
        <v>12600</v>
      </c>
      <c r="R714">
        <v>12600</v>
      </c>
    </row>
    <row r="715" spans="1:21">
      <c r="A715" s="165" t="s">
        <v>3180</v>
      </c>
      <c r="B715" s="94">
        <v>797</v>
      </c>
      <c r="C715" s="165" t="s">
        <v>2690</v>
      </c>
      <c r="D715" s="165">
        <v>7</v>
      </c>
      <c r="E715" s="165" t="s">
        <v>3188</v>
      </c>
      <c r="F715" s="165" t="s">
        <v>3189</v>
      </c>
      <c r="G715" s="165">
        <v>12600</v>
      </c>
      <c r="H715" s="165"/>
      <c r="I715" s="165"/>
      <c r="J715" s="165"/>
      <c r="K715" s="165">
        <v>12600</v>
      </c>
      <c r="L715" s="165"/>
      <c r="M715" s="165"/>
      <c r="N715" s="165">
        <f t="shared" si="14"/>
        <v>0</v>
      </c>
      <c r="O715" s="165" t="s">
        <v>3967</v>
      </c>
      <c r="P715" s="165" t="s">
        <v>3968</v>
      </c>
      <c r="Q715" s="3">
        <v>12600</v>
      </c>
      <c r="R715">
        <v>12600</v>
      </c>
    </row>
    <row r="716" spans="1:21">
      <c r="A716" s="165" t="s">
        <v>3180</v>
      </c>
      <c r="B716" s="94">
        <v>798</v>
      </c>
      <c r="C716" s="165" t="s">
        <v>2690</v>
      </c>
      <c r="D716" s="165">
        <v>8</v>
      </c>
      <c r="E716" s="165" t="s">
        <v>3190</v>
      </c>
      <c r="F716" s="165" t="s">
        <v>3191</v>
      </c>
      <c r="G716" s="165">
        <v>12600</v>
      </c>
      <c r="H716" s="165"/>
      <c r="I716" s="165"/>
      <c r="J716" s="165"/>
      <c r="K716" s="165"/>
      <c r="L716" s="165">
        <v>12600</v>
      </c>
      <c r="M716" s="165"/>
      <c r="N716" s="165">
        <f>G716+H716+I716-J716-K716-L716</f>
        <v>0</v>
      </c>
      <c r="O716" s="165" t="s">
        <v>4433</v>
      </c>
      <c r="P716" s="165" t="s">
        <v>4779</v>
      </c>
      <c r="Q716" s="3">
        <v>12600</v>
      </c>
      <c r="R716">
        <v>12600</v>
      </c>
    </row>
    <row r="717" spans="1:21" s="163" customFormat="1">
      <c r="A717" s="281" t="s">
        <v>3192</v>
      </c>
      <c r="B717" s="281"/>
      <c r="C717" s="281" t="s">
        <v>2421</v>
      </c>
      <c r="D717" s="281">
        <v>4</v>
      </c>
      <c r="E717" s="281" t="s">
        <v>1283</v>
      </c>
      <c r="F717" s="281" t="s">
        <v>3192</v>
      </c>
      <c r="G717" s="284"/>
      <c r="H717" s="284"/>
      <c r="I717" s="284"/>
      <c r="J717" s="281"/>
      <c r="K717" s="281"/>
      <c r="L717" s="281"/>
      <c r="M717" s="281"/>
      <c r="N717" s="281">
        <f t="shared" si="14"/>
        <v>0</v>
      </c>
      <c r="O717" s="281" t="s">
        <v>3192</v>
      </c>
      <c r="P717" s="281" t="s">
        <v>3192</v>
      </c>
      <c r="Q717" s="281">
        <v>13230</v>
      </c>
      <c r="R717" s="281">
        <v>13220</v>
      </c>
      <c r="S717" s="281">
        <v>13220</v>
      </c>
      <c r="T717" s="284">
        <v>10</v>
      </c>
    </row>
    <row r="718" spans="1:21" s="163" customFormat="1">
      <c r="A718" s="281" t="s">
        <v>3078</v>
      </c>
      <c r="B718" s="281"/>
      <c r="C718" s="281" t="s">
        <v>3825</v>
      </c>
      <c r="D718" s="281">
        <v>6</v>
      </c>
      <c r="E718" s="281" t="s">
        <v>1283</v>
      </c>
      <c r="F718" s="281" t="s">
        <v>3078</v>
      </c>
      <c r="G718" s="284"/>
      <c r="H718" s="284"/>
      <c r="I718" s="284"/>
      <c r="J718" s="281"/>
      <c r="K718" s="281"/>
      <c r="L718" s="281"/>
      <c r="M718" s="281"/>
      <c r="N718" s="281">
        <f t="shared" si="14"/>
        <v>0</v>
      </c>
      <c r="O718" s="281" t="s">
        <v>3078</v>
      </c>
      <c r="P718" s="281" t="s">
        <v>3078</v>
      </c>
      <c r="Q718" s="281">
        <v>14175</v>
      </c>
      <c r="R718" s="281">
        <v>14145</v>
      </c>
      <c r="S718" s="281">
        <v>14145</v>
      </c>
      <c r="T718" s="284">
        <v>30</v>
      </c>
    </row>
    <row r="719" spans="1:21">
      <c r="A719" s="165" t="s">
        <v>3193</v>
      </c>
      <c r="B719" s="94">
        <v>799</v>
      </c>
      <c r="C719" s="165" t="s">
        <v>1781</v>
      </c>
      <c r="D719" s="165">
        <v>1</v>
      </c>
      <c r="E719" s="165" t="s">
        <v>3194</v>
      </c>
      <c r="F719" s="165" t="s">
        <v>3195</v>
      </c>
      <c r="G719" s="165">
        <v>14175</v>
      </c>
      <c r="H719" s="165"/>
      <c r="I719" s="165"/>
      <c r="J719" s="165">
        <v>14175</v>
      </c>
      <c r="K719" s="165"/>
      <c r="L719" s="165"/>
      <c r="M719" s="165"/>
      <c r="N719" s="165">
        <f t="shared" si="14"/>
        <v>0</v>
      </c>
      <c r="O719" s="165" t="s">
        <v>3164</v>
      </c>
      <c r="P719" s="165" t="s">
        <v>808</v>
      </c>
      <c r="Q719" s="3">
        <v>14175</v>
      </c>
      <c r="R719">
        <v>14175</v>
      </c>
    </row>
    <row r="720" spans="1:21">
      <c r="A720" s="165" t="s">
        <v>3193</v>
      </c>
      <c r="B720" s="94">
        <v>800</v>
      </c>
      <c r="C720" s="165" t="s">
        <v>1781</v>
      </c>
      <c r="D720" s="165">
        <v>2</v>
      </c>
      <c r="E720" s="165" t="s">
        <v>3196</v>
      </c>
      <c r="F720" s="165" t="s">
        <v>3197</v>
      </c>
      <c r="G720" s="165">
        <v>14175</v>
      </c>
      <c r="H720" s="165"/>
      <c r="I720" s="165"/>
      <c r="J720" s="165">
        <v>14175</v>
      </c>
      <c r="K720" s="165"/>
      <c r="L720" s="165"/>
      <c r="M720" s="165"/>
      <c r="N720" s="165">
        <f t="shared" si="14"/>
        <v>0</v>
      </c>
      <c r="O720" s="165" t="s">
        <v>3165</v>
      </c>
      <c r="P720" s="165" t="s">
        <v>3166</v>
      </c>
      <c r="Q720" s="3">
        <v>14175</v>
      </c>
      <c r="R720">
        <v>14175</v>
      </c>
    </row>
    <row r="721" spans="1:20">
      <c r="A721" s="165" t="s">
        <v>3193</v>
      </c>
      <c r="B721" s="94">
        <v>801</v>
      </c>
      <c r="C721" s="165" t="s">
        <v>1781</v>
      </c>
      <c r="D721" s="165">
        <v>3</v>
      </c>
      <c r="E721" s="165" t="s">
        <v>3198</v>
      </c>
      <c r="F721" s="165" t="s">
        <v>3199</v>
      </c>
      <c r="G721" s="165">
        <v>14175</v>
      </c>
      <c r="H721" s="165"/>
      <c r="I721" s="165"/>
      <c r="J721" s="165">
        <v>14175</v>
      </c>
      <c r="K721" s="165"/>
      <c r="L721" s="165"/>
      <c r="M721" s="165"/>
      <c r="N721" s="165">
        <f t="shared" si="14"/>
        <v>0</v>
      </c>
      <c r="O721" s="165" t="s">
        <v>3171</v>
      </c>
      <c r="P721" s="165" t="s">
        <v>3172</v>
      </c>
      <c r="Q721" s="3">
        <v>14175</v>
      </c>
      <c r="R721">
        <v>14175</v>
      </c>
    </row>
    <row r="722" spans="1:20">
      <c r="A722" s="165" t="s">
        <v>3193</v>
      </c>
      <c r="B722" s="94">
        <v>802</v>
      </c>
      <c r="C722" s="165" t="s">
        <v>1781</v>
      </c>
      <c r="D722" s="165">
        <v>4</v>
      </c>
      <c r="E722" s="165" t="s">
        <v>3200</v>
      </c>
      <c r="F722" s="165" t="s">
        <v>3201</v>
      </c>
      <c r="G722" s="165">
        <v>14175</v>
      </c>
      <c r="H722" s="165"/>
      <c r="I722" s="165"/>
      <c r="J722" s="165"/>
      <c r="K722" s="165">
        <v>14175</v>
      </c>
      <c r="L722" s="165"/>
      <c r="M722" s="165"/>
      <c r="N722" s="165">
        <f t="shared" si="14"/>
        <v>0</v>
      </c>
      <c r="O722" s="165" t="s">
        <v>3936</v>
      </c>
      <c r="P722" s="165" t="s">
        <v>3937</v>
      </c>
      <c r="Q722" s="3">
        <v>14175</v>
      </c>
      <c r="R722">
        <v>14175</v>
      </c>
      <c r="T722"/>
    </row>
    <row r="723" spans="1:20">
      <c r="A723" s="165" t="s">
        <v>3193</v>
      </c>
      <c r="B723" s="94">
        <v>803</v>
      </c>
      <c r="C723" s="165" t="s">
        <v>1781</v>
      </c>
      <c r="D723" s="165">
        <v>5</v>
      </c>
      <c r="E723" s="165" t="s">
        <v>3202</v>
      </c>
      <c r="F723" s="165" t="s">
        <v>3203</v>
      </c>
      <c r="G723" s="165">
        <v>14175</v>
      </c>
      <c r="H723" s="165"/>
      <c r="I723" s="165"/>
      <c r="J723" s="165"/>
      <c r="K723" s="165">
        <v>14175</v>
      </c>
      <c r="L723" s="165"/>
      <c r="M723" s="165"/>
      <c r="N723" s="165">
        <f t="shared" si="14"/>
        <v>0</v>
      </c>
      <c r="O723" s="165" t="s">
        <v>3969</v>
      </c>
      <c r="P723" s="165" t="s">
        <v>3960</v>
      </c>
      <c r="Q723" s="3">
        <v>14175</v>
      </c>
      <c r="R723">
        <v>14175</v>
      </c>
      <c r="T723"/>
    </row>
    <row r="724" spans="1:20">
      <c r="A724" s="165" t="s">
        <v>3193</v>
      </c>
      <c r="B724" s="94">
        <v>804</v>
      </c>
      <c r="C724" s="165" t="s">
        <v>1781</v>
      </c>
      <c r="D724" s="165">
        <v>6</v>
      </c>
      <c r="E724" s="165" t="s">
        <v>3204</v>
      </c>
      <c r="F724" s="165" t="s">
        <v>3205</v>
      </c>
      <c r="G724" s="165">
        <v>14175</v>
      </c>
      <c r="H724" s="165"/>
      <c r="I724" s="165"/>
      <c r="J724" s="165"/>
      <c r="K724" s="165">
        <v>14175</v>
      </c>
      <c r="L724" s="165"/>
      <c r="M724" s="165"/>
      <c r="N724" s="165">
        <f t="shared" si="14"/>
        <v>0</v>
      </c>
      <c r="O724" s="165" t="s">
        <v>3970</v>
      </c>
      <c r="P724" s="165" t="s">
        <v>3971</v>
      </c>
      <c r="Q724" s="3">
        <v>14175</v>
      </c>
      <c r="R724">
        <v>14175</v>
      </c>
      <c r="T724"/>
    </row>
    <row r="725" spans="1:20">
      <c r="A725" s="165" t="s">
        <v>3193</v>
      </c>
      <c r="B725" s="94">
        <v>805</v>
      </c>
      <c r="C725" s="165" t="s">
        <v>1781</v>
      </c>
      <c r="D725" s="165">
        <v>7</v>
      </c>
      <c r="E725" s="165" t="s">
        <v>3206</v>
      </c>
      <c r="F725" s="165" t="s">
        <v>3207</v>
      </c>
      <c r="G725" s="165">
        <v>14175</v>
      </c>
      <c r="H725" s="165"/>
      <c r="I725" s="165"/>
      <c r="J725" s="165"/>
      <c r="K725" s="165">
        <v>14175</v>
      </c>
      <c r="L725" s="165"/>
      <c r="M725" s="165"/>
      <c r="N725" s="165">
        <f t="shared" si="14"/>
        <v>0</v>
      </c>
      <c r="O725" s="165" t="s">
        <v>3972</v>
      </c>
      <c r="P725" s="165" t="s">
        <v>3973</v>
      </c>
      <c r="Q725" s="3">
        <v>14175</v>
      </c>
      <c r="R725">
        <v>14175</v>
      </c>
      <c r="T725"/>
    </row>
    <row r="726" spans="1:20">
      <c r="A726" s="165" t="s">
        <v>3193</v>
      </c>
      <c r="B726" s="94">
        <v>806</v>
      </c>
      <c r="C726" s="165" t="s">
        <v>1781</v>
      </c>
      <c r="D726" s="165">
        <v>8</v>
      </c>
      <c r="E726" s="165" t="s">
        <v>3208</v>
      </c>
      <c r="F726" s="165" t="s">
        <v>3209</v>
      </c>
      <c r="G726" s="165">
        <v>14175</v>
      </c>
      <c r="H726" s="165"/>
      <c r="I726" s="165"/>
      <c r="J726" s="165"/>
      <c r="K726" s="165"/>
      <c r="L726" s="165">
        <v>14175</v>
      </c>
      <c r="M726" s="165"/>
      <c r="N726" s="165">
        <f>G726+H726+I726-J726-K726-L726</f>
        <v>0</v>
      </c>
      <c r="O726" s="165" t="s">
        <v>4766</v>
      </c>
      <c r="P726" s="165" t="s">
        <v>4595</v>
      </c>
      <c r="Q726" s="3">
        <v>14175</v>
      </c>
      <c r="R726">
        <v>14175</v>
      </c>
      <c r="T726"/>
    </row>
    <row r="727" spans="1:20">
      <c r="A727" s="165" t="s">
        <v>3739</v>
      </c>
      <c r="B727" s="94">
        <v>807</v>
      </c>
      <c r="C727" s="165" t="s">
        <v>1232</v>
      </c>
      <c r="D727" s="165">
        <v>1</v>
      </c>
      <c r="E727" s="165" t="s">
        <v>3210</v>
      </c>
      <c r="F727" s="165" t="s">
        <v>3211</v>
      </c>
      <c r="G727" s="165">
        <v>16380</v>
      </c>
      <c r="H727" s="165"/>
      <c r="I727" s="165"/>
      <c r="J727" s="165">
        <v>16380</v>
      </c>
      <c r="K727" s="165"/>
      <c r="L727" s="165"/>
      <c r="M727" s="165"/>
      <c r="N727" s="165">
        <f t="shared" ref="N727:N790" si="15">G727+H727+I727-J727-K727</f>
        <v>0</v>
      </c>
      <c r="O727" s="165" t="s">
        <v>3164</v>
      </c>
      <c r="P727" s="165" t="s">
        <v>808</v>
      </c>
      <c r="Q727" s="3">
        <v>16380</v>
      </c>
      <c r="R727">
        <v>16380</v>
      </c>
      <c r="T727"/>
    </row>
    <row r="728" spans="1:20">
      <c r="A728" s="165" t="s">
        <v>721</v>
      </c>
      <c r="B728" s="94">
        <v>808</v>
      </c>
      <c r="C728" s="165" t="s">
        <v>2424</v>
      </c>
      <c r="D728" s="165">
        <v>1</v>
      </c>
      <c r="E728" s="165" t="s">
        <v>3212</v>
      </c>
      <c r="F728" s="165" t="s">
        <v>2366</v>
      </c>
      <c r="G728" s="165">
        <v>11340</v>
      </c>
      <c r="H728" s="165"/>
      <c r="I728" s="165"/>
      <c r="J728" s="165">
        <v>11340</v>
      </c>
      <c r="K728" s="165"/>
      <c r="L728" s="165"/>
      <c r="M728" s="165"/>
      <c r="N728" s="165">
        <f t="shared" si="15"/>
        <v>0</v>
      </c>
      <c r="O728" s="165" t="s">
        <v>3164</v>
      </c>
      <c r="P728" s="165" t="s">
        <v>808</v>
      </c>
      <c r="Q728" s="3">
        <v>11340</v>
      </c>
      <c r="R728">
        <v>11340</v>
      </c>
      <c r="T728"/>
    </row>
    <row r="729" spans="1:20">
      <c r="A729" s="165" t="s">
        <v>721</v>
      </c>
      <c r="B729" s="94">
        <v>809</v>
      </c>
      <c r="C729" s="165" t="s">
        <v>2424</v>
      </c>
      <c r="D729" s="165">
        <v>2</v>
      </c>
      <c r="E729" s="165" t="s">
        <v>3213</v>
      </c>
      <c r="F729" s="165" t="s">
        <v>2367</v>
      </c>
      <c r="G729" s="165">
        <v>11340</v>
      </c>
      <c r="H729" s="165"/>
      <c r="I729" s="165"/>
      <c r="J729" s="165">
        <v>11340</v>
      </c>
      <c r="K729" s="165"/>
      <c r="L729" s="165"/>
      <c r="M729" s="165"/>
      <c r="N729" s="165">
        <f t="shared" si="15"/>
        <v>0</v>
      </c>
      <c r="O729" s="165" t="s">
        <v>3167</v>
      </c>
      <c r="P729" s="165" t="s">
        <v>3168</v>
      </c>
      <c r="Q729" s="3">
        <v>11340</v>
      </c>
      <c r="R729">
        <v>11340</v>
      </c>
      <c r="T729"/>
    </row>
    <row r="730" spans="1:20">
      <c r="A730" s="165" t="s">
        <v>721</v>
      </c>
      <c r="B730" s="94">
        <v>810</v>
      </c>
      <c r="C730" s="165" t="s">
        <v>2424</v>
      </c>
      <c r="D730" s="165">
        <v>3</v>
      </c>
      <c r="E730" s="165" t="s">
        <v>3214</v>
      </c>
      <c r="F730" s="165" t="s">
        <v>708</v>
      </c>
      <c r="G730" s="165">
        <v>11340</v>
      </c>
      <c r="H730" s="165"/>
      <c r="I730" s="165"/>
      <c r="J730" s="165">
        <v>11340</v>
      </c>
      <c r="K730" s="165"/>
      <c r="L730" s="165"/>
      <c r="M730" s="165"/>
      <c r="N730" s="165">
        <f t="shared" si="15"/>
        <v>0</v>
      </c>
      <c r="O730" s="165" t="s">
        <v>3169</v>
      </c>
      <c r="P730" s="165" t="s">
        <v>3170</v>
      </c>
      <c r="Q730" s="3">
        <v>11340</v>
      </c>
      <c r="R730">
        <v>11340</v>
      </c>
      <c r="T730"/>
    </row>
    <row r="731" spans="1:20">
      <c r="A731" s="165" t="s">
        <v>721</v>
      </c>
      <c r="B731" s="94">
        <v>811</v>
      </c>
      <c r="C731" s="165" t="s">
        <v>2424</v>
      </c>
      <c r="D731" s="165">
        <v>4</v>
      </c>
      <c r="E731" s="165" t="s">
        <v>3215</v>
      </c>
      <c r="F731" s="165" t="s">
        <v>659</v>
      </c>
      <c r="G731" s="165">
        <v>11340</v>
      </c>
      <c r="H731" s="165"/>
      <c r="I731" s="165"/>
      <c r="J731" s="165"/>
      <c r="K731" s="165">
        <v>11340</v>
      </c>
      <c r="L731" s="165"/>
      <c r="M731" s="165"/>
      <c r="N731" s="165">
        <f t="shared" si="15"/>
        <v>0</v>
      </c>
      <c r="O731" s="165" t="s">
        <v>3934</v>
      </c>
      <c r="P731" s="165" t="s">
        <v>3935</v>
      </c>
      <c r="Q731" s="3">
        <v>11340</v>
      </c>
      <c r="R731">
        <v>11340</v>
      </c>
      <c r="T731"/>
    </row>
    <row r="732" spans="1:20">
      <c r="A732" s="165" t="s">
        <v>721</v>
      </c>
      <c r="B732" s="94">
        <v>812</v>
      </c>
      <c r="C732" s="165" t="s">
        <v>2424</v>
      </c>
      <c r="D732" s="165">
        <v>5</v>
      </c>
      <c r="E732" s="165" t="s">
        <v>3216</v>
      </c>
      <c r="F732" s="165" t="s">
        <v>711</v>
      </c>
      <c r="G732" s="165">
        <v>11340</v>
      </c>
      <c r="H732" s="165"/>
      <c r="I732" s="165"/>
      <c r="J732" s="165"/>
      <c r="K732" s="165">
        <v>11340</v>
      </c>
      <c r="L732" s="165"/>
      <c r="M732" s="165"/>
      <c r="N732" s="165">
        <f t="shared" si="15"/>
        <v>0</v>
      </c>
      <c r="O732" s="165" t="s">
        <v>3950</v>
      </c>
      <c r="P732" s="165" t="s">
        <v>3951</v>
      </c>
      <c r="Q732" s="3">
        <v>11340</v>
      </c>
      <c r="R732">
        <v>11340</v>
      </c>
      <c r="T732"/>
    </row>
    <row r="733" spans="1:20">
      <c r="A733" s="165" t="s">
        <v>721</v>
      </c>
      <c r="B733" s="94">
        <v>813</v>
      </c>
      <c r="C733" s="165" t="s">
        <v>2424</v>
      </c>
      <c r="D733" s="165">
        <v>6</v>
      </c>
      <c r="E733" s="165" t="s">
        <v>3217</v>
      </c>
      <c r="F733" s="165" t="s">
        <v>663</v>
      </c>
      <c r="G733" s="165">
        <v>11340</v>
      </c>
      <c r="H733" s="165"/>
      <c r="I733" s="165"/>
      <c r="J733" s="165"/>
      <c r="K733" s="165">
        <v>11340</v>
      </c>
      <c r="L733" s="165"/>
      <c r="M733" s="165"/>
      <c r="N733" s="165">
        <f t="shared" si="15"/>
        <v>0</v>
      </c>
      <c r="O733" s="165" t="s">
        <v>3955</v>
      </c>
      <c r="P733" s="165" t="s">
        <v>3956</v>
      </c>
      <c r="Q733" s="3">
        <v>11340</v>
      </c>
      <c r="R733">
        <v>11340</v>
      </c>
      <c r="T733"/>
    </row>
    <row r="734" spans="1:20">
      <c r="A734" s="165" t="s">
        <v>721</v>
      </c>
      <c r="B734" s="94">
        <v>814</v>
      </c>
      <c r="C734" s="165" t="s">
        <v>2424</v>
      </c>
      <c r="D734" s="165">
        <v>7</v>
      </c>
      <c r="E734" s="165" t="s">
        <v>3218</v>
      </c>
      <c r="F734" s="165" t="s">
        <v>3219</v>
      </c>
      <c r="G734" s="165">
        <v>11340</v>
      </c>
      <c r="H734" s="165"/>
      <c r="I734" s="165"/>
      <c r="J734" s="165"/>
      <c r="K734" s="165">
        <v>11340</v>
      </c>
      <c r="L734" s="165"/>
      <c r="M734" s="165"/>
      <c r="N734" s="165">
        <f t="shared" si="15"/>
        <v>0</v>
      </c>
      <c r="O734" s="165" t="s">
        <v>3957</v>
      </c>
      <c r="P734" s="165" t="s">
        <v>3958</v>
      </c>
      <c r="Q734" s="3">
        <v>11340</v>
      </c>
      <c r="R734">
        <v>11340</v>
      </c>
      <c r="T734"/>
    </row>
    <row r="735" spans="1:20">
      <c r="A735" s="165" t="s">
        <v>721</v>
      </c>
      <c r="B735" s="94">
        <v>815</v>
      </c>
      <c r="C735" s="165" t="s">
        <v>2424</v>
      </c>
      <c r="D735" s="165">
        <v>8</v>
      </c>
      <c r="E735" s="165" t="s">
        <v>3220</v>
      </c>
      <c r="F735" s="165" t="s">
        <v>3221</v>
      </c>
      <c r="G735" s="165">
        <v>11340</v>
      </c>
      <c r="H735" s="165"/>
      <c r="I735" s="165"/>
      <c r="J735" s="165"/>
      <c r="K735" s="165"/>
      <c r="L735" s="165">
        <v>11340</v>
      </c>
      <c r="M735" s="165"/>
      <c r="N735" s="165">
        <f>G735+H735+I735-J735-K735-L735</f>
        <v>0</v>
      </c>
      <c r="O735" s="165" t="s">
        <v>4434</v>
      </c>
      <c r="P735" s="165" t="s">
        <v>4102</v>
      </c>
      <c r="Q735" s="3">
        <v>11340</v>
      </c>
      <c r="R735">
        <v>11340</v>
      </c>
      <c r="T735"/>
    </row>
    <row r="736" spans="1:20">
      <c r="A736" s="165" t="s">
        <v>3222</v>
      </c>
      <c r="B736" s="94">
        <v>816</v>
      </c>
      <c r="C736" s="165" t="s">
        <v>2254</v>
      </c>
      <c r="D736" s="165">
        <v>1</v>
      </c>
      <c r="E736" s="165" t="s">
        <v>3223</v>
      </c>
      <c r="F736" s="165" t="s">
        <v>3224</v>
      </c>
      <c r="G736" s="165">
        <v>12600</v>
      </c>
      <c r="H736" s="165"/>
      <c r="I736" s="165"/>
      <c r="J736" s="165">
        <v>12600</v>
      </c>
      <c r="K736" s="165"/>
      <c r="L736" s="165"/>
      <c r="M736" s="165"/>
      <c r="N736" s="165">
        <f t="shared" si="15"/>
        <v>0</v>
      </c>
      <c r="O736" s="165" t="s">
        <v>3164</v>
      </c>
      <c r="P736" s="165" t="s">
        <v>808</v>
      </c>
      <c r="Q736" s="3">
        <v>12600</v>
      </c>
      <c r="R736">
        <v>12600</v>
      </c>
      <c r="T736"/>
    </row>
    <row r="737" spans="1:20">
      <c r="A737" s="165" t="s">
        <v>3222</v>
      </c>
      <c r="B737" s="94">
        <v>817</v>
      </c>
      <c r="C737" s="165" t="s">
        <v>2254</v>
      </c>
      <c r="D737" s="165">
        <v>2</v>
      </c>
      <c r="E737" s="165" t="s">
        <v>3225</v>
      </c>
      <c r="F737" s="165" t="s">
        <v>3226</v>
      </c>
      <c r="G737" s="165">
        <v>12600</v>
      </c>
      <c r="H737" s="165"/>
      <c r="I737" s="165"/>
      <c r="J737" s="165">
        <v>12600</v>
      </c>
      <c r="K737" s="165"/>
      <c r="L737" s="165"/>
      <c r="M737" s="165"/>
      <c r="N737" s="165">
        <f t="shared" si="15"/>
        <v>0</v>
      </c>
      <c r="O737" s="165" t="s">
        <v>3165</v>
      </c>
      <c r="P737" s="165" t="s">
        <v>3166</v>
      </c>
      <c r="Q737" s="3">
        <v>12600</v>
      </c>
      <c r="R737">
        <v>12600</v>
      </c>
      <c r="T737"/>
    </row>
    <row r="738" spans="1:20">
      <c r="A738" s="165" t="s">
        <v>3222</v>
      </c>
      <c r="B738" s="94">
        <v>818</v>
      </c>
      <c r="C738" s="165" t="s">
        <v>2254</v>
      </c>
      <c r="D738" s="165">
        <v>3</v>
      </c>
      <c r="E738" s="165" t="s">
        <v>3227</v>
      </c>
      <c r="F738" s="165" t="s">
        <v>3172</v>
      </c>
      <c r="G738" s="165">
        <v>12600</v>
      </c>
      <c r="H738" s="165"/>
      <c r="I738" s="165"/>
      <c r="J738" s="165"/>
      <c r="K738" s="165">
        <v>12600</v>
      </c>
      <c r="L738" s="165"/>
      <c r="M738" s="165"/>
      <c r="N738" s="165">
        <f t="shared" si="15"/>
        <v>0</v>
      </c>
      <c r="O738" s="165" t="s">
        <v>3942</v>
      </c>
      <c r="P738" s="165" t="s">
        <v>3943</v>
      </c>
      <c r="Q738" s="3">
        <v>12600</v>
      </c>
      <c r="R738">
        <v>12600</v>
      </c>
      <c r="T738"/>
    </row>
    <row r="739" spans="1:20">
      <c r="A739" s="165" t="s">
        <v>3222</v>
      </c>
      <c r="B739" s="94">
        <v>819</v>
      </c>
      <c r="C739" s="165" t="s">
        <v>2254</v>
      </c>
      <c r="D739" s="165">
        <v>4</v>
      </c>
      <c r="E739" s="165" t="s">
        <v>3228</v>
      </c>
      <c r="F739" s="165" t="s">
        <v>3229</v>
      </c>
      <c r="G739" s="165">
        <v>12600</v>
      </c>
      <c r="H739" s="165"/>
      <c r="I739" s="165"/>
      <c r="J739" s="165"/>
      <c r="K739" s="165">
        <v>12600</v>
      </c>
      <c r="L739" s="165"/>
      <c r="M739" s="165"/>
      <c r="N739" s="165">
        <f t="shared" si="15"/>
        <v>0</v>
      </c>
      <c r="O739" s="165" t="s">
        <v>3944</v>
      </c>
      <c r="P739" s="165" t="s">
        <v>3945</v>
      </c>
      <c r="Q739" s="3">
        <v>12600</v>
      </c>
      <c r="R739">
        <v>12600</v>
      </c>
      <c r="T739"/>
    </row>
    <row r="740" spans="1:20">
      <c r="A740" s="165" t="s">
        <v>3222</v>
      </c>
      <c r="B740" s="94">
        <v>820</v>
      </c>
      <c r="C740" s="165" t="s">
        <v>2254</v>
      </c>
      <c r="D740" s="165">
        <v>5</v>
      </c>
      <c r="E740" s="165" t="s">
        <v>3230</v>
      </c>
      <c r="F740" s="165" t="s">
        <v>3231</v>
      </c>
      <c r="G740" s="165">
        <v>12600</v>
      </c>
      <c r="H740" s="165"/>
      <c r="I740" s="165"/>
      <c r="J740" s="165"/>
      <c r="K740" s="165">
        <v>12600</v>
      </c>
      <c r="L740" s="165"/>
      <c r="M740" s="165"/>
      <c r="N740" s="165">
        <f t="shared" si="15"/>
        <v>0</v>
      </c>
      <c r="O740" s="165" t="s">
        <v>3952</v>
      </c>
      <c r="P740" s="165" t="s">
        <v>3953</v>
      </c>
      <c r="Q740" s="3">
        <v>12600</v>
      </c>
      <c r="R740">
        <v>12600</v>
      </c>
      <c r="T740"/>
    </row>
    <row r="741" spans="1:20">
      <c r="A741" s="165" t="s">
        <v>3222</v>
      </c>
      <c r="B741" s="94">
        <v>821</v>
      </c>
      <c r="C741" s="165" t="s">
        <v>2254</v>
      </c>
      <c r="D741" s="165">
        <v>6</v>
      </c>
      <c r="E741" s="165" t="s">
        <v>3232</v>
      </c>
      <c r="F741" s="165" t="s">
        <v>3233</v>
      </c>
      <c r="G741" s="165">
        <v>12600</v>
      </c>
      <c r="H741" s="165"/>
      <c r="I741" s="165"/>
      <c r="J741" s="165"/>
      <c r="K741" s="165">
        <v>12600</v>
      </c>
      <c r="L741" s="165"/>
      <c r="M741" s="165"/>
      <c r="N741" s="165">
        <f t="shared" si="15"/>
        <v>0</v>
      </c>
      <c r="O741" s="165" t="s">
        <v>3965</v>
      </c>
      <c r="P741" s="165" t="s">
        <v>3966</v>
      </c>
      <c r="Q741" s="3">
        <v>12600</v>
      </c>
      <c r="R741">
        <v>12600</v>
      </c>
      <c r="T741"/>
    </row>
    <row r="742" spans="1:20">
      <c r="A742" s="165" t="s">
        <v>3222</v>
      </c>
      <c r="B742" s="94">
        <v>822</v>
      </c>
      <c r="C742" s="165" t="s">
        <v>2254</v>
      </c>
      <c r="D742" s="165">
        <v>7</v>
      </c>
      <c r="E742" s="165" t="s">
        <v>3234</v>
      </c>
      <c r="F742" s="165" t="s">
        <v>3235</v>
      </c>
      <c r="G742" s="165">
        <v>12600</v>
      </c>
      <c r="H742" s="165"/>
      <c r="I742" s="165"/>
      <c r="J742" s="165"/>
      <c r="K742" s="165"/>
      <c r="L742" s="165">
        <v>12600</v>
      </c>
      <c r="M742" s="165"/>
      <c r="N742" s="165">
        <f>G742+H742+I742-J742-K742-L742</f>
        <v>0</v>
      </c>
      <c r="O742" s="165" t="s">
        <v>4236</v>
      </c>
      <c r="P742" s="165" t="s">
        <v>4752</v>
      </c>
      <c r="Q742" s="3">
        <v>12600</v>
      </c>
      <c r="R742">
        <v>12600</v>
      </c>
      <c r="T742"/>
    </row>
    <row r="743" spans="1:20">
      <c r="A743" s="165" t="s">
        <v>3222</v>
      </c>
      <c r="B743" s="94">
        <v>823</v>
      </c>
      <c r="C743" s="165" t="s">
        <v>2254</v>
      </c>
      <c r="D743" s="165">
        <v>8</v>
      </c>
      <c r="E743" s="165" t="s">
        <v>3236</v>
      </c>
      <c r="F743" s="165" t="s">
        <v>3237</v>
      </c>
      <c r="G743" s="165">
        <v>12600</v>
      </c>
      <c r="H743" s="165"/>
      <c r="I743" s="165"/>
      <c r="J743" s="165"/>
      <c r="K743" s="165"/>
      <c r="L743" s="165">
        <v>12600</v>
      </c>
      <c r="M743" s="165"/>
      <c r="N743" s="165">
        <f>G743+H743+I743-J743-K743-L743</f>
        <v>0</v>
      </c>
      <c r="O743" s="165" t="s">
        <v>4439</v>
      </c>
      <c r="P743" s="165" t="s">
        <v>4780</v>
      </c>
      <c r="Q743" s="3">
        <v>12600</v>
      </c>
      <c r="R743">
        <v>12600</v>
      </c>
      <c r="T743"/>
    </row>
    <row r="744" spans="1:20">
      <c r="A744" s="165" t="s">
        <v>3222</v>
      </c>
      <c r="B744" s="94">
        <v>824</v>
      </c>
      <c r="C744" s="165" t="s">
        <v>2270</v>
      </c>
      <c r="D744" s="165">
        <v>1</v>
      </c>
      <c r="E744" s="165" t="s">
        <v>3238</v>
      </c>
      <c r="F744" s="165" t="s">
        <v>3224</v>
      </c>
      <c r="G744" s="165">
        <v>17325</v>
      </c>
      <c r="H744" s="165"/>
      <c r="I744" s="165"/>
      <c r="J744" s="165">
        <v>17325</v>
      </c>
      <c r="K744" s="165"/>
      <c r="L744" s="165"/>
      <c r="M744" s="165"/>
      <c r="N744" s="165">
        <f t="shared" si="15"/>
        <v>0</v>
      </c>
      <c r="O744" s="165" t="s">
        <v>3164</v>
      </c>
      <c r="P744" s="165" t="s">
        <v>808</v>
      </c>
      <c r="Q744" s="3">
        <v>17325</v>
      </c>
      <c r="R744">
        <v>17325</v>
      </c>
      <c r="T744"/>
    </row>
    <row r="745" spans="1:20">
      <c r="A745" s="165" t="s">
        <v>3222</v>
      </c>
      <c r="B745" s="94">
        <v>825</v>
      </c>
      <c r="C745" s="165" t="s">
        <v>2270</v>
      </c>
      <c r="D745" s="165">
        <v>2</v>
      </c>
      <c r="E745" s="165" t="s">
        <v>3239</v>
      </c>
      <c r="F745" s="165" t="s">
        <v>3226</v>
      </c>
      <c r="G745" s="165">
        <v>17325</v>
      </c>
      <c r="H745" s="165"/>
      <c r="I745" s="165"/>
      <c r="J745" s="165">
        <v>17325</v>
      </c>
      <c r="K745" s="165"/>
      <c r="L745" s="165"/>
      <c r="M745" s="165"/>
      <c r="N745" s="165">
        <f t="shared" si="15"/>
        <v>0</v>
      </c>
      <c r="O745" s="165" t="s">
        <v>3165</v>
      </c>
      <c r="P745" s="165" t="s">
        <v>3166</v>
      </c>
      <c r="Q745" s="3">
        <v>17325</v>
      </c>
      <c r="R745">
        <v>17325</v>
      </c>
      <c r="T745"/>
    </row>
    <row r="746" spans="1:20">
      <c r="A746" s="165" t="s">
        <v>3222</v>
      </c>
      <c r="B746" s="94">
        <v>826</v>
      </c>
      <c r="C746" s="165" t="s">
        <v>2270</v>
      </c>
      <c r="D746" s="165">
        <v>3</v>
      </c>
      <c r="E746" s="165" t="s">
        <v>3240</v>
      </c>
      <c r="F746" s="165" t="s">
        <v>3172</v>
      </c>
      <c r="G746" s="165">
        <v>17325</v>
      </c>
      <c r="H746" s="165"/>
      <c r="I746" s="165"/>
      <c r="J746" s="165"/>
      <c r="K746" s="165">
        <v>17325</v>
      </c>
      <c r="L746" s="165"/>
      <c r="M746" s="165"/>
      <c r="N746" s="165">
        <f t="shared" si="15"/>
        <v>0</v>
      </c>
      <c r="O746" s="165" t="s">
        <v>3942</v>
      </c>
      <c r="P746" s="165" t="s">
        <v>3943</v>
      </c>
      <c r="Q746" s="3">
        <v>17325</v>
      </c>
      <c r="R746">
        <v>17325</v>
      </c>
      <c r="T746"/>
    </row>
    <row r="747" spans="1:20">
      <c r="A747" s="165" t="s">
        <v>3222</v>
      </c>
      <c r="B747" s="94">
        <v>827</v>
      </c>
      <c r="C747" s="165" t="s">
        <v>2270</v>
      </c>
      <c r="D747" s="165">
        <v>4</v>
      </c>
      <c r="E747" s="165" t="s">
        <v>3241</v>
      </c>
      <c r="F747" s="165" t="s">
        <v>3229</v>
      </c>
      <c r="G747" s="165">
        <v>17325</v>
      </c>
      <c r="H747" s="165"/>
      <c r="I747" s="165"/>
      <c r="J747" s="165"/>
      <c r="K747" s="165">
        <v>17325</v>
      </c>
      <c r="L747" s="165"/>
      <c r="M747" s="165"/>
      <c r="N747" s="165">
        <f t="shared" si="15"/>
        <v>0</v>
      </c>
      <c r="O747" s="165" t="s">
        <v>3944</v>
      </c>
      <c r="P747" s="165" t="s">
        <v>3945</v>
      </c>
      <c r="Q747" s="3">
        <v>17325</v>
      </c>
      <c r="R747">
        <v>17325</v>
      </c>
      <c r="T747"/>
    </row>
    <row r="748" spans="1:20">
      <c r="A748" s="165" t="s">
        <v>3222</v>
      </c>
      <c r="B748" s="94">
        <v>828</v>
      </c>
      <c r="C748" s="165" t="s">
        <v>2270</v>
      </c>
      <c r="D748" s="165">
        <v>5</v>
      </c>
      <c r="E748" s="165" t="s">
        <v>3242</v>
      </c>
      <c r="F748" s="165" t="s">
        <v>3231</v>
      </c>
      <c r="G748" s="165">
        <v>17325</v>
      </c>
      <c r="H748" s="165"/>
      <c r="I748" s="165"/>
      <c r="J748" s="165"/>
      <c r="K748" s="165">
        <v>17325</v>
      </c>
      <c r="L748" s="165"/>
      <c r="M748" s="165"/>
      <c r="N748" s="165">
        <f t="shared" si="15"/>
        <v>0</v>
      </c>
      <c r="O748" s="165" t="s">
        <v>3952</v>
      </c>
      <c r="P748" s="165" t="s">
        <v>3953</v>
      </c>
      <c r="Q748" s="3">
        <v>17325</v>
      </c>
      <c r="R748">
        <v>17325</v>
      </c>
      <c r="T748"/>
    </row>
    <row r="749" spans="1:20">
      <c r="A749" s="165" t="s">
        <v>3222</v>
      </c>
      <c r="B749" s="94">
        <v>829</v>
      </c>
      <c r="C749" s="165" t="s">
        <v>2270</v>
      </c>
      <c r="D749" s="165">
        <v>6</v>
      </c>
      <c r="E749" s="165" t="s">
        <v>3243</v>
      </c>
      <c r="F749" s="165" t="s">
        <v>3233</v>
      </c>
      <c r="G749" s="165">
        <v>17325</v>
      </c>
      <c r="H749" s="165"/>
      <c r="I749" s="165"/>
      <c r="J749" s="165"/>
      <c r="K749" s="165">
        <v>17325</v>
      </c>
      <c r="L749" s="165"/>
      <c r="M749" s="165"/>
      <c r="N749" s="165">
        <f t="shared" si="15"/>
        <v>0</v>
      </c>
      <c r="O749" s="165" t="s">
        <v>3965</v>
      </c>
      <c r="P749" s="165">
        <v>2015.1025999999999</v>
      </c>
      <c r="Q749" s="3">
        <v>17325</v>
      </c>
      <c r="R749">
        <v>17325</v>
      </c>
      <c r="T749"/>
    </row>
    <row r="750" spans="1:20">
      <c r="A750" s="165" t="s">
        <v>3222</v>
      </c>
      <c r="B750" s="94">
        <v>830</v>
      </c>
      <c r="C750" s="165" t="s">
        <v>2270</v>
      </c>
      <c r="D750" s="165">
        <v>7</v>
      </c>
      <c r="E750" s="165" t="s">
        <v>3244</v>
      </c>
      <c r="F750" s="165" t="s">
        <v>3235</v>
      </c>
      <c r="G750" s="165">
        <v>17325</v>
      </c>
      <c r="H750" s="165"/>
      <c r="I750" s="165"/>
      <c r="J750" s="165"/>
      <c r="K750" s="165"/>
      <c r="L750" s="165">
        <v>17325</v>
      </c>
      <c r="M750" s="165"/>
      <c r="N750" s="165">
        <f>G750+H750+I750-J750-K750-L750</f>
        <v>0</v>
      </c>
      <c r="O750" s="165" t="s">
        <v>4236</v>
      </c>
      <c r="P750" s="165" t="s">
        <v>4752</v>
      </c>
      <c r="Q750" s="3">
        <v>17325</v>
      </c>
      <c r="R750">
        <v>17325</v>
      </c>
      <c r="T750"/>
    </row>
    <row r="751" spans="1:20">
      <c r="A751" s="165" t="s">
        <v>3222</v>
      </c>
      <c r="B751" s="94">
        <v>831</v>
      </c>
      <c r="C751" s="165" t="s">
        <v>2270</v>
      </c>
      <c r="D751" s="165">
        <v>8</v>
      </c>
      <c r="E751" s="165" t="s">
        <v>3245</v>
      </c>
      <c r="F751" s="165" t="s">
        <v>3237</v>
      </c>
      <c r="G751" s="165">
        <v>17325</v>
      </c>
      <c r="H751" s="165"/>
      <c r="I751" s="165"/>
      <c r="J751" s="165"/>
      <c r="K751" s="165"/>
      <c r="L751" s="165">
        <v>17325</v>
      </c>
      <c r="M751" s="165"/>
      <c r="N751" s="165">
        <f>G751+H751+I751-J751-K751-L751</f>
        <v>0</v>
      </c>
      <c r="O751" s="165" t="s">
        <v>4439</v>
      </c>
      <c r="P751" s="165" t="s">
        <v>4780</v>
      </c>
      <c r="Q751" s="3">
        <v>17325</v>
      </c>
      <c r="R751">
        <v>17325</v>
      </c>
      <c r="T751"/>
    </row>
    <row r="752" spans="1:20">
      <c r="A752" s="165" t="s">
        <v>3246</v>
      </c>
      <c r="B752" s="94">
        <v>832</v>
      </c>
      <c r="C752" s="165" t="s">
        <v>8</v>
      </c>
      <c r="D752" s="165">
        <v>1</v>
      </c>
      <c r="E752" s="165" t="s">
        <v>3247</v>
      </c>
      <c r="F752" s="165" t="s">
        <v>3248</v>
      </c>
      <c r="G752" s="165">
        <v>14175</v>
      </c>
      <c r="H752" s="165"/>
      <c r="I752" s="165"/>
      <c r="J752" s="165">
        <v>14175</v>
      </c>
      <c r="K752" s="165"/>
      <c r="L752" s="165"/>
      <c r="M752" s="165"/>
      <c r="N752" s="165">
        <f t="shared" si="15"/>
        <v>0</v>
      </c>
      <c r="O752" s="165" t="s">
        <v>3167</v>
      </c>
      <c r="P752" s="165" t="s">
        <v>3168</v>
      </c>
      <c r="Q752" s="3">
        <v>14175</v>
      </c>
      <c r="R752">
        <v>14175</v>
      </c>
      <c r="T752"/>
    </row>
    <row r="753" spans="1:21">
      <c r="A753" s="165" t="s">
        <v>3246</v>
      </c>
      <c r="B753" s="94">
        <v>833</v>
      </c>
      <c r="C753" s="165" t="s">
        <v>8</v>
      </c>
      <c r="D753" s="165">
        <v>2</v>
      </c>
      <c r="E753" s="165" t="s">
        <v>3249</v>
      </c>
      <c r="F753" s="165" t="s">
        <v>3250</v>
      </c>
      <c r="G753" s="165">
        <v>14175</v>
      </c>
      <c r="H753" s="165"/>
      <c r="I753" s="165"/>
      <c r="J753" s="165">
        <v>14175</v>
      </c>
      <c r="K753" s="165"/>
      <c r="L753" s="165"/>
      <c r="M753" s="165"/>
      <c r="N753" s="165">
        <f t="shared" si="15"/>
        <v>0</v>
      </c>
      <c r="O753" s="165" t="s">
        <v>3169</v>
      </c>
      <c r="P753" s="165" t="s">
        <v>3170</v>
      </c>
      <c r="Q753" s="3">
        <v>14175</v>
      </c>
      <c r="R753">
        <v>14175</v>
      </c>
      <c r="T753"/>
    </row>
    <row r="754" spans="1:21">
      <c r="A754" s="165" t="s">
        <v>3246</v>
      </c>
      <c r="B754" s="94">
        <v>834</v>
      </c>
      <c r="C754" s="165" t="s">
        <v>8</v>
      </c>
      <c r="D754" s="165">
        <v>3</v>
      </c>
      <c r="E754" s="165" t="s">
        <v>3251</v>
      </c>
      <c r="F754" s="165" t="s">
        <v>3252</v>
      </c>
      <c r="G754" s="165">
        <v>14175</v>
      </c>
      <c r="H754" s="165"/>
      <c r="I754" s="165"/>
      <c r="J754" s="165"/>
      <c r="K754" s="165">
        <v>14175</v>
      </c>
      <c r="L754" s="165"/>
      <c r="M754" s="165"/>
      <c r="N754" s="165">
        <f t="shared" si="15"/>
        <v>0</v>
      </c>
      <c r="O754" s="165" t="s">
        <v>3934</v>
      </c>
      <c r="P754" s="165" t="s">
        <v>3935</v>
      </c>
      <c r="Q754" s="3">
        <v>14175</v>
      </c>
      <c r="R754">
        <v>14175</v>
      </c>
      <c r="T754"/>
    </row>
    <row r="755" spans="1:21">
      <c r="A755" s="165" t="s">
        <v>3246</v>
      </c>
      <c r="B755" s="94">
        <v>835</v>
      </c>
      <c r="C755" s="165" t="s">
        <v>8</v>
      </c>
      <c r="D755" s="165">
        <v>4</v>
      </c>
      <c r="E755" s="165" t="s">
        <v>3253</v>
      </c>
      <c r="F755" s="165" t="s">
        <v>3254</v>
      </c>
      <c r="G755" s="165">
        <v>14175</v>
      </c>
      <c r="H755" s="165"/>
      <c r="I755" s="165"/>
      <c r="J755" s="165"/>
      <c r="K755" s="165">
        <v>14175</v>
      </c>
      <c r="L755" s="165"/>
      <c r="M755" s="165"/>
      <c r="N755" s="165">
        <f t="shared" si="15"/>
        <v>0</v>
      </c>
      <c r="O755" s="165" t="s">
        <v>3946</v>
      </c>
      <c r="P755" s="165" t="s">
        <v>3947</v>
      </c>
      <c r="Q755" s="3">
        <v>14175</v>
      </c>
      <c r="R755">
        <v>14175</v>
      </c>
    </row>
    <row r="756" spans="1:21">
      <c r="A756" s="165" t="s">
        <v>3246</v>
      </c>
      <c r="B756" s="94">
        <v>836</v>
      </c>
      <c r="C756" s="165" t="s">
        <v>8</v>
      </c>
      <c r="D756" s="165">
        <v>5</v>
      </c>
      <c r="E756" s="165" t="s">
        <v>3255</v>
      </c>
      <c r="F756" s="165" t="s">
        <v>3256</v>
      </c>
      <c r="G756" s="165">
        <v>14175</v>
      </c>
      <c r="H756" s="165"/>
      <c r="I756" s="165"/>
      <c r="J756" s="165"/>
      <c r="K756" s="165">
        <v>14175</v>
      </c>
      <c r="L756" s="165"/>
      <c r="M756" s="165"/>
      <c r="N756" s="165">
        <f t="shared" si="15"/>
        <v>0</v>
      </c>
      <c r="O756" s="165" t="s">
        <v>3948</v>
      </c>
      <c r="P756" s="165" t="s">
        <v>3949</v>
      </c>
      <c r="Q756" s="3">
        <v>14175</v>
      </c>
      <c r="R756">
        <v>14175</v>
      </c>
    </row>
    <row r="757" spans="1:21">
      <c r="A757" s="165" t="s">
        <v>3246</v>
      </c>
      <c r="B757" s="94">
        <v>837</v>
      </c>
      <c r="C757" s="165" t="s">
        <v>8</v>
      </c>
      <c r="D757" s="165">
        <v>6</v>
      </c>
      <c r="E757" s="165" t="s">
        <v>3257</v>
      </c>
      <c r="F757" s="165" t="s">
        <v>3258</v>
      </c>
      <c r="G757" s="165">
        <v>14175</v>
      </c>
      <c r="H757" s="165"/>
      <c r="I757" s="165"/>
      <c r="J757" s="165"/>
      <c r="K757" s="165">
        <v>14175</v>
      </c>
      <c r="L757" s="165"/>
      <c r="M757" s="165"/>
      <c r="N757" s="165">
        <f t="shared" si="15"/>
        <v>0</v>
      </c>
      <c r="O757" s="165" t="s">
        <v>3957</v>
      </c>
      <c r="P757" s="165" t="s">
        <v>3958</v>
      </c>
      <c r="Q757" s="3">
        <v>14175</v>
      </c>
      <c r="R757">
        <v>14175</v>
      </c>
    </row>
    <row r="758" spans="1:21">
      <c r="A758" s="165" t="s">
        <v>3246</v>
      </c>
      <c r="B758" s="94">
        <v>838</v>
      </c>
      <c r="C758" s="165" t="s">
        <v>8</v>
      </c>
      <c r="D758" s="165">
        <v>7</v>
      </c>
      <c r="E758" s="165" t="s">
        <v>3259</v>
      </c>
      <c r="F758" s="165" t="s">
        <v>3260</v>
      </c>
      <c r="G758" s="165">
        <v>14175</v>
      </c>
      <c r="H758" s="165"/>
      <c r="I758" s="165"/>
      <c r="J758" s="165"/>
      <c r="K758" s="165"/>
      <c r="L758" s="165">
        <v>14175</v>
      </c>
      <c r="M758" s="165"/>
      <c r="N758" s="165">
        <f>G758+H758+I758-J758-K758-L758</f>
        <v>0</v>
      </c>
      <c r="O758" s="165" t="s">
        <v>4434</v>
      </c>
      <c r="P758" s="165" t="s">
        <v>4435</v>
      </c>
      <c r="Q758" s="3">
        <v>14175</v>
      </c>
      <c r="R758">
        <v>14175</v>
      </c>
    </row>
    <row r="759" spans="1:21">
      <c r="A759" s="165" t="s">
        <v>3246</v>
      </c>
      <c r="B759" s="94">
        <v>839</v>
      </c>
      <c r="C759" s="165" t="s">
        <v>8</v>
      </c>
      <c r="D759" s="165">
        <v>8</v>
      </c>
      <c r="E759" s="165" t="s">
        <v>3261</v>
      </c>
      <c r="F759" s="165" t="s">
        <v>3262</v>
      </c>
      <c r="G759" s="165">
        <v>14175</v>
      </c>
      <c r="H759" s="165"/>
      <c r="I759" s="165"/>
      <c r="J759" s="165"/>
      <c r="K759" s="165"/>
      <c r="L759" s="165">
        <v>14175</v>
      </c>
      <c r="M759" s="165"/>
      <c r="N759" s="165">
        <f>G759+H759+I759-J759-K759-L759</f>
        <v>0</v>
      </c>
      <c r="O759" s="165" t="s">
        <v>4588</v>
      </c>
      <c r="P759" s="165" t="s">
        <v>4781</v>
      </c>
      <c r="Q759" s="3">
        <v>14175</v>
      </c>
      <c r="R759">
        <v>14175</v>
      </c>
    </row>
    <row r="760" spans="1:21" s="283" customFormat="1">
      <c r="A760" s="279" t="s">
        <v>3112</v>
      </c>
      <c r="B760" s="279"/>
      <c r="C760" s="279" t="s">
        <v>2060</v>
      </c>
      <c r="D760" s="279">
        <v>5</v>
      </c>
      <c r="E760" s="279" t="s">
        <v>1283</v>
      </c>
      <c r="F760" s="279" t="s">
        <v>3112</v>
      </c>
      <c r="G760" s="280"/>
      <c r="H760" s="280"/>
      <c r="I760" s="280"/>
      <c r="J760" s="280"/>
      <c r="K760" s="280"/>
      <c r="L760" s="280"/>
      <c r="M760" s="280"/>
      <c r="N760" s="280">
        <f t="shared" si="15"/>
        <v>0</v>
      </c>
      <c r="O760" s="279" t="s">
        <v>3112</v>
      </c>
      <c r="P760" s="279" t="s">
        <v>3112</v>
      </c>
      <c r="Q760" s="279">
        <v>14175</v>
      </c>
      <c r="R760" s="279">
        <v>14165</v>
      </c>
      <c r="S760" s="279">
        <v>14165</v>
      </c>
      <c r="T760" s="280">
        <v>10</v>
      </c>
      <c r="U760" s="282" t="s">
        <v>245</v>
      </c>
    </row>
    <row r="761" spans="1:21">
      <c r="A761" s="165" t="s">
        <v>2341</v>
      </c>
      <c r="B761" s="94">
        <v>840</v>
      </c>
      <c r="C761" s="165" t="s">
        <v>1304</v>
      </c>
      <c r="D761" s="165">
        <v>1</v>
      </c>
      <c r="E761" s="165" t="s">
        <v>3263</v>
      </c>
      <c r="F761" s="165" t="s">
        <v>3264</v>
      </c>
      <c r="G761" s="165">
        <v>9450</v>
      </c>
      <c r="H761" s="165"/>
      <c r="I761" s="165"/>
      <c r="J761" s="165">
        <v>9450</v>
      </c>
      <c r="K761" s="165"/>
      <c r="L761" s="165"/>
      <c r="M761" s="165"/>
      <c r="N761" s="165">
        <f t="shared" si="15"/>
        <v>0</v>
      </c>
      <c r="O761" s="165" t="s">
        <v>3169</v>
      </c>
      <c r="P761" s="165" t="s">
        <v>3170</v>
      </c>
      <c r="Q761" s="3">
        <v>9450</v>
      </c>
      <c r="R761">
        <v>9450</v>
      </c>
    </row>
    <row r="762" spans="1:21">
      <c r="A762" s="165" t="s">
        <v>2341</v>
      </c>
      <c r="B762" s="94">
        <v>841</v>
      </c>
      <c r="C762" s="165" t="s">
        <v>1304</v>
      </c>
      <c r="D762" s="165">
        <v>2</v>
      </c>
      <c r="E762" s="165" t="s">
        <v>3265</v>
      </c>
      <c r="F762" s="165" t="s">
        <v>3266</v>
      </c>
      <c r="G762" s="165">
        <v>9450</v>
      </c>
      <c r="H762" s="165"/>
      <c r="I762" s="165"/>
      <c r="J762" s="165">
        <v>9450</v>
      </c>
      <c r="K762" s="165"/>
      <c r="L762" s="165"/>
      <c r="M762" s="165"/>
      <c r="N762" s="165">
        <f t="shared" si="15"/>
        <v>0</v>
      </c>
      <c r="O762" s="165" t="s">
        <v>3171</v>
      </c>
      <c r="P762" s="165" t="s">
        <v>3172</v>
      </c>
      <c r="Q762" s="3">
        <v>9450</v>
      </c>
      <c r="R762">
        <v>9450</v>
      </c>
    </row>
    <row r="763" spans="1:21">
      <c r="A763" s="165" t="s">
        <v>2341</v>
      </c>
      <c r="B763" s="94">
        <v>842</v>
      </c>
      <c r="C763" s="165" t="s">
        <v>4296</v>
      </c>
      <c r="D763" s="165">
        <v>3</v>
      </c>
      <c r="E763" s="165" t="s">
        <v>3267</v>
      </c>
      <c r="F763" s="165" t="s">
        <v>3268</v>
      </c>
      <c r="G763" s="165">
        <v>9450</v>
      </c>
      <c r="H763" s="165"/>
      <c r="I763" s="165"/>
      <c r="J763" s="165"/>
      <c r="K763" s="165">
        <v>9450</v>
      </c>
      <c r="L763" s="165"/>
      <c r="M763" s="165"/>
      <c r="N763" s="165">
        <f t="shared" si="15"/>
        <v>0</v>
      </c>
      <c r="O763" s="165" t="s">
        <v>3936</v>
      </c>
      <c r="P763" s="165" t="s">
        <v>3937</v>
      </c>
      <c r="Q763" s="3">
        <v>9450</v>
      </c>
      <c r="R763">
        <v>9450</v>
      </c>
    </row>
    <row r="764" spans="1:21">
      <c r="A764" s="165" t="s">
        <v>2341</v>
      </c>
      <c r="B764" s="94">
        <v>843</v>
      </c>
      <c r="C764" s="165" t="s">
        <v>1304</v>
      </c>
      <c r="D764" s="165">
        <v>4</v>
      </c>
      <c r="E764" s="165" t="s">
        <v>3269</v>
      </c>
      <c r="F764" s="165" t="s">
        <v>3270</v>
      </c>
      <c r="G764" s="165">
        <v>9450</v>
      </c>
      <c r="H764" s="165"/>
      <c r="I764" s="165"/>
      <c r="J764" s="165"/>
      <c r="K764" s="165">
        <v>9450</v>
      </c>
      <c r="L764" s="165"/>
      <c r="M764" s="165"/>
      <c r="N764" s="165">
        <f t="shared" si="15"/>
        <v>0</v>
      </c>
      <c r="O764" s="165" t="s">
        <v>3974</v>
      </c>
      <c r="P764" s="165" t="s">
        <v>3960</v>
      </c>
      <c r="Q764" s="3">
        <v>9450</v>
      </c>
      <c r="R764">
        <v>9450</v>
      </c>
    </row>
    <row r="765" spans="1:21">
      <c r="A765" s="165" t="s">
        <v>2341</v>
      </c>
      <c r="B765" s="94">
        <v>844</v>
      </c>
      <c r="C765" s="165" t="s">
        <v>1304</v>
      </c>
      <c r="D765" s="165">
        <v>5</v>
      </c>
      <c r="E765" s="165" t="s">
        <v>3271</v>
      </c>
      <c r="F765" s="165" t="s">
        <v>3272</v>
      </c>
      <c r="G765" s="165">
        <v>9450</v>
      </c>
      <c r="H765" s="165"/>
      <c r="I765" s="165"/>
      <c r="J765" s="165"/>
      <c r="K765" s="165">
        <v>9450</v>
      </c>
      <c r="L765" s="165"/>
      <c r="M765" s="165"/>
      <c r="N765" s="165">
        <f t="shared" si="15"/>
        <v>0</v>
      </c>
      <c r="O765" s="165" t="s">
        <v>3961</v>
      </c>
      <c r="P765" s="165" t="s">
        <v>3962</v>
      </c>
      <c r="Q765" s="3">
        <v>9450</v>
      </c>
      <c r="R765">
        <v>9450</v>
      </c>
    </row>
    <row r="766" spans="1:21">
      <c r="A766" s="165" t="s">
        <v>2341</v>
      </c>
      <c r="B766" s="94">
        <v>845</v>
      </c>
      <c r="C766" s="165" t="s">
        <v>1304</v>
      </c>
      <c r="D766" s="165">
        <v>6</v>
      </c>
      <c r="E766" s="165" t="s">
        <v>3273</v>
      </c>
      <c r="F766" s="165" t="s">
        <v>3274</v>
      </c>
      <c r="G766" s="165">
        <v>9450</v>
      </c>
      <c r="H766" s="165"/>
      <c r="I766" s="165"/>
      <c r="J766" s="165"/>
      <c r="K766" s="405">
        <v>9450</v>
      </c>
      <c r="L766" s="165"/>
      <c r="M766" s="165"/>
      <c r="N766" s="165">
        <f t="shared" si="15"/>
        <v>0</v>
      </c>
      <c r="O766" s="165"/>
      <c r="P766" s="165"/>
    </row>
    <row r="767" spans="1:21">
      <c r="A767" s="165" t="s">
        <v>2341</v>
      </c>
      <c r="B767" s="94">
        <v>846</v>
      </c>
      <c r="C767" s="165" t="s">
        <v>1304</v>
      </c>
      <c r="D767" s="165">
        <v>7</v>
      </c>
      <c r="E767" s="165" t="s">
        <v>3275</v>
      </c>
      <c r="F767" s="165" t="s">
        <v>3276</v>
      </c>
      <c r="G767" s="165">
        <v>9450</v>
      </c>
      <c r="H767" s="165"/>
      <c r="I767" s="165"/>
      <c r="J767" s="165"/>
      <c r="K767" s="405">
        <v>9450</v>
      </c>
      <c r="L767" s="165"/>
      <c r="M767" s="165"/>
      <c r="N767" s="165">
        <f t="shared" si="15"/>
        <v>0</v>
      </c>
      <c r="O767" s="165"/>
      <c r="P767" s="165"/>
    </row>
    <row r="768" spans="1:21">
      <c r="A768" s="165" t="s">
        <v>2341</v>
      </c>
      <c r="B768" s="94">
        <v>847</v>
      </c>
      <c r="C768" s="165" t="s">
        <v>1304</v>
      </c>
      <c r="D768" s="165">
        <v>8</v>
      </c>
      <c r="E768" s="165" t="s">
        <v>3277</v>
      </c>
      <c r="F768" s="165" t="s">
        <v>3278</v>
      </c>
      <c r="G768" s="165">
        <v>9450</v>
      </c>
      <c r="H768" s="165"/>
      <c r="I768" s="165"/>
      <c r="J768" s="165"/>
      <c r="K768" s="405">
        <v>9450</v>
      </c>
      <c r="L768" s="165"/>
      <c r="M768" s="165"/>
      <c r="N768" s="165">
        <f t="shared" si="15"/>
        <v>0</v>
      </c>
      <c r="O768" s="165"/>
      <c r="P768" s="165"/>
    </row>
    <row r="769" spans="1:20" s="163" customFormat="1">
      <c r="A769" s="281" t="s">
        <v>2356</v>
      </c>
      <c r="B769" s="281"/>
      <c r="C769" s="281" t="s">
        <v>1532</v>
      </c>
      <c r="D769" s="281">
        <v>6</v>
      </c>
      <c r="E769" s="281" t="s">
        <v>1283</v>
      </c>
      <c r="F769" s="281" t="s">
        <v>2356</v>
      </c>
      <c r="G769" s="284"/>
      <c r="H769" s="284"/>
      <c r="I769" s="284"/>
      <c r="J769" s="281"/>
      <c r="K769" s="281"/>
      <c r="L769" s="281"/>
      <c r="M769" s="281"/>
      <c r="N769" s="281">
        <f t="shared" si="15"/>
        <v>0</v>
      </c>
      <c r="O769" s="281" t="s">
        <v>2356</v>
      </c>
      <c r="P769" s="281" t="s">
        <v>2356</v>
      </c>
      <c r="Q769" s="281">
        <v>13500</v>
      </c>
      <c r="R769" s="281">
        <v>13485</v>
      </c>
      <c r="S769" s="281">
        <v>13485</v>
      </c>
      <c r="T769" s="284">
        <v>15</v>
      </c>
    </row>
    <row r="770" spans="1:20">
      <c r="A770" s="165" t="s">
        <v>3279</v>
      </c>
      <c r="B770" s="94">
        <v>848</v>
      </c>
      <c r="C770" s="165" t="s">
        <v>1232</v>
      </c>
      <c r="D770" s="165">
        <v>2</v>
      </c>
      <c r="E770" s="165" t="s">
        <v>3280</v>
      </c>
      <c r="F770" s="165" t="s">
        <v>3226</v>
      </c>
      <c r="G770" s="165">
        <v>16380</v>
      </c>
      <c r="H770" s="165"/>
      <c r="I770" s="165"/>
      <c r="J770" s="165">
        <v>16380</v>
      </c>
      <c r="K770" s="165"/>
      <c r="L770" s="165"/>
      <c r="M770" s="165"/>
      <c r="N770" s="165">
        <f t="shared" si="15"/>
        <v>0</v>
      </c>
      <c r="O770" s="165" t="s">
        <v>3169</v>
      </c>
      <c r="P770" s="165" t="s">
        <v>3170</v>
      </c>
      <c r="Q770" s="3">
        <v>16380</v>
      </c>
      <c r="R770">
        <v>16380</v>
      </c>
    </row>
    <row r="771" spans="1:20" s="163" customFormat="1">
      <c r="A771" s="281" t="s">
        <v>3281</v>
      </c>
      <c r="B771" s="281"/>
      <c r="C771" s="281" t="s">
        <v>2421</v>
      </c>
      <c r="D771" s="281">
        <v>5</v>
      </c>
      <c r="E771" s="281" t="s">
        <v>1283</v>
      </c>
      <c r="F771" s="281" t="s">
        <v>3281</v>
      </c>
      <c r="G771" s="284"/>
      <c r="H771" s="284"/>
      <c r="I771" s="284"/>
      <c r="J771" s="281"/>
      <c r="K771" s="281"/>
      <c r="L771" s="281"/>
      <c r="M771" s="281"/>
      <c r="N771" s="281">
        <f t="shared" si="15"/>
        <v>0</v>
      </c>
      <c r="O771" s="281" t="s">
        <v>3281</v>
      </c>
      <c r="P771" s="281" t="s">
        <v>3281</v>
      </c>
      <c r="Q771" s="281">
        <v>13230</v>
      </c>
      <c r="R771" s="281">
        <v>13220</v>
      </c>
      <c r="S771" s="281">
        <v>13220</v>
      </c>
      <c r="T771" s="284">
        <v>10</v>
      </c>
    </row>
    <row r="772" spans="1:20">
      <c r="A772" s="165" t="s">
        <v>3281</v>
      </c>
      <c r="B772" s="94">
        <v>849</v>
      </c>
      <c r="C772" s="165" t="s">
        <v>1301</v>
      </c>
      <c r="D772" s="165">
        <v>1</v>
      </c>
      <c r="E772" s="165" t="s">
        <v>3282</v>
      </c>
      <c r="F772" s="165" t="s">
        <v>792</v>
      </c>
      <c r="G772" s="165">
        <v>14175</v>
      </c>
      <c r="H772" s="165"/>
      <c r="I772" s="165"/>
      <c r="J772" s="165">
        <v>14175</v>
      </c>
      <c r="K772" s="165"/>
      <c r="L772" s="165"/>
      <c r="M772" s="165"/>
      <c r="N772" s="165">
        <f t="shared" si="15"/>
        <v>0</v>
      </c>
      <c r="O772" s="165" t="s">
        <v>3169</v>
      </c>
      <c r="P772" s="165" t="s">
        <v>3170</v>
      </c>
      <c r="Q772" s="3">
        <v>14175</v>
      </c>
      <c r="R772">
        <v>14175</v>
      </c>
    </row>
    <row r="773" spans="1:20">
      <c r="A773" s="165" t="s">
        <v>3281</v>
      </c>
      <c r="B773" s="94">
        <v>850</v>
      </c>
      <c r="C773" s="165" t="s">
        <v>1301</v>
      </c>
      <c r="D773" s="165">
        <v>2</v>
      </c>
      <c r="E773" s="165" t="s">
        <v>3283</v>
      </c>
      <c r="F773" s="165" t="s">
        <v>794</v>
      </c>
      <c r="G773" s="165">
        <v>14175</v>
      </c>
      <c r="H773" s="165"/>
      <c r="I773" s="165"/>
      <c r="J773" s="165">
        <v>14175</v>
      </c>
      <c r="K773" s="165"/>
      <c r="L773" s="165"/>
      <c r="M773" s="165"/>
      <c r="N773" s="165">
        <f t="shared" si="15"/>
        <v>0</v>
      </c>
      <c r="O773" s="165" t="s">
        <v>3938</v>
      </c>
      <c r="P773" s="165" t="s">
        <v>3939</v>
      </c>
      <c r="Q773" s="3">
        <v>14175</v>
      </c>
      <c r="R773" s="281">
        <v>14175</v>
      </c>
    </row>
    <row r="774" spans="1:20">
      <c r="A774" s="165" t="s">
        <v>3281</v>
      </c>
      <c r="B774" s="94">
        <v>851</v>
      </c>
      <c r="C774" s="165" t="s">
        <v>1301</v>
      </c>
      <c r="D774" s="165">
        <v>3</v>
      </c>
      <c r="E774" s="165" t="s">
        <v>3284</v>
      </c>
      <c r="F774" s="165" t="s">
        <v>796</v>
      </c>
      <c r="G774" s="165">
        <v>14175</v>
      </c>
      <c r="H774" s="165"/>
      <c r="I774" s="165"/>
      <c r="J774" s="165"/>
      <c r="K774" s="165">
        <v>14175</v>
      </c>
      <c r="L774" s="165"/>
      <c r="M774" s="165"/>
      <c r="N774" s="165">
        <f t="shared" si="15"/>
        <v>0</v>
      </c>
      <c r="O774" s="165" t="s">
        <v>3944</v>
      </c>
      <c r="P774" s="165" t="s">
        <v>3945</v>
      </c>
      <c r="Q774" s="3">
        <v>14175</v>
      </c>
      <c r="R774">
        <v>14175</v>
      </c>
    </row>
    <row r="775" spans="1:20">
      <c r="A775" s="165" t="s">
        <v>3281</v>
      </c>
      <c r="B775" s="94">
        <v>852</v>
      </c>
      <c r="C775" s="165" t="s">
        <v>1301</v>
      </c>
      <c r="D775" s="165">
        <v>4</v>
      </c>
      <c r="E775" s="165" t="s">
        <v>3285</v>
      </c>
      <c r="F775" s="165" t="s">
        <v>798</v>
      </c>
      <c r="G775" s="165">
        <v>14175</v>
      </c>
      <c r="H775" s="165"/>
      <c r="I775" s="165"/>
      <c r="J775" s="165"/>
      <c r="K775" s="165">
        <v>14175</v>
      </c>
      <c r="L775" s="165"/>
      <c r="M775" s="165"/>
      <c r="N775" s="165">
        <f t="shared" si="15"/>
        <v>0</v>
      </c>
      <c r="O775" s="165" t="s">
        <v>3952</v>
      </c>
      <c r="P775" s="165" t="s">
        <v>3953</v>
      </c>
      <c r="Q775" s="3">
        <v>14175</v>
      </c>
      <c r="R775" s="281">
        <v>14175</v>
      </c>
    </row>
    <row r="776" spans="1:20">
      <c r="A776" s="165" t="s">
        <v>3281</v>
      </c>
      <c r="B776" s="94">
        <v>853</v>
      </c>
      <c r="C776" s="165" t="s">
        <v>1301</v>
      </c>
      <c r="D776" s="165">
        <v>5</v>
      </c>
      <c r="E776" s="165" t="s">
        <v>3286</v>
      </c>
      <c r="F776" s="165" t="s">
        <v>800</v>
      </c>
      <c r="G776" s="165">
        <v>14175</v>
      </c>
      <c r="H776" s="165"/>
      <c r="I776" s="165"/>
      <c r="J776" s="165"/>
      <c r="K776" s="165">
        <v>14175</v>
      </c>
      <c r="L776" s="165"/>
      <c r="M776" s="165"/>
      <c r="N776" s="165">
        <f t="shared" si="15"/>
        <v>0</v>
      </c>
      <c r="O776" s="165" t="s">
        <v>3965</v>
      </c>
      <c r="P776" s="165" t="s">
        <v>3966</v>
      </c>
      <c r="Q776" s="3">
        <v>14175</v>
      </c>
      <c r="R776">
        <v>14175</v>
      </c>
    </row>
    <row r="777" spans="1:20">
      <c r="A777" s="165" t="s">
        <v>3281</v>
      </c>
      <c r="B777" s="94">
        <v>854</v>
      </c>
      <c r="C777" s="165" t="s">
        <v>1301</v>
      </c>
      <c r="D777" s="165">
        <v>6</v>
      </c>
      <c r="E777" s="165" t="s">
        <v>3287</v>
      </c>
      <c r="F777" s="165" t="s">
        <v>802</v>
      </c>
      <c r="G777" s="165">
        <v>14175</v>
      </c>
      <c r="H777" s="165"/>
      <c r="I777" s="165"/>
      <c r="J777" s="165"/>
      <c r="K777" s="165"/>
      <c r="L777" s="165">
        <v>14175</v>
      </c>
      <c r="M777" s="165"/>
      <c r="N777" s="165">
        <f>G777+H777+I777-J777-K777-L777</f>
        <v>0</v>
      </c>
      <c r="O777" s="165" t="s">
        <v>4236</v>
      </c>
      <c r="P777" s="165" t="s">
        <v>4752</v>
      </c>
      <c r="Q777" s="3">
        <v>14175</v>
      </c>
      <c r="R777" s="281">
        <v>14175</v>
      </c>
    </row>
    <row r="778" spans="1:20">
      <c r="A778" s="165" t="s">
        <v>3281</v>
      </c>
      <c r="B778" s="94">
        <v>855</v>
      </c>
      <c r="C778" s="165" t="s">
        <v>1301</v>
      </c>
      <c r="D778" s="165">
        <v>7</v>
      </c>
      <c r="E778" s="165" t="s">
        <v>3288</v>
      </c>
      <c r="F778" s="165" t="s">
        <v>3289</v>
      </c>
      <c r="G778" s="165">
        <v>14175</v>
      </c>
      <c r="H778" s="165"/>
      <c r="I778" s="165"/>
      <c r="J778" s="165"/>
      <c r="K778" s="165"/>
      <c r="L778" s="165">
        <v>14175</v>
      </c>
      <c r="M778" s="165"/>
      <c r="N778" s="165">
        <f>G778+H778+I778-J778-K778-L778</f>
        <v>0</v>
      </c>
      <c r="O778" s="165" t="s">
        <v>4439</v>
      </c>
      <c r="P778" s="165" t="s">
        <v>4780</v>
      </c>
      <c r="Q778" s="3">
        <v>14175</v>
      </c>
      <c r="R778">
        <v>14175</v>
      </c>
    </row>
    <row r="779" spans="1:20">
      <c r="A779" s="165" t="s">
        <v>3281</v>
      </c>
      <c r="B779" s="94">
        <v>856</v>
      </c>
      <c r="C779" s="165" t="s">
        <v>1301</v>
      </c>
      <c r="D779" s="165">
        <v>8</v>
      </c>
      <c r="E779" s="165" t="s">
        <v>3290</v>
      </c>
      <c r="F779" s="165" t="s">
        <v>3291</v>
      </c>
      <c r="G779" s="165">
        <v>14175</v>
      </c>
      <c r="H779" s="165"/>
      <c r="I779" s="165"/>
      <c r="J779" s="165"/>
      <c r="K779" s="165"/>
      <c r="L779" s="165">
        <v>14175</v>
      </c>
      <c r="M779" s="165"/>
      <c r="N779" s="165">
        <f>G779+H779+I779-J779-K779-L779</f>
        <v>0</v>
      </c>
      <c r="O779" s="165" t="s">
        <v>4769</v>
      </c>
      <c r="P779" s="165" t="s">
        <v>4783</v>
      </c>
      <c r="Q779" s="3">
        <v>14175</v>
      </c>
      <c r="R779" s="281">
        <v>14175</v>
      </c>
    </row>
    <row r="780" spans="1:20" s="163" customFormat="1">
      <c r="A780" s="281" t="s">
        <v>3108</v>
      </c>
      <c r="B780" s="281"/>
      <c r="C780" s="281" t="s">
        <v>3825</v>
      </c>
      <c r="D780" s="281">
        <v>7</v>
      </c>
      <c r="E780" s="281" t="s">
        <v>1283</v>
      </c>
      <c r="F780" s="281" t="s">
        <v>3108</v>
      </c>
      <c r="G780" s="284"/>
      <c r="H780" s="284"/>
      <c r="I780" s="284"/>
      <c r="J780" s="281"/>
      <c r="K780" s="281"/>
      <c r="L780" s="281"/>
      <c r="M780" s="281"/>
      <c r="N780" s="281">
        <f t="shared" si="15"/>
        <v>0</v>
      </c>
      <c r="O780" s="281" t="s">
        <v>3108</v>
      </c>
      <c r="P780" s="281" t="s">
        <v>3108</v>
      </c>
      <c r="Q780" s="281">
        <v>14175</v>
      </c>
      <c r="R780" s="281">
        <v>14145</v>
      </c>
      <c r="S780" s="281">
        <v>14145</v>
      </c>
      <c r="T780" s="284">
        <v>30</v>
      </c>
    </row>
    <row r="781" spans="1:20">
      <c r="A781" s="165" t="s">
        <v>810</v>
      </c>
      <c r="B781" s="94">
        <v>857</v>
      </c>
      <c r="C781" s="165" t="s">
        <v>264</v>
      </c>
      <c r="D781" s="165">
        <v>1</v>
      </c>
      <c r="E781" s="165" t="s">
        <v>3292</v>
      </c>
      <c r="F781" s="165" t="s">
        <v>3293</v>
      </c>
      <c r="G781" s="165">
        <v>11340</v>
      </c>
      <c r="H781" s="165"/>
      <c r="I781" s="165"/>
      <c r="J781" s="165">
        <v>11340</v>
      </c>
      <c r="K781" s="165"/>
      <c r="L781" s="165"/>
      <c r="M781" s="165"/>
      <c r="N781" s="165">
        <f t="shared" si="15"/>
        <v>0</v>
      </c>
      <c r="O781" s="165" t="s">
        <v>3169</v>
      </c>
      <c r="P781" s="165" t="s">
        <v>3170</v>
      </c>
      <c r="Q781" s="3">
        <v>11340</v>
      </c>
      <c r="R781">
        <v>11340</v>
      </c>
    </row>
    <row r="782" spans="1:20">
      <c r="A782" s="165" t="s">
        <v>810</v>
      </c>
      <c r="B782" s="94">
        <v>858</v>
      </c>
      <c r="C782" s="165" t="s">
        <v>264</v>
      </c>
      <c r="D782" s="165">
        <v>2</v>
      </c>
      <c r="E782" s="165" t="s">
        <v>3294</v>
      </c>
      <c r="F782" s="165" t="s">
        <v>1066</v>
      </c>
      <c r="G782" s="165">
        <v>11340</v>
      </c>
      <c r="H782" s="165"/>
      <c r="I782" s="165"/>
      <c r="J782" s="165"/>
      <c r="K782" s="165">
        <v>11340</v>
      </c>
      <c r="L782" s="165"/>
      <c r="M782" s="165"/>
      <c r="N782" s="165">
        <f t="shared" si="15"/>
        <v>0</v>
      </c>
      <c r="O782" s="165" t="s">
        <v>3934</v>
      </c>
      <c r="P782" s="165" t="s">
        <v>3935</v>
      </c>
      <c r="Q782" s="3">
        <v>11340</v>
      </c>
      <c r="R782">
        <v>11340</v>
      </c>
    </row>
    <row r="783" spans="1:20">
      <c r="A783" s="165" t="s">
        <v>810</v>
      </c>
      <c r="B783" s="94">
        <v>859</v>
      </c>
      <c r="C783" s="165" t="s">
        <v>264</v>
      </c>
      <c r="D783" s="165">
        <v>3</v>
      </c>
      <c r="E783" s="165" t="s">
        <v>3295</v>
      </c>
      <c r="F783" s="165" t="s">
        <v>698</v>
      </c>
      <c r="G783" s="165">
        <v>11340</v>
      </c>
      <c r="H783" s="165"/>
      <c r="I783" s="165"/>
      <c r="J783" s="165"/>
      <c r="K783" s="165">
        <v>11340</v>
      </c>
      <c r="L783" s="165"/>
      <c r="M783" s="165"/>
      <c r="N783" s="165">
        <f t="shared" si="15"/>
        <v>0</v>
      </c>
      <c r="O783" s="165" t="s">
        <v>3946</v>
      </c>
      <c r="P783" s="165" t="s">
        <v>3947</v>
      </c>
      <c r="Q783" s="3">
        <v>11340</v>
      </c>
      <c r="R783">
        <v>11340</v>
      </c>
    </row>
    <row r="784" spans="1:20">
      <c r="A784" s="165" t="s">
        <v>810</v>
      </c>
      <c r="B784" s="94">
        <v>860</v>
      </c>
      <c r="C784" s="165" t="s">
        <v>264</v>
      </c>
      <c r="D784" s="165">
        <v>4</v>
      </c>
      <c r="E784" s="165" t="s">
        <v>3296</v>
      </c>
      <c r="F784" s="165" t="s">
        <v>700</v>
      </c>
      <c r="G784" s="165">
        <v>11340</v>
      </c>
      <c r="H784" s="165"/>
      <c r="I784" s="165"/>
      <c r="J784" s="165"/>
      <c r="K784" s="165">
        <v>11340</v>
      </c>
      <c r="L784" s="165"/>
      <c r="M784" s="165"/>
      <c r="N784" s="165">
        <f t="shared" si="15"/>
        <v>0</v>
      </c>
      <c r="O784" s="165" t="s">
        <v>3948</v>
      </c>
      <c r="P784" s="165" t="s">
        <v>3949</v>
      </c>
      <c r="Q784" s="3">
        <v>11340</v>
      </c>
      <c r="R784">
        <v>11340</v>
      </c>
    </row>
    <row r="785" spans="1:20">
      <c r="A785" s="165" t="s">
        <v>810</v>
      </c>
      <c r="B785" s="94">
        <v>861</v>
      </c>
      <c r="C785" s="165" t="s">
        <v>264</v>
      </c>
      <c r="D785" s="165">
        <v>5</v>
      </c>
      <c r="E785" s="165" t="s">
        <v>3297</v>
      </c>
      <c r="F785" s="165" t="s">
        <v>3298</v>
      </c>
      <c r="G785" s="165">
        <v>11340</v>
      </c>
      <c r="H785" s="165"/>
      <c r="I785" s="165"/>
      <c r="J785" s="165"/>
      <c r="K785" s="165">
        <v>11340</v>
      </c>
      <c r="L785" s="165"/>
      <c r="M785" s="165"/>
      <c r="N785" s="165">
        <f t="shared" si="15"/>
        <v>0</v>
      </c>
      <c r="O785" s="165" t="s">
        <v>3975</v>
      </c>
      <c r="P785" s="165" t="s">
        <v>3958</v>
      </c>
      <c r="Q785" s="3">
        <v>11340</v>
      </c>
      <c r="R785">
        <v>11340</v>
      </c>
    </row>
    <row r="786" spans="1:20">
      <c r="A786" s="165" t="s">
        <v>810</v>
      </c>
      <c r="B786" s="94">
        <v>862</v>
      </c>
      <c r="C786" s="165" t="s">
        <v>264</v>
      </c>
      <c r="D786" s="165">
        <v>6</v>
      </c>
      <c r="E786" s="165" t="s">
        <v>3299</v>
      </c>
      <c r="F786" s="165" t="s">
        <v>3300</v>
      </c>
      <c r="G786" s="165">
        <v>11340</v>
      </c>
      <c r="H786" s="165"/>
      <c r="I786" s="165"/>
      <c r="J786" s="165"/>
      <c r="K786" s="165"/>
      <c r="L786" s="165">
        <v>11340</v>
      </c>
      <c r="M786" s="165"/>
      <c r="N786" s="165">
        <f>G786+H786+I786-J786-K786-L786</f>
        <v>0</v>
      </c>
      <c r="O786" s="165" t="s">
        <v>4434</v>
      </c>
      <c r="P786" s="165" t="s">
        <v>4435</v>
      </c>
      <c r="Q786" s="3">
        <v>11340</v>
      </c>
      <c r="R786">
        <v>11340</v>
      </c>
      <c r="T786"/>
    </row>
    <row r="787" spans="1:20">
      <c r="A787" s="165" t="s">
        <v>810</v>
      </c>
      <c r="B787" s="94">
        <v>863</v>
      </c>
      <c r="C787" s="165" t="s">
        <v>264</v>
      </c>
      <c r="D787" s="165">
        <v>7</v>
      </c>
      <c r="E787" s="165" t="s">
        <v>3301</v>
      </c>
      <c r="F787" s="165" t="s">
        <v>3302</v>
      </c>
      <c r="G787" s="165">
        <v>11340</v>
      </c>
      <c r="H787" s="165"/>
      <c r="I787" s="165"/>
      <c r="J787" s="165"/>
      <c r="K787" s="165"/>
      <c r="L787" s="165">
        <v>11340</v>
      </c>
      <c r="M787" s="165"/>
      <c r="N787" s="165">
        <f>G787+H787+I787-J787-K787-L787</f>
        <v>0</v>
      </c>
      <c r="O787" s="165" t="s">
        <v>4588</v>
      </c>
      <c r="P787" s="165" t="s">
        <v>4781</v>
      </c>
      <c r="Q787" s="3">
        <v>11340</v>
      </c>
      <c r="R787">
        <v>11340</v>
      </c>
      <c r="T787"/>
    </row>
    <row r="788" spans="1:20">
      <c r="A788" s="165" t="s">
        <v>810</v>
      </c>
      <c r="B788" s="94">
        <v>864</v>
      </c>
      <c r="C788" s="165" t="s">
        <v>264</v>
      </c>
      <c r="D788" s="165">
        <v>8</v>
      </c>
      <c r="E788" s="165" t="s">
        <v>3303</v>
      </c>
      <c r="F788" s="165" t="s">
        <v>3304</v>
      </c>
      <c r="G788" s="165">
        <v>11340</v>
      </c>
      <c r="H788" s="165"/>
      <c r="I788" s="165"/>
      <c r="J788" s="165"/>
      <c r="K788" s="165"/>
      <c r="L788" s="165">
        <v>11340</v>
      </c>
      <c r="M788" s="165"/>
      <c r="N788" s="165">
        <f>G788+H788+I788-J788-K788-L788</f>
        <v>0</v>
      </c>
      <c r="O788" s="165" t="s">
        <v>4771</v>
      </c>
      <c r="P788" s="165" t="s">
        <v>4785</v>
      </c>
      <c r="Q788" s="3">
        <v>11340</v>
      </c>
      <c r="R788">
        <v>11340</v>
      </c>
      <c r="T788"/>
    </row>
    <row r="789" spans="1:20">
      <c r="A789" s="165" t="s">
        <v>3305</v>
      </c>
      <c r="B789" s="94">
        <v>865</v>
      </c>
      <c r="C789" s="165" t="s">
        <v>1249</v>
      </c>
      <c r="D789" s="165">
        <v>1</v>
      </c>
      <c r="E789" s="165" t="s">
        <v>3306</v>
      </c>
      <c r="F789" s="165" t="s">
        <v>3305</v>
      </c>
      <c r="G789" s="165">
        <v>3780</v>
      </c>
      <c r="H789" s="165"/>
      <c r="I789" s="165"/>
      <c r="J789" s="165">
        <v>3780</v>
      </c>
      <c r="K789" s="165"/>
      <c r="L789" s="165"/>
      <c r="M789" s="165"/>
      <c r="N789" s="165">
        <f t="shared" si="15"/>
        <v>0</v>
      </c>
      <c r="O789" s="165" t="s">
        <v>3169</v>
      </c>
      <c r="P789" s="165" t="s">
        <v>3170</v>
      </c>
      <c r="Q789" s="3">
        <v>3780</v>
      </c>
      <c r="R789">
        <v>3780</v>
      </c>
      <c r="T789"/>
    </row>
    <row r="790" spans="1:20">
      <c r="A790" s="165" t="s">
        <v>3305</v>
      </c>
      <c r="B790" s="94">
        <v>866</v>
      </c>
      <c r="C790" s="165" t="s">
        <v>1249</v>
      </c>
      <c r="D790" s="165">
        <v>2</v>
      </c>
      <c r="E790" s="165" t="s">
        <v>3307</v>
      </c>
      <c r="F790" s="165" t="s">
        <v>3308</v>
      </c>
      <c r="G790" s="165">
        <v>3780</v>
      </c>
      <c r="H790" s="165"/>
      <c r="I790" s="165"/>
      <c r="J790" s="165">
        <v>3780</v>
      </c>
      <c r="K790" s="165"/>
      <c r="L790" s="165"/>
      <c r="M790" s="165"/>
      <c r="N790" s="165">
        <f t="shared" si="15"/>
        <v>0</v>
      </c>
      <c r="O790" s="165" t="s">
        <v>3171</v>
      </c>
      <c r="P790" s="165" t="s">
        <v>3172</v>
      </c>
      <c r="Q790" s="3">
        <v>3780</v>
      </c>
      <c r="R790">
        <v>3780</v>
      </c>
      <c r="T790"/>
    </row>
    <row r="791" spans="1:20">
      <c r="A791" s="165" t="s">
        <v>3305</v>
      </c>
      <c r="B791" s="94">
        <v>867</v>
      </c>
      <c r="C791" s="165" t="s">
        <v>1249</v>
      </c>
      <c r="D791" s="165">
        <v>3</v>
      </c>
      <c r="E791" s="165" t="s">
        <v>3309</v>
      </c>
      <c r="F791" s="165" t="s">
        <v>3310</v>
      </c>
      <c r="G791" s="165">
        <v>3780</v>
      </c>
      <c r="H791" s="165"/>
      <c r="I791" s="165"/>
      <c r="J791" s="165"/>
      <c r="K791" s="165">
        <v>3780</v>
      </c>
      <c r="L791" s="165"/>
      <c r="M791" s="165"/>
      <c r="N791" s="165">
        <f t="shared" ref="N791:N850" si="16">G791+H791+I791-J791-K791</f>
        <v>0</v>
      </c>
      <c r="O791" s="165" t="s">
        <v>3938</v>
      </c>
      <c r="P791" s="165" t="s">
        <v>3939</v>
      </c>
      <c r="Q791" s="3">
        <v>3780</v>
      </c>
      <c r="R791">
        <v>3780</v>
      </c>
      <c r="T791"/>
    </row>
    <row r="792" spans="1:20">
      <c r="A792" s="165" t="s">
        <v>3305</v>
      </c>
      <c r="B792" s="94">
        <v>868</v>
      </c>
      <c r="C792" s="165" t="s">
        <v>1249</v>
      </c>
      <c r="D792" s="165">
        <v>4</v>
      </c>
      <c r="E792" s="336" t="s">
        <v>3976</v>
      </c>
      <c r="F792" s="165" t="s">
        <v>3311</v>
      </c>
      <c r="G792" s="165">
        <v>3780</v>
      </c>
      <c r="H792" s="165"/>
      <c r="I792" s="165"/>
      <c r="J792" s="165"/>
      <c r="K792" s="165">
        <v>3780</v>
      </c>
      <c r="L792" s="165"/>
      <c r="M792" s="165"/>
      <c r="N792" s="165">
        <f t="shared" si="16"/>
        <v>0</v>
      </c>
      <c r="O792" s="165" t="s">
        <v>3934</v>
      </c>
      <c r="P792" s="165" t="s">
        <v>3935</v>
      </c>
      <c r="Q792" s="3">
        <v>3780</v>
      </c>
      <c r="R792">
        <v>3780</v>
      </c>
      <c r="T792"/>
    </row>
    <row r="793" spans="1:20">
      <c r="A793" s="165" t="s">
        <v>3305</v>
      </c>
      <c r="B793" s="94">
        <v>869</v>
      </c>
      <c r="C793" s="165" t="s">
        <v>1249</v>
      </c>
      <c r="D793" s="165">
        <v>5</v>
      </c>
      <c r="E793" s="336" t="s">
        <v>3977</v>
      </c>
      <c r="F793" s="165" t="s">
        <v>3312</v>
      </c>
      <c r="G793" s="165">
        <v>3780</v>
      </c>
      <c r="H793" s="165"/>
      <c r="I793" s="165"/>
      <c r="J793" s="165"/>
      <c r="K793" s="165">
        <v>3780</v>
      </c>
      <c r="L793" s="165"/>
      <c r="M793" s="165"/>
      <c r="N793" s="165">
        <f t="shared" si="16"/>
        <v>0</v>
      </c>
      <c r="O793" s="165" t="s">
        <v>3936</v>
      </c>
      <c r="P793" s="165" t="s">
        <v>3937</v>
      </c>
      <c r="Q793" s="3">
        <v>3780</v>
      </c>
      <c r="R793">
        <v>3780</v>
      </c>
      <c r="T793"/>
    </row>
    <row r="794" spans="1:20">
      <c r="A794" s="165" t="s">
        <v>3305</v>
      </c>
      <c r="B794" s="94">
        <v>870</v>
      </c>
      <c r="C794" s="165" t="s">
        <v>1249</v>
      </c>
      <c r="D794" s="165">
        <v>6</v>
      </c>
      <c r="E794" s="336" t="s">
        <v>3978</v>
      </c>
      <c r="F794" s="165" t="s">
        <v>3313</v>
      </c>
      <c r="G794" s="165">
        <v>3780</v>
      </c>
      <c r="H794" s="165"/>
      <c r="I794" s="165"/>
      <c r="J794" s="165"/>
      <c r="K794" s="165">
        <v>3780</v>
      </c>
      <c r="L794" s="165"/>
      <c r="M794" s="165"/>
      <c r="N794" s="165">
        <f t="shared" si="16"/>
        <v>0</v>
      </c>
      <c r="O794" s="165" t="s">
        <v>3944</v>
      </c>
      <c r="P794" s="165" t="s">
        <v>3945</v>
      </c>
      <c r="Q794" s="3">
        <v>3780</v>
      </c>
      <c r="R794">
        <v>3780</v>
      </c>
      <c r="T794"/>
    </row>
    <row r="795" spans="1:20">
      <c r="A795" s="165" t="s">
        <v>3305</v>
      </c>
      <c r="B795" s="94">
        <v>871</v>
      </c>
      <c r="C795" s="165" t="s">
        <v>1249</v>
      </c>
      <c r="D795" s="165">
        <v>7</v>
      </c>
      <c r="E795" s="165" t="s">
        <v>3979</v>
      </c>
      <c r="F795" s="165" t="s">
        <v>3314</v>
      </c>
      <c r="G795" s="165">
        <v>3780</v>
      </c>
      <c r="H795" s="165"/>
      <c r="I795" s="165"/>
      <c r="J795" s="165"/>
      <c r="K795" s="165">
        <v>3780</v>
      </c>
      <c r="L795" s="165"/>
      <c r="M795" s="165"/>
      <c r="N795" s="165">
        <f t="shared" si="16"/>
        <v>0</v>
      </c>
      <c r="O795" s="165" t="s">
        <v>3946</v>
      </c>
      <c r="P795" s="165" t="s">
        <v>3947</v>
      </c>
      <c r="Q795" s="3">
        <v>3780</v>
      </c>
      <c r="R795">
        <v>3780</v>
      </c>
      <c r="T795"/>
    </row>
    <row r="796" spans="1:20">
      <c r="A796" s="165" t="s">
        <v>3305</v>
      </c>
      <c r="B796" s="94">
        <v>872</v>
      </c>
      <c r="C796" s="165" t="s">
        <v>1249</v>
      </c>
      <c r="D796" s="165">
        <v>8</v>
      </c>
      <c r="E796" s="165" t="s">
        <v>3980</v>
      </c>
      <c r="F796" s="165" t="s">
        <v>3315</v>
      </c>
      <c r="G796" s="165">
        <v>3780</v>
      </c>
      <c r="H796" s="165"/>
      <c r="I796" s="165"/>
      <c r="J796" s="165"/>
      <c r="K796" s="165">
        <v>3780</v>
      </c>
      <c r="L796" s="165"/>
      <c r="M796" s="165"/>
      <c r="N796" s="165">
        <f t="shared" si="16"/>
        <v>0</v>
      </c>
      <c r="O796" s="165" t="s">
        <v>3981</v>
      </c>
      <c r="P796" s="165" t="s">
        <v>3960</v>
      </c>
      <c r="Q796" s="3">
        <v>3780</v>
      </c>
      <c r="R796">
        <v>3780</v>
      </c>
      <c r="T796"/>
    </row>
    <row r="797" spans="1:20">
      <c r="A797" s="165" t="s">
        <v>3305</v>
      </c>
      <c r="B797" s="94">
        <v>873</v>
      </c>
      <c r="C797" s="165" t="s">
        <v>1249</v>
      </c>
      <c r="D797" s="165">
        <v>9</v>
      </c>
      <c r="E797" s="165" t="s">
        <v>3982</v>
      </c>
      <c r="F797" s="165" t="s">
        <v>3316</v>
      </c>
      <c r="G797" s="165">
        <v>3780</v>
      </c>
      <c r="H797" s="165"/>
      <c r="I797" s="165"/>
      <c r="J797" s="165"/>
      <c r="K797" s="165">
        <v>3780</v>
      </c>
      <c r="L797" s="165"/>
      <c r="M797" s="165"/>
      <c r="N797" s="165">
        <f t="shared" si="16"/>
        <v>0</v>
      </c>
      <c r="O797" s="165" t="s">
        <v>3952</v>
      </c>
      <c r="P797" s="165" t="s">
        <v>3953</v>
      </c>
      <c r="Q797" s="3">
        <v>3780</v>
      </c>
      <c r="R797">
        <v>3780</v>
      </c>
      <c r="T797"/>
    </row>
    <row r="798" spans="1:20">
      <c r="A798" s="165" t="s">
        <v>3305</v>
      </c>
      <c r="B798" s="94">
        <v>874</v>
      </c>
      <c r="C798" s="165" t="s">
        <v>1249</v>
      </c>
      <c r="D798" s="165">
        <v>10</v>
      </c>
      <c r="E798" s="165" t="s">
        <v>3983</v>
      </c>
      <c r="F798" s="165" t="s">
        <v>3317</v>
      </c>
      <c r="G798" s="165">
        <v>3780</v>
      </c>
      <c r="H798" s="165"/>
      <c r="I798" s="165"/>
      <c r="J798" s="165"/>
      <c r="K798" s="165">
        <v>3780</v>
      </c>
      <c r="L798" s="165"/>
      <c r="M798" s="165"/>
      <c r="N798" s="165">
        <f t="shared" si="16"/>
        <v>0</v>
      </c>
      <c r="O798" s="165" t="s">
        <v>3948</v>
      </c>
      <c r="P798" s="165" t="s">
        <v>3949</v>
      </c>
      <c r="Q798" s="3">
        <v>3780</v>
      </c>
      <c r="R798">
        <v>3780</v>
      </c>
      <c r="T798"/>
    </row>
    <row r="799" spans="1:20">
      <c r="A799" s="165" t="s">
        <v>3305</v>
      </c>
      <c r="B799" s="94">
        <v>875</v>
      </c>
      <c r="C799" s="165" t="s">
        <v>1249</v>
      </c>
      <c r="D799" s="165">
        <v>11</v>
      </c>
      <c r="E799" s="165" t="s">
        <v>3984</v>
      </c>
      <c r="F799" s="165" t="s">
        <v>3318</v>
      </c>
      <c r="G799" s="165">
        <v>3780</v>
      </c>
      <c r="H799" s="165"/>
      <c r="I799" s="165"/>
      <c r="J799" s="165"/>
      <c r="K799" s="165">
        <v>3780</v>
      </c>
      <c r="L799" s="165"/>
      <c r="M799" s="165"/>
      <c r="N799" s="165">
        <f t="shared" si="16"/>
        <v>0</v>
      </c>
      <c r="O799" s="165" t="s">
        <v>3961</v>
      </c>
      <c r="P799" s="165" t="s">
        <v>3962</v>
      </c>
      <c r="Q799" s="3">
        <v>3780</v>
      </c>
      <c r="R799">
        <v>3780</v>
      </c>
      <c r="T799"/>
    </row>
    <row r="800" spans="1:20">
      <c r="A800" s="165" t="s">
        <v>3305</v>
      </c>
      <c r="B800" s="94">
        <v>876</v>
      </c>
      <c r="C800" s="165" t="s">
        <v>1249</v>
      </c>
      <c r="D800" s="165">
        <v>12</v>
      </c>
      <c r="E800" s="165" t="s">
        <v>3985</v>
      </c>
      <c r="F800" s="165" t="s">
        <v>3319</v>
      </c>
      <c r="G800" s="165">
        <v>3780</v>
      </c>
      <c r="H800" s="165"/>
      <c r="I800" s="165"/>
      <c r="J800" s="165"/>
      <c r="K800" s="165">
        <v>3780</v>
      </c>
      <c r="L800" s="165"/>
      <c r="M800" s="165"/>
      <c r="N800" s="165">
        <f t="shared" si="16"/>
        <v>0</v>
      </c>
      <c r="O800" s="165" t="s">
        <v>3965</v>
      </c>
      <c r="P800" s="165" t="s">
        <v>3966</v>
      </c>
      <c r="Q800" s="3">
        <v>3780</v>
      </c>
      <c r="R800">
        <v>3780</v>
      </c>
      <c r="T800"/>
    </row>
    <row r="801" spans="1:21">
      <c r="A801" s="165" t="s">
        <v>3320</v>
      </c>
      <c r="B801" s="94">
        <v>877</v>
      </c>
      <c r="C801" s="165" t="s">
        <v>1305</v>
      </c>
      <c r="D801" s="165">
        <v>1</v>
      </c>
      <c r="E801" s="165" t="s">
        <v>3321</v>
      </c>
      <c r="F801" s="165" t="s">
        <v>1042</v>
      </c>
      <c r="G801" s="165">
        <v>11340</v>
      </c>
      <c r="H801" s="165"/>
      <c r="I801" s="165"/>
      <c r="J801" s="165">
        <v>11340</v>
      </c>
      <c r="K801" s="165"/>
      <c r="L801" s="165"/>
      <c r="M801" s="165"/>
      <c r="N801" s="165">
        <f t="shared" si="16"/>
        <v>0</v>
      </c>
      <c r="O801" s="165" t="s">
        <v>3171</v>
      </c>
      <c r="P801" s="165" t="s">
        <v>3172</v>
      </c>
      <c r="Q801" s="3">
        <v>11340</v>
      </c>
      <c r="R801">
        <v>11340</v>
      </c>
      <c r="T801"/>
    </row>
    <row r="802" spans="1:21" s="163" customFormat="1">
      <c r="A802" s="281" t="s">
        <v>3137</v>
      </c>
      <c r="B802" s="281"/>
      <c r="C802" s="281" t="s">
        <v>701</v>
      </c>
      <c r="D802" s="281">
        <v>1</v>
      </c>
      <c r="E802" s="281" t="s">
        <v>1283</v>
      </c>
      <c r="F802" s="281" t="s">
        <v>3137</v>
      </c>
      <c r="G802" s="284"/>
      <c r="H802" s="284"/>
      <c r="I802" s="284"/>
      <c r="J802" s="281"/>
      <c r="K802" s="281"/>
      <c r="L802" s="281"/>
      <c r="M802" s="281"/>
      <c r="N802" s="281">
        <f t="shared" si="16"/>
        <v>0</v>
      </c>
      <c r="O802" s="281" t="s">
        <v>3137</v>
      </c>
      <c r="P802" s="281" t="s">
        <v>3137</v>
      </c>
      <c r="Q802" s="281">
        <v>84000</v>
      </c>
      <c r="R802" s="281">
        <v>84000</v>
      </c>
      <c r="S802" s="281">
        <v>84000</v>
      </c>
      <c r="T802" s="284"/>
    </row>
    <row r="803" spans="1:21" s="163" customFormat="1">
      <c r="A803" s="281" t="s">
        <v>3043</v>
      </c>
      <c r="B803" s="281"/>
      <c r="C803" s="281" t="s">
        <v>747</v>
      </c>
      <c r="D803" s="281">
        <v>3</v>
      </c>
      <c r="E803" s="281" t="s">
        <v>1283</v>
      </c>
      <c r="F803" s="281" t="s">
        <v>3043</v>
      </c>
      <c r="G803" s="284"/>
      <c r="H803" s="284"/>
      <c r="I803" s="284"/>
      <c r="J803" s="281"/>
      <c r="K803" s="281"/>
      <c r="L803" s="281"/>
      <c r="M803" s="281"/>
      <c r="N803" s="281">
        <f t="shared" si="16"/>
        <v>0</v>
      </c>
      <c r="O803" s="281" t="s">
        <v>3043</v>
      </c>
      <c r="P803" s="281" t="s">
        <v>3043</v>
      </c>
      <c r="Q803" s="281">
        <v>21000</v>
      </c>
      <c r="R803" s="281">
        <v>21000</v>
      </c>
      <c r="S803" s="281">
        <v>21000</v>
      </c>
      <c r="T803" s="284"/>
      <c r="U803" s="163" t="s">
        <v>748</v>
      </c>
    </row>
    <row r="804" spans="1:21" s="163" customFormat="1">
      <c r="A804" s="281" t="s">
        <v>3139</v>
      </c>
      <c r="B804" s="281"/>
      <c r="C804" s="281" t="s">
        <v>1013</v>
      </c>
      <c r="D804" s="281">
        <v>2</v>
      </c>
      <c r="E804" s="281" t="s">
        <v>1283</v>
      </c>
      <c r="F804" s="281" t="s">
        <v>3139</v>
      </c>
      <c r="G804" s="284"/>
      <c r="H804" s="284"/>
      <c r="I804" s="284"/>
      <c r="J804" s="281"/>
      <c r="K804" s="281"/>
      <c r="L804" s="281"/>
      <c r="M804" s="281"/>
      <c r="N804" s="281">
        <f t="shared" si="16"/>
        <v>0</v>
      </c>
      <c r="O804" s="281" t="s">
        <v>3139</v>
      </c>
      <c r="P804" s="281" t="s">
        <v>3139</v>
      </c>
      <c r="Q804" s="281">
        <v>105000</v>
      </c>
      <c r="R804" s="281">
        <v>105000</v>
      </c>
      <c r="S804" s="281">
        <v>105000</v>
      </c>
      <c r="T804" s="284"/>
      <c r="U804" s="163" t="s">
        <v>746</v>
      </c>
    </row>
    <row r="805" spans="1:21" s="163" customFormat="1">
      <c r="A805" s="281" t="s">
        <v>756</v>
      </c>
      <c r="B805" s="281"/>
      <c r="C805" s="281" t="s">
        <v>1016</v>
      </c>
      <c r="D805" s="281">
        <v>2</v>
      </c>
      <c r="E805" s="281" t="s">
        <v>1283</v>
      </c>
      <c r="F805" s="281" t="s">
        <v>756</v>
      </c>
      <c r="G805" s="284"/>
      <c r="H805" s="284"/>
      <c r="I805" s="284"/>
      <c r="J805" s="281"/>
      <c r="K805" s="281"/>
      <c r="L805" s="281"/>
      <c r="M805" s="281"/>
      <c r="N805" s="281">
        <f t="shared" si="16"/>
        <v>0</v>
      </c>
      <c r="O805" s="281" t="s">
        <v>756</v>
      </c>
      <c r="P805" s="281" t="s">
        <v>756</v>
      </c>
      <c r="Q805" s="281">
        <v>105000</v>
      </c>
      <c r="R805" s="281">
        <v>105000</v>
      </c>
      <c r="S805" s="281">
        <v>105000</v>
      </c>
      <c r="T805" s="284"/>
      <c r="U805" s="163" t="s">
        <v>746</v>
      </c>
    </row>
    <row r="806" spans="1:21">
      <c r="A806" s="165" t="s">
        <v>3322</v>
      </c>
      <c r="B806" s="94">
        <v>878</v>
      </c>
      <c r="C806" s="165" t="s">
        <v>2691</v>
      </c>
      <c r="D806" s="165">
        <v>1</v>
      </c>
      <c r="E806" s="165" t="s">
        <v>3323</v>
      </c>
      <c r="F806" s="165" t="s">
        <v>708</v>
      </c>
      <c r="G806" s="165">
        <v>14175</v>
      </c>
      <c r="H806" s="165"/>
      <c r="I806" s="165"/>
      <c r="J806" s="165">
        <v>14175</v>
      </c>
      <c r="K806" s="165"/>
      <c r="L806" s="165"/>
      <c r="M806" s="165"/>
      <c r="N806" s="165">
        <f t="shared" si="16"/>
        <v>0</v>
      </c>
      <c r="O806" s="165" t="s">
        <v>3171</v>
      </c>
      <c r="P806" s="165" t="s">
        <v>3172</v>
      </c>
      <c r="Q806" s="3">
        <v>14175</v>
      </c>
      <c r="R806">
        <v>14175</v>
      </c>
    </row>
    <row r="807" spans="1:21">
      <c r="A807" s="165" t="s">
        <v>3322</v>
      </c>
      <c r="B807" s="94">
        <v>879</v>
      </c>
      <c r="C807" s="165" t="s">
        <v>2691</v>
      </c>
      <c r="D807" s="165">
        <v>2</v>
      </c>
      <c r="E807" s="165" t="s">
        <v>3324</v>
      </c>
      <c r="F807" s="165" t="s">
        <v>659</v>
      </c>
      <c r="G807" s="165">
        <v>14175</v>
      </c>
      <c r="H807" s="165"/>
      <c r="I807" s="165"/>
      <c r="J807" s="165"/>
      <c r="K807" s="165">
        <v>14175</v>
      </c>
      <c r="L807" s="165"/>
      <c r="M807" s="165"/>
      <c r="N807" s="165">
        <f t="shared" si="16"/>
        <v>0</v>
      </c>
      <c r="O807" s="165" t="s">
        <v>3934</v>
      </c>
      <c r="P807" s="165" t="s">
        <v>3935</v>
      </c>
      <c r="Q807" s="3">
        <v>14175</v>
      </c>
      <c r="R807" s="281">
        <v>14175</v>
      </c>
    </row>
    <row r="808" spans="1:21">
      <c r="A808" s="165" t="s">
        <v>3322</v>
      </c>
      <c r="B808" s="94">
        <v>880</v>
      </c>
      <c r="C808" s="165" t="s">
        <v>2691</v>
      </c>
      <c r="D808" s="165">
        <v>3</v>
      </c>
      <c r="E808" s="165" t="s">
        <v>3325</v>
      </c>
      <c r="F808" s="165" t="s">
        <v>711</v>
      </c>
      <c r="G808" s="165">
        <v>14175</v>
      </c>
      <c r="H808" s="165"/>
      <c r="I808" s="165"/>
      <c r="J808" s="165"/>
      <c r="K808" s="165">
        <v>14175</v>
      </c>
      <c r="L808" s="165"/>
      <c r="M808" s="165"/>
      <c r="N808" s="165">
        <f t="shared" si="16"/>
        <v>0</v>
      </c>
      <c r="O808" s="165" t="s">
        <v>3946</v>
      </c>
      <c r="P808" s="165" t="s">
        <v>3947</v>
      </c>
      <c r="Q808" s="3">
        <v>14175</v>
      </c>
      <c r="R808" s="281">
        <v>14175</v>
      </c>
    </row>
    <row r="809" spans="1:21">
      <c r="A809" s="165" t="s">
        <v>3322</v>
      </c>
      <c r="B809" s="94">
        <v>881</v>
      </c>
      <c r="C809" s="165" t="s">
        <v>2691</v>
      </c>
      <c r="D809" s="165">
        <v>4</v>
      </c>
      <c r="E809" s="165" t="s">
        <v>3326</v>
      </c>
      <c r="F809" s="165" t="s">
        <v>663</v>
      </c>
      <c r="G809" s="165">
        <v>14175</v>
      </c>
      <c r="H809" s="165"/>
      <c r="I809" s="165"/>
      <c r="J809" s="165"/>
      <c r="K809" s="165">
        <v>14175</v>
      </c>
      <c r="L809" s="165"/>
      <c r="M809" s="165"/>
      <c r="N809" s="165">
        <f t="shared" si="16"/>
        <v>0</v>
      </c>
      <c r="O809" s="165" t="s">
        <v>3955</v>
      </c>
      <c r="P809" s="165" t="s">
        <v>3956</v>
      </c>
      <c r="Q809" s="3">
        <v>14175</v>
      </c>
      <c r="R809" s="281">
        <v>14175</v>
      </c>
    </row>
    <row r="810" spans="1:21">
      <c r="A810" s="165" t="s">
        <v>3322</v>
      </c>
      <c r="B810" s="94">
        <v>882</v>
      </c>
      <c r="C810" s="165" t="s">
        <v>2691</v>
      </c>
      <c r="D810" s="165">
        <v>5</v>
      </c>
      <c r="E810" s="165" t="s">
        <v>3327</v>
      </c>
      <c r="F810" s="165" t="s">
        <v>3219</v>
      </c>
      <c r="G810" s="165">
        <v>14175</v>
      </c>
      <c r="H810" s="165"/>
      <c r="I810" s="165"/>
      <c r="J810" s="165"/>
      <c r="K810" s="165">
        <v>14175</v>
      </c>
      <c r="L810" s="165"/>
      <c r="M810" s="165"/>
      <c r="N810" s="165">
        <f t="shared" si="16"/>
        <v>0</v>
      </c>
      <c r="O810" s="165" t="s">
        <v>3957</v>
      </c>
      <c r="P810" s="165" t="s">
        <v>3958</v>
      </c>
      <c r="Q810" s="3">
        <v>14175</v>
      </c>
      <c r="R810" s="281">
        <v>14175</v>
      </c>
    </row>
    <row r="811" spans="1:21">
      <c r="A811" s="165" t="s">
        <v>3322</v>
      </c>
      <c r="B811" s="94">
        <v>883</v>
      </c>
      <c r="C811" s="165" t="s">
        <v>2691</v>
      </c>
      <c r="D811" s="165">
        <v>6</v>
      </c>
      <c r="E811" s="165" t="s">
        <v>3328</v>
      </c>
      <c r="F811" s="165" t="s">
        <v>3221</v>
      </c>
      <c r="G811" s="165">
        <v>14175</v>
      </c>
      <c r="H811" s="165"/>
      <c r="I811" s="165"/>
      <c r="J811" s="165"/>
      <c r="K811" s="165"/>
      <c r="L811" s="165">
        <v>14175</v>
      </c>
      <c r="M811" s="165"/>
      <c r="N811" s="165">
        <f>G811+H811+I811-J811-K811-L811</f>
        <v>0</v>
      </c>
      <c r="O811" s="165" t="s">
        <v>4434</v>
      </c>
      <c r="P811" s="165" t="s">
        <v>4102</v>
      </c>
      <c r="Q811" s="3">
        <v>14175</v>
      </c>
      <c r="R811" s="281">
        <v>14175</v>
      </c>
    </row>
    <row r="812" spans="1:21">
      <c r="A812" s="165" t="s">
        <v>3322</v>
      </c>
      <c r="B812" s="94">
        <v>884</v>
      </c>
      <c r="C812" s="165" t="s">
        <v>2691</v>
      </c>
      <c r="D812" s="165">
        <v>7</v>
      </c>
      <c r="E812" s="165" t="s">
        <v>3329</v>
      </c>
      <c r="F812" s="165" t="s">
        <v>3330</v>
      </c>
      <c r="G812" s="165">
        <v>14175</v>
      </c>
      <c r="H812" s="165"/>
      <c r="I812" s="165"/>
      <c r="J812" s="165"/>
      <c r="K812" s="165"/>
      <c r="L812" s="165">
        <v>14175</v>
      </c>
      <c r="M812" s="165"/>
      <c r="N812" s="165">
        <f>G812+H812+I812-J812-K812-L812</f>
        <v>0</v>
      </c>
      <c r="O812" s="165" t="s">
        <v>4767</v>
      </c>
      <c r="P812" s="165" t="s">
        <v>4782</v>
      </c>
      <c r="Q812" s="3">
        <v>14175</v>
      </c>
      <c r="R812" s="281">
        <v>14175</v>
      </c>
    </row>
    <row r="813" spans="1:21">
      <c r="A813" s="165" t="s">
        <v>3322</v>
      </c>
      <c r="B813" s="94">
        <v>885</v>
      </c>
      <c r="C813" s="165" t="s">
        <v>2691</v>
      </c>
      <c r="D813" s="165">
        <v>8</v>
      </c>
      <c r="E813" s="165" t="s">
        <v>3331</v>
      </c>
      <c r="F813" s="165" t="s">
        <v>3332</v>
      </c>
      <c r="G813" s="165">
        <v>14175</v>
      </c>
      <c r="H813" s="165"/>
      <c r="I813" s="165"/>
      <c r="J813" s="165"/>
      <c r="K813" s="165"/>
      <c r="L813" s="165">
        <v>14175</v>
      </c>
      <c r="M813" s="165"/>
      <c r="N813" s="165">
        <f>G813+H813+I813-J813-K813-L813</f>
        <v>0</v>
      </c>
      <c r="O813" s="165" t="s">
        <v>4715</v>
      </c>
      <c r="P813" s="165" t="s">
        <v>4786</v>
      </c>
      <c r="Q813" s="3">
        <v>14175</v>
      </c>
      <c r="R813" s="281">
        <v>14175</v>
      </c>
    </row>
    <row r="814" spans="1:21">
      <c r="A814" s="165" t="s">
        <v>3333</v>
      </c>
      <c r="B814" s="94">
        <v>886</v>
      </c>
      <c r="C814" s="165" t="s">
        <v>1270</v>
      </c>
      <c r="D814" s="165">
        <v>1</v>
      </c>
      <c r="E814" s="165" t="s">
        <v>3334</v>
      </c>
      <c r="F814" s="165" t="s">
        <v>3199</v>
      </c>
      <c r="G814" s="165">
        <v>20475</v>
      </c>
      <c r="H814" s="165"/>
      <c r="I814" s="165"/>
      <c r="J814" s="165">
        <v>20475</v>
      </c>
      <c r="K814" s="165"/>
      <c r="L814" s="165"/>
      <c r="M814" s="165"/>
      <c r="N814" s="165">
        <f t="shared" si="16"/>
        <v>0</v>
      </c>
      <c r="O814" s="165" t="s">
        <v>3171</v>
      </c>
      <c r="P814" s="165" t="s">
        <v>3172</v>
      </c>
      <c r="Q814" s="3">
        <v>20475</v>
      </c>
      <c r="R814">
        <v>20475</v>
      </c>
    </row>
    <row r="815" spans="1:21">
      <c r="A815" s="165" t="s">
        <v>3333</v>
      </c>
      <c r="B815" s="94">
        <v>887</v>
      </c>
      <c r="C815" s="165" t="s">
        <v>1270</v>
      </c>
      <c r="D815" s="165">
        <v>2</v>
      </c>
      <c r="E815" s="165" t="s">
        <v>3335</v>
      </c>
      <c r="F815" s="165" t="s">
        <v>3201</v>
      </c>
      <c r="G815" s="165">
        <v>20475</v>
      </c>
      <c r="H815" s="165"/>
      <c r="I815" s="165"/>
      <c r="J815" s="165"/>
      <c r="K815" s="165">
        <v>20475</v>
      </c>
      <c r="L815" s="165"/>
      <c r="M815" s="165"/>
      <c r="N815" s="165">
        <f t="shared" si="16"/>
        <v>0</v>
      </c>
      <c r="O815" s="165" t="s">
        <v>3936</v>
      </c>
      <c r="P815" s="165" t="s">
        <v>3937</v>
      </c>
      <c r="Q815" s="3">
        <v>20475</v>
      </c>
      <c r="R815">
        <v>20475</v>
      </c>
    </row>
    <row r="816" spans="1:21">
      <c r="A816" s="165" t="s">
        <v>3333</v>
      </c>
      <c r="B816" s="94">
        <v>888</v>
      </c>
      <c r="C816" s="165" t="s">
        <v>1270</v>
      </c>
      <c r="D816" s="165">
        <v>3</v>
      </c>
      <c r="E816" s="165" t="s">
        <v>3336</v>
      </c>
      <c r="F816" s="165" t="s">
        <v>3203</v>
      </c>
      <c r="G816" s="165">
        <v>20475</v>
      </c>
      <c r="H816" s="165"/>
      <c r="I816" s="165"/>
      <c r="J816" s="165"/>
      <c r="K816" s="165">
        <v>20475</v>
      </c>
      <c r="L816" s="165"/>
      <c r="M816" s="165"/>
      <c r="N816" s="165">
        <f t="shared" si="16"/>
        <v>0</v>
      </c>
      <c r="O816" s="165" t="s">
        <v>3969</v>
      </c>
      <c r="P816" s="165" t="s">
        <v>3960</v>
      </c>
      <c r="Q816" s="3">
        <v>20475</v>
      </c>
      <c r="R816">
        <v>20475</v>
      </c>
    </row>
    <row r="817" spans="1:21">
      <c r="A817" s="165" t="s">
        <v>3333</v>
      </c>
      <c r="B817" s="94">
        <v>889</v>
      </c>
      <c r="C817" s="165" t="s">
        <v>1270</v>
      </c>
      <c r="D817" s="165">
        <v>4</v>
      </c>
      <c r="E817" s="165" t="s">
        <v>3337</v>
      </c>
      <c r="F817" s="165" t="s">
        <v>3205</v>
      </c>
      <c r="G817" s="165">
        <v>20475</v>
      </c>
      <c r="H817" s="165"/>
      <c r="I817" s="165"/>
      <c r="J817" s="165"/>
      <c r="K817" s="165">
        <v>20475</v>
      </c>
      <c r="L817" s="165"/>
      <c r="M817" s="165"/>
      <c r="N817" s="165">
        <f t="shared" si="16"/>
        <v>0</v>
      </c>
      <c r="O817" s="165" t="s">
        <v>3970</v>
      </c>
      <c r="P817" s="165" t="s">
        <v>3971</v>
      </c>
      <c r="Q817" s="3">
        <v>20475</v>
      </c>
      <c r="R817">
        <v>20475</v>
      </c>
    </row>
    <row r="818" spans="1:21" s="163" customFormat="1">
      <c r="A818" s="281" t="s">
        <v>1042</v>
      </c>
      <c r="B818" s="281"/>
      <c r="C818" s="281" t="s">
        <v>1532</v>
      </c>
      <c r="D818" s="281">
        <v>7</v>
      </c>
      <c r="E818" s="281" t="s">
        <v>1283</v>
      </c>
      <c r="F818" s="281" t="s">
        <v>1042</v>
      </c>
      <c r="G818" s="284"/>
      <c r="H818" s="284"/>
      <c r="I818" s="284"/>
      <c r="J818" s="281"/>
      <c r="K818" s="281"/>
      <c r="L818" s="281"/>
      <c r="M818" s="281"/>
      <c r="N818" s="281">
        <f t="shared" si="16"/>
        <v>0</v>
      </c>
      <c r="O818" s="281" t="s">
        <v>1042</v>
      </c>
      <c r="P818" s="281" t="s">
        <v>1042</v>
      </c>
      <c r="Q818" s="281">
        <v>13500</v>
      </c>
      <c r="R818" s="281">
        <v>13485</v>
      </c>
      <c r="S818" s="281">
        <v>13485</v>
      </c>
      <c r="T818" s="284">
        <v>15</v>
      </c>
    </row>
    <row r="819" spans="1:21">
      <c r="A819" s="165" t="s">
        <v>3338</v>
      </c>
      <c r="B819" s="94">
        <v>890</v>
      </c>
      <c r="C819" s="165" t="s">
        <v>2688</v>
      </c>
      <c r="D819" s="165">
        <v>1</v>
      </c>
      <c r="E819" s="165" t="s">
        <v>3339</v>
      </c>
      <c r="F819" s="165" t="s">
        <v>3171</v>
      </c>
      <c r="G819" s="165">
        <v>11340</v>
      </c>
      <c r="H819" s="165"/>
      <c r="I819" s="165"/>
      <c r="J819" s="165">
        <v>11340</v>
      </c>
      <c r="K819" s="165"/>
      <c r="L819" s="165"/>
      <c r="M819" s="165"/>
      <c r="N819" s="165">
        <f t="shared" si="16"/>
        <v>0</v>
      </c>
      <c r="O819" s="165" t="s">
        <v>3171</v>
      </c>
      <c r="P819" s="165" t="s">
        <v>3172</v>
      </c>
      <c r="Q819" s="3">
        <v>11340</v>
      </c>
      <c r="R819">
        <v>11340</v>
      </c>
    </row>
    <row r="820" spans="1:21">
      <c r="A820" s="165" t="s">
        <v>3338</v>
      </c>
      <c r="B820" s="94">
        <v>891</v>
      </c>
      <c r="C820" s="165" t="s">
        <v>2688</v>
      </c>
      <c r="D820" s="165">
        <v>2</v>
      </c>
      <c r="E820" s="165" t="s">
        <v>3340</v>
      </c>
      <c r="F820" s="165" t="s">
        <v>3341</v>
      </c>
      <c r="G820" s="165">
        <v>11340</v>
      </c>
      <c r="H820" s="165"/>
      <c r="I820" s="165"/>
      <c r="J820" s="165"/>
      <c r="K820" s="165">
        <v>11340</v>
      </c>
      <c r="L820" s="165"/>
      <c r="M820" s="165"/>
      <c r="N820" s="165">
        <f t="shared" si="16"/>
        <v>0</v>
      </c>
      <c r="O820" s="165" t="s">
        <v>3936</v>
      </c>
      <c r="P820" s="165" t="s">
        <v>3937</v>
      </c>
      <c r="Q820" s="3">
        <v>11340</v>
      </c>
      <c r="R820">
        <v>11340</v>
      </c>
    </row>
    <row r="821" spans="1:21">
      <c r="A821" s="165" t="s">
        <v>3338</v>
      </c>
      <c r="B821" s="94">
        <v>892</v>
      </c>
      <c r="C821" s="165" t="s">
        <v>2688</v>
      </c>
      <c r="D821" s="165">
        <v>3</v>
      </c>
      <c r="E821" s="165" t="s">
        <v>3342</v>
      </c>
      <c r="F821" s="165" t="s">
        <v>3343</v>
      </c>
      <c r="G821" s="165">
        <v>11340</v>
      </c>
      <c r="H821" s="165"/>
      <c r="I821" s="165"/>
      <c r="J821" s="165"/>
      <c r="K821" s="165">
        <v>11340</v>
      </c>
      <c r="L821" s="165"/>
      <c r="M821" s="165"/>
      <c r="N821" s="165">
        <f t="shared" si="16"/>
        <v>0</v>
      </c>
      <c r="O821" s="165" t="s">
        <v>3952</v>
      </c>
      <c r="P821" s="165" t="s">
        <v>3953</v>
      </c>
      <c r="Q821" s="3">
        <v>11340</v>
      </c>
      <c r="R821">
        <v>11340</v>
      </c>
    </row>
    <row r="822" spans="1:21">
      <c r="A822" s="165" t="s">
        <v>3338</v>
      </c>
      <c r="B822" s="94">
        <v>893</v>
      </c>
      <c r="C822" s="165" t="s">
        <v>2688</v>
      </c>
      <c r="D822" s="165">
        <v>4</v>
      </c>
      <c r="E822" s="165" t="s">
        <v>3344</v>
      </c>
      <c r="F822" s="165" t="s">
        <v>3345</v>
      </c>
      <c r="G822" s="165">
        <v>11340</v>
      </c>
      <c r="H822" s="165"/>
      <c r="I822" s="165"/>
      <c r="J822" s="165"/>
      <c r="K822" s="165">
        <v>11340</v>
      </c>
      <c r="L822" s="165"/>
      <c r="M822" s="165"/>
      <c r="N822" s="165">
        <f t="shared" si="16"/>
        <v>0</v>
      </c>
      <c r="O822" s="165" t="s">
        <v>3986</v>
      </c>
      <c r="P822" s="165" t="s">
        <v>3987</v>
      </c>
      <c r="Q822" s="3">
        <v>11340</v>
      </c>
      <c r="R822">
        <v>11340</v>
      </c>
    </row>
    <row r="823" spans="1:21">
      <c r="A823" s="165" t="s">
        <v>3338</v>
      </c>
      <c r="B823" s="94">
        <v>894</v>
      </c>
      <c r="C823" s="165" t="s">
        <v>2688</v>
      </c>
      <c r="D823" s="165">
        <v>5</v>
      </c>
      <c r="E823" s="165" t="s">
        <v>3346</v>
      </c>
      <c r="F823" s="165" t="s">
        <v>3347</v>
      </c>
      <c r="G823" s="165">
        <v>11340</v>
      </c>
      <c r="H823" s="165"/>
      <c r="I823" s="165"/>
      <c r="J823" s="165"/>
      <c r="K823" s="165">
        <v>11340</v>
      </c>
      <c r="L823" s="165"/>
      <c r="M823" s="165"/>
      <c r="N823" s="165">
        <f t="shared" si="16"/>
        <v>0</v>
      </c>
      <c r="O823" s="165" t="s">
        <v>3972</v>
      </c>
      <c r="P823" s="165" t="s">
        <v>3988</v>
      </c>
      <c r="Q823" s="3">
        <v>11340</v>
      </c>
      <c r="R823">
        <v>11340</v>
      </c>
    </row>
    <row r="824" spans="1:21">
      <c r="A824" s="165" t="s">
        <v>3338</v>
      </c>
      <c r="B824" s="94">
        <v>895</v>
      </c>
      <c r="C824" s="165" t="s">
        <v>2688</v>
      </c>
      <c r="D824" s="165">
        <v>6</v>
      </c>
      <c r="E824" s="165" t="s">
        <v>3348</v>
      </c>
      <c r="F824" s="165" t="s">
        <v>3349</v>
      </c>
      <c r="G824" s="165">
        <v>11340</v>
      </c>
      <c r="H824" s="165"/>
      <c r="I824" s="165"/>
      <c r="J824" s="165"/>
      <c r="K824" s="165"/>
      <c r="L824" s="165">
        <v>11340</v>
      </c>
      <c r="M824" s="165"/>
      <c r="N824" s="165">
        <f>G824+H824+I824-J824-K824-L824</f>
        <v>0</v>
      </c>
      <c r="O824" s="165" t="s">
        <v>4439</v>
      </c>
      <c r="P824" s="165" t="s">
        <v>4780</v>
      </c>
      <c r="Q824" s="3">
        <v>11340</v>
      </c>
      <c r="R824">
        <v>11340</v>
      </c>
    </row>
    <row r="825" spans="1:21">
      <c r="A825" s="165" t="s">
        <v>3338</v>
      </c>
      <c r="B825" s="94">
        <v>896</v>
      </c>
      <c r="C825" s="165" t="s">
        <v>2688</v>
      </c>
      <c r="D825" s="165">
        <v>7</v>
      </c>
      <c r="E825" s="165" t="s">
        <v>3350</v>
      </c>
      <c r="F825" s="165" t="s">
        <v>3351</v>
      </c>
      <c r="G825" s="165">
        <v>11340</v>
      </c>
      <c r="H825" s="165"/>
      <c r="I825" s="165"/>
      <c r="J825" s="165"/>
      <c r="K825" s="165"/>
      <c r="L825" s="165">
        <v>11340</v>
      </c>
      <c r="M825" s="165"/>
      <c r="N825" s="165">
        <f>G825+H825+I825-J825-K825-L825</f>
        <v>0</v>
      </c>
      <c r="O825" s="165" t="s">
        <v>4768</v>
      </c>
      <c r="P825" s="165" t="s">
        <v>4677</v>
      </c>
      <c r="Q825" s="3">
        <v>11340</v>
      </c>
      <c r="R825">
        <v>11340</v>
      </c>
    </row>
    <row r="826" spans="1:21">
      <c r="A826" s="165" t="s">
        <v>3338</v>
      </c>
      <c r="B826" s="94">
        <v>897</v>
      </c>
      <c r="C826" s="165" t="s">
        <v>2688</v>
      </c>
      <c r="D826" s="165">
        <v>8</v>
      </c>
      <c r="E826" s="165" t="s">
        <v>3352</v>
      </c>
      <c r="F826" s="165" t="s">
        <v>3353</v>
      </c>
      <c r="G826" s="165">
        <v>11340</v>
      </c>
      <c r="H826" s="165"/>
      <c r="I826" s="165"/>
      <c r="J826" s="165"/>
      <c r="K826" s="165"/>
      <c r="L826" s="165">
        <v>11340</v>
      </c>
      <c r="M826" s="165"/>
      <c r="N826" s="165">
        <f>G826+H826+I826-J826-K826-L826</f>
        <v>0</v>
      </c>
      <c r="O826" s="165" t="s">
        <v>4772</v>
      </c>
      <c r="P826" s="165" t="s">
        <v>4088</v>
      </c>
      <c r="Q826" s="3">
        <v>11340</v>
      </c>
      <c r="R826">
        <v>11340</v>
      </c>
    </row>
    <row r="827" spans="1:21" s="163" customFormat="1">
      <c r="A827" s="281" t="s">
        <v>1056</v>
      </c>
      <c r="B827" s="281"/>
      <c r="C827" s="281" t="s">
        <v>2421</v>
      </c>
      <c r="D827" s="281">
        <v>6</v>
      </c>
      <c r="E827" s="281" t="s">
        <v>1283</v>
      </c>
      <c r="F827" s="281" t="s">
        <v>1056</v>
      </c>
      <c r="G827" s="284"/>
      <c r="H827" s="284"/>
      <c r="I827" s="284"/>
      <c r="J827" s="281"/>
      <c r="K827" s="281"/>
      <c r="L827" s="281"/>
      <c r="M827" s="281"/>
      <c r="N827" s="281">
        <f t="shared" si="16"/>
        <v>0</v>
      </c>
      <c r="O827" s="281" t="s">
        <v>1056</v>
      </c>
      <c r="P827" s="281" t="s">
        <v>1056</v>
      </c>
      <c r="Q827" s="281">
        <v>13230</v>
      </c>
      <c r="R827" s="281">
        <v>13220</v>
      </c>
      <c r="S827" s="281">
        <v>13220</v>
      </c>
      <c r="T827" s="284">
        <v>10</v>
      </c>
    </row>
    <row r="828" spans="1:21">
      <c r="A828" s="165" t="s">
        <v>651</v>
      </c>
      <c r="B828" s="94">
        <v>898</v>
      </c>
      <c r="C828" s="165" t="s">
        <v>1016</v>
      </c>
      <c r="D828" s="165">
        <v>1</v>
      </c>
      <c r="E828" s="165" t="s">
        <v>3354</v>
      </c>
      <c r="F828" s="165" t="s">
        <v>3355</v>
      </c>
      <c r="G828" s="165">
        <v>113400</v>
      </c>
      <c r="H828" s="165"/>
      <c r="I828" s="165"/>
      <c r="J828" s="165">
        <v>113400</v>
      </c>
      <c r="K828" s="165"/>
      <c r="L828" s="165"/>
      <c r="M828" s="165"/>
      <c r="N828" s="165">
        <f t="shared" si="16"/>
        <v>0</v>
      </c>
      <c r="O828" s="165" t="s">
        <v>3171</v>
      </c>
      <c r="P828" s="165" t="s">
        <v>3172</v>
      </c>
      <c r="Q828" s="3">
        <v>113400</v>
      </c>
      <c r="R828">
        <v>113400</v>
      </c>
    </row>
    <row r="829" spans="1:21">
      <c r="A829" s="165" t="s">
        <v>651</v>
      </c>
      <c r="B829" s="94">
        <v>899</v>
      </c>
      <c r="C829" s="165" t="s">
        <v>1013</v>
      </c>
      <c r="D829" s="165">
        <v>1</v>
      </c>
      <c r="E829" s="165" t="s">
        <v>3356</v>
      </c>
      <c r="F829" s="165" t="s">
        <v>3357</v>
      </c>
      <c r="G829" s="165">
        <v>113400</v>
      </c>
      <c r="H829" s="165"/>
      <c r="I829" s="165"/>
      <c r="J829" s="165">
        <v>113400</v>
      </c>
      <c r="K829" s="165"/>
      <c r="L829" s="165"/>
      <c r="M829" s="165"/>
      <c r="N829" s="165">
        <f t="shared" si="16"/>
        <v>0</v>
      </c>
      <c r="O829" s="165" t="s">
        <v>3171</v>
      </c>
      <c r="P829" s="165" t="s">
        <v>3172</v>
      </c>
      <c r="Q829" s="3">
        <v>113400</v>
      </c>
      <c r="R829">
        <v>113400</v>
      </c>
    </row>
    <row r="830" spans="1:21">
      <c r="A830" s="165" t="s">
        <v>651</v>
      </c>
      <c r="B830" s="94">
        <v>900</v>
      </c>
      <c r="C830" s="165" t="s">
        <v>1016</v>
      </c>
      <c r="D830" s="165">
        <v>1</v>
      </c>
      <c r="E830" s="165" t="s">
        <v>3358</v>
      </c>
      <c r="F830" s="165" t="s">
        <v>3359</v>
      </c>
      <c r="G830" s="165">
        <v>20475</v>
      </c>
      <c r="H830" s="165"/>
      <c r="I830" s="165"/>
      <c r="J830" s="165">
        <v>20475</v>
      </c>
      <c r="K830" s="165"/>
      <c r="L830" s="165"/>
      <c r="M830" s="165"/>
      <c r="N830" s="165">
        <f t="shared" si="16"/>
        <v>0</v>
      </c>
      <c r="O830" s="165" t="s">
        <v>3171</v>
      </c>
      <c r="P830" s="165" t="s">
        <v>3172</v>
      </c>
      <c r="Q830" s="3">
        <v>20475</v>
      </c>
      <c r="R830">
        <v>20475</v>
      </c>
      <c r="U830" s="271" t="s">
        <v>2740</v>
      </c>
    </row>
    <row r="831" spans="1:21">
      <c r="A831" s="165" t="s">
        <v>651</v>
      </c>
      <c r="B831" s="94">
        <v>901</v>
      </c>
      <c r="C831" s="165" t="s">
        <v>1016</v>
      </c>
      <c r="D831" s="165">
        <v>2</v>
      </c>
      <c r="E831" s="165" t="s">
        <v>3360</v>
      </c>
      <c r="F831" s="165" t="s">
        <v>3361</v>
      </c>
      <c r="G831" s="165">
        <v>20475</v>
      </c>
      <c r="H831" s="165"/>
      <c r="I831" s="165"/>
      <c r="J831" s="165"/>
      <c r="K831" s="165">
        <v>20475</v>
      </c>
      <c r="L831" s="165"/>
      <c r="M831" s="165"/>
      <c r="N831" s="165">
        <f t="shared" si="16"/>
        <v>0</v>
      </c>
      <c r="O831" s="165" t="s">
        <v>3938</v>
      </c>
      <c r="P831" s="165" t="s">
        <v>3939</v>
      </c>
      <c r="Q831" s="3">
        <v>20475</v>
      </c>
      <c r="R831">
        <v>20475</v>
      </c>
      <c r="U831" s="271" t="s">
        <v>2740</v>
      </c>
    </row>
    <row r="832" spans="1:21">
      <c r="A832" s="165" t="s">
        <v>651</v>
      </c>
      <c r="B832" s="94">
        <v>902</v>
      </c>
      <c r="C832" s="165" t="s">
        <v>1016</v>
      </c>
      <c r="D832" s="165">
        <v>3</v>
      </c>
      <c r="E832" s="165" t="s">
        <v>3362</v>
      </c>
      <c r="F832" s="165" t="s">
        <v>3363</v>
      </c>
      <c r="G832" s="165">
        <v>20475</v>
      </c>
      <c r="H832" s="165"/>
      <c r="I832" s="165"/>
      <c r="J832" s="165"/>
      <c r="K832" s="165">
        <v>20475</v>
      </c>
      <c r="L832" s="165"/>
      <c r="M832" s="165"/>
      <c r="N832" s="165">
        <f t="shared" si="16"/>
        <v>0</v>
      </c>
      <c r="O832" s="165" t="s">
        <v>3940</v>
      </c>
      <c r="P832" s="165" t="s">
        <v>3941</v>
      </c>
      <c r="Q832" s="3">
        <v>20475</v>
      </c>
      <c r="R832">
        <v>20475</v>
      </c>
      <c r="U832" s="271" t="s">
        <v>2740</v>
      </c>
    </row>
    <row r="833" spans="1:21">
      <c r="A833" s="165" t="s">
        <v>651</v>
      </c>
      <c r="B833" s="94">
        <v>903</v>
      </c>
      <c r="C833" s="165" t="s">
        <v>1016</v>
      </c>
      <c r="D833" s="165">
        <v>4</v>
      </c>
      <c r="E833" s="165" t="s">
        <v>3364</v>
      </c>
      <c r="F833" s="165" t="s">
        <v>3365</v>
      </c>
      <c r="G833" s="165">
        <v>20475</v>
      </c>
      <c r="H833" s="165"/>
      <c r="I833" s="165"/>
      <c r="J833" s="165"/>
      <c r="K833" s="165">
        <v>20475</v>
      </c>
      <c r="L833" s="165"/>
      <c r="M833" s="165"/>
      <c r="N833" s="165">
        <f t="shared" si="16"/>
        <v>0</v>
      </c>
      <c r="O833" s="165" t="s">
        <v>3948</v>
      </c>
      <c r="P833" s="165" t="s">
        <v>3949</v>
      </c>
      <c r="Q833" s="3">
        <v>20475</v>
      </c>
      <c r="R833">
        <v>20475</v>
      </c>
      <c r="U833" s="271" t="s">
        <v>2740</v>
      </c>
    </row>
    <row r="834" spans="1:21">
      <c r="A834" s="165" t="s">
        <v>651</v>
      </c>
      <c r="B834" s="94">
        <v>904</v>
      </c>
      <c r="C834" s="165" t="s">
        <v>1016</v>
      </c>
      <c r="D834" s="165">
        <v>5</v>
      </c>
      <c r="E834" s="165" t="s">
        <v>3366</v>
      </c>
      <c r="F834" s="165" t="s">
        <v>3367</v>
      </c>
      <c r="G834" s="165">
        <v>20475</v>
      </c>
      <c r="H834" s="165"/>
      <c r="I834" s="165"/>
      <c r="J834" s="165"/>
      <c r="K834" s="165">
        <v>20475</v>
      </c>
      <c r="L834" s="165"/>
      <c r="M834" s="165"/>
      <c r="N834" s="165">
        <f t="shared" si="16"/>
        <v>0</v>
      </c>
      <c r="O834" s="165" t="s">
        <v>3967</v>
      </c>
      <c r="P834" s="165" t="s">
        <v>3968</v>
      </c>
      <c r="Q834" s="3">
        <v>20475</v>
      </c>
      <c r="R834">
        <v>20475</v>
      </c>
      <c r="U834" s="271" t="s">
        <v>2740</v>
      </c>
    </row>
    <row r="835" spans="1:21">
      <c r="A835" s="165" t="s">
        <v>651</v>
      </c>
      <c r="B835" s="94">
        <v>905</v>
      </c>
      <c r="C835" s="165" t="s">
        <v>1016</v>
      </c>
      <c r="D835" s="165">
        <v>6</v>
      </c>
      <c r="E835" s="165" t="s">
        <v>3368</v>
      </c>
      <c r="F835" s="165" t="s">
        <v>3369</v>
      </c>
      <c r="G835" s="565">
        <v>20475</v>
      </c>
      <c r="H835" s="165"/>
      <c r="I835" s="165"/>
      <c r="J835" s="165"/>
      <c r="K835" s="165"/>
      <c r="L835" s="165">
        <v>20475</v>
      </c>
      <c r="M835" s="165"/>
      <c r="N835" s="165">
        <f>G835+H835+I835-J835-K835-L835</f>
        <v>0</v>
      </c>
      <c r="O835" s="165" t="s">
        <v>4433</v>
      </c>
      <c r="P835" s="165" t="s">
        <v>4779</v>
      </c>
      <c r="Q835" s="3">
        <v>20475</v>
      </c>
      <c r="R835">
        <v>20475</v>
      </c>
      <c r="U835" s="271" t="s">
        <v>2740</v>
      </c>
    </row>
    <row r="836" spans="1:21">
      <c r="A836" s="165" t="s">
        <v>651</v>
      </c>
      <c r="B836" s="94">
        <v>906</v>
      </c>
      <c r="C836" s="165" t="s">
        <v>1016</v>
      </c>
      <c r="D836" s="165">
        <v>7</v>
      </c>
      <c r="E836" s="165" t="s">
        <v>3370</v>
      </c>
      <c r="F836" s="165" t="s">
        <v>3371</v>
      </c>
      <c r="G836" s="565">
        <v>20475</v>
      </c>
      <c r="H836" s="165"/>
      <c r="I836" s="165"/>
      <c r="J836" s="165"/>
      <c r="K836" s="165"/>
      <c r="L836" s="165">
        <v>20475</v>
      </c>
      <c r="M836" s="165"/>
      <c r="N836" s="165">
        <f>G836+H836+I836-J836-K836-L836</f>
        <v>0</v>
      </c>
      <c r="O836" s="165" t="s">
        <v>4588</v>
      </c>
      <c r="P836" s="165" t="s">
        <v>4781</v>
      </c>
      <c r="Q836" s="3">
        <v>20475</v>
      </c>
      <c r="R836">
        <v>20475</v>
      </c>
      <c r="U836" s="271" t="s">
        <v>2740</v>
      </c>
    </row>
    <row r="837" spans="1:21">
      <c r="A837" s="165" t="s">
        <v>651</v>
      </c>
      <c r="B837" s="94">
        <v>907</v>
      </c>
      <c r="C837" s="165" t="s">
        <v>1016</v>
      </c>
      <c r="D837" s="165">
        <v>8</v>
      </c>
      <c r="E837" s="165" t="s">
        <v>3372</v>
      </c>
      <c r="F837" s="165" t="s">
        <v>3373</v>
      </c>
      <c r="G837" s="565">
        <v>20475</v>
      </c>
      <c r="H837" s="165"/>
      <c r="I837" s="165"/>
      <c r="J837" s="165"/>
      <c r="K837" s="165"/>
      <c r="L837" s="165">
        <v>20475</v>
      </c>
      <c r="M837" s="165"/>
      <c r="N837" s="165">
        <f>G837+H837+I837-J837-K837-L837</f>
        <v>0</v>
      </c>
      <c r="O837" s="165" t="s">
        <v>4770</v>
      </c>
      <c r="P837" s="165" t="s">
        <v>4680</v>
      </c>
      <c r="Q837" s="3">
        <v>20475</v>
      </c>
      <c r="R837">
        <v>20475</v>
      </c>
      <c r="U837" s="271" t="s">
        <v>2740</v>
      </c>
    </row>
    <row r="838" spans="1:21">
      <c r="A838" s="165" t="s">
        <v>651</v>
      </c>
      <c r="B838" s="94">
        <v>908</v>
      </c>
      <c r="C838" s="165" t="s">
        <v>1013</v>
      </c>
      <c r="D838" s="165">
        <v>1</v>
      </c>
      <c r="E838" s="165" t="s">
        <v>3374</v>
      </c>
      <c r="F838" s="165" t="s">
        <v>3359</v>
      </c>
      <c r="G838" s="165">
        <v>20475</v>
      </c>
      <c r="H838" s="165"/>
      <c r="I838" s="165"/>
      <c r="J838" s="165">
        <v>20475</v>
      </c>
      <c r="K838" s="165"/>
      <c r="L838" s="165"/>
      <c r="M838" s="165"/>
      <c r="N838" s="165">
        <f t="shared" si="16"/>
        <v>0</v>
      </c>
      <c r="O838" s="165" t="s">
        <v>3171</v>
      </c>
      <c r="P838" s="165" t="s">
        <v>3172</v>
      </c>
      <c r="Q838" s="3">
        <v>20475</v>
      </c>
      <c r="R838">
        <v>20475</v>
      </c>
      <c r="U838" s="271" t="s">
        <v>2740</v>
      </c>
    </row>
    <row r="839" spans="1:21">
      <c r="A839" s="165" t="s">
        <v>651</v>
      </c>
      <c r="B839" s="94">
        <v>909</v>
      </c>
      <c r="C839" s="165" t="s">
        <v>1013</v>
      </c>
      <c r="D839" s="165">
        <v>2</v>
      </c>
      <c r="E839" s="165" t="s">
        <v>3375</v>
      </c>
      <c r="F839" s="165" t="s">
        <v>3361</v>
      </c>
      <c r="G839" s="165">
        <v>20475</v>
      </c>
      <c r="H839" s="165"/>
      <c r="I839" s="165"/>
      <c r="J839" s="165"/>
      <c r="K839" s="165">
        <v>20475</v>
      </c>
      <c r="L839" s="165"/>
      <c r="M839" s="165"/>
      <c r="N839" s="165">
        <f t="shared" si="16"/>
        <v>0</v>
      </c>
      <c r="O839" s="165" t="s">
        <v>3938</v>
      </c>
      <c r="P839" s="165" t="s">
        <v>3939</v>
      </c>
      <c r="Q839" s="3">
        <v>20475</v>
      </c>
      <c r="R839">
        <v>20475</v>
      </c>
      <c r="U839" s="271" t="s">
        <v>2740</v>
      </c>
    </row>
    <row r="840" spans="1:21">
      <c r="A840" s="165" t="s">
        <v>651</v>
      </c>
      <c r="B840" s="94">
        <v>910</v>
      </c>
      <c r="C840" s="165" t="s">
        <v>1013</v>
      </c>
      <c r="D840" s="165">
        <v>3</v>
      </c>
      <c r="E840" s="165" t="s">
        <v>3376</v>
      </c>
      <c r="F840" s="165" t="s">
        <v>3363</v>
      </c>
      <c r="G840" s="165">
        <v>20475</v>
      </c>
      <c r="H840" s="165"/>
      <c r="I840" s="165"/>
      <c r="J840" s="165"/>
      <c r="K840" s="165">
        <v>20475</v>
      </c>
      <c r="L840" s="165"/>
      <c r="M840" s="165"/>
      <c r="N840" s="165">
        <f t="shared" si="16"/>
        <v>0</v>
      </c>
      <c r="O840" s="165" t="s">
        <v>3940</v>
      </c>
      <c r="P840" s="165" t="s">
        <v>3941</v>
      </c>
      <c r="Q840" s="3">
        <v>20475</v>
      </c>
      <c r="R840">
        <v>20475</v>
      </c>
      <c r="U840" s="271" t="s">
        <v>2740</v>
      </c>
    </row>
    <row r="841" spans="1:21">
      <c r="A841" s="165" t="s">
        <v>651</v>
      </c>
      <c r="B841" s="94">
        <v>911</v>
      </c>
      <c r="C841" s="165" t="s">
        <v>1013</v>
      </c>
      <c r="D841" s="165">
        <v>4</v>
      </c>
      <c r="E841" s="165" t="s">
        <v>3377</v>
      </c>
      <c r="F841" s="165" t="s">
        <v>3365</v>
      </c>
      <c r="G841" s="165">
        <v>20475</v>
      </c>
      <c r="H841" s="165"/>
      <c r="I841" s="165"/>
      <c r="J841" s="165"/>
      <c r="K841" s="165">
        <v>20475</v>
      </c>
      <c r="L841" s="165"/>
      <c r="M841" s="165"/>
      <c r="N841" s="165">
        <f t="shared" si="16"/>
        <v>0</v>
      </c>
      <c r="O841" s="165" t="s">
        <v>3948</v>
      </c>
      <c r="P841" s="165" t="s">
        <v>3949</v>
      </c>
      <c r="Q841" s="3">
        <v>20475</v>
      </c>
      <c r="R841">
        <v>20475</v>
      </c>
      <c r="U841" s="271" t="s">
        <v>2740</v>
      </c>
    </row>
    <row r="842" spans="1:21">
      <c r="A842" s="165" t="s">
        <v>651</v>
      </c>
      <c r="B842" s="94">
        <v>912</v>
      </c>
      <c r="C842" s="165" t="s">
        <v>1013</v>
      </c>
      <c r="D842" s="165">
        <v>5</v>
      </c>
      <c r="E842" s="165" t="s">
        <v>3378</v>
      </c>
      <c r="F842" s="165" t="s">
        <v>3367</v>
      </c>
      <c r="G842" s="165">
        <v>20475</v>
      </c>
      <c r="H842" s="165"/>
      <c r="I842" s="165"/>
      <c r="J842" s="165"/>
      <c r="K842" s="165">
        <v>20475</v>
      </c>
      <c r="L842" s="165"/>
      <c r="M842" s="165"/>
      <c r="N842" s="165">
        <f t="shared" si="16"/>
        <v>0</v>
      </c>
      <c r="O842" s="165" t="s">
        <v>3967</v>
      </c>
      <c r="P842" s="165" t="s">
        <v>3968</v>
      </c>
      <c r="Q842" s="3">
        <v>20475</v>
      </c>
      <c r="R842">
        <v>20475</v>
      </c>
      <c r="U842" s="271" t="s">
        <v>2740</v>
      </c>
    </row>
    <row r="843" spans="1:21">
      <c r="A843" s="165" t="s">
        <v>651</v>
      </c>
      <c r="B843" s="94">
        <v>913</v>
      </c>
      <c r="C843" s="165" t="s">
        <v>1013</v>
      </c>
      <c r="D843" s="165">
        <v>6</v>
      </c>
      <c r="E843" s="165" t="s">
        <v>3379</v>
      </c>
      <c r="F843" s="165" t="s">
        <v>3369</v>
      </c>
      <c r="G843" s="565">
        <v>20475</v>
      </c>
      <c r="H843" s="165"/>
      <c r="I843" s="165"/>
      <c r="J843" s="165"/>
      <c r="K843" s="165"/>
      <c r="L843" s="165">
        <v>20475</v>
      </c>
      <c r="M843" s="165"/>
      <c r="N843" s="165">
        <f>G843+H843+I843-J843-K843-L843</f>
        <v>0</v>
      </c>
      <c r="O843" s="165" t="s">
        <v>4433</v>
      </c>
      <c r="P843" s="165" t="s">
        <v>4779</v>
      </c>
      <c r="Q843" s="3">
        <v>20475</v>
      </c>
      <c r="R843">
        <v>20475</v>
      </c>
      <c r="U843" s="271" t="s">
        <v>2740</v>
      </c>
    </row>
    <row r="844" spans="1:21">
      <c r="A844" s="165" t="s">
        <v>651</v>
      </c>
      <c r="B844" s="94">
        <v>914</v>
      </c>
      <c r="C844" s="165" t="s">
        <v>1013</v>
      </c>
      <c r="D844" s="165">
        <v>7</v>
      </c>
      <c r="E844" s="165" t="s">
        <v>3380</v>
      </c>
      <c r="F844" s="165" t="s">
        <v>3371</v>
      </c>
      <c r="G844" s="565">
        <v>20475</v>
      </c>
      <c r="H844" s="165"/>
      <c r="I844" s="165"/>
      <c r="J844" s="165"/>
      <c r="K844" s="165"/>
      <c r="L844" s="165">
        <v>20475</v>
      </c>
      <c r="M844" s="165"/>
      <c r="N844" s="165">
        <f>G844+H844+I844-J844-K844-L844</f>
        <v>0</v>
      </c>
      <c r="O844" s="165" t="s">
        <v>4588</v>
      </c>
      <c r="P844" s="165" t="s">
        <v>4781</v>
      </c>
      <c r="Q844" s="3">
        <v>20475</v>
      </c>
      <c r="R844">
        <v>20475</v>
      </c>
      <c r="U844" s="271" t="s">
        <v>2740</v>
      </c>
    </row>
    <row r="845" spans="1:21">
      <c r="A845" s="165" t="s">
        <v>651</v>
      </c>
      <c r="B845" s="94">
        <v>915</v>
      </c>
      <c r="C845" s="165" t="s">
        <v>1013</v>
      </c>
      <c r="D845" s="165">
        <v>8</v>
      </c>
      <c r="E845" s="165" t="s">
        <v>3381</v>
      </c>
      <c r="F845" s="165" t="s">
        <v>3373</v>
      </c>
      <c r="G845" s="565">
        <v>20475</v>
      </c>
      <c r="H845" s="165"/>
      <c r="I845" s="165"/>
      <c r="J845" s="165"/>
      <c r="K845" s="165"/>
      <c r="L845" s="165">
        <v>20475</v>
      </c>
      <c r="M845" s="165"/>
      <c r="N845" s="165">
        <f>G845+H845+I845-J845-K845-L845</f>
        <v>0</v>
      </c>
      <c r="O845" s="165" t="s">
        <v>4770</v>
      </c>
      <c r="P845" s="165" t="s">
        <v>4784</v>
      </c>
      <c r="Q845" s="3">
        <v>20475</v>
      </c>
      <c r="R845">
        <v>20475</v>
      </c>
      <c r="U845" s="271" t="s">
        <v>2740</v>
      </c>
    </row>
    <row r="846" spans="1:21">
      <c r="A846" s="165" t="s">
        <v>651</v>
      </c>
      <c r="B846" s="94">
        <v>916</v>
      </c>
      <c r="C846" s="165" t="s">
        <v>1016</v>
      </c>
      <c r="D846" s="165">
        <v>1</v>
      </c>
      <c r="E846" s="165" t="s">
        <v>3382</v>
      </c>
      <c r="F846" s="165" t="s">
        <v>3359</v>
      </c>
      <c r="G846" s="165">
        <v>16380</v>
      </c>
      <c r="H846" s="165"/>
      <c r="I846" s="165"/>
      <c r="J846" s="165">
        <v>16380</v>
      </c>
      <c r="K846" s="165"/>
      <c r="L846" s="165"/>
      <c r="M846" s="165"/>
      <c r="N846" s="165">
        <f t="shared" si="16"/>
        <v>0</v>
      </c>
      <c r="O846" s="165" t="s">
        <v>3171</v>
      </c>
      <c r="P846" s="165" t="s">
        <v>3172</v>
      </c>
      <c r="Q846" s="3">
        <v>16380</v>
      </c>
      <c r="R846">
        <v>16380</v>
      </c>
      <c r="U846" s="271" t="s">
        <v>2740</v>
      </c>
    </row>
    <row r="847" spans="1:21">
      <c r="A847" s="165" t="s">
        <v>651</v>
      </c>
      <c r="B847" s="94">
        <v>917</v>
      </c>
      <c r="C847" s="165" t="s">
        <v>1016</v>
      </c>
      <c r="D847" s="165">
        <v>2</v>
      </c>
      <c r="E847" s="165" t="s">
        <v>3383</v>
      </c>
      <c r="F847" s="165" t="s">
        <v>3384</v>
      </c>
      <c r="G847" s="165">
        <v>16380</v>
      </c>
      <c r="H847" s="165"/>
      <c r="I847" s="165"/>
      <c r="J847" s="165"/>
      <c r="K847" s="165">
        <v>16380</v>
      </c>
      <c r="L847" s="165"/>
      <c r="M847" s="165"/>
      <c r="N847" s="165">
        <f t="shared" si="16"/>
        <v>0</v>
      </c>
      <c r="O847" s="165" t="s">
        <v>3934</v>
      </c>
      <c r="P847" s="165" t="s">
        <v>3935</v>
      </c>
      <c r="Q847" s="3">
        <v>16380</v>
      </c>
      <c r="R847">
        <v>16380</v>
      </c>
      <c r="U847" s="271" t="s">
        <v>2740</v>
      </c>
    </row>
    <row r="848" spans="1:21">
      <c r="A848" s="165" t="s">
        <v>651</v>
      </c>
      <c r="B848" s="94">
        <v>918</v>
      </c>
      <c r="C848" s="165" t="s">
        <v>1016</v>
      </c>
      <c r="D848" s="165">
        <v>3</v>
      </c>
      <c r="E848" s="165" t="s">
        <v>3385</v>
      </c>
      <c r="F848" s="165" t="s">
        <v>3386</v>
      </c>
      <c r="G848" s="165">
        <v>16380</v>
      </c>
      <c r="H848" s="165"/>
      <c r="I848" s="165"/>
      <c r="J848" s="165"/>
      <c r="K848" s="165">
        <v>16380</v>
      </c>
      <c r="L848" s="165"/>
      <c r="M848" s="165"/>
      <c r="N848" s="165">
        <f t="shared" si="16"/>
        <v>0</v>
      </c>
      <c r="O848" s="165" t="s">
        <v>3946</v>
      </c>
      <c r="P848" s="165" t="s">
        <v>3947</v>
      </c>
      <c r="Q848" s="3">
        <v>16380</v>
      </c>
      <c r="R848">
        <v>16380</v>
      </c>
      <c r="U848" s="271" t="s">
        <v>2740</v>
      </c>
    </row>
    <row r="849" spans="1:22">
      <c r="A849" s="165" t="s">
        <v>651</v>
      </c>
      <c r="B849" s="94">
        <v>919</v>
      </c>
      <c r="C849" s="165" t="s">
        <v>1016</v>
      </c>
      <c r="D849" s="165">
        <v>4</v>
      </c>
      <c r="E849" s="165" t="s">
        <v>3387</v>
      </c>
      <c r="F849" s="165" t="s">
        <v>3388</v>
      </c>
      <c r="G849" s="165">
        <v>16380</v>
      </c>
      <c r="H849" s="165"/>
      <c r="I849" s="165"/>
      <c r="J849" s="165"/>
      <c r="K849" s="165">
        <v>16380</v>
      </c>
      <c r="L849" s="165"/>
      <c r="M849" s="165"/>
      <c r="N849" s="165">
        <f t="shared" si="16"/>
        <v>0</v>
      </c>
      <c r="O849" s="165" t="s">
        <v>3948</v>
      </c>
      <c r="P849" s="165" t="s">
        <v>3949</v>
      </c>
      <c r="Q849" s="3">
        <v>16380</v>
      </c>
      <c r="R849">
        <v>16380</v>
      </c>
      <c r="U849" s="271" t="s">
        <v>2740</v>
      </c>
    </row>
    <row r="850" spans="1:22">
      <c r="A850" s="165" t="s">
        <v>651</v>
      </c>
      <c r="B850" s="94">
        <v>920</v>
      </c>
      <c r="C850" s="165" t="s">
        <v>1016</v>
      </c>
      <c r="D850" s="165">
        <v>5</v>
      </c>
      <c r="E850" s="165" t="s">
        <v>3389</v>
      </c>
      <c r="F850" s="165" t="s">
        <v>3390</v>
      </c>
      <c r="G850" s="165">
        <v>16380</v>
      </c>
      <c r="H850" s="165"/>
      <c r="I850" s="165"/>
      <c r="J850" s="165"/>
      <c r="K850" s="165">
        <v>16380</v>
      </c>
      <c r="L850" s="165"/>
      <c r="M850" s="165"/>
      <c r="N850" s="165">
        <f t="shared" si="16"/>
        <v>0</v>
      </c>
      <c r="O850" s="165" t="s">
        <v>3989</v>
      </c>
      <c r="P850" s="165" t="s">
        <v>3958</v>
      </c>
      <c r="Q850" s="3">
        <v>16380</v>
      </c>
      <c r="R850">
        <v>16380</v>
      </c>
      <c r="U850" s="271" t="s">
        <v>2740</v>
      </c>
    </row>
    <row r="851" spans="1:22">
      <c r="A851" s="165" t="s">
        <v>651</v>
      </c>
      <c r="B851" s="94">
        <v>921</v>
      </c>
      <c r="C851" s="165" t="s">
        <v>1016</v>
      </c>
      <c r="D851" s="165">
        <v>6</v>
      </c>
      <c r="E851" s="165" t="s">
        <v>3391</v>
      </c>
      <c r="F851" s="165" t="s">
        <v>3392</v>
      </c>
      <c r="G851" s="565">
        <v>16380</v>
      </c>
      <c r="H851" s="165"/>
      <c r="I851" s="165"/>
      <c r="J851" s="165"/>
      <c r="K851" s="165"/>
      <c r="L851" s="165">
        <v>16380</v>
      </c>
      <c r="M851" s="165"/>
      <c r="N851" s="165">
        <f>G851+H851+I851-J851-K851-L851</f>
        <v>0</v>
      </c>
      <c r="O851" s="165" t="s">
        <v>4434</v>
      </c>
      <c r="P851" s="165" t="s">
        <v>4435</v>
      </c>
      <c r="Q851" s="3">
        <v>16380</v>
      </c>
      <c r="R851">
        <v>16380</v>
      </c>
      <c r="U851" s="271" t="s">
        <v>2740</v>
      </c>
    </row>
    <row r="852" spans="1:22">
      <c r="A852" s="165" t="s">
        <v>651</v>
      </c>
      <c r="B852" s="94">
        <v>922</v>
      </c>
      <c r="C852" s="165" t="s">
        <v>1016</v>
      </c>
      <c r="D852" s="165">
        <v>7</v>
      </c>
      <c r="E852" s="165" t="s">
        <v>3393</v>
      </c>
      <c r="F852" s="165" t="s">
        <v>3394</v>
      </c>
      <c r="G852" s="565">
        <v>16380</v>
      </c>
      <c r="H852" s="165"/>
      <c r="I852" s="165"/>
      <c r="J852" s="165"/>
      <c r="K852" s="165"/>
      <c r="L852" s="165">
        <v>16380</v>
      </c>
      <c r="M852" s="165"/>
      <c r="N852" s="165">
        <f>G852+H852+I852-J852-K852-L852</f>
        <v>0</v>
      </c>
      <c r="O852" s="165" t="s">
        <v>4588</v>
      </c>
      <c r="P852" s="165" t="s">
        <v>4781</v>
      </c>
      <c r="Q852" s="3">
        <v>16380</v>
      </c>
      <c r="R852">
        <v>16380</v>
      </c>
      <c r="U852" s="271" t="s">
        <v>2740</v>
      </c>
    </row>
    <row r="853" spans="1:22" s="3" customFormat="1">
      <c r="A853" s="165" t="s">
        <v>651</v>
      </c>
      <c r="B853" s="94">
        <v>923</v>
      </c>
      <c r="C853" s="165" t="s">
        <v>1016</v>
      </c>
      <c r="D853" s="165">
        <v>8</v>
      </c>
      <c r="E853" s="165" t="s">
        <v>3395</v>
      </c>
      <c r="F853" s="165" t="s">
        <v>3396</v>
      </c>
      <c r="G853" s="565">
        <v>16380</v>
      </c>
      <c r="H853" s="165"/>
      <c r="I853" s="165"/>
      <c r="J853" s="165"/>
      <c r="K853" s="165"/>
      <c r="L853" s="165">
        <v>16380</v>
      </c>
      <c r="M853" s="165"/>
      <c r="N853" s="165">
        <f>G853+H853+I853-J853-K853-L853</f>
        <v>0</v>
      </c>
      <c r="O853" s="165" t="s">
        <v>4771</v>
      </c>
      <c r="P853" s="165" t="s">
        <v>4785</v>
      </c>
      <c r="Q853" s="3">
        <v>16380</v>
      </c>
      <c r="R853">
        <v>16380</v>
      </c>
      <c r="S853"/>
      <c r="U853" s="271" t="s">
        <v>2740</v>
      </c>
      <c r="V853"/>
    </row>
    <row r="854" spans="1:22" s="3" customFormat="1">
      <c r="A854" s="165"/>
      <c r="B854" s="94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R854"/>
      <c r="S854"/>
      <c r="U854"/>
      <c r="V854"/>
    </row>
    <row r="855" spans="1:22" s="3" customFormat="1">
      <c r="A855" s="165"/>
      <c r="B855" s="94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R855"/>
      <c r="S855"/>
      <c r="U855"/>
      <c r="V855"/>
    </row>
    <row r="856" spans="1:22" s="3" customFormat="1">
      <c r="A856" s="770"/>
      <c r="B856" s="165"/>
      <c r="C856" s="165"/>
      <c r="D856" s="165"/>
      <c r="E856" s="165"/>
      <c r="F856" s="165"/>
      <c r="G856" s="165"/>
      <c r="H856" s="165">
        <v>220815</v>
      </c>
      <c r="I856" s="165"/>
      <c r="J856" s="165"/>
      <c r="K856" s="165"/>
      <c r="L856" s="165"/>
      <c r="M856" s="165"/>
      <c r="N856" s="165"/>
      <c r="O856" s="165"/>
      <c r="P856" s="165"/>
      <c r="R856"/>
      <c r="S856"/>
      <c r="U856"/>
      <c r="V856"/>
    </row>
    <row r="857" spans="1:22" s="176" customFormat="1" ht="20.25" customHeight="1">
      <c r="A857" s="203" t="s">
        <v>3990</v>
      </c>
      <c r="B857" s="200"/>
      <c r="C857" s="201"/>
      <c r="D857" s="202"/>
      <c r="E857" s="201"/>
      <c r="F857" s="185" t="s">
        <v>2378</v>
      </c>
      <c r="G857" s="185">
        <f t="shared" ref="G857:N857" si="17">SUM(G859:G1023)</f>
        <v>1757235</v>
      </c>
      <c r="H857" s="185">
        <f t="shared" si="17"/>
        <v>263190</v>
      </c>
      <c r="I857" s="185">
        <f t="shared" si="17"/>
        <v>20475</v>
      </c>
      <c r="J857" s="185">
        <f t="shared" si="17"/>
        <v>784080</v>
      </c>
      <c r="K857" s="185">
        <f t="shared" si="17"/>
        <v>940695</v>
      </c>
      <c r="L857" s="185">
        <f t="shared" si="17"/>
        <v>316125</v>
      </c>
      <c r="M857" s="185">
        <f t="shared" si="17"/>
        <v>0</v>
      </c>
      <c r="N857" s="185">
        <f t="shared" si="17"/>
        <v>0</v>
      </c>
      <c r="O857" s="185">
        <f>SUM(O859:O1023)</f>
        <v>0</v>
      </c>
      <c r="P857" s="185"/>
      <c r="Q857" s="185"/>
      <c r="R857" s="185">
        <f>SUM(R859:R1023)</f>
        <v>2558195</v>
      </c>
      <c r="S857" s="185">
        <f>SUM(S859:S1023)</f>
        <v>2558000</v>
      </c>
      <c r="T857" s="185">
        <f>SUM(T859:T1023)</f>
        <v>517100</v>
      </c>
      <c r="U857" s="185">
        <f>SUM(U859:U1023)</f>
        <v>205</v>
      </c>
    </row>
    <row r="858" spans="1:22" s="270" customFormat="1">
      <c r="A858" s="269" t="s">
        <v>1281</v>
      </c>
      <c r="B858" s="269" t="s">
        <v>2435</v>
      </c>
      <c r="C858" s="269" t="s">
        <v>1385</v>
      </c>
      <c r="D858" s="269" t="s">
        <v>1275</v>
      </c>
      <c r="E858" s="269" t="s">
        <v>265</v>
      </c>
      <c r="F858" s="269" t="s">
        <v>1280</v>
      </c>
      <c r="G858" s="269" t="s">
        <v>4416</v>
      </c>
      <c r="H858" s="269" t="s">
        <v>4468</v>
      </c>
      <c r="I858" s="269" t="s">
        <v>4447</v>
      </c>
      <c r="J858" s="269" t="s">
        <v>3991</v>
      </c>
      <c r="K858" s="269" t="s">
        <v>4470</v>
      </c>
      <c r="L858" s="269" t="s">
        <v>4471</v>
      </c>
      <c r="M858" s="269" t="s">
        <v>4841</v>
      </c>
      <c r="N858" s="269" t="s">
        <v>3728</v>
      </c>
      <c r="O858" s="269" t="s">
        <v>2438</v>
      </c>
      <c r="P858" s="269" t="s">
        <v>1282</v>
      </c>
      <c r="Q858" s="269" t="s">
        <v>1386</v>
      </c>
      <c r="R858" s="269" t="s">
        <v>576</v>
      </c>
      <c r="S858" s="269" t="s">
        <v>3593</v>
      </c>
      <c r="T858" s="269" t="s">
        <v>1283</v>
      </c>
      <c r="U858" s="269" t="s">
        <v>577</v>
      </c>
    </row>
    <row r="859" spans="1:22">
      <c r="A859" s="165" t="s">
        <v>3992</v>
      </c>
      <c r="B859" s="94">
        <v>924</v>
      </c>
      <c r="C859" s="165" t="s">
        <v>1232</v>
      </c>
      <c r="D859" s="165">
        <v>3</v>
      </c>
      <c r="E859" s="165" t="s">
        <v>3993</v>
      </c>
      <c r="F859" s="165" t="s">
        <v>3994</v>
      </c>
      <c r="G859" s="165"/>
      <c r="H859" s="165">
        <v>16380</v>
      </c>
      <c r="I859" s="165"/>
      <c r="J859" s="165">
        <v>16380</v>
      </c>
      <c r="K859" s="165"/>
      <c r="L859" s="165"/>
      <c r="M859" s="165"/>
      <c r="N859" s="165"/>
      <c r="O859" s="165">
        <f t="shared" ref="O859:O888" si="18">G859+H859+I859-J859-K859</f>
        <v>0</v>
      </c>
      <c r="P859" s="165" t="s">
        <v>3938</v>
      </c>
      <c r="Q859" s="165" t="s">
        <v>3939</v>
      </c>
      <c r="R859" s="3">
        <v>16380</v>
      </c>
      <c r="S859" s="407">
        <v>16380</v>
      </c>
      <c r="T859"/>
      <c r="U859" s="3"/>
    </row>
    <row r="860" spans="1:22" s="339" customFormat="1">
      <c r="A860" s="337" t="s">
        <v>3995</v>
      </c>
      <c r="B860" s="94">
        <v>925</v>
      </c>
      <c r="C860" s="337" t="s">
        <v>1013</v>
      </c>
      <c r="D860" s="337"/>
      <c r="E860" s="337" t="s">
        <v>3996</v>
      </c>
      <c r="F860" s="337" t="s">
        <v>3942</v>
      </c>
      <c r="G860" s="338"/>
      <c r="H860" s="338">
        <v>26250</v>
      </c>
      <c r="I860" s="338"/>
      <c r="J860" s="337">
        <v>26250</v>
      </c>
      <c r="K860" s="337"/>
      <c r="L860" s="337"/>
      <c r="M860" s="337"/>
      <c r="N860" s="337"/>
      <c r="O860" s="337">
        <f t="shared" si="18"/>
        <v>0</v>
      </c>
      <c r="P860" s="337" t="s">
        <v>3938</v>
      </c>
      <c r="Q860" s="337" t="s">
        <v>3939</v>
      </c>
      <c r="R860" s="337">
        <v>26250</v>
      </c>
      <c r="S860" s="409">
        <v>26250</v>
      </c>
      <c r="T860" s="337"/>
      <c r="U860" s="338"/>
      <c r="V860" s="339" t="s">
        <v>3997</v>
      </c>
    </row>
    <row r="861" spans="1:22" s="283" customFormat="1">
      <c r="A861" s="279" t="s">
        <v>3995</v>
      </c>
      <c r="B861" s="279"/>
      <c r="C861" s="279" t="s">
        <v>2060</v>
      </c>
      <c r="D861" s="279">
        <v>6</v>
      </c>
      <c r="E861" s="279" t="s">
        <v>1283</v>
      </c>
      <c r="F861" s="279" t="s">
        <v>3995</v>
      </c>
      <c r="G861" s="280"/>
      <c r="H861" s="280"/>
      <c r="I861" s="280"/>
      <c r="J861" s="280"/>
      <c r="K861" s="280"/>
      <c r="L861" s="280"/>
      <c r="M861" s="280"/>
      <c r="N861" s="280"/>
      <c r="O861" s="280">
        <f t="shared" si="18"/>
        <v>0</v>
      </c>
      <c r="P861" s="279" t="s">
        <v>3995</v>
      </c>
      <c r="Q861" s="279" t="s">
        <v>3995</v>
      </c>
      <c r="R861" s="279">
        <v>14175</v>
      </c>
      <c r="S861" s="408">
        <v>14175</v>
      </c>
      <c r="T861" s="279">
        <v>14175</v>
      </c>
      <c r="U861" s="280"/>
      <c r="V861" s="282" t="s">
        <v>245</v>
      </c>
    </row>
    <row r="862" spans="1:22" s="163" customFormat="1">
      <c r="A862" s="281" t="s">
        <v>3998</v>
      </c>
      <c r="B862" s="281"/>
      <c r="C862" s="281" t="s">
        <v>3825</v>
      </c>
      <c r="D862" s="281">
        <v>8</v>
      </c>
      <c r="E862" s="281" t="s">
        <v>1283</v>
      </c>
      <c r="F862" s="281" t="s">
        <v>3998</v>
      </c>
      <c r="G862" s="284"/>
      <c r="H862" s="284"/>
      <c r="I862" s="284"/>
      <c r="J862" s="281"/>
      <c r="K862" s="281"/>
      <c r="L862" s="281"/>
      <c r="M862" s="281"/>
      <c r="N862" s="281"/>
      <c r="O862" s="281">
        <f t="shared" si="18"/>
        <v>0</v>
      </c>
      <c r="P862" s="281" t="s">
        <v>3998</v>
      </c>
      <c r="Q862" s="281" t="s">
        <v>3998</v>
      </c>
      <c r="R862" s="281">
        <v>14175</v>
      </c>
      <c r="S862" s="406">
        <v>14145</v>
      </c>
      <c r="T862" s="406">
        <v>14145</v>
      </c>
      <c r="U862" s="284">
        <v>30</v>
      </c>
    </row>
    <row r="863" spans="1:22" s="339" customFormat="1">
      <c r="A863" s="337" t="s">
        <v>3999</v>
      </c>
      <c r="B863" s="337">
        <v>926</v>
      </c>
      <c r="C863" s="337" t="s">
        <v>4000</v>
      </c>
      <c r="D863" s="337"/>
      <c r="E863" s="337" t="s">
        <v>4001</v>
      </c>
      <c r="F863" s="337" t="s">
        <v>3995</v>
      </c>
      <c r="G863" s="338"/>
      <c r="H863" s="338">
        <v>26250</v>
      </c>
      <c r="I863" s="338"/>
      <c r="J863" s="337">
        <v>26250</v>
      </c>
      <c r="K863" s="337"/>
      <c r="L863" s="337"/>
      <c r="M863" s="337"/>
      <c r="N863" s="337"/>
      <c r="O863" s="337">
        <f t="shared" si="18"/>
        <v>0</v>
      </c>
      <c r="P863" s="337" t="s">
        <v>3938</v>
      </c>
      <c r="Q863" s="337" t="s">
        <v>3939</v>
      </c>
      <c r="R863" s="337">
        <v>26250</v>
      </c>
      <c r="S863" s="409">
        <v>26250</v>
      </c>
      <c r="T863" s="337"/>
      <c r="U863" s="338"/>
      <c r="V863" s="339" t="s">
        <v>3997</v>
      </c>
    </row>
    <row r="864" spans="1:22">
      <c r="A864" s="165" t="s">
        <v>4002</v>
      </c>
      <c r="B864" s="337">
        <v>927</v>
      </c>
      <c r="C864" s="165" t="s">
        <v>1775</v>
      </c>
      <c r="D864" s="165">
        <v>1</v>
      </c>
      <c r="E864" s="165" t="s">
        <v>4003</v>
      </c>
      <c r="F864" s="165" t="s">
        <v>4004</v>
      </c>
      <c r="G864" s="165"/>
      <c r="H864" s="165">
        <v>13500</v>
      </c>
      <c r="I864" s="165"/>
      <c r="J864" s="165">
        <v>13500</v>
      </c>
      <c r="K864" s="165"/>
      <c r="L864" s="165"/>
      <c r="M864" s="165"/>
      <c r="N864" s="165"/>
      <c r="O864" s="165">
        <f t="shared" si="18"/>
        <v>0</v>
      </c>
      <c r="P864" s="165" t="s">
        <v>3938</v>
      </c>
      <c r="Q864" s="165" t="s">
        <v>3939</v>
      </c>
      <c r="R864" s="3">
        <v>13500</v>
      </c>
      <c r="S864">
        <v>13500</v>
      </c>
      <c r="T864"/>
      <c r="U864" s="3"/>
    </row>
    <row r="865" spans="1:22">
      <c r="A865" s="165" t="s">
        <v>4002</v>
      </c>
      <c r="B865" s="337">
        <v>928</v>
      </c>
      <c r="C865" s="165" t="s">
        <v>1775</v>
      </c>
      <c r="D865" s="165">
        <v>2</v>
      </c>
      <c r="E865" s="165" t="s">
        <v>4005</v>
      </c>
      <c r="F865" s="165" t="s">
        <v>4006</v>
      </c>
      <c r="G865" s="165"/>
      <c r="H865" s="165">
        <v>13500</v>
      </c>
      <c r="I865" s="165"/>
      <c r="J865" s="165">
        <v>13500</v>
      </c>
      <c r="K865" s="165"/>
      <c r="L865" s="165"/>
      <c r="M865" s="165"/>
      <c r="N865" s="165"/>
      <c r="O865" s="165">
        <f t="shared" si="18"/>
        <v>0</v>
      </c>
      <c r="P865" s="165" t="s">
        <v>3934</v>
      </c>
      <c r="Q865" s="165" t="s">
        <v>3935</v>
      </c>
      <c r="R865" s="3">
        <v>13500</v>
      </c>
      <c r="S865">
        <v>13500</v>
      </c>
      <c r="T865"/>
      <c r="U865" s="3"/>
    </row>
    <row r="866" spans="1:22">
      <c r="A866" s="165" t="s">
        <v>4002</v>
      </c>
      <c r="B866" s="337">
        <v>929</v>
      </c>
      <c r="C866" s="165" t="s">
        <v>1775</v>
      </c>
      <c r="D866" s="165">
        <v>3</v>
      </c>
      <c r="E866" s="165" t="s">
        <v>4007</v>
      </c>
      <c r="F866" s="165" t="s">
        <v>4008</v>
      </c>
      <c r="G866" s="165"/>
      <c r="H866" s="165">
        <v>13500</v>
      </c>
      <c r="I866" s="165"/>
      <c r="J866" s="165">
        <v>13500</v>
      </c>
      <c r="K866" s="165"/>
      <c r="L866" s="165"/>
      <c r="M866" s="165"/>
      <c r="N866" s="165"/>
      <c r="O866" s="165">
        <f t="shared" si="18"/>
        <v>0</v>
      </c>
      <c r="P866" s="165" t="s">
        <v>3950</v>
      </c>
      <c r="Q866" s="165" t="s">
        <v>3951</v>
      </c>
      <c r="R866" s="3">
        <v>13500</v>
      </c>
      <c r="S866">
        <v>13500</v>
      </c>
      <c r="T866"/>
      <c r="U866" s="3"/>
    </row>
    <row r="867" spans="1:22">
      <c r="A867" s="165" t="s">
        <v>4002</v>
      </c>
      <c r="B867" s="337">
        <v>930</v>
      </c>
      <c r="C867" s="165" t="s">
        <v>1775</v>
      </c>
      <c r="D867" s="165">
        <v>4</v>
      </c>
      <c r="E867" s="165" t="s">
        <v>4009</v>
      </c>
      <c r="F867" s="165" t="s">
        <v>4010</v>
      </c>
      <c r="G867" s="165"/>
      <c r="H867" s="165">
        <v>13500</v>
      </c>
      <c r="I867" s="165"/>
      <c r="J867" s="165">
        <v>13500</v>
      </c>
      <c r="K867" s="165"/>
      <c r="L867" s="165"/>
      <c r="M867" s="165"/>
      <c r="N867" s="165"/>
      <c r="O867" s="165">
        <f t="shared" si="18"/>
        <v>0</v>
      </c>
      <c r="P867" s="165" t="s">
        <v>3955</v>
      </c>
      <c r="Q867" s="165" t="s">
        <v>3956</v>
      </c>
      <c r="R867" s="3">
        <v>13500</v>
      </c>
      <c r="S867">
        <v>13500</v>
      </c>
      <c r="T867"/>
      <c r="U867" s="3"/>
    </row>
    <row r="868" spans="1:22">
      <c r="A868" s="165" t="s">
        <v>4002</v>
      </c>
      <c r="B868" s="337">
        <v>931</v>
      </c>
      <c r="C868" s="165" t="s">
        <v>1775</v>
      </c>
      <c r="D868" s="165">
        <v>5</v>
      </c>
      <c r="E868" s="165" t="s">
        <v>4011</v>
      </c>
      <c r="F868" s="165" t="s">
        <v>4012</v>
      </c>
      <c r="G868" s="165"/>
      <c r="H868" s="165">
        <v>13500</v>
      </c>
      <c r="I868" s="165"/>
      <c r="J868" s="165">
        <v>13500</v>
      </c>
      <c r="K868" s="165"/>
      <c r="L868" s="165"/>
      <c r="M868" s="165"/>
      <c r="N868" s="165"/>
      <c r="O868" s="165">
        <f t="shared" si="18"/>
        <v>0</v>
      </c>
      <c r="P868" s="165" t="s">
        <v>3957</v>
      </c>
      <c r="Q868" s="165" t="s">
        <v>3958</v>
      </c>
      <c r="R868" s="3">
        <v>13500</v>
      </c>
      <c r="S868">
        <v>13500</v>
      </c>
      <c r="T868"/>
      <c r="U868" s="3"/>
    </row>
    <row r="869" spans="1:22">
      <c r="A869" s="165" t="s">
        <v>4002</v>
      </c>
      <c r="B869" s="337">
        <v>932</v>
      </c>
      <c r="C869" s="165" t="s">
        <v>1775</v>
      </c>
      <c r="D869" s="165">
        <v>6</v>
      </c>
      <c r="E869" s="165" t="s">
        <v>4013</v>
      </c>
      <c r="F869" s="165" t="s">
        <v>4014</v>
      </c>
      <c r="G869" s="165"/>
      <c r="H869" s="165">
        <v>13500</v>
      </c>
      <c r="I869" s="165"/>
      <c r="J869" s="165"/>
      <c r="K869" s="165">
        <v>13500</v>
      </c>
      <c r="L869" s="165"/>
      <c r="M869" s="165"/>
      <c r="N869" s="165"/>
      <c r="O869" s="165">
        <f t="shared" si="18"/>
        <v>0</v>
      </c>
      <c r="P869" s="165" t="s">
        <v>4766</v>
      </c>
      <c r="Q869" s="165" t="s">
        <v>4595</v>
      </c>
      <c r="R869" s="3">
        <v>13500</v>
      </c>
      <c r="S869">
        <v>13500</v>
      </c>
      <c r="T869"/>
      <c r="U869" s="3"/>
    </row>
    <row r="870" spans="1:22">
      <c r="A870" s="165" t="s">
        <v>4002</v>
      </c>
      <c r="B870" s="337">
        <v>933</v>
      </c>
      <c r="C870" s="165" t="s">
        <v>1775</v>
      </c>
      <c r="D870" s="165">
        <v>7</v>
      </c>
      <c r="E870" s="165" t="s">
        <v>4015</v>
      </c>
      <c r="F870" s="165" t="s">
        <v>4016</v>
      </c>
      <c r="G870" s="165"/>
      <c r="H870" s="165">
        <v>13500</v>
      </c>
      <c r="I870" s="165"/>
      <c r="J870" s="165"/>
      <c r="K870" s="165">
        <v>13500</v>
      </c>
      <c r="L870" s="165"/>
      <c r="M870" s="165"/>
      <c r="N870" s="165"/>
      <c r="O870" s="165">
        <f t="shared" si="18"/>
        <v>0</v>
      </c>
      <c r="P870" s="165" t="s">
        <v>4767</v>
      </c>
      <c r="Q870" s="165" t="s">
        <v>4782</v>
      </c>
      <c r="R870" s="3">
        <v>13500</v>
      </c>
      <c r="S870">
        <v>13500</v>
      </c>
      <c r="T870"/>
      <c r="U870" s="3"/>
    </row>
    <row r="871" spans="1:22">
      <c r="A871" s="165" t="s">
        <v>4002</v>
      </c>
      <c r="B871" s="337">
        <v>934</v>
      </c>
      <c r="C871" s="165" t="s">
        <v>1775</v>
      </c>
      <c r="D871" s="165">
        <v>8</v>
      </c>
      <c r="E871" s="165" t="s">
        <v>4017</v>
      </c>
      <c r="F871" s="165" t="s">
        <v>4018</v>
      </c>
      <c r="G871" s="165"/>
      <c r="H871" s="165">
        <v>13500</v>
      </c>
      <c r="I871" s="165"/>
      <c r="J871" s="165"/>
      <c r="K871" s="165">
        <v>13500</v>
      </c>
      <c r="L871" s="165"/>
      <c r="M871" s="165"/>
      <c r="N871" s="165"/>
      <c r="O871" s="165">
        <f t="shared" si="18"/>
        <v>0</v>
      </c>
      <c r="P871" s="165" t="s">
        <v>4715</v>
      </c>
      <c r="Q871" s="165" t="s">
        <v>4786</v>
      </c>
      <c r="R871" s="3">
        <v>13500</v>
      </c>
      <c r="S871">
        <v>13500</v>
      </c>
      <c r="T871"/>
      <c r="U871" s="3"/>
    </row>
    <row r="872" spans="1:22">
      <c r="A872" s="165" t="s">
        <v>4019</v>
      </c>
      <c r="B872" s="337">
        <v>935</v>
      </c>
      <c r="C872" s="165" t="s">
        <v>906</v>
      </c>
      <c r="D872" s="165">
        <v>1</v>
      </c>
      <c r="E872" s="165" t="s">
        <v>4020</v>
      </c>
      <c r="F872" s="165" t="s">
        <v>4021</v>
      </c>
      <c r="G872" s="165">
        <v>14175</v>
      </c>
      <c r="H872" s="165"/>
      <c r="I872" s="165"/>
      <c r="J872" s="165">
        <v>14175</v>
      </c>
      <c r="K872" s="165"/>
      <c r="L872" s="165"/>
      <c r="M872" s="165"/>
      <c r="N872" s="165"/>
      <c r="O872" s="165">
        <f t="shared" si="18"/>
        <v>0</v>
      </c>
      <c r="P872" s="165" t="s">
        <v>3936</v>
      </c>
      <c r="Q872" s="165" t="s">
        <v>3937</v>
      </c>
      <c r="R872" s="3">
        <v>14175</v>
      </c>
      <c r="S872">
        <v>14175</v>
      </c>
      <c r="T872"/>
      <c r="U872" s="3"/>
    </row>
    <row r="873" spans="1:22">
      <c r="A873" s="165" t="s">
        <v>4019</v>
      </c>
      <c r="B873" s="337">
        <v>936</v>
      </c>
      <c r="C873" s="165" t="s">
        <v>906</v>
      </c>
      <c r="D873" s="165">
        <v>2</v>
      </c>
      <c r="E873" s="165" t="s">
        <v>4022</v>
      </c>
      <c r="F873" s="165" t="s">
        <v>4023</v>
      </c>
      <c r="G873" s="165">
        <v>14175</v>
      </c>
      <c r="H873" s="165"/>
      <c r="I873" s="165"/>
      <c r="J873" s="165">
        <v>14175</v>
      </c>
      <c r="K873" s="165"/>
      <c r="L873" s="165"/>
      <c r="M873" s="165"/>
      <c r="N873" s="165"/>
      <c r="O873" s="165">
        <f t="shared" si="18"/>
        <v>0</v>
      </c>
      <c r="P873" s="165" t="s">
        <v>3950</v>
      </c>
      <c r="Q873" s="165" t="s">
        <v>3951</v>
      </c>
      <c r="R873" s="3">
        <v>14175</v>
      </c>
      <c r="S873">
        <v>14175</v>
      </c>
      <c r="T873"/>
      <c r="U873" s="3"/>
    </row>
    <row r="874" spans="1:22">
      <c r="A874" s="165" t="s">
        <v>4019</v>
      </c>
      <c r="B874" s="337">
        <v>937</v>
      </c>
      <c r="C874" s="165" t="s">
        <v>906</v>
      </c>
      <c r="D874" s="165">
        <v>3</v>
      </c>
      <c r="E874" s="165" t="s">
        <v>4024</v>
      </c>
      <c r="F874" s="165" t="s">
        <v>3955</v>
      </c>
      <c r="G874" s="165">
        <v>14175</v>
      </c>
      <c r="H874" s="165"/>
      <c r="I874" s="165"/>
      <c r="J874" s="165">
        <v>14175</v>
      </c>
      <c r="K874" s="165"/>
      <c r="L874" s="165"/>
      <c r="M874" s="165"/>
      <c r="N874" s="165"/>
      <c r="O874" s="165">
        <f t="shared" si="18"/>
        <v>0</v>
      </c>
      <c r="P874" s="165" t="s">
        <v>3955</v>
      </c>
      <c r="Q874" s="165" t="s">
        <v>3956</v>
      </c>
      <c r="R874" s="3">
        <v>14175</v>
      </c>
      <c r="S874">
        <v>14175</v>
      </c>
      <c r="T874"/>
      <c r="U874" s="3"/>
    </row>
    <row r="875" spans="1:22">
      <c r="A875" s="165" t="s">
        <v>4019</v>
      </c>
      <c r="B875" s="337">
        <v>938</v>
      </c>
      <c r="C875" s="165" t="s">
        <v>906</v>
      </c>
      <c r="D875" s="165">
        <v>4</v>
      </c>
      <c r="E875" s="165" t="s">
        <v>4025</v>
      </c>
      <c r="F875" s="165" t="s">
        <v>3957</v>
      </c>
      <c r="G875" s="165">
        <v>14175</v>
      </c>
      <c r="H875" s="165"/>
      <c r="I875" s="165"/>
      <c r="J875" s="165">
        <v>14175</v>
      </c>
      <c r="K875" s="165"/>
      <c r="L875" s="165"/>
      <c r="M875" s="165"/>
      <c r="N875" s="165"/>
      <c r="O875" s="165">
        <f t="shared" si="18"/>
        <v>0</v>
      </c>
      <c r="P875" s="165" t="s">
        <v>3963</v>
      </c>
      <c r="Q875" s="165" t="s">
        <v>3964</v>
      </c>
      <c r="R875" s="3">
        <v>14175</v>
      </c>
      <c r="S875">
        <v>14175</v>
      </c>
      <c r="T875"/>
      <c r="U875" s="3"/>
    </row>
    <row r="876" spans="1:22">
      <c r="A876" s="165" t="s">
        <v>4019</v>
      </c>
      <c r="B876" s="337">
        <v>939</v>
      </c>
      <c r="C876" s="165" t="s">
        <v>906</v>
      </c>
      <c r="D876" s="165">
        <v>5</v>
      </c>
      <c r="E876" s="165" t="s">
        <v>4026</v>
      </c>
      <c r="F876" s="165" t="s">
        <v>4027</v>
      </c>
      <c r="G876" s="165">
        <v>14175</v>
      </c>
      <c r="H876" s="165"/>
      <c r="I876" s="165"/>
      <c r="J876" s="165"/>
      <c r="K876" s="165">
        <v>14175</v>
      </c>
      <c r="L876" s="165"/>
      <c r="M876" s="165"/>
      <c r="N876" s="165"/>
      <c r="O876" s="165">
        <f t="shared" si="18"/>
        <v>0</v>
      </c>
      <c r="P876" s="165" t="s">
        <v>4766</v>
      </c>
      <c r="Q876" s="165" t="s">
        <v>4595</v>
      </c>
      <c r="R876" s="3">
        <v>14175</v>
      </c>
      <c r="S876">
        <v>14175</v>
      </c>
      <c r="T876"/>
      <c r="U876" s="3"/>
    </row>
    <row r="877" spans="1:22">
      <c r="A877" s="165" t="s">
        <v>4019</v>
      </c>
      <c r="B877" s="337">
        <v>940</v>
      </c>
      <c r="C877" s="165" t="s">
        <v>906</v>
      </c>
      <c r="D877" s="165">
        <v>6</v>
      </c>
      <c r="E877" s="165" t="s">
        <v>4028</v>
      </c>
      <c r="F877" s="165" t="s">
        <v>4029</v>
      </c>
      <c r="G877" s="165">
        <v>14175</v>
      </c>
      <c r="H877" s="165"/>
      <c r="I877" s="165"/>
      <c r="J877" s="165"/>
      <c r="K877" s="165">
        <v>14175</v>
      </c>
      <c r="L877" s="165"/>
      <c r="M877" s="165"/>
      <c r="N877" s="165"/>
      <c r="O877" s="165">
        <f t="shared" si="18"/>
        <v>0</v>
      </c>
      <c r="P877" s="165" t="s">
        <v>4767</v>
      </c>
      <c r="Q877" s="165" t="s">
        <v>4782</v>
      </c>
      <c r="R877" s="3">
        <v>14175</v>
      </c>
      <c r="S877">
        <v>14175</v>
      </c>
      <c r="T877"/>
      <c r="U877" s="3"/>
    </row>
    <row r="878" spans="1:22">
      <c r="A878" s="165" t="s">
        <v>4019</v>
      </c>
      <c r="B878" s="337">
        <v>941</v>
      </c>
      <c r="C878" s="165" t="s">
        <v>906</v>
      </c>
      <c r="D878" s="165">
        <v>7</v>
      </c>
      <c r="E878" s="165" t="s">
        <v>4030</v>
      </c>
      <c r="F878" s="165" t="s">
        <v>4031</v>
      </c>
      <c r="G878" s="165">
        <v>14175</v>
      </c>
      <c r="H878" s="165"/>
      <c r="I878" s="165"/>
      <c r="J878" s="165"/>
      <c r="K878" s="165">
        <v>14175</v>
      </c>
      <c r="L878" s="165"/>
      <c r="M878" s="165"/>
      <c r="N878" s="165"/>
      <c r="O878" s="165">
        <f t="shared" si="18"/>
        <v>0</v>
      </c>
      <c r="P878" s="165" t="s">
        <v>4715</v>
      </c>
      <c r="Q878" s="165" t="s">
        <v>4786</v>
      </c>
      <c r="R878" s="3">
        <v>14175</v>
      </c>
      <c r="S878">
        <v>14175</v>
      </c>
      <c r="T878"/>
      <c r="U878" s="3"/>
    </row>
    <row r="879" spans="1:22">
      <c r="A879" s="165" t="s">
        <v>4019</v>
      </c>
      <c r="B879" s="337">
        <v>942</v>
      </c>
      <c r="C879" s="165" t="s">
        <v>906</v>
      </c>
      <c r="D879" s="165">
        <v>8</v>
      </c>
      <c r="E879" s="165" t="s">
        <v>4032</v>
      </c>
      <c r="F879" s="165" t="s">
        <v>4033</v>
      </c>
      <c r="G879" s="165">
        <v>14175</v>
      </c>
      <c r="H879" s="165"/>
      <c r="I879" s="165"/>
      <c r="J879" s="165"/>
      <c r="K879" s="165">
        <v>14175</v>
      </c>
      <c r="L879" s="165"/>
      <c r="M879" s="165"/>
      <c r="N879" s="165"/>
      <c r="O879" s="165">
        <f t="shared" si="18"/>
        <v>0</v>
      </c>
      <c r="P879" s="165" t="s">
        <v>4190</v>
      </c>
      <c r="Q879" s="165" t="s">
        <v>4033</v>
      </c>
      <c r="R879" s="3">
        <v>14175</v>
      </c>
      <c r="S879">
        <v>14175</v>
      </c>
      <c r="T879"/>
      <c r="U879" s="3"/>
    </row>
    <row r="880" spans="1:22" s="283" customFormat="1">
      <c r="A880" s="279" t="s">
        <v>4034</v>
      </c>
      <c r="B880" s="279"/>
      <c r="C880" s="279" t="s">
        <v>2060</v>
      </c>
      <c r="D880" s="279">
        <v>7</v>
      </c>
      <c r="E880" s="279" t="s">
        <v>1283</v>
      </c>
      <c r="F880" s="279" t="s">
        <v>4034</v>
      </c>
      <c r="G880" s="280"/>
      <c r="H880" s="280"/>
      <c r="I880" s="280"/>
      <c r="J880" s="280"/>
      <c r="K880" s="280"/>
      <c r="L880" s="280"/>
      <c r="M880" s="280"/>
      <c r="N880" s="280"/>
      <c r="O880" s="280">
        <f t="shared" si="18"/>
        <v>0</v>
      </c>
      <c r="P880" s="279" t="s">
        <v>4034</v>
      </c>
      <c r="Q880" s="279" t="s">
        <v>4034</v>
      </c>
      <c r="R880" s="279">
        <v>14175</v>
      </c>
      <c r="S880" s="279">
        <v>14175</v>
      </c>
      <c r="T880" s="279">
        <v>14175</v>
      </c>
      <c r="U880" s="280"/>
      <c r="V880" s="282" t="s">
        <v>245</v>
      </c>
    </row>
    <row r="881" spans="1:22">
      <c r="A881" s="165" t="s">
        <v>3935</v>
      </c>
      <c r="B881" s="94">
        <v>943</v>
      </c>
      <c r="C881" s="165" t="s">
        <v>1305</v>
      </c>
      <c r="D881" s="165">
        <v>2</v>
      </c>
      <c r="E881" s="165" t="s">
        <v>4035</v>
      </c>
      <c r="F881" s="165" t="s">
        <v>4036</v>
      </c>
      <c r="G881" s="165"/>
      <c r="H881" s="165">
        <v>11340</v>
      </c>
      <c r="I881" s="165"/>
      <c r="J881" s="165">
        <v>11340</v>
      </c>
      <c r="K881" s="165"/>
      <c r="L881" s="165"/>
      <c r="M881" s="165"/>
      <c r="N881" s="165"/>
      <c r="O881" s="165">
        <f t="shared" si="18"/>
        <v>0</v>
      </c>
      <c r="P881" s="165" t="s">
        <v>3944</v>
      </c>
      <c r="Q881" s="165" t="s">
        <v>3945</v>
      </c>
      <c r="R881" s="3">
        <v>11340</v>
      </c>
      <c r="S881" s="405">
        <v>11340</v>
      </c>
      <c r="T881"/>
      <c r="U881" s="3"/>
    </row>
    <row r="882" spans="1:22">
      <c r="A882" s="165" t="s">
        <v>4037</v>
      </c>
      <c r="B882" s="94">
        <v>944</v>
      </c>
      <c r="C882" s="165" t="s">
        <v>4038</v>
      </c>
      <c r="D882" s="165">
        <v>1</v>
      </c>
      <c r="E882" s="165" t="s">
        <v>4039</v>
      </c>
      <c r="F882" s="165" t="s">
        <v>4040</v>
      </c>
      <c r="G882" s="165">
        <v>14175</v>
      </c>
      <c r="H882" s="165"/>
      <c r="I882" s="165"/>
      <c r="J882" s="165">
        <v>14175</v>
      </c>
      <c r="K882" s="165"/>
      <c r="L882" s="165"/>
      <c r="M882" s="165"/>
      <c r="N882" s="165"/>
      <c r="O882" s="165">
        <f t="shared" si="18"/>
        <v>0</v>
      </c>
      <c r="P882" s="165" t="s">
        <v>3944</v>
      </c>
      <c r="Q882" s="165" t="s">
        <v>3945</v>
      </c>
      <c r="R882" s="3">
        <v>14175</v>
      </c>
      <c r="S882" s="3">
        <v>14175</v>
      </c>
      <c r="T882"/>
      <c r="U882" s="3"/>
    </row>
    <row r="883" spans="1:22">
      <c r="A883" s="165" t="s">
        <v>4037</v>
      </c>
      <c r="B883" s="94">
        <v>945</v>
      </c>
      <c r="C883" s="165" t="s">
        <v>4038</v>
      </c>
      <c r="D883" s="165">
        <v>2</v>
      </c>
      <c r="E883" s="165" t="s">
        <v>4041</v>
      </c>
      <c r="F883" s="165" t="s">
        <v>4042</v>
      </c>
      <c r="G883" s="165">
        <v>14175</v>
      </c>
      <c r="H883" s="165"/>
      <c r="I883" s="165"/>
      <c r="J883" s="165">
        <v>14175</v>
      </c>
      <c r="K883" s="165"/>
      <c r="L883" s="165"/>
      <c r="M883" s="165"/>
      <c r="N883" s="165"/>
      <c r="O883" s="165">
        <f t="shared" si="18"/>
        <v>0</v>
      </c>
      <c r="P883" s="165" t="s">
        <v>3952</v>
      </c>
      <c r="Q883" s="165" t="s">
        <v>3953</v>
      </c>
      <c r="R883" s="3">
        <v>14175</v>
      </c>
      <c r="S883" s="3">
        <v>14175</v>
      </c>
      <c r="T883"/>
      <c r="U883" s="3"/>
    </row>
    <row r="884" spans="1:22">
      <c r="A884" s="165" t="s">
        <v>4037</v>
      </c>
      <c r="B884" s="94">
        <v>946</v>
      </c>
      <c r="C884" s="165" t="s">
        <v>4038</v>
      </c>
      <c r="D884" s="165">
        <v>3</v>
      </c>
      <c r="E884" s="165" t="s">
        <v>4043</v>
      </c>
      <c r="F884" s="165" t="s">
        <v>4044</v>
      </c>
      <c r="G884" s="165">
        <v>14175</v>
      </c>
      <c r="H884" s="165"/>
      <c r="I884" s="165"/>
      <c r="J884" s="165">
        <v>14175</v>
      </c>
      <c r="K884" s="165"/>
      <c r="L884" s="165"/>
      <c r="M884" s="165"/>
      <c r="N884" s="165"/>
      <c r="O884" s="165">
        <f t="shared" si="18"/>
        <v>0</v>
      </c>
      <c r="P884" s="165" t="s">
        <v>3965</v>
      </c>
      <c r="Q884" s="165" t="s">
        <v>3966</v>
      </c>
      <c r="R884" s="3">
        <v>14175</v>
      </c>
      <c r="S884" s="3">
        <v>14175</v>
      </c>
      <c r="T884"/>
      <c r="U884" s="3"/>
    </row>
    <row r="885" spans="1:22">
      <c r="A885" s="165" t="s">
        <v>4037</v>
      </c>
      <c r="B885" s="94">
        <v>947</v>
      </c>
      <c r="C885" s="165" t="s">
        <v>4038</v>
      </c>
      <c r="D885" s="165">
        <v>4</v>
      </c>
      <c r="E885" s="165" t="s">
        <v>4045</v>
      </c>
      <c r="F885" s="165" t="s">
        <v>4046</v>
      </c>
      <c r="G885" s="165">
        <v>14175</v>
      </c>
      <c r="H885" s="165"/>
      <c r="I885" s="165"/>
      <c r="J885" s="165"/>
      <c r="K885" s="165">
        <v>14175</v>
      </c>
      <c r="L885" s="165"/>
      <c r="M885" s="165"/>
      <c r="N885" s="165"/>
      <c r="O885" s="165">
        <f t="shared" si="18"/>
        <v>0</v>
      </c>
      <c r="P885" s="165" t="s">
        <v>4433</v>
      </c>
      <c r="Q885" s="165" t="s">
        <v>4580</v>
      </c>
      <c r="R885" s="3">
        <v>14175</v>
      </c>
      <c r="S885" s="3">
        <v>14175</v>
      </c>
      <c r="T885"/>
      <c r="U885" s="3"/>
    </row>
    <row r="886" spans="1:22">
      <c r="A886" s="165" t="s">
        <v>4037</v>
      </c>
      <c r="B886" s="94">
        <v>948</v>
      </c>
      <c r="C886" s="165" t="s">
        <v>4038</v>
      </c>
      <c r="D886" s="165">
        <v>5</v>
      </c>
      <c r="E886" s="165" t="s">
        <v>4047</v>
      </c>
      <c r="F886" s="165" t="s">
        <v>4048</v>
      </c>
      <c r="G886" s="165">
        <v>14175</v>
      </c>
      <c r="H886" s="165"/>
      <c r="I886" s="165"/>
      <c r="J886" s="165"/>
      <c r="K886" s="165">
        <v>14175</v>
      </c>
      <c r="L886" s="165"/>
      <c r="M886" s="165"/>
      <c r="N886" s="165"/>
      <c r="O886" s="165">
        <f t="shared" si="18"/>
        <v>0</v>
      </c>
      <c r="P886" s="165" t="s">
        <v>4439</v>
      </c>
      <c r="Q886" s="165" t="s">
        <v>4780</v>
      </c>
      <c r="R886" s="3">
        <v>14175</v>
      </c>
      <c r="S886" s="3">
        <v>14175</v>
      </c>
      <c r="T886"/>
      <c r="U886" s="3"/>
    </row>
    <row r="887" spans="1:22">
      <c r="A887" s="165" t="s">
        <v>4037</v>
      </c>
      <c r="B887" s="94">
        <v>949</v>
      </c>
      <c r="C887" s="165" t="s">
        <v>4038</v>
      </c>
      <c r="D887" s="165">
        <v>6</v>
      </c>
      <c r="E887" s="165" t="s">
        <v>4049</v>
      </c>
      <c r="F887" s="165" t="s">
        <v>4050</v>
      </c>
      <c r="G887" s="165">
        <v>14175</v>
      </c>
      <c r="H887" s="165"/>
      <c r="I887" s="165"/>
      <c r="J887" s="165"/>
      <c r="K887" s="165">
        <v>14175</v>
      </c>
      <c r="L887" s="165"/>
      <c r="M887" s="165"/>
      <c r="N887" s="165"/>
      <c r="O887" s="165">
        <f t="shared" si="18"/>
        <v>0</v>
      </c>
      <c r="P887" s="165" t="s">
        <v>4769</v>
      </c>
      <c r="Q887" s="165" t="s">
        <v>4783</v>
      </c>
      <c r="R887" s="3">
        <v>14175</v>
      </c>
      <c r="S887" s="3">
        <v>14175</v>
      </c>
      <c r="T887"/>
      <c r="U887" s="3"/>
    </row>
    <row r="888" spans="1:22">
      <c r="A888" s="165" t="s">
        <v>4037</v>
      </c>
      <c r="B888" s="94">
        <v>950</v>
      </c>
      <c r="C888" s="165" t="s">
        <v>4038</v>
      </c>
      <c r="D888" s="165">
        <v>7</v>
      </c>
      <c r="E888" s="165" t="s">
        <v>4051</v>
      </c>
      <c r="F888" s="165" t="s">
        <v>4052</v>
      </c>
      <c r="G888" s="165">
        <v>14175</v>
      </c>
      <c r="H888" s="165"/>
      <c r="I888" s="165"/>
      <c r="J888" s="165"/>
      <c r="K888" s="165">
        <v>14175</v>
      </c>
      <c r="L888" s="165"/>
      <c r="M888" s="165"/>
      <c r="N888" s="165"/>
      <c r="O888" s="165">
        <f t="shared" si="18"/>
        <v>0</v>
      </c>
      <c r="P888" s="165" t="s">
        <v>4777</v>
      </c>
      <c r="Q888" s="165" t="s">
        <v>4127</v>
      </c>
      <c r="R888" s="3">
        <v>14175</v>
      </c>
      <c r="S888" s="3">
        <v>14175</v>
      </c>
      <c r="T888"/>
      <c r="U888" s="3"/>
    </row>
    <row r="889" spans="1:22">
      <c r="A889" s="165" t="s">
        <v>4037</v>
      </c>
      <c r="B889" s="94">
        <v>951</v>
      </c>
      <c r="C889" s="165" t="s">
        <v>4038</v>
      </c>
      <c r="D889" s="165">
        <v>8</v>
      </c>
      <c r="E889" s="165" t="s">
        <v>4053</v>
      </c>
      <c r="F889" s="165" t="s">
        <v>4054</v>
      </c>
      <c r="G889" s="165">
        <v>14175</v>
      </c>
      <c r="H889" s="165"/>
      <c r="I889" s="165"/>
      <c r="J889" s="165"/>
      <c r="K889" s="165"/>
      <c r="L889" s="165">
        <v>14175</v>
      </c>
      <c r="M889" s="165"/>
      <c r="N889" s="165"/>
      <c r="O889" s="165">
        <f>G889+H889+I889-J889-K889-L889</f>
        <v>0</v>
      </c>
      <c r="P889" s="165" t="s">
        <v>5298</v>
      </c>
      <c r="Q889" s="165" t="s">
        <v>5299</v>
      </c>
      <c r="R889" s="3">
        <v>14175</v>
      </c>
      <c r="S889" s="3">
        <v>14175</v>
      </c>
      <c r="T889"/>
      <c r="U889" s="3"/>
    </row>
    <row r="890" spans="1:22">
      <c r="A890" s="165" t="s">
        <v>4055</v>
      </c>
      <c r="B890" s="94">
        <v>952</v>
      </c>
      <c r="C890" s="165" t="s">
        <v>4056</v>
      </c>
      <c r="D890" s="165">
        <v>1</v>
      </c>
      <c r="E890" s="165" t="s">
        <v>4057</v>
      </c>
      <c r="F890" s="165" t="s">
        <v>4058</v>
      </c>
      <c r="G890" s="165">
        <v>20475</v>
      </c>
      <c r="H890" s="165"/>
      <c r="I890" s="165"/>
      <c r="J890" s="165">
        <v>20475</v>
      </c>
      <c r="K890" s="165"/>
      <c r="L890" s="165"/>
      <c r="M890" s="165"/>
      <c r="N890" s="165"/>
      <c r="O890" s="165">
        <f t="shared" ref="O890:O896" si="19">G890+H890+I890-J890-K890</f>
        <v>0</v>
      </c>
      <c r="P890" s="165" t="s">
        <v>3940</v>
      </c>
      <c r="Q890" s="165" t="s">
        <v>3941</v>
      </c>
      <c r="R890" s="3">
        <v>20475</v>
      </c>
      <c r="S890" s="3">
        <v>20475</v>
      </c>
      <c r="T890"/>
      <c r="U890" s="3"/>
      <c r="V890" s="271" t="s">
        <v>2740</v>
      </c>
    </row>
    <row r="891" spans="1:22">
      <c r="A891" s="165" t="s">
        <v>4055</v>
      </c>
      <c r="B891" s="94">
        <v>953</v>
      </c>
      <c r="C891" s="165" t="s">
        <v>4056</v>
      </c>
      <c r="D891" s="165">
        <v>2</v>
      </c>
      <c r="E891" s="165" t="s">
        <v>4059</v>
      </c>
      <c r="F891" s="165" t="s">
        <v>4060</v>
      </c>
      <c r="G891" s="165">
        <v>20475</v>
      </c>
      <c r="H891" s="165"/>
      <c r="I891" s="165"/>
      <c r="J891" s="165">
        <v>20475</v>
      </c>
      <c r="K891" s="165"/>
      <c r="L891" s="165"/>
      <c r="M891" s="165"/>
      <c r="N891" s="165"/>
      <c r="O891" s="165">
        <f t="shared" si="19"/>
        <v>0</v>
      </c>
      <c r="P891" s="165" t="s">
        <v>3952</v>
      </c>
      <c r="Q891" s="165" t="s">
        <v>3953</v>
      </c>
      <c r="R891" s="3">
        <v>20475</v>
      </c>
      <c r="S891" s="3">
        <v>20475</v>
      </c>
      <c r="T891"/>
      <c r="U891" s="3"/>
      <c r="V891" s="271" t="s">
        <v>2740</v>
      </c>
    </row>
    <row r="892" spans="1:22">
      <c r="A892" s="165" t="s">
        <v>4055</v>
      </c>
      <c r="B892" s="94">
        <v>954</v>
      </c>
      <c r="C892" s="165" t="s">
        <v>4056</v>
      </c>
      <c r="D892" s="165">
        <v>3</v>
      </c>
      <c r="E892" s="165" t="s">
        <v>4061</v>
      </c>
      <c r="F892" s="165" t="s">
        <v>4062</v>
      </c>
      <c r="G892" s="165">
        <v>20475</v>
      </c>
      <c r="H892" s="165"/>
      <c r="I892" s="165"/>
      <c r="J892" s="165">
        <v>20475</v>
      </c>
      <c r="K892" s="165"/>
      <c r="L892" s="165"/>
      <c r="M892" s="165"/>
      <c r="N892" s="165"/>
      <c r="O892" s="165">
        <f t="shared" si="19"/>
        <v>0</v>
      </c>
      <c r="P892" s="165" t="s">
        <v>3965</v>
      </c>
      <c r="Q892" s="165" t="s">
        <v>3966</v>
      </c>
      <c r="R892" s="3">
        <v>20475</v>
      </c>
      <c r="S892" s="3">
        <v>20475</v>
      </c>
      <c r="T892"/>
      <c r="U892" s="3"/>
      <c r="V892" s="271" t="s">
        <v>2740</v>
      </c>
    </row>
    <row r="893" spans="1:22">
      <c r="A893" s="165" t="s">
        <v>4055</v>
      </c>
      <c r="B893" s="94">
        <v>955</v>
      </c>
      <c r="C893" s="165" t="s">
        <v>4056</v>
      </c>
      <c r="D893" s="165">
        <v>4</v>
      </c>
      <c r="E893" s="165" t="s">
        <v>4063</v>
      </c>
      <c r="F893" s="165" t="s">
        <v>4064</v>
      </c>
      <c r="G893" s="165">
        <v>20475</v>
      </c>
      <c r="H893" s="165"/>
      <c r="I893" s="165"/>
      <c r="J893" s="165"/>
      <c r="K893" s="165">
        <v>20475</v>
      </c>
      <c r="L893" s="165"/>
      <c r="M893" s="165"/>
      <c r="N893" s="165"/>
      <c r="O893" s="165">
        <f t="shared" si="19"/>
        <v>0</v>
      </c>
      <c r="P893" s="165" t="s">
        <v>4236</v>
      </c>
      <c r="Q893" s="165" t="s">
        <v>4752</v>
      </c>
      <c r="R893" s="3">
        <v>20475</v>
      </c>
      <c r="S893" s="3">
        <v>20475</v>
      </c>
      <c r="T893"/>
      <c r="U893" s="3"/>
      <c r="V893" s="271" t="s">
        <v>2740</v>
      </c>
    </row>
    <row r="894" spans="1:22">
      <c r="A894" s="165" t="s">
        <v>4055</v>
      </c>
      <c r="B894" s="94">
        <v>956</v>
      </c>
      <c r="C894" s="165" t="s">
        <v>4056</v>
      </c>
      <c r="D894" s="165">
        <v>5</v>
      </c>
      <c r="E894" s="165" t="s">
        <v>4065</v>
      </c>
      <c r="F894" s="165" t="s">
        <v>4066</v>
      </c>
      <c r="G894" s="165">
        <v>20475</v>
      </c>
      <c r="H894" s="165"/>
      <c r="I894" s="165"/>
      <c r="J894" s="165"/>
      <c r="K894" s="165">
        <v>20475</v>
      </c>
      <c r="L894" s="165"/>
      <c r="M894" s="165"/>
      <c r="N894" s="165"/>
      <c r="O894" s="165">
        <f t="shared" si="19"/>
        <v>0</v>
      </c>
      <c r="P894" s="165" t="s">
        <v>4439</v>
      </c>
      <c r="Q894" s="165" t="s">
        <v>4780</v>
      </c>
      <c r="R894" s="3">
        <v>20475</v>
      </c>
      <c r="S894" s="3">
        <v>20475</v>
      </c>
      <c r="T894"/>
      <c r="U894" s="3"/>
      <c r="V894" s="271" t="s">
        <v>2740</v>
      </c>
    </row>
    <row r="895" spans="1:22">
      <c r="A895" s="165" t="s">
        <v>4055</v>
      </c>
      <c r="B895" s="94">
        <v>957</v>
      </c>
      <c r="C895" s="165" t="s">
        <v>4056</v>
      </c>
      <c r="D895" s="165">
        <v>6</v>
      </c>
      <c r="E895" s="165" t="s">
        <v>4067</v>
      </c>
      <c r="F895" s="165" t="s">
        <v>4068</v>
      </c>
      <c r="G895" s="165">
        <v>20475</v>
      </c>
      <c r="H895" s="165"/>
      <c r="I895" s="165"/>
      <c r="J895" s="165"/>
      <c r="K895" s="165">
        <v>20475</v>
      </c>
      <c r="L895" s="165"/>
      <c r="M895" s="165"/>
      <c r="N895" s="165"/>
      <c r="O895" s="165">
        <f t="shared" si="19"/>
        <v>0</v>
      </c>
      <c r="P895" s="165" t="s">
        <v>4768</v>
      </c>
      <c r="Q895" s="165" t="s">
        <v>4677</v>
      </c>
      <c r="R895" s="3">
        <v>20475</v>
      </c>
      <c r="S895" s="3">
        <v>20475</v>
      </c>
      <c r="T895"/>
      <c r="U895" s="3"/>
      <c r="V895" s="271" t="s">
        <v>2740</v>
      </c>
    </row>
    <row r="896" spans="1:22">
      <c r="A896" s="165" t="s">
        <v>4055</v>
      </c>
      <c r="B896" s="94">
        <v>958</v>
      </c>
      <c r="C896" s="165" t="s">
        <v>4056</v>
      </c>
      <c r="D896" s="165">
        <v>7</v>
      </c>
      <c r="E896" s="165" t="s">
        <v>4069</v>
      </c>
      <c r="F896" s="165" t="s">
        <v>4070</v>
      </c>
      <c r="G896" s="165">
        <v>20475</v>
      </c>
      <c r="H896" s="165"/>
      <c r="I896" s="165"/>
      <c r="J896" s="165"/>
      <c r="K896" s="165">
        <v>20475</v>
      </c>
      <c r="L896" s="165"/>
      <c r="M896" s="165"/>
      <c r="N896" s="165"/>
      <c r="O896" s="165">
        <f t="shared" si="19"/>
        <v>0</v>
      </c>
      <c r="P896" s="165" t="s">
        <v>4777</v>
      </c>
      <c r="Q896" s="165" t="s">
        <v>4127</v>
      </c>
      <c r="R896" s="3">
        <v>20475</v>
      </c>
      <c r="S896" s="3">
        <v>20475</v>
      </c>
      <c r="T896"/>
      <c r="U896" s="3"/>
      <c r="V896" s="271" t="s">
        <v>2740</v>
      </c>
    </row>
    <row r="897" spans="1:22">
      <c r="A897" s="165" t="s">
        <v>4055</v>
      </c>
      <c r="B897" s="94">
        <v>959</v>
      </c>
      <c r="C897" s="165" t="s">
        <v>4056</v>
      </c>
      <c r="D897" s="165">
        <v>8</v>
      </c>
      <c r="E897" s="165" t="s">
        <v>4071</v>
      </c>
      <c r="F897" s="165" t="s">
        <v>4072</v>
      </c>
      <c r="G897" s="165"/>
      <c r="H897" s="165"/>
      <c r="I897" s="165">
        <v>20475</v>
      </c>
      <c r="J897" s="165"/>
      <c r="K897" s="165"/>
      <c r="L897" s="165">
        <v>20475</v>
      </c>
      <c r="M897" s="165"/>
      <c r="N897" s="165"/>
      <c r="O897" s="165">
        <f>G897+H897+I897-J897-K897-L897</f>
        <v>0</v>
      </c>
      <c r="P897" s="165" t="s">
        <v>5294</v>
      </c>
      <c r="Q897" s="165" t="s">
        <v>4072</v>
      </c>
      <c r="R897" s="3">
        <v>20475</v>
      </c>
      <c r="S897" s="3">
        <v>20475</v>
      </c>
      <c r="T897"/>
      <c r="U897" s="3"/>
      <c r="V897" s="271" t="s">
        <v>2740</v>
      </c>
    </row>
    <row r="898" spans="1:22" s="163" customFormat="1">
      <c r="A898" s="281" t="s">
        <v>4073</v>
      </c>
      <c r="B898" s="281"/>
      <c r="C898" s="281" t="s">
        <v>2421</v>
      </c>
      <c r="D898" s="281">
        <v>7</v>
      </c>
      <c r="E898" s="281" t="s">
        <v>1283</v>
      </c>
      <c r="F898" s="281" t="s">
        <v>4073</v>
      </c>
      <c r="G898" s="284"/>
      <c r="H898" s="284"/>
      <c r="I898" s="284"/>
      <c r="J898" s="281"/>
      <c r="K898" s="281"/>
      <c r="L898" s="281"/>
      <c r="M898" s="281"/>
      <c r="N898" s="281"/>
      <c r="O898" s="281">
        <f t="shared" ref="O898:O905" si="20">G898+H898+I898-J898-K898</f>
        <v>0</v>
      </c>
      <c r="P898" s="281" t="s">
        <v>4073</v>
      </c>
      <c r="Q898" s="281" t="s">
        <v>4073</v>
      </c>
      <c r="R898" s="281">
        <v>13230</v>
      </c>
      <c r="S898" s="281">
        <v>13220</v>
      </c>
      <c r="T898" s="406">
        <v>13220</v>
      </c>
      <c r="U898" s="284">
        <v>10</v>
      </c>
    </row>
    <row r="899" spans="1:22">
      <c r="A899" s="165" t="s">
        <v>4074</v>
      </c>
      <c r="B899" s="165">
        <v>960</v>
      </c>
      <c r="C899" s="165" t="s">
        <v>4075</v>
      </c>
      <c r="D899" s="165">
        <v>1</v>
      </c>
      <c r="E899" s="165" t="s">
        <v>4076</v>
      </c>
      <c r="F899" s="165" t="s">
        <v>3936</v>
      </c>
      <c r="G899" s="165">
        <v>14175</v>
      </c>
      <c r="H899" s="165"/>
      <c r="I899" s="165"/>
      <c r="J899" s="165">
        <v>14175</v>
      </c>
      <c r="K899" s="165"/>
      <c r="L899" s="165"/>
      <c r="M899" s="165"/>
      <c r="N899" s="165"/>
      <c r="O899" s="165">
        <f t="shared" si="20"/>
        <v>0</v>
      </c>
      <c r="P899" s="165" t="s">
        <v>3944</v>
      </c>
      <c r="Q899" s="165" t="s">
        <v>3945</v>
      </c>
      <c r="R899" s="3">
        <v>14175</v>
      </c>
      <c r="S899" s="3">
        <v>14175</v>
      </c>
      <c r="T899"/>
      <c r="U899" s="3"/>
    </row>
    <row r="900" spans="1:22">
      <c r="A900" s="165" t="s">
        <v>4074</v>
      </c>
      <c r="B900" s="165">
        <v>961</v>
      </c>
      <c r="C900" s="165" t="s">
        <v>4075</v>
      </c>
      <c r="D900" s="165">
        <v>2</v>
      </c>
      <c r="E900" s="165" t="s">
        <v>4077</v>
      </c>
      <c r="F900" s="165" t="s">
        <v>4078</v>
      </c>
      <c r="G900" s="165">
        <v>14175</v>
      </c>
      <c r="H900" s="165"/>
      <c r="I900" s="165"/>
      <c r="J900" s="165">
        <v>14175</v>
      </c>
      <c r="K900" s="165"/>
      <c r="L900" s="165"/>
      <c r="M900" s="165"/>
      <c r="N900" s="165"/>
      <c r="O900" s="165">
        <f t="shared" si="20"/>
        <v>0</v>
      </c>
      <c r="P900" s="165" t="s">
        <v>4079</v>
      </c>
      <c r="Q900" s="165" t="s">
        <v>3953</v>
      </c>
      <c r="R900" s="3">
        <v>14175</v>
      </c>
      <c r="S900" s="3">
        <v>14175</v>
      </c>
      <c r="T900"/>
      <c r="U900" s="3"/>
    </row>
    <row r="901" spans="1:22">
      <c r="A901" s="165" t="s">
        <v>4074</v>
      </c>
      <c r="B901" s="165">
        <v>962</v>
      </c>
      <c r="C901" s="165" t="s">
        <v>4075</v>
      </c>
      <c r="D901" s="165">
        <v>3</v>
      </c>
      <c r="E901" s="165" t="s">
        <v>4080</v>
      </c>
      <c r="F901" s="165" t="s">
        <v>4081</v>
      </c>
      <c r="G901" s="165">
        <v>14175</v>
      </c>
      <c r="H901" s="165"/>
      <c r="I901" s="165"/>
      <c r="J901" s="165">
        <v>14175</v>
      </c>
      <c r="K901" s="165"/>
      <c r="L901" s="165"/>
      <c r="M901" s="165"/>
      <c r="N901" s="165"/>
      <c r="O901" s="165">
        <f t="shared" si="20"/>
        <v>0</v>
      </c>
      <c r="P901" s="165" t="s">
        <v>3986</v>
      </c>
      <c r="Q901" s="165" t="s">
        <v>3987</v>
      </c>
      <c r="R901" s="3">
        <v>14175</v>
      </c>
      <c r="S901" s="3">
        <v>14175</v>
      </c>
      <c r="T901"/>
      <c r="U901" s="3"/>
    </row>
    <row r="902" spans="1:22">
      <c r="A902" s="165" t="s">
        <v>4074</v>
      </c>
      <c r="B902" s="165">
        <v>963</v>
      </c>
      <c r="C902" s="165" t="s">
        <v>4075</v>
      </c>
      <c r="D902" s="165">
        <v>4</v>
      </c>
      <c r="E902" s="165" t="s">
        <v>4082</v>
      </c>
      <c r="F902" s="165" t="s">
        <v>3973</v>
      </c>
      <c r="G902" s="165">
        <v>14175</v>
      </c>
      <c r="H902" s="165"/>
      <c r="I902" s="165"/>
      <c r="J902" s="165">
        <v>14175</v>
      </c>
      <c r="K902" s="165"/>
      <c r="L902" s="165"/>
      <c r="M902" s="165"/>
      <c r="N902" s="165"/>
      <c r="O902" s="165">
        <f t="shared" si="20"/>
        <v>0</v>
      </c>
      <c r="P902" s="165" t="s">
        <v>3972</v>
      </c>
      <c r="Q902" s="165" t="s">
        <v>3973</v>
      </c>
      <c r="R902" s="3">
        <v>14175</v>
      </c>
      <c r="S902" s="3">
        <v>14175</v>
      </c>
      <c r="T902"/>
      <c r="U902" s="3"/>
    </row>
    <row r="903" spans="1:22">
      <c r="A903" s="165" t="s">
        <v>4074</v>
      </c>
      <c r="B903" s="165">
        <v>964</v>
      </c>
      <c r="C903" s="165" t="s">
        <v>4075</v>
      </c>
      <c r="D903" s="165">
        <v>5</v>
      </c>
      <c r="E903" s="165" t="s">
        <v>4083</v>
      </c>
      <c r="F903" s="165" t="s">
        <v>4084</v>
      </c>
      <c r="G903" s="165">
        <v>14175</v>
      </c>
      <c r="H903" s="165"/>
      <c r="I903" s="165"/>
      <c r="J903" s="165"/>
      <c r="K903" s="165">
        <v>14175</v>
      </c>
      <c r="L903" s="165"/>
      <c r="M903" s="165"/>
      <c r="N903" s="165"/>
      <c r="O903" s="165">
        <f t="shared" si="20"/>
        <v>0</v>
      </c>
      <c r="P903" s="165" t="s">
        <v>4439</v>
      </c>
      <c r="Q903" s="165" t="s">
        <v>4780</v>
      </c>
      <c r="R903" s="3">
        <v>14175</v>
      </c>
      <c r="S903" s="3">
        <v>14175</v>
      </c>
      <c r="T903"/>
      <c r="U903" s="3"/>
    </row>
    <row r="904" spans="1:22">
      <c r="A904" s="165" t="s">
        <v>4074</v>
      </c>
      <c r="B904" s="165">
        <v>965</v>
      </c>
      <c r="C904" s="165" t="s">
        <v>4075</v>
      </c>
      <c r="D904" s="165">
        <v>6</v>
      </c>
      <c r="E904" s="165" t="s">
        <v>4085</v>
      </c>
      <c r="F904" s="165" t="s">
        <v>4086</v>
      </c>
      <c r="G904" s="165">
        <v>14175</v>
      </c>
      <c r="H904" s="165"/>
      <c r="I904" s="165"/>
      <c r="J904" s="165"/>
      <c r="K904" s="165">
        <v>14175</v>
      </c>
      <c r="L904" s="165"/>
      <c r="M904" s="165"/>
      <c r="N904" s="165"/>
      <c r="O904" s="165">
        <f t="shared" si="20"/>
        <v>0</v>
      </c>
      <c r="P904" s="165" t="s">
        <v>4768</v>
      </c>
      <c r="Q904" s="165" t="s">
        <v>4677</v>
      </c>
      <c r="R904" s="3">
        <v>14175</v>
      </c>
      <c r="S904" s="3">
        <v>14175</v>
      </c>
      <c r="T904"/>
      <c r="U904" s="3"/>
    </row>
    <row r="905" spans="1:22">
      <c r="A905" s="165" t="s">
        <v>4074</v>
      </c>
      <c r="B905" s="165">
        <v>966</v>
      </c>
      <c r="C905" s="165" t="s">
        <v>4075</v>
      </c>
      <c r="D905" s="165">
        <v>7</v>
      </c>
      <c r="E905" s="165" t="s">
        <v>4087</v>
      </c>
      <c r="F905" s="165" t="s">
        <v>4088</v>
      </c>
      <c r="G905" s="165">
        <v>14175</v>
      </c>
      <c r="H905" s="165"/>
      <c r="I905" s="165"/>
      <c r="J905" s="165"/>
      <c r="K905" s="165">
        <v>14175</v>
      </c>
      <c r="L905" s="165"/>
      <c r="M905" s="165"/>
      <c r="N905" s="165"/>
      <c r="O905" s="165">
        <f t="shared" si="20"/>
        <v>0</v>
      </c>
      <c r="P905" s="165" t="s">
        <v>4772</v>
      </c>
      <c r="Q905" s="165" t="s">
        <v>4088</v>
      </c>
      <c r="R905" s="3">
        <v>14175</v>
      </c>
      <c r="S905" s="3">
        <v>14175</v>
      </c>
      <c r="T905"/>
      <c r="U905" s="3"/>
    </row>
    <row r="906" spans="1:22">
      <c r="A906" s="165" t="s">
        <v>4074</v>
      </c>
      <c r="B906" s="165">
        <v>967</v>
      </c>
      <c r="C906" s="165" t="s">
        <v>4075</v>
      </c>
      <c r="D906" s="165">
        <v>8</v>
      </c>
      <c r="E906" s="165" t="s">
        <v>4089</v>
      </c>
      <c r="F906" s="165" t="s">
        <v>4090</v>
      </c>
      <c r="G906" s="165">
        <v>14175</v>
      </c>
      <c r="H906" s="165"/>
      <c r="I906" s="165"/>
      <c r="J906" s="165"/>
      <c r="K906" s="165"/>
      <c r="L906" s="165">
        <v>14175</v>
      </c>
      <c r="M906" s="165"/>
      <c r="N906" s="165"/>
      <c r="O906" s="165">
        <f>G906+H906+I906-J906-K906-L906</f>
        <v>0</v>
      </c>
      <c r="P906" s="165" t="s">
        <v>5294</v>
      </c>
      <c r="Q906" s="165" t="s">
        <v>4788</v>
      </c>
      <c r="R906" s="3">
        <v>14175</v>
      </c>
      <c r="S906" s="3">
        <v>14175</v>
      </c>
      <c r="T906"/>
      <c r="U906" s="3"/>
    </row>
    <row r="907" spans="1:22">
      <c r="A907" s="165" t="s">
        <v>4091</v>
      </c>
      <c r="B907" s="165">
        <v>968</v>
      </c>
      <c r="C907" s="165" t="s">
        <v>1232</v>
      </c>
      <c r="D907" s="165">
        <v>4</v>
      </c>
      <c r="E907" s="165" t="s">
        <v>4092</v>
      </c>
      <c r="F907" s="165" t="s">
        <v>4093</v>
      </c>
      <c r="G907" s="165">
        <v>16380</v>
      </c>
      <c r="H907" s="165"/>
      <c r="I907" s="165"/>
      <c r="J907" s="165">
        <v>16380</v>
      </c>
      <c r="K907" s="165"/>
      <c r="L907" s="165"/>
      <c r="M907" s="165"/>
      <c r="N907" s="165"/>
      <c r="O907" s="165">
        <f t="shared" ref="O907:O915" si="21">G907+H907+I907-J907-K907</f>
        <v>0</v>
      </c>
      <c r="P907" s="165" t="s">
        <v>3944</v>
      </c>
      <c r="Q907" s="165" t="s">
        <v>3945</v>
      </c>
      <c r="R907" s="3">
        <v>16380</v>
      </c>
      <c r="S907" s="3">
        <v>16380</v>
      </c>
      <c r="T907"/>
      <c r="U907" s="3"/>
    </row>
    <row r="908" spans="1:22" s="163" customFormat="1">
      <c r="A908" s="281" t="s">
        <v>4040</v>
      </c>
      <c r="B908" s="281"/>
      <c r="C908" s="281" t="s">
        <v>1532</v>
      </c>
      <c r="D908" s="281">
        <v>8</v>
      </c>
      <c r="E908" s="281" t="s">
        <v>1283</v>
      </c>
      <c r="F908" s="281" t="s">
        <v>4040</v>
      </c>
      <c r="G908" s="284"/>
      <c r="H908" s="284"/>
      <c r="I908" s="284"/>
      <c r="J908" s="281"/>
      <c r="K908" s="281"/>
      <c r="L908" s="281"/>
      <c r="M908" s="281"/>
      <c r="N908" s="281"/>
      <c r="O908" s="281">
        <f t="shared" si="21"/>
        <v>0</v>
      </c>
      <c r="P908" s="281" t="s">
        <v>4040</v>
      </c>
      <c r="Q908" s="281" t="s">
        <v>4040</v>
      </c>
      <c r="R908" s="281">
        <v>13500</v>
      </c>
      <c r="S908" s="281">
        <v>13485</v>
      </c>
      <c r="T908" s="406">
        <v>13485</v>
      </c>
      <c r="U908" s="284">
        <v>15</v>
      </c>
    </row>
    <row r="909" spans="1:22">
      <c r="A909" s="165" t="s">
        <v>4058</v>
      </c>
      <c r="B909" s="165">
        <v>969</v>
      </c>
      <c r="C909" s="165" t="s">
        <v>4094</v>
      </c>
      <c r="D909" s="165">
        <v>1</v>
      </c>
      <c r="E909" s="165" t="s">
        <v>4095</v>
      </c>
      <c r="F909" s="165" t="s">
        <v>4096</v>
      </c>
      <c r="G909" s="165">
        <v>13230</v>
      </c>
      <c r="H909" s="165"/>
      <c r="I909" s="165"/>
      <c r="J909" s="165">
        <v>13230</v>
      </c>
      <c r="K909" s="165"/>
      <c r="L909" s="165"/>
      <c r="M909" s="165"/>
      <c r="N909" s="165"/>
      <c r="O909" s="165">
        <f t="shared" si="21"/>
        <v>0</v>
      </c>
      <c r="P909" s="165" t="s">
        <v>3946</v>
      </c>
      <c r="Q909" s="165" t="s">
        <v>3947</v>
      </c>
      <c r="R909" s="3">
        <v>13230</v>
      </c>
      <c r="S909" s="3">
        <v>13230</v>
      </c>
      <c r="T909"/>
      <c r="U909" s="3"/>
    </row>
    <row r="910" spans="1:22">
      <c r="A910" s="165" t="s">
        <v>4058</v>
      </c>
      <c r="B910" s="165">
        <v>970</v>
      </c>
      <c r="C910" s="165" t="s">
        <v>4094</v>
      </c>
      <c r="D910" s="165">
        <v>2</v>
      </c>
      <c r="E910" s="165" t="s">
        <v>4097</v>
      </c>
      <c r="F910" s="165" t="s">
        <v>4098</v>
      </c>
      <c r="G910" s="165">
        <v>13230</v>
      </c>
      <c r="H910" s="165"/>
      <c r="I910" s="165"/>
      <c r="J910" s="165">
        <v>13230</v>
      </c>
      <c r="K910" s="165"/>
      <c r="L910" s="165"/>
      <c r="M910" s="165"/>
      <c r="N910" s="165"/>
      <c r="O910" s="165">
        <f t="shared" si="21"/>
        <v>0</v>
      </c>
      <c r="P910" s="165" t="s">
        <v>3955</v>
      </c>
      <c r="Q910" s="165" t="s">
        <v>3956</v>
      </c>
      <c r="R910" s="3">
        <v>13230</v>
      </c>
      <c r="S910" s="3">
        <v>13230</v>
      </c>
      <c r="T910"/>
      <c r="U910" s="3"/>
    </row>
    <row r="911" spans="1:22">
      <c r="A911" s="165" t="s">
        <v>4058</v>
      </c>
      <c r="B911" s="165">
        <v>971</v>
      </c>
      <c r="C911" s="165" t="s">
        <v>4094</v>
      </c>
      <c r="D911" s="165">
        <v>3</v>
      </c>
      <c r="E911" s="165" t="s">
        <v>4099</v>
      </c>
      <c r="F911" s="165" t="s">
        <v>4100</v>
      </c>
      <c r="G911" s="165">
        <v>13230</v>
      </c>
      <c r="H911" s="165"/>
      <c r="I911" s="165"/>
      <c r="J911" s="165">
        <v>13230</v>
      </c>
      <c r="K911" s="165"/>
      <c r="L911" s="165"/>
      <c r="M911" s="165"/>
      <c r="N911" s="165"/>
      <c r="O911" s="165">
        <f t="shared" si="21"/>
        <v>0</v>
      </c>
      <c r="P911" s="165" t="s">
        <v>3957</v>
      </c>
      <c r="Q911" s="165" t="s">
        <v>3958</v>
      </c>
      <c r="R911" s="3">
        <v>13230</v>
      </c>
      <c r="S911" s="3">
        <v>13230</v>
      </c>
      <c r="T911"/>
      <c r="U911" s="3"/>
    </row>
    <row r="912" spans="1:22">
      <c r="A912" s="165" t="s">
        <v>4058</v>
      </c>
      <c r="B912" s="165">
        <v>972</v>
      </c>
      <c r="C912" s="165" t="s">
        <v>4094</v>
      </c>
      <c r="D912" s="165">
        <v>4</v>
      </c>
      <c r="E912" s="165" t="s">
        <v>4101</v>
      </c>
      <c r="F912" s="165" t="s">
        <v>4102</v>
      </c>
      <c r="G912" s="165">
        <v>13230</v>
      </c>
      <c r="H912" s="165"/>
      <c r="I912" s="165"/>
      <c r="J912" s="165"/>
      <c r="K912" s="165">
        <v>13230</v>
      </c>
      <c r="L912" s="165"/>
      <c r="M912" s="165"/>
      <c r="N912" s="165"/>
      <c r="O912" s="165">
        <f t="shared" si="21"/>
        <v>0</v>
      </c>
      <c r="P912" s="165" t="s">
        <v>4434</v>
      </c>
      <c r="Q912" s="165" t="s">
        <v>4102</v>
      </c>
      <c r="R912" s="3">
        <v>13230</v>
      </c>
      <c r="S912" s="3">
        <v>13230</v>
      </c>
      <c r="T912"/>
      <c r="U912" s="3"/>
    </row>
    <row r="913" spans="1:21">
      <c r="A913" s="165" t="s">
        <v>4058</v>
      </c>
      <c r="B913" s="165">
        <v>973</v>
      </c>
      <c r="C913" s="165" t="s">
        <v>4094</v>
      </c>
      <c r="D913" s="165">
        <v>5</v>
      </c>
      <c r="E913" s="165" t="s">
        <v>4103</v>
      </c>
      <c r="F913" s="165" t="s">
        <v>4104</v>
      </c>
      <c r="G913" s="165">
        <v>13230</v>
      </c>
      <c r="H913" s="165"/>
      <c r="I913" s="165"/>
      <c r="J913" s="165"/>
      <c r="K913" s="165">
        <v>13230</v>
      </c>
      <c r="L913" s="165"/>
      <c r="M913" s="165"/>
      <c r="N913" s="165"/>
      <c r="O913" s="165">
        <f t="shared" si="21"/>
        <v>0</v>
      </c>
      <c r="P913" s="165" t="s">
        <v>4767</v>
      </c>
      <c r="Q913" s="165" t="s">
        <v>4782</v>
      </c>
      <c r="R913" s="3">
        <v>13230</v>
      </c>
      <c r="S913" s="3">
        <v>13230</v>
      </c>
      <c r="T913"/>
      <c r="U913" s="3"/>
    </row>
    <row r="914" spans="1:21">
      <c r="A914" s="165" t="s">
        <v>4058</v>
      </c>
      <c r="B914" s="165">
        <v>974</v>
      </c>
      <c r="C914" s="165" t="s">
        <v>4094</v>
      </c>
      <c r="D914" s="165">
        <v>6</v>
      </c>
      <c r="E914" s="165" t="s">
        <v>4105</v>
      </c>
      <c r="F914" s="165" t="s">
        <v>4106</v>
      </c>
      <c r="G914" s="165">
        <v>13230</v>
      </c>
      <c r="H914" s="165"/>
      <c r="I914" s="165"/>
      <c r="J914" s="165"/>
      <c r="K914" s="165">
        <v>13230</v>
      </c>
      <c r="L914" s="165"/>
      <c r="M914" s="165"/>
      <c r="N914" s="165"/>
      <c r="O914" s="165">
        <f t="shared" si="21"/>
        <v>0</v>
      </c>
      <c r="P914" s="165" t="s">
        <v>4715</v>
      </c>
      <c r="Q914" s="165" t="s">
        <v>4786</v>
      </c>
      <c r="R914" s="3">
        <v>13230</v>
      </c>
      <c r="S914" s="3">
        <v>13230</v>
      </c>
      <c r="T914"/>
      <c r="U914" s="3"/>
    </row>
    <row r="915" spans="1:21">
      <c r="A915" s="165" t="s">
        <v>4058</v>
      </c>
      <c r="B915" s="165">
        <v>975</v>
      </c>
      <c r="C915" s="165" t="s">
        <v>4094</v>
      </c>
      <c r="D915" s="165">
        <v>7</v>
      </c>
      <c r="E915" s="165" t="s">
        <v>4107</v>
      </c>
      <c r="F915" s="165" t="s">
        <v>4108</v>
      </c>
      <c r="G915" s="165">
        <v>13230</v>
      </c>
      <c r="H915" s="165"/>
      <c r="I915" s="165"/>
      <c r="J915" s="165"/>
      <c r="K915" s="165">
        <v>13230</v>
      </c>
      <c r="L915" s="165"/>
      <c r="M915" s="165"/>
      <c r="N915" s="165"/>
      <c r="O915" s="165">
        <f t="shared" si="21"/>
        <v>0</v>
      </c>
      <c r="P915" s="165" t="s">
        <v>4190</v>
      </c>
      <c r="Q915" s="165" t="s">
        <v>4033</v>
      </c>
      <c r="R915" s="3">
        <v>13230</v>
      </c>
      <c r="S915" s="3">
        <v>13230</v>
      </c>
      <c r="T915"/>
      <c r="U915" s="3"/>
    </row>
    <row r="916" spans="1:21">
      <c r="A916" s="165" t="s">
        <v>4058</v>
      </c>
      <c r="B916" s="165">
        <v>976</v>
      </c>
      <c r="C916" s="165" t="s">
        <v>4094</v>
      </c>
      <c r="D916" s="165">
        <v>8</v>
      </c>
      <c r="E916" s="165" t="s">
        <v>4109</v>
      </c>
      <c r="F916" s="165" t="s">
        <v>4110</v>
      </c>
      <c r="G916" s="165">
        <v>13230</v>
      </c>
      <c r="H916" s="165"/>
      <c r="I916" s="165"/>
      <c r="J916" s="165"/>
      <c r="K916" s="165"/>
      <c r="L916" s="165">
        <v>13230</v>
      </c>
      <c r="M916" s="165"/>
      <c r="N916" s="165"/>
      <c r="O916" s="165">
        <f>G916+H916+I916-J916-K916-L916</f>
        <v>0</v>
      </c>
      <c r="P916" s="165" t="s">
        <v>4651</v>
      </c>
      <c r="Q916" s="165" t="s">
        <v>4793</v>
      </c>
      <c r="R916" s="3">
        <v>13230</v>
      </c>
      <c r="S916" s="3">
        <v>13230</v>
      </c>
      <c r="T916"/>
      <c r="U916" s="3"/>
    </row>
    <row r="917" spans="1:21" s="163" customFormat="1">
      <c r="A917" s="281" t="s">
        <v>3940</v>
      </c>
      <c r="B917" s="281"/>
      <c r="C917" s="281" t="s">
        <v>1264</v>
      </c>
      <c r="D917" s="340" t="s">
        <v>4111</v>
      </c>
      <c r="E917" s="281" t="s">
        <v>1283</v>
      </c>
      <c r="F917" s="281" t="s">
        <v>3940</v>
      </c>
      <c r="G917" s="284"/>
      <c r="H917" s="284"/>
      <c r="I917" s="284"/>
      <c r="J917" s="281"/>
      <c r="K917" s="281"/>
      <c r="L917" s="281"/>
      <c r="M917" s="281"/>
      <c r="N917" s="281"/>
      <c r="O917" s="281">
        <f t="shared" ref="O917:O925" si="22">G917+H917+I917-J917-K917</f>
        <v>0</v>
      </c>
      <c r="P917" s="281" t="s">
        <v>3940</v>
      </c>
      <c r="Q917" s="281" t="s">
        <v>3940</v>
      </c>
      <c r="R917" s="281">
        <v>45360</v>
      </c>
      <c r="S917" s="406">
        <v>45360</v>
      </c>
      <c r="T917" s="405">
        <v>45360</v>
      </c>
      <c r="U917" s="284"/>
    </row>
    <row r="918" spans="1:21" s="163" customFormat="1">
      <c r="A918" s="281" t="s">
        <v>4112</v>
      </c>
      <c r="B918" s="281"/>
      <c r="C918" s="281" t="s">
        <v>3825</v>
      </c>
      <c r="D918" s="281">
        <v>1</v>
      </c>
      <c r="E918" s="281" t="s">
        <v>1283</v>
      </c>
      <c r="F918" s="281" t="s">
        <v>4112</v>
      </c>
      <c r="G918" s="284"/>
      <c r="H918" s="284"/>
      <c r="I918" s="284"/>
      <c r="J918" s="281"/>
      <c r="K918" s="281"/>
      <c r="L918" s="281"/>
      <c r="M918" s="281"/>
      <c r="N918" s="281"/>
      <c r="O918" s="281">
        <f t="shared" si="22"/>
        <v>0</v>
      </c>
      <c r="P918" s="281" t="s">
        <v>4112</v>
      </c>
      <c r="Q918" s="281" t="s">
        <v>4112</v>
      </c>
      <c r="R918" s="281">
        <v>14175</v>
      </c>
      <c r="S918" s="281">
        <v>14145</v>
      </c>
      <c r="T918" s="406">
        <v>14145</v>
      </c>
      <c r="U918" s="284">
        <v>30</v>
      </c>
    </row>
    <row r="919" spans="1:21">
      <c r="A919" s="165" t="s">
        <v>4112</v>
      </c>
      <c r="B919" s="165">
        <v>977</v>
      </c>
      <c r="C919" s="165" t="s">
        <v>4113</v>
      </c>
      <c r="D919" s="165">
        <v>1</v>
      </c>
      <c r="E919" s="165" t="s">
        <v>4114</v>
      </c>
      <c r="F919" s="165" t="s">
        <v>4115</v>
      </c>
      <c r="G919" s="165">
        <v>13230</v>
      </c>
      <c r="H919" s="165"/>
      <c r="I919" s="165"/>
      <c r="J919" s="165">
        <v>13230</v>
      </c>
      <c r="K919" s="165"/>
      <c r="L919" s="165"/>
      <c r="M919" s="165"/>
      <c r="N919" s="165"/>
      <c r="O919" s="165">
        <f t="shared" si="22"/>
        <v>0</v>
      </c>
      <c r="P919" s="165" t="s">
        <v>3946</v>
      </c>
      <c r="Q919" s="165" t="s">
        <v>3947</v>
      </c>
      <c r="R919" s="3">
        <v>13230</v>
      </c>
      <c r="S919" s="3">
        <v>13230</v>
      </c>
      <c r="T919"/>
      <c r="U919" s="3"/>
    </row>
    <row r="920" spans="1:21">
      <c r="A920" s="165" t="s">
        <v>4112</v>
      </c>
      <c r="B920" s="165">
        <v>978</v>
      </c>
      <c r="C920" s="165" t="s">
        <v>4113</v>
      </c>
      <c r="D920" s="165">
        <v>2</v>
      </c>
      <c r="E920" s="165" t="s">
        <v>4116</v>
      </c>
      <c r="F920" s="165" t="s">
        <v>4117</v>
      </c>
      <c r="G920" s="165">
        <v>13230</v>
      </c>
      <c r="H920" s="165"/>
      <c r="I920" s="165"/>
      <c r="J920" s="165">
        <v>13230</v>
      </c>
      <c r="K920" s="165"/>
      <c r="L920" s="165"/>
      <c r="M920" s="165"/>
      <c r="N920" s="165"/>
      <c r="O920" s="165">
        <f t="shared" si="22"/>
        <v>0</v>
      </c>
      <c r="P920" s="165" t="s">
        <v>3948</v>
      </c>
      <c r="Q920" s="165" t="s">
        <v>3949</v>
      </c>
      <c r="R920" s="3">
        <v>13230</v>
      </c>
      <c r="S920" s="3">
        <v>13230</v>
      </c>
      <c r="T920"/>
      <c r="U920" s="3"/>
    </row>
    <row r="921" spans="1:21">
      <c r="A921" s="165" t="s">
        <v>4112</v>
      </c>
      <c r="B921" s="165">
        <v>979</v>
      </c>
      <c r="C921" s="165" t="s">
        <v>4113</v>
      </c>
      <c r="D921" s="165">
        <v>3</v>
      </c>
      <c r="E921" s="165" t="s">
        <v>4118</v>
      </c>
      <c r="F921" s="165" t="s">
        <v>4119</v>
      </c>
      <c r="G921" s="165">
        <v>13230</v>
      </c>
      <c r="H921" s="165"/>
      <c r="I921" s="165"/>
      <c r="J921" s="165">
        <v>13230</v>
      </c>
      <c r="K921" s="165"/>
      <c r="L921" s="165"/>
      <c r="M921" s="165"/>
      <c r="N921" s="165"/>
      <c r="O921" s="165">
        <f t="shared" si="22"/>
        <v>0</v>
      </c>
      <c r="P921" s="165" t="s">
        <v>3967</v>
      </c>
      <c r="Q921" s="165" t="s">
        <v>3968</v>
      </c>
      <c r="R921" s="3">
        <v>13230</v>
      </c>
      <c r="S921" s="3">
        <v>13230</v>
      </c>
      <c r="T921"/>
      <c r="U921" s="3"/>
    </row>
    <row r="922" spans="1:21">
      <c r="A922" s="165" t="s">
        <v>4112</v>
      </c>
      <c r="B922" s="165">
        <v>980</v>
      </c>
      <c r="C922" s="165" t="s">
        <v>4113</v>
      </c>
      <c r="D922" s="165">
        <v>4</v>
      </c>
      <c r="E922" s="165" t="s">
        <v>4120</v>
      </c>
      <c r="F922" s="165" t="s">
        <v>4121</v>
      </c>
      <c r="G922" s="165">
        <v>13230</v>
      </c>
      <c r="H922" s="165"/>
      <c r="I922" s="165"/>
      <c r="J922" s="165"/>
      <c r="K922" s="165">
        <v>13230</v>
      </c>
      <c r="L922" s="165"/>
      <c r="M922" s="165"/>
      <c r="N922" s="165"/>
      <c r="O922" s="165">
        <f t="shared" si="22"/>
        <v>0</v>
      </c>
      <c r="P922" s="165" t="s">
        <v>4433</v>
      </c>
      <c r="Q922" s="165" t="s">
        <v>4779</v>
      </c>
      <c r="R922" s="3">
        <v>13230</v>
      </c>
      <c r="S922" s="3">
        <v>13230</v>
      </c>
      <c r="T922"/>
      <c r="U922" s="3"/>
    </row>
    <row r="923" spans="1:21">
      <c r="A923" s="165" t="s">
        <v>4112</v>
      </c>
      <c r="B923" s="165">
        <v>981</v>
      </c>
      <c r="C923" s="165" t="s">
        <v>4113</v>
      </c>
      <c r="D923" s="165">
        <v>5</v>
      </c>
      <c r="E923" s="165" t="s">
        <v>4122</v>
      </c>
      <c r="F923" s="165" t="s">
        <v>4123</v>
      </c>
      <c r="G923" s="165">
        <v>13230</v>
      </c>
      <c r="H923" s="165"/>
      <c r="I923" s="165"/>
      <c r="J923" s="165"/>
      <c r="K923" s="165">
        <v>13230</v>
      </c>
      <c r="L923" s="165"/>
      <c r="M923" s="165"/>
      <c r="N923" s="165"/>
      <c r="O923" s="165">
        <f t="shared" si="22"/>
        <v>0</v>
      </c>
      <c r="P923" s="165" t="s">
        <v>4588</v>
      </c>
      <c r="Q923" s="165" t="s">
        <v>4781</v>
      </c>
      <c r="R923" s="3">
        <v>13230</v>
      </c>
      <c r="S923" s="3">
        <v>13230</v>
      </c>
      <c r="T923"/>
      <c r="U923" s="3"/>
    </row>
    <row r="924" spans="1:21">
      <c r="A924" s="165" t="s">
        <v>4112</v>
      </c>
      <c r="B924" s="165">
        <v>982</v>
      </c>
      <c r="C924" s="165" t="s">
        <v>4113</v>
      </c>
      <c r="D924" s="165">
        <v>6</v>
      </c>
      <c r="E924" s="165" t="s">
        <v>4124</v>
      </c>
      <c r="F924" s="165" t="s">
        <v>4125</v>
      </c>
      <c r="G924" s="165">
        <v>13230</v>
      </c>
      <c r="H924" s="165"/>
      <c r="I924" s="165"/>
      <c r="J924" s="165"/>
      <c r="K924" s="165">
        <v>13230</v>
      </c>
      <c r="L924" s="165"/>
      <c r="M924" s="165"/>
      <c r="N924" s="165"/>
      <c r="O924" s="165">
        <f t="shared" si="22"/>
        <v>0</v>
      </c>
      <c r="P924" s="165" t="s">
        <v>4770</v>
      </c>
      <c r="Q924" s="165" t="s">
        <v>4784</v>
      </c>
      <c r="R924" s="3">
        <v>13230</v>
      </c>
      <c r="S924" s="3">
        <v>13230</v>
      </c>
      <c r="T924"/>
      <c r="U924" s="3"/>
    </row>
    <row r="925" spans="1:21">
      <c r="A925" s="165" t="s">
        <v>4112</v>
      </c>
      <c r="B925" s="165">
        <v>983</v>
      </c>
      <c r="C925" s="165" t="s">
        <v>4113</v>
      </c>
      <c r="D925" s="165">
        <v>7</v>
      </c>
      <c r="E925" s="165" t="s">
        <v>4126</v>
      </c>
      <c r="F925" s="165" t="s">
        <v>4127</v>
      </c>
      <c r="G925" s="165">
        <v>13230</v>
      </c>
      <c r="H925" s="165"/>
      <c r="I925" s="165"/>
      <c r="J925" s="165"/>
      <c r="K925" s="165">
        <v>13230</v>
      </c>
      <c r="L925" s="165"/>
      <c r="M925" s="165"/>
      <c r="N925" s="165"/>
      <c r="O925" s="165">
        <f t="shared" si="22"/>
        <v>0</v>
      </c>
      <c r="P925" s="165" t="s">
        <v>4777</v>
      </c>
      <c r="Q925" s="165" t="s">
        <v>4127</v>
      </c>
      <c r="R925" s="3">
        <v>13230</v>
      </c>
      <c r="S925" s="3">
        <v>13230</v>
      </c>
      <c r="T925"/>
      <c r="U925" s="3"/>
    </row>
    <row r="926" spans="1:21">
      <c r="A926" s="165" t="s">
        <v>4112</v>
      </c>
      <c r="B926" s="165">
        <v>984</v>
      </c>
      <c r="C926" s="165" t="s">
        <v>4113</v>
      </c>
      <c r="D926" s="165">
        <v>8</v>
      </c>
      <c r="E926" s="165" t="s">
        <v>4128</v>
      </c>
      <c r="F926" s="165" t="s">
        <v>4129</v>
      </c>
      <c r="G926" s="165">
        <v>13230</v>
      </c>
      <c r="H926" s="165"/>
      <c r="I926" s="165"/>
      <c r="J926" s="165"/>
      <c r="K926" s="165"/>
      <c r="L926" s="165">
        <v>13230</v>
      </c>
      <c r="M926" s="165"/>
      <c r="N926" s="165"/>
      <c r="O926" s="165">
        <f>G926+H926+I926-J926-K926-L926</f>
        <v>0</v>
      </c>
      <c r="P926" s="165" t="s">
        <v>4791</v>
      </c>
      <c r="Q926" s="165" t="s">
        <v>5317</v>
      </c>
      <c r="R926" s="3">
        <v>13230</v>
      </c>
      <c r="S926" s="3">
        <v>13230</v>
      </c>
      <c r="T926"/>
      <c r="U926" s="3"/>
    </row>
    <row r="927" spans="1:21">
      <c r="A927" s="165" t="s">
        <v>4130</v>
      </c>
      <c r="B927" s="165">
        <v>985</v>
      </c>
      <c r="C927" s="165" t="s">
        <v>4131</v>
      </c>
      <c r="D927" s="165">
        <v>1</v>
      </c>
      <c r="E927" s="165" t="s">
        <v>4132</v>
      </c>
      <c r="F927" s="165" t="s">
        <v>4133</v>
      </c>
      <c r="G927" s="165">
        <v>14175</v>
      </c>
      <c r="H927" s="165"/>
      <c r="I927" s="165"/>
      <c r="J927" s="165">
        <v>14175</v>
      </c>
      <c r="K927" s="165"/>
      <c r="L927" s="165"/>
      <c r="M927" s="165"/>
      <c r="N927" s="165"/>
      <c r="O927" s="165">
        <f t="shared" ref="O927:O932" si="23">G927+H927+I927-J927-K927</f>
        <v>0</v>
      </c>
      <c r="P927" s="165" t="s">
        <v>4134</v>
      </c>
      <c r="Q927" s="165" t="s">
        <v>3960</v>
      </c>
      <c r="R927" s="3">
        <v>14175</v>
      </c>
      <c r="S927" s="3">
        <v>14175</v>
      </c>
      <c r="T927"/>
      <c r="U927" s="3"/>
    </row>
    <row r="928" spans="1:21">
      <c r="A928" s="165" t="s">
        <v>4130</v>
      </c>
      <c r="B928" s="165">
        <v>986</v>
      </c>
      <c r="C928" s="165" t="s">
        <v>4131</v>
      </c>
      <c r="D928" s="165">
        <v>2</v>
      </c>
      <c r="E928" s="165" t="s">
        <v>4135</v>
      </c>
      <c r="F928" s="165" t="s">
        <v>4136</v>
      </c>
      <c r="G928" s="165">
        <v>14175</v>
      </c>
      <c r="H928" s="165"/>
      <c r="I928" s="165"/>
      <c r="J928" s="165">
        <v>14175</v>
      </c>
      <c r="K928" s="165"/>
      <c r="L928" s="165"/>
      <c r="M928" s="165"/>
      <c r="N928" s="165"/>
      <c r="O928" s="165">
        <f t="shared" si="23"/>
        <v>0</v>
      </c>
      <c r="P928" s="165" t="s">
        <v>3970</v>
      </c>
      <c r="Q928" s="165" t="s">
        <v>4136</v>
      </c>
      <c r="R928" s="3">
        <v>14175</v>
      </c>
      <c r="S928" s="3">
        <v>14175</v>
      </c>
      <c r="T928"/>
      <c r="U928" s="3"/>
    </row>
    <row r="929" spans="1:22">
      <c r="A929" s="165" t="s">
        <v>4130</v>
      </c>
      <c r="B929" s="165">
        <v>987</v>
      </c>
      <c r="C929" s="165" t="s">
        <v>4131</v>
      </c>
      <c r="D929" s="165">
        <v>3</v>
      </c>
      <c r="E929" s="165" t="s">
        <v>4137</v>
      </c>
      <c r="F929" s="165" t="s">
        <v>4138</v>
      </c>
      <c r="G929" s="165">
        <v>14175</v>
      </c>
      <c r="H929" s="165"/>
      <c r="I929" s="165"/>
      <c r="J929" s="165">
        <v>14175</v>
      </c>
      <c r="K929" s="165"/>
      <c r="L929" s="165"/>
      <c r="M929" s="165"/>
      <c r="N929" s="165"/>
      <c r="O929" s="165">
        <f t="shared" si="23"/>
        <v>0</v>
      </c>
      <c r="P929" s="165" t="s">
        <v>3972</v>
      </c>
      <c r="Q929" s="165" t="s">
        <v>3973</v>
      </c>
      <c r="R929" s="3">
        <v>14175</v>
      </c>
      <c r="S929" s="3">
        <v>14175</v>
      </c>
      <c r="T929"/>
      <c r="U929" s="3"/>
    </row>
    <row r="930" spans="1:22">
      <c r="A930" s="165" t="s">
        <v>4130</v>
      </c>
      <c r="B930" s="165">
        <v>988</v>
      </c>
      <c r="C930" s="165" t="s">
        <v>4131</v>
      </c>
      <c r="D930" s="165">
        <v>4</v>
      </c>
      <c r="E930" s="165" t="s">
        <v>4139</v>
      </c>
      <c r="F930" s="165" t="s">
        <v>4073</v>
      </c>
      <c r="G930" s="165">
        <v>14175</v>
      </c>
      <c r="H930" s="165"/>
      <c r="I930" s="165"/>
      <c r="J930" s="165"/>
      <c r="K930" s="165">
        <v>14175</v>
      </c>
      <c r="L930" s="165"/>
      <c r="M930" s="165"/>
      <c r="N930" s="165"/>
      <c r="O930" s="165">
        <f t="shared" si="23"/>
        <v>0</v>
      </c>
      <c r="P930" s="165" t="s">
        <v>4439</v>
      </c>
      <c r="Q930" s="165" t="s">
        <v>4780</v>
      </c>
      <c r="R930" s="3">
        <v>14175</v>
      </c>
      <c r="S930" s="3">
        <v>14175</v>
      </c>
      <c r="T930"/>
      <c r="U930" s="3"/>
    </row>
    <row r="931" spans="1:22">
      <c r="A931" s="165" t="s">
        <v>4130</v>
      </c>
      <c r="B931" s="165">
        <v>989</v>
      </c>
      <c r="C931" s="165" t="s">
        <v>4131</v>
      </c>
      <c r="D931" s="165">
        <v>5</v>
      </c>
      <c r="E931" s="165" t="s">
        <v>4140</v>
      </c>
      <c r="F931" s="165" t="s">
        <v>4141</v>
      </c>
      <c r="G931" s="165">
        <v>14175</v>
      </c>
      <c r="H931" s="165"/>
      <c r="I931" s="165"/>
      <c r="J931" s="165"/>
      <c r="K931" s="165">
        <v>14175</v>
      </c>
      <c r="L931" s="165"/>
      <c r="M931" s="165"/>
      <c r="N931" s="165"/>
      <c r="O931" s="165">
        <f t="shared" si="23"/>
        <v>0</v>
      </c>
      <c r="P931" s="165" t="s">
        <v>4768</v>
      </c>
      <c r="Q931" s="165" t="s">
        <v>4677</v>
      </c>
      <c r="R931" s="3">
        <v>14175</v>
      </c>
      <c r="S931" s="3">
        <v>14175</v>
      </c>
      <c r="T931"/>
      <c r="U931" s="3"/>
    </row>
    <row r="932" spans="1:22">
      <c r="A932" s="165" t="s">
        <v>4130</v>
      </c>
      <c r="B932" s="165">
        <v>990</v>
      </c>
      <c r="C932" s="165" t="s">
        <v>4131</v>
      </c>
      <c r="D932" s="165">
        <v>6</v>
      </c>
      <c r="E932" s="165" t="s">
        <v>4142</v>
      </c>
      <c r="F932" s="165" t="s">
        <v>4143</v>
      </c>
      <c r="G932" s="165">
        <v>14175</v>
      </c>
      <c r="H932" s="165"/>
      <c r="I932" s="165"/>
      <c r="J932" s="165"/>
      <c r="K932" s="165">
        <v>14175</v>
      </c>
      <c r="L932" s="165"/>
      <c r="M932" s="165"/>
      <c r="N932" s="165"/>
      <c r="O932" s="165">
        <f t="shared" si="23"/>
        <v>0</v>
      </c>
      <c r="P932" s="165" t="s">
        <v>4772</v>
      </c>
      <c r="Q932" s="165" t="s">
        <v>4088</v>
      </c>
      <c r="R932" s="3">
        <v>14175</v>
      </c>
      <c r="S932" s="3">
        <v>14175</v>
      </c>
      <c r="T932"/>
      <c r="U932" s="3"/>
    </row>
    <row r="933" spans="1:22">
      <c r="A933" s="165" t="s">
        <v>4130</v>
      </c>
      <c r="B933" s="165">
        <v>991</v>
      </c>
      <c r="C933" s="165" t="s">
        <v>4131</v>
      </c>
      <c r="D933" s="165">
        <v>7</v>
      </c>
      <c r="E933" s="165" t="s">
        <v>4144</v>
      </c>
      <c r="F933" s="165" t="s">
        <v>4145</v>
      </c>
      <c r="G933" s="165">
        <v>14175</v>
      </c>
      <c r="H933" s="165"/>
      <c r="I933" s="165"/>
      <c r="J933" s="165"/>
      <c r="K933" s="165"/>
      <c r="L933" s="165">
        <v>14175</v>
      </c>
      <c r="M933" s="165"/>
      <c r="N933" s="165"/>
      <c r="O933" s="165">
        <f>G933+H933+I933-J933-K933-L933</f>
        <v>0</v>
      </c>
      <c r="P933" s="165" t="s">
        <v>5294</v>
      </c>
      <c r="Q933" s="165" t="s">
        <v>4788</v>
      </c>
      <c r="R933" s="3">
        <v>14175</v>
      </c>
      <c r="S933" s="3">
        <v>14175</v>
      </c>
      <c r="T933"/>
      <c r="U933" s="3"/>
    </row>
    <row r="934" spans="1:22">
      <c r="A934" s="165" t="s">
        <v>4130</v>
      </c>
      <c r="B934" s="165">
        <v>992</v>
      </c>
      <c r="C934" s="165" t="s">
        <v>4131</v>
      </c>
      <c r="D934" s="165">
        <v>8</v>
      </c>
      <c r="E934" s="165" t="s">
        <v>4146</v>
      </c>
      <c r="F934" s="165" t="s">
        <v>4147</v>
      </c>
      <c r="G934" s="165">
        <v>14175</v>
      </c>
      <c r="H934" s="165"/>
      <c r="I934" s="165"/>
      <c r="J934" s="165"/>
      <c r="K934" s="165"/>
      <c r="L934" s="165">
        <v>14175</v>
      </c>
      <c r="M934" s="165"/>
      <c r="N934" s="165"/>
      <c r="O934" s="165">
        <f>G934+H934+I934-J934-K934-L934</f>
        <v>0</v>
      </c>
      <c r="P934" s="165" t="s">
        <v>5333</v>
      </c>
      <c r="Q934" s="165" t="s">
        <v>4795</v>
      </c>
      <c r="R934" s="3">
        <v>14175</v>
      </c>
      <c r="S934" s="3">
        <v>14175</v>
      </c>
      <c r="T934"/>
      <c r="U934" s="3"/>
    </row>
    <row r="935" spans="1:22" s="283" customFormat="1">
      <c r="A935" s="279" t="s">
        <v>4148</v>
      </c>
      <c r="B935" s="279"/>
      <c r="C935" s="279" t="s">
        <v>2060</v>
      </c>
      <c r="D935" s="279">
        <v>8</v>
      </c>
      <c r="E935" s="279" t="s">
        <v>1283</v>
      </c>
      <c r="F935" s="279" t="s">
        <v>4148</v>
      </c>
      <c r="G935" s="280"/>
      <c r="H935" s="280"/>
      <c r="I935" s="280"/>
      <c r="J935" s="280"/>
      <c r="K935" s="280"/>
      <c r="L935" s="280"/>
      <c r="M935" s="280"/>
      <c r="N935" s="280"/>
      <c r="O935" s="280">
        <f t="shared" ref="O935:O942" si="24">G935+H935+I935-J935-K935</f>
        <v>0</v>
      </c>
      <c r="P935" s="279" t="s">
        <v>4148</v>
      </c>
      <c r="Q935" s="279" t="s">
        <v>4148</v>
      </c>
      <c r="R935" s="279">
        <v>14175</v>
      </c>
      <c r="S935" s="279">
        <v>14175</v>
      </c>
      <c r="T935" s="279">
        <v>14175</v>
      </c>
      <c r="U935" s="280"/>
      <c r="V935" s="282" t="s">
        <v>245</v>
      </c>
    </row>
    <row r="936" spans="1:22">
      <c r="A936" s="165" t="s">
        <v>3946</v>
      </c>
      <c r="B936" s="165">
        <v>993</v>
      </c>
      <c r="C936" s="165" t="s">
        <v>4149</v>
      </c>
      <c r="D936" s="165">
        <v>1</v>
      </c>
      <c r="E936" s="165" t="s">
        <v>4150</v>
      </c>
      <c r="F936" s="165" t="s">
        <v>4008</v>
      </c>
      <c r="G936" s="165">
        <v>14175</v>
      </c>
      <c r="H936" s="165"/>
      <c r="I936" s="165"/>
      <c r="J936" s="165">
        <v>14175</v>
      </c>
      <c r="K936" s="165"/>
      <c r="L936" s="165"/>
      <c r="M936" s="165"/>
      <c r="N936" s="165"/>
      <c r="O936" s="165">
        <f t="shared" si="24"/>
        <v>0</v>
      </c>
      <c r="P936" s="165" t="s">
        <v>3950</v>
      </c>
      <c r="Q936" s="165" t="s">
        <v>3951</v>
      </c>
      <c r="R936" s="3">
        <v>14175</v>
      </c>
      <c r="S936" s="3">
        <v>14175</v>
      </c>
      <c r="T936"/>
      <c r="U936" s="3"/>
    </row>
    <row r="937" spans="1:22">
      <c r="A937" s="165" t="s">
        <v>3946</v>
      </c>
      <c r="B937" s="165">
        <v>994</v>
      </c>
      <c r="C937" s="165" t="s">
        <v>4149</v>
      </c>
      <c r="D937" s="165">
        <v>2</v>
      </c>
      <c r="E937" s="165" t="s">
        <v>4151</v>
      </c>
      <c r="F937" s="165" t="s">
        <v>4117</v>
      </c>
      <c r="G937" s="165">
        <v>14175</v>
      </c>
      <c r="H937" s="165"/>
      <c r="I937" s="165"/>
      <c r="J937" s="165">
        <v>14175</v>
      </c>
      <c r="K937" s="165"/>
      <c r="L937" s="165"/>
      <c r="M937" s="165"/>
      <c r="N937" s="165"/>
      <c r="O937" s="165">
        <f t="shared" si="24"/>
        <v>0</v>
      </c>
      <c r="P937" s="165" t="s">
        <v>3948</v>
      </c>
      <c r="Q937" s="165" t="s">
        <v>3949</v>
      </c>
      <c r="R937" s="3">
        <v>14175</v>
      </c>
      <c r="S937" s="3">
        <v>14175</v>
      </c>
      <c r="T937"/>
      <c r="U937" s="3"/>
    </row>
    <row r="938" spans="1:22">
      <c r="A938" s="165" t="s">
        <v>3946</v>
      </c>
      <c r="B938" s="165">
        <v>995</v>
      </c>
      <c r="C938" s="165" t="s">
        <v>4149</v>
      </c>
      <c r="D938" s="165">
        <v>3</v>
      </c>
      <c r="E938" s="165" t="s">
        <v>4152</v>
      </c>
      <c r="F938" s="165" t="s">
        <v>4153</v>
      </c>
      <c r="G938" s="165">
        <v>14175</v>
      </c>
      <c r="H938" s="165"/>
      <c r="I938" s="165"/>
      <c r="J938" s="165">
        <v>14175</v>
      </c>
      <c r="K938" s="165"/>
      <c r="L938" s="165"/>
      <c r="M938" s="165"/>
      <c r="N938" s="165"/>
      <c r="O938" s="165">
        <f t="shared" si="24"/>
        <v>0</v>
      </c>
      <c r="P938" s="165" t="s">
        <v>3967</v>
      </c>
      <c r="Q938" s="165" t="s">
        <v>3968</v>
      </c>
      <c r="R938" s="3">
        <v>14175</v>
      </c>
      <c r="S938" s="3">
        <v>14175</v>
      </c>
      <c r="T938"/>
      <c r="U938" s="3"/>
    </row>
    <row r="939" spans="1:22">
      <c r="A939" s="165" t="s">
        <v>3946</v>
      </c>
      <c r="B939" s="165">
        <v>996</v>
      </c>
      <c r="C939" s="165" t="s">
        <v>4149</v>
      </c>
      <c r="D939" s="165">
        <v>4</v>
      </c>
      <c r="E939" s="165" t="s">
        <v>4154</v>
      </c>
      <c r="F939" s="165" t="s">
        <v>4121</v>
      </c>
      <c r="G939" s="165">
        <v>14175</v>
      </c>
      <c r="H939" s="165"/>
      <c r="I939" s="165"/>
      <c r="J939" s="165"/>
      <c r="K939" s="165">
        <v>14175</v>
      </c>
      <c r="L939" s="165"/>
      <c r="M939" s="165"/>
      <c r="N939" s="165"/>
      <c r="O939" s="165">
        <f t="shared" si="24"/>
        <v>0</v>
      </c>
      <c r="P939" s="165" t="s">
        <v>4433</v>
      </c>
      <c r="Q939" s="165" t="s">
        <v>4779</v>
      </c>
      <c r="R939" s="3">
        <v>14175</v>
      </c>
      <c r="S939" s="3">
        <v>14175</v>
      </c>
      <c r="T939"/>
      <c r="U939" s="3"/>
    </row>
    <row r="940" spans="1:22">
      <c r="A940" s="165" t="s">
        <v>3946</v>
      </c>
      <c r="B940" s="165">
        <v>997</v>
      </c>
      <c r="C940" s="165" t="s">
        <v>4149</v>
      </c>
      <c r="D940" s="165">
        <v>5</v>
      </c>
      <c r="E940" s="165" t="s">
        <v>4155</v>
      </c>
      <c r="F940" s="165" t="s">
        <v>4123</v>
      </c>
      <c r="G940" s="165">
        <v>14175</v>
      </c>
      <c r="H940" s="165"/>
      <c r="I940" s="165"/>
      <c r="J940" s="165"/>
      <c r="K940" s="165">
        <v>14175</v>
      </c>
      <c r="L940" s="165"/>
      <c r="M940" s="165"/>
      <c r="N940" s="165"/>
      <c r="O940" s="165">
        <f t="shared" si="24"/>
        <v>0</v>
      </c>
      <c r="P940" s="165" t="s">
        <v>4588</v>
      </c>
      <c r="Q940" s="165" t="s">
        <v>4781</v>
      </c>
      <c r="R940" s="3">
        <v>14175</v>
      </c>
      <c r="S940" s="3">
        <v>14175</v>
      </c>
      <c r="T940"/>
      <c r="U940" s="3"/>
    </row>
    <row r="941" spans="1:22">
      <c r="A941" s="165" t="s">
        <v>3946</v>
      </c>
      <c r="B941" s="165">
        <v>998</v>
      </c>
      <c r="C941" s="165" t="s">
        <v>4149</v>
      </c>
      <c r="D941" s="165">
        <v>6</v>
      </c>
      <c r="E941" s="165" t="s">
        <v>4156</v>
      </c>
      <c r="F941" s="165" t="s">
        <v>4125</v>
      </c>
      <c r="G941" s="165">
        <v>14175</v>
      </c>
      <c r="H941" s="165"/>
      <c r="I941" s="165"/>
      <c r="J941" s="165"/>
      <c r="K941" s="165">
        <v>14175</v>
      </c>
      <c r="L941" s="165"/>
      <c r="M941" s="165"/>
      <c r="N941" s="165"/>
      <c r="O941" s="165">
        <f t="shared" si="24"/>
        <v>0</v>
      </c>
      <c r="P941" s="165" t="s">
        <v>4770</v>
      </c>
      <c r="Q941" s="165" t="s">
        <v>4784</v>
      </c>
      <c r="R941" s="3">
        <v>14175</v>
      </c>
      <c r="S941" s="3">
        <v>14175</v>
      </c>
      <c r="T941"/>
      <c r="U941" s="3"/>
    </row>
    <row r="942" spans="1:22">
      <c r="A942" s="165" t="s">
        <v>3946</v>
      </c>
      <c r="B942" s="165">
        <v>999</v>
      </c>
      <c r="C942" s="165" t="s">
        <v>4149</v>
      </c>
      <c r="D942" s="165">
        <v>7</v>
      </c>
      <c r="E942" s="165" t="s">
        <v>4157</v>
      </c>
      <c r="F942" s="165" t="s">
        <v>4127</v>
      </c>
      <c r="G942" s="165">
        <v>14175</v>
      </c>
      <c r="H942" s="165"/>
      <c r="I942" s="165"/>
      <c r="J942" s="165"/>
      <c r="K942" s="165">
        <v>14175</v>
      </c>
      <c r="L942" s="165"/>
      <c r="M942" s="165"/>
      <c r="N942" s="165"/>
      <c r="O942" s="165">
        <f t="shared" si="24"/>
        <v>0</v>
      </c>
      <c r="P942" s="165" t="s">
        <v>4777</v>
      </c>
      <c r="Q942" s="165" t="s">
        <v>4127</v>
      </c>
      <c r="R942" s="3">
        <v>14175</v>
      </c>
      <c r="S942" s="3">
        <v>14175</v>
      </c>
      <c r="T942"/>
      <c r="U942" s="3"/>
    </row>
    <row r="943" spans="1:22">
      <c r="A943" s="165" t="s">
        <v>3946</v>
      </c>
      <c r="B943" s="165">
        <v>1000</v>
      </c>
      <c r="C943" s="165" t="s">
        <v>4149</v>
      </c>
      <c r="D943" s="165">
        <v>8</v>
      </c>
      <c r="E943" s="165" t="s">
        <v>4158</v>
      </c>
      <c r="F943" s="165" t="s">
        <v>4129</v>
      </c>
      <c r="G943" s="165">
        <v>14175</v>
      </c>
      <c r="H943" s="165"/>
      <c r="I943" s="165"/>
      <c r="J943" s="165"/>
      <c r="K943" s="165"/>
      <c r="L943" s="165">
        <v>14175</v>
      </c>
      <c r="M943" s="165"/>
      <c r="N943" s="165"/>
      <c r="O943" s="165">
        <f>G943+H943+I943-J943-K943-L943</f>
        <v>0</v>
      </c>
      <c r="P943" s="165" t="s">
        <v>4791</v>
      </c>
      <c r="Q943" s="165" t="s">
        <v>5317</v>
      </c>
      <c r="R943" s="3">
        <v>14175</v>
      </c>
      <c r="S943" s="3">
        <v>14175</v>
      </c>
      <c r="T943"/>
      <c r="U943" s="3"/>
    </row>
    <row r="944" spans="1:22">
      <c r="A944" s="165" t="s">
        <v>4159</v>
      </c>
      <c r="B944" s="165">
        <v>1001</v>
      </c>
      <c r="C944" s="165" t="s">
        <v>1305</v>
      </c>
      <c r="D944" s="165">
        <v>3</v>
      </c>
      <c r="E944" s="165" t="s">
        <v>4160</v>
      </c>
      <c r="F944" s="165" t="s">
        <v>4161</v>
      </c>
      <c r="G944" s="165"/>
      <c r="H944" s="165">
        <v>11340</v>
      </c>
      <c r="I944" s="165"/>
      <c r="J944" s="165">
        <v>11340</v>
      </c>
      <c r="K944" s="165"/>
      <c r="L944" s="165"/>
      <c r="M944" s="165"/>
      <c r="N944" s="165"/>
      <c r="O944" s="165">
        <f t="shared" ref="O944:O961" si="25">G944+H944+I944-J944-K944</f>
        <v>0</v>
      </c>
      <c r="P944" s="165" t="s">
        <v>3952</v>
      </c>
      <c r="Q944" s="165" t="s">
        <v>3953</v>
      </c>
      <c r="R944" s="3">
        <v>11340</v>
      </c>
      <c r="S944" s="405">
        <v>11340</v>
      </c>
      <c r="T944"/>
      <c r="U944" s="3"/>
    </row>
    <row r="945" spans="1:22">
      <c r="A945" s="165" t="s">
        <v>3981</v>
      </c>
      <c r="B945" s="165">
        <v>1002</v>
      </c>
      <c r="C945" s="165" t="s">
        <v>4162</v>
      </c>
      <c r="D945" s="165">
        <v>1</v>
      </c>
      <c r="E945" s="165" t="s">
        <v>4163</v>
      </c>
      <c r="F945" s="165" t="s">
        <v>4164</v>
      </c>
      <c r="G945" s="165">
        <v>13230</v>
      </c>
      <c r="H945" s="165"/>
      <c r="I945" s="165"/>
      <c r="J945" s="165">
        <v>13230</v>
      </c>
      <c r="K945" s="165"/>
      <c r="L945" s="165"/>
      <c r="M945" s="165"/>
      <c r="N945" s="165"/>
      <c r="O945" s="165">
        <f t="shared" si="25"/>
        <v>0</v>
      </c>
      <c r="P945" s="165" t="s">
        <v>4134</v>
      </c>
      <c r="Q945" s="165" t="s">
        <v>3960</v>
      </c>
      <c r="R945" s="3">
        <v>13230</v>
      </c>
      <c r="S945" s="3">
        <v>13230</v>
      </c>
      <c r="T945"/>
      <c r="U945" s="3"/>
    </row>
    <row r="946" spans="1:22">
      <c r="A946" s="165" t="s">
        <v>3981</v>
      </c>
      <c r="B946" s="165">
        <v>1003</v>
      </c>
      <c r="C946" s="165" t="s">
        <v>4162</v>
      </c>
      <c r="D946" s="165">
        <v>2</v>
      </c>
      <c r="E946" s="165" t="s">
        <v>4165</v>
      </c>
      <c r="F946" s="165" t="s">
        <v>3940</v>
      </c>
      <c r="G946" s="165">
        <v>13230</v>
      </c>
      <c r="H946" s="165"/>
      <c r="I946" s="165"/>
      <c r="J946" s="165">
        <v>13230</v>
      </c>
      <c r="K946" s="165"/>
      <c r="L946" s="165"/>
      <c r="M946" s="165"/>
      <c r="N946" s="165"/>
      <c r="O946" s="165">
        <f t="shared" si="25"/>
        <v>0</v>
      </c>
      <c r="P946" s="165" t="s">
        <v>4134</v>
      </c>
      <c r="Q946" s="165" t="s">
        <v>3960</v>
      </c>
      <c r="R946" s="3">
        <v>13230</v>
      </c>
      <c r="S946" s="3">
        <v>13230</v>
      </c>
      <c r="T946"/>
      <c r="U946" s="3"/>
    </row>
    <row r="947" spans="1:22">
      <c r="A947" s="165" t="s">
        <v>3981</v>
      </c>
      <c r="B947" s="165">
        <v>1004</v>
      </c>
      <c r="C947" s="165" t="s">
        <v>4162</v>
      </c>
      <c r="D947" s="165">
        <v>3</v>
      </c>
      <c r="E947" s="165" t="s">
        <v>4166</v>
      </c>
      <c r="F947" s="165" t="s">
        <v>4167</v>
      </c>
      <c r="G947" s="165">
        <v>13230</v>
      </c>
      <c r="H947" s="165"/>
      <c r="I947" s="165"/>
      <c r="J947" s="165">
        <v>13230</v>
      </c>
      <c r="K947" s="165"/>
      <c r="L947" s="165"/>
      <c r="M947" s="165"/>
      <c r="N947" s="165"/>
      <c r="O947" s="165">
        <f t="shared" si="25"/>
        <v>0</v>
      </c>
      <c r="P947" s="165" t="s">
        <v>3948</v>
      </c>
      <c r="Q947" s="165" t="s">
        <v>3949</v>
      </c>
      <c r="R947" s="3">
        <v>13230</v>
      </c>
      <c r="S947" s="3">
        <v>13230</v>
      </c>
      <c r="T947"/>
      <c r="U947" s="3"/>
    </row>
    <row r="948" spans="1:22">
      <c r="A948" s="165" t="s">
        <v>3981</v>
      </c>
      <c r="B948" s="165">
        <v>1005</v>
      </c>
      <c r="C948" s="165" t="s">
        <v>4162</v>
      </c>
      <c r="D948" s="165">
        <v>4</v>
      </c>
      <c r="E948" s="165" t="s">
        <v>4168</v>
      </c>
      <c r="F948" s="165" t="s">
        <v>4169</v>
      </c>
      <c r="G948" s="165">
        <v>13230</v>
      </c>
      <c r="H948" s="165"/>
      <c r="I948" s="165"/>
      <c r="J948" s="165">
        <v>13230</v>
      </c>
      <c r="K948" s="165"/>
      <c r="L948" s="165"/>
      <c r="M948" s="165"/>
      <c r="N948" s="165"/>
      <c r="O948" s="165">
        <f t="shared" si="25"/>
        <v>0</v>
      </c>
      <c r="P948" s="165" t="s">
        <v>3957</v>
      </c>
      <c r="Q948" s="165" t="s">
        <v>3958</v>
      </c>
      <c r="R948" s="3">
        <v>13230</v>
      </c>
      <c r="S948" s="3">
        <v>13230</v>
      </c>
      <c r="T948"/>
      <c r="U948" s="3"/>
    </row>
    <row r="949" spans="1:22">
      <c r="A949" s="165" t="s">
        <v>3981</v>
      </c>
      <c r="B949" s="165">
        <v>1006</v>
      </c>
      <c r="C949" s="165" t="s">
        <v>4162</v>
      </c>
      <c r="D949" s="165">
        <v>5</v>
      </c>
      <c r="E949" s="165" t="s">
        <v>4170</v>
      </c>
      <c r="F949" s="165" t="s">
        <v>4171</v>
      </c>
      <c r="G949" s="165">
        <v>13230</v>
      </c>
      <c r="H949" s="165"/>
      <c r="I949" s="165"/>
      <c r="J949" s="165"/>
      <c r="K949" s="165">
        <v>13230</v>
      </c>
      <c r="L949" s="165"/>
      <c r="M949" s="165"/>
      <c r="N949" s="165"/>
      <c r="O949" s="165">
        <f t="shared" si="25"/>
        <v>0</v>
      </c>
      <c r="P949" s="165" t="s">
        <v>4434</v>
      </c>
      <c r="Q949" s="165" t="s">
        <v>4435</v>
      </c>
      <c r="R949" s="3">
        <v>13230</v>
      </c>
      <c r="S949" s="3">
        <v>13230</v>
      </c>
      <c r="T949"/>
      <c r="U949" s="3"/>
    </row>
    <row r="950" spans="1:22">
      <c r="A950" s="165" t="s">
        <v>3981</v>
      </c>
      <c r="B950" s="165">
        <v>1007</v>
      </c>
      <c r="C950" s="165" t="s">
        <v>4162</v>
      </c>
      <c r="D950" s="165">
        <v>6</v>
      </c>
      <c r="E950" s="165" t="s">
        <v>4172</v>
      </c>
      <c r="F950" s="165" t="s">
        <v>4173</v>
      </c>
      <c r="G950" s="165">
        <v>13230</v>
      </c>
      <c r="H950" s="165"/>
      <c r="I950" s="165"/>
      <c r="J950" s="165"/>
      <c r="K950" s="165">
        <v>13230</v>
      </c>
      <c r="L950" s="165"/>
      <c r="M950" s="165"/>
      <c r="N950" s="165"/>
      <c r="O950" s="165">
        <f t="shared" si="25"/>
        <v>0</v>
      </c>
      <c r="P950" s="165" t="s">
        <v>4588</v>
      </c>
      <c r="Q950" s="165" t="s">
        <v>4781</v>
      </c>
      <c r="R950" s="3">
        <v>13230</v>
      </c>
      <c r="S950" s="3">
        <v>13230</v>
      </c>
      <c r="T950"/>
      <c r="U950" s="3"/>
    </row>
    <row r="951" spans="1:22">
      <c r="A951" s="165" t="s">
        <v>3981</v>
      </c>
      <c r="B951" s="165">
        <v>1008</v>
      </c>
      <c r="C951" s="165" t="s">
        <v>4162</v>
      </c>
      <c r="D951" s="165">
        <v>7</v>
      </c>
      <c r="E951" s="165" t="s">
        <v>4174</v>
      </c>
      <c r="F951" s="165" t="s">
        <v>4175</v>
      </c>
      <c r="G951" s="165">
        <v>13230</v>
      </c>
      <c r="H951" s="165"/>
      <c r="I951" s="165"/>
      <c r="J951" s="165"/>
      <c r="K951" s="165">
        <v>13230</v>
      </c>
      <c r="L951" s="165"/>
      <c r="M951" s="165"/>
      <c r="N951" s="165"/>
      <c r="O951" s="165">
        <f t="shared" si="25"/>
        <v>0</v>
      </c>
      <c r="P951" s="165" t="s">
        <v>4771</v>
      </c>
      <c r="Q951" s="165" t="s">
        <v>4785</v>
      </c>
      <c r="R951" s="3">
        <v>13230</v>
      </c>
      <c r="S951" s="3">
        <v>13230</v>
      </c>
      <c r="T951"/>
      <c r="U951" s="3"/>
    </row>
    <row r="952" spans="1:22">
      <c r="A952" s="165" t="s">
        <v>3981</v>
      </c>
      <c r="B952" s="165">
        <v>1009</v>
      </c>
      <c r="C952" s="165" t="s">
        <v>4162</v>
      </c>
      <c r="D952" s="165">
        <v>8</v>
      </c>
      <c r="E952" s="165" t="s">
        <v>4176</v>
      </c>
      <c r="F952" s="165" t="s">
        <v>4177</v>
      </c>
      <c r="G952" s="165">
        <v>13230</v>
      </c>
      <c r="H952" s="165"/>
      <c r="I952" s="165"/>
      <c r="J952" s="165"/>
      <c r="K952" s="165">
        <v>13230</v>
      </c>
      <c r="L952" s="165"/>
      <c r="M952" s="165"/>
      <c r="N952" s="165"/>
      <c r="O952" s="165">
        <f t="shared" si="25"/>
        <v>0</v>
      </c>
      <c r="P952" s="165" t="s">
        <v>4190</v>
      </c>
      <c r="Q952" s="165" t="s">
        <v>4033</v>
      </c>
      <c r="R952" s="3">
        <v>13230</v>
      </c>
      <c r="S952" s="3">
        <v>13230</v>
      </c>
      <c r="T952"/>
      <c r="U952" s="3"/>
    </row>
    <row r="953" spans="1:22">
      <c r="A953" s="165" t="s">
        <v>4178</v>
      </c>
      <c r="B953" s="165">
        <v>1010</v>
      </c>
      <c r="C953" s="165" t="s">
        <v>1232</v>
      </c>
      <c r="D953" s="165">
        <v>5</v>
      </c>
      <c r="E953" s="165" t="s">
        <v>4179</v>
      </c>
      <c r="F953" s="165" t="s">
        <v>4180</v>
      </c>
      <c r="G953" s="165">
        <v>16380</v>
      </c>
      <c r="H953" s="165"/>
      <c r="I953" s="165"/>
      <c r="J953" s="165">
        <v>16380</v>
      </c>
      <c r="K953" s="165"/>
      <c r="L953" s="165"/>
      <c r="M953" s="165"/>
      <c r="N953" s="165"/>
      <c r="O953" s="165">
        <f t="shared" si="25"/>
        <v>0</v>
      </c>
      <c r="P953" s="165" t="s">
        <v>3952</v>
      </c>
      <c r="Q953" s="165" t="s">
        <v>3953</v>
      </c>
      <c r="R953" s="3">
        <v>16380</v>
      </c>
      <c r="S953" s="3">
        <v>16380</v>
      </c>
      <c r="T953"/>
      <c r="U953" s="3"/>
    </row>
    <row r="954" spans="1:22" s="163" customFormat="1">
      <c r="A954" s="281" t="s">
        <v>4133</v>
      </c>
      <c r="B954" s="281"/>
      <c r="C954" s="281" t="s">
        <v>2421</v>
      </c>
      <c r="D954" s="281">
        <v>8</v>
      </c>
      <c r="E954" s="281" t="s">
        <v>1283</v>
      </c>
      <c r="F954" s="281" t="s">
        <v>4133</v>
      </c>
      <c r="G954" s="284"/>
      <c r="H954" s="284"/>
      <c r="I954" s="284"/>
      <c r="J954" s="281"/>
      <c r="K954" s="281"/>
      <c r="L954" s="281"/>
      <c r="M954" s="281"/>
      <c r="N954" s="281"/>
      <c r="O954" s="281">
        <f t="shared" si="25"/>
        <v>0</v>
      </c>
      <c r="P954" s="281" t="s">
        <v>4133</v>
      </c>
      <c r="Q954" s="281" t="s">
        <v>4133</v>
      </c>
      <c r="R954" s="281">
        <v>13230</v>
      </c>
      <c r="S954" s="281">
        <v>13220</v>
      </c>
      <c r="T954" s="406">
        <v>13220</v>
      </c>
      <c r="U954" s="284">
        <v>10</v>
      </c>
    </row>
    <row r="955" spans="1:22" s="283" customFormat="1">
      <c r="A955" s="279" t="s">
        <v>4117</v>
      </c>
      <c r="B955" s="279"/>
      <c r="C955" s="279" t="s">
        <v>2060</v>
      </c>
      <c r="D955" s="279">
        <v>1</v>
      </c>
      <c r="E955" s="279" t="s">
        <v>1283</v>
      </c>
      <c r="F955" s="279" t="s">
        <v>4117</v>
      </c>
      <c r="G955" s="280"/>
      <c r="H955" s="280"/>
      <c r="I955" s="280"/>
      <c r="J955" s="280"/>
      <c r="K955" s="280"/>
      <c r="L955" s="280"/>
      <c r="M955" s="280"/>
      <c r="N955" s="280"/>
      <c r="O955" s="280">
        <f t="shared" si="25"/>
        <v>0</v>
      </c>
      <c r="P955" s="279" t="s">
        <v>4117</v>
      </c>
      <c r="Q955" s="279" t="s">
        <v>4117</v>
      </c>
      <c r="R955" s="279">
        <v>13230</v>
      </c>
      <c r="S955" s="279">
        <v>13230</v>
      </c>
      <c r="T955" s="408">
        <v>13230</v>
      </c>
      <c r="U955" s="280"/>
      <c r="V955" s="282" t="s">
        <v>245</v>
      </c>
    </row>
    <row r="956" spans="1:22">
      <c r="A956" s="165" t="s">
        <v>4181</v>
      </c>
      <c r="B956" s="165">
        <v>1011</v>
      </c>
      <c r="C956" s="165" t="s">
        <v>4182</v>
      </c>
      <c r="D956" s="165">
        <v>1</v>
      </c>
      <c r="E956" s="165" t="s">
        <v>4183</v>
      </c>
      <c r="F956" s="165" t="s">
        <v>4010</v>
      </c>
      <c r="G956" s="165">
        <v>11970</v>
      </c>
      <c r="H956" s="165"/>
      <c r="I956" s="165"/>
      <c r="J956" s="165">
        <v>11970</v>
      </c>
      <c r="K956" s="165"/>
      <c r="L956" s="165"/>
      <c r="M956" s="165"/>
      <c r="N956" s="165"/>
      <c r="O956" s="165">
        <f t="shared" si="25"/>
        <v>0</v>
      </c>
      <c r="P956" s="165" t="s">
        <v>3955</v>
      </c>
      <c r="Q956" s="165" t="s">
        <v>3956</v>
      </c>
      <c r="R956" s="3">
        <v>11970</v>
      </c>
      <c r="S956" s="3">
        <v>11970</v>
      </c>
      <c r="T956"/>
      <c r="U956" s="3"/>
    </row>
    <row r="957" spans="1:22">
      <c r="A957" s="165" t="s">
        <v>4181</v>
      </c>
      <c r="B957" s="165">
        <v>1012</v>
      </c>
      <c r="C957" s="165" t="s">
        <v>4182</v>
      </c>
      <c r="D957" s="165">
        <v>2</v>
      </c>
      <c r="E957" s="165" t="s">
        <v>4184</v>
      </c>
      <c r="F957" s="165" t="s">
        <v>4185</v>
      </c>
      <c r="G957" s="165">
        <v>11970</v>
      </c>
      <c r="H957" s="165"/>
      <c r="I957" s="165"/>
      <c r="J957" s="165">
        <v>11970</v>
      </c>
      <c r="K957" s="165"/>
      <c r="L957" s="165"/>
      <c r="M957" s="165"/>
      <c r="N957" s="165"/>
      <c r="O957" s="165">
        <f t="shared" si="25"/>
        <v>0</v>
      </c>
      <c r="P957" s="165" t="s">
        <v>3957</v>
      </c>
      <c r="Q957" s="165" t="s">
        <v>3958</v>
      </c>
      <c r="R957" s="3">
        <v>11970</v>
      </c>
      <c r="S957" s="3">
        <v>11970</v>
      </c>
      <c r="T957"/>
      <c r="U957" s="3"/>
    </row>
    <row r="958" spans="1:22">
      <c r="A958" s="165" t="s">
        <v>4181</v>
      </c>
      <c r="B958" s="165">
        <v>1013</v>
      </c>
      <c r="C958" s="165" t="s">
        <v>4182</v>
      </c>
      <c r="D958" s="165">
        <v>3</v>
      </c>
      <c r="E958" s="165" t="s">
        <v>4186</v>
      </c>
      <c r="F958" s="165" t="s">
        <v>4014</v>
      </c>
      <c r="G958" s="165">
        <v>11970</v>
      </c>
      <c r="H958" s="165"/>
      <c r="I958" s="165"/>
      <c r="J958" s="165"/>
      <c r="K958" s="165">
        <v>11970</v>
      </c>
      <c r="L958" s="165"/>
      <c r="M958" s="165"/>
      <c r="N958" s="165"/>
      <c r="O958" s="165">
        <f t="shared" si="25"/>
        <v>0</v>
      </c>
      <c r="P958" s="165" t="s">
        <v>4766</v>
      </c>
      <c r="Q958" s="165" t="s">
        <v>4595</v>
      </c>
      <c r="R958" s="3">
        <v>11970</v>
      </c>
      <c r="S958" s="3">
        <v>11970</v>
      </c>
      <c r="T958"/>
      <c r="U958" s="3"/>
    </row>
    <row r="959" spans="1:22">
      <c r="A959" s="165" t="s">
        <v>4181</v>
      </c>
      <c r="B959" s="165">
        <v>1014</v>
      </c>
      <c r="C959" s="165" t="s">
        <v>4182</v>
      </c>
      <c r="D959" s="165">
        <v>4</v>
      </c>
      <c r="E959" s="165" t="s">
        <v>4187</v>
      </c>
      <c r="F959" s="165" t="s">
        <v>4016</v>
      </c>
      <c r="G959" s="165">
        <v>11970</v>
      </c>
      <c r="H959" s="165"/>
      <c r="I959" s="165"/>
      <c r="J959" s="165"/>
      <c r="K959" s="165">
        <v>11970</v>
      </c>
      <c r="L959" s="165"/>
      <c r="M959" s="165"/>
      <c r="N959" s="165"/>
      <c r="O959" s="165">
        <f t="shared" si="25"/>
        <v>0</v>
      </c>
      <c r="P959" s="165" t="s">
        <v>4767</v>
      </c>
      <c r="Q959" s="165" t="s">
        <v>4782</v>
      </c>
      <c r="R959" s="3">
        <v>11970</v>
      </c>
      <c r="S959" s="3">
        <v>11970</v>
      </c>
      <c r="T959"/>
      <c r="U959" s="3"/>
    </row>
    <row r="960" spans="1:22">
      <c r="A960" s="165" t="s">
        <v>4181</v>
      </c>
      <c r="B960" s="165">
        <v>1015</v>
      </c>
      <c r="C960" s="165" t="s">
        <v>4182</v>
      </c>
      <c r="D960" s="165">
        <v>5</v>
      </c>
      <c r="E960" s="165" t="s">
        <v>4188</v>
      </c>
      <c r="F960" s="165" t="s">
        <v>4018</v>
      </c>
      <c r="G960" s="165">
        <v>11970</v>
      </c>
      <c r="H960" s="165"/>
      <c r="I960" s="165"/>
      <c r="J960" s="165"/>
      <c r="K960" s="165">
        <v>11970</v>
      </c>
      <c r="L960" s="165"/>
      <c r="M960" s="165"/>
      <c r="N960" s="165"/>
      <c r="O960" s="165">
        <f t="shared" si="25"/>
        <v>0</v>
      </c>
      <c r="P960" s="165" t="s">
        <v>4715</v>
      </c>
      <c r="Q960" s="165" t="s">
        <v>4786</v>
      </c>
      <c r="R960" s="3">
        <v>11970</v>
      </c>
      <c r="S960" s="3">
        <v>11970</v>
      </c>
      <c r="T960"/>
      <c r="U960" s="3"/>
    </row>
    <row r="961" spans="1:22">
      <c r="A961" s="165" t="s">
        <v>4181</v>
      </c>
      <c r="B961" s="165">
        <v>1016</v>
      </c>
      <c r="C961" s="165" t="s">
        <v>4182</v>
      </c>
      <c r="D961" s="165">
        <v>6</v>
      </c>
      <c r="E961" s="165" t="s">
        <v>4189</v>
      </c>
      <c r="F961" s="165" t="s">
        <v>4190</v>
      </c>
      <c r="G961" s="165">
        <v>11970</v>
      </c>
      <c r="H961" s="165"/>
      <c r="I961" s="165"/>
      <c r="J961" s="165"/>
      <c r="K961" s="165">
        <v>11970</v>
      </c>
      <c r="L961" s="165"/>
      <c r="M961" s="165"/>
      <c r="N961" s="165"/>
      <c r="O961" s="165">
        <f t="shared" si="25"/>
        <v>0</v>
      </c>
      <c r="P961" s="165" t="s">
        <v>5318</v>
      </c>
      <c r="Q961" s="165" t="s">
        <v>4033</v>
      </c>
      <c r="R961" s="3">
        <v>11970</v>
      </c>
      <c r="S961" s="3">
        <v>11970</v>
      </c>
      <c r="T961"/>
      <c r="U961" s="3"/>
    </row>
    <row r="962" spans="1:22">
      <c r="A962" s="165" t="s">
        <v>4181</v>
      </c>
      <c r="B962" s="165">
        <v>1017</v>
      </c>
      <c r="C962" s="165" t="s">
        <v>4182</v>
      </c>
      <c r="D962" s="165">
        <v>7</v>
      </c>
      <c r="E962" s="165" t="s">
        <v>4191</v>
      </c>
      <c r="F962" s="165" t="s">
        <v>4192</v>
      </c>
      <c r="G962" s="165">
        <v>11970</v>
      </c>
      <c r="H962" s="165"/>
      <c r="I962" s="165"/>
      <c r="J962" s="165"/>
      <c r="K962" s="165"/>
      <c r="L962" s="165">
        <v>11970</v>
      </c>
      <c r="M962" s="165"/>
      <c r="N962" s="165"/>
      <c r="O962" s="165">
        <f>G962+H962+I962-J962-K962-L962</f>
        <v>0</v>
      </c>
      <c r="P962" s="165" t="s">
        <v>4651</v>
      </c>
      <c r="Q962" s="165" t="s">
        <v>4793</v>
      </c>
      <c r="R962" s="3">
        <v>11970</v>
      </c>
      <c r="S962" s="3">
        <v>11970</v>
      </c>
      <c r="T962"/>
      <c r="U962" s="3"/>
    </row>
    <row r="963" spans="1:22">
      <c r="A963" s="165" t="s">
        <v>4181</v>
      </c>
      <c r="B963" s="165">
        <v>1018</v>
      </c>
      <c r="C963" s="165" t="s">
        <v>4182</v>
      </c>
      <c r="D963" s="165">
        <v>8</v>
      </c>
      <c r="E963" s="165" t="s">
        <v>4193</v>
      </c>
      <c r="F963" s="165" t="s">
        <v>4194</v>
      </c>
      <c r="G963" s="165">
        <v>11970</v>
      </c>
      <c r="H963" s="165"/>
      <c r="I963" s="165"/>
      <c r="J963" s="165"/>
      <c r="K963" s="165"/>
      <c r="L963" s="165">
        <v>11970</v>
      </c>
      <c r="M963" s="165"/>
      <c r="N963" s="165"/>
      <c r="O963" s="165">
        <f>G963+H963+I963-J963-K963-L963</f>
        <v>0</v>
      </c>
      <c r="P963" s="165" t="s">
        <v>4806</v>
      </c>
      <c r="Q963" s="165" t="s">
        <v>4194</v>
      </c>
      <c r="R963" s="3">
        <v>11970</v>
      </c>
      <c r="S963" s="3">
        <v>11970</v>
      </c>
      <c r="T963"/>
      <c r="U963" s="3"/>
    </row>
    <row r="964" spans="1:22" s="163" customFormat="1">
      <c r="A964" s="281" t="s">
        <v>4195</v>
      </c>
      <c r="B964" s="281"/>
      <c r="C964" s="281" t="s">
        <v>3825</v>
      </c>
      <c r="D964" s="281">
        <v>2</v>
      </c>
      <c r="E964" s="281" t="s">
        <v>1283</v>
      </c>
      <c r="F964" s="281" t="s">
        <v>4195</v>
      </c>
      <c r="G964" s="284"/>
      <c r="H964" s="284"/>
      <c r="I964" s="284"/>
      <c r="J964" s="281"/>
      <c r="K964" s="281"/>
      <c r="L964" s="281"/>
      <c r="M964" s="281"/>
      <c r="N964" s="281"/>
      <c r="O964" s="281">
        <f t="shared" ref="O964:O976" si="26">G964+H964+I964-J964-K964</f>
        <v>0</v>
      </c>
      <c r="P964" s="281" t="s">
        <v>4195</v>
      </c>
      <c r="Q964" s="281" t="s">
        <v>4195</v>
      </c>
      <c r="R964" s="281">
        <v>14175</v>
      </c>
      <c r="S964" s="281">
        <v>14145</v>
      </c>
      <c r="T964" s="406">
        <v>14145</v>
      </c>
      <c r="U964" s="284">
        <v>30</v>
      </c>
    </row>
    <row r="965" spans="1:22">
      <c r="A965" s="165" t="s">
        <v>3955</v>
      </c>
      <c r="B965" s="94">
        <v>1019</v>
      </c>
      <c r="C965" s="165" t="s">
        <v>1305</v>
      </c>
      <c r="D965" s="165">
        <v>4</v>
      </c>
      <c r="E965" s="165" t="s">
        <v>4196</v>
      </c>
      <c r="F965" s="165" t="s">
        <v>4197</v>
      </c>
      <c r="G965" s="165"/>
      <c r="H965" s="165">
        <v>11340</v>
      </c>
      <c r="I965" s="165"/>
      <c r="J965" s="165">
        <v>11340</v>
      </c>
      <c r="K965" s="165"/>
      <c r="L965" s="165"/>
      <c r="M965" s="165"/>
      <c r="N965" s="165"/>
      <c r="O965" s="165">
        <f t="shared" si="26"/>
        <v>0</v>
      </c>
      <c r="P965" s="165" t="s">
        <v>3986</v>
      </c>
      <c r="Q965" s="165" t="s">
        <v>3987</v>
      </c>
      <c r="R965" s="3">
        <v>11340</v>
      </c>
      <c r="S965" s="405">
        <v>11340</v>
      </c>
      <c r="T965"/>
      <c r="U965" s="3"/>
    </row>
    <row r="966" spans="1:22" s="163" customFormat="1">
      <c r="A966" s="281" t="s">
        <v>4197</v>
      </c>
      <c r="B966" s="281"/>
      <c r="C966" s="281" t="s">
        <v>1532</v>
      </c>
      <c r="D966" s="281">
        <v>1</v>
      </c>
      <c r="E966" s="281" t="s">
        <v>1283</v>
      </c>
      <c r="F966" s="281" t="s">
        <v>4197</v>
      </c>
      <c r="G966" s="284"/>
      <c r="H966" s="284"/>
      <c r="I966" s="284"/>
      <c r="J966" s="281"/>
      <c r="K966" s="281"/>
      <c r="L966" s="281"/>
      <c r="M966" s="281"/>
      <c r="N966" s="281"/>
      <c r="O966" s="281">
        <f t="shared" si="26"/>
        <v>0</v>
      </c>
      <c r="P966" s="281" t="s">
        <v>4197</v>
      </c>
      <c r="Q966" s="281" t="s">
        <v>4197</v>
      </c>
      <c r="R966" s="281">
        <v>13500</v>
      </c>
      <c r="S966" s="281">
        <v>13485</v>
      </c>
      <c r="T966" s="406">
        <v>13485</v>
      </c>
      <c r="U966" s="284">
        <v>15</v>
      </c>
    </row>
    <row r="967" spans="1:22">
      <c r="A967" s="165" t="s">
        <v>3970</v>
      </c>
      <c r="B967" s="94">
        <v>1020</v>
      </c>
      <c r="C967" s="165" t="s">
        <v>1232</v>
      </c>
      <c r="D967" s="165">
        <v>6</v>
      </c>
      <c r="E967" s="165" t="s">
        <v>4198</v>
      </c>
      <c r="F967" s="165" t="s">
        <v>4081</v>
      </c>
      <c r="G967" s="165">
        <v>16380</v>
      </c>
      <c r="H967" s="165"/>
      <c r="I967" s="165"/>
      <c r="J967" s="165">
        <v>16380</v>
      </c>
      <c r="K967" s="165"/>
      <c r="L967" s="165"/>
      <c r="M967" s="165"/>
      <c r="N967" s="165"/>
      <c r="O967" s="165">
        <f t="shared" si="26"/>
        <v>0</v>
      </c>
      <c r="P967" s="165" t="s">
        <v>3986</v>
      </c>
      <c r="Q967" s="165" t="s">
        <v>3987</v>
      </c>
      <c r="R967" s="3">
        <v>16380</v>
      </c>
      <c r="S967" s="3">
        <v>16380</v>
      </c>
      <c r="T967"/>
      <c r="U967" s="3"/>
    </row>
    <row r="968" spans="1:22" s="163" customFormat="1">
      <c r="A968" s="281" t="s">
        <v>3965</v>
      </c>
      <c r="B968" s="281"/>
      <c r="C968" s="281" t="s">
        <v>4000</v>
      </c>
      <c r="D968" s="281"/>
      <c r="E968" s="281" t="s">
        <v>1283</v>
      </c>
      <c r="F968" s="281" t="s">
        <v>3965</v>
      </c>
      <c r="G968" s="284"/>
      <c r="H968" s="284"/>
      <c r="I968" s="284"/>
      <c r="J968" s="281"/>
      <c r="K968" s="281"/>
      <c r="L968" s="281"/>
      <c r="M968" s="281"/>
      <c r="N968" s="281"/>
      <c r="O968" s="281">
        <f t="shared" si="26"/>
        <v>0</v>
      </c>
      <c r="P968" s="281" t="s">
        <v>3965</v>
      </c>
      <c r="Q968" s="281" t="s">
        <v>3965</v>
      </c>
      <c r="R968" s="281">
        <v>113400</v>
      </c>
      <c r="S968" s="281">
        <v>113390</v>
      </c>
      <c r="T968" s="406">
        <v>113390</v>
      </c>
      <c r="U968" s="284">
        <v>10</v>
      </c>
      <c r="V968" s="163" t="s">
        <v>4199</v>
      </c>
    </row>
    <row r="969" spans="1:22" s="163" customFormat="1">
      <c r="A969" s="281" t="s">
        <v>4200</v>
      </c>
      <c r="B969" s="281"/>
      <c r="C969" s="281" t="s">
        <v>4201</v>
      </c>
      <c r="D969" s="281"/>
      <c r="E969" s="281" t="s">
        <v>1283</v>
      </c>
      <c r="F969" s="281" t="s">
        <v>4200</v>
      </c>
      <c r="G969" s="284"/>
      <c r="H969" s="284"/>
      <c r="I969" s="284"/>
      <c r="J969" s="281"/>
      <c r="K969" s="281"/>
      <c r="L969" s="281"/>
      <c r="M969" s="281"/>
      <c r="N969" s="281"/>
      <c r="O969" s="281">
        <f t="shared" si="26"/>
        <v>0</v>
      </c>
      <c r="P969" s="281" t="s">
        <v>4200</v>
      </c>
      <c r="Q969" s="281" t="s">
        <v>4200</v>
      </c>
      <c r="R969" s="281">
        <v>113400</v>
      </c>
      <c r="S969" s="281">
        <v>113400</v>
      </c>
      <c r="T969" s="406">
        <v>113400</v>
      </c>
      <c r="U969" s="284"/>
      <c r="V969" s="163" t="s">
        <v>4202</v>
      </c>
    </row>
    <row r="970" spans="1:22" s="283" customFormat="1">
      <c r="A970" s="279" t="s">
        <v>4203</v>
      </c>
      <c r="B970" s="279"/>
      <c r="C970" s="279" t="s">
        <v>2060</v>
      </c>
      <c r="D970" s="279">
        <v>2</v>
      </c>
      <c r="E970" s="279" t="s">
        <v>1283</v>
      </c>
      <c r="F970" s="279" t="s">
        <v>4203</v>
      </c>
      <c r="G970" s="280"/>
      <c r="H970" s="280"/>
      <c r="I970" s="280"/>
      <c r="J970" s="280"/>
      <c r="K970" s="280"/>
      <c r="L970" s="280"/>
      <c r="M970" s="280"/>
      <c r="N970" s="280"/>
      <c r="O970" s="280">
        <f t="shared" si="26"/>
        <v>0</v>
      </c>
      <c r="P970" s="279" t="s">
        <v>4203</v>
      </c>
      <c r="Q970" s="279" t="s">
        <v>4203</v>
      </c>
      <c r="R970" s="279">
        <v>13230</v>
      </c>
      <c r="S970" s="279">
        <v>13230</v>
      </c>
      <c r="T970" s="408">
        <v>13230</v>
      </c>
      <c r="U970" s="280"/>
      <c r="V970" s="282" t="s">
        <v>245</v>
      </c>
    </row>
    <row r="971" spans="1:22">
      <c r="A971" s="165" t="s">
        <v>3967</v>
      </c>
      <c r="B971" s="165">
        <v>1021</v>
      </c>
      <c r="C971" s="165" t="s">
        <v>4204</v>
      </c>
      <c r="D971" s="165">
        <v>1</v>
      </c>
      <c r="E971" s="165" t="s">
        <v>4205</v>
      </c>
      <c r="F971" s="165" t="s">
        <v>4200</v>
      </c>
      <c r="G971" s="165">
        <v>20475</v>
      </c>
      <c r="H971" s="165"/>
      <c r="I971" s="165"/>
      <c r="J971" s="165">
        <v>20475</v>
      </c>
      <c r="K971" s="165"/>
      <c r="L971" s="165"/>
      <c r="M971" s="165"/>
      <c r="N971" s="165"/>
      <c r="O971" s="165">
        <f t="shared" si="26"/>
        <v>0</v>
      </c>
      <c r="P971" s="165" t="s">
        <v>3957</v>
      </c>
      <c r="Q971" s="165" t="s">
        <v>3958</v>
      </c>
      <c r="R971" s="3">
        <v>20475</v>
      </c>
      <c r="S971" s="209">
        <v>20475</v>
      </c>
      <c r="T971"/>
      <c r="U971" s="3"/>
      <c r="V971" s="271" t="s">
        <v>2740</v>
      </c>
    </row>
    <row r="972" spans="1:22">
      <c r="A972" s="165" t="s">
        <v>3967</v>
      </c>
      <c r="B972" s="165">
        <v>1022</v>
      </c>
      <c r="C972" s="165" t="s">
        <v>4204</v>
      </c>
      <c r="D972" s="165">
        <v>2</v>
      </c>
      <c r="E972" s="165" t="s">
        <v>4206</v>
      </c>
      <c r="F972" s="165" t="s">
        <v>4100</v>
      </c>
      <c r="G972" s="165">
        <v>20475</v>
      </c>
      <c r="H972" s="165"/>
      <c r="I972" s="165"/>
      <c r="J972" s="165">
        <v>20475</v>
      </c>
      <c r="K972" s="165"/>
      <c r="L972" s="165"/>
      <c r="M972" s="165"/>
      <c r="N972" s="165"/>
      <c r="O972" s="165">
        <f t="shared" si="26"/>
        <v>0</v>
      </c>
      <c r="P972" s="165" t="s">
        <v>3957</v>
      </c>
      <c r="Q972" s="165" t="s">
        <v>3958</v>
      </c>
      <c r="R972" s="3">
        <v>20475</v>
      </c>
      <c r="S972" s="209">
        <v>20475</v>
      </c>
      <c r="T972"/>
      <c r="U972" s="3"/>
      <c r="V972" s="271" t="s">
        <v>2740</v>
      </c>
    </row>
    <row r="973" spans="1:22">
      <c r="A973" s="165" t="s">
        <v>3967</v>
      </c>
      <c r="B973" s="165">
        <v>1023</v>
      </c>
      <c r="C973" s="165" t="s">
        <v>4204</v>
      </c>
      <c r="D973" s="165">
        <v>3</v>
      </c>
      <c r="E973" s="165" t="s">
        <v>4207</v>
      </c>
      <c r="F973" s="165" t="s">
        <v>4102</v>
      </c>
      <c r="G973" s="565">
        <v>20475</v>
      </c>
      <c r="H973" s="165"/>
      <c r="I973" s="165"/>
      <c r="J973" s="165"/>
      <c r="K973" s="165">
        <v>20475</v>
      </c>
      <c r="L973" s="165"/>
      <c r="M973" s="165"/>
      <c r="N973" s="165"/>
      <c r="O973" s="165">
        <f t="shared" si="26"/>
        <v>0</v>
      </c>
      <c r="P973" s="165" t="s">
        <v>4434</v>
      </c>
      <c r="Q973" s="165" t="s">
        <v>4102</v>
      </c>
      <c r="R973" s="3">
        <v>20475</v>
      </c>
      <c r="S973" s="625">
        <v>20475</v>
      </c>
      <c r="T973"/>
      <c r="U973" s="3"/>
      <c r="V973" s="271" t="s">
        <v>2740</v>
      </c>
    </row>
    <row r="974" spans="1:22">
      <c r="A974" s="165" t="s">
        <v>3967</v>
      </c>
      <c r="B974" s="165">
        <v>1024</v>
      </c>
      <c r="C974" s="165" t="s">
        <v>4204</v>
      </c>
      <c r="D974" s="165">
        <v>4</v>
      </c>
      <c r="E974" s="165" t="s">
        <v>4208</v>
      </c>
      <c r="F974" s="165" t="s">
        <v>4104</v>
      </c>
      <c r="G974" s="565">
        <v>20475</v>
      </c>
      <c r="H974" s="165"/>
      <c r="I974" s="165"/>
      <c r="J974" s="165"/>
      <c r="K974" s="165">
        <v>20475</v>
      </c>
      <c r="L974" s="165"/>
      <c r="M974" s="165"/>
      <c r="N974" s="165"/>
      <c r="O974" s="165">
        <f t="shared" si="26"/>
        <v>0</v>
      </c>
      <c r="P974" s="165" t="s">
        <v>4767</v>
      </c>
      <c r="Q974" s="165" t="s">
        <v>4782</v>
      </c>
      <c r="R974" s="3">
        <v>20475</v>
      </c>
      <c r="S974" s="625">
        <v>20475</v>
      </c>
      <c r="T974"/>
      <c r="U974" s="3"/>
      <c r="V974" s="271" t="s">
        <v>2740</v>
      </c>
    </row>
    <row r="975" spans="1:22">
      <c r="A975" s="165" t="s">
        <v>3967</v>
      </c>
      <c r="B975" s="165">
        <v>1025</v>
      </c>
      <c r="C975" s="165" t="s">
        <v>4204</v>
      </c>
      <c r="D975" s="165">
        <v>5</v>
      </c>
      <c r="E975" s="165" t="s">
        <v>4209</v>
      </c>
      <c r="F975" s="165" t="s">
        <v>4106</v>
      </c>
      <c r="G975" s="565">
        <v>20475</v>
      </c>
      <c r="H975" s="165"/>
      <c r="I975" s="165"/>
      <c r="J975" s="165"/>
      <c r="K975" s="165">
        <v>20475</v>
      </c>
      <c r="L975" s="165"/>
      <c r="M975" s="165"/>
      <c r="N975" s="165"/>
      <c r="O975" s="165">
        <f t="shared" si="26"/>
        <v>0</v>
      </c>
      <c r="P975" s="165" t="s">
        <v>4715</v>
      </c>
      <c r="Q975" s="165" t="s">
        <v>4786</v>
      </c>
      <c r="R975" s="3">
        <v>20475</v>
      </c>
      <c r="S975" s="625">
        <v>20475</v>
      </c>
      <c r="T975"/>
      <c r="U975" s="3"/>
      <c r="V975" s="271" t="s">
        <v>2740</v>
      </c>
    </row>
    <row r="976" spans="1:22">
      <c r="A976" s="165" t="s">
        <v>3967</v>
      </c>
      <c r="B976" s="165">
        <v>1026</v>
      </c>
      <c r="C976" s="165" t="s">
        <v>4204</v>
      </c>
      <c r="D976" s="165">
        <v>6</v>
      </c>
      <c r="E976" s="165" t="s">
        <v>4210</v>
      </c>
      <c r="F976" s="165" t="s">
        <v>4108</v>
      </c>
      <c r="G976" s="565">
        <v>20475</v>
      </c>
      <c r="H976" s="165"/>
      <c r="I976" s="165"/>
      <c r="J976" s="165"/>
      <c r="K976" s="165">
        <v>20475</v>
      </c>
      <c r="L976" s="165"/>
      <c r="M976" s="165"/>
      <c r="N976" s="165"/>
      <c r="O976" s="165">
        <f t="shared" si="26"/>
        <v>0</v>
      </c>
      <c r="P976" s="165" t="s">
        <v>4190</v>
      </c>
      <c r="Q976" s="165" t="s">
        <v>4033</v>
      </c>
      <c r="R976" s="3">
        <v>20475</v>
      </c>
      <c r="S976" s="625">
        <v>20475</v>
      </c>
      <c r="T976"/>
      <c r="U976" s="3"/>
      <c r="V976" s="271" t="s">
        <v>2740</v>
      </c>
    </row>
    <row r="977" spans="1:22">
      <c r="A977" s="165" t="s">
        <v>3967</v>
      </c>
      <c r="B977" s="165">
        <v>1027</v>
      </c>
      <c r="C977" s="165" t="s">
        <v>4204</v>
      </c>
      <c r="D977" s="165">
        <v>7</v>
      </c>
      <c r="E977" s="165" t="s">
        <v>4211</v>
      </c>
      <c r="F977" s="165" t="s">
        <v>4110</v>
      </c>
      <c r="G977" s="165"/>
      <c r="H977" s="165">
        <v>20475</v>
      </c>
      <c r="I977" s="165"/>
      <c r="J977" s="165"/>
      <c r="K977" s="165"/>
      <c r="L977" s="165">
        <v>20475</v>
      </c>
      <c r="M977" s="165"/>
      <c r="N977" s="165"/>
      <c r="O977" s="165">
        <f>G977+H977+I977-J977-K977-L977</f>
        <v>0</v>
      </c>
      <c r="P977" s="165" t="s">
        <v>4651</v>
      </c>
      <c r="Q977" s="165" t="s">
        <v>5323</v>
      </c>
      <c r="R977" s="3">
        <v>20475</v>
      </c>
      <c r="S977" s="625">
        <v>20475</v>
      </c>
      <c r="T977"/>
      <c r="U977" s="3"/>
      <c r="V977" s="271" t="s">
        <v>2740</v>
      </c>
    </row>
    <row r="978" spans="1:22">
      <c r="A978" s="165" t="s">
        <v>3967</v>
      </c>
      <c r="B978" s="165">
        <v>1028</v>
      </c>
      <c r="C978" s="165" t="s">
        <v>4204</v>
      </c>
      <c r="D978" s="165">
        <v>8</v>
      </c>
      <c r="E978" s="165" t="s">
        <v>4212</v>
      </c>
      <c r="F978" s="165" t="s">
        <v>4213</v>
      </c>
      <c r="G978" s="165"/>
      <c r="H978" s="165">
        <v>20475</v>
      </c>
      <c r="I978" s="165"/>
      <c r="J978" s="165"/>
      <c r="K978" s="165"/>
      <c r="L978" s="165">
        <v>20475</v>
      </c>
      <c r="M978" s="165"/>
      <c r="N978" s="165"/>
      <c r="O978" s="165">
        <f>G978+H978+I978-J978-K978-L978</f>
        <v>0</v>
      </c>
      <c r="P978" s="165" t="s">
        <v>4806</v>
      </c>
      <c r="Q978" s="165" t="s">
        <v>4213</v>
      </c>
      <c r="R978" s="3">
        <v>20475</v>
      </c>
      <c r="S978" s="625">
        <v>20475</v>
      </c>
      <c r="T978"/>
      <c r="U978" s="3"/>
      <c r="V978" s="271" t="s">
        <v>2740</v>
      </c>
    </row>
    <row r="979" spans="1:22" s="163" customFormat="1">
      <c r="A979" s="281" t="s">
        <v>4214</v>
      </c>
      <c r="B979" s="281"/>
      <c r="C979" s="281" t="s">
        <v>3825</v>
      </c>
      <c r="D979" s="281">
        <v>3</v>
      </c>
      <c r="E979" s="281" t="s">
        <v>1283</v>
      </c>
      <c r="F979" s="281" t="s">
        <v>4214</v>
      </c>
      <c r="G979" s="284"/>
      <c r="H979" s="284"/>
      <c r="I979" s="284"/>
      <c r="J979" s="281"/>
      <c r="K979" s="281"/>
      <c r="L979" s="281"/>
      <c r="M979" s="281"/>
      <c r="N979" s="281"/>
      <c r="O979" s="281">
        <f t="shared" ref="O979:O985" si="27">G979+H979+I979-J979-K979</f>
        <v>0</v>
      </c>
      <c r="P979" s="281" t="s">
        <v>4214</v>
      </c>
      <c r="Q979" s="281" t="s">
        <v>4214</v>
      </c>
      <c r="R979" s="281">
        <v>14175</v>
      </c>
      <c r="S979" s="281">
        <v>14145</v>
      </c>
      <c r="T979" s="406">
        <v>14145</v>
      </c>
      <c r="U979" s="284">
        <v>30</v>
      </c>
    </row>
    <row r="980" spans="1:22" s="163" customFormat="1">
      <c r="A980" s="281" t="s">
        <v>4215</v>
      </c>
      <c r="B980" s="281"/>
      <c r="C980" s="281" t="s">
        <v>1532</v>
      </c>
      <c r="D980" s="281">
        <v>2</v>
      </c>
      <c r="E980" s="281" t="s">
        <v>1283</v>
      </c>
      <c r="F980" s="281" t="s">
        <v>4215</v>
      </c>
      <c r="G980" s="284"/>
      <c r="H980" s="284"/>
      <c r="I980" s="284"/>
      <c r="J980" s="281"/>
      <c r="K980" s="281"/>
      <c r="L980" s="281"/>
      <c r="M980" s="281"/>
      <c r="N980" s="281"/>
      <c r="O980" s="281">
        <f t="shared" si="27"/>
        <v>0</v>
      </c>
      <c r="P980" s="281" t="s">
        <v>4215</v>
      </c>
      <c r="Q980" s="281" t="s">
        <v>4215</v>
      </c>
      <c r="R980" s="281">
        <v>13500</v>
      </c>
      <c r="S980" s="281">
        <v>13485</v>
      </c>
      <c r="T980" s="406">
        <v>13485</v>
      </c>
      <c r="U980" s="284">
        <v>15</v>
      </c>
    </row>
    <row r="981" spans="1:22">
      <c r="A981" s="165" t="s">
        <v>4216</v>
      </c>
      <c r="B981" s="165">
        <v>1029</v>
      </c>
      <c r="C981" s="165" t="s">
        <v>831</v>
      </c>
      <c r="D981" s="165">
        <v>1</v>
      </c>
      <c r="E981" s="165" t="s">
        <v>4217</v>
      </c>
      <c r="F981" s="165" t="s">
        <v>4185</v>
      </c>
      <c r="G981" s="165">
        <v>11400</v>
      </c>
      <c r="H981" s="165"/>
      <c r="I981" s="165"/>
      <c r="J981" s="165">
        <v>11400</v>
      </c>
      <c r="K981" s="165"/>
      <c r="L981" s="165"/>
      <c r="M981" s="165"/>
      <c r="N981" s="165"/>
      <c r="O981" s="165">
        <f t="shared" si="27"/>
        <v>0</v>
      </c>
      <c r="P981" s="165" t="s">
        <v>3957</v>
      </c>
      <c r="Q981" s="165" t="s">
        <v>3958</v>
      </c>
      <c r="R981" s="3">
        <v>11400</v>
      </c>
      <c r="S981" s="3">
        <v>11400</v>
      </c>
      <c r="T981"/>
      <c r="U981" s="3"/>
    </row>
    <row r="982" spans="1:22">
      <c r="A982" s="165" t="s">
        <v>4216</v>
      </c>
      <c r="B982" s="165">
        <v>1030</v>
      </c>
      <c r="C982" s="165" t="s">
        <v>831</v>
      </c>
      <c r="D982" s="165">
        <v>2</v>
      </c>
      <c r="E982" s="165" t="s">
        <v>4218</v>
      </c>
      <c r="F982" s="165" t="s">
        <v>4219</v>
      </c>
      <c r="G982" s="165">
        <v>11400</v>
      </c>
      <c r="H982" s="165"/>
      <c r="I982" s="165"/>
      <c r="J982" s="165"/>
      <c r="K982" s="165">
        <v>11400</v>
      </c>
      <c r="L982" s="165"/>
      <c r="M982" s="165"/>
      <c r="N982" s="165"/>
      <c r="O982" s="165">
        <f t="shared" si="27"/>
        <v>0</v>
      </c>
      <c r="P982" s="165" t="s">
        <v>4766</v>
      </c>
      <c r="Q982" s="165" t="s">
        <v>4595</v>
      </c>
      <c r="R982" s="3">
        <v>11400</v>
      </c>
      <c r="S982" s="3">
        <v>11400</v>
      </c>
      <c r="T982"/>
      <c r="U982" s="3"/>
    </row>
    <row r="983" spans="1:22">
      <c r="A983" s="165" t="s">
        <v>4216</v>
      </c>
      <c r="B983" s="165">
        <v>1031</v>
      </c>
      <c r="C983" s="165" t="s">
        <v>831</v>
      </c>
      <c r="D983" s="165">
        <v>3</v>
      </c>
      <c r="E983" s="165" t="s">
        <v>4220</v>
      </c>
      <c r="F983" s="165" t="s">
        <v>4016</v>
      </c>
      <c r="G983" s="165">
        <v>11400</v>
      </c>
      <c r="H983" s="165"/>
      <c r="I983" s="165"/>
      <c r="J983" s="165"/>
      <c r="K983" s="165">
        <v>11400</v>
      </c>
      <c r="L983" s="165"/>
      <c r="M983" s="165"/>
      <c r="N983" s="165"/>
      <c r="O983" s="165">
        <f t="shared" si="27"/>
        <v>0</v>
      </c>
      <c r="P983" s="165" t="s">
        <v>4767</v>
      </c>
      <c r="Q983" s="165" t="s">
        <v>4782</v>
      </c>
      <c r="R983" s="3">
        <v>11400</v>
      </c>
      <c r="S983" s="3">
        <v>11400</v>
      </c>
      <c r="T983"/>
      <c r="U983" s="3"/>
    </row>
    <row r="984" spans="1:22">
      <c r="A984" s="165" t="s">
        <v>4216</v>
      </c>
      <c r="B984" s="165">
        <v>1032</v>
      </c>
      <c r="C984" s="165" t="s">
        <v>831</v>
      </c>
      <c r="D984" s="165">
        <v>4</v>
      </c>
      <c r="E984" s="165" t="s">
        <v>4221</v>
      </c>
      <c r="F984" s="165" t="s">
        <v>4018</v>
      </c>
      <c r="G984" s="165">
        <v>11400</v>
      </c>
      <c r="H984" s="165"/>
      <c r="I984" s="165"/>
      <c r="J984" s="165"/>
      <c r="K984" s="165">
        <v>11400</v>
      </c>
      <c r="L984" s="165"/>
      <c r="M984" s="165"/>
      <c r="N984" s="165"/>
      <c r="O984" s="165">
        <f t="shared" si="27"/>
        <v>0</v>
      </c>
      <c r="P984" s="165" t="s">
        <v>4715</v>
      </c>
      <c r="Q984" s="165" t="s">
        <v>4786</v>
      </c>
      <c r="R984" s="3">
        <v>11400</v>
      </c>
      <c r="S984" s="3">
        <v>11400</v>
      </c>
      <c r="T984"/>
      <c r="U984" s="3"/>
    </row>
    <row r="985" spans="1:22">
      <c r="A985" s="165" t="s">
        <v>4216</v>
      </c>
      <c r="B985" s="165">
        <v>1033</v>
      </c>
      <c r="C985" s="165" t="s">
        <v>831</v>
      </c>
      <c r="D985" s="165">
        <v>5</v>
      </c>
      <c r="E985" s="165" t="s">
        <v>4222</v>
      </c>
      <c r="F985" s="165" t="s">
        <v>4190</v>
      </c>
      <c r="G985" s="165">
        <v>11400</v>
      </c>
      <c r="H985" s="165"/>
      <c r="I985" s="165"/>
      <c r="J985" s="165"/>
      <c r="K985" s="165">
        <v>11400</v>
      </c>
      <c r="L985" s="165"/>
      <c r="M985" s="165"/>
      <c r="N985" s="165"/>
      <c r="O985" s="165">
        <f t="shared" si="27"/>
        <v>0</v>
      </c>
      <c r="P985" s="165" t="s">
        <v>4190</v>
      </c>
      <c r="Q985" s="165" t="s">
        <v>4033</v>
      </c>
      <c r="R985" s="3">
        <v>11400</v>
      </c>
      <c r="S985" s="3">
        <v>11400</v>
      </c>
      <c r="T985"/>
      <c r="U985" s="3"/>
    </row>
    <row r="986" spans="1:22">
      <c r="A986" s="165" t="s">
        <v>4216</v>
      </c>
      <c r="B986" s="165">
        <v>1034</v>
      </c>
      <c r="C986" s="165" t="s">
        <v>831</v>
      </c>
      <c r="D986" s="165">
        <v>6</v>
      </c>
      <c r="E986" s="165" t="s">
        <v>4223</v>
      </c>
      <c r="F986" s="165" t="s">
        <v>4192</v>
      </c>
      <c r="G986" s="165">
        <v>11400</v>
      </c>
      <c r="H986" s="165"/>
      <c r="I986" s="165"/>
      <c r="J986" s="165"/>
      <c r="K986" s="165"/>
      <c r="L986" s="165">
        <v>11400</v>
      </c>
      <c r="M986" s="165"/>
      <c r="N986" s="165"/>
      <c r="O986" s="165">
        <f>G986+H986+I986-J986-K986-L986</f>
        <v>0</v>
      </c>
      <c r="P986" s="165" t="s">
        <v>4651</v>
      </c>
      <c r="Q986" s="165" t="s">
        <v>4793</v>
      </c>
      <c r="R986" s="3">
        <v>11400</v>
      </c>
      <c r="S986" s="3">
        <v>11400</v>
      </c>
      <c r="T986"/>
      <c r="U986" s="3"/>
    </row>
    <row r="987" spans="1:22">
      <c r="A987" s="165" t="s">
        <v>4216</v>
      </c>
      <c r="B987" s="165">
        <v>1035</v>
      </c>
      <c r="C987" s="165" t="s">
        <v>831</v>
      </c>
      <c r="D987" s="165">
        <v>7</v>
      </c>
      <c r="E987" s="165" t="s">
        <v>4224</v>
      </c>
      <c r="F987" s="165" t="s">
        <v>4194</v>
      </c>
      <c r="G987" s="165">
        <v>11400</v>
      </c>
      <c r="H987" s="165"/>
      <c r="I987" s="165"/>
      <c r="J987" s="165"/>
      <c r="K987" s="165"/>
      <c r="L987" s="165">
        <v>11400</v>
      </c>
      <c r="M987" s="165"/>
      <c r="N987" s="165"/>
      <c r="O987" s="165">
        <f>G987+H987+I987-J987-K987-L987</f>
        <v>0</v>
      </c>
      <c r="P987" s="165" t="s">
        <v>4806</v>
      </c>
      <c r="Q987" s="165" t="s">
        <v>4194</v>
      </c>
      <c r="R987" s="3">
        <v>11400</v>
      </c>
      <c r="S987" s="3">
        <v>11400</v>
      </c>
      <c r="T987"/>
      <c r="U987" s="3"/>
    </row>
    <row r="988" spans="1:22">
      <c r="A988" s="165" t="s">
        <v>4216</v>
      </c>
      <c r="B988" s="165">
        <v>1036</v>
      </c>
      <c r="C988" s="165" t="s">
        <v>831</v>
      </c>
      <c r="D988" s="165">
        <v>8</v>
      </c>
      <c r="E988" s="165" t="s">
        <v>4225</v>
      </c>
      <c r="F988" s="165" t="s">
        <v>4226</v>
      </c>
      <c r="G988" s="165">
        <v>11400</v>
      </c>
      <c r="H988" s="165"/>
      <c r="I988" s="165"/>
      <c r="J988" s="165"/>
      <c r="K988" s="165"/>
      <c r="L988" s="165">
        <v>11400</v>
      </c>
      <c r="M988" s="165"/>
      <c r="N988" s="165"/>
      <c r="O988" s="165">
        <f>G988+H988+I988-J988-K988-L988</f>
        <v>0</v>
      </c>
      <c r="P988" s="165" t="s">
        <v>5500</v>
      </c>
      <c r="Q988" s="165" t="s">
        <v>4226</v>
      </c>
      <c r="R988" s="3">
        <v>11400</v>
      </c>
      <c r="S988" s="3">
        <v>11400</v>
      </c>
      <c r="T988"/>
      <c r="U988" s="3"/>
    </row>
    <row r="989" spans="1:22">
      <c r="A989" s="165" t="s">
        <v>3958</v>
      </c>
      <c r="B989" s="165">
        <v>1037</v>
      </c>
      <c r="C989" s="165" t="s">
        <v>1305</v>
      </c>
      <c r="D989" s="165">
        <v>5</v>
      </c>
      <c r="E989" s="165" t="s">
        <v>4227</v>
      </c>
      <c r="F989" s="165" t="s">
        <v>4228</v>
      </c>
      <c r="G989" s="165"/>
      <c r="H989" s="165">
        <v>11340</v>
      </c>
      <c r="I989" s="165"/>
      <c r="J989" s="165">
        <v>11340</v>
      </c>
      <c r="K989" s="165"/>
      <c r="L989" s="165"/>
      <c r="M989" s="165"/>
      <c r="N989" s="165"/>
      <c r="O989" s="165">
        <f t="shared" ref="O989:O1006" si="28">G989+H989+I989-J989-K989</f>
        <v>0</v>
      </c>
      <c r="P989" s="165" t="s">
        <v>3972</v>
      </c>
      <c r="Q989" s="165" t="s">
        <v>3973</v>
      </c>
      <c r="R989" s="3">
        <v>11340</v>
      </c>
      <c r="S989" s="405">
        <v>11340</v>
      </c>
      <c r="T989"/>
      <c r="U989" s="3"/>
    </row>
    <row r="990" spans="1:22">
      <c r="A990" s="165" t="s">
        <v>4229</v>
      </c>
      <c r="B990" s="165">
        <v>1038</v>
      </c>
      <c r="C990" s="165" t="s">
        <v>4230</v>
      </c>
      <c r="D990" s="165">
        <v>13</v>
      </c>
      <c r="E990" s="165" t="s">
        <v>4231</v>
      </c>
      <c r="F990" s="165" t="s">
        <v>4232</v>
      </c>
      <c r="G990" s="165">
        <v>3780</v>
      </c>
      <c r="H990" s="165"/>
      <c r="I990" s="165"/>
      <c r="J990" s="165">
        <v>3780</v>
      </c>
      <c r="K990" s="165"/>
      <c r="L990" s="165"/>
      <c r="M990" s="165"/>
      <c r="N990" s="165"/>
      <c r="O990" s="165">
        <f t="shared" si="28"/>
        <v>0</v>
      </c>
      <c r="P990" s="165" t="s">
        <v>3963</v>
      </c>
      <c r="Q990" s="165" t="s">
        <v>3964</v>
      </c>
      <c r="R990" s="3">
        <v>3780</v>
      </c>
      <c r="S990" s="3">
        <v>3780</v>
      </c>
      <c r="T990"/>
      <c r="U990" s="3"/>
    </row>
    <row r="991" spans="1:22">
      <c r="A991" s="165" t="s">
        <v>4229</v>
      </c>
      <c r="B991" s="165">
        <v>1039</v>
      </c>
      <c r="C991" s="165" t="s">
        <v>4230</v>
      </c>
      <c r="D991" s="165">
        <v>14</v>
      </c>
      <c r="E991" s="165" t="s">
        <v>4233</v>
      </c>
      <c r="F991" s="165" t="s">
        <v>4234</v>
      </c>
      <c r="G991" s="165">
        <v>3780</v>
      </c>
      <c r="H991" s="165"/>
      <c r="I991" s="165"/>
      <c r="J991" s="165">
        <v>3780</v>
      </c>
      <c r="K991" s="165"/>
      <c r="L991" s="165"/>
      <c r="M991" s="165"/>
      <c r="N991" s="165"/>
      <c r="O991" s="165">
        <f t="shared" si="28"/>
        <v>0</v>
      </c>
      <c r="P991" s="165" t="s">
        <v>3963</v>
      </c>
      <c r="Q991" s="165" t="s">
        <v>3964</v>
      </c>
      <c r="R991" s="3">
        <v>3780</v>
      </c>
      <c r="S991" s="3">
        <v>3780</v>
      </c>
      <c r="T991"/>
      <c r="U991" s="3"/>
    </row>
    <row r="992" spans="1:22">
      <c r="A992" s="165" t="s">
        <v>4229</v>
      </c>
      <c r="B992" s="165">
        <v>1040</v>
      </c>
      <c r="C992" s="165" t="s">
        <v>4230</v>
      </c>
      <c r="D992" s="165">
        <v>15</v>
      </c>
      <c r="E992" s="165" t="s">
        <v>4235</v>
      </c>
      <c r="F992" s="165" t="s">
        <v>4236</v>
      </c>
      <c r="G992" s="165">
        <v>3780</v>
      </c>
      <c r="H992" s="165"/>
      <c r="I992" s="165"/>
      <c r="J992" s="165"/>
      <c r="K992" s="165">
        <v>3780</v>
      </c>
      <c r="L992" s="165"/>
      <c r="M992" s="165"/>
      <c r="N992" s="165"/>
      <c r="O992" s="165">
        <f t="shared" si="28"/>
        <v>0</v>
      </c>
      <c r="P992" s="165" t="s">
        <v>4236</v>
      </c>
      <c r="Q992" s="165" t="s">
        <v>4752</v>
      </c>
      <c r="R992" s="3">
        <v>3780</v>
      </c>
      <c r="S992" s="3">
        <v>3780</v>
      </c>
      <c r="T992"/>
      <c r="U992" s="3"/>
    </row>
    <row r="993" spans="1:21">
      <c r="A993" s="165" t="s">
        <v>4229</v>
      </c>
      <c r="B993" s="165">
        <v>1041</v>
      </c>
      <c r="C993" s="165" t="s">
        <v>4230</v>
      </c>
      <c r="D993" s="165">
        <v>16</v>
      </c>
      <c r="E993" s="165" t="s">
        <v>4237</v>
      </c>
      <c r="F993" s="165" t="s">
        <v>4238</v>
      </c>
      <c r="G993" s="165">
        <v>3780</v>
      </c>
      <c r="H993" s="165"/>
      <c r="I993" s="165"/>
      <c r="J993" s="165"/>
      <c r="K993" s="165">
        <v>3780</v>
      </c>
      <c r="L993" s="165"/>
      <c r="M993" s="165"/>
      <c r="N993" s="165"/>
      <c r="O993" s="165">
        <f t="shared" si="28"/>
        <v>0</v>
      </c>
      <c r="P993" s="165" t="s">
        <v>4434</v>
      </c>
      <c r="Q993" s="165" t="s">
        <v>4435</v>
      </c>
      <c r="R993" s="3">
        <v>3780</v>
      </c>
      <c r="S993" s="3">
        <v>3780</v>
      </c>
      <c r="T993"/>
      <c r="U993" s="3"/>
    </row>
    <row r="994" spans="1:21">
      <c r="A994" s="165" t="s">
        <v>4229</v>
      </c>
      <c r="B994" s="165">
        <v>1042</v>
      </c>
      <c r="C994" s="165" t="s">
        <v>4230</v>
      </c>
      <c r="D994" s="165">
        <v>17</v>
      </c>
      <c r="E994" s="165" t="s">
        <v>4239</v>
      </c>
      <c r="F994" s="165" t="s">
        <v>4027</v>
      </c>
      <c r="G994" s="165">
        <v>3780</v>
      </c>
      <c r="H994" s="165"/>
      <c r="I994" s="165"/>
      <c r="J994" s="165"/>
      <c r="K994" s="165">
        <v>3780</v>
      </c>
      <c r="L994" s="165"/>
      <c r="M994" s="165"/>
      <c r="N994" s="165"/>
      <c r="O994" s="165">
        <f t="shared" si="28"/>
        <v>0</v>
      </c>
      <c r="P994" s="165" t="s">
        <v>4766</v>
      </c>
      <c r="Q994" s="165" t="s">
        <v>4595</v>
      </c>
      <c r="R994" s="3">
        <v>3780</v>
      </c>
      <c r="S994" s="3">
        <v>3780</v>
      </c>
      <c r="T994"/>
    </row>
    <row r="995" spans="1:21">
      <c r="A995" s="165" t="s">
        <v>4229</v>
      </c>
      <c r="B995" s="165">
        <v>1043</v>
      </c>
      <c r="C995" s="165" t="s">
        <v>4230</v>
      </c>
      <c r="D995" s="165">
        <v>18</v>
      </c>
      <c r="E995" s="165" t="s">
        <v>4240</v>
      </c>
      <c r="F995" s="165" t="s">
        <v>4241</v>
      </c>
      <c r="G995" s="165">
        <v>3780</v>
      </c>
      <c r="H995" s="165"/>
      <c r="I995" s="165"/>
      <c r="J995" s="165"/>
      <c r="K995" s="165">
        <v>3780</v>
      </c>
      <c r="L995" s="165"/>
      <c r="M995" s="165"/>
      <c r="N995" s="165"/>
      <c r="O995" s="165">
        <f t="shared" si="28"/>
        <v>0</v>
      </c>
      <c r="P995" s="165" t="s">
        <v>4439</v>
      </c>
      <c r="Q995" s="165" t="s">
        <v>4780</v>
      </c>
      <c r="R995" s="3">
        <v>3780</v>
      </c>
      <c r="S995" s="3">
        <v>3780</v>
      </c>
      <c r="T995"/>
    </row>
    <row r="996" spans="1:21">
      <c r="A996" s="165" t="s">
        <v>4229</v>
      </c>
      <c r="B996" s="165">
        <v>1044</v>
      </c>
      <c r="C996" s="165" t="s">
        <v>4230</v>
      </c>
      <c r="D996" s="165">
        <v>19</v>
      </c>
      <c r="E996" s="165" t="s">
        <v>4242</v>
      </c>
      <c r="F996" s="165" t="s">
        <v>4243</v>
      </c>
      <c r="G996" s="165">
        <v>3780</v>
      </c>
      <c r="H996" s="165"/>
      <c r="I996" s="165"/>
      <c r="J996" s="165"/>
      <c r="K996" s="165">
        <v>3780</v>
      </c>
      <c r="L996" s="165"/>
      <c r="M996" s="165"/>
      <c r="N996" s="165"/>
      <c r="O996" s="165">
        <f t="shared" si="28"/>
        <v>0</v>
      </c>
      <c r="P996" s="165" t="s">
        <v>4588</v>
      </c>
      <c r="Q996" s="165" t="s">
        <v>4781</v>
      </c>
      <c r="R996" s="3">
        <v>3780</v>
      </c>
      <c r="S996" s="3">
        <v>3780</v>
      </c>
      <c r="T996"/>
    </row>
    <row r="997" spans="1:21">
      <c r="A997" s="165" t="s">
        <v>4229</v>
      </c>
      <c r="B997" s="165">
        <v>1045</v>
      </c>
      <c r="C997" s="165" t="s">
        <v>4230</v>
      </c>
      <c r="D997" s="165">
        <v>20</v>
      </c>
      <c r="E997" s="165" t="s">
        <v>4244</v>
      </c>
      <c r="F997" s="165" t="s">
        <v>4245</v>
      </c>
      <c r="G997" s="165">
        <v>3780</v>
      </c>
      <c r="H997" s="165"/>
      <c r="I997" s="165"/>
      <c r="J997" s="165"/>
      <c r="K997" s="165">
        <v>3780</v>
      </c>
      <c r="L997" s="165"/>
      <c r="M997" s="165"/>
      <c r="N997" s="165"/>
      <c r="O997" s="165">
        <f t="shared" si="28"/>
        <v>0</v>
      </c>
      <c r="P997" s="165" t="s">
        <v>4767</v>
      </c>
      <c r="Q997" s="165" t="s">
        <v>4782</v>
      </c>
      <c r="R997" s="3">
        <v>3780</v>
      </c>
      <c r="S997" s="3">
        <v>3780</v>
      </c>
      <c r="T997"/>
    </row>
    <row r="998" spans="1:21">
      <c r="A998" s="165" t="s">
        <v>4229</v>
      </c>
      <c r="B998" s="165">
        <v>1046</v>
      </c>
      <c r="C998" s="165" t="s">
        <v>4230</v>
      </c>
      <c r="D998" s="165">
        <v>21</v>
      </c>
      <c r="E998" s="165" t="s">
        <v>4246</v>
      </c>
      <c r="F998" s="165" t="s">
        <v>4247</v>
      </c>
      <c r="G998" s="165">
        <v>3780</v>
      </c>
      <c r="H998" s="165"/>
      <c r="I998" s="165"/>
      <c r="J998" s="165"/>
      <c r="K998" s="165">
        <v>3780</v>
      </c>
      <c r="L998" s="165"/>
      <c r="M998" s="165"/>
      <c r="N998" s="165"/>
      <c r="O998" s="165">
        <f t="shared" si="28"/>
        <v>0</v>
      </c>
      <c r="P998" s="165" t="s">
        <v>4769</v>
      </c>
      <c r="Q998" s="165" t="s">
        <v>4783</v>
      </c>
      <c r="R998" s="3">
        <v>3780</v>
      </c>
      <c r="S998" s="3">
        <v>3780</v>
      </c>
      <c r="T998"/>
    </row>
    <row r="999" spans="1:21">
      <c r="A999" s="165" t="s">
        <v>4229</v>
      </c>
      <c r="B999" s="165">
        <v>1047</v>
      </c>
      <c r="C999" s="165" t="s">
        <v>4230</v>
      </c>
      <c r="D999" s="165">
        <v>22</v>
      </c>
      <c r="E999" s="165" t="s">
        <v>4248</v>
      </c>
      <c r="F999" s="165" t="s">
        <v>4249</v>
      </c>
      <c r="G999" s="165">
        <v>3780</v>
      </c>
      <c r="H999" s="165"/>
      <c r="I999" s="165"/>
      <c r="J999" s="165"/>
      <c r="K999" s="165">
        <v>3780</v>
      </c>
      <c r="L999" s="165"/>
      <c r="M999" s="165"/>
      <c r="N999" s="165"/>
      <c r="O999" s="165">
        <f t="shared" si="28"/>
        <v>0</v>
      </c>
      <c r="P999" s="165" t="s">
        <v>4771</v>
      </c>
      <c r="Q999" s="165" t="s">
        <v>4785</v>
      </c>
      <c r="R999" s="3">
        <v>3780</v>
      </c>
      <c r="S999" s="3">
        <v>3780</v>
      </c>
      <c r="T999"/>
    </row>
    <row r="1000" spans="1:21">
      <c r="A1000" s="165" t="s">
        <v>4229</v>
      </c>
      <c r="B1000" s="165">
        <v>1048</v>
      </c>
      <c r="C1000" s="165" t="s">
        <v>4230</v>
      </c>
      <c r="D1000" s="165">
        <v>23</v>
      </c>
      <c r="E1000" s="165" t="s">
        <v>4250</v>
      </c>
      <c r="F1000" s="165" t="s">
        <v>4251</v>
      </c>
      <c r="G1000" s="165">
        <v>3780</v>
      </c>
      <c r="H1000" s="165"/>
      <c r="I1000" s="165"/>
      <c r="J1000" s="165"/>
      <c r="K1000" s="165">
        <v>3780</v>
      </c>
      <c r="L1000" s="165"/>
      <c r="M1000" s="165"/>
      <c r="N1000" s="165"/>
      <c r="O1000" s="165">
        <f t="shared" si="28"/>
        <v>0</v>
      </c>
      <c r="P1000" s="165" t="s">
        <v>4772</v>
      </c>
      <c r="Q1000" s="165" t="s">
        <v>4088</v>
      </c>
      <c r="R1000" s="3">
        <v>3780</v>
      </c>
      <c r="S1000" s="3">
        <v>3780</v>
      </c>
      <c r="T1000"/>
    </row>
    <row r="1001" spans="1:21">
      <c r="A1001" s="165" t="s">
        <v>4229</v>
      </c>
      <c r="B1001" s="165">
        <v>1049</v>
      </c>
      <c r="C1001" s="165" t="s">
        <v>4230</v>
      </c>
      <c r="D1001" s="165">
        <v>24</v>
      </c>
      <c r="E1001" s="165" t="s">
        <v>4252</v>
      </c>
      <c r="F1001" s="165" t="s">
        <v>4253</v>
      </c>
      <c r="G1001" s="165">
        <v>3780</v>
      </c>
      <c r="H1001" s="165"/>
      <c r="I1001" s="165"/>
      <c r="J1001" s="165"/>
      <c r="K1001" s="165">
        <v>3780</v>
      </c>
      <c r="L1001" s="165"/>
      <c r="M1001" s="165"/>
      <c r="N1001" s="165"/>
      <c r="O1001" s="165">
        <f t="shared" si="28"/>
        <v>0</v>
      </c>
      <c r="P1001" s="165" t="s">
        <v>4777</v>
      </c>
      <c r="Q1001" s="165" t="s">
        <v>4127</v>
      </c>
      <c r="R1001" s="3">
        <v>3780</v>
      </c>
      <c r="S1001" s="3">
        <v>3780</v>
      </c>
      <c r="T1001"/>
    </row>
    <row r="1002" spans="1:21">
      <c r="A1002" s="165" t="s">
        <v>4254</v>
      </c>
      <c r="B1002" s="165">
        <v>1050</v>
      </c>
      <c r="C1002" s="165" t="s">
        <v>4255</v>
      </c>
      <c r="D1002" s="165">
        <v>1</v>
      </c>
      <c r="E1002" s="165" t="s">
        <v>4256</v>
      </c>
      <c r="F1002" s="165" t="s">
        <v>3975</v>
      </c>
      <c r="G1002" s="165">
        <v>14175</v>
      </c>
      <c r="H1002" s="165"/>
      <c r="I1002" s="165"/>
      <c r="J1002" s="165">
        <v>14175</v>
      </c>
      <c r="K1002" s="165"/>
      <c r="L1002" s="165"/>
      <c r="M1002" s="165"/>
      <c r="N1002" s="165"/>
      <c r="O1002" s="165">
        <f t="shared" si="28"/>
        <v>0</v>
      </c>
      <c r="P1002" s="165" t="s">
        <v>3963</v>
      </c>
      <c r="Q1002" s="165" t="s">
        <v>3964</v>
      </c>
      <c r="R1002" s="3">
        <v>14175</v>
      </c>
      <c r="S1002" s="3">
        <v>14175</v>
      </c>
      <c r="T1002"/>
    </row>
    <row r="1003" spans="1:21">
      <c r="A1003" s="165" t="s">
        <v>4254</v>
      </c>
      <c r="B1003" s="165">
        <v>1051</v>
      </c>
      <c r="C1003" s="165" t="s">
        <v>4255</v>
      </c>
      <c r="D1003" s="165">
        <v>2</v>
      </c>
      <c r="E1003" s="165" t="s">
        <v>4257</v>
      </c>
      <c r="F1003" s="165" t="s">
        <v>4258</v>
      </c>
      <c r="G1003" s="165">
        <v>14175</v>
      </c>
      <c r="H1003" s="165"/>
      <c r="I1003" s="165"/>
      <c r="J1003" s="165"/>
      <c r="K1003" s="165">
        <v>14175</v>
      </c>
      <c r="L1003" s="165"/>
      <c r="M1003" s="165"/>
      <c r="N1003" s="165"/>
      <c r="O1003" s="165">
        <f t="shared" si="28"/>
        <v>0</v>
      </c>
      <c r="P1003" s="165" t="s">
        <v>4434</v>
      </c>
      <c r="Q1003" s="165" t="s">
        <v>4435</v>
      </c>
      <c r="R1003" s="3">
        <v>14175</v>
      </c>
      <c r="S1003" s="3">
        <v>14175</v>
      </c>
      <c r="T1003"/>
    </row>
    <row r="1004" spans="1:21">
      <c r="A1004" s="165" t="s">
        <v>4254</v>
      </c>
      <c r="B1004" s="165">
        <v>1052</v>
      </c>
      <c r="C1004" s="165" t="s">
        <v>4255</v>
      </c>
      <c r="D1004" s="165">
        <v>3</v>
      </c>
      <c r="E1004" s="165" t="s">
        <v>4259</v>
      </c>
      <c r="F1004" s="165" t="s">
        <v>4260</v>
      </c>
      <c r="G1004" s="165">
        <v>14175</v>
      </c>
      <c r="H1004" s="165"/>
      <c r="I1004" s="165"/>
      <c r="J1004" s="165"/>
      <c r="K1004" s="165">
        <v>14175</v>
      </c>
      <c r="L1004" s="165"/>
      <c r="M1004" s="165"/>
      <c r="N1004" s="165"/>
      <c r="O1004" s="165">
        <f t="shared" si="28"/>
        <v>0</v>
      </c>
      <c r="P1004" s="165" t="s">
        <v>4588</v>
      </c>
      <c r="Q1004" s="165" t="s">
        <v>4781</v>
      </c>
      <c r="R1004" s="3">
        <v>14175</v>
      </c>
      <c r="S1004" s="3">
        <v>14175</v>
      </c>
      <c r="T1004"/>
    </row>
    <row r="1005" spans="1:21">
      <c r="A1005" s="165" t="s">
        <v>4254</v>
      </c>
      <c r="B1005" s="165">
        <v>1053</v>
      </c>
      <c r="C1005" s="165" t="s">
        <v>4255</v>
      </c>
      <c r="D1005" s="165">
        <v>4</v>
      </c>
      <c r="E1005" s="165" t="s">
        <v>4261</v>
      </c>
      <c r="F1005" s="165" t="s">
        <v>4262</v>
      </c>
      <c r="G1005" s="165">
        <v>14175</v>
      </c>
      <c r="H1005" s="165"/>
      <c r="I1005" s="165"/>
      <c r="J1005" s="165"/>
      <c r="K1005" s="165">
        <v>14175</v>
      </c>
      <c r="L1005" s="165"/>
      <c r="M1005" s="165"/>
      <c r="N1005" s="165"/>
      <c r="O1005" s="165">
        <f t="shared" si="28"/>
        <v>0</v>
      </c>
      <c r="P1005" s="165" t="s">
        <v>4771</v>
      </c>
      <c r="Q1005" s="165" t="s">
        <v>4785</v>
      </c>
      <c r="R1005" s="3">
        <v>14175</v>
      </c>
      <c r="S1005" s="3">
        <v>14175</v>
      </c>
      <c r="T1005"/>
    </row>
    <row r="1006" spans="1:21">
      <c r="A1006" s="165" t="s">
        <v>4254</v>
      </c>
      <c r="B1006" s="165">
        <v>1054</v>
      </c>
      <c r="C1006" s="165" t="s">
        <v>4255</v>
      </c>
      <c r="D1006" s="165">
        <v>5</v>
      </c>
      <c r="E1006" s="165" t="s">
        <v>4263</v>
      </c>
      <c r="F1006" s="165" t="s">
        <v>4264</v>
      </c>
      <c r="G1006" s="165">
        <v>14175</v>
      </c>
      <c r="H1006" s="165"/>
      <c r="I1006" s="165"/>
      <c r="J1006" s="165"/>
      <c r="K1006" s="165">
        <v>14175</v>
      </c>
      <c r="L1006" s="165"/>
      <c r="M1006" s="165"/>
      <c r="N1006" s="165"/>
      <c r="O1006" s="165">
        <f t="shared" si="28"/>
        <v>0</v>
      </c>
      <c r="P1006" s="165" t="s">
        <v>4190</v>
      </c>
      <c r="Q1006" s="165" t="s">
        <v>4033</v>
      </c>
      <c r="R1006" s="3">
        <v>14175</v>
      </c>
      <c r="S1006" s="3">
        <v>14175</v>
      </c>
      <c r="T1006"/>
    </row>
    <row r="1007" spans="1:21">
      <c r="A1007" s="165" t="s">
        <v>4254</v>
      </c>
      <c r="B1007" s="165">
        <v>1055</v>
      </c>
      <c r="C1007" s="165" t="s">
        <v>4255</v>
      </c>
      <c r="D1007" s="165">
        <v>6</v>
      </c>
      <c r="E1007" s="165" t="s">
        <v>4265</v>
      </c>
      <c r="F1007" s="165" t="s">
        <v>4266</v>
      </c>
      <c r="G1007" s="165">
        <v>14175</v>
      </c>
      <c r="H1007" s="165"/>
      <c r="I1007" s="165"/>
      <c r="J1007" s="165"/>
      <c r="K1007" s="165"/>
      <c r="L1007" s="165">
        <v>14175</v>
      </c>
      <c r="M1007" s="165"/>
      <c r="N1007" s="165"/>
      <c r="O1007" s="165">
        <f>G1007+H1007+I1007-J1007-K1007-L1007</f>
        <v>0</v>
      </c>
      <c r="P1007" s="165" t="s">
        <v>4651</v>
      </c>
      <c r="Q1007" s="165" t="s">
        <v>4793</v>
      </c>
      <c r="R1007" s="3">
        <v>14175</v>
      </c>
      <c r="S1007" s="3">
        <v>14175</v>
      </c>
      <c r="T1007"/>
    </row>
    <row r="1008" spans="1:21">
      <c r="A1008" s="165" t="s">
        <v>4254</v>
      </c>
      <c r="B1008" s="165">
        <v>1056</v>
      </c>
      <c r="C1008" s="165" t="s">
        <v>4255</v>
      </c>
      <c r="D1008" s="165">
        <v>7</v>
      </c>
      <c r="E1008" s="165" t="s">
        <v>4267</v>
      </c>
      <c r="F1008" s="165" t="s">
        <v>4268</v>
      </c>
      <c r="G1008" s="165">
        <v>14175</v>
      </c>
      <c r="H1008" s="165"/>
      <c r="I1008" s="165"/>
      <c r="J1008" s="165"/>
      <c r="K1008" s="165"/>
      <c r="L1008" s="165">
        <v>14175</v>
      </c>
      <c r="M1008" s="165"/>
      <c r="N1008" s="165"/>
      <c r="O1008" s="165">
        <f>G1008+H1008+I1008-J1008-K1008-L1008</f>
        <v>0</v>
      </c>
      <c r="P1008" s="165" t="s">
        <v>4806</v>
      </c>
      <c r="Q1008" s="165" t="s">
        <v>4268</v>
      </c>
      <c r="R1008" s="3">
        <v>14175</v>
      </c>
      <c r="S1008" s="3">
        <v>14175</v>
      </c>
      <c r="T1008"/>
    </row>
    <row r="1009" spans="1:22">
      <c r="A1009" s="165" t="s">
        <v>4254</v>
      </c>
      <c r="B1009" s="165">
        <v>1057</v>
      </c>
      <c r="C1009" s="165" t="s">
        <v>4255</v>
      </c>
      <c r="D1009" s="165">
        <v>8</v>
      </c>
      <c r="E1009" s="165" t="s">
        <v>4269</v>
      </c>
      <c r="F1009" s="165" t="s">
        <v>4270</v>
      </c>
      <c r="G1009" s="165">
        <v>14175</v>
      </c>
      <c r="H1009" s="165"/>
      <c r="I1009" s="165"/>
      <c r="J1009" s="165"/>
      <c r="K1009" s="165"/>
      <c r="L1009" s="165">
        <v>14175</v>
      </c>
      <c r="M1009" s="165"/>
      <c r="N1009" s="165"/>
      <c r="O1009" s="165">
        <f>G1009+H1009+I1009-J1009-K1009-L1009</f>
        <v>0</v>
      </c>
      <c r="P1009" s="165" t="s">
        <v>5500</v>
      </c>
      <c r="Q1009" s="165" t="s">
        <v>4270</v>
      </c>
      <c r="R1009" s="3">
        <v>14175</v>
      </c>
      <c r="S1009" s="3">
        <v>14175</v>
      </c>
      <c r="T1009"/>
    </row>
    <row r="1010" spans="1:22">
      <c r="A1010" s="165" t="s">
        <v>4234</v>
      </c>
      <c r="B1010" s="165">
        <v>1058</v>
      </c>
      <c r="C1010" s="165" t="s">
        <v>4271</v>
      </c>
      <c r="D1010" s="165">
        <v>5</v>
      </c>
      <c r="E1010" s="165" t="s">
        <v>4272</v>
      </c>
      <c r="F1010" s="165" t="s">
        <v>4273</v>
      </c>
      <c r="G1010" s="165">
        <v>20475</v>
      </c>
      <c r="H1010" s="165"/>
      <c r="I1010" s="165"/>
      <c r="J1010" s="165">
        <v>20475</v>
      </c>
      <c r="K1010" s="165"/>
      <c r="L1010" s="165"/>
      <c r="M1010" s="165"/>
      <c r="N1010" s="165"/>
      <c r="O1010" s="165">
        <f t="shared" ref="O1010:O1017" si="29">G1010+H1010+I1010-J1010-K1010</f>
        <v>0</v>
      </c>
      <c r="P1010" s="165" t="s">
        <v>3963</v>
      </c>
      <c r="Q1010" s="165" t="s">
        <v>4274</v>
      </c>
      <c r="R1010" s="3">
        <v>20475</v>
      </c>
      <c r="S1010" s="3">
        <v>20475</v>
      </c>
      <c r="T1010"/>
    </row>
    <row r="1011" spans="1:22">
      <c r="A1011" s="165" t="s">
        <v>4234</v>
      </c>
      <c r="B1011" s="165">
        <v>1059</v>
      </c>
      <c r="C1011" s="165" t="s">
        <v>4271</v>
      </c>
      <c r="D1011" s="165">
        <v>6</v>
      </c>
      <c r="E1011" s="165" t="s">
        <v>4275</v>
      </c>
      <c r="F1011" s="165" t="s">
        <v>4276</v>
      </c>
      <c r="G1011" s="165">
        <v>20475</v>
      </c>
      <c r="H1011" s="165"/>
      <c r="I1011" s="165"/>
      <c r="J1011" s="165"/>
      <c r="K1011" s="165">
        <v>20475</v>
      </c>
      <c r="L1011" s="165"/>
      <c r="M1011" s="165"/>
      <c r="N1011" s="165"/>
      <c r="O1011" s="165">
        <f t="shared" si="29"/>
        <v>0</v>
      </c>
      <c r="P1011" s="165" t="s">
        <v>4766</v>
      </c>
      <c r="Q1011" s="165" t="s">
        <v>4595</v>
      </c>
      <c r="R1011" s="3">
        <v>20475</v>
      </c>
      <c r="S1011" s="3">
        <v>20475</v>
      </c>
      <c r="T1011"/>
      <c r="U1011" s="3"/>
    </row>
    <row r="1012" spans="1:22">
      <c r="A1012" s="165" t="s">
        <v>4234</v>
      </c>
      <c r="B1012" s="165">
        <v>1060</v>
      </c>
      <c r="C1012" s="165" t="s">
        <v>4271</v>
      </c>
      <c r="D1012" s="165">
        <v>7</v>
      </c>
      <c r="E1012" s="165" t="s">
        <v>4277</v>
      </c>
      <c r="F1012" s="165" t="s">
        <v>4278</v>
      </c>
      <c r="G1012" s="165">
        <v>20475</v>
      </c>
      <c r="H1012" s="165"/>
      <c r="I1012" s="165"/>
      <c r="J1012" s="165"/>
      <c r="K1012" s="165">
        <v>20475</v>
      </c>
      <c r="L1012" s="165"/>
      <c r="M1012" s="165"/>
      <c r="N1012" s="165"/>
      <c r="O1012" s="165">
        <f t="shared" si="29"/>
        <v>0</v>
      </c>
      <c r="P1012" s="165" t="s">
        <v>4767</v>
      </c>
      <c r="Q1012" s="165" t="s">
        <v>4782</v>
      </c>
      <c r="R1012" s="3">
        <v>20475</v>
      </c>
      <c r="S1012" s="3">
        <v>20475</v>
      </c>
      <c r="T1012"/>
      <c r="U1012" s="3"/>
    </row>
    <row r="1013" spans="1:22">
      <c r="A1013" s="165" t="s">
        <v>4234</v>
      </c>
      <c r="B1013" s="165">
        <v>1061</v>
      </c>
      <c r="C1013" s="165" t="s">
        <v>4271</v>
      </c>
      <c r="D1013" s="165">
        <v>8</v>
      </c>
      <c r="E1013" s="165" t="s">
        <v>4279</v>
      </c>
      <c r="F1013" s="165" t="s">
        <v>4280</v>
      </c>
      <c r="G1013" s="165">
        <v>20475</v>
      </c>
      <c r="H1013" s="165"/>
      <c r="I1013" s="165"/>
      <c r="J1013" s="165"/>
      <c r="K1013" s="165">
        <v>20475</v>
      </c>
      <c r="L1013" s="165"/>
      <c r="M1013" s="165"/>
      <c r="N1013" s="165"/>
      <c r="O1013" s="165">
        <f t="shared" si="29"/>
        <v>0</v>
      </c>
      <c r="P1013" s="165" t="s">
        <v>4772</v>
      </c>
      <c r="Q1013" s="165" t="s">
        <v>4088</v>
      </c>
      <c r="R1013" s="3">
        <v>20475</v>
      </c>
      <c r="S1013" s="3">
        <v>20475</v>
      </c>
      <c r="T1013"/>
      <c r="U1013" s="3"/>
    </row>
    <row r="1014" spans="1:22">
      <c r="A1014" s="165" t="s">
        <v>4281</v>
      </c>
      <c r="B1014" s="165">
        <v>1062</v>
      </c>
      <c r="C1014" s="165" t="s">
        <v>4282</v>
      </c>
      <c r="D1014" s="165">
        <v>1</v>
      </c>
      <c r="E1014" s="165" t="s">
        <v>4283</v>
      </c>
      <c r="F1014" s="165" t="s">
        <v>4121</v>
      </c>
      <c r="G1014" s="165">
        <v>14175</v>
      </c>
      <c r="H1014" s="165"/>
      <c r="I1014" s="165"/>
      <c r="J1014" s="165"/>
      <c r="K1014" s="165">
        <v>14175</v>
      </c>
      <c r="L1014" s="165"/>
      <c r="M1014" s="165"/>
      <c r="N1014" s="165"/>
      <c r="O1014" s="165">
        <f t="shared" si="29"/>
        <v>0</v>
      </c>
      <c r="P1014" s="165" t="s">
        <v>4433</v>
      </c>
      <c r="Q1014" s="165" t="s">
        <v>4779</v>
      </c>
      <c r="R1014" s="3">
        <v>14175</v>
      </c>
      <c r="S1014" s="3">
        <v>14175</v>
      </c>
      <c r="T1014"/>
      <c r="U1014" s="3"/>
    </row>
    <row r="1015" spans="1:22">
      <c r="A1015" s="165" t="s">
        <v>4281</v>
      </c>
      <c r="B1015" s="165">
        <v>1063</v>
      </c>
      <c r="C1015" s="165" t="s">
        <v>4282</v>
      </c>
      <c r="D1015" s="165">
        <v>2</v>
      </c>
      <c r="E1015" s="165" t="s">
        <v>4284</v>
      </c>
      <c r="F1015" s="165" t="s">
        <v>4123</v>
      </c>
      <c r="G1015" s="165">
        <v>14175</v>
      </c>
      <c r="H1015" s="165"/>
      <c r="I1015" s="165"/>
      <c r="J1015" s="165"/>
      <c r="K1015" s="165">
        <v>14175</v>
      </c>
      <c r="L1015" s="165"/>
      <c r="M1015" s="165"/>
      <c r="N1015" s="165"/>
      <c r="O1015" s="165">
        <f t="shared" si="29"/>
        <v>0</v>
      </c>
      <c r="P1015" s="165" t="s">
        <v>4588</v>
      </c>
      <c r="Q1015" s="165" t="s">
        <v>4781</v>
      </c>
      <c r="R1015" s="3">
        <v>14175</v>
      </c>
      <c r="S1015" s="3">
        <v>14175</v>
      </c>
      <c r="T1015"/>
      <c r="U1015" s="3"/>
    </row>
    <row r="1016" spans="1:22">
      <c r="A1016" s="165" t="s">
        <v>4281</v>
      </c>
      <c r="B1016" s="165">
        <v>1064</v>
      </c>
      <c r="C1016" s="165" t="s">
        <v>4282</v>
      </c>
      <c r="D1016" s="165">
        <v>3</v>
      </c>
      <c r="E1016" s="165" t="s">
        <v>4285</v>
      </c>
      <c r="F1016" s="165" t="s">
        <v>4125</v>
      </c>
      <c r="G1016" s="165">
        <v>14175</v>
      </c>
      <c r="H1016" s="165"/>
      <c r="I1016" s="165"/>
      <c r="J1016" s="165"/>
      <c r="K1016" s="165">
        <v>14175</v>
      </c>
      <c r="L1016" s="165"/>
      <c r="M1016" s="165"/>
      <c r="N1016" s="165"/>
      <c r="O1016" s="165">
        <f t="shared" si="29"/>
        <v>0</v>
      </c>
      <c r="P1016" s="165" t="s">
        <v>4770</v>
      </c>
      <c r="Q1016" s="165" t="s">
        <v>4784</v>
      </c>
      <c r="R1016" s="3">
        <v>14175</v>
      </c>
      <c r="S1016" s="3">
        <v>14175</v>
      </c>
      <c r="T1016"/>
      <c r="U1016" s="3"/>
    </row>
    <row r="1017" spans="1:22">
      <c r="A1017" s="165" t="s">
        <v>4281</v>
      </c>
      <c r="B1017" s="165">
        <v>1065</v>
      </c>
      <c r="C1017" s="165" t="s">
        <v>4282</v>
      </c>
      <c r="D1017" s="165">
        <v>4</v>
      </c>
      <c r="E1017" s="165" t="s">
        <v>4286</v>
      </c>
      <c r="F1017" s="165" t="s">
        <v>4127</v>
      </c>
      <c r="G1017" s="165">
        <v>14175</v>
      </c>
      <c r="H1017" s="165"/>
      <c r="I1017" s="165"/>
      <c r="J1017" s="165"/>
      <c r="K1017" s="165">
        <v>14175</v>
      </c>
      <c r="L1017" s="165"/>
      <c r="M1017" s="165"/>
      <c r="N1017" s="165"/>
      <c r="O1017" s="165">
        <f t="shared" si="29"/>
        <v>0</v>
      </c>
      <c r="P1017" s="165" t="s">
        <v>4777</v>
      </c>
      <c r="Q1017" s="165" t="s">
        <v>4127</v>
      </c>
      <c r="R1017" s="3">
        <v>14175</v>
      </c>
      <c r="S1017" s="3">
        <v>14175</v>
      </c>
      <c r="T1017"/>
      <c r="U1017" s="3"/>
    </row>
    <row r="1018" spans="1:22">
      <c r="A1018" s="165" t="s">
        <v>4281</v>
      </c>
      <c r="B1018" s="165">
        <v>1066</v>
      </c>
      <c r="C1018" s="165" t="s">
        <v>4282</v>
      </c>
      <c r="D1018" s="165">
        <v>5</v>
      </c>
      <c r="E1018" s="165" t="s">
        <v>4287</v>
      </c>
      <c r="F1018" s="165" t="s">
        <v>4129</v>
      </c>
      <c r="G1018" s="165">
        <v>14175</v>
      </c>
      <c r="H1018" s="165"/>
      <c r="I1018" s="165"/>
      <c r="J1018" s="165"/>
      <c r="K1018" s="165"/>
      <c r="L1018" s="165">
        <v>14175</v>
      </c>
      <c r="M1018" s="165"/>
      <c r="N1018" s="165"/>
      <c r="O1018" s="165">
        <f>G1018+H1018+I1018-J1018-K1018-L1018</f>
        <v>0</v>
      </c>
      <c r="P1018" s="165" t="s">
        <v>4791</v>
      </c>
      <c r="Q1018" s="165" t="s">
        <v>5317</v>
      </c>
      <c r="R1018" s="3">
        <v>14175</v>
      </c>
      <c r="S1018" s="3">
        <v>14175</v>
      </c>
      <c r="T1018"/>
      <c r="U1018" s="3"/>
    </row>
    <row r="1019" spans="1:22">
      <c r="A1019" s="165" t="s">
        <v>4281</v>
      </c>
      <c r="B1019" s="165">
        <v>1067</v>
      </c>
      <c r="C1019" s="165" t="s">
        <v>4282</v>
      </c>
      <c r="D1019" s="165">
        <v>6</v>
      </c>
      <c r="E1019" s="165" t="s">
        <v>4288</v>
      </c>
      <c r="F1019" s="165" t="s">
        <v>4289</v>
      </c>
      <c r="G1019" s="165">
        <v>14175</v>
      </c>
      <c r="H1019" s="165"/>
      <c r="I1019" s="165"/>
      <c r="J1019" s="165"/>
      <c r="K1019" s="165"/>
      <c r="L1019" s="165">
        <v>14175</v>
      </c>
      <c r="M1019" s="165"/>
      <c r="N1019" s="165"/>
      <c r="O1019" s="165">
        <f>G1019+H1019+I1019-J1019-K1019-L1019</f>
        <v>0</v>
      </c>
      <c r="P1019" s="165" t="s">
        <v>4802</v>
      </c>
      <c r="Q1019" s="165" t="s">
        <v>4804</v>
      </c>
      <c r="R1019" s="3">
        <v>14175</v>
      </c>
      <c r="S1019" s="3">
        <v>14175</v>
      </c>
      <c r="T1019"/>
      <c r="U1019" s="3"/>
    </row>
    <row r="1020" spans="1:22">
      <c r="A1020" s="165" t="s">
        <v>4281</v>
      </c>
      <c r="B1020" s="165">
        <v>1068</v>
      </c>
      <c r="C1020" s="165" t="s">
        <v>4282</v>
      </c>
      <c r="D1020" s="165">
        <v>7</v>
      </c>
      <c r="E1020" s="165" t="s">
        <v>4290</v>
      </c>
      <c r="F1020" s="165" t="s">
        <v>4291</v>
      </c>
      <c r="G1020" s="165">
        <v>14175</v>
      </c>
      <c r="H1020" s="165"/>
      <c r="I1020" s="165"/>
      <c r="J1020" s="165"/>
      <c r="K1020" s="165"/>
      <c r="L1020" s="165">
        <v>14175</v>
      </c>
      <c r="M1020" s="165"/>
      <c r="N1020" s="165"/>
      <c r="O1020" s="165">
        <f>G1020+H1020+I1020-J1020-K1020-L1020</f>
        <v>0</v>
      </c>
      <c r="P1020" s="165" t="s">
        <v>5488</v>
      </c>
      <c r="Q1020" s="165" t="s">
        <v>4291</v>
      </c>
      <c r="R1020" s="3">
        <v>14175</v>
      </c>
      <c r="S1020" s="3">
        <v>14175</v>
      </c>
      <c r="T1020"/>
      <c r="U1020" s="3"/>
    </row>
    <row r="1021" spans="1:22">
      <c r="A1021" s="165" t="s">
        <v>4281</v>
      </c>
      <c r="B1021" s="165">
        <v>1069</v>
      </c>
      <c r="C1021" s="165" t="s">
        <v>4282</v>
      </c>
      <c r="D1021" s="165">
        <v>8</v>
      </c>
      <c r="E1021" s="165" t="s">
        <v>4292</v>
      </c>
      <c r="F1021" s="165" t="s">
        <v>4293</v>
      </c>
      <c r="G1021" s="165">
        <v>14175</v>
      </c>
      <c r="H1021" s="165"/>
      <c r="I1021" s="165"/>
      <c r="J1021" s="165"/>
      <c r="K1021" s="165"/>
      <c r="L1021" s="165">
        <v>14175</v>
      </c>
      <c r="M1021" s="165"/>
      <c r="N1021" s="165"/>
      <c r="O1021" s="165">
        <f>G1021+H1021+I1021-J1021-K1021-L1021</f>
        <v>0</v>
      </c>
      <c r="P1021" s="165" t="s">
        <v>5263</v>
      </c>
      <c r="Q1021" s="165" t="s">
        <v>4293</v>
      </c>
      <c r="R1021" s="3">
        <v>14175</v>
      </c>
      <c r="S1021" s="3">
        <v>14175</v>
      </c>
      <c r="T1021"/>
      <c r="U1021" s="3"/>
    </row>
    <row r="1022" spans="1:22">
      <c r="A1022" s="165" t="s">
        <v>4274</v>
      </c>
      <c r="B1022" s="165">
        <v>1070</v>
      </c>
      <c r="C1022" s="165" t="s">
        <v>1232</v>
      </c>
      <c r="D1022" s="165">
        <v>7</v>
      </c>
      <c r="E1022" s="165" t="s">
        <v>4294</v>
      </c>
      <c r="F1022" s="405" t="s">
        <v>4472</v>
      </c>
      <c r="G1022" s="165">
        <v>16380</v>
      </c>
      <c r="H1022" s="165"/>
      <c r="I1022" s="165"/>
      <c r="J1022" s="165"/>
      <c r="K1022" s="165">
        <v>16380</v>
      </c>
      <c r="L1022" s="165"/>
      <c r="M1022" s="165"/>
      <c r="N1022" s="165"/>
      <c r="O1022" s="165">
        <f>G1022+H1022+I1022-J1022-K1022</f>
        <v>0</v>
      </c>
      <c r="P1022" s="165" t="s">
        <v>4236</v>
      </c>
      <c r="Q1022" s="165" t="s">
        <v>4752</v>
      </c>
      <c r="R1022" s="3">
        <v>16380</v>
      </c>
      <c r="S1022" s="3">
        <v>16380</v>
      </c>
      <c r="T1022"/>
      <c r="U1022" s="3"/>
    </row>
    <row r="1023" spans="1:22" s="163" customFormat="1">
      <c r="A1023" s="281" t="s">
        <v>3973</v>
      </c>
      <c r="B1023" s="281"/>
      <c r="C1023" s="281" t="s">
        <v>4201</v>
      </c>
      <c r="D1023" s="281"/>
      <c r="E1023" s="281" t="s">
        <v>1283</v>
      </c>
      <c r="F1023" s="281" t="s">
        <v>3973</v>
      </c>
      <c r="G1023" s="284"/>
      <c r="H1023" s="284"/>
      <c r="I1023" s="284"/>
      <c r="J1023" s="281"/>
      <c r="K1023" s="281"/>
      <c r="L1023" s="281"/>
      <c r="M1023" s="281"/>
      <c r="N1023" s="281"/>
      <c r="O1023" s="281">
        <f>G1023+H1023+I1023-J1023-K1023</f>
        <v>0</v>
      </c>
      <c r="P1023" s="281" t="s">
        <v>3973</v>
      </c>
      <c r="Q1023" s="281" t="s">
        <v>3973</v>
      </c>
      <c r="R1023" s="281">
        <v>52490</v>
      </c>
      <c r="S1023" s="281">
        <v>52490</v>
      </c>
      <c r="T1023" s="406">
        <v>52490</v>
      </c>
      <c r="U1023" s="556">
        <v>10</v>
      </c>
      <c r="V1023" s="163" t="s">
        <v>4295</v>
      </c>
    </row>
    <row r="1024" spans="1:22">
      <c r="A1024" s="165"/>
      <c r="B1024" s="94"/>
      <c r="C1024" s="165"/>
      <c r="D1024" s="165"/>
      <c r="E1024" s="165"/>
      <c r="F1024" s="165"/>
      <c r="G1024" s="165"/>
      <c r="H1024" s="165"/>
      <c r="I1024" s="165"/>
      <c r="J1024" s="165"/>
      <c r="K1024" s="165"/>
      <c r="L1024" s="165"/>
      <c r="M1024" s="165"/>
      <c r="N1024" s="165"/>
      <c r="O1024" s="165"/>
      <c r="P1024" s="165"/>
      <c r="T1024" s="3" t="s">
        <v>4462</v>
      </c>
    </row>
    <row r="1025" spans="1:22">
      <c r="A1025" s="165"/>
      <c r="B1025" s="94"/>
      <c r="C1025" s="165"/>
      <c r="D1025" s="165"/>
      <c r="E1025" s="165"/>
      <c r="F1025" s="165"/>
      <c r="G1025" s="165"/>
      <c r="H1025" s="165"/>
      <c r="I1025" s="165"/>
      <c r="J1025" s="165"/>
      <c r="K1025" s="165"/>
      <c r="L1025" s="165"/>
      <c r="M1025" s="165"/>
      <c r="N1025" s="165"/>
      <c r="O1025" s="165"/>
      <c r="P1025" s="165"/>
    </row>
    <row r="1026" spans="1:22">
      <c r="A1026" s="165"/>
      <c r="B1026" s="94"/>
      <c r="C1026" s="165"/>
      <c r="D1026" s="165"/>
      <c r="E1026" s="165"/>
      <c r="F1026" s="165"/>
      <c r="G1026" s="165"/>
      <c r="H1026" s="165"/>
      <c r="I1026" s="165"/>
      <c r="J1026" s="165"/>
      <c r="K1026" s="165"/>
      <c r="L1026" s="165"/>
      <c r="M1026" s="165"/>
      <c r="N1026" s="165"/>
      <c r="O1026" s="165"/>
      <c r="P1026" s="165"/>
    </row>
    <row r="1027" spans="1:22">
      <c r="A1027" s="165"/>
      <c r="B1027" s="94"/>
      <c r="C1027" s="165"/>
      <c r="D1027" s="165"/>
      <c r="E1027" s="165"/>
      <c r="F1027" s="165"/>
      <c r="G1027" s="165"/>
      <c r="H1027" s="165"/>
      <c r="I1027" s="165"/>
      <c r="J1027" s="165"/>
      <c r="K1027" s="165"/>
      <c r="L1027" s="165"/>
      <c r="M1027" s="165"/>
      <c r="N1027" s="165"/>
      <c r="O1027" s="165"/>
      <c r="P1027" s="165"/>
    </row>
    <row r="1028" spans="1:22">
      <c r="A1028" s="165"/>
      <c r="B1028" s="165"/>
      <c r="C1028" s="165"/>
      <c r="D1028" s="165"/>
      <c r="E1028" s="165"/>
      <c r="F1028" s="165"/>
      <c r="G1028" s="165"/>
      <c r="H1028" s="165"/>
      <c r="I1028" s="165"/>
      <c r="J1028" s="165"/>
      <c r="K1028" s="165"/>
      <c r="L1028" s="165"/>
      <c r="M1028" s="165"/>
      <c r="N1028" s="165"/>
      <c r="O1028" s="165"/>
      <c r="P1028" s="165"/>
    </row>
    <row r="1029" spans="1:22" s="176" customFormat="1" ht="20.25" customHeight="1">
      <c r="A1029" s="203" t="s">
        <v>4501</v>
      </c>
      <c r="B1029" s="200"/>
      <c r="C1029" s="201"/>
      <c r="D1029" s="202"/>
      <c r="E1029" s="201"/>
      <c r="F1029" s="185" t="s">
        <v>2378</v>
      </c>
      <c r="G1029" s="185">
        <f t="shared" ref="G1029:O1029" si="30">SUM(G1034:G1157)</f>
        <v>1086120</v>
      </c>
      <c r="H1029" s="185">
        <f t="shared" si="30"/>
        <v>463365</v>
      </c>
      <c r="I1029" s="185">
        <f t="shared" si="30"/>
        <v>110565</v>
      </c>
      <c r="J1029" s="185">
        <f t="shared" si="30"/>
        <v>547470</v>
      </c>
      <c r="K1029" s="185">
        <f t="shared" si="30"/>
        <v>767655</v>
      </c>
      <c r="L1029" s="185">
        <f t="shared" si="30"/>
        <v>344925</v>
      </c>
      <c r="M1029" s="185">
        <f t="shared" si="30"/>
        <v>0</v>
      </c>
      <c r="N1029" s="185">
        <f t="shared" si="30"/>
        <v>0</v>
      </c>
      <c r="O1029" s="185">
        <f t="shared" si="30"/>
        <v>0</v>
      </c>
      <c r="P1029" s="185"/>
      <c r="Q1029" s="185"/>
      <c r="R1029" s="185">
        <f>SUM(R1034:R1157)</f>
        <v>2171700</v>
      </c>
      <c r="S1029" s="185">
        <f>SUM(S1034:S1157)</f>
        <v>2171510</v>
      </c>
      <c r="T1029" s="185">
        <f>SUM(T1034:T1157)</f>
        <v>511460</v>
      </c>
      <c r="U1029" s="185">
        <f>SUM(U1034:U1157)</f>
        <v>190</v>
      </c>
    </row>
    <row r="1030" spans="1:22" s="270" customFormat="1">
      <c r="A1030" s="269" t="s">
        <v>1281</v>
      </c>
      <c r="B1030" s="269" t="s">
        <v>2435</v>
      </c>
      <c r="C1030" s="269" t="s">
        <v>1385</v>
      </c>
      <c r="D1030" s="269" t="s">
        <v>1275</v>
      </c>
      <c r="E1030" s="269" t="s">
        <v>265</v>
      </c>
      <c r="F1030" s="269" t="s">
        <v>1280</v>
      </c>
      <c r="G1030" s="269" t="s">
        <v>4502</v>
      </c>
      <c r="H1030" s="269" t="s">
        <v>4468</v>
      </c>
      <c r="I1030" s="269" t="s">
        <v>4447</v>
      </c>
      <c r="J1030" s="269" t="s">
        <v>4470</v>
      </c>
      <c r="K1030" s="269" t="s">
        <v>4471</v>
      </c>
      <c r="L1030" s="269" t="s">
        <v>9596</v>
      </c>
      <c r="M1030" s="269" t="s">
        <v>4841</v>
      </c>
      <c r="N1030" s="269" t="s">
        <v>3728</v>
      </c>
      <c r="O1030" s="269" t="s">
        <v>2438</v>
      </c>
      <c r="P1030" s="269" t="s">
        <v>1282</v>
      </c>
      <c r="Q1030" s="269" t="s">
        <v>1386</v>
      </c>
      <c r="R1030" s="269" t="s">
        <v>576</v>
      </c>
      <c r="S1030" s="269" t="s">
        <v>3593</v>
      </c>
      <c r="T1030" s="269" t="s">
        <v>1283</v>
      </c>
      <c r="U1030" s="269" t="s">
        <v>577</v>
      </c>
    </row>
    <row r="1031" spans="1:22" s="163" customFormat="1">
      <c r="A1031" s="281" t="s">
        <v>4752</v>
      </c>
      <c r="B1031" s="281"/>
      <c r="C1031" s="281" t="s">
        <v>3825</v>
      </c>
      <c r="D1031" s="281">
        <v>4</v>
      </c>
      <c r="E1031" s="281" t="s">
        <v>1283</v>
      </c>
      <c r="F1031" s="281" t="s">
        <v>4752</v>
      </c>
      <c r="G1031" s="284"/>
      <c r="H1031" s="284"/>
      <c r="I1031" s="284"/>
      <c r="J1031" s="281"/>
      <c r="K1031" s="281"/>
      <c r="L1031" s="281"/>
      <c r="M1031" s="281"/>
      <c r="N1031" s="281"/>
      <c r="O1031" s="281">
        <f>G1031+H1031+I1031-J1031-K1031-L1031</f>
        <v>0</v>
      </c>
      <c r="P1031" s="281" t="s">
        <v>4752</v>
      </c>
      <c r="Q1031" s="281" t="s">
        <v>4752</v>
      </c>
      <c r="R1031" s="281">
        <v>14175</v>
      </c>
      <c r="S1031" s="281">
        <v>14145</v>
      </c>
      <c r="T1031" s="406">
        <v>14145</v>
      </c>
      <c r="U1031" s="556">
        <v>30</v>
      </c>
    </row>
    <row r="1032" spans="1:22" s="163" customFormat="1">
      <c r="A1032" s="281" t="s">
        <v>4753</v>
      </c>
      <c r="B1032" s="281"/>
      <c r="C1032" s="281" t="s">
        <v>4000</v>
      </c>
      <c r="D1032" s="281"/>
      <c r="E1032" s="281" t="s">
        <v>1283</v>
      </c>
      <c r="F1032" s="281" t="s">
        <v>4753</v>
      </c>
      <c r="G1032" s="284"/>
      <c r="H1032" s="284"/>
      <c r="I1032" s="284"/>
      <c r="J1032" s="281"/>
      <c r="K1032" s="281"/>
      <c r="L1032" s="281"/>
      <c r="M1032" s="281"/>
      <c r="N1032" s="281"/>
      <c r="O1032" s="281">
        <f t="shared" ref="O1032:O1095" si="31">G1032+H1032+I1032-J1032-K1032-L1032</f>
        <v>0</v>
      </c>
      <c r="P1032" s="281" t="s">
        <v>4753</v>
      </c>
      <c r="Q1032" s="281" t="s">
        <v>4753</v>
      </c>
      <c r="R1032" s="281">
        <v>52500</v>
      </c>
      <c r="S1032" s="281">
        <v>52490</v>
      </c>
      <c r="T1032" s="406">
        <v>52490</v>
      </c>
      <c r="U1032" s="556">
        <v>10</v>
      </c>
      <c r="V1032" s="163" t="s">
        <v>4754</v>
      </c>
    </row>
    <row r="1033" spans="1:22" s="163" customFormat="1">
      <c r="A1033" s="281" t="s">
        <v>4433</v>
      </c>
      <c r="B1033" s="281"/>
      <c r="C1033" s="281" t="s">
        <v>4204</v>
      </c>
      <c r="D1033" s="281"/>
      <c r="E1033" s="281" t="s">
        <v>1283</v>
      </c>
      <c r="F1033" s="281" t="s">
        <v>4433</v>
      </c>
      <c r="G1033" s="284"/>
      <c r="H1033" s="284"/>
      <c r="I1033" s="284"/>
      <c r="J1033" s="281"/>
      <c r="K1033" s="281"/>
      <c r="L1033" s="281"/>
      <c r="M1033" s="281"/>
      <c r="N1033" s="281"/>
      <c r="O1033" s="281">
        <f t="shared" si="31"/>
        <v>0</v>
      </c>
      <c r="P1033" s="281" t="s">
        <v>4433</v>
      </c>
      <c r="Q1033" s="281" t="s">
        <v>4433</v>
      </c>
      <c r="R1033" s="281">
        <v>42000</v>
      </c>
      <c r="S1033" s="281">
        <v>42000</v>
      </c>
      <c r="T1033" s="406">
        <v>42000</v>
      </c>
      <c r="U1033" s="281"/>
      <c r="V1033" s="163" t="s">
        <v>4755</v>
      </c>
    </row>
    <row r="1034" spans="1:22">
      <c r="A1034" s="165" t="s">
        <v>4580</v>
      </c>
      <c r="B1034" s="94">
        <v>1071</v>
      </c>
      <c r="C1034" s="165" t="s">
        <v>3954</v>
      </c>
      <c r="D1034" s="165">
        <v>1</v>
      </c>
      <c r="E1034" s="165" t="s">
        <v>4578</v>
      </c>
      <c r="F1034" s="165" t="s">
        <v>4579</v>
      </c>
      <c r="G1034" s="165"/>
      <c r="H1034" s="165">
        <v>17325</v>
      </c>
      <c r="I1034" s="165"/>
      <c r="J1034" s="165">
        <v>17325</v>
      </c>
      <c r="K1034" s="165"/>
      <c r="L1034" s="165"/>
      <c r="M1034" s="165"/>
      <c r="N1034" s="165"/>
      <c r="O1034" s="337">
        <f t="shared" si="31"/>
        <v>0</v>
      </c>
      <c r="P1034" s="165" t="s">
        <v>4434</v>
      </c>
      <c r="Q1034" s="165" t="s">
        <v>4435</v>
      </c>
      <c r="R1034" s="3">
        <f t="shared" ref="R1034:R1041" si="32">H1034</f>
        <v>17325</v>
      </c>
      <c r="S1034" s="337">
        <v>17325</v>
      </c>
      <c r="T1034"/>
      <c r="U1034" s="3"/>
    </row>
    <row r="1035" spans="1:22">
      <c r="A1035" s="165" t="s">
        <v>4580</v>
      </c>
      <c r="B1035" s="94">
        <v>1072</v>
      </c>
      <c r="C1035" s="165" t="s">
        <v>3954</v>
      </c>
      <c r="D1035" s="165">
        <v>2</v>
      </c>
      <c r="E1035" s="165" t="s">
        <v>4581</v>
      </c>
      <c r="F1035" s="165" t="s">
        <v>4588</v>
      </c>
      <c r="G1035" s="165"/>
      <c r="H1035" s="165">
        <v>17325</v>
      </c>
      <c r="I1035" s="165"/>
      <c r="J1035" s="165">
        <v>17325</v>
      </c>
      <c r="K1035" s="165"/>
      <c r="L1035" s="165"/>
      <c r="M1035" s="165"/>
      <c r="N1035" s="165"/>
      <c r="O1035" s="337">
        <f t="shared" si="31"/>
        <v>0</v>
      </c>
      <c r="P1035" s="165" t="s">
        <v>4588</v>
      </c>
      <c r="Q1035" s="165" t="s">
        <v>4781</v>
      </c>
      <c r="R1035" s="3">
        <f t="shared" si="32"/>
        <v>17325</v>
      </c>
      <c r="S1035" s="337">
        <v>17325</v>
      </c>
      <c r="T1035"/>
      <c r="U1035" s="3"/>
    </row>
    <row r="1036" spans="1:22">
      <c r="A1036" s="165" t="s">
        <v>4580</v>
      </c>
      <c r="B1036" s="94">
        <v>1073</v>
      </c>
      <c r="C1036" s="165" t="s">
        <v>3954</v>
      </c>
      <c r="D1036" s="165">
        <v>3</v>
      </c>
      <c r="E1036" s="165" t="s">
        <v>4582</v>
      </c>
      <c r="F1036" s="165" t="s">
        <v>4589</v>
      </c>
      <c r="G1036" s="165"/>
      <c r="H1036" s="165">
        <v>17325</v>
      </c>
      <c r="I1036" s="165"/>
      <c r="J1036" s="165">
        <v>17325</v>
      </c>
      <c r="K1036" s="165"/>
      <c r="L1036" s="165"/>
      <c r="M1036" s="165"/>
      <c r="N1036" s="165"/>
      <c r="O1036" s="337">
        <f t="shared" si="31"/>
        <v>0</v>
      </c>
      <c r="P1036" s="165" t="s">
        <v>4771</v>
      </c>
      <c r="Q1036" s="165" t="s">
        <v>4785</v>
      </c>
      <c r="R1036" s="3">
        <f t="shared" si="32"/>
        <v>17325</v>
      </c>
      <c r="S1036" s="337">
        <v>17325</v>
      </c>
      <c r="T1036"/>
      <c r="U1036" s="3"/>
    </row>
    <row r="1037" spans="1:22">
      <c r="A1037" s="165" t="s">
        <v>4580</v>
      </c>
      <c r="B1037" s="94">
        <v>1074</v>
      </c>
      <c r="C1037" s="165" t="s">
        <v>3954</v>
      </c>
      <c r="D1037" s="165">
        <v>4</v>
      </c>
      <c r="E1037" s="165" t="s">
        <v>4583</v>
      </c>
      <c r="F1037" s="165" t="s">
        <v>4590</v>
      </c>
      <c r="G1037" s="165"/>
      <c r="H1037" s="165">
        <v>17325</v>
      </c>
      <c r="I1037" s="165"/>
      <c r="J1037" s="165">
        <v>17325</v>
      </c>
      <c r="K1037" s="165"/>
      <c r="L1037" s="165"/>
      <c r="M1037" s="165"/>
      <c r="N1037" s="165"/>
      <c r="O1037" s="337">
        <f t="shared" si="31"/>
        <v>0</v>
      </c>
      <c r="P1037" s="165" t="s">
        <v>4190</v>
      </c>
      <c r="Q1037" s="165" t="s">
        <v>4033</v>
      </c>
      <c r="R1037" s="3">
        <f t="shared" si="32"/>
        <v>17325</v>
      </c>
      <c r="S1037" s="337">
        <v>17325</v>
      </c>
      <c r="T1037"/>
      <c r="U1037" s="3"/>
    </row>
    <row r="1038" spans="1:22">
      <c r="A1038" s="165" t="s">
        <v>4580</v>
      </c>
      <c r="B1038" s="94">
        <v>1075</v>
      </c>
      <c r="C1038" s="165" t="s">
        <v>3954</v>
      </c>
      <c r="D1038" s="165">
        <v>5</v>
      </c>
      <c r="E1038" s="165" t="s">
        <v>4584</v>
      </c>
      <c r="F1038" s="165" t="s">
        <v>4591</v>
      </c>
      <c r="G1038" s="165"/>
      <c r="H1038" s="165">
        <v>17325</v>
      </c>
      <c r="I1038" s="165"/>
      <c r="J1038" s="165"/>
      <c r="K1038" s="165">
        <v>17325</v>
      </c>
      <c r="L1038" s="165"/>
      <c r="M1038" s="165"/>
      <c r="N1038" s="165"/>
      <c r="O1038" s="337">
        <f t="shared" si="31"/>
        <v>0</v>
      </c>
      <c r="P1038" s="165" t="s">
        <v>4651</v>
      </c>
      <c r="Q1038" s="165" t="s">
        <v>4793</v>
      </c>
      <c r="R1038" s="3">
        <f t="shared" si="32"/>
        <v>17325</v>
      </c>
      <c r="S1038" s="337">
        <v>17325</v>
      </c>
      <c r="T1038"/>
      <c r="U1038" s="3"/>
    </row>
    <row r="1039" spans="1:22">
      <c r="A1039" s="165" t="s">
        <v>4580</v>
      </c>
      <c r="B1039" s="94">
        <v>1076</v>
      </c>
      <c r="C1039" s="165" t="s">
        <v>3954</v>
      </c>
      <c r="D1039" s="165">
        <v>6</v>
      </c>
      <c r="E1039" s="165" t="s">
        <v>4585</v>
      </c>
      <c r="F1039" s="165" t="s">
        <v>4592</v>
      </c>
      <c r="G1039" s="165"/>
      <c r="H1039" s="165">
        <v>17325</v>
      </c>
      <c r="I1039" s="165"/>
      <c r="J1039" s="165"/>
      <c r="K1039" s="165">
        <v>17325</v>
      </c>
      <c r="L1039" s="165"/>
      <c r="M1039" s="165"/>
      <c r="N1039" s="165"/>
      <c r="O1039" s="337">
        <f t="shared" si="31"/>
        <v>0</v>
      </c>
      <c r="P1039" s="165" t="s">
        <v>4806</v>
      </c>
      <c r="Q1039" s="165" t="s">
        <v>5436</v>
      </c>
      <c r="R1039" s="3">
        <f t="shared" si="32"/>
        <v>17325</v>
      </c>
      <c r="S1039" s="337">
        <v>17325</v>
      </c>
      <c r="T1039"/>
      <c r="U1039" s="3"/>
    </row>
    <row r="1040" spans="1:22">
      <c r="A1040" s="165" t="s">
        <v>4580</v>
      </c>
      <c r="B1040" s="94">
        <v>1077</v>
      </c>
      <c r="C1040" s="165" t="s">
        <v>3954</v>
      </c>
      <c r="D1040" s="165">
        <v>7</v>
      </c>
      <c r="E1040" s="165" t="s">
        <v>4586</v>
      </c>
      <c r="F1040" s="165" t="s">
        <v>4593</v>
      </c>
      <c r="G1040" s="165"/>
      <c r="H1040" s="165">
        <v>17325</v>
      </c>
      <c r="I1040" s="165"/>
      <c r="J1040" s="165"/>
      <c r="K1040" s="165">
        <v>17325</v>
      </c>
      <c r="L1040" s="165"/>
      <c r="M1040" s="165"/>
      <c r="N1040" s="165"/>
      <c r="O1040" s="337">
        <f t="shared" si="31"/>
        <v>0</v>
      </c>
      <c r="P1040" s="165" t="s">
        <v>5500</v>
      </c>
      <c r="Q1040" s="165" t="s">
        <v>5501</v>
      </c>
      <c r="R1040" s="3">
        <f t="shared" si="32"/>
        <v>17325</v>
      </c>
      <c r="S1040" s="337">
        <v>17325</v>
      </c>
      <c r="T1040"/>
      <c r="U1040" s="3"/>
    </row>
    <row r="1041" spans="1:22">
      <c r="A1041" s="165" t="s">
        <v>4580</v>
      </c>
      <c r="B1041" s="94">
        <v>1078</v>
      </c>
      <c r="C1041" s="165" t="s">
        <v>3954</v>
      </c>
      <c r="D1041" s="165">
        <v>8</v>
      </c>
      <c r="E1041" s="165" t="s">
        <v>4587</v>
      </c>
      <c r="F1041" s="165" t="s">
        <v>4594</v>
      </c>
      <c r="G1041" s="165"/>
      <c r="H1041" s="165">
        <v>17325</v>
      </c>
      <c r="I1041" s="165"/>
      <c r="J1041" s="165"/>
      <c r="K1041" s="165">
        <v>17325</v>
      </c>
      <c r="L1041" s="165"/>
      <c r="M1041" s="165"/>
      <c r="N1041" s="165"/>
      <c r="O1041" s="337">
        <f t="shared" si="31"/>
        <v>0</v>
      </c>
      <c r="P1041" s="165" t="s">
        <v>5551</v>
      </c>
      <c r="Q1041" s="165" t="s">
        <v>4594</v>
      </c>
      <c r="R1041" s="3">
        <f t="shared" si="32"/>
        <v>17325</v>
      </c>
      <c r="S1041" s="337">
        <v>17325</v>
      </c>
      <c r="T1041"/>
      <c r="U1041" s="3"/>
    </row>
    <row r="1042" spans="1:22" s="163" customFormat="1">
      <c r="A1042" s="281" t="s">
        <v>4258</v>
      </c>
      <c r="B1042" s="281"/>
      <c r="C1042" s="281" t="s">
        <v>1532</v>
      </c>
      <c r="D1042" s="281">
        <v>3</v>
      </c>
      <c r="E1042" s="281" t="s">
        <v>1283</v>
      </c>
      <c r="F1042" s="281" t="s">
        <v>4258</v>
      </c>
      <c r="G1042" s="284"/>
      <c r="H1042" s="284"/>
      <c r="I1042" s="284"/>
      <c r="J1042" s="281"/>
      <c r="K1042" s="281"/>
      <c r="L1042" s="281"/>
      <c r="M1042" s="281"/>
      <c r="N1042" s="281"/>
      <c r="O1042" s="664">
        <f t="shared" si="31"/>
        <v>0</v>
      </c>
      <c r="P1042" s="281" t="s">
        <v>4258</v>
      </c>
      <c r="Q1042" s="281" t="s">
        <v>4258</v>
      </c>
      <c r="R1042" s="281">
        <v>13500</v>
      </c>
      <c r="S1042" s="281">
        <v>13485</v>
      </c>
      <c r="T1042" s="406">
        <v>13485</v>
      </c>
      <c r="U1042" s="556">
        <v>15</v>
      </c>
    </row>
    <row r="1043" spans="1:22">
      <c r="A1043" s="165" t="s">
        <v>4595</v>
      </c>
      <c r="B1043" s="165">
        <v>1079</v>
      </c>
      <c r="C1043" s="165" t="s">
        <v>1232</v>
      </c>
      <c r="D1043" s="165">
        <v>8</v>
      </c>
      <c r="E1043" s="165" t="s">
        <v>4596</v>
      </c>
      <c r="F1043" s="165" t="s">
        <v>4437</v>
      </c>
      <c r="G1043" s="165">
        <v>16380</v>
      </c>
      <c r="H1043" s="165"/>
      <c r="I1043" s="165"/>
      <c r="J1043" s="165">
        <v>16380</v>
      </c>
      <c r="K1043" s="165"/>
      <c r="L1043" s="165"/>
      <c r="M1043" s="165"/>
      <c r="N1043" s="165"/>
      <c r="O1043" s="337">
        <f t="shared" si="31"/>
        <v>0</v>
      </c>
      <c r="P1043" s="165" t="s">
        <v>4439</v>
      </c>
      <c r="Q1043" s="165" t="s">
        <v>4780</v>
      </c>
      <c r="R1043" s="3">
        <f>G1043</f>
        <v>16380</v>
      </c>
      <c r="S1043" s="165">
        <v>16380</v>
      </c>
      <c r="T1043"/>
      <c r="U1043" s="3"/>
    </row>
    <row r="1044" spans="1:22" s="163" customFormat="1">
      <c r="A1044" s="281" t="s">
        <v>4756</v>
      </c>
      <c r="B1044" s="281"/>
      <c r="C1044" s="281" t="s">
        <v>4517</v>
      </c>
      <c r="D1044" s="340" t="s">
        <v>4302</v>
      </c>
      <c r="E1044" s="281" t="s">
        <v>1283</v>
      </c>
      <c r="F1044" s="281" t="s">
        <v>4756</v>
      </c>
      <c r="G1044" s="284"/>
      <c r="H1044" s="284"/>
      <c r="I1044" s="284"/>
      <c r="J1044" s="281"/>
      <c r="K1044" s="281"/>
      <c r="L1044" s="281"/>
      <c r="M1044" s="281"/>
      <c r="N1044" s="281"/>
      <c r="O1044" s="664">
        <f t="shared" si="31"/>
        <v>0</v>
      </c>
      <c r="P1044" s="281" t="s">
        <v>4756</v>
      </c>
      <c r="Q1044" s="281" t="s">
        <v>4756</v>
      </c>
      <c r="R1044" s="281">
        <v>108000</v>
      </c>
      <c r="S1044" s="281">
        <v>108000</v>
      </c>
      <c r="T1044" s="406">
        <v>108000</v>
      </c>
      <c r="U1044" s="284"/>
    </row>
    <row r="1045" spans="1:22" s="163" customFormat="1">
      <c r="A1045" s="165" t="s">
        <v>4436</v>
      </c>
      <c r="B1045" s="281"/>
      <c r="C1045" s="281" t="s">
        <v>456</v>
      </c>
      <c r="D1045" s="281">
        <v>3</v>
      </c>
      <c r="E1045" s="281" t="s">
        <v>1283</v>
      </c>
      <c r="F1045" s="281" t="s">
        <v>4436</v>
      </c>
      <c r="G1045" s="284"/>
      <c r="H1045" s="284"/>
      <c r="I1045" s="284"/>
      <c r="J1045" s="281"/>
      <c r="K1045" s="281"/>
      <c r="L1045" s="281"/>
      <c r="M1045" s="281"/>
      <c r="N1045" s="281"/>
      <c r="O1045" s="664">
        <f t="shared" si="31"/>
        <v>0</v>
      </c>
      <c r="P1045" s="281" t="s">
        <v>4436</v>
      </c>
      <c r="Q1045" s="281" t="s">
        <v>4436</v>
      </c>
      <c r="R1045" s="281">
        <v>13230</v>
      </c>
      <c r="S1045" s="281">
        <v>13230</v>
      </c>
      <c r="T1045" s="406">
        <v>13230</v>
      </c>
      <c r="U1045" s="284"/>
      <c r="V1045" s="282" t="s">
        <v>245</v>
      </c>
    </row>
    <row r="1046" spans="1:22">
      <c r="A1046" s="165" t="s">
        <v>4241</v>
      </c>
      <c r="B1046" s="165">
        <v>1080</v>
      </c>
      <c r="C1046" s="165" t="s">
        <v>4418</v>
      </c>
      <c r="D1046" s="165">
        <v>6</v>
      </c>
      <c r="E1046" s="165" t="s">
        <v>4597</v>
      </c>
      <c r="F1046" s="165" t="s">
        <v>4598</v>
      </c>
      <c r="G1046" s="165"/>
      <c r="H1046" s="165">
        <v>11340</v>
      </c>
      <c r="I1046" s="165"/>
      <c r="J1046" s="165">
        <v>11340</v>
      </c>
      <c r="K1046" s="165"/>
      <c r="L1046" s="165"/>
      <c r="M1046" s="165"/>
      <c r="N1046" s="165"/>
      <c r="O1046" s="337">
        <f t="shared" si="31"/>
        <v>0</v>
      </c>
      <c r="P1046" s="165" t="s">
        <v>4439</v>
      </c>
      <c r="Q1046" s="165" t="s">
        <v>4780</v>
      </c>
      <c r="R1046" s="3">
        <f>H1046</f>
        <v>11340</v>
      </c>
      <c r="S1046" s="337">
        <v>11340</v>
      </c>
      <c r="T1046"/>
      <c r="U1046" s="3"/>
    </row>
    <row r="1047" spans="1:22" s="163" customFormat="1">
      <c r="A1047" s="281" t="s">
        <v>4438</v>
      </c>
      <c r="B1047" s="281"/>
      <c r="C1047" s="281" t="s">
        <v>2421</v>
      </c>
      <c r="D1047" s="281">
        <v>1</v>
      </c>
      <c r="E1047" s="281" t="s">
        <v>1283</v>
      </c>
      <c r="F1047" s="281" t="s">
        <v>4438</v>
      </c>
      <c r="G1047" s="284"/>
      <c r="H1047" s="284"/>
      <c r="I1047" s="284"/>
      <c r="J1047" s="281"/>
      <c r="K1047" s="281"/>
      <c r="L1047" s="281"/>
      <c r="M1047" s="281"/>
      <c r="N1047" s="281"/>
      <c r="O1047" s="664">
        <f t="shared" si="31"/>
        <v>0</v>
      </c>
      <c r="P1047" s="281" t="s">
        <v>4438</v>
      </c>
      <c r="Q1047" s="281" t="s">
        <v>4438</v>
      </c>
      <c r="R1047" s="281">
        <v>14175</v>
      </c>
      <c r="S1047" s="281">
        <v>14165</v>
      </c>
      <c r="T1047" s="406">
        <v>14165</v>
      </c>
      <c r="U1047" s="556">
        <v>10</v>
      </c>
    </row>
    <row r="1048" spans="1:22">
      <c r="A1048" s="165" t="s">
        <v>4439</v>
      </c>
      <c r="B1048" s="94">
        <v>1081</v>
      </c>
      <c r="C1048" s="165" t="s">
        <v>4513</v>
      </c>
      <c r="D1048" s="165">
        <v>1</v>
      </c>
      <c r="E1048" s="165" t="s">
        <v>4599</v>
      </c>
      <c r="F1048" s="165" t="s">
        <v>4600</v>
      </c>
      <c r="G1048" s="165">
        <v>11970</v>
      </c>
      <c r="H1048" s="165"/>
      <c r="I1048" s="165"/>
      <c r="J1048" s="165">
        <v>11970</v>
      </c>
      <c r="K1048" s="165"/>
      <c r="L1048" s="165"/>
      <c r="M1048" s="165"/>
      <c r="N1048" s="165"/>
      <c r="O1048" s="337">
        <f t="shared" si="31"/>
        <v>0</v>
      </c>
      <c r="P1048" s="165" t="s">
        <v>4767</v>
      </c>
      <c r="Q1048" s="165" t="s">
        <v>4782</v>
      </c>
      <c r="R1048" s="3">
        <f t="shared" ref="R1048:R1056" si="33">G1048</f>
        <v>11970</v>
      </c>
      <c r="S1048" s="337">
        <v>11970</v>
      </c>
      <c r="T1048"/>
      <c r="U1048" s="3"/>
    </row>
    <row r="1049" spans="1:22">
      <c r="A1049" s="165" t="s">
        <v>4439</v>
      </c>
      <c r="B1049" s="94">
        <v>1082</v>
      </c>
      <c r="C1049" s="165" t="s">
        <v>4513</v>
      </c>
      <c r="D1049" s="165">
        <v>2</v>
      </c>
      <c r="E1049" s="165" t="s">
        <v>4601</v>
      </c>
      <c r="F1049" s="165" t="s">
        <v>4602</v>
      </c>
      <c r="G1049" s="165">
        <v>11970</v>
      </c>
      <c r="H1049" s="165"/>
      <c r="I1049" s="165"/>
      <c r="J1049" s="165">
        <v>11970</v>
      </c>
      <c r="K1049" s="165"/>
      <c r="L1049" s="165"/>
      <c r="M1049" s="165"/>
      <c r="N1049" s="165"/>
      <c r="O1049" s="337">
        <f t="shared" si="31"/>
        <v>0</v>
      </c>
      <c r="P1049" s="165" t="s">
        <v>4772</v>
      </c>
      <c r="Q1049" s="165" t="s">
        <v>4088</v>
      </c>
      <c r="R1049" s="3">
        <f t="shared" si="33"/>
        <v>11970</v>
      </c>
      <c r="S1049" s="337">
        <v>11970</v>
      </c>
      <c r="T1049"/>
      <c r="U1049" s="3"/>
    </row>
    <row r="1050" spans="1:22">
      <c r="A1050" s="165" t="s">
        <v>4439</v>
      </c>
      <c r="B1050" s="94">
        <v>1083</v>
      </c>
      <c r="C1050" s="165" t="s">
        <v>4513</v>
      </c>
      <c r="D1050" s="165">
        <v>3</v>
      </c>
      <c r="E1050" s="165" t="s">
        <v>4603</v>
      </c>
      <c r="F1050" s="165" t="s">
        <v>4609</v>
      </c>
      <c r="G1050" s="165">
        <v>11970</v>
      </c>
      <c r="H1050" s="165"/>
      <c r="I1050" s="165"/>
      <c r="J1050" s="165"/>
      <c r="K1050" s="165">
        <v>11970</v>
      </c>
      <c r="L1050" s="165"/>
      <c r="M1050" s="165"/>
      <c r="N1050" s="165"/>
      <c r="O1050" s="337">
        <f t="shared" si="31"/>
        <v>0</v>
      </c>
      <c r="P1050" s="165" t="s">
        <v>5294</v>
      </c>
      <c r="Q1050" s="165" t="s">
        <v>4788</v>
      </c>
      <c r="R1050" s="3">
        <f t="shared" si="33"/>
        <v>11970</v>
      </c>
      <c r="S1050" s="337">
        <v>11970</v>
      </c>
      <c r="T1050"/>
      <c r="U1050" s="3"/>
    </row>
    <row r="1051" spans="1:22">
      <c r="A1051" s="165" t="s">
        <v>4439</v>
      </c>
      <c r="B1051" s="94">
        <v>1084</v>
      </c>
      <c r="C1051" s="165" t="s">
        <v>4513</v>
      </c>
      <c r="D1051" s="165">
        <v>4</v>
      </c>
      <c r="E1051" s="165" t="s">
        <v>4604</v>
      </c>
      <c r="F1051" s="165" t="s">
        <v>4610</v>
      </c>
      <c r="G1051" s="165">
        <v>11970</v>
      </c>
      <c r="H1051" s="165"/>
      <c r="I1051" s="165"/>
      <c r="J1051" s="165"/>
      <c r="K1051" s="165">
        <v>11970</v>
      </c>
      <c r="L1051" s="165"/>
      <c r="M1051" s="165"/>
      <c r="N1051" s="165"/>
      <c r="O1051" s="337">
        <f t="shared" si="31"/>
        <v>0</v>
      </c>
      <c r="P1051" s="165" t="s">
        <v>5333</v>
      </c>
      <c r="Q1051" s="165" t="s">
        <v>4795</v>
      </c>
      <c r="R1051" s="3">
        <f t="shared" si="33"/>
        <v>11970</v>
      </c>
      <c r="S1051" s="337">
        <v>11970</v>
      </c>
      <c r="T1051"/>
      <c r="U1051" s="3"/>
    </row>
    <row r="1052" spans="1:22">
      <c r="A1052" s="165" t="s">
        <v>4439</v>
      </c>
      <c r="B1052" s="94">
        <v>1085</v>
      </c>
      <c r="C1052" s="165" t="s">
        <v>4513</v>
      </c>
      <c r="D1052" s="165">
        <v>5</v>
      </c>
      <c r="E1052" s="165" t="s">
        <v>4605</v>
      </c>
      <c r="F1052" s="165" t="s">
        <v>4611</v>
      </c>
      <c r="G1052" s="165">
        <v>11970</v>
      </c>
      <c r="H1052" s="165"/>
      <c r="I1052" s="165"/>
      <c r="J1052" s="165"/>
      <c r="K1052" s="165">
        <v>11970</v>
      </c>
      <c r="L1052" s="165"/>
      <c r="M1052" s="165"/>
      <c r="N1052" s="165"/>
      <c r="O1052" s="337">
        <f t="shared" si="31"/>
        <v>0</v>
      </c>
      <c r="P1052" s="165" t="s">
        <v>5453</v>
      </c>
      <c r="Q1052" s="165" t="s">
        <v>5465</v>
      </c>
      <c r="R1052" s="3">
        <f t="shared" si="33"/>
        <v>11970</v>
      </c>
      <c r="S1052" s="337">
        <v>11970</v>
      </c>
      <c r="T1052"/>
      <c r="U1052" s="3"/>
    </row>
    <row r="1053" spans="1:22">
      <c r="A1053" s="165" t="s">
        <v>4439</v>
      </c>
      <c r="B1053" s="94">
        <v>1086</v>
      </c>
      <c r="C1053" s="165" t="s">
        <v>4513</v>
      </c>
      <c r="D1053" s="165">
        <v>6</v>
      </c>
      <c r="E1053" s="165" t="s">
        <v>4606</v>
      </c>
      <c r="F1053" s="165" t="s">
        <v>4612</v>
      </c>
      <c r="G1053" s="165">
        <v>11970</v>
      </c>
      <c r="H1053" s="165"/>
      <c r="I1053" s="165"/>
      <c r="J1053" s="165"/>
      <c r="K1053" s="165">
        <v>11970</v>
      </c>
      <c r="L1053" s="165"/>
      <c r="M1053" s="165"/>
      <c r="N1053" s="165"/>
      <c r="O1053" s="337">
        <f t="shared" si="31"/>
        <v>0</v>
      </c>
      <c r="P1053" s="165" t="s">
        <v>5504</v>
      </c>
      <c r="Q1053" s="165" t="s">
        <v>5531</v>
      </c>
      <c r="R1053" s="3">
        <f t="shared" si="33"/>
        <v>11970</v>
      </c>
      <c r="S1053" s="337">
        <v>11970</v>
      </c>
      <c r="T1053"/>
      <c r="U1053" s="3"/>
    </row>
    <row r="1054" spans="1:22">
      <c r="A1054" s="165" t="s">
        <v>4439</v>
      </c>
      <c r="B1054" s="94">
        <v>1087</v>
      </c>
      <c r="C1054" s="165" t="s">
        <v>4513</v>
      </c>
      <c r="D1054" s="165">
        <v>7</v>
      </c>
      <c r="E1054" s="165" t="s">
        <v>4607</v>
      </c>
      <c r="F1054" s="165" t="s">
        <v>4613</v>
      </c>
      <c r="G1054" s="165">
        <v>11970</v>
      </c>
      <c r="H1054" s="165"/>
      <c r="I1054" s="165"/>
      <c r="J1054" s="165"/>
      <c r="K1054" s="165">
        <v>11970</v>
      </c>
      <c r="L1054" s="165"/>
      <c r="M1054" s="165"/>
      <c r="N1054" s="165"/>
      <c r="O1054" s="337">
        <f t="shared" si="31"/>
        <v>0</v>
      </c>
      <c r="P1054" s="165" t="s">
        <v>5289</v>
      </c>
      <c r="Q1054" s="165" t="s">
        <v>5290</v>
      </c>
      <c r="R1054" s="3">
        <f t="shared" si="33"/>
        <v>11970</v>
      </c>
      <c r="S1054" s="337">
        <v>11970</v>
      </c>
      <c r="T1054"/>
      <c r="U1054" s="3"/>
    </row>
    <row r="1055" spans="1:22">
      <c r="A1055" s="165" t="s">
        <v>4439</v>
      </c>
      <c r="B1055" s="94">
        <v>1088</v>
      </c>
      <c r="C1055" s="165" t="s">
        <v>4513</v>
      </c>
      <c r="D1055" s="165">
        <v>8</v>
      </c>
      <c r="E1055" s="165" t="s">
        <v>4608</v>
      </c>
      <c r="F1055" s="165" t="s">
        <v>4614</v>
      </c>
      <c r="G1055" s="165">
        <v>11970</v>
      </c>
      <c r="H1055" s="165"/>
      <c r="I1055" s="165"/>
      <c r="J1055" s="165"/>
      <c r="K1055" s="165"/>
      <c r="L1055" s="165">
        <v>11970</v>
      </c>
      <c r="M1055" s="165"/>
      <c r="N1055" s="165"/>
      <c r="O1055" s="337">
        <f t="shared" si="31"/>
        <v>0</v>
      </c>
      <c r="P1055" s="165" t="s">
        <v>5615</v>
      </c>
      <c r="Q1055" s="165" t="s">
        <v>5615</v>
      </c>
      <c r="R1055" s="3">
        <f t="shared" si="33"/>
        <v>11970</v>
      </c>
      <c r="S1055" s="337">
        <v>11970</v>
      </c>
      <c r="T1055"/>
      <c r="U1055" s="3"/>
    </row>
    <row r="1056" spans="1:22">
      <c r="A1056" s="165" t="s">
        <v>4615</v>
      </c>
      <c r="B1056" s="94">
        <v>1089</v>
      </c>
      <c r="C1056" s="165" t="s">
        <v>4528</v>
      </c>
      <c r="D1056" s="165">
        <v>1</v>
      </c>
      <c r="E1056" s="165" t="s">
        <v>4616</v>
      </c>
      <c r="F1056" s="165" t="s">
        <v>4016</v>
      </c>
      <c r="G1056" s="165">
        <v>12600</v>
      </c>
      <c r="H1056" s="165"/>
      <c r="I1056" s="165"/>
      <c r="J1056" s="165">
        <v>12600</v>
      </c>
      <c r="K1056" s="165"/>
      <c r="L1056" s="165"/>
      <c r="M1056" s="165"/>
      <c r="N1056" s="165"/>
      <c r="O1056" s="337">
        <f t="shared" si="31"/>
        <v>0</v>
      </c>
      <c r="P1056" s="165" t="s">
        <v>4767</v>
      </c>
      <c r="Q1056" s="165" t="s">
        <v>4782</v>
      </c>
      <c r="R1056" s="3">
        <f t="shared" si="33"/>
        <v>12600</v>
      </c>
      <c r="S1056" s="165">
        <v>12600</v>
      </c>
      <c r="T1056"/>
      <c r="U1056" s="3"/>
    </row>
    <row r="1057" spans="1:22" s="163" customFormat="1">
      <c r="A1057" s="281" t="s">
        <v>4750</v>
      </c>
      <c r="B1057" s="281"/>
      <c r="C1057" s="281" t="s">
        <v>456</v>
      </c>
      <c r="D1057" s="281">
        <v>4</v>
      </c>
      <c r="E1057" s="281" t="s">
        <v>1283</v>
      </c>
      <c r="F1057" s="281" t="s">
        <v>4750</v>
      </c>
      <c r="G1057" s="284"/>
      <c r="H1057" s="284"/>
      <c r="I1057" s="284"/>
      <c r="J1057" s="281"/>
      <c r="K1057" s="281"/>
      <c r="L1057" s="281"/>
      <c r="M1057" s="281"/>
      <c r="N1057" s="281"/>
      <c r="O1057" s="664">
        <f t="shared" si="31"/>
        <v>0</v>
      </c>
      <c r="P1057" s="281" t="s">
        <v>4750</v>
      </c>
      <c r="Q1057" s="281" t="s">
        <v>4750</v>
      </c>
      <c r="R1057" s="281">
        <v>13230</v>
      </c>
      <c r="S1057" s="281">
        <v>13230</v>
      </c>
      <c r="T1057" s="406">
        <v>13230</v>
      </c>
      <c r="U1057" s="284"/>
      <c r="V1057" s="282" t="s">
        <v>245</v>
      </c>
    </row>
    <row r="1058" spans="1:22" s="163" customFormat="1">
      <c r="A1058" s="281" t="s">
        <v>4757</v>
      </c>
      <c r="B1058" s="281"/>
      <c r="C1058" s="281" t="s">
        <v>3825</v>
      </c>
      <c r="D1058" s="281">
        <v>5</v>
      </c>
      <c r="E1058" s="281" t="s">
        <v>1283</v>
      </c>
      <c r="F1058" s="281" t="s">
        <v>4757</v>
      </c>
      <c r="G1058" s="284"/>
      <c r="H1058" s="284"/>
      <c r="I1058" s="284"/>
      <c r="J1058" s="281"/>
      <c r="K1058" s="281"/>
      <c r="L1058" s="281"/>
      <c r="M1058" s="281"/>
      <c r="N1058" s="281"/>
      <c r="O1058" s="664">
        <f t="shared" si="31"/>
        <v>0</v>
      </c>
      <c r="P1058" s="281" t="s">
        <v>4757</v>
      </c>
      <c r="Q1058" s="281" t="s">
        <v>4757</v>
      </c>
      <c r="R1058" s="281">
        <v>14175</v>
      </c>
      <c r="S1058" s="281">
        <v>14145</v>
      </c>
      <c r="T1058" s="406">
        <v>14145</v>
      </c>
      <c r="U1058" s="556">
        <v>30</v>
      </c>
    </row>
    <row r="1059" spans="1:22" s="163" customFormat="1">
      <c r="A1059" s="281" t="s">
        <v>4758</v>
      </c>
      <c r="B1059" s="281"/>
      <c r="C1059" s="281" t="s">
        <v>1532</v>
      </c>
      <c r="D1059" s="281">
        <v>4</v>
      </c>
      <c r="E1059" s="281" t="s">
        <v>1283</v>
      </c>
      <c r="F1059" s="281" t="s">
        <v>4758</v>
      </c>
      <c r="G1059" s="284"/>
      <c r="H1059" s="284"/>
      <c r="I1059" s="284"/>
      <c r="J1059" s="281"/>
      <c r="K1059" s="281"/>
      <c r="L1059" s="281"/>
      <c r="M1059" s="281"/>
      <c r="N1059" s="281"/>
      <c r="O1059" s="664">
        <f t="shared" si="31"/>
        <v>0</v>
      </c>
      <c r="P1059" s="281" t="s">
        <v>4758</v>
      </c>
      <c r="Q1059" s="281" t="s">
        <v>4758</v>
      </c>
      <c r="R1059" s="281">
        <v>13500</v>
      </c>
      <c r="S1059" s="281">
        <v>13485</v>
      </c>
      <c r="T1059" s="406">
        <v>13485</v>
      </c>
      <c r="U1059" s="556">
        <v>15</v>
      </c>
    </row>
    <row r="1060" spans="1:22">
      <c r="A1060" s="165" t="s">
        <v>4615</v>
      </c>
      <c r="B1060" s="94">
        <v>1090</v>
      </c>
      <c r="C1060" s="165" t="s">
        <v>4528</v>
      </c>
      <c r="D1060" s="165">
        <v>2</v>
      </c>
      <c r="E1060" s="165" t="s">
        <v>4617</v>
      </c>
      <c r="F1060" s="165" t="s">
        <v>4018</v>
      </c>
      <c r="G1060" s="165">
        <v>12600</v>
      </c>
      <c r="H1060" s="165"/>
      <c r="I1060" s="165"/>
      <c r="J1060" s="165">
        <v>12600</v>
      </c>
      <c r="K1060" s="165"/>
      <c r="L1060" s="165"/>
      <c r="M1060" s="165"/>
      <c r="N1060" s="165"/>
      <c r="O1060" s="337">
        <f t="shared" si="31"/>
        <v>0</v>
      </c>
      <c r="P1060" s="165" t="s">
        <v>4715</v>
      </c>
      <c r="Q1060" s="165" t="s">
        <v>4786</v>
      </c>
      <c r="R1060" s="3">
        <f t="shared" ref="R1060:R1090" si="34">G1060</f>
        <v>12600</v>
      </c>
      <c r="S1060" s="337">
        <v>12600</v>
      </c>
      <c r="T1060"/>
      <c r="U1060" s="3"/>
    </row>
    <row r="1061" spans="1:22">
      <c r="A1061" s="165" t="s">
        <v>4615</v>
      </c>
      <c r="B1061" s="94">
        <v>1091</v>
      </c>
      <c r="C1061" s="165" t="s">
        <v>4528</v>
      </c>
      <c r="D1061" s="165">
        <v>3</v>
      </c>
      <c r="E1061" s="165" t="s">
        <v>4618</v>
      </c>
      <c r="F1061" s="165" t="s">
        <v>4190</v>
      </c>
      <c r="G1061" s="165">
        <v>12600</v>
      </c>
      <c r="H1061" s="165"/>
      <c r="I1061" s="165"/>
      <c r="J1061" s="165">
        <v>12600</v>
      </c>
      <c r="K1061" s="165"/>
      <c r="L1061" s="165"/>
      <c r="M1061" s="165"/>
      <c r="N1061" s="165"/>
      <c r="O1061" s="337">
        <f t="shared" si="31"/>
        <v>0</v>
      </c>
      <c r="P1061" s="165" t="s">
        <v>4190</v>
      </c>
      <c r="Q1061" s="165" t="s">
        <v>4033</v>
      </c>
      <c r="R1061" s="3">
        <f t="shared" si="34"/>
        <v>12600</v>
      </c>
      <c r="S1061" s="337">
        <v>12600</v>
      </c>
      <c r="T1061"/>
      <c r="U1061" s="3"/>
    </row>
    <row r="1062" spans="1:22">
      <c r="A1062" s="165" t="s">
        <v>4615</v>
      </c>
      <c r="B1062" s="94">
        <v>1092</v>
      </c>
      <c r="C1062" s="165" t="s">
        <v>4528</v>
      </c>
      <c r="D1062" s="165">
        <v>4</v>
      </c>
      <c r="E1062" s="165" t="s">
        <v>4619</v>
      </c>
      <c r="F1062" s="165" t="s">
        <v>4192</v>
      </c>
      <c r="G1062" s="165">
        <v>12600</v>
      </c>
      <c r="H1062" s="165"/>
      <c r="I1062" s="165"/>
      <c r="J1062" s="165"/>
      <c r="K1062" s="165">
        <v>12600</v>
      </c>
      <c r="L1062" s="165"/>
      <c r="M1062" s="165"/>
      <c r="N1062" s="165"/>
      <c r="O1062" s="337">
        <f t="shared" si="31"/>
        <v>0</v>
      </c>
      <c r="P1062" s="165" t="s">
        <v>4651</v>
      </c>
      <c r="Q1062" s="165" t="s">
        <v>4793</v>
      </c>
      <c r="R1062" s="3">
        <f t="shared" si="34"/>
        <v>12600</v>
      </c>
      <c r="S1062" s="337">
        <v>12600</v>
      </c>
      <c r="T1062"/>
      <c r="U1062" s="3"/>
    </row>
    <row r="1063" spans="1:22">
      <c r="A1063" s="165" t="s">
        <v>4615</v>
      </c>
      <c r="B1063" s="94">
        <v>1093</v>
      </c>
      <c r="C1063" s="165" t="s">
        <v>4528</v>
      </c>
      <c r="D1063" s="165">
        <v>5</v>
      </c>
      <c r="E1063" s="165" t="s">
        <v>4620</v>
      </c>
      <c r="F1063" s="165" t="s">
        <v>4194</v>
      </c>
      <c r="G1063" s="165">
        <v>12600</v>
      </c>
      <c r="H1063" s="165"/>
      <c r="I1063" s="165"/>
      <c r="J1063" s="165"/>
      <c r="K1063" s="165">
        <v>12600</v>
      </c>
      <c r="L1063" s="165"/>
      <c r="M1063" s="165"/>
      <c r="N1063" s="165"/>
      <c r="O1063" s="337">
        <f t="shared" si="31"/>
        <v>0</v>
      </c>
      <c r="P1063" s="165" t="s">
        <v>4806</v>
      </c>
      <c r="Q1063" s="165" t="s">
        <v>4194</v>
      </c>
      <c r="R1063" s="3">
        <f t="shared" si="34"/>
        <v>12600</v>
      </c>
      <c r="S1063" s="337">
        <v>12600</v>
      </c>
      <c r="T1063"/>
      <c r="U1063" s="3"/>
    </row>
    <row r="1064" spans="1:22">
      <c r="A1064" s="165" t="s">
        <v>4615</v>
      </c>
      <c r="B1064" s="94">
        <v>1094</v>
      </c>
      <c r="C1064" s="165" t="s">
        <v>4528</v>
      </c>
      <c r="D1064" s="165">
        <v>6</v>
      </c>
      <c r="E1064" s="165" t="s">
        <v>4621</v>
      </c>
      <c r="F1064" s="165" t="s">
        <v>4226</v>
      </c>
      <c r="G1064" s="165">
        <v>12600</v>
      </c>
      <c r="H1064" s="165"/>
      <c r="I1064" s="165"/>
      <c r="J1064" s="165"/>
      <c r="K1064" s="165">
        <v>12600</v>
      </c>
      <c r="L1064" s="165"/>
      <c r="M1064" s="165"/>
      <c r="N1064" s="165"/>
      <c r="O1064" s="337">
        <f t="shared" si="31"/>
        <v>0</v>
      </c>
      <c r="P1064" s="165" t="s">
        <v>5500</v>
      </c>
      <c r="Q1064" s="165" t="s">
        <v>4226</v>
      </c>
      <c r="R1064" s="3">
        <f t="shared" si="34"/>
        <v>12600</v>
      </c>
      <c r="S1064" s="165">
        <v>12600</v>
      </c>
      <c r="T1064"/>
      <c r="U1064" s="3"/>
    </row>
    <row r="1065" spans="1:22">
      <c r="A1065" s="165" t="s">
        <v>4615</v>
      </c>
      <c r="B1065" s="94">
        <v>1095</v>
      </c>
      <c r="C1065" s="165" t="s">
        <v>4528</v>
      </c>
      <c r="D1065" s="165">
        <v>7</v>
      </c>
      <c r="E1065" s="165" t="s">
        <v>4622</v>
      </c>
      <c r="F1065" s="165" t="s">
        <v>4624</v>
      </c>
      <c r="G1065" s="165">
        <v>12600</v>
      </c>
      <c r="H1065" s="165"/>
      <c r="I1065" s="165"/>
      <c r="J1065" s="165"/>
      <c r="K1065" s="165">
        <v>12600</v>
      </c>
      <c r="L1065" s="165"/>
      <c r="M1065" s="165"/>
      <c r="N1065" s="165"/>
      <c r="O1065" s="337">
        <f t="shared" si="31"/>
        <v>0</v>
      </c>
      <c r="P1065" s="165" t="s">
        <v>5551</v>
      </c>
      <c r="Q1065" s="165" t="s">
        <v>4624</v>
      </c>
      <c r="R1065" s="3">
        <f t="shared" si="34"/>
        <v>12600</v>
      </c>
      <c r="S1065" s="165">
        <v>12600</v>
      </c>
      <c r="T1065"/>
      <c r="U1065" s="3"/>
    </row>
    <row r="1066" spans="1:22">
      <c r="A1066" s="165" t="s">
        <v>4615</v>
      </c>
      <c r="B1066" s="94">
        <v>1096</v>
      </c>
      <c r="C1066" s="165" t="s">
        <v>4528</v>
      </c>
      <c r="D1066" s="165">
        <v>8</v>
      </c>
      <c r="E1066" s="165" t="s">
        <v>4623</v>
      </c>
      <c r="F1066" s="165" t="s">
        <v>4625</v>
      </c>
      <c r="G1066" s="165">
        <v>12600</v>
      </c>
      <c r="H1066" s="165"/>
      <c r="I1066" s="165"/>
      <c r="J1066" s="165"/>
      <c r="K1066" s="165"/>
      <c r="L1066" s="165">
        <v>12600</v>
      </c>
      <c r="M1066" s="165"/>
      <c r="N1066" s="165"/>
      <c r="O1066" s="337">
        <f t="shared" si="31"/>
        <v>0</v>
      </c>
      <c r="P1066" s="165" t="s">
        <v>4655</v>
      </c>
      <c r="Q1066" s="165" t="s">
        <v>4655</v>
      </c>
      <c r="R1066" s="3">
        <f t="shared" si="34"/>
        <v>12600</v>
      </c>
      <c r="S1066" s="165">
        <v>12600</v>
      </c>
      <c r="T1066"/>
      <c r="U1066" s="3"/>
    </row>
    <row r="1067" spans="1:22">
      <c r="A1067" s="165" t="s">
        <v>4626</v>
      </c>
      <c r="B1067" s="94">
        <v>1097</v>
      </c>
      <c r="C1067" s="165" t="s">
        <v>4539</v>
      </c>
      <c r="D1067" s="165">
        <v>1</v>
      </c>
      <c r="E1067" s="165" t="s">
        <v>4627</v>
      </c>
      <c r="F1067" s="165" t="s">
        <v>4628</v>
      </c>
      <c r="G1067" s="165">
        <v>13230</v>
      </c>
      <c r="H1067" s="165"/>
      <c r="I1067" s="165"/>
      <c r="J1067" s="165">
        <v>13230</v>
      </c>
      <c r="K1067" s="165"/>
      <c r="L1067" s="165"/>
      <c r="M1067" s="165"/>
      <c r="N1067" s="165"/>
      <c r="O1067" s="337">
        <f t="shared" si="31"/>
        <v>0</v>
      </c>
      <c r="P1067" s="165" t="s">
        <v>4770</v>
      </c>
      <c r="Q1067" s="165" t="s">
        <v>4784</v>
      </c>
      <c r="R1067" s="3">
        <f t="shared" si="34"/>
        <v>13230</v>
      </c>
      <c r="S1067" s="165">
        <v>13230</v>
      </c>
      <c r="T1067"/>
      <c r="U1067" s="3"/>
    </row>
    <row r="1068" spans="1:22">
      <c r="A1068" s="165" t="s">
        <v>4626</v>
      </c>
      <c r="B1068" s="94">
        <v>1098</v>
      </c>
      <c r="C1068" s="165" t="s">
        <v>4539</v>
      </c>
      <c r="D1068" s="165">
        <v>2</v>
      </c>
      <c r="E1068" s="165" t="s">
        <v>4629</v>
      </c>
      <c r="F1068" s="165" t="s">
        <v>4636</v>
      </c>
      <c r="G1068" s="165">
        <v>13230</v>
      </c>
      <c r="H1068" s="165"/>
      <c r="I1068" s="165"/>
      <c r="J1068" s="165">
        <v>13230</v>
      </c>
      <c r="K1068" s="165"/>
      <c r="L1068" s="165"/>
      <c r="M1068" s="165"/>
      <c r="N1068" s="165"/>
      <c r="O1068" s="337">
        <f t="shared" si="31"/>
        <v>0</v>
      </c>
      <c r="P1068" s="165" t="s">
        <v>4777</v>
      </c>
      <c r="Q1068" s="165" t="s">
        <v>4127</v>
      </c>
      <c r="R1068" s="3">
        <f t="shared" si="34"/>
        <v>13230</v>
      </c>
      <c r="S1068" s="165">
        <v>13230</v>
      </c>
      <c r="T1068"/>
      <c r="U1068" s="3"/>
    </row>
    <row r="1069" spans="1:22">
      <c r="A1069" s="165" t="s">
        <v>4626</v>
      </c>
      <c r="B1069" s="94">
        <v>1099</v>
      </c>
      <c r="C1069" s="165" t="s">
        <v>4539</v>
      </c>
      <c r="D1069" s="165">
        <v>3</v>
      </c>
      <c r="E1069" s="165" t="s">
        <v>4630</v>
      </c>
      <c r="F1069" s="165" t="s">
        <v>4637</v>
      </c>
      <c r="G1069" s="165">
        <v>13230</v>
      </c>
      <c r="H1069" s="165"/>
      <c r="I1069" s="165"/>
      <c r="J1069" s="165"/>
      <c r="K1069" s="165">
        <v>13230</v>
      </c>
      <c r="L1069" s="165"/>
      <c r="M1069" s="165"/>
      <c r="N1069" s="165"/>
      <c r="O1069" s="337">
        <f t="shared" si="31"/>
        <v>0</v>
      </c>
      <c r="P1069" s="165" t="s">
        <v>4791</v>
      </c>
      <c r="Q1069" s="165" t="s">
        <v>5317</v>
      </c>
      <c r="R1069" s="3">
        <f t="shared" si="34"/>
        <v>13230</v>
      </c>
      <c r="S1069" s="165">
        <v>13230</v>
      </c>
      <c r="T1069"/>
      <c r="U1069" s="3"/>
    </row>
    <row r="1070" spans="1:22">
      <c r="A1070" s="165" t="s">
        <v>4626</v>
      </c>
      <c r="B1070" s="94">
        <v>1100</v>
      </c>
      <c r="C1070" s="165" t="s">
        <v>4539</v>
      </c>
      <c r="D1070" s="165">
        <v>4</v>
      </c>
      <c r="E1070" s="165" t="s">
        <v>4631</v>
      </c>
      <c r="F1070" s="165" t="s">
        <v>4289</v>
      </c>
      <c r="G1070" s="165">
        <v>13230</v>
      </c>
      <c r="H1070" s="165"/>
      <c r="I1070" s="165"/>
      <c r="J1070" s="165"/>
      <c r="K1070" s="165">
        <v>13230</v>
      </c>
      <c r="L1070" s="165"/>
      <c r="M1070" s="165"/>
      <c r="N1070" s="165"/>
      <c r="O1070" s="337">
        <f t="shared" si="31"/>
        <v>0</v>
      </c>
      <c r="P1070" s="165" t="s">
        <v>4802</v>
      </c>
      <c r="Q1070" s="165" t="s">
        <v>4804</v>
      </c>
      <c r="R1070" s="3">
        <f t="shared" si="34"/>
        <v>13230</v>
      </c>
      <c r="S1070" s="165">
        <v>13230</v>
      </c>
      <c r="T1070"/>
      <c r="U1070" s="3"/>
    </row>
    <row r="1071" spans="1:22">
      <c r="A1071" s="165" t="s">
        <v>4626</v>
      </c>
      <c r="B1071" s="94">
        <v>1101</v>
      </c>
      <c r="C1071" s="165" t="s">
        <v>4539</v>
      </c>
      <c r="D1071" s="165">
        <v>5</v>
      </c>
      <c r="E1071" s="165" t="s">
        <v>4632</v>
      </c>
      <c r="F1071" s="165" t="s">
        <v>4638</v>
      </c>
      <c r="G1071" s="165">
        <v>13230</v>
      </c>
      <c r="H1071" s="165"/>
      <c r="I1071" s="165"/>
      <c r="J1071" s="165"/>
      <c r="K1071" s="165">
        <v>13230</v>
      </c>
      <c r="L1071" s="165"/>
      <c r="M1071" s="165"/>
      <c r="N1071" s="165"/>
      <c r="O1071" s="337">
        <f t="shared" si="31"/>
        <v>0</v>
      </c>
      <c r="P1071" s="165" t="s">
        <v>5488</v>
      </c>
      <c r="Q1071" s="165" t="s">
        <v>4291</v>
      </c>
      <c r="R1071" s="3">
        <f t="shared" si="34"/>
        <v>13230</v>
      </c>
      <c r="S1071" s="165">
        <v>13230</v>
      </c>
      <c r="T1071"/>
      <c r="U1071" s="3"/>
    </row>
    <row r="1072" spans="1:22">
      <c r="A1072" s="165" t="s">
        <v>4626</v>
      </c>
      <c r="B1072" s="94">
        <v>1102</v>
      </c>
      <c r="C1072" s="165" t="s">
        <v>4539</v>
      </c>
      <c r="D1072" s="165">
        <v>6</v>
      </c>
      <c r="E1072" s="165" t="s">
        <v>4633</v>
      </c>
      <c r="F1072" s="165" t="s">
        <v>4639</v>
      </c>
      <c r="G1072" s="165">
        <v>13230</v>
      </c>
      <c r="H1072" s="165"/>
      <c r="I1072" s="165"/>
      <c r="J1072" s="165"/>
      <c r="K1072" s="165">
        <v>13230</v>
      </c>
      <c r="L1072" s="165"/>
      <c r="M1072" s="165"/>
      <c r="N1072" s="165"/>
      <c r="O1072" s="337">
        <f t="shared" si="31"/>
        <v>0</v>
      </c>
      <c r="P1072" s="165" t="s">
        <v>5263</v>
      </c>
      <c r="Q1072" s="165" t="s">
        <v>4639</v>
      </c>
      <c r="R1072" s="3">
        <f t="shared" si="34"/>
        <v>13230</v>
      </c>
      <c r="S1072" s="165">
        <v>13230</v>
      </c>
      <c r="T1072"/>
      <c r="U1072" s="3"/>
    </row>
    <row r="1073" spans="1:21">
      <c r="A1073" s="165" t="s">
        <v>4626</v>
      </c>
      <c r="B1073" s="94">
        <v>1103</v>
      </c>
      <c r="C1073" s="165" t="s">
        <v>4539</v>
      </c>
      <c r="D1073" s="165">
        <v>7</v>
      </c>
      <c r="E1073" s="165" t="s">
        <v>4634</v>
      </c>
      <c r="F1073" s="165" t="s">
        <v>4640</v>
      </c>
      <c r="G1073" s="165">
        <v>13230</v>
      </c>
      <c r="H1073" s="165"/>
      <c r="I1073" s="165"/>
      <c r="J1073" s="165"/>
      <c r="K1073" s="165"/>
      <c r="L1073" s="165">
        <v>13230</v>
      </c>
      <c r="M1073" s="165"/>
      <c r="N1073" s="165"/>
      <c r="O1073" s="337">
        <f t="shared" si="31"/>
        <v>0</v>
      </c>
      <c r="P1073" s="165" t="s">
        <v>4640</v>
      </c>
      <c r="Q1073" s="165" t="s">
        <v>4640</v>
      </c>
      <c r="R1073" s="3">
        <f t="shared" si="34"/>
        <v>13230</v>
      </c>
      <c r="S1073" s="165">
        <v>13230</v>
      </c>
      <c r="T1073"/>
      <c r="U1073" s="3"/>
    </row>
    <row r="1074" spans="1:21">
      <c r="A1074" s="165" t="s">
        <v>4626</v>
      </c>
      <c r="B1074" s="94">
        <v>1104</v>
      </c>
      <c r="C1074" s="165" t="s">
        <v>4539</v>
      </c>
      <c r="D1074" s="165">
        <v>8</v>
      </c>
      <c r="E1074" s="165" t="s">
        <v>4635</v>
      </c>
      <c r="F1074" s="165" t="s">
        <v>4641</v>
      </c>
      <c r="G1074" s="165">
        <v>13230</v>
      </c>
      <c r="H1074" s="165"/>
      <c r="I1074" s="165"/>
      <c r="J1074" s="165"/>
      <c r="K1074" s="165"/>
      <c r="L1074" s="165">
        <v>13230</v>
      </c>
      <c r="M1074" s="165"/>
      <c r="N1074" s="165"/>
      <c r="O1074" s="337">
        <f t="shared" si="31"/>
        <v>0</v>
      </c>
      <c r="P1074" s="165" t="s">
        <v>4641</v>
      </c>
      <c r="Q1074" s="165" t="s">
        <v>4641</v>
      </c>
      <c r="R1074" s="3">
        <f t="shared" si="34"/>
        <v>13230</v>
      </c>
      <c r="S1074" s="165">
        <v>13230</v>
      </c>
      <c r="T1074"/>
      <c r="U1074" s="3"/>
    </row>
    <row r="1075" spans="1:21">
      <c r="A1075" s="165" t="s">
        <v>4642</v>
      </c>
      <c r="B1075" s="94">
        <v>1105</v>
      </c>
      <c r="C1075" s="165" t="s">
        <v>4537</v>
      </c>
      <c r="D1075" s="165">
        <v>1</v>
      </c>
      <c r="E1075" s="165" t="s">
        <v>4643</v>
      </c>
      <c r="F1075" s="165" t="s">
        <v>4031</v>
      </c>
      <c r="G1075" s="165">
        <v>12600</v>
      </c>
      <c r="H1075" s="165"/>
      <c r="I1075" s="165"/>
      <c r="J1075" s="165">
        <v>12600</v>
      </c>
      <c r="K1075" s="165"/>
      <c r="L1075" s="165"/>
      <c r="M1075" s="165"/>
      <c r="N1075" s="165"/>
      <c r="O1075" s="337">
        <f t="shared" si="31"/>
        <v>0</v>
      </c>
      <c r="P1075" s="165" t="s">
        <v>4715</v>
      </c>
      <c r="Q1075" s="165" t="s">
        <v>4786</v>
      </c>
      <c r="R1075" s="3">
        <f t="shared" si="34"/>
        <v>12600</v>
      </c>
      <c r="S1075" s="165">
        <v>12600</v>
      </c>
      <c r="T1075"/>
      <c r="U1075" s="3"/>
    </row>
    <row r="1076" spans="1:21">
      <c r="A1076" s="165" t="s">
        <v>4642</v>
      </c>
      <c r="B1076" s="94">
        <v>1106</v>
      </c>
      <c r="C1076" s="165" t="s">
        <v>4537</v>
      </c>
      <c r="D1076" s="165">
        <v>2</v>
      </c>
      <c r="E1076" s="165" t="s">
        <v>4644</v>
      </c>
      <c r="F1076" s="165" t="s">
        <v>4033</v>
      </c>
      <c r="G1076" s="165">
        <v>12600</v>
      </c>
      <c r="H1076" s="165"/>
      <c r="I1076" s="165"/>
      <c r="J1076" s="165">
        <v>12600</v>
      </c>
      <c r="K1076" s="165"/>
      <c r="L1076" s="165"/>
      <c r="M1076" s="165"/>
      <c r="N1076" s="165"/>
      <c r="O1076" s="337">
        <f t="shared" si="31"/>
        <v>0</v>
      </c>
      <c r="P1076" s="165" t="s">
        <v>4190</v>
      </c>
      <c r="Q1076" s="165" t="s">
        <v>4033</v>
      </c>
      <c r="R1076" s="3">
        <f t="shared" si="34"/>
        <v>12600</v>
      </c>
      <c r="S1076" s="165">
        <v>12600</v>
      </c>
      <c r="T1076"/>
      <c r="U1076" s="3"/>
    </row>
    <row r="1077" spans="1:21">
      <c r="A1077" s="165" t="s">
        <v>4642</v>
      </c>
      <c r="B1077" s="94">
        <v>1107</v>
      </c>
      <c r="C1077" s="165" t="s">
        <v>4537</v>
      </c>
      <c r="D1077" s="165">
        <v>3</v>
      </c>
      <c r="E1077" s="165" t="s">
        <v>4645</v>
      </c>
      <c r="F1077" s="165" t="s">
        <v>4651</v>
      </c>
      <c r="G1077" s="165">
        <v>12600</v>
      </c>
      <c r="H1077" s="165"/>
      <c r="I1077" s="165"/>
      <c r="J1077" s="165"/>
      <c r="K1077" s="165">
        <v>12600</v>
      </c>
      <c r="L1077" s="165"/>
      <c r="M1077" s="165"/>
      <c r="N1077" s="165"/>
      <c r="O1077" s="337">
        <f t="shared" si="31"/>
        <v>0</v>
      </c>
      <c r="P1077" s="165" t="s">
        <v>4651</v>
      </c>
      <c r="Q1077" s="165" t="s">
        <v>4793</v>
      </c>
      <c r="R1077" s="3">
        <f t="shared" si="34"/>
        <v>12600</v>
      </c>
      <c r="S1077" s="165">
        <v>12600</v>
      </c>
      <c r="T1077"/>
      <c r="U1077" s="3"/>
    </row>
    <row r="1078" spans="1:21">
      <c r="A1078" s="165" t="s">
        <v>4642</v>
      </c>
      <c r="B1078" s="94">
        <v>1108</v>
      </c>
      <c r="C1078" s="165" t="s">
        <v>4537</v>
      </c>
      <c r="D1078" s="165">
        <v>4</v>
      </c>
      <c r="E1078" s="165" t="s">
        <v>4646</v>
      </c>
      <c r="F1078" s="165" t="s">
        <v>4652</v>
      </c>
      <c r="G1078" s="165">
        <v>12600</v>
      </c>
      <c r="H1078" s="165"/>
      <c r="I1078" s="165"/>
      <c r="J1078" s="165"/>
      <c r="K1078" s="165">
        <v>12600</v>
      </c>
      <c r="L1078" s="165"/>
      <c r="M1078" s="165"/>
      <c r="N1078" s="165"/>
      <c r="O1078" s="337">
        <f t="shared" si="31"/>
        <v>0</v>
      </c>
      <c r="P1078" s="165" t="s">
        <v>4806</v>
      </c>
      <c r="Q1078" s="165" t="s">
        <v>4652</v>
      </c>
      <c r="R1078" s="3">
        <f t="shared" si="34"/>
        <v>12600</v>
      </c>
      <c r="S1078" s="165">
        <v>12600</v>
      </c>
      <c r="T1078"/>
      <c r="U1078" s="3"/>
    </row>
    <row r="1079" spans="1:21">
      <c r="A1079" s="165" t="s">
        <v>4642</v>
      </c>
      <c r="B1079" s="94">
        <v>1109</v>
      </c>
      <c r="C1079" s="165" t="s">
        <v>4537</v>
      </c>
      <c r="D1079" s="165">
        <v>5</v>
      </c>
      <c r="E1079" s="165" t="s">
        <v>4647</v>
      </c>
      <c r="F1079" s="165" t="s">
        <v>4653</v>
      </c>
      <c r="G1079" s="165">
        <v>12600</v>
      </c>
      <c r="H1079" s="165"/>
      <c r="I1079" s="165"/>
      <c r="J1079" s="165"/>
      <c r="K1079" s="165">
        <v>12600</v>
      </c>
      <c r="L1079" s="165"/>
      <c r="M1079" s="165"/>
      <c r="N1079" s="165"/>
      <c r="O1079" s="337">
        <f t="shared" si="31"/>
        <v>0</v>
      </c>
      <c r="P1079" s="165" t="s">
        <v>5500</v>
      </c>
      <c r="Q1079" s="165" t="s">
        <v>4653</v>
      </c>
      <c r="R1079" s="3">
        <f t="shared" si="34"/>
        <v>12600</v>
      </c>
      <c r="S1079" s="165">
        <v>12600</v>
      </c>
      <c r="T1079"/>
      <c r="U1079" s="3"/>
    </row>
    <row r="1080" spans="1:21">
      <c r="A1080" s="165" t="s">
        <v>4642</v>
      </c>
      <c r="B1080" s="94">
        <v>1110</v>
      </c>
      <c r="C1080" s="165" t="s">
        <v>4537</v>
      </c>
      <c r="D1080" s="165">
        <v>6</v>
      </c>
      <c r="E1080" s="165" t="s">
        <v>4648</v>
      </c>
      <c r="F1080" s="165" t="s">
        <v>4654</v>
      </c>
      <c r="G1080" s="165">
        <v>12600</v>
      </c>
      <c r="H1080" s="165"/>
      <c r="I1080" s="165"/>
      <c r="J1080" s="165"/>
      <c r="K1080" s="165">
        <v>12600</v>
      </c>
      <c r="L1080" s="165"/>
      <c r="M1080" s="165"/>
      <c r="N1080" s="165"/>
      <c r="O1080" s="337">
        <f t="shared" si="31"/>
        <v>0</v>
      </c>
      <c r="P1080" s="165" t="s">
        <v>5551</v>
      </c>
      <c r="Q1080" s="165" t="s">
        <v>4654</v>
      </c>
      <c r="R1080" s="3">
        <f t="shared" si="34"/>
        <v>12600</v>
      </c>
      <c r="S1080" s="165">
        <v>12600</v>
      </c>
      <c r="T1080"/>
      <c r="U1080" s="3"/>
    </row>
    <row r="1081" spans="1:21">
      <c r="A1081" s="165" t="s">
        <v>4642</v>
      </c>
      <c r="B1081" s="94">
        <v>1111</v>
      </c>
      <c r="C1081" s="165" t="s">
        <v>4537</v>
      </c>
      <c r="D1081" s="165">
        <v>7</v>
      </c>
      <c r="E1081" s="165" t="s">
        <v>4649</v>
      </c>
      <c r="F1081" s="165" t="s">
        <v>4655</v>
      </c>
      <c r="G1081" s="165">
        <v>12600</v>
      </c>
      <c r="H1081" s="165"/>
      <c r="I1081" s="165"/>
      <c r="J1081" s="165"/>
      <c r="K1081" s="165"/>
      <c r="L1081" s="165">
        <v>12600</v>
      </c>
      <c r="M1081" s="165"/>
      <c r="N1081" s="165"/>
      <c r="O1081" s="337">
        <f t="shared" si="31"/>
        <v>0</v>
      </c>
      <c r="P1081" s="165" t="s">
        <v>4655</v>
      </c>
      <c r="Q1081" s="165" t="s">
        <v>4655</v>
      </c>
      <c r="R1081" s="3">
        <f t="shared" si="34"/>
        <v>12600</v>
      </c>
      <c r="S1081" s="165">
        <v>12600</v>
      </c>
      <c r="T1081"/>
      <c r="U1081" s="3"/>
    </row>
    <row r="1082" spans="1:21">
      <c r="A1082" s="165" t="s">
        <v>4642</v>
      </c>
      <c r="B1082" s="94">
        <v>1112</v>
      </c>
      <c r="C1082" s="165" t="s">
        <v>4537</v>
      </c>
      <c r="D1082" s="165">
        <v>8</v>
      </c>
      <c r="E1082" s="165" t="s">
        <v>4650</v>
      </c>
      <c r="F1082" s="165" t="s">
        <v>4656</v>
      </c>
      <c r="G1082" s="165">
        <v>12600</v>
      </c>
      <c r="H1082" s="165"/>
      <c r="I1082" s="165"/>
      <c r="J1082" s="165"/>
      <c r="K1082" s="165"/>
      <c r="L1082" s="165">
        <v>12600</v>
      </c>
      <c r="M1082" s="165"/>
      <c r="N1082" s="165"/>
      <c r="O1082" s="337">
        <f t="shared" si="31"/>
        <v>0</v>
      </c>
      <c r="P1082" s="165" t="s">
        <v>4656</v>
      </c>
      <c r="Q1082" s="165" t="s">
        <v>4656</v>
      </c>
      <c r="R1082" s="3">
        <f t="shared" si="34"/>
        <v>12600</v>
      </c>
      <c r="S1082" s="165">
        <v>12600</v>
      </c>
      <c r="T1082"/>
      <c r="U1082" s="3"/>
    </row>
    <row r="1083" spans="1:21">
      <c r="A1083" s="165" t="s">
        <v>4657</v>
      </c>
      <c r="B1083" s="94">
        <v>1113</v>
      </c>
      <c r="C1083" s="165" t="s">
        <v>4530</v>
      </c>
      <c r="D1083" s="165">
        <v>1</v>
      </c>
      <c r="E1083" s="165" t="s">
        <v>4658</v>
      </c>
      <c r="F1083" s="165" t="s">
        <v>4278</v>
      </c>
      <c r="G1083" s="165">
        <v>14175</v>
      </c>
      <c r="H1083" s="165"/>
      <c r="I1083" s="165"/>
      <c r="J1083" s="165">
        <v>14175</v>
      </c>
      <c r="K1083" s="165"/>
      <c r="L1083" s="165"/>
      <c r="M1083" s="165"/>
      <c r="N1083" s="165"/>
      <c r="O1083" s="337">
        <f t="shared" si="31"/>
        <v>0</v>
      </c>
      <c r="P1083" s="165" t="s">
        <v>4767</v>
      </c>
      <c r="Q1083" s="165" t="s">
        <v>4782</v>
      </c>
      <c r="R1083" s="3">
        <f t="shared" si="34"/>
        <v>14175</v>
      </c>
      <c r="S1083" s="165">
        <v>14175</v>
      </c>
      <c r="T1083"/>
      <c r="U1083" s="3"/>
    </row>
    <row r="1084" spans="1:21">
      <c r="A1084" s="165" t="s">
        <v>4657</v>
      </c>
      <c r="B1084" s="94">
        <v>1114</v>
      </c>
      <c r="C1084" s="165" t="s">
        <v>4530</v>
      </c>
      <c r="D1084" s="165">
        <v>2</v>
      </c>
      <c r="E1084" s="165" t="s">
        <v>4659</v>
      </c>
      <c r="F1084" s="165" t="s">
        <v>4280</v>
      </c>
      <c r="G1084" s="165">
        <v>14175</v>
      </c>
      <c r="H1084" s="165"/>
      <c r="I1084" s="165"/>
      <c r="J1084" s="165">
        <v>14175</v>
      </c>
      <c r="K1084" s="165"/>
      <c r="L1084" s="165"/>
      <c r="M1084" s="165"/>
      <c r="N1084" s="165"/>
      <c r="O1084" s="337">
        <f t="shared" si="31"/>
        <v>0</v>
      </c>
      <c r="P1084" s="165" t="s">
        <v>4772</v>
      </c>
      <c r="Q1084" s="165" t="s">
        <v>4088</v>
      </c>
      <c r="R1084" s="3">
        <f t="shared" si="34"/>
        <v>14175</v>
      </c>
      <c r="S1084" s="165">
        <v>14175</v>
      </c>
      <c r="T1084"/>
      <c r="U1084" s="3"/>
    </row>
    <row r="1085" spans="1:21">
      <c r="A1085" s="165" t="s">
        <v>4657</v>
      </c>
      <c r="B1085" s="94">
        <v>1115</v>
      </c>
      <c r="C1085" s="165" t="s">
        <v>4530</v>
      </c>
      <c r="D1085" s="165">
        <v>3</v>
      </c>
      <c r="E1085" s="165" t="s">
        <v>4660</v>
      </c>
      <c r="F1085" s="165" t="s">
        <v>4666</v>
      </c>
      <c r="G1085" s="165">
        <v>14175</v>
      </c>
      <c r="H1085" s="165"/>
      <c r="I1085" s="165"/>
      <c r="J1085" s="165"/>
      <c r="K1085" s="165">
        <v>14175</v>
      </c>
      <c r="L1085" s="165"/>
      <c r="M1085" s="165"/>
      <c r="N1085" s="165"/>
      <c r="O1085" s="337">
        <f t="shared" si="31"/>
        <v>0</v>
      </c>
      <c r="P1085" s="165" t="s">
        <v>5294</v>
      </c>
      <c r="Q1085" s="165" t="s">
        <v>4788</v>
      </c>
      <c r="R1085" s="3">
        <f t="shared" si="34"/>
        <v>14175</v>
      </c>
      <c r="S1085" s="165">
        <v>14175</v>
      </c>
      <c r="T1085"/>
      <c r="U1085" s="3"/>
    </row>
    <row r="1086" spans="1:21">
      <c r="A1086" s="165" t="s">
        <v>4657</v>
      </c>
      <c r="B1086" s="94">
        <v>1116</v>
      </c>
      <c r="C1086" s="165" t="s">
        <v>4530</v>
      </c>
      <c r="D1086" s="165">
        <v>4</v>
      </c>
      <c r="E1086" s="165" t="s">
        <v>4661</v>
      </c>
      <c r="F1086" s="165" t="s">
        <v>4667</v>
      </c>
      <c r="G1086" s="165">
        <v>14175</v>
      </c>
      <c r="H1086" s="165"/>
      <c r="I1086" s="165"/>
      <c r="J1086" s="165"/>
      <c r="K1086" s="165">
        <v>14175</v>
      </c>
      <c r="L1086" s="165"/>
      <c r="M1086" s="165"/>
      <c r="N1086" s="165"/>
      <c r="O1086" s="337">
        <f t="shared" si="31"/>
        <v>0</v>
      </c>
      <c r="P1086" s="165" t="s">
        <v>5333</v>
      </c>
      <c r="Q1086" s="165" t="s">
        <v>4795</v>
      </c>
      <c r="R1086" s="3">
        <f t="shared" si="34"/>
        <v>14175</v>
      </c>
      <c r="S1086" s="165">
        <v>14175</v>
      </c>
      <c r="T1086"/>
      <c r="U1086" s="3"/>
    </row>
    <row r="1087" spans="1:21">
      <c r="A1087" s="165" t="s">
        <v>4657</v>
      </c>
      <c r="B1087" s="94">
        <v>1117</v>
      </c>
      <c r="C1087" s="165" t="s">
        <v>4530</v>
      </c>
      <c r="D1087" s="165">
        <v>5</v>
      </c>
      <c r="E1087" s="165" t="s">
        <v>4662</v>
      </c>
      <c r="F1087" s="165" t="s">
        <v>4668</v>
      </c>
      <c r="G1087" s="165">
        <v>14175</v>
      </c>
      <c r="H1087" s="165"/>
      <c r="I1087" s="165"/>
      <c r="J1087" s="165"/>
      <c r="K1087" s="165">
        <v>14175</v>
      </c>
      <c r="L1087" s="165"/>
      <c r="M1087" s="165"/>
      <c r="N1087" s="165"/>
      <c r="O1087" s="337">
        <f t="shared" si="31"/>
        <v>0</v>
      </c>
      <c r="P1087" s="165" t="s">
        <v>5453</v>
      </c>
      <c r="Q1087" s="165" t="s">
        <v>4668</v>
      </c>
      <c r="R1087" s="3">
        <f t="shared" si="34"/>
        <v>14175</v>
      </c>
      <c r="S1087" s="165">
        <v>14175</v>
      </c>
      <c r="T1087"/>
      <c r="U1087" s="3"/>
    </row>
    <row r="1088" spans="1:21">
      <c r="A1088" s="165" t="s">
        <v>4657</v>
      </c>
      <c r="B1088" s="94">
        <v>1118</v>
      </c>
      <c r="C1088" s="165" t="s">
        <v>4530</v>
      </c>
      <c r="D1088" s="165">
        <v>6</v>
      </c>
      <c r="E1088" s="165" t="s">
        <v>4663</v>
      </c>
      <c r="F1088" s="165" t="s">
        <v>4669</v>
      </c>
      <c r="G1088" s="165">
        <v>14175</v>
      </c>
      <c r="H1088" s="165"/>
      <c r="I1088" s="165"/>
      <c r="J1088" s="165"/>
      <c r="K1088" s="165">
        <v>14175</v>
      </c>
      <c r="L1088" s="165"/>
      <c r="M1088" s="165"/>
      <c r="N1088" s="165"/>
      <c r="O1088" s="337">
        <f t="shared" si="31"/>
        <v>0</v>
      </c>
      <c r="P1088" s="165" t="s">
        <v>5504</v>
      </c>
      <c r="Q1088" s="165" t="s">
        <v>4669</v>
      </c>
      <c r="R1088" s="3">
        <f t="shared" si="34"/>
        <v>14175</v>
      </c>
      <c r="S1088" s="165">
        <v>14175</v>
      </c>
      <c r="T1088"/>
      <c r="U1088" s="3"/>
    </row>
    <row r="1089" spans="1:21">
      <c r="A1089" s="165" t="s">
        <v>4657</v>
      </c>
      <c r="B1089" s="94">
        <v>1119</v>
      </c>
      <c r="C1089" s="165" t="s">
        <v>4530</v>
      </c>
      <c r="D1089" s="165">
        <v>7</v>
      </c>
      <c r="E1089" s="165" t="s">
        <v>4664</v>
      </c>
      <c r="F1089" s="165" t="s">
        <v>4670</v>
      </c>
      <c r="G1089" s="165">
        <v>14175</v>
      </c>
      <c r="H1089" s="165"/>
      <c r="I1089" s="165"/>
      <c r="J1089" s="165"/>
      <c r="K1089" s="165">
        <v>14175</v>
      </c>
      <c r="L1089" s="165"/>
      <c r="M1089" s="165"/>
      <c r="N1089" s="165"/>
      <c r="O1089" s="337">
        <f t="shared" si="31"/>
        <v>0</v>
      </c>
      <c r="P1089" s="165" t="s">
        <v>5289</v>
      </c>
      <c r="Q1089" s="165" t="s">
        <v>4670</v>
      </c>
      <c r="R1089" s="3">
        <f t="shared" si="34"/>
        <v>14175</v>
      </c>
      <c r="S1089" s="165">
        <v>14175</v>
      </c>
      <c r="T1089"/>
      <c r="U1089" s="3"/>
    </row>
    <row r="1090" spans="1:21">
      <c r="A1090" s="165" t="s">
        <v>4657</v>
      </c>
      <c r="B1090" s="94">
        <v>1120</v>
      </c>
      <c r="C1090" s="165" t="s">
        <v>4530</v>
      </c>
      <c r="D1090" s="165">
        <v>8</v>
      </c>
      <c r="E1090" s="165" t="s">
        <v>4665</v>
      </c>
      <c r="F1090" s="165" t="s">
        <v>4671</v>
      </c>
      <c r="G1090" s="165">
        <v>14175</v>
      </c>
      <c r="H1090" s="165"/>
      <c r="I1090" s="165"/>
      <c r="J1090" s="165"/>
      <c r="K1090" s="165"/>
      <c r="L1090" s="165">
        <v>14175</v>
      </c>
      <c r="M1090" s="165"/>
      <c r="N1090" s="165"/>
      <c r="O1090" s="337">
        <f t="shared" si="31"/>
        <v>0</v>
      </c>
      <c r="P1090" s="165" t="s">
        <v>4671</v>
      </c>
      <c r="Q1090" s="165" t="s">
        <v>4671</v>
      </c>
      <c r="R1090" s="3">
        <f t="shared" si="34"/>
        <v>14175</v>
      </c>
      <c r="S1090" s="165">
        <v>14175</v>
      </c>
      <c r="T1090"/>
      <c r="U1090" s="3"/>
    </row>
    <row r="1091" spans="1:21">
      <c r="A1091" s="165" t="s">
        <v>4278</v>
      </c>
      <c r="B1091" s="94">
        <v>1121</v>
      </c>
      <c r="C1091" s="165" t="s">
        <v>4418</v>
      </c>
      <c r="D1091" s="165">
        <v>7</v>
      </c>
      <c r="E1091" s="165" t="s">
        <v>4672</v>
      </c>
      <c r="F1091" s="165" t="s">
        <v>4673</v>
      </c>
      <c r="G1091" s="165"/>
      <c r="H1091" s="165">
        <v>11340</v>
      </c>
      <c r="I1091" s="165"/>
      <c r="J1091" s="165">
        <v>11340</v>
      </c>
      <c r="K1091" s="165"/>
      <c r="L1091" s="165"/>
      <c r="M1091" s="165"/>
      <c r="N1091" s="165"/>
      <c r="O1091" s="337">
        <f t="shared" si="31"/>
        <v>0</v>
      </c>
      <c r="P1091" s="165" t="s">
        <v>4767</v>
      </c>
      <c r="Q1091" s="165" t="s">
        <v>4782</v>
      </c>
      <c r="R1091" s="3">
        <f>H1091</f>
        <v>11340</v>
      </c>
      <c r="S1091" s="770">
        <v>11340</v>
      </c>
      <c r="T1091"/>
      <c r="U1091" s="3"/>
    </row>
    <row r="1092" spans="1:21">
      <c r="A1092" s="165" t="s">
        <v>4674</v>
      </c>
      <c r="B1092" s="94">
        <v>1122</v>
      </c>
      <c r="C1092" s="165" t="s">
        <v>1232</v>
      </c>
      <c r="D1092" s="165">
        <v>9</v>
      </c>
      <c r="E1092" s="165" t="s">
        <v>4675</v>
      </c>
      <c r="F1092" s="165" t="s">
        <v>4676</v>
      </c>
      <c r="G1092" s="165">
        <v>16380</v>
      </c>
      <c r="H1092" s="165"/>
      <c r="I1092" s="165"/>
      <c r="J1092" s="165">
        <v>16380</v>
      </c>
      <c r="K1092" s="165"/>
      <c r="L1092" s="165"/>
      <c r="M1092" s="165"/>
      <c r="N1092" s="165"/>
      <c r="O1092" s="337">
        <f t="shared" si="31"/>
        <v>0</v>
      </c>
      <c r="P1092" s="165" t="s">
        <v>4769</v>
      </c>
      <c r="Q1092" s="165" t="s">
        <v>4783</v>
      </c>
      <c r="R1092" s="3">
        <f t="shared" ref="R1092:R1108" si="35">G1092</f>
        <v>16380</v>
      </c>
      <c r="S1092" s="770">
        <v>16380</v>
      </c>
      <c r="T1092"/>
      <c r="U1092" s="3"/>
    </row>
    <row r="1093" spans="1:21">
      <c r="A1093" s="165" t="s">
        <v>4677</v>
      </c>
      <c r="B1093" s="94">
        <v>1123</v>
      </c>
      <c r="C1093" s="165" t="s">
        <v>4678</v>
      </c>
      <c r="D1093" s="165">
        <v>1</v>
      </c>
      <c r="E1093" s="165" t="s">
        <v>4679</v>
      </c>
      <c r="F1093" s="165" t="s">
        <v>4680</v>
      </c>
      <c r="G1093" s="165">
        <v>17325</v>
      </c>
      <c r="H1093" s="165"/>
      <c r="I1093" s="165"/>
      <c r="J1093" s="165">
        <v>17325</v>
      </c>
      <c r="K1093" s="165"/>
      <c r="L1093" s="165"/>
      <c r="M1093" s="165"/>
      <c r="N1093" s="165"/>
      <c r="O1093" s="337">
        <f t="shared" si="31"/>
        <v>0</v>
      </c>
      <c r="P1093" s="165" t="s">
        <v>4771</v>
      </c>
      <c r="Q1093" s="165" t="s">
        <v>4785</v>
      </c>
      <c r="R1093" s="3">
        <f t="shared" si="35"/>
        <v>17325</v>
      </c>
      <c r="S1093" s="770">
        <v>17325</v>
      </c>
      <c r="T1093"/>
      <c r="U1093" s="3"/>
    </row>
    <row r="1094" spans="1:21">
      <c r="A1094" s="165" t="s">
        <v>4677</v>
      </c>
      <c r="B1094" s="94">
        <v>1124</v>
      </c>
      <c r="C1094" s="165" t="s">
        <v>4678</v>
      </c>
      <c r="D1094" s="165">
        <v>2</v>
      </c>
      <c r="E1094" s="165" t="s">
        <v>4681</v>
      </c>
      <c r="F1094" s="165" t="s">
        <v>4688</v>
      </c>
      <c r="G1094" s="165">
        <v>17325</v>
      </c>
      <c r="H1094" s="165"/>
      <c r="I1094" s="165"/>
      <c r="J1094" s="165">
        <v>17325</v>
      </c>
      <c r="K1094" s="165"/>
      <c r="L1094" s="165"/>
      <c r="M1094" s="165"/>
      <c r="N1094" s="165"/>
      <c r="O1094" s="337">
        <f t="shared" si="31"/>
        <v>0</v>
      </c>
      <c r="P1094" s="165" t="s">
        <v>4190</v>
      </c>
      <c r="Q1094" s="165" t="s">
        <v>4033</v>
      </c>
      <c r="R1094" s="3">
        <f t="shared" si="35"/>
        <v>17325</v>
      </c>
      <c r="S1094" s="770">
        <v>17325</v>
      </c>
      <c r="T1094"/>
      <c r="U1094" s="3"/>
    </row>
    <row r="1095" spans="1:21">
      <c r="A1095" s="165" t="s">
        <v>4677</v>
      </c>
      <c r="B1095" s="94">
        <v>1125</v>
      </c>
      <c r="C1095" s="165" t="s">
        <v>4678</v>
      </c>
      <c r="D1095" s="165">
        <v>3</v>
      </c>
      <c r="E1095" s="165" t="s">
        <v>4682</v>
      </c>
      <c r="F1095" s="165" t="s">
        <v>4692</v>
      </c>
      <c r="G1095" s="165">
        <v>17325</v>
      </c>
      <c r="H1095" s="165"/>
      <c r="I1095" s="165"/>
      <c r="J1095" s="165"/>
      <c r="K1095" s="165">
        <v>17325</v>
      </c>
      <c r="L1095" s="165"/>
      <c r="M1095" s="165"/>
      <c r="N1095" s="165"/>
      <c r="O1095" s="337">
        <f t="shared" si="31"/>
        <v>0</v>
      </c>
      <c r="P1095" s="165" t="s">
        <v>4791</v>
      </c>
      <c r="Q1095" s="165" t="s">
        <v>4789</v>
      </c>
      <c r="R1095" s="3">
        <f t="shared" si="35"/>
        <v>17325</v>
      </c>
      <c r="S1095" s="770">
        <v>17325</v>
      </c>
      <c r="T1095"/>
      <c r="U1095" s="3"/>
    </row>
    <row r="1096" spans="1:21">
      <c r="A1096" s="165" t="s">
        <v>4677</v>
      </c>
      <c r="B1096" s="94">
        <v>1126</v>
      </c>
      <c r="C1096" s="165" t="s">
        <v>4678</v>
      </c>
      <c r="D1096" s="165">
        <v>4</v>
      </c>
      <c r="E1096" s="165" t="s">
        <v>4683</v>
      </c>
      <c r="F1096" s="165" t="s">
        <v>4689</v>
      </c>
      <c r="G1096" s="165">
        <v>17325</v>
      </c>
      <c r="H1096" s="165"/>
      <c r="I1096" s="165"/>
      <c r="J1096" s="165"/>
      <c r="K1096" s="165">
        <v>17325</v>
      </c>
      <c r="L1096" s="165"/>
      <c r="M1096" s="165"/>
      <c r="N1096" s="165"/>
      <c r="O1096" s="337">
        <f t="shared" ref="O1096:O1157" si="36">G1096+H1096+I1096-J1096-K1096-L1096</f>
        <v>0</v>
      </c>
      <c r="P1096" s="165" t="s">
        <v>4804</v>
      </c>
      <c r="Q1096" s="165" t="s">
        <v>4689</v>
      </c>
      <c r="R1096" s="3">
        <f t="shared" si="35"/>
        <v>17325</v>
      </c>
      <c r="S1096" s="770">
        <v>17325</v>
      </c>
      <c r="T1096"/>
      <c r="U1096" s="3"/>
    </row>
    <row r="1097" spans="1:21">
      <c r="A1097" s="165" t="s">
        <v>4677</v>
      </c>
      <c r="B1097" s="94">
        <v>1127</v>
      </c>
      <c r="C1097" s="165" t="s">
        <v>4678</v>
      </c>
      <c r="D1097" s="165">
        <v>5</v>
      </c>
      <c r="E1097" s="165" t="s">
        <v>4684</v>
      </c>
      <c r="F1097" s="165" t="s">
        <v>4690</v>
      </c>
      <c r="G1097" s="165">
        <v>17325</v>
      </c>
      <c r="H1097" s="165"/>
      <c r="I1097" s="165"/>
      <c r="J1097" s="165"/>
      <c r="K1097" s="165">
        <v>17325</v>
      </c>
      <c r="L1097" s="165"/>
      <c r="M1097" s="165"/>
      <c r="N1097" s="165"/>
      <c r="O1097" s="337">
        <f t="shared" si="36"/>
        <v>0</v>
      </c>
      <c r="P1097" s="165" t="s">
        <v>5488</v>
      </c>
      <c r="Q1097" s="165" t="s">
        <v>5499</v>
      </c>
      <c r="R1097" s="3">
        <f t="shared" si="35"/>
        <v>17325</v>
      </c>
      <c r="S1097" s="770">
        <v>17325</v>
      </c>
      <c r="T1097"/>
      <c r="U1097" s="3"/>
    </row>
    <row r="1098" spans="1:21">
      <c r="A1098" s="165" t="s">
        <v>4677</v>
      </c>
      <c r="B1098" s="94">
        <v>1128</v>
      </c>
      <c r="C1098" s="165" t="s">
        <v>4678</v>
      </c>
      <c r="D1098" s="165">
        <v>6</v>
      </c>
      <c r="E1098" s="165" t="s">
        <v>4685</v>
      </c>
      <c r="F1098" s="165" t="s">
        <v>4691</v>
      </c>
      <c r="G1098" s="165">
        <v>17325</v>
      </c>
      <c r="H1098" s="165"/>
      <c r="I1098" s="165"/>
      <c r="J1098" s="165"/>
      <c r="K1098" s="165">
        <v>17325</v>
      </c>
      <c r="L1098" s="165"/>
      <c r="M1098" s="165"/>
      <c r="N1098" s="165"/>
      <c r="O1098" s="337">
        <f t="shared" si="36"/>
        <v>0</v>
      </c>
      <c r="P1098" s="165" t="s">
        <v>5263</v>
      </c>
      <c r="Q1098" s="165" t="s">
        <v>5550</v>
      </c>
      <c r="R1098" s="3">
        <f t="shared" si="35"/>
        <v>17325</v>
      </c>
      <c r="S1098" s="770">
        <v>17325</v>
      </c>
      <c r="T1098"/>
      <c r="U1098" s="3"/>
    </row>
    <row r="1099" spans="1:21">
      <c r="A1099" s="165" t="s">
        <v>4677</v>
      </c>
      <c r="B1099" s="94">
        <v>1129</v>
      </c>
      <c r="C1099" s="165" t="s">
        <v>4678</v>
      </c>
      <c r="D1099" s="165">
        <v>7</v>
      </c>
      <c r="E1099" s="165" t="s">
        <v>4686</v>
      </c>
      <c r="F1099" s="165" t="s">
        <v>4694</v>
      </c>
      <c r="G1099" s="165">
        <v>17325</v>
      </c>
      <c r="H1099" s="165"/>
      <c r="I1099" s="165"/>
      <c r="J1099" s="165"/>
      <c r="K1099" s="165"/>
      <c r="L1099" s="165">
        <v>17325</v>
      </c>
      <c r="M1099" s="165"/>
      <c r="N1099" s="165"/>
      <c r="O1099" s="337">
        <f t="shared" si="36"/>
        <v>0</v>
      </c>
      <c r="P1099" s="165" t="s">
        <v>4694</v>
      </c>
      <c r="Q1099" s="165" t="s">
        <v>4694</v>
      </c>
      <c r="R1099" s="3">
        <f t="shared" si="35"/>
        <v>17325</v>
      </c>
      <c r="S1099" s="770">
        <v>17325</v>
      </c>
      <c r="T1099"/>
      <c r="U1099" s="3"/>
    </row>
    <row r="1100" spans="1:21">
      <c r="A1100" s="165" t="s">
        <v>4677</v>
      </c>
      <c r="B1100" s="94">
        <v>1130</v>
      </c>
      <c r="C1100" s="165" t="s">
        <v>4678</v>
      </c>
      <c r="D1100" s="165">
        <v>8</v>
      </c>
      <c r="E1100" s="165" t="s">
        <v>4687</v>
      </c>
      <c r="F1100" s="165" t="s">
        <v>4693</v>
      </c>
      <c r="G1100" s="165">
        <v>17325</v>
      </c>
      <c r="H1100" s="165"/>
      <c r="I1100" s="165"/>
      <c r="J1100" s="165"/>
      <c r="K1100" s="165"/>
      <c r="L1100" s="165">
        <v>17325</v>
      </c>
      <c r="M1100" s="165"/>
      <c r="N1100" s="165"/>
      <c r="O1100" s="337">
        <f t="shared" si="36"/>
        <v>0</v>
      </c>
      <c r="P1100" s="165" t="s">
        <v>5617</v>
      </c>
      <c r="Q1100" s="165" t="s">
        <v>5617</v>
      </c>
      <c r="R1100" s="3">
        <f t="shared" si="35"/>
        <v>17325</v>
      </c>
      <c r="S1100" s="770">
        <v>17325</v>
      </c>
      <c r="T1100"/>
      <c r="U1100" s="3"/>
    </row>
    <row r="1101" spans="1:21">
      <c r="A1101" s="165" t="s">
        <v>4677</v>
      </c>
      <c r="B1101" s="94">
        <v>1131</v>
      </c>
      <c r="C1101" s="165" t="s">
        <v>4695</v>
      </c>
      <c r="D1101" s="165">
        <v>1</v>
      </c>
      <c r="E1101" s="165" t="s">
        <v>4696</v>
      </c>
      <c r="F1101" s="165" t="s">
        <v>4680</v>
      </c>
      <c r="G1101" s="165">
        <v>12600</v>
      </c>
      <c r="H1101" s="165"/>
      <c r="I1101" s="165"/>
      <c r="J1101" s="165">
        <v>12600</v>
      </c>
      <c r="K1101" s="165"/>
      <c r="L1101" s="165"/>
      <c r="M1101" s="165"/>
      <c r="N1101" s="165"/>
      <c r="O1101" s="337">
        <f t="shared" si="36"/>
        <v>0</v>
      </c>
      <c r="P1101" s="165" t="s">
        <v>4771</v>
      </c>
      <c r="Q1101" s="165" t="s">
        <v>4785</v>
      </c>
      <c r="R1101" s="3">
        <f t="shared" si="35"/>
        <v>12600</v>
      </c>
      <c r="S1101" s="770">
        <v>12600</v>
      </c>
      <c r="T1101"/>
      <c r="U1101" s="3"/>
    </row>
    <row r="1102" spans="1:21">
      <c r="A1102" s="165" t="s">
        <v>4677</v>
      </c>
      <c r="B1102" s="94">
        <v>1132</v>
      </c>
      <c r="C1102" s="165" t="s">
        <v>4695</v>
      </c>
      <c r="D1102" s="165">
        <v>2</v>
      </c>
      <c r="E1102" s="165" t="s">
        <v>4697</v>
      </c>
      <c r="F1102" s="165" t="s">
        <v>4688</v>
      </c>
      <c r="G1102" s="165">
        <v>12600</v>
      </c>
      <c r="H1102" s="165"/>
      <c r="I1102" s="165"/>
      <c r="J1102" s="165">
        <v>12600</v>
      </c>
      <c r="K1102" s="165"/>
      <c r="L1102" s="165"/>
      <c r="M1102" s="165"/>
      <c r="N1102" s="165"/>
      <c r="O1102" s="337">
        <f t="shared" si="36"/>
        <v>0</v>
      </c>
      <c r="P1102" s="165" t="s">
        <v>4190</v>
      </c>
      <c r="Q1102" s="165" t="s">
        <v>4033</v>
      </c>
      <c r="R1102" s="3">
        <f t="shared" si="35"/>
        <v>12600</v>
      </c>
      <c r="S1102" s="770">
        <v>12600</v>
      </c>
      <c r="T1102"/>
      <c r="U1102" s="3"/>
    </row>
    <row r="1103" spans="1:21">
      <c r="A1103" s="165" t="s">
        <v>4677</v>
      </c>
      <c r="B1103" s="94">
        <v>1133</v>
      </c>
      <c r="C1103" s="165" t="s">
        <v>4695</v>
      </c>
      <c r="D1103" s="165">
        <v>3</v>
      </c>
      <c r="E1103" s="165" t="s">
        <v>4698</v>
      </c>
      <c r="F1103" s="165" t="s">
        <v>4692</v>
      </c>
      <c r="G1103" s="165">
        <v>12600</v>
      </c>
      <c r="H1103" s="165"/>
      <c r="I1103" s="165"/>
      <c r="J1103" s="165"/>
      <c r="K1103" s="165">
        <v>12600</v>
      </c>
      <c r="L1103" s="165"/>
      <c r="M1103" s="165"/>
      <c r="N1103" s="165"/>
      <c r="O1103" s="337">
        <f t="shared" si="36"/>
        <v>0</v>
      </c>
      <c r="P1103" s="165" t="s">
        <v>4791</v>
      </c>
      <c r="Q1103" s="165" t="s">
        <v>4789</v>
      </c>
      <c r="R1103" s="3">
        <f t="shared" si="35"/>
        <v>12600</v>
      </c>
      <c r="S1103" s="770">
        <v>12600</v>
      </c>
      <c r="T1103"/>
      <c r="U1103" s="3"/>
    </row>
    <row r="1104" spans="1:21">
      <c r="A1104" s="165" t="s">
        <v>4677</v>
      </c>
      <c r="B1104" s="94">
        <v>1134</v>
      </c>
      <c r="C1104" s="165" t="s">
        <v>4695</v>
      </c>
      <c r="D1104" s="165">
        <v>4</v>
      </c>
      <c r="E1104" s="165" t="s">
        <v>4699</v>
      </c>
      <c r="F1104" s="165" t="s">
        <v>4689</v>
      </c>
      <c r="G1104" s="165">
        <v>12600</v>
      </c>
      <c r="H1104" s="165"/>
      <c r="I1104" s="165"/>
      <c r="J1104" s="165"/>
      <c r="K1104" s="165">
        <v>12600</v>
      </c>
      <c r="L1104" s="165"/>
      <c r="M1104" s="165"/>
      <c r="N1104" s="165"/>
      <c r="O1104" s="337">
        <f t="shared" si="36"/>
        <v>0</v>
      </c>
      <c r="P1104" s="165" t="s">
        <v>4804</v>
      </c>
      <c r="Q1104" s="165" t="s">
        <v>4689</v>
      </c>
      <c r="R1104" s="3">
        <f t="shared" si="35"/>
        <v>12600</v>
      </c>
      <c r="S1104" s="770">
        <v>12600</v>
      </c>
      <c r="T1104"/>
      <c r="U1104" s="3"/>
    </row>
    <row r="1105" spans="1:22">
      <c r="A1105" s="165" t="s">
        <v>4677</v>
      </c>
      <c r="B1105" s="94">
        <v>1135</v>
      </c>
      <c r="C1105" s="165" t="s">
        <v>4695</v>
      </c>
      <c r="D1105" s="165">
        <v>5</v>
      </c>
      <c r="E1105" s="165" t="s">
        <v>4700</v>
      </c>
      <c r="F1105" s="165" t="s">
        <v>4690</v>
      </c>
      <c r="G1105" s="165">
        <v>12600</v>
      </c>
      <c r="H1105" s="165"/>
      <c r="I1105" s="165"/>
      <c r="J1105" s="165"/>
      <c r="K1105" s="165">
        <v>12600</v>
      </c>
      <c r="L1105" s="165"/>
      <c r="M1105" s="165"/>
      <c r="N1105" s="165"/>
      <c r="O1105" s="337">
        <f t="shared" si="36"/>
        <v>0</v>
      </c>
      <c r="P1105" s="165" t="s">
        <v>5488</v>
      </c>
      <c r="Q1105" s="165" t="s">
        <v>5499</v>
      </c>
      <c r="R1105" s="3">
        <f t="shared" si="35"/>
        <v>12600</v>
      </c>
      <c r="S1105" s="770">
        <v>12600</v>
      </c>
      <c r="T1105"/>
      <c r="U1105" s="3"/>
    </row>
    <row r="1106" spans="1:22">
      <c r="A1106" s="165" t="s">
        <v>4677</v>
      </c>
      <c r="B1106" s="94">
        <v>1136</v>
      </c>
      <c r="C1106" s="165" t="s">
        <v>4695</v>
      </c>
      <c r="D1106" s="165">
        <v>6</v>
      </c>
      <c r="E1106" s="165" t="s">
        <v>4701</v>
      </c>
      <c r="F1106" s="165" t="s">
        <v>4691</v>
      </c>
      <c r="G1106" s="165">
        <v>12600</v>
      </c>
      <c r="H1106" s="165"/>
      <c r="I1106" s="165"/>
      <c r="J1106" s="165"/>
      <c r="K1106" s="165">
        <v>12600</v>
      </c>
      <c r="L1106" s="165"/>
      <c r="M1106" s="165"/>
      <c r="N1106" s="165"/>
      <c r="O1106" s="337">
        <f t="shared" si="36"/>
        <v>0</v>
      </c>
      <c r="P1106" s="165" t="s">
        <v>5263</v>
      </c>
      <c r="Q1106" s="165" t="s">
        <v>5550</v>
      </c>
      <c r="R1106" s="3">
        <f t="shared" si="35"/>
        <v>12600</v>
      </c>
      <c r="S1106" s="770">
        <v>12600</v>
      </c>
      <c r="T1106"/>
      <c r="U1106" s="3"/>
    </row>
    <row r="1107" spans="1:22">
      <c r="A1107" s="165" t="s">
        <v>4677</v>
      </c>
      <c r="B1107" s="94">
        <v>1137</v>
      </c>
      <c r="C1107" s="165" t="s">
        <v>4695</v>
      </c>
      <c r="D1107" s="165">
        <v>7</v>
      </c>
      <c r="E1107" s="165" t="s">
        <v>4702</v>
      </c>
      <c r="F1107" s="165" t="s">
        <v>4694</v>
      </c>
      <c r="G1107" s="165">
        <v>12600</v>
      </c>
      <c r="H1107" s="165"/>
      <c r="I1107" s="165"/>
      <c r="J1107" s="165"/>
      <c r="K1107" s="165"/>
      <c r="L1107" s="165">
        <v>12600</v>
      </c>
      <c r="M1107" s="165"/>
      <c r="N1107" s="165"/>
      <c r="O1107" s="337">
        <f t="shared" si="36"/>
        <v>0</v>
      </c>
      <c r="P1107" s="165" t="s">
        <v>4694</v>
      </c>
      <c r="Q1107" s="165" t="s">
        <v>4694</v>
      </c>
      <c r="R1107" s="3">
        <f t="shared" si="35"/>
        <v>12600</v>
      </c>
      <c r="S1107" s="770">
        <v>12600</v>
      </c>
      <c r="T1107"/>
      <c r="U1107" s="3"/>
    </row>
    <row r="1108" spans="1:22">
      <c r="A1108" s="165" t="s">
        <v>4677</v>
      </c>
      <c r="B1108" s="94">
        <v>1138</v>
      </c>
      <c r="C1108" s="165" t="s">
        <v>4695</v>
      </c>
      <c r="D1108" s="165">
        <v>8</v>
      </c>
      <c r="E1108" s="165" t="s">
        <v>4703</v>
      </c>
      <c r="F1108" s="165" t="s">
        <v>4693</v>
      </c>
      <c r="G1108" s="165">
        <v>12600</v>
      </c>
      <c r="H1108" s="165"/>
      <c r="I1108" s="165"/>
      <c r="J1108" s="165"/>
      <c r="K1108" s="165"/>
      <c r="L1108" s="165">
        <v>12600</v>
      </c>
      <c r="M1108" s="165"/>
      <c r="N1108" s="165"/>
      <c r="O1108" s="337">
        <f t="shared" si="36"/>
        <v>0</v>
      </c>
      <c r="P1108" s="165" t="s">
        <v>5617</v>
      </c>
      <c r="Q1108" s="165" t="s">
        <v>5617</v>
      </c>
      <c r="R1108" s="3">
        <f t="shared" si="35"/>
        <v>12600</v>
      </c>
      <c r="S1108" s="770">
        <v>12600</v>
      </c>
      <c r="T1108"/>
      <c r="U1108" s="3"/>
    </row>
    <row r="1109" spans="1:22" s="163" customFormat="1">
      <c r="A1109" s="281" t="s">
        <v>4759</v>
      </c>
      <c r="B1109" s="281"/>
      <c r="C1109" s="281" t="s">
        <v>2421</v>
      </c>
      <c r="D1109" s="281">
        <v>2</v>
      </c>
      <c r="E1109" s="281" t="s">
        <v>1283</v>
      </c>
      <c r="F1109" s="281" t="s">
        <v>4759</v>
      </c>
      <c r="G1109" s="284"/>
      <c r="H1109" s="284"/>
      <c r="I1109" s="284"/>
      <c r="J1109" s="281"/>
      <c r="K1109" s="281"/>
      <c r="L1109" s="281"/>
      <c r="M1109" s="281"/>
      <c r="N1109" s="281"/>
      <c r="O1109" s="664">
        <f t="shared" si="36"/>
        <v>0</v>
      </c>
      <c r="P1109" s="281" t="s">
        <v>4759</v>
      </c>
      <c r="Q1109" s="281" t="s">
        <v>4759</v>
      </c>
      <c r="R1109" s="281">
        <v>14175</v>
      </c>
      <c r="S1109" s="281">
        <v>14165</v>
      </c>
      <c r="T1109" s="406">
        <v>14165</v>
      </c>
      <c r="U1109" s="556">
        <v>10</v>
      </c>
    </row>
    <row r="1110" spans="1:22" s="163" customFormat="1">
      <c r="A1110" s="281" t="s">
        <v>4249</v>
      </c>
      <c r="B1110" s="281"/>
      <c r="C1110" s="281" t="s">
        <v>3825</v>
      </c>
      <c r="D1110" s="281">
        <v>6</v>
      </c>
      <c r="E1110" s="281" t="s">
        <v>1283</v>
      </c>
      <c r="F1110" s="281" t="s">
        <v>4249</v>
      </c>
      <c r="G1110" s="284"/>
      <c r="H1110" s="284"/>
      <c r="I1110" s="284"/>
      <c r="J1110" s="281"/>
      <c r="K1110" s="281"/>
      <c r="L1110" s="281"/>
      <c r="M1110" s="281"/>
      <c r="N1110" s="281"/>
      <c r="O1110" s="664">
        <f t="shared" si="36"/>
        <v>0</v>
      </c>
      <c r="P1110" s="281" t="s">
        <v>4249</v>
      </c>
      <c r="Q1110" s="281" t="s">
        <v>4249</v>
      </c>
      <c r="R1110" s="281">
        <v>14175</v>
      </c>
      <c r="S1110" s="281">
        <v>14145</v>
      </c>
      <c r="T1110" s="406">
        <v>14145</v>
      </c>
      <c r="U1110" s="556">
        <v>30</v>
      </c>
    </row>
    <row r="1111" spans="1:22" s="163" customFormat="1">
      <c r="A1111" s="281" t="s">
        <v>4262</v>
      </c>
      <c r="B1111" s="281"/>
      <c r="C1111" s="281" t="s">
        <v>1532</v>
      </c>
      <c r="D1111" s="281">
        <v>5</v>
      </c>
      <c r="E1111" s="281" t="s">
        <v>1283</v>
      </c>
      <c r="F1111" s="281" t="s">
        <v>4262</v>
      </c>
      <c r="G1111" s="284"/>
      <c r="H1111" s="284"/>
      <c r="I1111" s="284"/>
      <c r="J1111" s="281"/>
      <c r="K1111" s="281"/>
      <c r="L1111" s="281"/>
      <c r="M1111" s="281"/>
      <c r="N1111" s="281"/>
      <c r="O1111" s="664">
        <f t="shared" si="36"/>
        <v>0</v>
      </c>
      <c r="P1111" s="281" t="s">
        <v>4262</v>
      </c>
      <c r="Q1111" s="281" t="s">
        <v>4262</v>
      </c>
      <c r="R1111" s="281">
        <v>13500</v>
      </c>
      <c r="S1111" s="281">
        <v>13485</v>
      </c>
      <c r="T1111" s="406">
        <v>13485</v>
      </c>
      <c r="U1111" s="556">
        <v>15</v>
      </c>
    </row>
    <row r="1112" spans="1:22" s="163" customFormat="1">
      <c r="A1112" s="281" t="s">
        <v>4262</v>
      </c>
      <c r="B1112" s="281"/>
      <c r="C1112" s="281" t="s">
        <v>1264</v>
      </c>
      <c r="D1112" s="340" t="s">
        <v>4330</v>
      </c>
      <c r="E1112" s="281" t="s">
        <v>1283</v>
      </c>
      <c r="F1112" s="281" t="s">
        <v>4262</v>
      </c>
      <c r="G1112" s="284"/>
      <c r="H1112" s="284"/>
      <c r="I1112" s="284"/>
      <c r="J1112" s="281"/>
      <c r="K1112" s="281"/>
      <c r="L1112" s="281"/>
      <c r="M1112" s="281"/>
      <c r="N1112" s="281"/>
      <c r="O1112" s="664">
        <f t="shared" si="36"/>
        <v>0</v>
      </c>
      <c r="P1112" s="281" t="s">
        <v>4262</v>
      </c>
      <c r="Q1112" s="281" t="s">
        <v>4262</v>
      </c>
      <c r="R1112" s="281">
        <v>11340</v>
      </c>
      <c r="S1112" s="281">
        <v>11340</v>
      </c>
      <c r="T1112" s="405">
        <v>11340</v>
      </c>
      <c r="U1112" s="284"/>
      <c r="V1112" s="163" t="s">
        <v>4760</v>
      </c>
    </row>
    <row r="1113" spans="1:22">
      <c r="A1113" s="165" t="s">
        <v>4773</v>
      </c>
      <c r="B1113" s="165">
        <v>1139</v>
      </c>
      <c r="C1113" s="165" t="s">
        <v>1232</v>
      </c>
      <c r="D1113" s="165">
        <v>10</v>
      </c>
      <c r="E1113" s="165" t="s">
        <v>4774</v>
      </c>
      <c r="F1113" s="165" t="s">
        <v>4602</v>
      </c>
      <c r="G1113" s="165">
        <v>16380</v>
      </c>
      <c r="H1113" s="165"/>
      <c r="I1113" s="165"/>
      <c r="J1113" s="165">
        <v>16380</v>
      </c>
      <c r="K1113" s="165"/>
      <c r="L1113" s="165"/>
      <c r="M1113" s="165"/>
      <c r="N1113" s="165"/>
      <c r="O1113" s="337">
        <f t="shared" si="36"/>
        <v>0</v>
      </c>
      <c r="P1113" s="165" t="s">
        <v>4772</v>
      </c>
      <c r="Q1113" s="165" t="s">
        <v>4088</v>
      </c>
      <c r="R1113" s="3">
        <f>G1113</f>
        <v>16380</v>
      </c>
      <c r="S1113" s="337">
        <v>16380</v>
      </c>
      <c r="T1113"/>
      <c r="U1113" s="3"/>
    </row>
    <row r="1114" spans="1:22" s="163" customFormat="1">
      <c r="A1114" s="281" t="s">
        <v>4761</v>
      </c>
      <c r="B1114" s="281"/>
      <c r="C1114" s="281" t="s">
        <v>4204</v>
      </c>
      <c r="D1114" s="281"/>
      <c r="E1114" s="281" t="s">
        <v>1283</v>
      </c>
      <c r="F1114" s="281" t="s">
        <v>4761</v>
      </c>
      <c r="G1114" s="284"/>
      <c r="H1114" s="284"/>
      <c r="I1114" s="284"/>
      <c r="J1114" s="281"/>
      <c r="K1114" s="281"/>
      <c r="L1114" s="281"/>
      <c r="M1114" s="281"/>
      <c r="N1114" s="281"/>
      <c r="O1114" s="337">
        <f t="shared" si="36"/>
        <v>0</v>
      </c>
      <c r="P1114" s="281" t="s">
        <v>4761</v>
      </c>
      <c r="Q1114" s="281" t="s">
        <v>4761</v>
      </c>
      <c r="R1114" s="281">
        <v>75600</v>
      </c>
      <c r="S1114" s="281">
        <v>75600</v>
      </c>
      <c r="T1114" s="406">
        <v>75600</v>
      </c>
      <c r="U1114" s="281"/>
      <c r="V1114" s="163" t="s">
        <v>4762</v>
      </c>
    </row>
    <row r="1115" spans="1:22">
      <c r="A1115" s="165" t="s">
        <v>4715</v>
      </c>
      <c r="B1115" s="165">
        <v>1140</v>
      </c>
      <c r="C1115" s="165" t="s">
        <v>4418</v>
      </c>
      <c r="D1115" s="165">
        <v>8</v>
      </c>
      <c r="E1115" s="165" t="s">
        <v>4775</v>
      </c>
      <c r="F1115" s="165" t="s">
        <v>4776</v>
      </c>
      <c r="G1115" s="165"/>
      <c r="H1115" s="165">
        <v>11340</v>
      </c>
      <c r="I1115" s="165"/>
      <c r="J1115" s="165">
        <v>11340</v>
      </c>
      <c r="K1115" s="165"/>
      <c r="L1115" s="165"/>
      <c r="M1115" s="165"/>
      <c r="N1115" s="165"/>
      <c r="O1115" s="337">
        <f t="shared" si="36"/>
        <v>0</v>
      </c>
      <c r="P1115" s="165" t="s">
        <v>4772</v>
      </c>
      <c r="Q1115" s="165" t="s">
        <v>4088</v>
      </c>
      <c r="R1115" s="3">
        <f>H1115</f>
        <v>11340</v>
      </c>
      <c r="S1115" s="337">
        <v>11340</v>
      </c>
      <c r="T1115"/>
      <c r="U1115" s="3"/>
    </row>
    <row r="1116" spans="1:22">
      <c r="A1116" s="165" t="s">
        <v>4704</v>
      </c>
      <c r="B1116" s="165">
        <v>1141</v>
      </c>
      <c r="C1116" s="165" t="s">
        <v>4555</v>
      </c>
      <c r="D1116" s="165">
        <v>1</v>
      </c>
      <c r="E1116" s="165" t="s">
        <v>4705</v>
      </c>
      <c r="F1116" s="165" t="s">
        <v>4031</v>
      </c>
      <c r="G1116" s="165">
        <v>11340</v>
      </c>
      <c r="H1116" s="165"/>
      <c r="I1116" s="165"/>
      <c r="J1116" s="165">
        <v>11340</v>
      </c>
      <c r="K1116" s="165"/>
      <c r="L1116" s="165"/>
      <c r="M1116" s="165"/>
      <c r="N1116" s="165"/>
      <c r="O1116" s="337">
        <f t="shared" si="36"/>
        <v>0</v>
      </c>
      <c r="P1116" s="165" t="s">
        <v>4772</v>
      </c>
      <c r="Q1116" s="165" t="s">
        <v>4088</v>
      </c>
      <c r="R1116" s="3">
        <f t="shared" ref="R1116:R1123" si="37">G1116</f>
        <v>11340</v>
      </c>
      <c r="S1116" s="337">
        <v>11340</v>
      </c>
      <c r="T1116"/>
      <c r="U1116" s="3"/>
    </row>
    <row r="1117" spans="1:22">
      <c r="A1117" s="165" t="s">
        <v>4704</v>
      </c>
      <c r="B1117" s="165">
        <v>1142</v>
      </c>
      <c r="C1117" s="165" t="s">
        <v>4555</v>
      </c>
      <c r="D1117" s="165">
        <v>2</v>
      </c>
      <c r="E1117" s="165" t="s">
        <v>4706</v>
      </c>
      <c r="F1117" s="165" t="s">
        <v>4033</v>
      </c>
      <c r="G1117" s="165">
        <v>11340</v>
      </c>
      <c r="H1117" s="165"/>
      <c r="I1117" s="165"/>
      <c r="J1117" s="165">
        <v>11340</v>
      </c>
      <c r="K1117" s="165"/>
      <c r="L1117" s="165"/>
      <c r="M1117" s="165"/>
      <c r="N1117" s="165"/>
      <c r="O1117" s="337">
        <f t="shared" si="36"/>
        <v>0</v>
      </c>
      <c r="P1117" s="165" t="s">
        <v>4190</v>
      </c>
      <c r="Q1117" s="165" t="s">
        <v>4033</v>
      </c>
      <c r="R1117" s="3">
        <f t="shared" si="37"/>
        <v>11340</v>
      </c>
      <c r="S1117" s="337">
        <v>11340</v>
      </c>
      <c r="T1117"/>
      <c r="U1117" s="3"/>
    </row>
    <row r="1118" spans="1:22">
      <c r="A1118" s="165" t="s">
        <v>4704</v>
      </c>
      <c r="B1118" s="165">
        <v>1143</v>
      </c>
      <c r="C1118" s="165" t="s">
        <v>4555</v>
      </c>
      <c r="D1118" s="165">
        <v>3</v>
      </c>
      <c r="E1118" s="165" t="s">
        <v>4707</v>
      </c>
      <c r="F1118" s="165" t="s">
        <v>4651</v>
      </c>
      <c r="G1118" s="165">
        <v>11340</v>
      </c>
      <c r="H1118" s="165"/>
      <c r="I1118" s="165"/>
      <c r="J1118" s="165"/>
      <c r="K1118" s="165">
        <v>11340</v>
      </c>
      <c r="L1118" s="165"/>
      <c r="M1118" s="165"/>
      <c r="N1118" s="165"/>
      <c r="O1118" s="337">
        <f t="shared" si="36"/>
        <v>0</v>
      </c>
      <c r="P1118" s="165" t="s">
        <v>4651</v>
      </c>
      <c r="Q1118" s="165" t="s">
        <v>4793</v>
      </c>
      <c r="R1118" s="3">
        <f t="shared" si="37"/>
        <v>11340</v>
      </c>
      <c r="S1118" s="337">
        <v>11340</v>
      </c>
      <c r="T1118"/>
      <c r="U1118" s="3"/>
    </row>
    <row r="1119" spans="1:22">
      <c r="A1119" s="165" t="s">
        <v>4704</v>
      </c>
      <c r="B1119" s="165">
        <v>1144</v>
      </c>
      <c r="C1119" s="165" t="s">
        <v>4555</v>
      </c>
      <c r="D1119" s="165">
        <v>4</v>
      </c>
      <c r="E1119" s="165" t="s">
        <v>4708</v>
      </c>
      <c r="F1119" s="165" t="s">
        <v>4652</v>
      </c>
      <c r="G1119" s="165">
        <v>11340</v>
      </c>
      <c r="H1119" s="165"/>
      <c r="I1119" s="165"/>
      <c r="J1119" s="165"/>
      <c r="K1119" s="165">
        <v>11340</v>
      </c>
      <c r="L1119" s="165"/>
      <c r="M1119" s="165"/>
      <c r="N1119" s="165"/>
      <c r="O1119" s="337">
        <f t="shared" si="36"/>
        <v>0</v>
      </c>
      <c r="P1119" s="165" t="s">
        <v>4806</v>
      </c>
      <c r="Q1119" s="165" t="s">
        <v>4652</v>
      </c>
      <c r="R1119" s="3">
        <f t="shared" si="37"/>
        <v>11340</v>
      </c>
      <c r="S1119" s="337">
        <v>11340</v>
      </c>
      <c r="T1119"/>
      <c r="U1119" s="3"/>
    </row>
    <row r="1120" spans="1:22">
      <c r="A1120" s="165" t="s">
        <v>4704</v>
      </c>
      <c r="B1120" s="165">
        <v>1145</v>
      </c>
      <c r="C1120" s="165" t="s">
        <v>4555</v>
      </c>
      <c r="D1120" s="165">
        <v>5</v>
      </c>
      <c r="E1120" s="165" t="s">
        <v>4709</v>
      </c>
      <c r="F1120" s="165" t="s">
        <v>4653</v>
      </c>
      <c r="G1120" s="165">
        <v>11340</v>
      </c>
      <c r="H1120" s="165"/>
      <c r="I1120" s="165"/>
      <c r="J1120" s="165"/>
      <c r="K1120" s="165">
        <v>11340</v>
      </c>
      <c r="L1120" s="165"/>
      <c r="M1120" s="165"/>
      <c r="N1120" s="165"/>
      <c r="O1120" s="337">
        <f t="shared" si="36"/>
        <v>0</v>
      </c>
      <c r="P1120" s="165" t="s">
        <v>5500</v>
      </c>
      <c r="Q1120" s="165" t="s">
        <v>4226</v>
      </c>
      <c r="R1120" s="3">
        <f t="shared" si="37"/>
        <v>11340</v>
      </c>
      <c r="S1120" s="337">
        <v>11340</v>
      </c>
      <c r="T1120"/>
      <c r="U1120" s="3"/>
    </row>
    <row r="1121" spans="1:22">
      <c r="A1121" s="165" t="s">
        <v>4704</v>
      </c>
      <c r="B1121" s="165">
        <v>1146</v>
      </c>
      <c r="C1121" s="165" t="s">
        <v>4555</v>
      </c>
      <c r="D1121" s="165">
        <v>6</v>
      </c>
      <c r="E1121" s="165" t="s">
        <v>4710</v>
      </c>
      <c r="F1121" s="165" t="s">
        <v>4654</v>
      </c>
      <c r="G1121" s="165">
        <v>11340</v>
      </c>
      <c r="H1121" s="165"/>
      <c r="I1121" s="165"/>
      <c r="J1121" s="165"/>
      <c r="K1121" s="165">
        <v>11340</v>
      </c>
      <c r="L1121" s="165"/>
      <c r="M1121" s="165"/>
      <c r="N1121" s="165"/>
      <c r="O1121" s="337">
        <f t="shared" si="36"/>
        <v>0</v>
      </c>
      <c r="P1121" s="165" t="s">
        <v>5551</v>
      </c>
      <c r="Q1121" s="165" t="s">
        <v>4654</v>
      </c>
      <c r="R1121" s="3">
        <f t="shared" si="37"/>
        <v>11340</v>
      </c>
      <c r="S1121" s="337">
        <v>11340</v>
      </c>
      <c r="T1121"/>
      <c r="U1121" s="3"/>
    </row>
    <row r="1122" spans="1:22">
      <c r="A1122" s="165" t="s">
        <v>4704</v>
      </c>
      <c r="B1122" s="165">
        <v>1147</v>
      </c>
      <c r="C1122" s="165" t="s">
        <v>4555</v>
      </c>
      <c r="D1122" s="165">
        <v>7</v>
      </c>
      <c r="E1122" s="165" t="s">
        <v>4711</v>
      </c>
      <c r="F1122" s="165" t="s">
        <v>4655</v>
      </c>
      <c r="G1122" s="165">
        <v>11340</v>
      </c>
      <c r="H1122" s="165"/>
      <c r="I1122" s="165"/>
      <c r="J1122" s="165"/>
      <c r="K1122" s="165"/>
      <c r="L1122" s="165">
        <v>11340</v>
      </c>
      <c r="M1122" s="165"/>
      <c r="N1122" s="165"/>
      <c r="O1122" s="337">
        <f t="shared" si="36"/>
        <v>0</v>
      </c>
      <c r="P1122" s="165" t="s">
        <v>4655</v>
      </c>
      <c r="Q1122" s="165" t="s">
        <v>4655</v>
      </c>
      <c r="R1122" s="3">
        <f t="shared" si="37"/>
        <v>11340</v>
      </c>
      <c r="S1122" s="337">
        <v>11340</v>
      </c>
      <c r="T1122"/>
      <c r="U1122" s="3"/>
    </row>
    <row r="1123" spans="1:22">
      <c r="A1123" s="165" t="s">
        <v>4704</v>
      </c>
      <c r="B1123" s="165">
        <v>1148</v>
      </c>
      <c r="C1123" s="165" t="s">
        <v>4555</v>
      </c>
      <c r="D1123" s="165">
        <v>8</v>
      </c>
      <c r="E1123" s="165" t="s">
        <v>4712</v>
      </c>
      <c r="F1123" s="165" t="s">
        <v>4656</v>
      </c>
      <c r="G1123" s="165">
        <v>11340</v>
      </c>
      <c r="H1123" s="165"/>
      <c r="I1123" s="165"/>
      <c r="J1123" s="165"/>
      <c r="K1123" s="165"/>
      <c r="L1123" s="165">
        <v>11340</v>
      </c>
      <c r="M1123" s="165"/>
      <c r="N1123" s="165"/>
      <c r="O1123" s="337">
        <f t="shared" si="36"/>
        <v>0</v>
      </c>
      <c r="P1123" s="165" t="s">
        <v>4656</v>
      </c>
      <c r="Q1123" s="165" t="s">
        <v>4656</v>
      </c>
      <c r="R1123" s="3">
        <f t="shared" si="37"/>
        <v>11340</v>
      </c>
      <c r="S1123" s="337">
        <v>11340</v>
      </c>
      <c r="T1123"/>
      <c r="U1123" s="3"/>
    </row>
    <row r="1124" spans="1:22" s="163" customFormat="1">
      <c r="A1124" s="281" t="s">
        <v>4764</v>
      </c>
      <c r="B1124" s="281"/>
      <c r="C1124" s="281" t="s">
        <v>2421</v>
      </c>
      <c r="D1124" s="281">
        <v>3</v>
      </c>
      <c r="E1124" s="281" t="s">
        <v>1283</v>
      </c>
      <c r="F1124" s="281" t="s">
        <v>4764</v>
      </c>
      <c r="G1124" s="284"/>
      <c r="H1124" s="284"/>
      <c r="I1124" s="284"/>
      <c r="J1124" s="281"/>
      <c r="K1124" s="281"/>
      <c r="L1124" s="281"/>
      <c r="M1124" s="281"/>
      <c r="N1124" s="281"/>
      <c r="O1124" s="664">
        <f t="shared" si="36"/>
        <v>0</v>
      </c>
      <c r="P1124" s="281" t="s">
        <v>4764</v>
      </c>
      <c r="Q1124" s="281" t="s">
        <v>4764</v>
      </c>
      <c r="R1124" s="281">
        <v>14175</v>
      </c>
      <c r="S1124" s="281">
        <v>14165</v>
      </c>
      <c r="T1124" s="406">
        <v>14165</v>
      </c>
      <c r="U1124" s="556">
        <v>10</v>
      </c>
    </row>
    <row r="1125" spans="1:22" s="163" customFormat="1">
      <c r="A1125" s="281" t="s">
        <v>4177</v>
      </c>
      <c r="B1125" s="281"/>
      <c r="C1125" s="281" t="s">
        <v>1264</v>
      </c>
      <c r="D1125" s="340" t="s">
        <v>4763</v>
      </c>
      <c r="E1125" s="281" t="s">
        <v>1283</v>
      </c>
      <c r="F1125" s="281" t="s">
        <v>4177</v>
      </c>
      <c r="G1125" s="284"/>
      <c r="H1125" s="284"/>
      <c r="I1125" s="284"/>
      <c r="J1125" s="281"/>
      <c r="K1125" s="281"/>
      <c r="L1125" s="281"/>
      <c r="M1125" s="281"/>
      <c r="N1125" s="281"/>
      <c r="O1125" s="664">
        <f t="shared" si="36"/>
        <v>0</v>
      </c>
      <c r="P1125" s="281" t="s">
        <v>4177</v>
      </c>
      <c r="Q1125" s="281" t="s">
        <v>4177</v>
      </c>
      <c r="R1125" s="281">
        <v>11340</v>
      </c>
      <c r="S1125" s="281">
        <v>11340</v>
      </c>
      <c r="T1125" s="405">
        <v>11340</v>
      </c>
      <c r="U1125" s="284"/>
      <c r="V1125" s="163" t="s">
        <v>4760</v>
      </c>
    </row>
    <row r="1126" spans="1:22" s="163" customFormat="1">
      <c r="A1126" s="281" t="s">
        <v>4765</v>
      </c>
      <c r="B1126" s="281"/>
      <c r="C1126" s="281" t="s">
        <v>3825</v>
      </c>
      <c r="D1126" s="281">
        <v>7</v>
      </c>
      <c r="E1126" s="281" t="s">
        <v>1283</v>
      </c>
      <c r="F1126" s="281" t="s">
        <v>4765</v>
      </c>
      <c r="G1126" s="284"/>
      <c r="H1126" s="284"/>
      <c r="I1126" s="284"/>
      <c r="J1126" s="281"/>
      <c r="K1126" s="281"/>
      <c r="L1126" s="281"/>
      <c r="M1126" s="281"/>
      <c r="N1126" s="281"/>
      <c r="O1126" s="664">
        <f t="shared" si="36"/>
        <v>0</v>
      </c>
      <c r="P1126" s="281" t="s">
        <v>4765</v>
      </c>
      <c r="Q1126" s="281" t="s">
        <v>4765</v>
      </c>
      <c r="R1126" s="281">
        <v>14175</v>
      </c>
      <c r="S1126" s="281">
        <v>14145</v>
      </c>
      <c r="T1126" s="406">
        <v>14145</v>
      </c>
      <c r="U1126" s="556">
        <v>30</v>
      </c>
    </row>
    <row r="1127" spans="1:22" s="163" customFormat="1">
      <c r="A1127" s="281" t="s">
        <v>4264</v>
      </c>
      <c r="B1127" s="281"/>
      <c r="C1127" s="281" t="s">
        <v>1532</v>
      </c>
      <c r="D1127" s="281">
        <v>6</v>
      </c>
      <c r="E1127" s="281" t="s">
        <v>1283</v>
      </c>
      <c r="F1127" s="281" t="s">
        <v>4264</v>
      </c>
      <c r="G1127" s="284"/>
      <c r="H1127" s="284"/>
      <c r="I1127" s="284"/>
      <c r="J1127" s="281"/>
      <c r="K1127" s="281"/>
      <c r="L1127" s="281"/>
      <c r="M1127" s="281"/>
      <c r="N1127" s="281"/>
      <c r="O1127" s="664">
        <f t="shared" si="36"/>
        <v>0</v>
      </c>
      <c r="P1127" s="281" t="s">
        <v>4264</v>
      </c>
      <c r="Q1127" s="281" t="s">
        <v>4264</v>
      </c>
      <c r="R1127" s="281">
        <v>13500</v>
      </c>
      <c r="S1127" s="281">
        <v>13485</v>
      </c>
      <c r="T1127" s="406">
        <v>13485</v>
      </c>
      <c r="U1127" s="556">
        <v>15</v>
      </c>
    </row>
    <row r="1128" spans="1:22" s="163" customFormat="1">
      <c r="A1128" s="281" t="s">
        <v>4751</v>
      </c>
      <c r="B1128" s="281"/>
      <c r="C1128" s="281" t="s">
        <v>456</v>
      </c>
      <c r="D1128" s="281">
        <v>5</v>
      </c>
      <c r="E1128" s="281" t="s">
        <v>1283</v>
      </c>
      <c r="F1128" s="281" t="s">
        <v>4751</v>
      </c>
      <c r="G1128" s="284"/>
      <c r="H1128" s="284"/>
      <c r="I1128" s="284"/>
      <c r="J1128" s="281"/>
      <c r="K1128" s="281"/>
      <c r="L1128" s="281"/>
      <c r="M1128" s="281"/>
      <c r="N1128" s="281"/>
      <c r="O1128" s="664">
        <f t="shared" si="36"/>
        <v>0</v>
      </c>
      <c r="P1128" s="281" t="s">
        <v>4751</v>
      </c>
      <c r="Q1128" s="281" t="s">
        <v>4751</v>
      </c>
      <c r="R1128" s="281">
        <v>13230</v>
      </c>
      <c r="S1128" s="281">
        <v>13230</v>
      </c>
      <c r="T1128" s="406">
        <v>13230</v>
      </c>
      <c r="U1128" s="284"/>
      <c r="V1128" s="282" t="s">
        <v>245</v>
      </c>
    </row>
    <row r="1129" spans="1:22" s="163" customFormat="1">
      <c r="A1129" s="281" t="s">
        <v>4751</v>
      </c>
      <c r="B1129" s="281"/>
      <c r="C1129" s="281" t="s">
        <v>456</v>
      </c>
      <c r="D1129" s="281">
        <v>6</v>
      </c>
      <c r="E1129" s="281" t="s">
        <v>1283</v>
      </c>
      <c r="F1129" s="281" t="s">
        <v>4751</v>
      </c>
      <c r="G1129" s="284"/>
      <c r="H1129" s="284"/>
      <c r="I1129" s="284"/>
      <c r="J1129" s="281"/>
      <c r="K1129" s="281"/>
      <c r="L1129" s="281"/>
      <c r="M1129" s="281"/>
      <c r="N1129" s="281"/>
      <c r="O1129" s="664">
        <f t="shared" si="36"/>
        <v>0</v>
      </c>
      <c r="P1129" s="281" t="s">
        <v>4751</v>
      </c>
      <c r="Q1129" s="281" t="s">
        <v>4751</v>
      </c>
      <c r="R1129" s="281">
        <v>13230</v>
      </c>
      <c r="S1129" s="281">
        <v>13230</v>
      </c>
      <c r="T1129" s="406">
        <v>13230</v>
      </c>
      <c r="U1129" s="284"/>
      <c r="V1129" s="282" t="s">
        <v>245</v>
      </c>
    </row>
    <row r="1130" spans="1:22">
      <c r="A1130" s="165" t="s">
        <v>4714</v>
      </c>
      <c r="B1130" s="165">
        <v>1149</v>
      </c>
      <c r="C1130" s="165" t="s">
        <v>1232</v>
      </c>
      <c r="D1130" s="165">
        <v>11</v>
      </c>
      <c r="E1130" s="165" t="s">
        <v>4713</v>
      </c>
      <c r="F1130" s="165" t="s">
        <v>4609</v>
      </c>
      <c r="G1130" s="165">
        <v>16380</v>
      </c>
      <c r="H1130" s="165"/>
      <c r="I1130" s="165"/>
      <c r="J1130" s="165"/>
      <c r="K1130" s="165">
        <v>16380</v>
      </c>
      <c r="L1130" s="165"/>
      <c r="M1130" s="165"/>
      <c r="N1130" s="165"/>
      <c r="O1130" s="337">
        <f t="shared" si="36"/>
        <v>0</v>
      </c>
      <c r="P1130" s="165" t="s">
        <v>5294</v>
      </c>
      <c r="Q1130" s="165" t="s">
        <v>4788</v>
      </c>
      <c r="R1130" s="3">
        <f>G1130</f>
        <v>16380</v>
      </c>
      <c r="S1130" s="337">
        <v>16380</v>
      </c>
      <c r="T1130" s="337"/>
      <c r="U1130" s="3"/>
    </row>
    <row r="1131" spans="1:22" s="163" customFormat="1">
      <c r="A1131" s="281" t="s">
        <v>4190</v>
      </c>
      <c r="B1131" s="281"/>
      <c r="C1131" s="281" t="s">
        <v>4201</v>
      </c>
      <c r="D1131" s="281"/>
      <c r="E1131" s="281" t="s">
        <v>1283</v>
      </c>
      <c r="F1131" s="281" t="s">
        <v>4190</v>
      </c>
      <c r="G1131" s="284"/>
      <c r="H1131" s="284"/>
      <c r="I1131" s="284"/>
      <c r="J1131" s="281"/>
      <c r="K1131" s="281"/>
      <c r="L1131" s="281"/>
      <c r="M1131" s="281"/>
      <c r="N1131" s="281"/>
      <c r="O1131" s="664">
        <f t="shared" si="36"/>
        <v>0</v>
      </c>
      <c r="P1131" s="281" t="s">
        <v>4190</v>
      </c>
      <c r="Q1131" s="281" t="s">
        <v>4190</v>
      </c>
      <c r="R1131" s="281">
        <v>113400</v>
      </c>
      <c r="S1131" s="281">
        <v>113390</v>
      </c>
      <c r="T1131" s="406">
        <v>113390</v>
      </c>
      <c r="U1131" s="556">
        <v>10</v>
      </c>
      <c r="V1131" s="163" t="s">
        <v>4778</v>
      </c>
    </row>
    <row r="1132" spans="1:22">
      <c r="A1132" s="165" t="s">
        <v>4716</v>
      </c>
      <c r="B1132" s="94">
        <v>1150</v>
      </c>
      <c r="C1132" s="165" t="s">
        <v>4201</v>
      </c>
      <c r="D1132" s="165">
        <v>1</v>
      </c>
      <c r="E1132" s="165" t="s">
        <v>4718</v>
      </c>
      <c r="F1132" s="165" t="s">
        <v>4717</v>
      </c>
      <c r="G1132" s="165">
        <v>20475</v>
      </c>
      <c r="H1132" s="165"/>
      <c r="I1132" s="165"/>
      <c r="J1132" s="165">
        <v>20475</v>
      </c>
      <c r="K1132" s="165"/>
      <c r="L1132" s="165"/>
      <c r="M1132" s="165"/>
      <c r="N1132" s="165"/>
      <c r="O1132" s="337">
        <f t="shared" si="36"/>
        <v>0</v>
      </c>
      <c r="P1132" s="165" t="s">
        <v>4716</v>
      </c>
      <c r="Q1132" s="165" t="s">
        <v>4787</v>
      </c>
      <c r="R1132" s="3">
        <f>G1132</f>
        <v>20475</v>
      </c>
      <c r="S1132" s="337">
        <v>20475</v>
      </c>
      <c r="T1132"/>
      <c r="U1132" s="3"/>
      <c r="V1132" s="271" t="s">
        <v>2740</v>
      </c>
    </row>
    <row r="1133" spans="1:22">
      <c r="A1133" s="165" t="s">
        <v>4716</v>
      </c>
      <c r="B1133" s="94">
        <v>1151</v>
      </c>
      <c r="C1133" s="165" t="s">
        <v>4201</v>
      </c>
      <c r="D1133" s="165">
        <v>2</v>
      </c>
      <c r="E1133" s="165" t="s">
        <v>4719</v>
      </c>
      <c r="F1133" s="165" t="s">
        <v>4692</v>
      </c>
      <c r="G1133" s="165"/>
      <c r="H1133" s="165">
        <v>20475</v>
      </c>
      <c r="I1133" s="165"/>
      <c r="J1133" s="165"/>
      <c r="K1133" s="165">
        <v>20475</v>
      </c>
      <c r="L1133" s="165"/>
      <c r="M1133" s="165"/>
      <c r="N1133" s="165"/>
      <c r="O1133" s="337">
        <f t="shared" si="36"/>
        <v>0</v>
      </c>
      <c r="P1133" s="165" t="s">
        <v>4791</v>
      </c>
      <c r="Q1133" s="165" t="s">
        <v>4789</v>
      </c>
      <c r="R1133" s="3">
        <f t="shared" ref="R1133:R1139" si="38">H1133</f>
        <v>20475</v>
      </c>
      <c r="S1133" s="337">
        <v>20475</v>
      </c>
      <c r="T1133"/>
      <c r="U1133" s="3"/>
      <c r="V1133" s="271" t="s">
        <v>2740</v>
      </c>
    </row>
    <row r="1134" spans="1:22">
      <c r="A1134" s="165" t="s">
        <v>4716</v>
      </c>
      <c r="B1134" s="94">
        <v>1152</v>
      </c>
      <c r="C1134" s="165" t="s">
        <v>4201</v>
      </c>
      <c r="D1134" s="165">
        <v>3</v>
      </c>
      <c r="E1134" s="165" t="s">
        <v>4720</v>
      </c>
      <c r="F1134" s="165" t="s">
        <v>4689</v>
      </c>
      <c r="G1134" s="165"/>
      <c r="H1134" s="165">
        <v>20475</v>
      </c>
      <c r="I1134" s="165"/>
      <c r="J1134" s="165"/>
      <c r="K1134" s="165">
        <v>20475</v>
      </c>
      <c r="L1134" s="165"/>
      <c r="M1134" s="165"/>
      <c r="N1134" s="165"/>
      <c r="O1134" s="337">
        <f t="shared" si="36"/>
        <v>0</v>
      </c>
      <c r="P1134" s="165" t="s">
        <v>4804</v>
      </c>
      <c r="Q1134" s="165" t="s">
        <v>4689</v>
      </c>
      <c r="R1134" s="3">
        <f t="shared" si="38"/>
        <v>20475</v>
      </c>
      <c r="S1134" s="337">
        <v>20475</v>
      </c>
      <c r="T1134"/>
      <c r="U1134" s="3"/>
      <c r="V1134" s="271" t="s">
        <v>2740</v>
      </c>
    </row>
    <row r="1135" spans="1:22">
      <c r="A1135" s="165" t="s">
        <v>4716</v>
      </c>
      <c r="B1135" s="94">
        <v>1153</v>
      </c>
      <c r="C1135" s="165" t="s">
        <v>4201</v>
      </c>
      <c r="D1135" s="165">
        <v>4</v>
      </c>
      <c r="E1135" s="165" t="s">
        <v>4721</v>
      </c>
      <c r="F1135" s="165" t="s">
        <v>4690</v>
      </c>
      <c r="G1135" s="165"/>
      <c r="H1135" s="165">
        <v>20475</v>
      </c>
      <c r="I1135" s="165"/>
      <c r="J1135" s="165"/>
      <c r="K1135" s="165">
        <v>20475</v>
      </c>
      <c r="L1135" s="165"/>
      <c r="M1135" s="165"/>
      <c r="N1135" s="165"/>
      <c r="O1135" s="337">
        <f t="shared" si="36"/>
        <v>0</v>
      </c>
      <c r="P1135" s="165" t="s">
        <v>5488</v>
      </c>
      <c r="Q1135" s="165" t="s">
        <v>5499</v>
      </c>
      <c r="R1135" s="3">
        <f t="shared" si="38"/>
        <v>20475</v>
      </c>
      <c r="S1135" s="337">
        <v>20475</v>
      </c>
      <c r="T1135"/>
      <c r="U1135" s="3"/>
      <c r="V1135" s="271" t="s">
        <v>2740</v>
      </c>
    </row>
    <row r="1136" spans="1:22">
      <c r="A1136" s="165" t="s">
        <v>4716</v>
      </c>
      <c r="B1136" s="94">
        <v>1154</v>
      </c>
      <c r="C1136" s="165" t="s">
        <v>4201</v>
      </c>
      <c r="D1136" s="165">
        <v>5</v>
      </c>
      <c r="E1136" s="165" t="s">
        <v>4722</v>
      </c>
      <c r="F1136" s="165" t="s">
        <v>4691</v>
      </c>
      <c r="G1136" s="165"/>
      <c r="H1136" s="165">
        <v>20475</v>
      </c>
      <c r="I1136" s="165"/>
      <c r="J1136" s="165"/>
      <c r="K1136" s="165">
        <v>20475</v>
      </c>
      <c r="L1136" s="165"/>
      <c r="M1136" s="165"/>
      <c r="N1136" s="165"/>
      <c r="O1136" s="337">
        <f t="shared" si="36"/>
        <v>0</v>
      </c>
      <c r="P1136" s="165" t="s">
        <v>5263</v>
      </c>
      <c r="Q1136" s="165" t="s">
        <v>5550</v>
      </c>
      <c r="R1136" s="3">
        <f t="shared" si="38"/>
        <v>20475</v>
      </c>
      <c r="S1136" s="337">
        <v>20475</v>
      </c>
      <c r="T1136"/>
      <c r="U1136" s="3"/>
      <c r="V1136" s="271" t="s">
        <v>2740</v>
      </c>
    </row>
    <row r="1137" spans="1:22">
      <c r="A1137" s="165" t="s">
        <v>4716</v>
      </c>
      <c r="B1137" s="94">
        <v>1155</v>
      </c>
      <c r="C1137" s="165" t="s">
        <v>4201</v>
      </c>
      <c r="D1137" s="165">
        <v>6</v>
      </c>
      <c r="E1137" s="165" t="s">
        <v>4723</v>
      </c>
      <c r="F1137" s="165">
        <v>201802.05</v>
      </c>
      <c r="G1137" s="165"/>
      <c r="H1137" s="165">
        <v>20475</v>
      </c>
      <c r="I1137" s="165"/>
      <c r="J1137" s="165"/>
      <c r="K1137" s="165"/>
      <c r="L1137" s="165">
        <v>20475</v>
      </c>
      <c r="M1137" s="165"/>
      <c r="N1137" s="165"/>
      <c r="O1137" s="337">
        <f t="shared" si="36"/>
        <v>0</v>
      </c>
      <c r="P1137" s="165" t="s">
        <v>4694</v>
      </c>
      <c r="Q1137" s="165" t="s">
        <v>4694</v>
      </c>
      <c r="R1137" s="3">
        <f t="shared" si="38"/>
        <v>20475</v>
      </c>
      <c r="S1137" s="337">
        <v>20475</v>
      </c>
      <c r="T1137"/>
      <c r="U1137" s="3"/>
      <c r="V1137" s="271" t="s">
        <v>2740</v>
      </c>
    </row>
    <row r="1138" spans="1:22">
      <c r="A1138" s="165" t="s">
        <v>4716</v>
      </c>
      <c r="B1138" s="94">
        <v>1156</v>
      </c>
      <c r="C1138" s="165" t="s">
        <v>4201</v>
      </c>
      <c r="D1138" s="165">
        <v>7</v>
      </c>
      <c r="E1138" s="165" t="s">
        <v>4724</v>
      </c>
      <c r="F1138" s="165" t="s">
        <v>4693</v>
      </c>
      <c r="G1138" s="165"/>
      <c r="H1138" s="165">
        <v>20475</v>
      </c>
      <c r="I1138" s="165"/>
      <c r="J1138" s="165"/>
      <c r="K1138" s="165"/>
      <c r="L1138" s="165">
        <v>20475</v>
      </c>
      <c r="M1138" s="165"/>
      <c r="N1138" s="165"/>
      <c r="O1138" s="337">
        <f t="shared" si="36"/>
        <v>0</v>
      </c>
      <c r="P1138" s="165" t="s">
        <v>5617</v>
      </c>
      <c r="Q1138" s="165" t="s">
        <v>5617</v>
      </c>
      <c r="R1138" s="3">
        <f t="shared" si="38"/>
        <v>20475</v>
      </c>
      <c r="S1138" s="337">
        <v>20475</v>
      </c>
      <c r="T1138"/>
      <c r="U1138" s="3"/>
      <c r="V1138" s="271" t="s">
        <v>2740</v>
      </c>
    </row>
    <row r="1139" spans="1:22">
      <c r="A1139" s="165" t="s">
        <v>4716</v>
      </c>
      <c r="B1139" s="94">
        <v>1157</v>
      </c>
      <c r="C1139" s="165" t="s">
        <v>4201</v>
      </c>
      <c r="D1139" s="165">
        <v>8</v>
      </c>
      <c r="E1139" s="165" t="s">
        <v>4725</v>
      </c>
      <c r="F1139" s="165" t="s">
        <v>4726</v>
      </c>
      <c r="G1139" s="165"/>
      <c r="H1139" s="165">
        <v>20475</v>
      </c>
      <c r="I1139" s="165"/>
      <c r="J1139" s="165"/>
      <c r="K1139" s="165"/>
      <c r="L1139" s="165">
        <v>20475</v>
      </c>
      <c r="M1139" s="165"/>
      <c r="N1139" s="165"/>
      <c r="O1139" s="337">
        <f t="shared" si="36"/>
        <v>0</v>
      </c>
      <c r="P1139" s="165" t="s">
        <v>9721</v>
      </c>
      <c r="Q1139" s="165" t="s">
        <v>9721</v>
      </c>
      <c r="R1139" s="3">
        <f t="shared" si="38"/>
        <v>20475</v>
      </c>
      <c r="S1139" s="337">
        <v>20475</v>
      </c>
      <c r="T1139"/>
      <c r="U1139" s="3"/>
      <c r="V1139" s="271" t="s">
        <v>2740</v>
      </c>
    </row>
    <row r="1140" spans="1:22">
      <c r="A1140" s="165" t="s">
        <v>4716</v>
      </c>
      <c r="B1140" s="94">
        <v>1158</v>
      </c>
      <c r="C1140" s="165" t="s">
        <v>4000</v>
      </c>
      <c r="D1140" s="165">
        <v>1</v>
      </c>
      <c r="E1140" s="165" t="s">
        <v>4727</v>
      </c>
      <c r="F1140" s="165" t="s">
        <v>4108</v>
      </c>
      <c r="G1140" s="165">
        <v>20475</v>
      </c>
      <c r="H1140" s="165"/>
      <c r="I1140" s="165"/>
      <c r="J1140" s="165">
        <v>20475</v>
      </c>
      <c r="K1140" s="165"/>
      <c r="L1140" s="165"/>
      <c r="M1140" s="165"/>
      <c r="N1140" s="165"/>
      <c r="O1140" s="337">
        <f t="shared" si="36"/>
        <v>0</v>
      </c>
      <c r="P1140" s="165" t="s">
        <v>4716</v>
      </c>
      <c r="Q1140" s="165" t="s">
        <v>4787</v>
      </c>
      <c r="R1140" s="3">
        <f>G1140</f>
        <v>20475</v>
      </c>
      <c r="S1140" s="770">
        <v>20475</v>
      </c>
      <c r="T1140"/>
      <c r="U1140" s="3"/>
      <c r="V1140" s="271" t="s">
        <v>2740</v>
      </c>
    </row>
    <row r="1141" spans="1:22">
      <c r="A1141" s="165" t="s">
        <v>4716</v>
      </c>
      <c r="B1141" s="94">
        <v>1159</v>
      </c>
      <c r="C1141" s="165" t="s">
        <v>4000</v>
      </c>
      <c r="D1141" s="165">
        <v>2</v>
      </c>
      <c r="E1141" s="165" t="s">
        <v>4728</v>
      </c>
      <c r="F1141" s="165" t="s">
        <v>4110</v>
      </c>
      <c r="G1141" s="165"/>
      <c r="H1141" s="165">
        <v>20475</v>
      </c>
      <c r="I1141" s="165"/>
      <c r="J1141" s="165"/>
      <c r="K1141" s="165">
        <v>20475</v>
      </c>
      <c r="L1141" s="165"/>
      <c r="M1141" s="165"/>
      <c r="N1141" s="165"/>
      <c r="O1141" s="337">
        <f t="shared" si="36"/>
        <v>0</v>
      </c>
      <c r="P1141" s="165" t="s">
        <v>4651</v>
      </c>
      <c r="Q1141" s="165" t="s">
        <v>4793</v>
      </c>
      <c r="R1141" s="3">
        <f>H1141</f>
        <v>20475</v>
      </c>
      <c r="S1141" s="770">
        <v>20475</v>
      </c>
      <c r="T1141"/>
      <c r="U1141" s="3"/>
      <c r="V1141" s="271" t="s">
        <v>2740</v>
      </c>
    </row>
    <row r="1142" spans="1:22">
      <c r="A1142" s="165" t="s">
        <v>4716</v>
      </c>
      <c r="B1142" s="94">
        <v>1160</v>
      </c>
      <c r="C1142" s="165" t="s">
        <v>4000</v>
      </c>
      <c r="D1142" s="165">
        <v>3</v>
      </c>
      <c r="E1142" s="165" t="s">
        <v>4729</v>
      </c>
      <c r="F1142" s="165" t="s">
        <v>4213</v>
      </c>
      <c r="G1142" s="165"/>
      <c r="H1142" s="165">
        <v>20475</v>
      </c>
      <c r="I1142" s="165"/>
      <c r="J1142" s="165"/>
      <c r="K1142" s="165">
        <v>20475</v>
      </c>
      <c r="L1142" s="165"/>
      <c r="M1142" s="165"/>
      <c r="N1142" s="165"/>
      <c r="O1142" s="337">
        <f t="shared" si="36"/>
        <v>0</v>
      </c>
      <c r="P1142" s="165" t="s">
        <v>4806</v>
      </c>
      <c r="Q1142" s="165" t="s">
        <v>4213</v>
      </c>
      <c r="R1142" s="3">
        <f>H1142</f>
        <v>20475</v>
      </c>
      <c r="S1142" s="770">
        <v>20475</v>
      </c>
      <c r="T1142"/>
      <c r="U1142" s="3"/>
      <c r="V1142" s="271" t="s">
        <v>2740</v>
      </c>
    </row>
    <row r="1143" spans="1:22">
      <c r="A1143" s="165" t="s">
        <v>4716</v>
      </c>
      <c r="B1143" s="94">
        <v>1161</v>
      </c>
      <c r="C1143" s="165" t="s">
        <v>4000</v>
      </c>
      <c r="D1143" s="165">
        <v>4</v>
      </c>
      <c r="E1143" s="165" t="s">
        <v>4730</v>
      </c>
      <c r="F1143" s="165" t="s">
        <v>4735</v>
      </c>
      <c r="G1143" s="165"/>
      <c r="H1143" s="165">
        <v>20475</v>
      </c>
      <c r="I1143" s="165"/>
      <c r="J1143" s="165"/>
      <c r="K1143" s="165">
        <v>20475</v>
      </c>
      <c r="L1143" s="165"/>
      <c r="M1143" s="165"/>
      <c r="N1143" s="165"/>
      <c r="O1143" s="337">
        <f t="shared" si="36"/>
        <v>0</v>
      </c>
      <c r="P1143" s="165" t="s">
        <v>5500</v>
      </c>
      <c r="Q1143" s="165" t="s">
        <v>4735</v>
      </c>
      <c r="R1143" s="3">
        <f>H1143</f>
        <v>20475</v>
      </c>
      <c r="S1143" s="770">
        <v>20475</v>
      </c>
      <c r="T1143"/>
      <c r="U1143" s="3"/>
      <c r="V1143" s="271" t="s">
        <v>2740</v>
      </c>
    </row>
    <row r="1144" spans="1:22">
      <c r="A1144" s="165" t="s">
        <v>4716</v>
      </c>
      <c r="B1144" s="94">
        <v>1162</v>
      </c>
      <c r="C1144" s="165" t="s">
        <v>4000</v>
      </c>
      <c r="D1144" s="165">
        <v>5</v>
      </c>
      <c r="E1144" s="165" t="s">
        <v>4731</v>
      </c>
      <c r="F1144" s="165" t="s">
        <v>4736</v>
      </c>
      <c r="G1144" s="165"/>
      <c r="H1144" s="165">
        <v>20475</v>
      </c>
      <c r="I1144" s="165"/>
      <c r="J1144" s="165"/>
      <c r="K1144" s="165">
        <v>20475</v>
      </c>
      <c r="L1144" s="165"/>
      <c r="M1144" s="165"/>
      <c r="N1144" s="165"/>
      <c r="O1144" s="337">
        <f t="shared" si="36"/>
        <v>0</v>
      </c>
      <c r="P1144" s="165" t="s">
        <v>5551</v>
      </c>
      <c r="Q1144" s="165" t="s">
        <v>5552</v>
      </c>
      <c r="R1144" s="3">
        <f>H1144</f>
        <v>20475</v>
      </c>
      <c r="S1144" s="770">
        <v>20475</v>
      </c>
      <c r="T1144"/>
      <c r="U1144" s="3"/>
      <c r="V1144" s="271" t="s">
        <v>2740</v>
      </c>
    </row>
    <row r="1145" spans="1:22">
      <c r="A1145" s="165" t="s">
        <v>4716</v>
      </c>
      <c r="B1145" s="94">
        <v>1163</v>
      </c>
      <c r="C1145" s="165" t="s">
        <v>4000</v>
      </c>
      <c r="D1145" s="165">
        <v>6</v>
      </c>
      <c r="E1145" s="165" t="s">
        <v>4732</v>
      </c>
      <c r="F1145" s="165">
        <v>201802.25</v>
      </c>
      <c r="G1145" s="165"/>
      <c r="H1145" s="165"/>
      <c r="I1145" s="165">
        <v>20475</v>
      </c>
      <c r="J1145" s="165"/>
      <c r="K1145" s="165"/>
      <c r="L1145" s="165">
        <v>20475</v>
      </c>
      <c r="M1145" s="165"/>
      <c r="N1145" s="165"/>
      <c r="O1145" s="337">
        <f t="shared" si="36"/>
        <v>0</v>
      </c>
      <c r="P1145" s="165" t="s">
        <v>5612</v>
      </c>
      <c r="Q1145" s="165" t="s">
        <v>5612</v>
      </c>
      <c r="R1145" s="3">
        <f>G1145+H1145+I1145</f>
        <v>20475</v>
      </c>
      <c r="S1145" s="770">
        <v>20475</v>
      </c>
      <c r="T1145"/>
      <c r="U1145" s="3"/>
      <c r="V1145" s="271" t="s">
        <v>2740</v>
      </c>
    </row>
    <row r="1146" spans="1:22">
      <c r="A1146" s="165" t="s">
        <v>4716</v>
      </c>
      <c r="B1146" s="94">
        <v>1164</v>
      </c>
      <c r="C1146" s="165" t="s">
        <v>4000</v>
      </c>
      <c r="D1146" s="165">
        <v>7</v>
      </c>
      <c r="E1146" s="165" t="s">
        <v>4733</v>
      </c>
      <c r="F1146" s="165" t="s">
        <v>4737</v>
      </c>
      <c r="G1146" s="165"/>
      <c r="H1146" s="165"/>
      <c r="I1146" s="165">
        <v>20475</v>
      </c>
      <c r="J1146" s="165"/>
      <c r="K1146" s="165"/>
      <c r="L1146" s="165">
        <v>20475</v>
      </c>
      <c r="M1146" s="165"/>
      <c r="N1146" s="165"/>
      <c r="O1146" s="337">
        <f t="shared" si="36"/>
        <v>0</v>
      </c>
      <c r="P1146" s="165" t="s">
        <v>4737</v>
      </c>
      <c r="Q1146" s="165" t="s">
        <v>4737</v>
      </c>
      <c r="R1146" s="3">
        <f>G1146+H1146+I1146</f>
        <v>20475</v>
      </c>
      <c r="S1146" s="770">
        <v>20475</v>
      </c>
      <c r="T1146"/>
      <c r="U1146" s="3"/>
      <c r="V1146" s="271" t="s">
        <v>2740</v>
      </c>
    </row>
    <row r="1147" spans="1:22">
      <c r="A1147" s="165" t="s">
        <v>4716</v>
      </c>
      <c r="B1147" s="94">
        <v>1165</v>
      </c>
      <c r="C1147" s="165" t="s">
        <v>4000</v>
      </c>
      <c r="D1147" s="165">
        <v>8</v>
      </c>
      <c r="E1147" s="165" t="s">
        <v>4734</v>
      </c>
      <c r="F1147" s="165" t="s">
        <v>4738</v>
      </c>
      <c r="G1147" s="165"/>
      <c r="H1147" s="165"/>
      <c r="I1147" s="165">
        <v>20475</v>
      </c>
      <c r="J1147" s="165"/>
      <c r="K1147" s="165"/>
      <c r="L1147" s="165">
        <v>20475</v>
      </c>
      <c r="M1147" s="165"/>
      <c r="N1147" s="165"/>
      <c r="O1147" s="337">
        <f t="shared" si="36"/>
        <v>0</v>
      </c>
      <c r="P1147" s="165" t="s">
        <v>9775</v>
      </c>
      <c r="Q1147" s="165" t="s">
        <v>9775</v>
      </c>
      <c r="R1147" s="3">
        <f>G1147+H1147+I1147</f>
        <v>20475</v>
      </c>
      <c r="S1147" s="770">
        <v>20475</v>
      </c>
      <c r="T1147"/>
      <c r="U1147" s="3"/>
      <c r="V1147" s="271" t="s">
        <v>2740</v>
      </c>
    </row>
    <row r="1148" spans="1:22">
      <c r="A1148" s="165" t="s">
        <v>4716</v>
      </c>
      <c r="B1148" s="94">
        <v>1166</v>
      </c>
      <c r="C1148" s="165" t="s">
        <v>4739</v>
      </c>
      <c r="D1148" s="165">
        <v>1</v>
      </c>
      <c r="E1148" s="165" t="s">
        <v>4740</v>
      </c>
      <c r="F1148" s="165" t="s">
        <v>4108</v>
      </c>
      <c r="G1148" s="165">
        <v>16380</v>
      </c>
      <c r="H1148" s="165"/>
      <c r="I1148" s="165"/>
      <c r="J1148" s="165">
        <v>16380</v>
      </c>
      <c r="K1148" s="165"/>
      <c r="L1148" s="165"/>
      <c r="M1148" s="165"/>
      <c r="N1148" s="165"/>
      <c r="O1148" s="337">
        <f t="shared" si="36"/>
        <v>0</v>
      </c>
      <c r="P1148" s="165" t="s">
        <v>4716</v>
      </c>
      <c r="Q1148" s="165" t="s">
        <v>4787</v>
      </c>
      <c r="R1148" s="3">
        <f>G1148</f>
        <v>16380</v>
      </c>
      <c r="S1148" s="770">
        <v>16380</v>
      </c>
      <c r="T1148"/>
      <c r="U1148" s="3"/>
      <c r="V1148" s="271" t="s">
        <v>2740</v>
      </c>
    </row>
    <row r="1149" spans="1:22">
      <c r="A1149" s="165" t="s">
        <v>4716</v>
      </c>
      <c r="B1149" s="94">
        <v>1167</v>
      </c>
      <c r="C1149" s="165" t="s">
        <v>4739</v>
      </c>
      <c r="D1149" s="165">
        <v>2</v>
      </c>
      <c r="E1149" s="165" t="s">
        <v>4741</v>
      </c>
      <c r="F1149" s="165" t="s">
        <v>4110</v>
      </c>
      <c r="G1149" s="165"/>
      <c r="H1149" s="165">
        <v>16380</v>
      </c>
      <c r="I1149" s="165"/>
      <c r="J1149" s="165"/>
      <c r="K1149" s="165">
        <v>16380</v>
      </c>
      <c r="L1149" s="165"/>
      <c r="M1149" s="165"/>
      <c r="N1149" s="165"/>
      <c r="O1149" s="337">
        <f t="shared" si="36"/>
        <v>0</v>
      </c>
      <c r="P1149" s="165" t="s">
        <v>4651</v>
      </c>
      <c r="Q1149" s="165" t="s">
        <v>4793</v>
      </c>
      <c r="R1149" s="3">
        <f>H1149</f>
        <v>16380</v>
      </c>
      <c r="S1149" s="770">
        <v>16380</v>
      </c>
      <c r="T1149"/>
      <c r="U1149" s="3"/>
      <c r="V1149" s="271" t="s">
        <v>2740</v>
      </c>
    </row>
    <row r="1150" spans="1:22">
      <c r="A1150" s="165" t="s">
        <v>4716</v>
      </c>
      <c r="B1150" s="94">
        <v>1168</v>
      </c>
      <c r="C1150" s="165" t="s">
        <v>4739</v>
      </c>
      <c r="D1150" s="165">
        <v>3</v>
      </c>
      <c r="E1150" s="165" t="s">
        <v>4742</v>
      </c>
      <c r="F1150" s="165" t="s">
        <v>4213</v>
      </c>
      <c r="G1150" s="165"/>
      <c r="H1150" s="165">
        <v>16380</v>
      </c>
      <c r="I1150" s="165"/>
      <c r="J1150" s="165"/>
      <c r="K1150" s="165">
        <v>16380</v>
      </c>
      <c r="L1150" s="165"/>
      <c r="M1150" s="165"/>
      <c r="N1150" s="165"/>
      <c r="O1150" s="337">
        <f t="shared" si="36"/>
        <v>0</v>
      </c>
      <c r="P1150" s="165" t="s">
        <v>4806</v>
      </c>
      <c r="Q1150" s="165" t="s">
        <v>4213</v>
      </c>
      <c r="R1150" s="3">
        <f>H1150</f>
        <v>16380</v>
      </c>
      <c r="S1150" s="770">
        <v>16380</v>
      </c>
      <c r="T1150"/>
      <c r="U1150" s="3"/>
      <c r="V1150" s="271" t="s">
        <v>2740</v>
      </c>
    </row>
    <row r="1151" spans="1:22">
      <c r="A1151" s="165" t="s">
        <v>4716</v>
      </c>
      <c r="B1151" s="94">
        <v>1169</v>
      </c>
      <c r="C1151" s="165" t="s">
        <v>4739</v>
      </c>
      <c r="D1151" s="165">
        <v>4</v>
      </c>
      <c r="E1151" s="165" t="s">
        <v>4743</v>
      </c>
      <c r="F1151" s="165" t="s">
        <v>4735</v>
      </c>
      <c r="G1151" s="165"/>
      <c r="H1151" s="165">
        <v>16380</v>
      </c>
      <c r="I1151" s="165"/>
      <c r="J1151" s="165"/>
      <c r="K1151" s="165">
        <v>16380</v>
      </c>
      <c r="L1151" s="165"/>
      <c r="M1151" s="165"/>
      <c r="N1151" s="165"/>
      <c r="O1151" s="337">
        <f t="shared" si="36"/>
        <v>0</v>
      </c>
      <c r="P1151" s="165" t="s">
        <v>5500</v>
      </c>
      <c r="Q1151" s="165" t="s">
        <v>4735</v>
      </c>
      <c r="R1151" s="3">
        <f>H1151</f>
        <v>16380</v>
      </c>
      <c r="S1151" s="770">
        <v>16380</v>
      </c>
      <c r="T1151"/>
      <c r="U1151" s="3"/>
      <c r="V1151" s="271" t="s">
        <v>2740</v>
      </c>
    </row>
    <row r="1152" spans="1:22">
      <c r="A1152" s="165" t="s">
        <v>4716</v>
      </c>
      <c r="B1152" s="94">
        <v>1170</v>
      </c>
      <c r="C1152" s="165" t="s">
        <v>4739</v>
      </c>
      <c r="D1152" s="165">
        <v>5</v>
      </c>
      <c r="E1152" s="165" t="s">
        <v>4744</v>
      </c>
      <c r="F1152" s="165" t="s">
        <v>4736</v>
      </c>
      <c r="G1152" s="165"/>
      <c r="H1152" s="165">
        <v>16380</v>
      </c>
      <c r="I1152" s="165"/>
      <c r="J1152" s="165"/>
      <c r="K1152" s="165">
        <v>16380</v>
      </c>
      <c r="L1152" s="165"/>
      <c r="M1152" s="165"/>
      <c r="N1152" s="165"/>
      <c r="O1152" s="337">
        <f t="shared" si="36"/>
        <v>0</v>
      </c>
      <c r="P1152" s="165" t="s">
        <v>5551</v>
      </c>
      <c r="Q1152" s="165" t="s">
        <v>5552</v>
      </c>
      <c r="R1152" s="3">
        <f>H1152</f>
        <v>16380</v>
      </c>
      <c r="S1152" s="770">
        <v>16380</v>
      </c>
      <c r="T1152"/>
      <c r="U1152" s="3"/>
      <c r="V1152" s="271" t="s">
        <v>2740</v>
      </c>
    </row>
    <row r="1153" spans="1:22">
      <c r="A1153" s="165" t="s">
        <v>4716</v>
      </c>
      <c r="B1153" s="94">
        <v>1171</v>
      </c>
      <c r="C1153" s="165" t="s">
        <v>4739</v>
      </c>
      <c r="D1153" s="165">
        <v>6</v>
      </c>
      <c r="E1153" s="165" t="s">
        <v>4745</v>
      </c>
      <c r="F1153" s="165">
        <v>201802.25</v>
      </c>
      <c r="G1153" s="165"/>
      <c r="H1153" s="165"/>
      <c r="I1153" s="165">
        <v>16380</v>
      </c>
      <c r="J1153" s="165"/>
      <c r="K1153" s="165"/>
      <c r="L1153" s="165">
        <v>16380</v>
      </c>
      <c r="M1153" s="165"/>
      <c r="N1153" s="165"/>
      <c r="O1153" s="337">
        <f t="shared" si="36"/>
        <v>0</v>
      </c>
      <c r="P1153" s="165" t="s">
        <v>5612</v>
      </c>
      <c r="Q1153" s="165" t="s">
        <v>5612</v>
      </c>
      <c r="R1153" s="3">
        <f>G1153+H1153+I1153</f>
        <v>16380</v>
      </c>
      <c r="S1153" s="770">
        <v>16380</v>
      </c>
      <c r="T1153"/>
      <c r="U1153" s="3"/>
      <c r="V1153" s="271" t="s">
        <v>2740</v>
      </c>
    </row>
    <row r="1154" spans="1:22">
      <c r="A1154" s="165" t="s">
        <v>4716</v>
      </c>
      <c r="B1154" s="94">
        <v>1172</v>
      </c>
      <c r="C1154" s="165" t="s">
        <v>4739</v>
      </c>
      <c r="D1154" s="165">
        <v>7</v>
      </c>
      <c r="E1154" s="165" t="s">
        <v>4746</v>
      </c>
      <c r="F1154" s="165" t="s">
        <v>4737</v>
      </c>
      <c r="G1154" s="165"/>
      <c r="H1154" s="165"/>
      <c r="I1154" s="165">
        <v>16380</v>
      </c>
      <c r="J1154" s="165"/>
      <c r="K1154" s="165"/>
      <c r="L1154" s="165">
        <v>16380</v>
      </c>
      <c r="M1154" s="165"/>
      <c r="N1154" s="165"/>
      <c r="O1154" s="337">
        <f t="shared" si="36"/>
        <v>0</v>
      </c>
      <c r="P1154" s="165" t="s">
        <v>4737</v>
      </c>
      <c r="Q1154" s="165" t="s">
        <v>4737</v>
      </c>
      <c r="R1154" s="3">
        <f>G1154+H1154+I1154</f>
        <v>16380</v>
      </c>
      <c r="S1154" s="770">
        <v>16380</v>
      </c>
      <c r="T1154"/>
      <c r="U1154" s="3"/>
      <c r="V1154" s="271" t="s">
        <v>2740</v>
      </c>
    </row>
    <row r="1155" spans="1:22">
      <c r="A1155" s="165" t="s">
        <v>4716</v>
      </c>
      <c r="B1155" s="94">
        <v>1173</v>
      </c>
      <c r="C1155" s="165" t="s">
        <v>4739</v>
      </c>
      <c r="D1155" s="165">
        <v>8</v>
      </c>
      <c r="E1155" s="165" t="s">
        <v>4747</v>
      </c>
      <c r="F1155" s="165" t="s">
        <v>4738</v>
      </c>
      <c r="G1155" s="165"/>
      <c r="H1155" s="165"/>
      <c r="I1155" s="165">
        <v>16380</v>
      </c>
      <c r="J1155" s="165"/>
      <c r="K1155" s="165"/>
      <c r="L1155" s="165">
        <v>16380</v>
      </c>
      <c r="M1155" s="165"/>
      <c r="N1155" s="165"/>
      <c r="O1155" s="337">
        <f t="shared" si="36"/>
        <v>0</v>
      </c>
      <c r="P1155" s="165" t="s">
        <v>9775</v>
      </c>
      <c r="Q1155" s="165" t="s">
        <v>9775</v>
      </c>
      <c r="R1155" s="3">
        <f>G1155+H1155+I1155</f>
        <v>16380</v>
      </c>
      <c r="S1155" s="770">
        <v>16380</v>
      </c>
      <c r="T1155"/>
      <c r="U1155" s="3"/>
      <c r="V1155" s="271" t="s">
        <v>2740</v>
      </c>
    </row>
    <row r="1156" spans="1:22">
      <c r="A1156" s="165" t="s">
        <v>4716</v>
      </c>
      <c r="B1156" s="94">
        <v>1174</v>
      </c>
      <c r="C1156" s="165" t="s">
        <v>4000</v>
      </c>
      <c r="D1156" s="165"/>
      <c r="E1156" s="165" t="s">
        <v>4748</v>
      </c>
      <c r="F1156" s="165" t="s">
        <v>4190</v>
      </c>
      <c r="G1156" s="165">
        <v>113400</v>
      </c>
      <c r="H1156" s="165"/>
      <c r="I1156" s="165"/>
      <c r="J1156" s="165">
        <v>113400</v>
      </c>
      <c r="K1156" s="165"/>
      <c r="L1156" s="165"/>
      <c r="M1156" s="165"/>
      <c r="N1156" s="165"/>
      <c r="O1156" s="337">
        <f t="shared" si="36"/>
        <v>0</v>
      </c>
      <c r="P1156" s="165" t="s">
        <v>4716</v>
      </c>
      <c r="Q1156" s="165" t="s">
        <v>4787</v>
      </c>
      <c r="R1156" s="3">
        <f>G1156</f>
        <v>113400</v>
      </c>
      <c r="S1156" s="770">
        <v>113400</v>
      </c>
      <c r="T1156"/>
      <c r="U1156" s="3"/>
    </row>
    <row r="1157" spans="1:22">
      <c r="A1157" s="165" t="s">
        <v>4666</v>
      </c>
      <c r="B1157" s="94">
        <v>1175</v>
      </c>
      <c r="C1157" s="165" t="s">
        <v>4567</v>
      </c>
      <c r="D1157" s="165"/>
      <c r="E1157" s="165" t="s">
        <v>4749</v>
      </c>
      <c r="F1157" s="165" t="s">
        <v>4666</v>
      </c>
      <c r="G1157" s="165">
        <v>3150</v>
      </c>
      <c r="H1157" s="165"/>
      <c r="I1157" s="165"/>
      <c r="J1157" s="165"/>
      <c r="K1157" s="165">
        <v>3150</v>
      </c>
      <c r="L1157" s="165"/>
      <c r="M1157" s="165"/>
      <c r="N1157" s="165"/>
      <c r="O1157" s="337">
        <f t="shared" si="36"/>
        <v>0</v>
      </c>
      <c r="P1157" s="165" t="s">
        <v>5294</v>
      </c>
      <c r="Q1157" s="165" t="s">
        <v>4788</v>
      </c>
      <c r="R1157" s="3">
        <f>G1157</f>
        <v>3150</v>
      </c>
      <c r="S1157" s="770">
        <v>3150</v>
      </c>
      <c r="T1157"/>
      <c r="U1157" s="3"/>
      <c r="V1157" s="338" t="s">
        <v>5295</v>
      </c>
    </row>
    <row r="1158" spans="1:22">
      <c r="A1158" s="165"/>
      <c r="B1158" s="165"/>
      <c r="C1158" s="165"/>
      <c r="D1158" s="165"/>
      <c r="E1158" s="165"/>
      <c r="F1158" s="165"/>
      <c r="G1158" s="165"/>
      <c r="H1158" s="165"/>
      <c r="I1158" s="165"/>
      <c r="J1158" s="165"/>
      <c r="K1158" s="165"/>
      <c r="L1158" s="165"/>
      <c r="M1158" s="165"/>
      <c r="N1158" s="165"/>
      <c r="O1158" s="165"/>
      <c r="P1158" s="165"/>
    </row>
    <row r="1159" spans="1:22">
      <c r="A1159" s="165"/>
      <c r="B1159" s="165"/>
      <c r="C1159" s="165"/>
      <c r="D1159" s="165"/>
      <c r="E1159" s="165"/>
      <c r="F1159" s="165"/>
      <c r="G1159" s="165"/>
      <c r="H1159" s="165"/>
      <c r="I1159" s="165"/>
      <c r="J1159" s="165"/>
      <c r="K1159" s="165"/>
      <c r="L1159" s="165"/>
      <c r="M1159" s="165"/>
      <c r="N1159" s="165"/>
      <c r="O1159" s="165"/>
      <c r="P1159" s="165"/>
    </row>
    <row r="1160" spans="1:22">
      <c r="A1160" s="165"/>
      <c r="B1160" s="165"/>
      <c r="C1160" s="165"/>
      <c r="D1160" s="165"/>
      <c r="E1160" s="165"/>
      <c r="F1160" s="165"/>
      <c r="G1160" s="165"/>
      <c r="H1160" s="165"/>
      <c r="I1160" s="165"/>
      <c r="J1160" s="165"/>
      <c r="K1160" s="165"/>
      <c r="L1160" s="165"/>
      <c r="M1160" s="165"/>
      <c r="N1160" s="165"/>
      <c r="O1160" s="165"/>
      <c r="P1160" s="165"/>
    </row>
    <row r="1161" spans="1:22" s="176" customFormat="1" ht="20.25" customHeight="1">
      <c r="A1161" s="203" t="s">
        <v>5170</v>
      </c>
      <c r="B1161" s="200"/>
      <c r="C1161" s="201"/>
      <c r="D1161" s="202"/>
      <c r="E1161" s="201"/>
      <c r="F1161" s="185" t="s">
        <v>2378</v>
      </c>
      <c r="G1161" s="185">
        <f t="shared" ref="G1161:O1161" si="39">SUM(G1163:G1349)</f>
        <v>28350</v>
      </c>
      <c r="H1161" s="185">
        <f t="shared" si="39"/>
        <v>2264880</v>
      </c>
      <c r="I1161" s="185">
        <f t="shared" si="39"/>
        <v>245700</v>
      </c>
      <c r="J1161" s="185">
        <f t="shared" si="39"/>
        <v>20475</v>
      </c>
      <c r="K1161" s="185">
        <f t="shared" si="39"/>
        <v>1189680</v>
      </c>
      <c r="L1161" s="185">
        <f t="shared" si="39"/>
        <v>1328775</v>
      </c>
      <c r="M1161" s="185">
        <f t="shared" si="39"/>
        <v>0</v>
      </c>
      <c r="N1161" s="185">
        <f t="shared" si="39"/>
        <v>0</v>
      </c>
      <c r="O1161" s="185">
        <f t="shared" si="39"/>
        <v>0</v>
      </c>
      <c r="P1161" s="185"/>
      <c r="Q1161" s="185"/>
      <c r="R1161" s="185">
        <f>SUM(R1163:R1349)</f>
        <v>3087840</v>
      </c>
      <c r="S1161" s="185">
        <f>SUM(S1163:S1349)</f>
        <v>3115985</v>
      </c>
      <c r="T1161" s="185">
        <f>SUM(T1163:T1349)</f>
        <v>577055</v>
      </c>
      <c r="U1161" s="185">
        <f>SUM(U1163:U1349)</f>
        <v>205</v>
      </c>
    </row>
    <row r="1162" spans="1:22" s="270" customFormat="1">
      <c r="A1162" s="269" t="s">
        <v>1281</v>
      </c>
      <c r="B1162" s="269" t="s">
        <v>2435</v>
      </c>
      <c r="C1162" s="269" t="s">
        <v>1385</v>
      </c>
      <c r="D1162" s="269" t="s">
        <v>1275</v>
      </c>
      <c r="E1162" s="269" t="s">
        <v>265</v>
      </c>
      <c r="F1162" s="269" t="s">
        <v>1280</v>
      </c>
      <c r="G1162" s="269" t="s">
        <v>4502</v>
      </c>
      <c r="H1162" s="269" t="s">
        <v>4468</v>
      </c>
      <c r="I1162" s="269" t="s">
        <v>4447</v>
      </c>
      <c r="J1162" s="269" t="s">
        <v>4470</v>
      </c>
      <c r="K1162" s="269" t="s">
        <v>4471</v>
      </c>
      <c r="L1162" s="269" t="s">
        <v>9596</v>
      </c>
      <c r="M1162" s="269" t="s">
        <v>4841</v>
      </c>
      <c r="N1162" s="269" t="s">
        <v>3728</v>
      </c>
      <c r="O1162" s="269" t="s">
        <v>2438</v>
      </c>
      <c r="P1162" s="269" t="s">
        <v>1282</v>
      </c>
      <c r="Q1162" s="269" t="s">
        <v>1386</v>
      </c>
      <c r="R1162" s="269" t="s">
        <v>576</v>
      </c>
      <c r="S1162" s="269" t="s">
        <v>3593</v>
      </c>
      <c r="T1162" s="269" t="s">
        <v>1283</v>
      </c>
      <c r="U1162" s="269" t="s">
        <v>577</v>
      </c>
    </row>
    <row r="1163" spans="1:22" s="163" customFormat="1">
      <c r="A1163" s="281" t="s">
        <v>4788</v>
      </c>
      <c r="B1163" s="281"/>
      <c r="C1163" s="281" t="s">
        <v>1264</v>
      </c>
      <c r="D1163" s="340" t="s">
        <v>4824</v>
      </c>
      <c r="E1163" s="281" t="s">
        <v>1283</v>
      </c>
      <c r="F1163" s="281" t="s">
        <v>4788</v>
      </c>
      <c r="G1163" s="284"/>
      <c r="H1163" s="284"/>
      <c r="I1163" s="284"/>
      <c r="J1163" s="281"/>
      <c r="K1163" s="281"/>
      <c r="L1163" s="281"/>
      <c r="M1163" s="281"/>
      <c r="N1163" s="281"/>
      <c r="O1163" s="281">
        <f>G1163+H1163+I1163-J1163-K1163-L1163</f>
        <v>0</v>
      </c>
      <c r="P1163" s="281" t="s">
        <v>4788</v>
      </c>
      <c r="Q1163" s="281" t="s">
        <v>4788</v>
      </c>
      <c r="R1163" s="281">
        <v>11340</v>
      </c>
      <c r="S1163" s="281">
        <v>11340</v>
      </c>
      <c r="T1163" s="405">
        <v>11340</v>
      </c>
      <c r="U1163" s="284"/>
      <c r="V1163" s="163" t="s">
        <v>4760</v>
      </c>
    </row>
    <row r="1164" spans="1:22" s="163" customFormat="1">
      <c r="A1164" s="281" t="s">
        <v>4790</v>
      </c>
      <c r="B1164" s="281"/>
      <c r="C1164" s="281" t="s">
        <v>2421</v>
      </c>
      <c r="D1164" s="281">
        <v>4</v>
      </c>
      <c r="E1164" s="281" t="s">
        <v>1283</v>
      </c>
      <c r="F1164" s="281" t="s">
        <v>4790</v>
      </c>
      <c r="G1164" s="284"/>
      <c r="H1164" s="284"/>
      <c r="I1164" s="284"/>
      <c r="J1164" s="281"/>
      <c r="K1164" s="281"/>
      <c r="L1164" s="281"/>
      <c r="M1164" s="281"/>
      <c r="N1164" s="281"/>
      <c r="O1164" s="281">
        <f t="shared" ref="O1164:O1227" si="40">G1164+H1164+I1164-J1164-K1164-L1164</f>
        <v>0</v>
      </c>
      <c r="P1164" s="281" t="s">
        <v>4790</v>
      </c>
      <c r="Q1164" s="281" t="s">
        <v>4790</v>
      </c>
      <c r="R1164" s="281">
        <v>14175</v>
      </c>
      <c r="S1164" s="281">
        <v>14165</v>
      </c>
      <c r="T1164" s="406">
        <v>14165</v>
      </c>
      <c r="U1164" s="556">
        <v>10</v>
      </c>
      <c r="V1164" s="281"/>
    </row>
    <row r="1165" spans="1:22" s="163" customFormat="1">
      <c r="A1165" s="281" t="s">
        <v>5261</v>
      </c>
      <c r="B1165" s="281"/>
      <c r="C1165" s="281" t="s">
        <v>456</v>
      </c>
      <c r="D1165" s="281">
        <v>7</v>
      </c>
      <c r="E1165" s="281" t="s">
        <v>1283</v>
      </c>
      <c r="F1165" s="281" t="s">
        <v>5261</v>
      </c>
      <c r="G1165" s="284"/>
      <c r="H1165" s="284"/>
      <c r="I1165" s="284"/>
      <c r="J1165" s="281"/>
      <c r="K1165" s="281"/>
      <c r="L1165" s="281"/>
      <c r="M1165" s="281"/>
      <c r="N1165" s="281"/>
      <c r="O1165" s="281">
        <f t="shared" si="40"/>
        <v>0</v>
      </c>
      <c r="P1165" s="281" t="s">
        <v>5261</v>
      </c>
      <c r="Q1165" s="281" t="s">
        <v>5261</v>
      </c>
      <c r="R1165" s="281">
        <v>13230</v>
      </c>
      <c r="S1165" s="281">
        <v>13230</v>
      </c>
      <c r="T1165" s="406">
        <v>13230</v>
      </c>
      <c r="U1165" s="338"/>
    </row>
    <row r="1166" spans="1:22" s="163" customFormat="1">
      <c r="A1166" s="281" t="s">
        <v>5261</v>
      </c>
      <c r="B1166" s="281"/>
      <c r="C1166" s="281" t="s">
        <v>3825</v>
      </c>
      <c r="D1166" s="281">
        <v>8</v>
      </c>
      <c r="E1166" s="281" t="s">
        <v>1283</v>
      </c>
      <c r="F1166" s="281" t="s">
        <v>5261</v>
      </c>
      <c r="G1166" s="284"/>
      <c r="H1166" s="284"/>
      <c r="I1166" s="284"/>
      <c r="J1166" s="281"/>
      <c r="K1166" s="281"/>
      <c r="L1166" s="281"/>
      <c r="M1166" s="281"/>
      <c r="N1166" s="281"/>
      <c r="O1166" s="281">
        <f t="shared" si="40"/>
        <v>0</v>
      </c>
      <c r="P1166" s="281" t="s">
        <v>5261</v>
      </c>
      <c r="Q1166" s="281" t="s">
        <v>5261</v>
      </c>
      <c r="R1166" s="281">
        <v>14175</v>
      </c>
      <c r="S1166" s="281">
        <v>14145</v>
      </c>
      <c r="T1166" s="406">
        <v>14145</v>
      </c>
      <c r="U1166" s="556">
        <v>30</v>
      </c>
    </row>
    <row r="1167" spans="1:22" s="163" customFormat="1">
      <c r="A1167" s="281" t="s">
        <v>4266</v>
      </c>
      <c r="B1167" s="281"/>
      <c r="C1167" s="281" t="s">
        <v>1532</v>
      </c>
      <c r="D1167" s="281">
        <v>7</v>
      </c>
      <c r="E1167" s="281" t="s">
        <v>1283</v>
      </c>
      <c r="F1167" s="281" t="s">
        <v>4266</v>
      </c>
      <c r="G1167" s="284"/>
      <c r="H1167" s="284"/>
      <c r="I1167" s="284"/>
      <c r="J1167" s="281"/>
      <c r="K1167" s="281"/>
      <c r="L1167" s="281"/>
      <c r="M1167" s="281"/>
      <c r="N1167" s="281"/>
      <c r="O1167" s="281">
        <f t="shared" si="40"/>
        <v>0</v>
      </c>
      <c r="P1167" s="281" t="s">
        <v>4266</v>
      </c>
      <c r="Q1167" s="281" t="s">
        <v>4266</v>
      </c>
      <c r="R1167" s="281">
        <v>13500</v>
      </c>
      <c r="S1167" s="281">
        <v>13485</v>
      </c>
      <c r="T1167" s="406">
        <v>13485</v>
      </c>
      <c r="U1167" s="556">
        <v>15</v>
      </c>
    </row>
    <row r="1168" spans="1:22" s="163" customFormat="1">
      <c r="A1168" s="281" t="s">
        <v>4610</v>
      </c>
      <c r="B1168" s="281"/>
      <c r="C1168" s="281" t="s">
        <v>1264</v>
      </c>
      <c r="D1168" s="340" t="s">
        <v>4810</v>
      </c>
      <c r="E1168" s="281" t="s">
        <v>1283</v>
      </c>
      <c r="F1168" s="281" t="s">
        <v>4610</v>
      </c>
      <c r="G1168" s="284"/>
      <c r="H1168" s="284"/>
      <c r="I1168" s="284"/>
      <c r="J1168" s="281"/>
      <c r="K1168" s="281"/>
      <c r="L1168" s="281"/>
      <c r="M1168" s="281"/>
      <c r="N1168" s="281"/>
      <c r="O1168" s="281">
        <f t="shared" si="40"/>
        <v>0</v>
      </c>
      <c r="P1168" s="281" t="s">
        <v>4610</v>
      </c>
      <c r="Q1168" s="281" t="s">
        <v>4610</v>
      </c>
      <c r="R1168" s="281">
        <v>11340</v>
      </c>
      <c r="S1168" s="281">
        <v>11340</v>
      </c>
      <c r="T1168" s="405">
        <v>11340</v>
      </c>
      <c r="U1168" s="284"/>
      <c r="V1168" s="163" t="s">
        <v>4760</v>
      </c>
    </row>
    <row r="1169" spans="1:22" s="163" customFormat="1">
      <c r="A1169" s="281" t="s">
        <v>5266</v>
      </c>
      <c r="B1169" s="281"/>
      <c r="C1169" s="281" t="s">
        <v>1532</v>
      </c>
      <c r="D1169" s="281">
        <v>8</v>
      </c>
      <c r="E1169" s="281" t="s">
        <v>1283</v>
      </c>
      <c r="F1169" s="281" t="s">
        <v>5266</v>
      </c>
      <c r="G1169" s="284"/>
      <c r="H1169" s="284"/>
      <c r="I1169" s="284"/>
      <c r="J1169" s="281"/>
      <c r="K1169" s="281"/>
      <c r="L1169" s="281"/>
      <c r="M1169" s="281"/>
      <c r="N1169" s="281"/>
      <c r="O1169" s="281">
        <f t="shared" si="40"/>
        <v>0</v>
      </c>
      <c r="P1169" s="281" t="s">
        <v>5266</v>
      </c>
      <c r="Q1169" s="281" t="s">
        <v>5266</v>
      </c>
      <c r="R1169" s="281">
        <v>13500</v>
      </c>
      <c r="S1169" s="281">
        <v>13485</v>
      </c>
      <c r="T1169" s="406">
        <v>13485</v>
      </c>
      <c r="U1169" s="556">
        <v>15</v>
      </c>
    </row>
    <row r="1170" spans="1:22" s="163" customFormat="1">
      <c r="A1170" s="281" t="s">
        <v>4802</v>
      </c>
      <c r="B1170" s="281"/>
      <c r="C1170" s="281" t="s">
        <v>2421</v>
      </c>
      <c r="D1170" s="281">
        <v>5</v>
      </c>
      <c r="E1170" s="281" t="s">
        <v>1283</v>
      </c>
      <c r="F1170" s="281" t="s">
        <v>4802</v>
      </c>
      <c r="G1170" s="284"/>
      <c r="H1170" s="284"/>
      <c r="I1170" s="284"/>
      <c r="J1170" s="281"/>
      <c r="K1170" s="281"/>
      <c r="L1170" s="281"/>
      <c r="M1170" s="281"/>
      <c r="N1170" s="281"/>
      <c r="O1170" s="281">
        <f t="shared" si="40"/>
        <v>0</v>
      </c>
      <c r="P1170" s="281" t="s">
        <v>4802</v>
      </c>
      <c r="Q1170" s="281" t="s">
        <v>4802</v>
      </c>
      <c r="R1170" s="281">
        <v>14175</v>
      </c>
      <c r="S1170" s="281">
        <v>14165</v>
      </c>
      <c r="T1170" s="406">
        <v>14165</v>
      </c>
      <c r="U1170" s="556">
        <v>10</v>
      </c>
      <c r="V1170" s="281"/>
    </row>
    <row r="1171" spans="1:22" s="163" customFormat="1">
      <c r="A1171" s="281" t="s">
        <v>5262</v>
      </c>
      <c r="B1171" s="281"/>
      <c r="C1171" s="281" t="s">
        <v>456</v>
      </c>
      <c r="D1171" s="281">
        <v>8</v>
      </c>
      <c r="E1171" s="281" t="s">
        <v>1283</v>
      </c>
      <c r="F1171" s="281" t="s">
        <v>5262</v>
      </c>
      <c r="G1171" s="284"/>
      <c r="H1171" s="284"/>
      <c r="I1171" s="284"/>
      <c r="J1171" s="281"/>
      <c r="K1171" s="281"/>
      <c r="L1171" s="281"/>
      <c r="M1171" s="281"/>
      <c r="N1171" s="281"/>
      <c r="O1171" s="281">
        <f t="shared" si="40"/>
        <v>0</v>
      </c>
      <c r="P1171" s="281" t="s">
        <v>5262</v>
      </c>
      <c r="Q1171" s="281" t="s">
        <v>5262</v>
      </c>
      <c r="R1171" s="281">
        <v>13230</v>
      </c>
      <c r="S1171" s="281">
        <v>13230</v>
      </c>
      <c r="T1171" s="406">
        <v>13230</v>
      </c>
      <c r="U1171" s="338"/>
    </row>
    <row r="1172" spans="1:22" s="163" customFormat="1">
      <c r="A1172" s="281" t="s">
        <v>5267</v>
      </c>
      <c r="B1172" s="281"/>
      <c r="C1172" s="281" t="s">
        <v>2421</v>
      </c>
      <c r="D1172" s="281">
        <v>6</v>
      </c>
      <c r="E1172" s="281" t="s">
        <v>1283</v>
      </c>
      <c r="F1172" s="281" t="s">
        <v>5267</v>
      </c>
      <c r="G1172" s="284"/>
      <c r="H1172" s="284"/>
      <c r="I1172" s="284"/>
      <c r="J1172" s="281"/>
      <c r="K1172" s="281"/>
      <c r="L1172" s="281"/>
      <c r="M1172" s="281"/>
      <c r="N1172" s="281"/>
      <c r="O1172" s="281">
        <f t="shared" si="40"/>
        <v>0</v>
      </c>
      <c r="P1172" s="281" t="s">
        <v>5267</v>
      </c>
      <c r="Q1172" s="281" t="s">
        <v>5267</v>
      </c>
      <c r="R1172" s="281">
        <v>14175</v>
      </c>
      <c r="S1172" s="281">
        <v>14165</v>
      </c>
      <c r="T1172" s="406">
        <v>14165</v>
      </c>
      <c r="U1172" s="556">
        <v>10</v>
      </c>
      <c r="V1172" s="281"/>
    </row>
    <row r="1173" spans="1:22" s="163" customFormat="1">
      <c r="A1173" s="281" t="s">
        <v>5268</v>
      </c>
      <c r="B1173" s="281"/>
      <c r="C1173" s="281" t="s">
        <v>3825</v>
      </c>
      <c r="D1173" s="281">
        <v>1</v>
      </c>
      <c r="E1173" s="281" t="s">
        <v>1283</v>
      </c>
      <c r="F1173" s="281" t="s">
        <v>5268</v>
      </c>
      <c r="G1173" s="284"/>
      <c r="H1173" s="284"/>
      <c r="I1173" s="284"/>
      <c r="J1173" s="281"/>
      <c r="K1173" s="281"/>
      <c r="L1173" s="281"/>
      <c r="M1173" s="281"/>
      <c r="N1173" s="281"/>
      <c r="O1173" s="281">
        <f t="shared" si="40"/>
        <v>0</v>
      </c>
      <c r="P1173" s="281" t="s">
        <v>5268</v>
      </c>
      <c r="Q1173" s="281" t="s">
        <v>5268</v>
      </c>
      <c r="R1173" s="281">
        <v>14175</v>
      </c>
      <c r="S1173" s="281">
        <v>14145</v>
      </c>
      <c r="T1173" s="406">
        <v>14145</v>
      </c>
      <c r="U1173" s="556">
        <v>30</v>
      </c>
    </row>
    <row r="1174" spans="1:22" s="163" customFormat="1">
      <c r="A1174" s="281" t="s">
        <v>5270</v>
      </c>
      <c r="B1174" s="281"/>
      <c r="C1174" s="281" t="s">
        <v>1264</v>
      </c>
      <c r="D1174" s="340" t="s">
        <v>4111</v>
      </c>
      <c r="E1174" s="281" t="s">
        <v>1283</v>
      </c>
      <c r="F1174" s="281" t="s">
        <v>5270</v>
      </c>
      <c r="G1174" s="284"/>
      <c r="H1174" s="284"/>
      <c r="I1174" s="284"/>
      <c r="J1174" s="281"/>
      <c r="K1174" s="281"/>
      <c r="L1174" s="281"/>
      <c r="M1174" s="281"/>
      <c r="N1174" s="281"/>
      <c r="O1174" s="281">
        <f t="shared" si="40"/>
        <v>0</v>
      </c>
      <c r="P1174" s="281" t="s">
        <v>5270</v>
      </c>
      <c r="Q1174" s="281" t="s">
        <v>5270</v>
      </c>
      <c r="R1174" s="281">
        <v>45360</v>
      </c>
      <c r="S1174" s="281">
        <v>45360</v>
      </c>
      <c r="T1174" s="405">
        <v>45360</v>
      </c>
      <c r="U1174" s="284"/>
      <c r="V1174" s="163" t="s">
        <v>4760</v>
      </c>
    </row>
    <row r="1175" spans="1:22" s="163" customFormat="1">
      <c r="A1175" s="281" t="s">
        <v>5281</v>
      </c>
      <c r="B1175" s="281"/>
      <c r="C1175" s="281" t="s">
        <v>4204</v>
      </c>
      <c r="D1175" s="281"/>
      <c r="E1175" s="281" t="s">
        <v>1283</v>
      </c>
      <c r="F1175" s="281" t="s">
        <v>5281</v>
      </c>
      <c r="G1175" s="284"/>
      <c r="H1175" s="284"/>
      <c r="I1175" s="284"/>
      <c r="J1175" s="281"/>
      <c r="K1175" s="281"/>
      <c r="L1175" s="281"/>
      <c r="M1175" s="281"/>
      <c r="N1175" s="281"/>
      <c r="O1175" s="281">
        <f t="shared" si="40"/>
        <v>0</v>
      </c>
      <c r="P1175" s="281" t="s">
        <v>5281</v>
      </c>
      <c r="Q1175" s="281" t="s">
        <v>5281</v>
      </c>
      <c r="R1175" s="281">
        <v>75600</v>
      </c>
      <c r="S1175" s="281">
        <v>75600</v>
      </c>
      <c r="T1175" s="406">
        <v>75600</v>
      </c>
      <c r="U1175" s="281"/>
      <c r="V1175" s="163" t="s">
        <v>4762</v>
      </c>
    </row>
    <row r="1176" spans="1:22" s="163" customFormat="1">
      <c r="A1176" s="281" t="s">
        <v>5284</v>
      </c>
      <c r="B1176" s="281"/>
      <c r="C1176" s="281" t="s">
        <v>3825</v>
      </c>
      <c r="D1176" s="281">
        <v>2</v>
      </c>
      <c r="E1176" s="281" t="s">
        <v>1283</v>
      </c>
      <c r="F1176" s="281" t="s">
        <v>5284</v>
      </c>
      <c r="G1176" s="284"/>
      <c r="H1176" s="284"/>
      <c r="I1176" s="284"/>
      <c r="J1176" s="281"/>
      <c r="K1176" s="281"/>
      <c r="L1176" s="281"/>
      <c r="M1176" s="281"/>
      <c r="N1176" s="281"/>
      <c r="O1176" s="281">
        <f t="shared" si="40"/>
        <v>0</v>
      </c>
      <c r="P1176" s="281" t="s">
        <v>5284</v>
      </c>
      <c r="Q1176" s="281" t="s">
        <v>5284</v>
      </c>
      <c r="R1176" s="281">
        <v>14175</v>
      </c>
      <c r="S1176" s="281">
        <v>14145</v>
      </c>
      <c r="T1176" s="406">
        <v>14145</v>
      </c>
      <c r="U1176" s="556">
        <v>30</v>
      </c>
    </row>
    <row r="1177" spans="1:22" s="163" customFormat="1">
      <c r="A1177" s="281" t="s">
        <v>5263</v>
      </c>
      <c r="B1177" s="281"/>
      <c r="C1177" s="281" t="s">
        <v>456</v>
      </c>
      <c r="D1177" s="281">
        <v>1</v>
      </c>
      <c r="E1177" s="281" t="s">
        <v>1283</v>
      </c>
      <c r="F1177" s="281" t="s">
        <v>5263</v>
      </c>
      <c r="G1177" s="284"/>
      <c r="H1177" s="284"/>
      <c r="I1177" s="284"/>
      <c r="J1177" s="281"/>
      <c r="K1177" s="281"/>
      <c r="L1177" s="281"/>
      <c r="M1177" s="281"/>
      <c r="N1177" s="281"/>
      <c r="O1177" s="281">
        <f t="shared" si="40"/>
        <v>0</v>
      </c>
      <c r="P1177" s="281" t="s">
        <v>5263</v>
      </c>
      <c r="Q1177" s="281" t="s">
        <v>5263</v>
      </c>
      <c r="R1177" s="281">
        <v>13230</v>
      </c>
      <c r="S1177" s="281">
        <v>13230</v>
      </c>
      <c r="T1177" s="406">
        <v>13230</v>
      </c>
      <c r="U1177" s="338"/>
    </row>
    <row r="1178" spans="1:22" s="163" customFormat="1">
      <c r="A1178" s="281" t="s">
        <v>5285</v>
      </c>
      <c r="B1178" s="281"/>
      <c r="C1178" s="281" t="s">
        <v>4094</v>
      </c>
      <c r="D1178" s="281">
        <v>7</v>
      </c>
      <c r="E1178" s="281" t="s">
        <v>1283</v>
      </c>
      <c r="F1178" s="281" t="s">
        <v>5285</v>
      </c>
      <c r="G1178" s="284"/>
      <c r="H1178" s="284"/>
      <c r="I1178" s="284"/>
      <c r="J1178" s="281"/>
      <c r="K1178" s="281"/>
      <c r="L1178" s="281"/>
      <c r="M1178" s="281"/>
      <c r="N1178" s="281"/>
      <c r="O1178" s="281">
        <f t="shared" si="40"/>
        <v>0</v>
      </c>
      <c r="P1178" s="281" t="s">
        <v>5285</v>
      </c>
      <c r="Q1178" s="281" t="s">
        <v>5285</v>
      </c>
      <c r="R1178" s="281">
        <v>4410</v>
      </c>
      <c r="S1178" s="281">
        <v>4410</v>
      </c>
      <c r="T1178" s="406">
        <v>4410</v>
      </c>
      <c r="U1178" s="338"/>
      <c r="V1178" s="163" t="s">
        <v>5286</v>
      </c>
    </row>
    <row r="1179" spans="1:22" s="163" customFormat="1">
      <c r="A1179" s="281" t="s">
        <v>5287</v>
      </c>
      <c r="B1179" s="281"/>
      <c r="C1179" s="281" t="s">
        <v>2421</v>
      </c>
      <c r="D1179" s="281">
        <v>7</v>
      </c>
      <c r="E1179" s="281" t="s">
        <v>1283</v>
      </c>
      <c r="F1179" s="281" t="s">
        <v>5287</v>
      </c>
      <c r="G1179" s="284"/>
      <c r="H1179" s="284"/>
      <c r="I1179" s="284"/>
      <c r="J1179" s="281"/>
      <c r="K1179" s="281"/>
      <c r="L1179" s="281"/>
      <c r="M1179" s="281"/>
      <c r="N1179" s="281"/>
      <c r="O1179" s="281">
        <f t="shared" si="40"/>
        <v>0</v>
      </c>
      <c r="P1179" s="281" t="s">
        <v>5287</v>
      </c>
      <c r="Q1179" s="281" t="s">
        <v>5287</v>
      </c>
      <c r="R1179" s="281">
        <v>14175</v>
      </c>
      <c r="S1179" s="281">
        <v>14165</v>
      </c>
      <c r="T1179" s="406">
        <v>14165</v>
      </c>
      <c r="U1179" s="556">
        <v>10</v>
      </c>
      <c r="V1179" s="281"/>
    </row>
    <row r="1180" spans="1:22" s="163" customFormat="1">
      <c r="A1180" s="281" t="s">
        <v>4293</v>
      </c>
      <c r="B1180" s="281"/>
      <c r="C1180" s="281" t="s">
        <v>1532</v>
      </c>
      <c r="D1180" s="281">
        <v>1</v>
      </c>
      <c r="E1180" s="281" t="s">
        <v>1283</v>
      </c>
      <c r="F1180" s="281" t="s">
        <v>4293</v>
      </c>
      <c r="G1180" s="284"/>
      <c r="H1180" s="284"/>
      <c r="I1180" s="284"/>
      <c r="J1180" s="281"/>
      <c r="K1180" s="281"/>
      <c r="L1180" s="281"/>
      <c r="M1180" s="281"/>
      <c r="N1180" s="281"/>
      <c r="O1180" s="281">
        <f t="shared" si="40"/>
        <v>0</v>
      </c>
      <c r="P1180" s="281" t="s">
        <v>4293</v>
      </c>
      <c r="Q1180" s="281" t="s">
        <v>4293</v>
      </c>
      <c r="R1180" s="281">
        <v>13500</v>
      </c>
      <c r="S1180" s="281">
        <v>13485</v>
      </c>
      <c r="T1180" s="406">
        <v>13485</v>
      </c>
      <c r="U1180" s="556">
        <v>15</v>
      </c>
    </row>
    <row r="1181" spans="1:22" s="163" customFormat="1">
      <c r="A1181" s="281" t="s">
        <v>5288</v>
      </c>
      <c r="B1181" s="281"/>
      <c r="C1181" s="281" t="s">
        <v>4094</v>
      </c>
      <c r="D1181" s="281">
        <v>8</v>
      </c>
      <c r="E1181" s="281" t="s">
        <v>1283</v>
      </c>
      <c r="F1181" s="281" t="s">
        <v>5288</v>
      </c>
      <c r="G1181" s="284"/>
      <c r="H1181" s="284"/>
      <c r="I1181" s="284"/>
      <c r="J1181" s="281"/>
      <c r="K1181" s="281"/>
      <c r="L1181" s="281"/>
      <c r="M1181" s="281"/>
      <c r="N1181" s="281"/>
      <c r="O1181" s="281">
        <f t="shared" si="40"/>
        <v>0</v>
      </c>
      <c r="P1181" s="281" t="s">
        <v>5288</v>
      </c>
      <c r="Q1181" s="281" t="s">
        <v>5288</v>
      </c>
      <c r="R1181" s="281">
        <v>4410</v>
      </c>
      <c r="S1181" s="281">
        <v>4410</v>
      </c>
      <c r="T1181" s="406">
        <v>4410</v>
      </c>
      <c r="U1181" s="338"/>
      <c r="V1181" s="163" t="s">
        <v>5286</v>
      </c>
    </row>
    <row r="1182" spans="1:22" s="163" customFormat="1">
      <c r="A1182" s="281" t="s">
        <v>5289</v>
      </c>
      <c r="B1182" s="281"/>
      <c r="C1182" s="281" t="s">
        <v>4201</v>
      </c>
      <c r="D1182" s="281"/>
      <c r="E1182" s="281" t="s">
        <v>1283</v>
      </c>
      <c r="F1182" s="281" t="s">
        <v>5289</v>
      </c>
      <c r="G1182" s="284"/>
      <c r="H1182" s="284"/>
      <c r="I1182" s="284"/>
      <c r="J1182" s="281"/>
      <c r="K1182" s="281"/>
      <c r="L1182" s="281"/>
      <c r="M1182" s="281"/>
      <c r="N1182" s="281"/>
      <c r="O1182" s="281">
        <f t="shared" si="40"/>
        <v>0</v>
      </c>
      <c r="P1182" s="281" t="s">
        <v>5289</v>
      </c>
      <c r="Q1182" s="281" t="s">
        <v>5289</v>
      </c>
      <c r="R1182" s="281">
        <v>113400</v>
      </c>
      <c r="S1182" s="281">
        <v>113390</v>
      </c>
      <c r="T1182" s="406">
        <v>113390</v>
      </c>
      <c r="U1182" s="624">
        <v>10</v>
      </c>
      <c r="V1182" s="163" t="s">
        <v>4778</v>
      </c>
    </row>
    <row r="1183" spans="1:22" s="163" customFormat="1">
      <c r="A1183" s="281" t="s">
        <v>5292</v>
      </c>
      <c r="B1183" s="281"/>
      <c r="C1183" s="281" t="s">
        <v>4094</v>
      </c>
      <c r="D1183" s="281">
        <v>9</v>
      </c>
      <c r="E1183" s="281" t="s">
        <v>1283</v>
      </c>
      <c r="F1183" s="281" t="s">
        <v>5292</v>
      </c>
      <c r="G1183" s="284"/>
      <c r="H1183" s="284"/>
      <c r="I1183" s="284"/>
      <c r="J1183" s="281"/>
      <c r="K1183" s="281"/>
      <c r="L1183" s="281"/>
      <c r="M1183" s="281"/>
      <c r="N1183" s="281"/>
      <c r="O1183" s="281">
        <f t="shared" si="40"/>
        <v>0</v>
      </c>
      <c r="P1183" s="281" t="s">
        <v>5292</v>
      </c>
      <c r="Q1183" s="281" t="s">
        <v>5292</v>
      </c>
      <c r="R1183" s="281">
        <v>4410</v>
      </c>
      <c r="S1183" s="281">
        <v>4410</v>
      </c>
      <c r="T1183" s="406">
        <v>4410</v>
      </c>
      <c r="U1183" s="338"/>
      <c r="V1183" s="163" t="s">
        <v>5286</v>
      </c>
    </row>
    <row r="1184" spans="1:22" s="163" customFormat="1">
      <c r="A1184" s="281" t="s">
        <v>5290</v>
      </c>
      <c r="B1184" s="281"/>
      <c r="C1184" s="281" t="s">
        <v>4000</v>
      </c>
      <c r="D1184" s="281"/>
      <c r="E1184" s="281" t="s">
        <v>1283</v>
      </c>
      <c r="F1184" s="281" t="s">
        <v>5290</v>
      </c>
      <c r="G1184" s="284"/>
      <c r="H1184" s="284"/>
      <c r="I1184" s="284"/>
      <c r="J1184" s="281"/>
      <c r="K1184" s="281"/>
      <c r="L1184" s="281"/>
      <c r="M1184" s="281"/>
      <c r="N1184" s="281"/>
      <c r="O1184" s="281">
        <f t="shared" si="40"/>
        <v>0</v>
      </c>
      <c r="P1184" s="281" t="s">
        <v>5290</v>
      </c>
      <c r="Q1184" s="281" t="s">
        <v>5290</v>
      </c>
      <c r="R1184" s="281">
        <v>113400</v>
      </c>
      <c r="S1184" s="281">
        <v>113390</v>
      </c>
      <c r="T1184" s="406">
        <v>113390</v>
      </c>
      <c r="U1184" s="624">
        <v>10</v>
      </c>
      <c r="V1184" s="163" t="s">
        <v>5291</v>
      </c>
    </row>
    <row r="1185" spans="1:22" s="163" customFormat="1">
      <c r="A1185" s="281" t="s">
        <v>5293</v>
      </c>
      <c r="B1185" s="281"/>
      <c r="C1185" s="281" t="s">
        <v>3825</v>
      </c>
      <c r="D1185" s="281">
        <v>3</v>
      </c>
      <c r="E1185" s="281" t="s">
        <v>1283</v>
      </c>
      <c r="F1185" s="281" t="s">
        <v>5293</v>
      </c>
      <c r="G1185" s="284"/>
      <c r="H1185" s="284"/>
      <c r="I1185" s="284"/>
      <c r="J1185" s="281"/>
      <c r="K1185" s="281"/>
      <c r="L1185" s="281"/>
      <c r="M1185" s="281"/>
      <c r="N1185" s="281"/>
      <c r="O1185" s="281">
        <f t="shared" si="40"/>
        <v>0</v>
      </c>
      <c r="P1185" s="281" t="s">
        <v>5293</v>
      </c>
      <c r="Q1185" s="281" t="s">
        <v>5293</v>
      </c>
      <c r="R1185" s="281">
        <v>14175</v>
      </c>
      <c r="S1185" s="281">
        <v>14165</v>
      </c>
      <c r="T1185" s="406">
        <v>14165</v>
      </c>
      <c r="U1185" s="556">
        <v>10</v>
      </c>
    </row>
    <row r="1186" spans="1:22">
      <c r="A1186" s="165" t="s">
        <v>5296</v>
      </c>
      <c r="B1186" s="94">
        <v>1176</v>
      </c>
      <c r="C1186" s="165" t="s">
        <v>4271</v>
      </c>
      <c r="D1186" s="165">
        <v>1</v>
      </c>
      <c r="E1186" s="165" t="s">
        <v>5297</v>
      </c>
      <c r="F1186" s="165" t="s">
        <v>5296</v>
      </c>
      <c r="G1186" s="165"/>
      <c r="H1186" s="165">
        <v>20475</v>
      </c>
      <c r="I1186" s="165"/>
      <c r="J1186" s="165"/>
      <c r="K1186" s="165">
        <v>20475</v>
      </c>
      <c r="L1186" s="165"/>
      <c r="M1186" s="165"/>
      <c r="N1186" s="165"/>
      <c r="O1186" s="337">
        <f t="shared" si="40"/>
        <v>0</v>
      </c>
      <c r="P1186" s="165" t="s">
        <v>5298</v>
      </c>
      <c r="Q1186" s="165" t="s">
        <v>5299</v>
      </c>
      <c r="R1186" s="3">
        <f t="shared" ref="R1186:R1197" si="41">H1186</f>
        <v>20475</v>
      </c>
      <c r="S1186" s="337">
        <v>20475</v>
      </c>
      <c r="T1186"/>
      <c r="U1186" s="3"/>
    </row>
    <row r="1187" spans="1:22">
      <c r="A1187" s="165" t="s">
        <v>5296</v>
      </c>
      <c r="B1187" s="94">
        <v>1177</v>
      </c>
      <c r="C1187" s="165" t="s">
        <v>4271</v>
      </c>
      <c r="D1187" s="165">
        <v>2</v>
      </c>
      <c r="E1187" s="165" t="s">
        <v>5300</v>
      </c>
      <c r="F1187" s="165" t="s">
        <v>4797</v>
      </c>
      <c r="G1187" s="165"/>
      <c r="H1187" s="165">
        <v>20475</v>
      </c>
      <c r="I1187" s="165"/>
      <c r="J1187" s="165"/>
      <c r="K1187" s="165">
        <v>20475</v>
      </c>
      <c r="L1187" s="165"/>
      <c r="M1187" s="165"/>
      <c r="N1187" s="165"/>
      <c r="O1187" s="337">
        <f t="shared" si="40"/>
        <v>0</v>
      </c>
      <c r="P1187" s="165" t="s">
        <v>4797</v>
      </c>
      <c r="Q1187" s="165" t="s">
        <v>4798</v>
      </c>
      <c r="R1187" s="3">
        <f t="shared" si="41"/>
        <v>20475</v>
      </c>
      <c r="S1187" s="337">
        <v>20475</v>
      </c>
      <c r="T1187"/>
      <c r="U1187" s="3"/>
    </row>
    <row r="1188" spans="1:22">
      <c r="A1188" s="165" t="s">
        <v>5296</v>
      </c>
      <c r="B1188" s="94">
        <v>1178</v>
      </c>
      <c r="C1188" s="165" t="s">
        <v>4271</v>
      </c>
      <c r="D1188" s="165">
        <v>3</v>
      </c>
      <c r="E1188" s="165" t="s">
        <v>5301</v>
      </c>
      <c r="F1188" s="165" t="s">
        <v>5303</v>
      </c>
      <c r="G1188" s="165"/>
      <c r="H1188" s="165">
        <v>20475</v>
      </c>
      <c r="I1188" s="165"/>
      <c r="J1188" s="165"/>
      <c r="K1188" s="165">
        <v>20475</v>
      </c>
      <c r="L1188" s="165"/>
      <c r="M1188" s="165"/>
      <c r="N1188" s="165"/>
      <c r="O1188" s="337">
        <f t="shared" si="40"/>
        <v>0</v>
      </c>
      <c r="P1188" s="165" t="s">
        <v>5488</v>
      </c>
      <c r="Q1188" s="165" t="s">
        <v>5303</v>
      </c>
      <c r="R1188" s="3">
        <f t="shared" si="41"/>
        <v>20475</v>
      </c>
      <c r="S1188" s="337">
        <v>20475</v>
      </c>
      <c r="T1188"/>
      <c r="U1188" s="3"/>
    </row>
    <row r="1189" spans="1:22">
      <c r="A1189" s="165" t="s">
        <v>5296</v>
      </c>
      <c r="B1189" s="94">
        <v>1179</v>
      </c>
      <c r="C1189" s="165" t="s">
        <v>4271</v>
      </c>
      <c r="D1189" s="165">
        <v>4</v>
      </c>
      <c r="E1189" s="165" t="s">
        <v>5302</v>
      </c>
      <c r="F1189" s="165" t="s">
        <v>5304</v>
      </c>
      <c r="G1189" s="165"/>
      <c r="H1189" s="165">
        <v>20475</v>
      </c>
      <c r="I1189" s="165"/>
      <c r="J1189" s="165"/>
      <c r="K1189" s="165">
        <v>20475</v>
      </c>
      <c r="L1189" s="165"/>
      <c r="M1189" s="165"/>
      <c r="N1189" s="165"/>
      <c r="O1189" s="337">
        <f t="shared" si="40"/>
        <v>0</v>
      </c>
      <c r="P1189" s="165" t="s">
        <v>5263</v>
      </c>
      <c r="Q1189" s="165" t="s">
        <v>5549</v>
      </c>
      <c r="R1189" s="3">
        <f t="shared" si="41"/>
        <v>20475</v>
      </c>
      <c r="S1189" s="337">
        <v>20475</v>
      </c>
      <c r="T1189"/>
      <c r="U1189" s="3"/>
    </row>
    <row r="1190" spans="1:22">
      <c r="A1190" s="165" t="s">
        <v>4072</v>
      </c>
      <c r="B1190" s="94">
        <v>1180</v>
      </c>
      <c r="C1190" s="165" t="s">
        <v>5184</v>
      </c>
      <c r="D1190" s="165">
        <v>1</v>
      </c>
      <c r="E1190" s="165" t="s">
        <v>5305</v>
      </c>
      <c r="F1190" s="165" t="s">
        <v>5296</v>
      </c>
      <c r="G1190" s="165"/>
      <c r="H1190" s="165">
        <v>14175</v>
      </c>
      <c r="I1190" s="165"/>
      <c r="J1190" s="165"/>
      <c r="K1190" s="165">
        <v>14175</v>
      </c>
      <c r="L1190" s="165"/>
      <c r="M1190" s="165"/>
      <c r="N1190" s="165"/>
      <c r="O1190" s="337">
        <f t="shared" si="40"/>
        <v>0</v>
      </c>
      <c r="P1190" s="165" t="s">
        <v>5298</v>
      </c>
      <c r="Q1190" s="165" t="s">
        <v>5299</v>
      </c>
      <c r="R1190" s="3">
        <f t="shared" si="41"/>
        <v>14175</v>
      </c>
      <c r="S1190" s="337">
        <v>14175</v>
      </c>
      <c r="T1190"/>
      <c r="U1190" s="3"/>
    </row>
    <row r="1191" spans="1:22">
      <c r="A1191" s="165" t="s">
        <v>4072</v>
      </c>
      <c r="B1191" s="94">
        <v>1181</v>
      </c>
      <c r="C1191" s="165" t="s">
        <v>5184</v>
      </c>
      <c r="D1191" s="165">
        <v>2</v>
      </c>
      <c r="E1191" s="165" t="s">
        <v>5306</v>
      </c>
      <c r="F1191" s="165" t="s">
        <v>4797</v>
      </c>
      <c r="G1191" s="165"/>
      <c r="H1191" s="165">
        <v>14175</v>
      </c>
      <c r="I1191" s="165"/>
      <c r="J1191" s="165"/>
      <c r="K1191" s="165">
        <v>14175</v>
      </c>
      <c r="L1191" s="165"/>
      <c r="M1191" s="165"/>
      <c r="N1191" s="165"/>
      <c r="O1191" s="337">
        <f t="shared" si="40"/>
        <v>0</v>
      </c>
      <c r="P1191" s="165" t="s">
        <v>4797</v>
      </c>
      <c r="Q1191" s="165" t="s">
        <v>4798</v>
      </c>
      <c r="R1191" s="3">
        <f t="shared" si="41"/>
        <v>14175</v>
      </c>
      <c r="S1191" s="337">
        <v>14175</v>
      </c>
      <c r="T1191"/>
      <c r="U1191" s="3"/>
    </row>
    <row r="1192" spans="1:22">
      <c r="A1192" s="165" t="s">
        <v>4072</v>
      </c>
      <c r="B1192" s="94">
        <v>1182</v>
      </c>
      <c r="C1192" s="165" t="s">
        <v>5184</v>
      </c>
      <c r="D1192" s="165">
        <v>3</v>
      </c>
      <c r="E1192" s="165" t="s">
        <v>5307</v>
      </c>
      <c r="F1192" s="165" t="s">
        <v>5303</v>
      </c>
      <c r="G1192" s="165"/>
      <c r="H1192" s="165">
        <v>14175</v>
      </c>
      <c r="I1192" s="165"/>
      <c r="J1192" s="165"/>
      <c r="K1192" s="165">
        <v>14175</v>
      </c>
      <c r="L1192" s="165"/>
      <c r="M1192" s="165"/>
      <c r="N1192" s="165"/>
      <c r="O1192" s="337">
        <f t="shared" si="40"/>
        <v>0</v>
      </c>
      <c r="P1192" s="165" t="s">
        <v>5488</v>
      </c>
      <c r="Q1192" s="165" t="s">
        <v>5303</v>
      </c>
      <c r="R1192" s="3">
        <f t="shared" si="41"/>
        <v>14175</v>
      </c>
      <c r="S1192" s="337">
        <v>14175</v>
      </c>
      <c r="T1192"/>
      <c r="U1192" s="3"/>
    </row>
    <row r="1193" spans="1:22">
      <c r="A1193" s="165" t="s">
        <v>4072</v>
      </c>
      <c r="B1193" s="94">
        <v>1183</v>
      </c>
      <c r="C1193" s="165" t="s">
        <v>5184</v>
      </c>
      <c r="D1193" s="165">
        <v>4</v>
      </c>
      <c r="E1193" s="165" t="s">
        <v>5308</v>
      </c>
      <c r="F1193" s="165" t="s">
        <v>5304</v>
      </c>
      <c r="G1193" s="165"/>
      <c r="H1193" s="165">
        <v>14175</v>
      </c>
      <c r="I1193" s="165"/>
      <c r="J1193" s="165"/>
      <c r="K1193" s="165">
        <v>14175</v>
      </c>
      <c r="L1193" s="165"/>
      <c r="M1193" s="165"/>
      <c r="N1193" s="165"/>
      <c r="O1193" s="337">
        <f t="shared" si="40"/>
        <v>0</v>
      </c>
      <c r="P1193" s="165" t="s">
        <v>5263</v>
      </c>
      <c r="Q1193" s="165" t="s">
        <v>5549</v>
      </c>
      <c r="R1193" s="3">
        <f t="shared" si="41"/>
        <v>14175</v>
      </c>
      <c r="S1193" s="337">
        <v>14175</v>
      </c>
      <c r="T1193"/>
      <c r="U1193" s="3"/>
    </row>
    <row r="1194" spans="1:22">
      <c r="A1194" s="165" t="s">
        <v>4072</v>
      </c>
      <c r="B1194" s="94">
        <v>1184</v>
      </c>
      <c r="C1194" s="165" t="s">
        <v>5184</v>
      </c>
      <c r="D1194" s="165">
        <v>5</v>
      </c>
      <c r="E1194" s="165" t="s">
        <v>5309</v>
      </c>
      <c r="F1194" s="165" t="s">
        <v>5316</v>
      </c>
      <c r="G1194" s="165"/>
      <c r="H1194" s="165">
        <v>14175</v>
      </c>
      <c r="I1194" s="165"/>
      <c r="J1194" s="165"/>
      <c r="K1194" s="165"/>
      <c r="L1194" s="165">
        <v>14175</v>
      </c>
      <c r="M1194" s="165"/>
      <c r="N1194" s="165"/>
      <c r="O1194" s="337">
        <f t="shared" si="40"/>
        <v>0</v>
      </c>
      <c r="P1194" s="165" t="s">
        <v>5605</v>
      </c>
      <c r="Q1194" s="165" t="s">
        <v>5605</v>
      </c>
      <c r="R1194" s="3">
        <f t="shared" si="41"/>
        <v>14175</v>
      </c>
      <c r="S1194" s="337">
        <v>14175</v>
      </c>
      <c r="T1194"/>
      <c r="U1194" s="3"/>
    </row>
    <row r="1195" spans="1:22">
      <c r="A1195" s="165" t="s">
        <v>4072</v>
      </c>
      <c r="B1195" s="94">
        <v>1185</v>
      </c>
      <c r="C1195" s="165" t="s">
        <v>5184</v>
      </c>
      <c r="D1195" s="165">
        <v>6</v>
      </c>
      <c r="E1195" s="165" t="s">
        <v>5310</v>
      </c>
      <c r="F1195" s="165" t="s">
        <v>5315</v>
      </c>
      <c r="G1195" s="165"/>
      <c r="H1195" s="165">
        <v>14175</v>
      </c>
      <c r="I1195" s="165"/>
      <c r="J1195" s="165"/>
      <c r="K1195" s="165"/>
      <c r="L1195" s="165">
        <v>14175</v>
      </c>
      <c r="M1195" s="165"/>
      <c r="N1195" s="165"/>
      <c r="O1195" s="337">
        <f t="shared" si="40"/>
        <v>0</v>
      </c>
      <c r="P1195" s="165" t="s">
        <v>5315</v>
      </c>
      <c r="Q1195" s="165" t="s">
        <v>5315</v>
      </c>
      <c r="R1195" s="3">
        <f t="shared" si="41"/>
        <v>14175</v>
      </c>
      <c r="S1195" s="337">
        <v>14175</v>
      </c>
      <c r="T1195"/>
      <c r="U1195" s="3"/>
    </row>
    <row r="1196" spans="1:22">
      <c r="A1196" s="165" t="s">
        <v>4072</v>
      </c>
      <c r="B1196" s="94">
        <v>1186</v>
      </c>
      <c r="C1196" s="165" t="s">
        <v>5184</v>
      </c>
      <c r="D1196" s="165">
        <v>7</v>
      </c>
      <c r="E1196" s="165" t="s">
        <v>5311</v>
      </c>
      <c r="F1196" s="165" t="s">
        <v>5314</v>
      </c>
      <c r="G1196" s="165"/>
      <c r="H1196" s="165">
        <v>14175</v>
      </c>
      <c r="I1196" s="165"/>
      <c r="J1196" s="165"/>
      <c r="K1196" s="165"/>
      <c r="L1196" s="165">
        <v>14175</v>
      </c>
      <c r="M1196" s="165"/>
      <c r="N1196" s="165"/>
      <c r="O1196" s="337">
        <f t="shared" si="40"/>
        <v>0</v>
      </c>
      <c r="P1196" s="165" t="s">
        <v>9677</v>
      </c>
      <c r="Q1196" s="165" t="s">
        <v>9677</v>
      </c>
      <c r="R1196" s="3">
        <f t="shared" si="41"/>
        <v>14175</v>
      </c>
      <c r="S1196" s="337">
        <v>14175</v>
      </c>
      <c r="T1196"/>
      <c r="U1196" s="3"/>
    </row>
    <row r="1197" spans="1:22">
      <c r="A1197" s="165" t="s">
        <v>4072</v>
      </c>
      <c r="B1197" s="94">
        <v>1187</v>
      </c>
      <c r="C1197" s="165" t="s">
        <v>5184</v>
      </c>
      <c r="D1197" s="165">
        <v>8</v>
      </c>
      <c r="E1197" s="165" t="s">
        <v>5312</v>
      </c>
      <c r="F1197" s="165" t="s">
        <v>5313</v>
      </c>
      <c r="G1197" s="165"/>
      <c r="H1197" s="165">
        <v>14175</v>
      </c>
      <c r="I1197" s="165"/>
      <c r="J1197" s="165"/>
      <c r="K1197" s="165"/>
      <c r="L1197" s="165">
        <v>14175</v>
      </c>
      <c r="M1197" s="165"/>
      <c r="N1197" s="165"/>
      <c r="O1197" s="337">
        <f t="shared" si="40"/>
        <v>0</v>
      </c>
      <c r="P1197" s="165" t="s">
        <v>9681</v>
      </c>
      <c r="Q1197" s="165" t="s">
        <v>9681</v>
      </c>
      <c r="R1197" s="3">
        <f t="shared" si="41"/>
        <v>14175</v>
      </c>
      <c r="S1197" s="337">
        <v>14175</v>
      </c>
      <c r="T1197"/>
      <c r="U1197" s="3"/>
    </row>
    <row r="1198" spans="1:22">
      <c r="A1198" s="165" t="s">
        <v>4266</v>
      </c>
      <c r="B1198" s="94">
        <v>1188</v>
      </c>
      <c r="C1198" s="165" t="s">
        <v>4056</v>
      </c>
      <c r="D1198" s="165">
        <v>1</v>
      </c>
      <c r="E1198" s="165" t="s">
        <v>5324</v>
      </c>
      <c r="F1198" s="165" t="s">
        <v>4110</v>
      </c>
      <c r="G1198" s="165"/>
      <c r="H1198" s="165">
        <v>20475</v>
      </c>
      <c r="I1198" s="165"/>
      <c r="J1198" s="165">
        <v>20475</v>
      </c>
      <c r="K1198" s="165"/>
      <c r="L1198" s="165"/>
      <c r="M1198" s="165"/>
      <c r="N1198" s="165"/>
      <c r="O1198" s="337">
        <f t="shared" si="40"/>
        <v>0</v>
      </c>
      <c r="P1198" s="165" t="s">
        <v>4651</v>
      </c>
      <c r="Q1198" s="165" t="s">
        <v>4793</v>
      </c>
      <c r="R1198" s="3">
        <f t="shared" ref="R1198:R1205" si="42">G1198+H1198+I1198</f>
        <v>20475</v>
      </c>
      <c r="S1198" s="165">
        <v>20475</v>
      </c>
      <c r="T1198"/>
      <c r="U1198" s="3"/>
      <c r="V1198" s="271" t="s">
        <v>2740</v>
      </c>
    </row>
    <row r="1199" spans="1:22">
      <c r="A1199" s="165" t="s">
        <v>4266</v>
      </c>
      <c r="B1199" s="94">
        <v>1189</v>
      </c>
      <c r="C1199" s="165" t="s">
        <v>4056</v>
      </c>
      <c r="D1199" s="165">
        <v>2</v>
      </c>
      <c r="E1199" s="165" t="s">
        <v>5326</v>
      </c>
      <c r="F1199" s="165" t="s">
        <v>4213</v>
      </c>
      <c r="G1199" s="165"/>
      <c r="H1199" s="165">
        <v>20475</v>
      </c>
      <c r="I1199" s="165"/>
      <c r="J1199" s="165"/>
      <c r="K1199" s="165">
        <v>20475</v>
      </c>
      <c r="L1199" s="165"/>
      <c r="M1199" s="165"/>
      <c r="N1199" s="165"/>
      <c r="O1199" s="337">
        <f t="shared" si="40"/>
        <v>0</v>
      </c>
      <c r="P1199" s="165" t="s">
        <v>4806</v>
      </c>
      <c r="Q1199" s="165" t="s">
        <v>4213</v>
      </c>
      <c r="R1199" s="3">
        <f t="shared" si="42"/>
        <v>20475</v>
      </c>
      <c r="S1199" s="165">
        <v>20475</v>
      </c>
      <c r="T1199"/>
      <c r="U1199" s="3"/>
      <c r="V1199" s="271" t="s">
        <v>2740</v>
      </c>
    </row>
    <row r="1200" spans="1:22">
      <c r="A1200" s="165" t="s">
        <v>4266</v>
      </c>
      <c r="B1200" s="94">
        <v>1190</v>
      </c>
      <c r="C1200" s="165" t="s">
        <v>4056</v>
      </c>
      <c r="D1200" s="165">
        <v>3</v>
      </c>
      <c r="E1200" s="165" t="s">
        <v>5327</v>
      </c>
      <c r="F1200" s="165" t="s">
        <v>4735</v>
      </c>
      <c r="G1200" s="165"/>
      <c r="H1200" s="165">
        <v>20475</v>
      </c>
      <c r="I1200" s="165"/>
      <c r="J1200" s="165"/>
      <c r="K1200" s="165">
        <v>20475</v>
      </c>
      <c r="L1200" s="165"/>
      <c r="M1200" s="165"/>
      <c r="N1200" s="165"/>
      <c r="O1200" s="337">
        <f t="shared" si="40"/>
        <v>0</v>
      </c>
      <c r="P1200" s="165" t="s">
        <v>5500</v>
      </c>
      <c r="Q1200" s="165" t="s">
        <v>4735</v>
      </c>
      <c r="R1200" s="3">
        <f t="shared" si="42"/>
        <v>20475</v>
      </c>
      <c r="S1200" s="165">
        <v>20475</v>
      </c>
      <c r="T1200"/>
      <c r="U1200" s="3"/>
      <c r="V1200" s="271" t="s">
        <v>2740</v>
      </c>
    </row>
    <row r="1201" spans="1:22">
      <c r="A1201" s="165" t="s">
        <v>4266</v>
      </c>
      <c r="B1201" s="94">
        <v>1191</v>
      </c>
      <c r="C1201" s="165" t="s">
        <v>4056</v>
      </c>
      <c r="D1201" s="165">
        <v>4</v>
      </c>
      <c r="E1201" s="165" t="s">
        <v>5328</v>
      </c>
      <c r="F1201" s="165" t="s">
        <v>4736</v>
      </c>
      <c r="G1201" s="165"/>
      <c r="H1201" s="165">
        <v>20475</v>
      </c>
      <c r="I1201" s="165"/>
      <c r="J1201" s="165"/>
      <c r="K1201" s="165">
        <v>20475</v>
      </c>
      <c r="L1201" s="165"/>
      <c r="M1201" s="165"/>
      <c r="N1201" s="165"/>
      <c r="O1201" s="337">
        <f t="shared" si="40"/>
        <v>0</v>
      </c>
      <c r="P1201" s="165" t="s">
        <v>5551</v>
      </c>
      <c r="Q1201" s="165" t="s">
        <v>5552</v>
      </c>
      <c r="R1201" s="3">
        <f t="shared" si="42"/>
        <v>20475</v>
      </c>
      <c r="S1201" s="165">
        <v>20475</v>
      </c>
      <c r="T1201"/>
      <c r="U1201" s="3"/>
      <c r="V1201" s="271" t="s">
        <v>2740</v>
      </c>
    </row>
    <row r="1202" spans="1:22">
      <c r="A1202" s="165" t="s">
        <v>4266</v>
      </c>
      <c r="B1202" s="94">
        <v>1192</v>
      </c>
      <c r="C1202" s="165" t="s">
        <v>4056</v>
      </c>
      <c r="D1202" s="165">
        <v>5</v>
      </c>
      <c r="E1202" s="165" t="s">
        <v>5329</v>
      </c>
      <c r="F1202" s="165" t="s">
        <v>5541</v>
      </c>
      <c r="G1202" s="165"/>
      <c r="H1202" s="165"/>
      <c r="I1202" s="165">
        <v>20475</v>
      </c>
      <c r="J1202" s="165"/>
      <c r="K1202" s="165"/>
      <c r="L1202" s="165">
        <v>20475</v>
      </c>
      <c r="M1202" s="165"/>
      <c r="N1202" s="165"/>
      <c r="O1202" s="337">
        <f t="shared" si="40"/>
        <v>0</v>
      </c>
      <c r="P1202" s="165" t="s">
        <v>5612</v>
      </c>
      <c r="Q1202" s="165" t="s">
        <v>5612</v>
      </c>
      <c r="R1202" s="3">
        <f t="shared" si="42"/>
        <v>20475</v>
      </c>
      <c r="S1202" s="165">
        <v>20475</v>
      </c>
      <c r="T1202"/>
      <c r="U1202" s="3"/>
      <c r="V1202" s="271" t="s">
        <v>2740</v>
      </c>
    </row>
    <row r="1203" spans="1:22">
      <c r="A1203" s="165" t="s">
        <v>4266</v>
      </c>
      <c r="B1203" s="94">
        <v>1193</v>
      </c>
      <c r="C1203" s="165" t="s">
        <v>4056</v>
      </c>
      <c r="D1203" s="165">
        <v>6</v>
      </c>
      <c r="E1203" s="165" t="s">
        <v>5330</v>
      </c>
      <c r="F1203" s="165" t="s">
        <v>4737</v>
      </c>
      <c r="G1203" s="165"/>
      <c r="H1203" s="165"/>
      <c r="I1203" s="165">
        <v>20475</v>
      </c>
      <c r="J1203" s="165"/>
      <c r="K1203" s="165"/>
      <c r="L1203" s="165">
        <v>20475</v>
      </c>
      <c r="M1203" s="165"/>
      <c r="N1203" s="165"/>
      <c r="O1203" s="337">
        <f t="shared" si="40"/>
        <v>0</v>
      </c>
      <c r="P1203" s="165" t="s">
        <v>4737</v>
      </c>
      <c r="Q1203" s="165" t="s">
        <v>4737</v>
      </c>
      <c r="R1203" s="3">
        <f t="shared" si="42"/>
        <v>20475</v>
      </c>
      <c r="S1203" s="165">
        <v>20475</v>
      </c>
      <c r="T1203"/>
      <c r="U1203" s="3"/>
      <c r="V1203" s="271" t="s">
        <v>2740</v>
      </c>
    </row>
    <row r="1204" spans="1:22">
      <c r="A1204" s="165" t="s">
        <v>4266</v>
      </c>
      <c r="B1204" s="94">
        <v>1194</v>
      </c>
      <c r="C1204" s="165" t="s">
        <v>4056</v>
      </c>
      <c r="D1204" s="165">
        <v>7</v>
      </c>
      <c r="E1204" s="165" t="s">
        <v>5331</v>
      </c>
      <c r="F1204" s="165" t="s">
        <v>4738</v>
      </c>
      <c r="G1204" s="165"/>
      <c r="H1204" s="165"/>
      <c r="I1204" s="165">
        <v>20475</v>
      </c>
      <c r="J1204" s="165"/>
      <c r="K1204" s="165"/>
      <c r="L1204" s="165">
        <v>20475</v>
      </c>
      <c r="M1204" s="165"/>
      <c r="N1204" s="165"/>
      <c r="O1204" s="337">
        <f t="shared" si="40"/>
        <v>0</v>
      </c>
      <c r="P1204" s="165" t="s">
        <v>9775</v>
      </c>
      <c r="Q1204" s="165" t="s">
        <v>9775</v>
      </c>
      <c r="R1204" s="3">
        <f t="shared" si="42"/>
        <v>20475</v>
      </c>
      <c r="S1204" s="165">
        <v>20475</v>
      </c>
      <c r="T1204"/>
      <c r="U1204" s="3"/>
      <c r="V1204" s="271" t="s">
        <v>2740</v>
      </c>
    </row>
    <row r="1205" spans="1:22">
      <c r="A1205" s="165" t="s">
        <v>4266</v>
      </c>
      <c r="B1205" s="94">
        <v>1195</v>
      </c>
      <c r="C1205" s="165" t="s">
        <v>4056</v>
      </c>
      <c r="D1205" s="165">
        <v>8</v>
      </c>
      <c r="E1205" s="165" t="s">
        <v>5332</v>
      </c>
      <c r="F1205" s="165" t="s">
        <v>5325</v>
      </c>
      <c r="G1205" s="165"/>
      <c r="H1205" s="165"/>
      <c r="I1205" s="165">
        <v>20475</v>
      </c>
      <c r="J1205" s="165"/>
      <c r="K1205" s="165"/>
      <c r="L1205" s="165">
        <v>20475</v>
      </c>
      <c r="M1205" s="165"/>
      <c r="N1205" s="165"/>
      <c r="O1205" s="337">
        <f t="shared" si="40"/>
        <v>0</v>
      </c>
      <c r="P1205" s="165" t="s">
        <v>8837</v>
      </c>
      <c r="Q1205" s="165" t="s">
        <v>8837</v>
      </c>
      <c r="R1205" s="3">
        <f t="shared" si="42"/>
        <v>20475</v>
      </c>
      <c r="S1205" s="165">
        <v>20475</v>
      </c>
      <c r="T1205"/>
      <c r="U1205" s="3"/>
      <c r="V1205" s="271" t="s">
        <v>2740</v>
      </c>
    </row>
    <row r="1206" spans="1:22">
      <c r="A1206" s="165" t="s">
        <v>5319</v>
      </c>
      <c r="B1206" s="94">
        <v>1196</v>
      </c>
      <c r="C1206" s="165" t="s">
        <v>5320</v>
      </c>
      <c r="D1206" s="165">
        <v>1</v>
      </c>
      <c r="E1206" s="165" t="s">
        <v>5321</v>
      </c>
      <c r="F1206" s="165" t="s">
        <v>4108</v>
      </c>
      <c r="G1206" s="165">
        <v>14175</v>
      </c>
      <c r="H1206" s="165"/>
      <c r="I1206" s="165"/>
      <c r="J1206" s="165"/>
      <c r="K1206" s="165">
        <v>14175</v>
      </c>
      <c r="L1206" s="165"/>
      <c r="M1206" s="165"/>
      <c r="N1206" s="165"/>
      <c r="O1206" s="337">
        <f t="shared" si="40"/>
        <v>0</v>
      </c>
      <c r="P1206" s="165" t="s">
        <v>4651</v>
      </c>
      <c r="Q1206" s="165" t="s">
        <v>4793</v>
      </c>
      <c r="R1206" s="3">
        <f t="shared" ref="R1206:R1269" si="43">H1206</f>
        <v>0</v>
      </c>
      <c r="S1206" s="337">
        <v>14175</v>
      </c>
      <c r="T1206"/>
      <c r="U1206" s="3"/>
    </row>
    <row r="1207" spans="1:22">
      <c r="A1207" s="165" t="s">
        <v>5319</v>
      </c>
      <c r="B1207" s="94">
        <v>1197</v>
      </c>
      <c r="C1207" s="165" t="s">
        <v>5320</v>
      </c>
      <c r="D1207" s="165">
        <v>2</v>
      </c>
      <c r="E1207" s="165" t="s">
        <v>5322</v>
      </c>
      <c r="F1207" s="165" t="s">
        <v>4110</v>
      </c>
      <c r="G1207" s="165">
        <v>14175</v>
      </c>
      <c r="H1207" s="165"/>
      <c r="I1207" s="165"/>
      <c r="J1207" s="165"/>
      <c r="K1207" s="165">
        <v>14175</v>
      </c>
      <c r="L1207" s="165"/>
      <c r="M1207" s="165"/>
      <c r="N1207" s="165"/>
      <c r="O1207" s="337">
        <f t="shared" si="40"/>
        <v>0</v>
      </c>
      <c r="P1207" s="165" t="s">
        <v>4651</v>
      </c>
      <c r="Q1207" s="165" t="s">
        <v>4793</v>
      </c>
      <c r="R1207" s="3">
        <f t="shared" si="43"/>
        <v>0</v>
      </c>
      <c r="S1207" s="337">
        <v>14175</v>
      </c>
      <c r="T1207"/>
      <c r="U1207" s="3"/>
    </row>
    <row r="1208" spans="1:22">
      <c r="A1208" s="165" t="s">
        <v>5350</v>
      </c>
      <c r="B1208" s="94">
        <v>1198</v>
      </c>
      <c r="C1208" s="165" t="s">
        <v>1232</v>
      </c>
      <c r="D1208" s="165">
        <v>12</v>
      </c>
      <c r="E1208" s="165" t="s">
        <v>5351</v>
      </c>
      <c r="F1208" s="165" t="s">
        <v>4797</v>
      </c>
      <c r="G1208" s="165"/>
      <c r="H1208" s="165">
        <v>16380</v>
      </c>
      <c r="I1208" s="165"/>
      <c r="J1208" s="165"/>
      <c r="K1208" s="165">
        <v>16380</v>
      </c>
      <c r="L1208" s="165"/>
      <c r="M1208" s="165"/>
      <c r="N1208" s="165"/>
      <c r="O1208" s="337">
        <f t="shared" si="40"/>
        <v>0</v>
      </c>
      <c r="P1208" s="165" t="s">
        <v>5352</v>
      </c>
      <c r="Q1208" s="165" t="s">
        <v>4798</v>
      </c>
      <c r="R1208" s="3">
        <f t="shared" si="43"/>
        <v>16380</v>
      </c>
      <c r="S1208" s="337">
        <v>16380</v>
      </c>
      <c r="T1208" s="337"/>
      <c r="U1208" s="3"/>
    </row>
    <row r="1209" spans="1:22">
      <c r="A1209" s="165" t="s">
        <v>4795</v>
      </c>
      <c r="B1209" s="94">
        <v>1199</v>
      </c>
      <c r="C1209" s="165" t="s">
        <v>5189</v>
      </c>
      <c r="D1209" s="165">
        <v>1</v>
      </c>
      <c r="E1209" s="165" t="s">
        <v>5334</v>
      </c>
      <c r="F1209" s="165" t="s">
        <v>5335</v>
      </c>
      <c r="G1209" s="165"/>
      <c r="H1209" s="165">
        <v>13500</v>
      </c>
      <c r="I1209" s="165"/>
      <c r="J1209" s="165"/>
      <c r="K1209" s="165">
        <v>13500</v>
      </c>
      <c r="L1209" s="165"/>
      <c r="M1209" s="165"/>
      <c r="N1209" s="165"/>
      <c r="O1209" s="337">
        <f t="shared" si="40"/>
        <v>0</v>
      </c>
      <c r="P1209" s="165" t="s">
        <v>4797</v>
      </c>
      <c r="Q1209" s="165" t="s">
        <v>4798</v>
      </c>
      <c r="R1209" s="3">
        <f t="shared" si="43"/>
        <v>13500</v>
      </c>
      <c r="S1209" s="337">
        <v>13500</v>
      </c>
      <c r="T1209"/>
      <c r="U1209" s="3"/>
    </row>
    <row r="1210" spans="1:22">
      <c r="A1210" s="165" t="s">
        <v>4795</v>
      </c>
      <c r="B1210" s="94">
        <v>1200</v>
      </c>
      <c r="C1210" s="165" t="s">
        <v>5189</v>
      </c>
      <c r="D1210" s="165">
        <v>2</v>
      </c>
      <c r="E1210" s="165" t="s">
        <v>5336</v>
      </c>
      <c r="F1210" s="165" t="s">
        <v>4194</v>
      </c>
      <c r="G1210" s="165"/>
      <c r="H1210" s="165">
        <v>13500</v>
      </c>
      <c r="I1210" s="165"/>
      <c r="J1210" s="165"/>
      <c r="K1210" s="338">
        <v>13500</v>
      </c>
      <c r="L1210" s="338"/>
      <c r="M1210" s="165"/>
      <c r="N1210" s="165"/>
      <c r="O1210" s="337">
        <f t="shared" si="40"/>
        <v>0</v>
      </c>
      <c r="P1210" s="165" t="s">
        <v>4806</v>
      </c>
      <c r="Q1210" s="165" t="s">
        <v>4194</v>
      </c>
      <c r="R1210" s="3">
        <f t="shared" si="43"/>
        <v>13500</v>
      </c>
      <c r="S1210" s="337">
        <v>13500</v>
      </c>
      <c r="T1210"/>
      <c r="U1210" s="3"/>
    </row>
    <row r="1211" spans="1:22">
      <c r="A1211" s="165" t="s">
        <v>4795</v>
      </c>
      <c r="B1211" s="94">
        <v>1201</v>
      </c>
      <c r="C1211" s="165" t="s">
        <v>5189</v>
      </c>
      <c r="D1211" s="165">
        <v>3</v>
      </c>
      <c r="E1211" s="165" t="s">
        <v>5337</v>
      </c>
      <c r="F1211" s="165" t="s">
        <v>4226</v>
      </c>
      <c r="G1211" s="165"/>
      <c r="H1211" s="165">
        <v>13500</v>
      </c>
      <c r="I1211" s="165"/>
      <c r="J1211" s="165"/>
      <c r="K1211" s="338">
        <v>13500</v>
      </c>
      <c r="L1211" s="338"/>
      <c r="M1211" s="165"/>
      <c r="N1211" s="165"/>
      <c r="O1211" s="337">
        <f t="shared" si="40"/>
        <v>0</v>
      </c>
      <c r="P1211" s="165" t="s">
        <v>5500</v>
      </c>
      <c r="Q1211" s="165" t="s">
        <v>4226</v>
      </c>
      <c r="R1211" s="3">
        <f t="shared" si="43"/>
        <v>13500</v>
      </c>
      <c r="S1211" s="337">
        <v>13500</v>
      </c>
      <c r="T1211"/>
      <c r="U1211" s="3"/>
    </row>
    <row r="1212" spans="1:22">
      <c r="A1212" s="165" t="s">
        <v>4795</v>
      </c>
      <c r="B1212" s="94">
        <v>1202</v>
      </c>
      <c r="C1212" s="165" t="s">
        <v>5189</v>
      </c>
      <c r="D1212" s="165">
        <v>4</v>
      </c>
      <c r="E1212" s="165" t="s">
        <v>5338</v>
      </c>
      <c r="F1212" s="165" t="s">
        <v>4624</v>
      </c>
      <c r="G1212" s="165"/>
      <c r="H1212" s="165">
        <v>13500</v>
      </c>
      <c r="I1212" s="165"/>
      <c r="J1212" s="165"/>
      <c r="K1212" s="338">
        <v>13500</v>
      </c>
      <c r="L1212" s="338"/>
      <c r="M1212" s="165"/>
      <c r="N1212" s="165"/>
      <c r="O1212" s="337">
        <f t="shared" si="40"/>
        <v>0</v>
      </c>
      <c r="P1212" s="165" t="s">
        <v>5551</v>
      </c>
      <c r="Q1212" s="165" t="s">
        <v>4624</v>
      </c>
      <c r="R1212" s="3">
        <f t="shared" si="43"/>
        <v>13500</v>
      </c>
      <c r="S1212" s="337">
        <v>13500</v>
      </c>
      <c r="T1212"/>
      <c r="U1212" s="3"/>
    </row>
    <row r="1213" spans="1:22">
      <c r="A1213" s="165" t="s">
        <v>4795</v>
      </c>
      <c r="B1213" s="94">
        <v>1203</v>
      </c>
      <c r="C1213" s="165" t="s">
        <v>5189</v>
      </c>
      <c r="D1213" s="165">
        <v>5</v>
      </c>
      <c r="E1213" s="165" t="s">
        <v>5339</v>
      </c>
      <c r="F1213" s="165" t="s">
        <v>4625</v>
      </c>
      <c r="G1213" s="165"/>
      <c r="H1213" s="165">
        <v>13500</v>
      </c>
      <c r="I1213" s="165"/>
      <c r="J1213" s="165"/>
      <c r="K1213" s="338"/>
      <c r="L1213" s="338">
        <v>13500</v>
      </c>
      <c r="M1213" s="165"/>
      <c r="N1213" s="165"/>
      <c r="O1213" s="337">
        <f t="shared" si="40"/>
        <v>0</v>
      </c>
      <c r="P1213" s="165" t="s">
        <v>4655</v>
      </c>
      <c r="Q1213" s="165" t="s">
        <v>4655</v>
      </c>
      <c r="R1213" s="3">
        <f t="shared" si="43"/>
        <v>13500</v>
      </c>
      <c r="S1213" s="337">
        <v>13500</v>
      </c>
      <c r="T1213"/>
      <c r="U1213" s="3"/>
    </row>
    <row r="1214" spans="1:22">
      <c r="A1214" s="165" t="s">
        <v>4795</v>
      </c>
      <c r="B1214" s="94">
        <v>1204</v>
      </c>
      <c r="C1214" s="165" t="s">
        <v>5189</v>
      </c>
      <c r="D1214" s="165">
        <v>6</v>
      </c>
      <c r="E1214" s="165" t="s">
        <v>5340</v>
      </c>
      <c r="F1214" s="165" t="s">
        <v>5347</v>
      </c>
      <c r="G1214" s="165"/>
      <c r="H1214" s="165">
        <v>13500</v>
      </c>
      <c r="I1214" s="165"/>
      <c r="J1214" s="165"/>
      <c r="K1214" s="338"/>
      <c r="L1214" s="338">
        <v>13500</v>
      </c>
      <c r="M1214" s="165"/>
      <c r="N1214" s="165"/>
      <c r="O1214" s="337">
        <f t="shared" si="40"/>
        <v>0</v>
      </c>
      <c r="P1214" s="165" t="s">
        <v>5347</v>
      </c>
      <c r="Q1214" s="165" t="s">
        <v>5347</v>
      </c>
      <c r="R1214" s="3">
        <f t="shared" si="43"/>
        <v>13500</v>
      </c>
      <c r="S1214" s="337">
        <v>13500</v>
      </c>
      <c r="T1214"/>
      <c r="U1214" s="3"/>
    </row>
    <row r="1215" spans="1:22">
      <c r="A1215" s="165" t="s">
        <v>4795</v>
      </c>
      <c r="B1215" s="94">
        <v>1205</v>
      </c>
      <c r="C1215" s="165" t="s">
        <v>5189</v>
      </c>
      <c r="D1215" s="165">
        <v>7</v>
      </c>
      <c r="E1215" s="165" t="s">
        <v>5341</v>
      </c>
      <c r="F1215" s="165" t="s">
        <v>5348</v>
      </c>
      <c r="G1215" s="165"/>
      <c r="H1215" s="165">
        <v>13500</v>
      </c>
      <c r="I1215" s="165"/>
      <c r="J1215" s="165"/>
      <c r="K1215" s="338"/>
      <c r="L1215" s="338">
        <v>13500</v>
      </c>
      <c r="M1215" s="165"/>
      <c r="N1215" s="165"/>
      <c r="O1215" s="337">
        <f t="shared" si="40"/>
        <v>0</v>
      </c>
      <c r="P1215" s="165" t="s">
        <v>5348</v>
      </c>
      <c r="Q1215" s="165" t="s">
        <v>5348</v>
      </c>
      <c r="R1215" s="3">
        <f t="shared" si="43"/>
        <v>13500</v>
      </c>
      <c r="S1215" s="337">
        <v>13500</v>
      </c>
      <c r="T1215"/>
      <c r="U1215" s="3"/>
    </row>
    <row r="1216" spans="1:22">
      <c r="A1216" s="165" t="s">
        <v>4795</v>
      </c>
      <c r="B1216" s="94">
        <v>1206</v>
      </c>
      <c r="C1216" s="165" t="s">
        <v>5189</v>
      </c>
      <c r="D1216" s="165">
        <v>8</v>
      </c>
      <c r="E1216" s="165" t="s">
        <v>5342</v>
      </c>
      <c r="F1216" s="165" t="s">
        <v>5349</v>
      </c>
      <c r="G1216" s="165"/>
      <c r="H1216" s="165">
        <v>13500</v>
      </c>
      <c r="I1216" s="165"/>
      <c r="J1216" s="165"/>
      <c r="K1216" s="338"/>
      <c r="L1216" s="338">
        <v>13500</v>
      </c>
      <c r="M1216" s="165"/>
      <c r="N1216" s="165"/>
      <c r="O1216" s="337">
        <f t="shared" si="40"/>
        <v>0</v>
      </c>
      <c r="P1216" s="165" t="s">
        <v>5349</v>
      </c>
      <c r="Q1216" s="165" t="s">
        <v>5349</v>
      </c>
      <c r="R1216" s="3">
        <f t="shared" si="43"/>
        <v>13500</v>
      </c>
      <c r="S1216" s="337">
        <v>13500</v>
      </c>
      <c r="T1216"/>
      <c r="U1216" s="3"/>
    </row>
    <row r="1217" spans="1:23">
      <c r="A1217" s="165" t="s">
        <v>4795</v>
      </c>
      <c r="B1217" s="94">
        <v>1207</v>
      </c>
      <c r="C1217" s="165" t="s">
        <v>4567</v>
      </c>
      <c r="D1217" s="165">
        <v>1</v>
      </c>
      <c r="E1217" s="165" t="s">
        <v>5353</v>
      </c>
      <c r="F1217" s="165" t="s">
        <v>4801</v>
      </c>
      <c r="G1217" s="165"/>
      <c r="H1217" s="165">
        <v>12000</v>
      </c>
      <c r="I1217" s="165"/>
      <c r="J1217" s="165"/>
      <c r="K1217" s="165">
        <v>12000</v>
      </c>
      <c r="L1217" s="165"/>
      <c r="M1217" s="165"/>
      <c r="N1217" s="165"/>
      <c r="O1217" s="337">
        <f t="shared" si="40"/>
        <v>0</v>
      </c>
      <c r="P1217" s="165" t="s">
        <v>4802</v>
      </c>
      <c r="Q1217" s="165" t="s">
        <v>4803</v>
      </c>
      <c r="R1217" s="3">
        <f t="shared" si="43"/>
        <v>12000</v>
      </c>
      <c r="S1217" s="337">
        <v>12000</v>
      </c>
      <c r="T1217"/>
      <c r="U1217" s="3"/>
    </row>
    <row r="1218" spans="1:23">
      <c r="A1218" s="165" t="s">
        <v>4795</v>
      </c>
      <c r="B1218" s="94">
        <v>1208</v>
      </c>
      <c r="C1218" s="165" t="s">
        <v>4567</v>
      </c>
      <c r="D1218" s="165">
        <v>2</v>
      </c>
      <c r="E1218" s="165" t="s">
        <v>5354</v>
      </c>
      <c r="F1218" s="165" t="s">
        <v>5361</v>
      </c>
      <c r="G1218" s="165"/>
      <c r="H1218" s="165">
        <v>12000</v>
      </c>
      <c r="I1218" s="165"/>
      <c r="J1218" s="165"/>
      <c r="K1218" s="338">
        <v>12000</v>
      </c>
      <c r="L1218" s="338"/>
      <c r="M1218" s="165"/>
      <c r="N1218" s="165"/>
      <c r="O1218" s="337">
        <f t="shared" si="40"/>
        <v>0</v>
      </c>
      <c r="P1218" s="165" t="s">
        <v>5488</v>
      </c>
      <c r="Q1218" s="165" t="s">
        <v>5361</v>
      </c>
      <c r="R1218" s="3">
        <f t="shared" si="43"/>
        <v>12000</v>
      </c>
      <c r="S1218" s="337">
        <v>12000</v>
      </c>
      <c r="T1218"/>
      <c r="U1218" s="3"/>
    </row>
    <row r="1219" spans="1:23">
      <c r="A1219" s="165" t="s">
        <v>4795</v>
      </c>
      <c r="B1219" s="94">
        <v>1209</v>
      </c>
      <c r="C1219" s="165" t="s">
        <v>4567</v>
      </c>
      <c r="D1219" s="165">
        <v>3</v>
      </c>
      <c r="E1219" s="165" t="s">
        <v>5355</v>
      </c>
      <c r="F1219" s="165" t="s">
        <v>5362</v>
      </c>
      <c r="G1219" s="165"/>
      <c r="H1219" s="165">
        <v>12000</v>
      </c>
      <c r="I1219" s="165"/>
      <c r="J1219" s="165"/>
      <c r="K1219" s="338">
        <v>12000</v>
      </c>
      <c r="L1219" s="338"/>
      <c r="M1219" s="165"/>
      <c r="N1219" s="165"/>
      <c r="O1219" s="337">
        <f t="shared" si="40"/>
        <v>0</v>
      </c>
      <c r="P1219" s="165" t="s">
        <v>5263</v>
      </c>
      <c r="Q1219" s="165" t="s">
        <v>5362</v>
      </c>
      <c r="R1219" s="3">
        <f t="shared" si="43"/>
        <v>12000</v>
      </c>
      <c r="S1219" s="337">
        <v>12000</v>
      </c>
      <c r="T1219"/>
      <c r="U1219" s="3"/>
    </row>
    <row r="1220" spans="1:23">
      <c r="A1220" s="165" t="s">
        <v>4795</v>
      </c>
      <c r="B1220" s="94">
        <v>1210</v>
      </c>
      <c r="C1220" s="165" t="s">
        <v>4567</v>
      </c>
      <c r="D1220" s="165">
        <v>4</v>
      </c>
      <c r="E1220" s="165" t="s">
        <v>5356</v>
      </c>
      <c r="F1220" s="165" t="s">
        <v>5363</v>
      </c>
      <c r="G1220" s="165"/>
      <c r="H1220" s="165">
        <v>12000</v>
      </c>
      <c r="I1220" s="165"/>
      <c r="J1220" s="165"/>
      <c r="K1220" s="338"/>
      <c r="L1220" s="338">
        <v>12000</v>
      </c>
      <c r="M1220" s="165"/>
      <c r="N1220" s="165"/>
      <c r="O1220" s="337">
        <f t="shared" si="40"/>
        <v>0</v>
      </c>
      <c r="P1220" s="165" t="s">
        <v>9682</v>
      </c>
      <c r="Q1220" s="165" t="s">
        <v>9682</v>
      </c>
      <c r="R1220" s="3">
        <f t="shared" si="43"/>
        <v>12000</v>
      </c>
      <c r="S1220" s="337">
        <v>12000</v>
      </c>
      <c r="T1220"/>
      <c r="U1220" s="3"/>
    </row>
    <row r="1221" spans="1:23">
      <c r="A1221" s="165" t="s">
        <v>4795</v>
      </c>
      <c r="B1221" s="94">
        <v>1211</v>
      </c>
      <c r="C1221" s="165" t="s">
        <v>4567</v>
      </c>
      <c r="D1221" s="165">
        <v>5</v>
      </c>
      <c r="E1221" s="165" t="s">
        <v>5357</v>
      </c>
      <c r="F1221" s="165" t="s">
        <v>5364</v>
      </c>
      <c r="G1221" s="165"/>
      <c r="H1221" s="165">
        <v>12000</v>
      </c>
      <c r="I1221" s="165"/>
      <c r="J1221" s="165"/>
      <c r="K1221" s="338"/>
      <c r="L1221" s="338">
        <v>12000</v>
      </c>
      <c r="M1221" s="165"/>
      <c r="N1221" s="165"/>
      <c r="O1221" s="337">
        <f t="shared" si="40"/>
        <v>0</v>
      </c>
      <c r="P1221" s="165" t="s">
        <v>5364</v>
      </c>
      <c r="Q1221" s="165" t="s">
        <v>5364</v>
      </c>
      <c r="R1221" s="3">
        <f t="shared" si="43"/>
        <v>12000</v>
      </c>
      <c r="S1221" s="337">
        <v>12000</v>
      </c>
      <c r="T1221"/>
      <c r="U1221" s="3"/>
    </row>
    <row r="1222" spans="1:23">
      <c r="A1222" s="165" t="s">
        <v>4795</v>
      </c>
      <c r="B1222" s="94">
        <v>1212</v>
      </c>
      <c r="C1222" s="165" t="s">
        <v>4567</v>
      </c>
      <c r="D1222" s="165">
        <v>6</v>
      </c>
      <c r="E1222" s="165" t="s">
        <v>5358</v>
      </c>
      <c r="F1222" s="165" t="s">
        <v>5365</v>
      </c>
      <c r="G1222" s="165"/>
      <c r="H1222" s="165">
        <v>12000</v>
      </c>
      <c r="I1222" s="165"/>
      <c r="J1222" s="165"/>
      <c r="K1222" s="338"/>
      <c r="L1222" s="338">
        <v>12000</v>
      </c>
      <c r="M1222" s="165"/>
      <c r="N1222" s="165"/>
      <c r="O1222" s="337">
        <f t="shared" si="40"/>
        <v>0</v>
      </c>
      <c r="P1222" s="165" t="s">
        <v>5365</v>
      </c>
      <c r="Q1222" s="165" t="s">
        <v>5365</v>
      </c>
      <c r="R1222" s="3">
        <f t="shared" si="43"/>
        <v>12000</v>
      </c>
      <c r="S1222" s="337">
        <v>12000</v>
      </c>
      <c r="T1222"/>
      <c r="U1222" s="3"/>
    </row>
    <row r="1223" spans="1:23">
      <c r="A1223" s="165" t="s">
        <v>4795</v>
      </c>
      <c r="B1223" s="94">
        <v>1213</v>
      </c>
      <c r="C1223" s="165" t="s">
        <v>4567</v>
      </c>
      <c r="D1223" s="165">
        <v>7</v>
      </c>
      <c r="E1223" s="165" t="s">
        <v>5359</v>
      </c>
      <c r="F1223" s="165" t="s">
        <v>5366</v>
      </c>
      <c r="G1223" s="165"/>
      <c r="H1223" s="165">
        <v>12000</v>
      </c>
      <c r="I1223" s="165"/>
      <c r="J1223" s="165"/>
      <c r="K1223" s="338"/>
      <c r="L1223" s="338">
        <v>12000</v>
      </c>
      <c r="M1223" s="165"/>
      <c r="N1223" s="165"/>
      <c r="O1223" s="337">
        <f t="shared" si="40"/>
        <v>0</v>
      </c>
      <c r="P1223" s="165" t="s">
        <v>8820</v>
      </c>
      <c r="Q1223" s="165" t="s">
        <v>8820</v>
      </c>
      <c r="R1223" s="3">
        <f t="shared" si="43"/>
        <v>12000</v>
      </c>
      <c r="S1223" s="337">
        <v>12000</v>
      </c>
      <c r="T1223"/>
      <c r="U1223" s="3"/>
    </row>
    <row r="1224" spans="1:23">
      <c r="A1224" s="165" t="s">
        <v>4795</v>
      </c>
      <c r="B1224" s="94">
        <v>1214</v>
      </c>
      <c r="C1224" s="165" t="s">
        <v>4567</v>
      </c>
      <c r="D1224" s="165">
        <v>8</v>
      </c>
      <c r="E1224" s="165" t="s">
        <v>5360</v>
      </c>
      <c r="F1224" s="165" t="s">
        <v>5367</v>
      </c>
      <c r="G1224" s="165"/>
      <c r="H1224" s="165">
        <v>12000</v>
      </c>
      <c r="I1224" s="165"/>
      <c r="J1224" s="165"/>
      <c r="K1224" s="338"/>
      <c r="L1224" s="338">
        <v>12000</v>
      </c>
      <c r="M1224" s="165"/>
      <c r="N1224" s="165"/>
      <c r="O1224" s="337">
        <f t="shared" si="40"/>
        <v>0</v>
      </c>
      <c r="P1224" s="165" t="s">
        <v>8883</v>
      </c>
      <c r="Q1224" s="165" t="s">
        <v>5367</v>
      </c>
      <c r="R1224" s="3">
        <f t="shared" si="43"/>
        <v>12000</v>
      </c>
      <c r="S1224" s="337">
        <v>12000</v>
      </c>
      <c r="T1224"/>
      <c r="U1224" s="3"/>
    </row>
    <row r="1225" spans="1:23">
      <c r="A1225" s="165" t="s">
        <v>4796</v>
      </c>
      <c r="B1225" s="94">
        <v>1215</v>
      </c>
      <c r="C1225" s="165" t="s">
        <v>5377</v>
      </c>
      <c r="D1225" s="165">
        <v>1</v>
      </c>
      <c r="E1225" s="165" t="s">
        <v>5378</v>
      </c>
      <c r="F1225" s="165" t="s">
        <v>4289</v>
      </c>
      <c r="G1225" s="165"/>
      <c r="H1225" s="165">
        <v>10800</v>
      </c>
      <c r="I1225" s="165"/>
      <c r="J1225" s="165"/>
      <c r="K1225" s="165">
        <v>10800</v>
      </c>
      <c r="L1225" s="165"/>
      <c r="M1225" s="165"/>
      <c r="N1225" s="165"/>
      <c r="O1225" s="337">
        <f t="shared" si="40"/>
        <v>0</v>
      </c>
      <c r="P1225" s="165" t="s">
        <v>4802</v>
      </c>
      <c r="Q1225" s="165" t="s">
        <v>4804</v>
      </c>
      <c r="R1225" s="3">
        <f t="shared" si="43"/>
        <v>10800</v>
      </c>
      <c r="S1225" s="337">
        <v>10800</v>
      </c>
      <c r="T1225"/>
      <c r="U1225" s="3"/>
      <c r="W1225" s="627" t="s">
        <v>5435</v>
      </c>
    </row>
    <row r="1226" spans="1:23">
      <c r="A1226" s="165" t="s">
        <v>4796</v>
      </c>
      <c r="B1226" s="94">
        <v>1216</v>
      </c>
      <c r="C1226" s="165" t="s">
        <v>5377</v>
      </c>
      <c r="D1226" s="165">
        <v>2</v>
      </c>
      <c r="E1226" s="165" t="s">
        <v>5379</v>
      </c>
      <c r="F1226" s="165" t="s">
        <v>4638</v>
      </c>
      <c r="G1226" s="165"/>
      <c r="H1226" s="165">
        <v>10800</v>
      </c>
      <c r="I1226" s="165"/>
      <c r="J1226" s="165"/>
      <c r="K1226" s="338">
        <v>10800</v>
      </c>
      <c r="L1226" s="338"/>
      <c r="M1226" s="165"/>
      <c r="N1226" s="165"/>
      <c r="O1226" s="337">
        <f t="shared" si="40"/>
        <v>0</v>
      </c>
      <c r="P1226" s="165" t="s">
        <v>5488</v>
      </c>
      <c r="Q1226" s="165" t="s">
        <v>4291</v>
      </c>
      <c r="R1226" s="3">
        <f t="shared" si="43"/>
        <v>10800</v>
      </c>
      <c r="S1226" s="337">
        <v>10800</v>
      </c>
      <c r="T1226"/>
      <c r="U1226" s="3"/>
    </row>
    <row r="1227" spans="1:23">
      <c r="A1227" s="165" t="s">
        <v>4796</v>
      </c>
      <c r="B1227" s="94">
        <v>1217</v>
      </c>
      <c r="C1227" s="165" t="s">
        <v>5377</v>
      </c>
      <c r="D1227" s="165">
        <v>3</v>
      </c>
      <c r="E1227" s="165" t="s">
        <v>5380</v>
      </c>
      <c r="F1227" s="165" t="s">
        <v>4293</v>
      </c>
      <c r="G1227" s="165"/>
      <c r="H1227" s="165">
        <v>10800</v>
      </c>
      <c r="I1227" s="165"/>
      <c r="J1227" s="165"/>
      <c r="K1227" s="338">
        <v>10800</v>
      </c>
      <c r="L1227" s="338"/>
      <c r="M1227" s="165"/>
      <c r="N1227" s="165"/>
      <c r="O1227" s="337">
        <f t="shared" si="40"/>
        <v>0</v>
      </c>
      <c r="P1227" s="165" t="s">
        <v>5263</v>
      </c>
      <c r="Q1227" s="165" t="s">
        <v>4293</v>
      </c>
      <c r="R1227" s="3">
        <f t="shared" si="43"/>
        <v>10800</v>
      </c>
      <c r="S1227" s="337">
        <v>10800</v>
      </c>
      <c r="T1227"/>
      <c r="U1227" s="3"/>
    </row>
    <row r="1228" spans="1:23">
      <c r="A1228" s="165" t="s">
        <v>4796</v>
      </c>
      <c r="B1228" s="94">
        <v>1218</v>
      </c>
      <c r="C1228" s="165" t="s">
        <v>5377</v>
      </c>
      <c r="D1228" s="165">
        <v>4</v>
      </c>
      <c r="E1228" s="165" t="s">
        <v>5381</v>
      </c>
      <c r="F1228" s="165" t="s">
        <v>5386</v>
      </c>
      <c r="G1228" s="165"/>
      <c r="H1228" s="165">
        <v>10800</v>
      </c>
      <c r="I1228" s="165"/>
      <c r="J1228" s="165"/>
      <c r="K1228" s="338"/>
      <c r="L1228" s="338">
        <v>10800</v>
      </c>
      <c r="M1228" s="165"/>
      <c r="N1228" s="165"/>
      <c r="O1228" s="337">
        <f t="shared" ref="O1228:O1291" si="44">G1228+H1228+I1228-J1228-K1228-L1228</f>
        <v>0</v>
      </c>
      <c r="P1228" s="165" t="s">
        <v>4640</v>
      </c>
      <c r="Q1228" s="165" t="s">
        <v>4640</v>
      </c>
      <c r="R1228" s="3">
        <f t="shared" si="43"/>
        <v>10800</v>
      </c>
      <c r="S1228" s="337">
        <v>10800</v>
      </c>
      <c r="T1228"/>
      <c r="U1228" s="3"/>
    </row>
    <row r="1229" spans="1:23">
      <c r="A1229" s="165" t="s">
        <v>4796</v>
      </c>
      <c r="B1229" s="94">
        <v>1219</v>
      </c>
      <c r="C1229" s="165" t="s">
        <v>5377</v>
      </c>
      <c r="D1229" s="165">
        <v>5</v>
      </c>
      <c r="E1229" s="165" t="s">
        <v>5382</v>
      </c>
      <c r="F1229" s="165" t="s">
        <v>4641</v>
      </c>
      <c r="G1229" s="165"/>
      <c r="H1229" s="165">
        <v>10800</v>
      </c>
      <c r="I1229" s="165"/>
      <c r="J1229" s="165"/>
      <c r="K1229" s="338"/>
      <c r="L1229" s="338">
        <v>10800</v>
      </c>
      <c r="M1229" s="165"/>
      <c r="N1229" s="165"/>
      <c r="O1229" s="337">
        <f t="shared" si="44"/>
        <v>0</v>
      </c>
      <c r="P1229" s="165" t="s">
        <v>4641</v>
      </c>
      <c r="Q1229" s="165" t="s">
        <v>4641</v>
      </c>
      <c r="R1229" s="3">
        <f t="shared" si="43"/>
        <v>10800</v>
      </c>
      <c r="S1229" s="337">
        <v>10800</v>
      </c>
      <c r="T1229"/>
      <c r="U1229" s="3"/>
    </row>
    <row r="1230" spans="1:23">
      <c r="A1230" s="165" t="s">
        <v>4796</v>
      </c>
      <c r="B1230" s="94">
        <v>1220</v>
      </c>
      <c r="C1230" s="165" t="s">
        <v>5377</v>
      </c>
      <c r="D1230" s="165">
        <v>6</v>
      </c>
      <c r="E1230" s="165" t="s">
        <v>5383</v>
      </c>
      <c r="F1230" s="165" t="s">
        <v>5387</v>
      </c>
      <c r="G1230" s="165"/>
      <c r="H1230" s="165">
        <v>10800</v>
      </c>
      <c r="I1230" s="165"/>
      <c r="J1230" s="165"/>
      <c r="K1230" s="338"/>
      <c r="L1230" s="338">
        <v>10800</v>
      </c>
      <c r="M1230" s="165"/>
      <c r="N1230" s="165"/>
      <c r="O1230" s="337">
        <f t="shared" si="44"/>
        <v>0</v>
      </c>
      <c r="P1230" s="165" t="s">
        <v>5399</v>
      </c>
      <c r="Q1230" s="165" t="s">
        <v>5399</v>
      </c>
      <c r="R1230" s="3">
        <f t="shared" si="43"/>
        <v>10800</v>
      </c>
      <c r="S1230" s="337">
        <v>10800</v>
      </c>
      <c r="T1230"/>
      <c r="U1230" s="3"/>
    </row>
    <row r="1231" spans="1:23">
      <c r="A1231" s="165" t="s">
        <v>4796</v>
      </c>
      <c r="B1231" s="94">
        <v>1221</v>
      </c>
      <c r="C1231" s="165" t="s">
        <v>5377</v>
      </c>
      <c r="D1231" s="165">
        <v>7</v>
      </c>
      <c r="E1231" s="165" t="s">
        <v>5384</v>
      </c>
      <c r="F1231" s="165" t="s">
        <v>5388</v>
      </c>
      <c r="G1231" s="165"/>
      <c r="H1231" s="165">
        <v>10800</v>
      </c>
      <c r="I1231" s="165"/>
      <c r="J1231" s="165"/>
      <c r="K1231" s="338"/>
      <c r="L1231" s="338">
        <v>10800</v>
      </c>
      <c r="M1231" s="165"/>
      <c r="N1231" s="165"/>
      <c r="O1231" s="337">
        <f t="shared" si="44"/>
        <v>0</v>
      </c>
      <c r="P1231" s="165" t="s">
        <v>5388</v>
      </c>
      <c r="Q1231" s="165" t="s">
        <v>5388</v>
      </c>
      <c r="R1231" s="3">
        <f t="shared" si="43"/>
        <v>10800</v>
      </c>
      <c r="S1231" s="337">
        <v>10800</v>
      </c>
      <c r="T1231"/>
      <c r="U1231" s="3"/>
    </row>
    <row r="1232" spans="1:23">
      <c r="A1232" s="165" t="s">
        <v>4796</v>
      </c>
      <c r="B1232" s="94">
        <v>1222</v>
      </c>
      <c r="C1232" s="165" t="s">
        <v>5377</v>
      </c>
      <c r="D1232" s="165">
        <v>8</v>
      </c>
      <c r="E1232" s="165" t="s">
        <v>5385</v>
      </c>
      <c r="F1232" s="165" t="s">
        <v>5389</v>
      </c>
      <c r="G1232" s="165"/>
      <c r="H1232" s="165">
        <v>10800</v>
      </c>
      <c r="I1232" s="165"/>
      <c r="J1232" s="165"/>
      <c r="K1232" s="338"/>
      <c r="L1232" s="338">
        <v>10800</v>
      </c>
      <c r="M1232" s="165"/>
      <c r="N1232" s="165"/>
      <c r="O1232" s="337">
        <f t="shared" si="44"/>
        <v>0</v>
      </c>
      <c r="P1232" s="165" t="s">
        <v>8883</v>
      </c>
      <c r="Q1232" s="165" t="s">
        <v>5389</v>
      </c>
      <c r="R1232" s="3">
        <f t="shared" si="43"/>
        <v>10800</v>
      </c>
      <c r="S1232" s="337">
        <v>10800</v>
      </c>
      <c r="T1232"/>
      <c r="U1232" s="3"/>
    </row>
    <row r="1233" spans="1:21">
      <c r="A1233" s="165" t="s">
        <v>4798</v>
      </c>
      <c r="B1233" s="94">
        <v>1223</v>
      </c>
      <c r="C1233" s="165" t="s">
        <v>4038</v>
      </c>
      <c r="D1233" s="165">
        <v>1</v>
      </c>
      <c r="E1233" s="165" t="s">
        <v>5437</v>
      </c>
      <c r="F1233" s="165" t="s">
        <v>4268</v>
      </c>
      <c r="G1233" s="165"/>
      <c r="H1233" s="165">
        <v>14175</v>
      </c>
      <c r="I1233" s="165"/>
      <c r="J1233" s="165"/>
      <c r="K1233" s="165">
        <v>14175</v>
      </c>
      <c r="L1233" s="165"/>
      <c r="M1233" s="165"/>
      <c r="N1233" s="165"/>
      <c r="O1233" s="337">
        <f t="shared" si="44"/>
        <v>0</v>
      </c>
      <c r="P1233" s="165" t="s">
        <v>4806</v>
      </c>
      <c r="Q1233" s="165" t="s">
        <v>4268</v>
      </c>
      <c r="R1233" s="3">
        <f t="shared" si="43"/>
        <v>14175</v>
      </c>
      <c r="S1233" s="337">
        <v>14175</v>
      </c>
      <c r="T1233"/>
      <c r="U1233" s="3"/>
    </row>
    <row r="1234" spans="1:21">
      <c r="A1234" s="165" t="s">
        <v>4798</v>
      </c>
      <c r="B1234" s="94">
        <v>1224</v>
      </c>
      <c r="C1234" s="165" t="s">
        <v>4038</v>
      </c>
      <c r="D1234" s="165">
        <v>2</v>
      </c>
      <c r="E1234" s="165" t="s">
        <v>5438</v>
      </c>
      <c r="F1234" s="165" t="s">
        <v>4270</v>
      </c>
      <c r="G1234" s="165"/>
      <c r="H1234" s="165">
        <v>14175</v>
      </c>
      <c r="I1234" s="165"/>
      <c r="J1234" s="165"/>
      <c r="K1234" s="338">
        <v>14175</v>
      </c>
      <c r="L1234" s="338"/>
      <c r="M1234" s="165"/>
      <c r="N1234" s="165"/>
      <c r="O1234" s="337">
        <f t="shared" si="44"/>
        <v>0</v>
      </c>
      <c r="P1234" s="165" t="s">
        <v>5500</v>
      </c>
      <c r="Q1234" s="165" t="s">
        <v>4270</v>
      </c>
      <c r="R1234" s="3">
        <f t="shared" si="43"/>
        <v>14175</v>
      </c>
      <c r="S1234" s="337">
        <v>14175</v>
      </c>
      <c r="T1234"/>
      <c r="U1234" s="3"/>
    </row>
    <row r="1235" spans="1:21">
      <c r="A1235" s="165" t="s">
        <v>4798</v>
      </c>
      <c r="B1235" s="94">
        <v>1225</v>
      </c>
      <c r="C1235" s="165" t="s">
        <v>4038</v>
      </c>
      <c r="D1235" s="165">
        <v>3</v>
      </c>
      <c r="E1235" s="165" t="s">
        <v>5439</v>
      </c>
      <c r="F1235" s="165" t="s">
        <v>5440</v>
      </c>
      <c r="G1235" s="165"/>
      <c r="H1235" s="165">
        <v>14175</v>
      </c>
      <c r="I1235" s="165"/>
      <c r="J1235" s="165"/>
      <c r="K1235" s="338">
        <v>14175</v>
      </c>
      <c r="L1235" s="338"/>
      <c r="M1235" s="165"/>
      <c r="N1235" s="165"/>
      <c r="O1235" s="337">
        <f t="shared" si="44"/>
        <v>0</v>
      </c>
      <c r="P1235" s="165" t="s">
        <v>5551</v>
      </c>
      <c r="Q1235" s="165" t="s">
        <v>5440</v>
      </c>
      <c r="R1235" s="3">
        <f t="shared" si="43"/>
        <v>14175</v>
      </c>
      <c r="S1235" s="337">
        <v>14175</v>
      </c>
      <c r="T1235"/>
      <c r="U1235" s="3"/>
    </row>
    <row r="1236" spans="1:21">
      <c r="A1236" s="165" t="s">
        <v>4798</v>
      </c>
      <c r="B1236" s="94">
        <v>1226</v>
      </c>
      <c r="C1236" s="165" t="s">
        <v>4038</v>
      </c>
      <c r="D1236" s="165">
        <v>4</v>
      </c>
      <c r="E1236" s="165" t="s">
        <v>5441</v>
      </c>
      <c r="F1236" s="165" t="s">
        <v>5446</v>
      </c>
      <c r="G1236" s="165"/>
      <c r="H1236" s="165">
        <v>14175</v>
      </c>
      <c r="I1236" s="165"/>
      <c r="J1236" s="165"/>
      <c r="K1236" s="338"/>
      <c r="L1236" s="338">
        <v>14175</v>
      </c>
      <c r="M1236" s="165"/>
      <c r="N1236" s="165"/>
      <c r="O1236" s="337">
        <f t="shared" si="44"/>
        <v>0</v>
      </c>
      <c r="P1236" s="165" t="s">
        <v>9760</v>
      </c>
      <c r="Q1236" s="165" t="s">
        <v>9760</v>
      </c>
      <c r="R1236" s="3">
        <f t="shared" si="43"/>
        <v>14175</v>
      </c>
      <c r="S1236" s="337">
        <v>14175</v>
      </c>
      <c r="T1236"/>
      <c r="U1236" s="3"/>
    </row>
    <row r="1237" spans="1:21">
      <c r="A1237" s="165" t="s">
        <v>4798</v>
      </c>
      <c r="B1237" s="94">
        <v>1227</v>
      </c>
      <c r="C1237" s="165" t="s">
        <v>4038</v>
      </c>
      <c r="D1237" s="165">
        <v>5</v>
      </c>
      <c r="E1237" s="165" t="s">
        <v>5442</v>
      </c>
      <c r="F1237" s="165" t="s">
        <v>5447</v>
      </c>
      <c r="G1237" s="165"/>
      <c r="H1237" s="165">
        <v>14175</v>
      </c>
      <c r="I1237" s="165"/>
      <c r="J1237" s="165"/>
      <c r="K1237" s="338"/>
      <c r="L1237" s="338">
        <v>14175</v>
      </c>
      <c r="M1237" s="165"/>
      <c r="N1237" s="165"/>
      <c r="O1237" s="337">
        <f t="shared" si="44"/>
        <v>0</v>
      </c>
      <c r="P1237" s="165" t="s">
        <v>5447</v>
      </c>
      <c r="Q1237" s="165" t="s">
        <v>5447</v>
      </c>
      <c r="R1237" s="3">
        <f t="shared" si="43"/>
        <v>14175</v>
      </c>
      <c r="S1237" s="337">
        <v>14175</v>
      </c>
      <c r="T1237"/>
      <c r="U1237" s="3"/>
    </row>
    <row r="1238" spans="1:21">
      <c r="A1238" s="165" t="s">
        <v>4798</v>
      </c>
      <c r="B1238" s="94">
        <v>1228</v>
      </c>
      <c r="C1238" s="165" t="s">
        <v>4038</v>
      </c>
      <c r="D1238" s="165">
        <v>6</v>
      </c>
      <c r="E1238" s="165" t="s">
        <v>5443</v>
      </c>
      <c r="F1238" s="165" t="s">
        <v>5448</v>
      </c>
      <c r="G1238" s="165"/>
      <c r="H1238" s="165">
        <v>14175</v>
      </c>
      <c r="I1238" s="165"/>
      <c r="J1238" s="165"/>
      <c r="K1238" s="338"/>
      <c r="L1238" s="338">
        <v>14175</v>
      </c>
      <c r="M1238" s="165"/>
      <c r="N1238" s="165"/>
      <c r="O1238" s="337">
        <f t="shared" si="44"/>
        <v>0</v>
      </c>
      <c r="P1238" s="165" t="s">
        <v>5448</v>
      </c>
      <c r="Q1238" s="165" t="s">
        <v>5448</v>
      </c>
      <c r="R1238" s="3">
        <f t="shared" si="43"/>
        <v>14175</v>
      </c>
      <c r="S1238" s="337">
        <v>14175</v>
      </c>
      <c r="T1238"/>
      <c r="U1238" s="3"/>
    </row>
    <row r="1239" spans="1:21">
      <c r="A1239" s="165" t="s">
        <v>4798</v>
      </c>
      <c r="B1239" s="94">
        <v>1229</v>
      </c>
      <c r="C1239" s="165" t="s">
        <v>4038</v>
      </c>
      <c r="D1239" s="165">
        <v>7</v>
      </c>
      <c r="E1239" s="165" t="s">
        <v>5444</v>
      </c>
      <c r="F1239" s="165" t="s">
        <v>5449</v>
      </c>
      <c r="G1239" s="165"/>
      <c r="H1239" s="165">
        <v>14175</v>
      </c>
      <c r="I1239" s="165"/>
      <c r="J1239" s="165"/>
      <c r="K1239" s="338"/>
      <c r="L1239" s="338">
        <v>14175</v>
      </c>
      <c r="M1239" s="165"/>
      <c r="N1239" s="165"/>
      <c r="O1239" s="337">
        <f t="shared" si="44"/>
        <v>0</v>
      </c>
      <c r="P1239" s="165" t="s">
        <v>5449</v>
      </c>
      <c r="Q1239" s="165" t="s">
        <v>5449</v>
      </c>
      <c r="R1239" s="3">
        <f t="shared" si="43"/>
        <v>14175</v>
      </c>
      <c r="S1239" s="337">
        <v>14175</v>
      </c>
      <c r="T1239"/>
      <c r="U1239" s="3"/>
    </row>
    <row r="1240" spans="1:21">
      <c r="A1240" s="165" t="s">
        <v>4798</v>
      </c>
      <c r="B1240" s="94">
        <v>1230</v>
      </c>
      <c r="C1240" s="165" t="s">
        <v>4038</v>
      </c>
      <c r="D1240" s="165">
        <v>8</v>
      </c>
      <c r="E1240" s="165" t="s">
        <v>5445</v>
      </c>
      <c r="F1240" s="405" t="s">
        <v>5450</v>
      </c>
      <c r="G1240" s="165"/>
      <c r="H1240" s="165">
        <v>14175</v>
      </c>
      <c r="I1240" s="165"/>
      <c r="J1240" s="165"/>
      <c r="K1240" s="338"/>
      <c r="L1240" s="338">
        <v>14175</v>
      </c>
      <c r="M1240" s="165"/>
      <c r="N1240" s="165"/>
      <c r="O1240" s="337">
        <f t="shared" si="44"/>
        <v>0</v>
      </c>
      <c r="P1240" s="165" t="s">
        <v>10819</v>
      </c>
      <c r="Q1240" s="165" t="s">
        <v>10826</v>
      </c>
      <c r="R1240" s="3">
        <f t="shared" si="43"/>
        <v>14175</v>
      </c>
      <c r="S1240" s="337">
        <v>14175</v>
      </c>
      <c r="T1240"/>
      <c r="U1240" s="3"/>
    </row>
    <row r="1241" spans="1:21">
      <c r="A1241" s="165" t="s">
        <v>5418</v>
      </c>
      <c r="B1241" s="94">
        <v>1231</v>
      </c>
      <c r="C1241" s="165" t="s">
        <v>5194</v>
      </c>
      <c r="D1241" s="165">
        <v>1</v>
      </c>
      <c r="E1241" s="165" t="s">
        <v>5419</v>
      </c>
      <c r="F1241" s="165" t="s">
        <v>5420</v>
      </c>
      <c r="G1241" s="165"/>
      <c r="H1241" s="165">
        <v>11340</v>
      </c>
      <c r="I1241" s="165"/>
      <c r="J1241" s="165"/>
      <c r="K1241" s="165">
        <v>11340</v>
      </c>
      <c r="L1241" s="165"/>
      <c r="M1241" s="165"/>
      <c r="N1241" s="165"/>
      <c r="O1241" s="337">
        <f t="shared" si="44"/>
        <v>0</v>
      </c>
      <c r="P1241" s="165" t="s">
        <v>4804</v>
      </c>
      <c r="Q1241" s="165" t="s">
        <v>4805</v>
      </c>
      <c r="R1241" s="3">
        <f t="shared" si="43"/>
        <v>11340</v>
      </c>
      <c r="S1241" s="337">
        <v>11340</v>
      </c>
      <c r="T1241"/>
      <c r="U1241" s="3"/>
    </row>
    <row r="1242" spans="1:21">
      <c r="A1242" s="165" t="s">
        <v>5418</v>
      </c>
      <c r="B1242" s="94">
        <v>1232</v>
      </c>
      <c r="C1242" s="165" t="s">
        <v>5194</v>
      </c>
      <c r="D1242" s="165">
        <v>2</v>
      </c>
      <c r="E1242" s="165" t="s">
        <v>5421</v>
      </c>
      <c r="F1242" s="165" t="s">
        <v>5428</v>
      </c>
      <c r="G1242" s="165"/>
      <c r="H1242" s="165">
        <v>11340</v>
      </c>
      <c r="I1242" s="165"/>
      <c r="J1242" s="165"/>
      <c r="K1242" s="338">
        <v>11340</v>
      </c>
      <c r="L1242" s="338"/>
      <c r="M1242" s="165"/>
      <c r="N1242" s="165"/>
      <c r="O1242" s="337">
        <f t="shared" si="44"/>
        <v>0</v>
      </c>
      <c r="P1242" s="165" t="s">
        <v>5488</v>
      </c>
      <c r="Q1242" s="165" t="s">
        <v>5428</v>
      </c>
      <c r="R1242" s="3">
        <f t="shared" si="43"/>
        <v>11340</v>
      </c>
      <c r="S1242" s="337">
        <v>11340</v>
      </c>
      <c r="T1242"/>
      <c r="U1242" s="3"/>
    </row>
    <row r="1243" spans="1:21">
      <c r="A1243" s="165" t="s">
        <v>5418</v>
      </c>
      <c r="B1243" s="94">
        <v>1233</v>
      </c>
      <c r="C1243" s="165" t="s">
        <v>5194</v>
      </c>
      <c r="D1243" s="165">
        <v>3</v>
      </c>
      <c r="E1243" s="165" t="s">
        <v>5422</v>
      </c>
      <c r="F1243" s="165" t="s">
        <v>5429</v>
      </c>
      <c r="G1243" s="165"/>
      <c r="H1243" s="165">
        <v>11340</v>
      </c>
      <c r="I1243" s="165"/>
      <c r="J1243" s="165"/>
      <c r="K1243" s="338">
        <v>11340</v>
      </c>
      <c r="L1243" s="338"/>
      <c r="M1243" s="165"/>
      <c r="N1243" s="165"/>
      <c r="O1243" s="337">
        <f t="shared" si="44"/>
        <v>0</v>
      </c>
      <c r="P1243" s="165" t="s">
        <v>5263</v>
      </c>
      <c r="Q1243" s="165" t="s">
        <v>5429</v>
      </c>
      <c r="R1243" s="3">
        <f t="shared" si="43"/>
        <v>11340</v>
      </c>
      <c r="S1243" s="337">
        <v>11340</v>
      </c>
      <c r="T1243"/>
      <c r="U1243" s="3"/>
    </row>
    <row r="1244" spans="1:21">
      <c r="A1244" s="165" t="s">
        <v>5418</v>
      </c>
      <c r="B1244" s="94">
        <v>1234</v>
      </c>
      <c r="C1244" s="165" t="s">
        <v>5194</v>
      </c>
      <c r="D1244" s="165">
        <v>4</v>
      </c>
      <c r="E1244" s="165" t="s">
        <v>5423</v>
      </c>
      <c r="F1244" s="165" t="s">
        <v>5430</v>
      </c>
      <c r="G1244" s="165"/>
      <c r="H1244" s="165">
        <v>11340</v>
      </c>
      <c r="I1244" s="165"/>
      <c r="J1244" s="165"/>
      <c r="K1244" s="338"/>
      <c r="L1244" s="338">
        <v>11340</v>
      </c>
      <c r="M1244" s="165"/>
      <c r="N1244" s="165"/>
      <c r="O1244" s="337">
        <f t="shared" si="44"/>
        <v>0</v>
      </c>
      <c r="P1244" s="165" t="s">
        <v>4640</v>
      </c>
      <c r="Q1244" s="165" t="s">
        <v>4640</v>
      </c>
      <c r="R1244" s="3">
        <f t="shared" si="43"/>
        <v>11340</v>
      </c>
      <c r="S1244" s="337">
        <v>11340</v>
      </c>
      <c r="T1244"/>
      <c r="U1244" s="3"/>
    </row>
    <row r="1245" spans="1:21">
      <c r="A1245" s="165" t="s">
        <v>5418</v>
      </c>
      <c r="B1245" s="94">
        <v>1235</v>
      </c>
      <c r="C1245" s="165" t="s">
        <v>5194</v>
      </c>
      <c r="D1245" s="165">
        <v>5</v>
      </c>
      <c r="E1245" s="165" t="s">
        <v>5424</v>
      </c>
      <c r="F1245" s="165" t="s">
        <v>5431</v>
      </c>
      <c r="G1245" s="165"/>
      <c r="H1245" s="165">
        <v>11340</v>
      </c>
      <c r="I1245" s="165"/>
      <c r="J1245" s="165"/>
      <c r="K1245" s="338"/>
      <c r="L1245" s="338">
        <v>11340</v>
      </c>
      <c r="M1245" s="165"/>
      <c r="N1245" s="165"/>
      <c r="O1245" s="337">
        <f t="shared" si="44"/>
        <v>0</v>
      </c>
      <c r="P1245" s="165" t="s">
        <v>9634</v>
      </c>
      <c r="Q1245" s="165" t="s">
        <v>9634</v>
      </c>
      <c r="R1245" s="3">
        <f t="shared" si="43"/>
        <v>11340</v>
      </c>
      <c r="S1245" s="337">
        <v>11340</v>
      </c>
      <c r="T1245"/>
      <c r="U1245" s="3"/>
    </row>
    <row r="1246" spans="1:21">
      <c r="A1246" s="165" t="s">
        <v>5418</v>
      </c>
      <c r="B1246" s="94">
        <v>1236</v>
      </c>
      <c r="C1246" s="165" t="s">
        <v>5194</v>
      </c>
      <c r="D1246" s="165">
        <v>6</v>
      </c>
      <c r="E1246" s="165" t="s">
        <v>5425</v>
      </c>
      <c r="F1246" s="165" t="s">
        <v>5432</v>
      </c>
      <c r="G1246" s="165"/>
      <c r="H1246" s="165">
        <v>11340</v>
      </c>
      <c r="I1246" s="165"/>
      <c r="J1246" s="165"/>
      <c r="K1246" s="338"/>
      <c r="L1246" s="338">
        <v>11340</v>
      </c>
      <c r="M1246" s="165"/>
      <c r="N1246" s="165"/>
      <c r="O1246" s="337">
        <f t="shared" si="44"/>
        <v>0</v>
      </c>
      <c r="P1246" s="165" t="s">
        <v>5432</v>
      </c>
      <c r="Q1246" s="165" t="s">
        <v>5432</v>
      </c>
      <c r="R1246" s="3">
        <f t="shared" si="43"/>
        <v>11340</v>
      </c>
      <c r="S1246" s="337">
        <v>11340</v>
      </c>
      <c r="T1246"/>
      <c r="U1246" s="3"/>
    </row>
    <row r="1247" spans="1:21">
      <c r="A1247" s="165" t="s">
        <v>5418</v>
      </c>
      <c r="B1247" s="94">
        <v>1237</v>
      </c>
      <c r="C1247" s="165" t="s">
        <v>5194</v>
      </c>
      <c r="D1247" s="165">
        <v>7</v>
      </c>
      <c r="E1247" s="165" t="s">
        <v>5426</v>
      </c>
      <c r="F1247" s="165" t="s">
        <v>5433</v>
      </c>
      <c r="G1247" s="165"/>
      <c r="H1247" s="165">
        <v>11340</v>
      </c>
      <c r="I1247" s="165"/>
      <c r="J1247" s="165"/>
      <c r="K1247" s="338"/>
      <c r="L1247" s="338">
        <v>11340</v>
      </c>
      <c r="M1247" s="165"/>
      <c r="N1247" s="165"/>
      <c r="O1247" s="337">
        <f t="shared" si="44"/>
        <v>0</v>
      </c>
      <c r="P1247" s="165" t="s">
        <v>5433</v>
      </c>
      <c r="Q1247" s="165" t="s">
        <v>5433</v>
      </c>
      <c r="R1247" s="3">
        <f t="shared" si="43"/>
        <v>11340</v>
      </c>
      <c r="S1247" s="337">
        <v>11340</v>
      </c>
      <c r="T1247"/>
      <c r="U1247" s="3"/>
    </row>
    <row r="1248" spans="1:21">
      <c r="A1248" s="165" t="s">
        <v>5418</v>
      </c>
      <c r="B1248" s="94">
        <v>1238</v>
      </c>
      <c r="C1248" s="165" t="s">
        <v>5194</v>
      </c>
      <c r="D1248" s="165">
        <v>8</v>
      </c>
      <c r="E1248" s="165" t="s">
        <v>5427</v>
      </c>
      <c r="F1248" s="165" t="s">
        <v>5434</v>
      </c>
      <c r="G1248" s="165"/>
      <c r="H1248" s="165">
        <v>11340</v>
      </c>
      <c r="I1248" s="165"/>
      <c r="J1248" s="165"/>
      <c r="K1248" s="338"/>
      <c r="L1248" s="338">
        <v>11340</v>
      </c>
      <c r="M1248" s="165"/>
      <c r="N1248" s="165"/>
      <c r="O1248" s="337">
        <f t="shared" si="44"/>
        <v>0</v>
      </c>
      <c r="P1248" s="165" t="s">
        <v>8883</v>
      </c>
      <c r="Q1248" s="165" t="s">
        <v>5434</v>
      </c>
      <c r="R1248" s="3">
        <f t="shared" si="43"/>
        <v>11340</v>
      </c>
      <c r="S1248" s="337">
        <v>11340</v>
      </c>
      <c r="T1248"/>
      <c r="U1248" s="3"/>
    </row>
    <row r="1249" spans="1:21">
      <c r="A1249" s="165" t="s">
        <v>5390</v>
      </c>
      <c r="B1249" s="94">
        <v>1239</v>
      </c>
      <c r="C1249" s="165" t="s">
        <v>4075</v>
      </c>
      <c r="D1249" s="165">
        <v>1</v>
      </c>
      <c r="E1249" s="165" t="s">
        <v>5391</v>
      </c>
      <c r="F1249" s="165" t="s">
        <v>4289</v>
      </c>
      <c r="G1249" s="165"/>
      <c r="H1249" s="165">
        <v>14175</v>
      </c>
      <c r="I1249" s="165"/>
      <c r="J1249" s="165"/>
      <c r="K1249" s="165">
        <v>14175</v>
      </c>
      <c r="L1249" s="165"/>
      <c r="M1249" s="165"/>
      <c r="N1249" s="165"/>
      <c r="O1249" s="337">
        <f t="shared" si="44"/>
        <v>0</v>
      </c>
      <c r="P1249" s="165" t="s">
        <v>4802</v>
      </c>
      <c r="Q1249" s="165" t="s">
        <v>4804</v>
      </c>
      <c r="R1249" s="3">
        <f t="shared" si="43"/>
        <v>14175</v>
      </c>
      <c r="S1249" s="337">
        <v>14175</v>
      </c>
      <c r="T1249"/>
      <c r="U1249" s="3"/>
    </row>
    <row r="1250" spans="1:21">
      <c r="A1250" s="165" t="s">
        <v>5390</v>
      </c>
      <c r="B1250" s="94">
        <v>1240</v>
      </c>
      <c r="C1250" s="165" t="s">
        <v>4075</v>
      </c>
      <c r="D1250" s="165">
        <v>2</v>
      </c>
      <c r="E1250" s="165" t="s">
        <v>5392</v>
      </c>
      <c r="F1250" s="165" t="s">
        <v>4638</v>
      </c>
      <c r="G1250" s="165"/>
      <c r="H1250" s="165">
        <v>14175</v>
      </c>
      <c r="I1250" s="165"/>
      <c r="J1250" s="165"/>
      <c r="K1250" s="338">
        <v>14175</v>
      </c>
      <c r="L1250" s="338"/>
      <c r="M1250" s="165"/>
      <c r="N1250" s="165"/>
      <c r="O1250" s="337">
        <f t="shared" si="44"/>
        <v>0</v>
      </c>
      <c r="P1250" s="165" t="s">
        <v>5488</v>
      </c>
      <c r="Q1250" s="165" t="s">
        <v>4291</v>
      </c>
      <c r="R1250" s="3">
        <f t="shared" si="43"/>
        <v>14175</v>
      </c>
      <c r="S1250" s="337">
        <v>14175</v>
      </c>
      <c r="T1250"/>
      <c r="U1250" s="3"/>
    </row>
    <row r="1251" spans="1:21">
      <c r="A1251" s="165" t="s">
        <v>5390</v>
      </c>
      <c r="B1251" s="94">
        <v>1241</v>
      </c>
      <c r="C1251" s="165" t="s">
        <v>4075</v>
      </c>
      <c r="D1251" s="165">
        <v>3</v>
      </c>
      <c r="E1251" s="165" t="s">
        <v>5393</v>
      </c>
      <c r="F1251" s="165" t="s">
        <v>4639</v>
      </c>
      <c r="G1251" s="165"/>
      <c r="H1251" s="165">
        <v>14175</v>
      </c>
      <c r="I1251" s="165"/>
      <c r="J1251" s="165"/>
      <c r="K1251" s="338">
        <v>14175</v>
      </c>
      <c r="L1251" s="338"/>
      <c r="M1251" s="165"/>
      <c r="N1251" s="165"/>
      <c r="O1251" s="337">
        <f t="shared" si="44"/>
        <v>0</v>
      </c>
      <c r="P1251" s="165" t="s">
        <v>5263</v>
      </c>
      <c r="Q1251" s="165" t="s">
        <v>4639</v>
      </c>
      <c r="R1251" s="3">
        <f t="shared" si="43"/>
        <v>14175</v>
      </c>
      <c r="S1251" s="337">
        <v>14175</v>
      </c>
      <c r="T1251"/>
      <c r="U1251" s="3"/>
    </row>
    <row r="1252" spans="1:21">
      <c r="A1252" s="165" t="s">
        <v>5390</v>
      </c>
      <c r="B1252" s="94">
        <v>1242</v>
      </c>
      <c r="C1252" s="165" t="s">
        <v>4075</v>
      </c>
      <c r="D1252" s="165">
        <v>4</v>
      </c>
      <c r="E1252" s="165" t="s">
        <v>5394</v>
      </c>
      <c r="F1252" s="165" t="s">
        <v>4640</v>
      </c>
      <c r="G1252" s="165"/>
      <c r="H1252" s="165">
        <v>14175</v>
      </c>
      <c r="I1252" s="165"/>
      <c r="J1252" s="165"/>
      <c r="K1252" s="338"/>
      <c r="L1252" s="338">
        <v>14175</v>
      </c>
      <c r="M1252" s="165"/>
      <c r="N1252" s="165"/>
      <c r="O1252" s="337">
        <f t="shared" si="44"/>
        <v>0</v>
      </c>
      <c r="P1252" s="165" t="s">
        <v>4640</v>
      </c>
      <c r="Q1252" s="165" t="s">
        <v>4640</v>
      </c>
      <c r="R1252" s="3">
        <f t="shared" si="43"/>
        <v>14175</v>
      </c>
      <c r="S1252" s="337">
        <v>14175</v>
      </c>
      <c r="T1252"/>
      <c r="U1252" s="3"/>
    </row>
    <row r="1253" spans="1:21">
      <c r="A1253" s="165" t="s">
        <v>5390</v>
      </c>
      <c r="B1253" s="94">
        <v>1243</v>
      </c>
      <c r="C1253" s="165" t="s">
        <v>4075</v>
      </c>
      <c r="D1253" s="165">
        <v>5</v>
      </c>
      <c r="E1253" s="165" t="s">
        <v>5395</v>
      </c>
      <c r="F1253" s="165" t="s">
        <v>4641</v>
      </c>
      <c r="G1253" s="165"/>
      <c r="H1253" s="165">
        <v>14175</v>
      </c>
      <c r="I1253" s="165"/>
      <c r="J1253" s="165"/>
      <c r="K1253" s="338"/>
      <c r="L1253" s="338">
        <v>14175</v>
      </c>
      <c r="M1253" s="165"/>
      <c r="N1253" s="165"/>
      <c r="O1253" s="337">
        <f t="shared" si="44"/>
        <v>0</v>
      </c>
      <c r="P1253" s="165" t="s">
        <v>4641</v>
      </c>
      <c r="Q1253" s="165" t="s">
        <v>4641</v>
      </c>
      <c r="R1253" s="3">
        <f t="shared" si="43"/>
        <v>14175</v>
      </c>
      <c r="S1253" s="337">
        <v>14175</v>
      </c>
      <c r="T1253"/>
      <c r="U1253" s="3"/>
    </row>
    <row r="1254" spans="1:21">
      <c r="A1254" s="165" t="s">
        <v>5390</v>
      </c>
      <c r="B1254" s="94">
        <v>1244</v>
      </c>
      <c r="C1254" s="165" t="s">
        <v>4075</v>
      </c>
      <c r="D1254" s="165">
        <v>6</v>
      </c>
      <c r="E1254" s="165" t="s">
        <v>5396</v>
      </c>
      <c r="F1254" s="165" t="s">
        <v>5399</v>
      </c>
      <c r="G1254" s="165"/>
      <c r="H1254" s="165">
        <v>14175</v>
      </c>
      <c r="I1254" s="165"/>
      <c r="J1254" s="165"/>
      <c r="K1254" s="338"/>
      <c r="L1254" s="338">
        <v>14175</v>
      </c>
      <c r="M1254" s="165"/>
      <c r="N1254" s="165"/>
      <c r="O1254" s="337">
        <f t="shared" si="44"/>
        <v>0</v>
      </c>
      <c r="P1254" s="165" t="s">
        <v>5399</v>
      </c>
      <c r="Q1254" s="165" t="s">
        <v>5399</v>
      </c>
      <c r="R1254" s="3">
        <f t="shared" si="43"/>
        <v>14175</v>
      </c>
      <c r="S1254" s="337">
        <v>14175</v>
      </c>
      <c r="T1254"/>
      <c r="U1254" s="3"/>
    </row>
    <row r="1255" spans="1:21">
      <c r="A1255" s="165" t="s">
        <v>5390</v>
      </c>
      <c r="B1255" s="94">
        <v>1245</v>
      </c>
      <c r="C1255" s="165" t="s">
        <v>4075</v>
      </c>
      <c r="D1255" s="165">
        <v>7</v>
      </c>
      <c r="E1255" s="165" t="s">
        <v>5397</v>
      </c>
      <c r="F1255" s="165" t="s">
        <v>5400</v>
      </c>
      <c r="G1255" s="165"/>
      <c r="H1255" s="165">
        <v>14175</v>
      </c>
      <c r="I1255" s="165"/>
      <c r="J1255" s="165"/>
      <c r="K1255" s="338"/>
      <c r="L1255" s="338">
        <v>14175</v>
      </c>
      <c r="M1255" s="165"/>
      <c r="N1255" s="165"/>
      <c r="O1255" s="337">
        <f t="shared" si="44"/>
        <v>0</v>
      </c>
      <c r="P1255" s="165" t="s">
        <v>5400</v>
      </c>
      <c r="Q1255" s="165" t="s">
        <v>5400</v>
      </c>
      <c r="R1255" s="3">
        <f t="shared" si="43"/>
        <v>14175</v>
      </c>
      <c r="S1255" s="337">
        <v>14175</v>
      </c>
      <c r="T1255"/>
      <c r="U1255" s="3"/>
    </row>
    <row r="1256" spans="1:21">
      <c r="A1256" s="165" t="s">
        <v>5390</v>
      </c>
      <c r="B1256" s="94">
        <v>1246</v>
      </c>
      <c r="C1256" s="165" t="s">
        <v>4075</v>
      </c>
      <c r="D1256" s="165">
        <v>8</v>
      </c>
      <c r="E1256" s="165" t="s">
        <v>5398</v>
      </c>
      <c r="F1256" s="405" t="s">
        <v>5401</v>
      </c>
      <c r="G1256" s="165"/>
      <c r="H1256" s="165">
        <v>14175</v>
      </c>
      <c r="I1256" s="165"/>
      <c r="J1256" s="165"/>
      <c r="K1256" s="338"/>
      <c r="L1256" s="338">
        <v>14175</v>
      </c>
      <c r="M1256" s="165"/>
      <c r="N1256" s="165"/>
      <c r="O1256" s="337">
        <f t="shared" si="44"/>
        <v>0</v>
      </c>
      <c r="P1256" s="165" t="s">
        <v>8883</v>
      </c>
      <c r="Q1256" s="165" t="s">
        <v>5401</v>
      </c>
      <c r="R1256" s="3">
        <f t="shared" si="43"/>
        <v>14175</v>
      </c>
      <c r="S1256" s="337">
        <v>14175</v>
      </c>
      <c r="T1256"/>
      <c r="U1256" s="3"/>
    </row>
    <row r="1257" spans="1:21">
      <c r="A1257" s="165" t="s">
        <v>4801</v>
      </c>
      <c r="B1257" s="94">
        <v>1247</v>
      </c>
      <c r="C1257" s="165" t="s">
        <v>4094</v>
      </c>
      <c r="D1257" s="165">
        <v>1</v>
      </c>
      <c r="E1257" s="165" t="s">
        <v>5368</v>
      </c>
      <c r="F1257" s="165" t="s">
        <v>5369</v>
      </c>
      <c r="G1257" s="165"/>
      <c r="H1257" s="165">
        <v>4410</v>
      </c>
      <c r="I1257" s="165"/>
      <c r="J1257" s="165"/>
      <c r="K1257" s="165">
        <v>4410</v>
      </c>
      <c r="L1257" s="165"/>
      <c r="M1257" s="165"/>
      <c r="N1257" s="165"/>
      <c r="O1257" s="337">
        <f t="shared" si="44"/>
        <v>0</v>
      </c>
      <c r="P1257" s="165" t="s">
        <v>4802</v>
      </c>
      <c r="Q1257" s="165" t="s">
        <v>4803</v>
      </c>
      <c r="R1257" s="3">
        <f t="shared" si="43"/>
        <v>4410</v>
      </c>
      <c r="S1257" s="337">
        <v>4410</v>
      </c>
      <c r="T1257"/>
      <c r="U1257" s="3"/>
    </row>
    <row r="1258" spans="1:21">
      <c r="A1258" s="165" t="s">
        <v>4801</v>
      </c>
      <c r="B1258" s="94">
        <v>1248</v>
      </c>
      <c r="C1258" s="165" t="s">
        <v>4094</v>
      </c>
      <c r="D1258" s="165">
        <v>2</v>
      </c>
      <c r="E1258" s="165" t="s">
        <v>5370</v>
      </c>
      <c r="F1258" s="165" t="s">
        <v>4807</v>
      </c>
      <c r="G1258" s="165"/>
      <c r="H1258" s="165">
        <v>4410</v>
      </c>
      <c r="I1258" s="165"/>
      <c r="J1258" s="165"/>
      <c r="K1258" s="338">
        <v>4410</v>
      </c>
      <c r="L1258" s="338"/>
      <c r="M1258" s="165"/>
      <c r="N1258" s="165"/>
      <c r="O1258" s="337">
        <f t="shared" si="44"/>
        <v>0</v>
      </c>
      <c r="P1258" s="165" t="s">
        <v>4802</v>
      </c>
      <c r="Q1258" s="165" t="s">
        <v>4807</v>
      </c>
      <c r="R1258" s="3">
        <f t="shared" si="43"/>
        <v>4410</v>
      </c>
      <c r="S1258" s="337">
        <v>4410</v>
      </c>
      <c r="T1258"/>
      <c r="U1258" s="3"/>
    </row>
    <row r="1259" spans="1:21">
      <c r="A1259" s="165" t="s">
        <v>4801</v>
      </c>
      <c r="B1259" s="94">
        <v>1249</v>
      </c>
      <c r="C1259" s="165" t="s">
        <v>4094</v>
      </c>
      <c r="D1259" s="165">
        <v>3</v>
      </c>
      <c r="E1259" s="165" t="s">
        <v>5371</v>
      </c>
      <c r="F1259" s="165" t="s">
        <v>4611</v>
      </c>
      <c r="G1259" s="165"/>
      <c r="H1259" s="165">
        <v>4410</v>
      </c>
      <c r="I1259" s="165"/>
      <c r="J1259" s="165"/>
      <c r="K1259" s="338">
        <v>4410</v>
      </c>
      <c r="L1259" s="338"/>
      <c r="M1259" s="165"/>
      <c r="N1259" s="165"/>
      <c r="O1259" s="337">
        <f t="shared" si="44"/>
        <v>0</v>
      </c>
      <c r="P1259" s="165" t="s">
        <v>5453</v>
      </c>
      <c r="Q1259" s="165" t="s">
        <v>5465</v>
      </c>
      <c r="R1259" s="3">
        <f t="shared" si="43"/>
        <v>4410</v>
      </c>
      <c r="S1259" s="337">
        <v>4410</v>
      </c>
      <c r="T1259"/>
      <c r="U1259" s="3"/>
    </row>
    <row r="1260" spans="1:21">
      <c r="A1260" s="165" t="s">
        <v>4801</v>
      </c>
      <c r="B1260" s="94">
        <v>1250</v>
      </c>
      <c r="C1260" s="165" t="s">
        <v>4094</v>
      </c>
      <c r="D1260" s="165">
        <v>4</v>
      </c>
      <c r="E1260" s="165" t="s">
        <v>5372</v>
      </c>
      <c r="F1260" s="165" t="s">
        <v>5303</v>
      </c>
      <c r="G1260" s="165"/>
      <c r="H1260" s="165">
        <v>4410</v>
      </c>
      <c r="I1260" s="165"/>
      <c r="J1260" s="165"/>
      <c r="K1260" s="338">
        <v>4410</v>
      </c>
      <c r="L1260" s="338"/>
      <c r="M1260" s="165"/>
      <c r="N1260" s="165"/>
      <c r="O1260" s="337">
        <f t="shared" si="44"/>
        <v>0</v>
      </c>
      <c r="P1260" s="165" t="s">
        <v>5488</v>
      </c>
      <c r="Q1260" s="165" t="s">
        <v>5303</v>
      </c>
      <c r="R1260" s="3">
        <f t="shared" si="43"/>
        <v>4410</v>
      </c>
      <c r="S1260" s="337">
        <v>4410</v>
      </c>
      <c r="T1260"/>
      <c r="U1260" s="3"/>
    </row>
    <row r="1261" spans="1:21">
      <c r="A1261" s="165" t="s">
        <v>4801</v>
      </c>
      <c r="B1261" s="94">
        <v>1251</v>
      </c>
      <c r="C1261" s="165" t="s">
        <v>4094</v>
      </c>
      <c r="D1261" s="165">
        <v>5</v>
      </c>
      <c r="E1261" s="165" t="s">
        <v>5373</v>
      </c>
      <c r="F1261" s="165" t="s">
        <v>5375</v>
      </c>
      <c r="G1261" s="165"/>
      <c r="H1261" s="165">
        <v>4410</v>
      </c>
      <c r="I1261" s="165"/>
      <c r="J1261" s="165"/>
      <c r="K1261" s="338">
        <v>4410</v>
      </c>
      <c r="L1261" s="338"/>
      <c r="M1261" s="165"/>
      <c r="N1261" s="165"/>
      <c r="O1261" s="337">
        <f t="shared" si="44"/>
        <v>0</v>
      </c>
      <c r="P1261" s="165" t="s">
        <v>5500</v>
      </c>
      <c r="Q1261" s="165" t="s">
        <v>5375</v>
      </c>
      <c r="R1261" s="3">
        <f t="shared" si="43"/>
        <v>4410</v>
      </c>
      <c r="S1261" s="337">
        <v>4410</v>
      </c>
      <c r="T1261"/>
      <c r="U1261" s="3"/>
    </row>
    <row r="1262" spans="1:21">
      <c r="A1262" s="165" t="s">
        <v>4801</v>
      </c>
      <c r="B1262" s="94">
        <v>1252</v>
      </c>
      <c r="C1262" s="165" t="s">
        <v>4094</v>
      </c>
      <c r="D1262" s="165">
        <v>6</v>
      </c>
      <c r="E1262" s="165" t="s">
        <v>5374</v>
      </c>
      <c r="F1262" s="165" t="s">
        <v>4612</v>
      </c>
      <c r="G1262" s="165"/>
      <c r="H1262" s="165">
        <v>4410</v>
      </c>
      <c r="I1262" s="165"/>
      <c r="J1262" s="165"/>
      <c r="K1262" s="338">
        <v>4410</v>
      </c>
      <c r="L1262" s="338"/>
      <c r="M1262" s="165"/>
      <c r="N1262" s="165"/>
      <c r="O1262" s="337">
        <f t="shared" si="44"/>
        <v>0</v>
      </c>
      <c r="P1262" s="165" t="s">
        <v>5504</v>
      </c>
      <c r="Q1262" s="165" t="s">
        <v>5531</v>
      </c>
      <c r="R1262" s="3">
        <f t="shared" si="43"/>
        <v>4410</v>
      </c>
      <c r="S1262" s="337">
        <v>4410</v>
      </c>
      <c r="T1262"/>
      <c r="U1262" s="3"/>
    </row>
    <row r="1263" spans="1:21">
      <c r="A1263" s="165" t="s">
        <v>5402</v>
      </c>
      <c r="B1263" s="94">
        <v>1253</v>
      </c>
      <c r="C1263" s="165" t="s">
        <v>5191</v>
      </c>
      <c r="D1263" s="165">
        <v>1</v>
      </c>
      <c r="E1263" s="165" t="s">
        <v>5403</v>
      </c>
      <c r="F1263" s="165" t="s">
        <v>4802</v>
      </c>
      <c r="G1263" s="165"/>
      <c r="H1263" s="165">
        <v>14175</v>
      </c>
      <c r="I1263" s="165"/>
      <c r="J1263" s="165"/>
      <c r="K1263" s="165">
        <v>14175</v>
      </c>
      <c r="L1263" s="165"/>
      <c r="M1263" s="165"/>
      <c r="N1263" s="165"/>
      <c r="O1263" s="337">
        <f t="shared" si="44"/>
        <v>0</v>
      </c>
      <c r="P1263" s="165" t="s">
        <v>4804</v>
      </c>
      <c r="Q1263" s="165" t="s">
        <v>4805</v>
      </c>
      <c r="R1263" s="3">
        <f t="shared" si="43"/>
        <v>14175</v>
      </c>
      <c r="S1263" s="337">
        <v>14175</v>
      </c>
      <c r="T1263"/>
      <c r="U1263" s="3"/>
    </row>
    <row r="1264" spans="1:21">
      <c r="A1264" s="165" t="s">
        <v>5402</v>
      </c>
      <c r="B1264" s="94">
        <v>1254</v>
      </c>
      <c r="C1264" s="165" t="s">
        <v>5191</v>
      </c>
      <c r="D1264" s="165">
        <v>2</v>
      </c>
      <c r="E1264" s="165" t="s">
        <v>5405</v>
      </c>
      <c r="F1264" s="165" t="s">
        <v>5404</v>
      </c>
      <c r="G1264" s="165"/>
      <c r="H1264" s="165">
        <v>14175</v>
      </c>
      <c r="I1264" s="165"/>
      <c r="J1264" s="165"/>
      <c r="K1264" s="338">
        <v>14175</v>
      </c>
      <c r="L1264" s="338"/>
      <c r="M1264" s="165"/>
      <c r="N1264" s="165"/>
      <c r="O1264" s="337">
        <f t="shared" si="44"/>
        <v>0</v>
      </c>
      <c r="P1264" s="165" t="s">
        <v>4806</v>
      </c>
      <c r="Q1264" s="165" t="s">
        <v>5404</v>
      </c>
      <c r="R1264" s="3">
        <f t="shared" si="43"/>
        <v>14175</v>
      </c>
      <c r="S1264" s="337">
        <v>14175</v>
      </c>
      <c r="T1264"/>
      <c r="U1264" s="3"/>
    </row>
    <row r="1265" spans="1:23">
      <c r="A1265" s="165" t="s">
        <v>5402</v>
      </c>
      <c r="B1265" s="94">
        <v>1255</v>
      </c>
      <c r="C1265" s="165" t="s">
        <v>5191</v>
      </c>
      <c r="D1265" s="165">
        <v>3</v>
      </c>
      <c r="E1265" s="165" t="s">
        <v>5406</v>
      </c>
      <c r="F1265" s="165" t="s">
        <v>5407</v>
      </c>
      <c r="G1265" s="165"/>
      <c r="H1265" s="165">
        <v>14175</v>
      </c>
      <c r="I1265" s="165"/>
      <c r="J1265" s="165"/>
      <c r="K1265" s="338">
        <v>14175</v>
      </c>
      <c r="L1265" s="338"/>
      <c r="M1265" s="165"/>
      <c r="N1265" s="165"/>
      <c r="O1265" s="337">
        <f t="shared" si="44"/>
        <v>0</v>
      </c>
      <c r="P1265" s="165" t="s">
        <v>5500</v>
      </c>
      <c r="Q1265" s="165" t="s">
        <v>5407</v>
      </c>
      <c r="R1265" s="3">
        <f t="shared" si="43"/>
        <v>14175</v>
      </c>
      <c r="S1265" s="337">
        <v>14175</v>
      </c>
      <c r="T1265"/>
      <c r="U1265" s="3"/>
    </row>
    <row r="1266" spans="1:23">
      <c r="A1266" s="165" t="s">
        <v>5402</v>
      </c>
      <c r="B1266" s="94">
        <v>1256</v>
      </c>
      <c r="C1266" s="165" t="s">
        <v>5191</v>
      </c>
      <c r="D1266" s="165">
        <v>4</v>
      </c>
      <c r="E1266" s="165" t="s">
        <v>5409</v>
      </c>
      <c r="F1266" s="165" t="s">
        <v>5408</v>
      </c>
      <c r="G1266" s="165"/>
      <c r="H1266" s="165">
        <v>14175</v>
      </c>
      <c r="I1266" s="165"/>
      <c r="J1266" s="165"/>
      <c r="K1266" s="338">
        <v>14175</v>
      </c>
      <c r="L1266" s="338"/>
      <c r="M1266" s="165"/>
      <c r="N1266" s="165"/>
      <c r="O1266" s="337">
        <f t="shared" si="44"/>
        <v>0</v>
      </c>
      <c r="P1266" s="165" t="s">
        <v>5551</v>
      </c>
      <c r="Q1266" s="165" t="s">
        <v>4594</v>
      </c>
      <c r="R1266" s="3">
        <f t="shared" si="43"/>
        <v>14175</v>
      </c>
      <c r="S1266" s="337">
        <v>14175</v>
      </c>
      <c r="T1266"/>
      <c r="U1266" s="3"/>
    </row>
    <row r="1267" spans="1:23">
      <c r="A1267" s="165" t="s">
        <v>5402</v>
      </c>
      <c r="B1267" s="94">
        <v>1257</v>
      </c>
      <c r="C1267" s="165" t="s">
        <v>5191</v>
      </c>
      <c r="D1267" s="165">
        <v>5</v>
      </c>
      <c r="E1267" s="165" t="s">
        <v>5410</v>
      </c>
      <c r="F1267" s="165" t="s">
        <v>5414</v>
      </c>
      <c r="G1267" s="165"/>
      <c r="H1267" s="165">
        <v>14175</v>
      </c>
      <c r="I1267" s="165"/>
      <c r="J1267" s="165"/>
      <c r="K1267" s="338"/>
      <c r="L1267" s="338">
        <v>14175</v>
      </c>
      <c r="M1267" s="165"/>
      <c r="N1267" s="165"/>
      <c r="O1267" s="337">
        <f t="shared" si="44"/>
        <v>0</v>
      </c>
      <c r="P1267" s="165" t="s">
        <v>9760</v>
      </c>
      <c r="Q1267" s="165" t="s">
        <v>9760</v>
      </c>
      <c r="R1267" s="3">
        <f t="shared" si="43"/>
        <v>14175</v>
      </c>
      <c r="S1267" s="337">
        <v>14175</v>
      </c>
      <c r="T1267"/>
      <c r="U1267" s="3"/>
    </row>
    <row r="1268" spans="1:23">
      <c r="A1268" s="165" t="s">
        <v>5402</v>
      </c>
      <c r="B1268" s="94">
        <v>1258</v>
      </c>
      <c r="C1268" s="165" t="s">
        <v>5191</v>
      </c>
      <c r="D1268" s="165">
        <v>6</v>
      </c>
      <c r="E1268" s="165" t="s">
        <v>5411</v>
      </c>
      <c r="F1268" s="165" t="s">
        <v>5415</v>
      </c>
      <c r="G1268" s="165"/>
      <c r="H1268" s="165">
        <v>14175</v>
      </c>
      <c r="I1268" s="165"/>
      <c r="J1268" s="165"/>
      <c r="K1268" s="338"/>
      <c r="L1268" s="338">
        <v>14175</v>
      </c>
      <c r="M1268" s="165"/>
      <c r="N1268" s="165"/>
      <c r="O1268" s="337">
        <f t="shared" si="44"/>
        <v>0</v>
      </c>
      <c r="P1268" s="165" t="s">
        <v>5415</v>
      </c>
      <c r="Q1268" s="165" t="s">
        <v>5415</v>
      </c>
      <c r="R1268" s="3">
        <f t="shared" si="43"/>
        <v>14175</v>
      </c>
      <c r="S1268" s="337">
        <v>14175</v>
      </c>
      <c r="T1268"/>
      <c r="U1268" s="3"/>
    </row>
    <row r="1269" spans="1:23">
      <c r="A1269" s="165" t="s">
        <v>5402</v>
      </c>
      <c r="B1269" s="94">
        <v>1259</v>
      </c>
      <c r="C1269" s="165" t="s">
        <v>5191</v>
      </c>
      <c r="D1269" s="165">
        <v>7</v>
      </c>
      <c r="E1269" s="165" t="s">
        <v>5412</v>
      </c>
      <c r="F1269" s="165" t="s">
        <v>5416</v>
      </c>
      <c r="G1269" s="165"/>
      <c r="H1269" s="165">
        <v>14175</v>
      </c>
      <c r="I1269" s="165"/>
      <c r="J1269" s="165"/>
      <c r="K1269" s="338"/>
      <c r="L1269" s="338">
        <v>14175</v>
      </c>
      <c r="M1269" s="165"/>
      <c r="N1269" s="165"/>
      <c r="O1269" s="337">
        <f t="shared" si="44"/>
        <v>0</v>
      </c>
      <c r="P1269" s="165" t="s">
        <v>9768</v>
      </c>
      <c r="Q1269" s="165" t="s">
        <v>9768</v>
      </c>
      <c r="R1269" s="3">
        <f t="shared" si="43"/>
        <v>14175</v>
      </c>
      <c r="S1269" s="337">
        <v>14175</v>
      </c>
      <c r="T1269"/>
      <c r="U1269" s="3"/>
    </row>
    <row r="1270" spans="1:23">
      <c r="A1270" s="165" t="s">
        <v>5402</v>
      </c>
      <c r="B1270" s="94">
        <v>1260</v>
      </c>
      <c r="C1270" s="165" t="s">
        <v>5191</v>
      </c>
      <c r="D1270" s="165">
        <v>8</v>
      </c>
      <c r="E1270" s="165" t="s">
        <v>5413</v>
      </c>
      <c r="F1270" s="165" t="s">
        <v>5417</v>
      </c>
      <c r="G1270" s="165"/>
      <c r="H1270" s="165">
        <v>14175</v>
      </c>
      <c r="I1270" s="165"/>
      <c r="J1270" s="165"/>
      <c r="K1270" s="338"/>
      <c r="L1270" s="338">
        <v>14175</v>
      </c>
      <c r="M1270" s="165"/>
      <c r="N1270" s="165"/>
      <c r="O1270" s="337">
        <f t="shared" si="44"/>
        <v>0</v>
      </c>
      <c r="P1270" s="165" t="s">
        <v>9769</v>
      </c>
      <c r="Q1270" s="165" t="s">
        <v>9769</v>
      </c>
      <c r="R1270" s="3">
        <f t="shared" ref="R1270:R1279" si="45">H1270</f>
        <v>14175</v>
      </c>
      <c r="S1270" s="337">
        <v>14175</v>
      </c>
      <c r="T1270"/>
      <c r="U1270" s="3"/>
    </row>
    <row r="1271" spans="1:23">
      <c r="A1271" s="165" t="s">
        <v>4194</v>
      </c>
      <c r="B1271" s="94">
        <v>1261</v>
      </c>
      <c r="C1271" s="165" t="s">
        <v>4113</v>
      </c>
      <c r="D1271" s="165">
        <v>1</v>
      </c>
      <c r="E1271" s="165" t="s">
        <v>5452</v>
      </c>
      <c r="F1271" s="165" t="s">
        <v>4194</v>
      </c>
      <c r="G1271" s="165"/>
      <c r="H1271" s="165">
        <v>13230</v>
      </c>
      <c r="I1271" s="165"/>
      <c r="J1271" s="165"/>
      <c r="K1271" s="165">
        <v>13230</v>
      </c>
      <c r="L1271" s="165"/>
      <c r="M1271" s="165"/>
      <c r="N1271" s="165"/>
      <c r="O1271" s="337">
        <f t="shared" si="44"/>
        <v>0</v>
      </c>
      <c r="P1271" s="165" t="s">
        <v>5453</v>
      </c>
      <c r="Q1271" s="165" t="s">
        <v>5454</v>
      </c>
      <c r="R1271" s="3">
        <f t="shared" si="45"/>
        <v>13230</v>
      </c>
      <c r="S1271" s="337">
        <v>13230</v>
      </c>
      <c r="T1271"/>
      <c r="U1271" s="3"/>
    </row>
    <row r="1272" spans="1:23">
      <c r="A1272" s="165" t="s">
        <v>4194</v>
      </c>
      <c r="B1272" s="94">
        <v>1262</v>
      </c>
      <c r="C1272" s="165" t="s">
        <v>4113</v>
      </c>
      <c r="D1272" s="165">
        <v>2</v>
      </c>
      <c r="E1272" s="165" t="s">
        <v>5455</v>
      </c>
      <c r="F1272" s="165" t="s">
        <v>4226</v>
      </c>
      <c r="G1272" s="165"/>
      <c r="H1272" s="165">
        <v>13230</v>
      </c>
      <c r="I1272" s="165"/>
      <c r="J1272" s="165"/>
      <c r="K1272" s="338">
        <v>13230</v>
      </c>
      <c r="L1272" s="338"/>
      <c r="M1272" s="165"/>
      <c r="N1272" s="165"/>
      <c r="O1272" s="337">
        <f t="shared" si="44"/>
        <v>0</v>
      </c>
      <c r="P1272" s="165" t="s">
        <v>5500</v>
      </c>
      <c r="Q1272" s="165" t="s">
        <v>4226</v>
      </c>
      <c r="R1272" s="3">
        <f t="shared" si="45"/>
        <v>13230</v>
      </c>
      <c r="S1272" s="337">
        <v>13230</v>
      </c>
      <c r="T1272"/>
      <c r="U1272" s="3"/>
    </row>
    <row r="1273" spans="1:23">
      <c r="A1273" s="165" t="s">
        <v>4194</v>
      </c>
      <c r="B1273" s="94">
        <v>1263</v>
      </c>
      <c r="C1273" s="165" t="s">
        <v>4113</v>
      </c>
      <c r="D1273" s="165">
        <v>3</v>
      </c>
      <c r="E1273" s="165" t="s">
        <v>5456</v>
      </c>
      <c r="F1273" s="165" t="s">
        <v>5462</v>
      </c>
      <c r="G1273" s="165"/>
      <c r="H1273" s="165">
        <v>13230</v>
      </c>
      <c r="I1273" s="165"/>
      <c r="J1273" s="165"/>
      <c r="K1273" s="338">
        <v>13230</v>
      </c>
      <c r="L1273" s="338"/>
      <c r="M1273" s="165"/>
      <c r="N1273" s="165"/>
      <c r="O1273" s="337">
        <f t="shared" si="44"/>
        <v>0</v>
      </c>
      <c r="P1273" s="165" t="s">
        <v>5551</v>
      </c>
      <c r="Q1273" s="165" t="s">
        <v>4624</v>
      </c>
      <c r="R1273" s="3">
        <f t="shared" si="45"/>
        <v>13230</v>
      </c>
      <c r="S1273" s="337">
        <v>13230</v>
      </c>
      <c r="T1273"/>
      <c r="U1273" s="3"/>
    </row>
    <row r="1274" spans="1:23">
      <c r="A1274" s="165" t="s">
        <v>4194</v>
      </c>
      <c r="B1274" s="94">
        <v>1264</v>
      </c>
      <c r="C1274" s="165" t="s">
        <v>4113</v>
      </c>
      <c r="D1274" s="165">
        <v>4</v>
      </c>
      <c r="E1274" s="165" t="s">
        <v>5457</v>
      </c>
      <c r="F1274" s="165" t="s">
        <v>4625</v>
      </c>
      <c r="G1274" s="165"/>
      <c r="H1274" s="165">
        <v>13230</v>
      </c>
      <c r="I1274" s="165"/>
      <c r="J1274" s="165"/>
      <c r="K1274" s="338"/>
      <c r="L1274" s="338">
        <v>13230</v>
      </c>
      <c r="M1274" s="165"/>
      <c r="N1274" s="165"/>
      <c r="O1274" s="337">
        <f t="shared" si="44"/>
        <v>0</v>
      </c>
      <c r="P1274" s="165" t="s">
        <v>4655</v>
      </c>
      <c r="Q1274" s="165" t="s">
        <v>4655</v>
      </c>
      <c r="R1274" s="3">
        <f t="shared" si="45"/>
        <v>13230</v>
      </c>
      <c r="S1274" s="337">
        <v>13230</v>
      </c>
      <c r="T1274"/>
      <c r="U1274" s="3"/>
    </row>
    <row r="1275" spans="1:23">
      <c r="A1275" s="165" t="s">
        <v>4194</v>
      </c>
      <c r="B1275" s="94">
        <v>1265</v>
      </c>
      <c r="C1275" s="165" t="s">
        <v>4113</v>
      </c>
      <c r="D1275" s="165">
        <v>5</v>
      </c>
      <c r="E1275" s="165" t="s">
        <v>5458</v>
      </c>
      <c r="F1275" s="165" t="s">
        <v>5347</v>
      </c>
      <c r="G1275" s="165"/>
      <c r="H1275" s="165">
        <v>13230</v>
      </c>
      <c r="I1275" s="165"/>
      <c r="J1275" s="165"/>
      <c r="K1275" s="338"/>
      <c r="L1275" s="338">
        <v>13230</v>
      </c>
      <c r="M1275" s="165"/>
      <c r="N1275" s="165"/>
      <c r="O1275" s="337">
        <f t="shared" si="44"/>
        <v>0</v>
      </c>
      <c r="P1275" s="165" t="s">
        <v>5347</v>
      </c>
      <c r="Q1275" s="165" t="s">
        <v>5347</v>
      </c>
      <c r="R1275" s="3">
        <f t="shared" si="45"/>
        <v>13230</v>
      </c>
      <c r="S1275" s="337">
        <v>13230</v>
      </c>
      <c r="T1275"/>
      <c r="U1275" s="3"/>
    </row>
    <row r="1276" spans="1:23">
      <c r="A1276" s="165" t="s">
        <v>4194</v>
      </c>
      <c r="B1276" s="94">
        <v>1266</v>
      </c>
      <c r="C1276" s="165" t="s">
        <v>4113</v>
      </c>
      <c r="D1276" s="165">
        <v>6</v>
      </c>
      <c r="E1276" s="165" t="s">
        <v>5459</v>
      </c>
      <c r="F1276" s="165" t="s">
        <v>5348</v>
      </c>
      <c r="G1276" s="165"/>
      <c r="H1276" s="165">
        <v>13230</v>
      </c>
      <c r="I1276" s="165"/>
      <c r="J1276" s="165"/>
      <c r="K1276" s="338"/>
      <c r="L1276" s="338">
        <v>13230</v>
      </c>
      <c r="M1276" s="165"/>
      <c r="N1276" s="165"/>
      <c r="O1276" s="337">
        <f t="shared" si="44"/>
        <v>0</v>
      </c>
      <c r="P1276" s="165" t="s">
        <v>5348</v>
      </c>
      <c r="Q1276" s="165" t="s">
        <v>5348</v>
      </c>
      <c r="R1276" s="3">
        <f t="shared" si="45"/>
        <v>13230</v>
      </c>
      <c r="S1276" s="337">
        <v>13230</v>
      </c>
      <c r="T1276"/>
      <c r="U1276" s="3"/>
    </row>
    <row r="1277" spans="1:23">
      <c r="A1277" s="165" t="s">
        <v>4194</v>
      </c>
      <c r="B1277" s="94">
        <v>1267</v>
      </c>
      <c r="C1277" s="165" t="s">
        <v>4113</v>
      </c>
      <c r="D1277" s="165">
        <v>7</v>
      </c>
      <c r="E1277" s="165" t="s">
        <v>5460</v>
      </c>
      <c r="F1277" s="165" t="s">
        <v>5464</v>
      </c>
      <c r="G1277" s="165"/>
      <c r="H1277" s="165">
        <v>13230</v>
      </c>
      <c r="I1277" s="165"/>
      <c r="J1277" s="165"/>
      <c r="K1277" s="338"/>
      <c r="L1277" s="338">
        <v>13230</v>
      </c>
      <c r="M1277" s="165"/>
      <c r="N1277" s="165"/>
      <c r="O1277" s="337">
        <f t="shared" si="44"/>
        <v>0</v>
      </c>
      <c r="P1277" s="165" t="s">
        <v>5349</v>
      </c>
      <c r="Q1277" s="165" t="s">
        <v>5349</v>
      </c>
      <c r="R1277" s="3">
        <f t="shared" si="45"/>
        <v>13230</v>
      </c>
      <c r="S1277" s="337">
        <v>13230</v>
      </c>
      <c r="T1277"/>
      <c r="U1277" s="3"/>
    </row>
    <row r="1278" spans="1:23">
      <c r="A1278" s="165" t="s">
        <v>4194</v>
      </c>
      <c r="B1278" s="94">
        <v>1268</v>
      </c>
      <c r="C1278" s="165" t="s">
        <v>4113</v>
      </c>
      <c r="D1278" s="165">
        <v>8</v>
      </c>
      <c r="E1278" s="165" t="s">
        <v>5461</v>
      </c>
      <c r="F1278" s="165" t="s">
        <v>5463</v>
      </c>
      <c r="G1278" s="165"/>
      <c r="H1278" s="165">
        <v>13230</v>
      </c>
      <c r="I1278" s="165"/>
      <c r="J1278" s="165"/>
      <c r="K1278" s="338"/>
      <c r="L1278" s="338">
        <v>13230</v>
      </c>
      <c r="M1278" s="165"/>
      <c r="N1278" s="165"/>
      <c r="O1278" s="337">
        <f t="shared" si="44"/>
        <v>0</v>
      </c>
      <c r="P1278" s="165" t="s">
        <v>10819</v>
      </c>
      <c r="Q1278" s="165" t="s">
        <v>5463</v>
      </c>
      <c r="R1278" s="3">
        <f t="shared" si="45"/>
        <v>13230</v>
      </c>
      <c r="S1278" s="337">
        <v>13230</v>
      </c>
      <c r="T1278"/>
      <c r="U1278" s="3"/>
    </row>
    <row r="1279" spans="1:23">
      <c r="A1279" s="165" t="s">
        <v>5469</v>
      </c>
      <c r="B1279" s="94">
        <v>1269</v>
      </c>
      <c r="C1279" s="165" t="s">
        <v>5208</v>
      </c>
      <c r="D1279" s="165"/>
      <c r="E1279" s="165" t="s">
        <v>5470</v>
      </c>
      <c r="F1279" s="165" t="s">
        <v>5468</v>
      </c>
      <c r="G1279" s="165"/>
      <c r="H1279" s="165">
        <v>331800</v>
      </c>
      <c r="I1279" s="165"/>
      <c r="J1279" s="165"/>
      <c r="K1279" s="165">
        <v>331800</v>
      </c>
      <c r="L1279" s="165"/>
      <c r="M1279" s="165"/>
      <c r="N1279" s="165"/>
      <c r="O1279" s="337">
        <f t="shared" si="44"/>
        <v>0</v>
      </c>
      <c r="P1279" s="165" t="s">
        <v>5466</v>
      </c>
      <c r="Q1279" s="165" t="s">
        <v>5468</v>
      </c>
      <c r="R1279" s="3">
        <f t="shared" si="45"/>
        <v>331800</v>
      </c>
      <c r="S1279" s="165">
        <v>331800</v>
      </c>
      <c r="T1279"/>
      <c r="U1279" s="3"/>
      <c r="V1279" s="271" t="s">
        <v>2740</v>
      </c>
      <c r="W1279" t="s">
        <v>5471</v>
      </c>
    </row>
    <row r="1280" spans="1:23">
      <c r="A1280" s="165" t="s">
        <v>5469</v>
      </c>
      <c r="B1280" s="94">
        <v>1270</v>
      </c>
      <c r="C1280" s="165" t="s">
        <v>5208</v>
      </c>
      <c r="D1280" s="165">
        <v>1</v>
      </c>
      <c r="E1280" s="165" t="s">
        <v>5467</v>
      </c>
      <c r="F1280" s="165" t="s">
        <v>5468</v>
      </c>
      <c r="G1280" s="165"/>
      <c r="H1280" s="165">
        <v>20475</v>
      </c>
      <c r="I1280" s="165"/>
      <c r="J1280" s="165"/>
      <c r="K1280" s="165">
        <v>20475</v>
      </c>
      <c r="L1280" s="165"/>
      <c r="M1280" s="165"/>
      <c r="N1280" s="165"/>
      <c r="O1280" s="337">
        <f t="shared" si="44"/>
        <v>0</v>
      </c>
      <c r="P1280" s="165" t="s">
        <v>5466</v>
      </c>
      <c r="Q1280" s="165" t="s">
        <v>5468</v>
      </c>
      <c r="R1280" s="3">
        <f>H1280+G1280+I1280</f>
        <v>20475</v>
      </c>
      <c r="S1280" s="165">
        <v>20475</v>
      </c>
      <c r="T1280"/>
      <c r="U1280" s="3"/>
      <c r="V1280" s="271" t="s">
        <v>2740</v>
      </c>
    </row>
    <row r="1281" spans="1:22">
      <c r="A1281" s="165" t="s">
        <v>5469</v>
      </c>
      <c r="B1281" s="94">
        <v>1271</v>
      </c>
      <c r="C1281" s="165" t="s">
        <v>5208</v>
      </c>
      <c r="D1281" s="165">
        <v>2</v>
      </c>
      <c r="E1281" s="165" t="s">
        <v>5472</v>
      </c>
      <c r="F1281" s="165" t="s">
        <v>5479</v>
      </c>
      <c r="G1281" s="165"/>
      <c r="H1281" s="165">
        <v>20475</v>
      </c>
      <c r="I1281" s="165"/>
      <c r="J1281" s="165"/>
      <c r="K1281" s="165">
        <v>20475</v>
      </c>
      <c r="L1281" s="165"/>
      <c r="M1281" s="165"/>
      <c r="N1281" s="165"/>
      <c r="O1281" s="337">
        <f t="shared" si="44"/>
        <v>0</v>
      </c>
      <c r="P1281" s="165" t="s">
        <v>5504</v>
      </c>
      <c r="Q1281" s="165" t="s">
        <v>5479</v>
      </c>
      <c r="R1281" s="3">
        <f t="shared" ref="R1281:R1287" si="46">H1281+G1281+I1281</f>
        <v>20475</v>
      </c>
      <c r="S1281" s="165">
        <v>20475</v>
      </c>
      <c r="T1281"/>
      <c r="U1281" s="3"/>
      <c r="V1281" s="271" t="s">
        <v>2740</v>
      </c>
    </row>
    <row r="1282" spans="1:22">
      <c r="A1282" s="165" t="s">
        <v>5469</v>
      </c>
      <c r="B1282" s="94">
        <v>1272</v>
      </c>
      <c r="C1282" s="165" t="s">
        <v>5208</v>
      </c>
      <c r="D1282" s="165">
        <v>3</v>
      </c>
      <c r="E1282" s="165" t="s">
        <v>5473</v>
      </c>
      <c r="F1282" s="165" t="s">
        <v>5480</v>
      </c>
      <c r="G1282" s="165"/>
      <c r="H1282" s="165">
        <v>20475</v>
      </c>
      <c r="I1282" s="165"/>
      <c r="J1282" s="165"/>
      <c r="K1282" s="165">
        <v>20475</v>
      </c>
      <c r="L1282" s="165"/>
      <c r="M1282" s="165"/>
      <c r="N1282" s="165"/>
      <c r="O1282" s="337">
        <f t="shared" si="44"/>
        <v>0</v>
      </c>
      <c r="P1282" s="165" t="s">
        <v>5289</v>
      </c>
      <c r="Q1282" s="165" t="s">
        <v>5480</v>
      </c>
      <c r="R1282" s="3">
        <f t="shared" si="46"/>
        <v>20475</v>
      </c>
      <c r="S1282" s="165">
        <v>20475</v>
      </c>
      <c r="T1282"/>
      <c r="U1282" s="3"/>
      <c r="V1282" s="271" t="s">
        <v>2740</v>
      </c>
    </row>
    <row r="1283" spans="1:22">
      <c r="A1283" s="165" t="s">
        <v>5469</v>
      </c>
      <c r="B1283" s="94">
        <v>1273</v>
      </c>
      <c r="C1283" s="165" t="s">
        <v>5208</v>
      </c>
      <c r="D1283" s="165">
        <v>4</v>
      </c>
      <c r="E1283" s="165" t="s">
        <v>5474</v>
      </c>
      <c r="F1283" s="165" t="s">
        <v>5481</v>
      </c>
      <c r="G1283" s="165"/>
      <c r="H1283" s="165"/>
      <c r="I1283" s="165">
        <v>20475</v>
      </c>
      <c r="J1283" s="165"/>
      <c r="K1283" s="165"/>
      <c r="L1283" s="165">
        <v>20475</v>
      </c>
      <c r="M1283" s="165"/>
      <c r="N1283" s="165"/>
      <c r="O1283" s="337">
        <f t="shared" si="44"/>
        <v>0</v>
      </c>
      <c r="P1283" s="165" t="s">
        <v>5481</v>
      </c>
      <c r="Q1283" s="165" t="s">
        <v>5481</v>
      </c>
      <c r="R1283" s="3">
        <f t="shared" si="46"/>
        <v>20475</v>
      </c>
      <c r="S1283" s="165">
        <v>20475</v>
      </c>
      <c r="T1283"/>
      <c r="U1283" s="3"/>
      <c r="V1283" s="271" t="s">
        <v>2740</v>
      </c>
    </row>
    <row r="1284" spans="1:22">
      <c r="A1284" s="165" t="s">
        <v>5469</v>
      </c>
      <c r="B1284" s="94">
        <v>1274</v>
      </c>
      <c r="C1284" s="165" t="s">
        <v>5208</v>
      </c>
      <c r="D1284" s="165">
        <v>5</v>
      </c>
      <c r="E1284" s="165" t="s">
        <v>5475</v>
      </c>
      <c r="F1284" s="165" t="s">
        <v>5482</v>
      </c>
      <c r="G1284" s="165"/>
      <c r="H1284" s="165"/>
      <c r="I1284" s="165">
        <v>20475</v>
      </c>
      <c r="J1284" s="165"/>
      <c r="K1284" s="165"/>
      <c r="L1284" s="165">
        <v>20475</v>
      </c>
      <c r="M1284" s="165"/>
      <c r="N1284" s="165"/>
      <c r="O1284" s="337">
        <f t="shared" si="44"/>
        <v>0</v>
      </c>
      <c r="P1284" s="165" t="s">
        <v>5482</v>
      </c>
      <c r="Q1284" s="165" t="s">
        <v>5482</v>
      </c>
      <c r="R1284" s="3">
        <f t="shared" si="46"/>
        <v>20475</v>
      </c>
      <c r="S1284" s="165">
        <v>20475</v>
      </c>
      <c r="T1284"/>
      <c r="U1284" s="3"/>
      <c r="V1284" s="271" t="s">
        <v>2740</v>
      </c>
    </row>
    <row r="1285" spans="1:22">
      <c r="A1285" s="165" t="s">
        <v>5469</v>
      </c>
      <c r="B1285" s="94">
        <v>1275</v>
      </c>
      <c r="C1285" s="165" t="s">
        <v>5208</v>
      </c>
      <c r="D1285" s="165">
        <v>6</v>
      </c>
      <c r="E1285" s="165" t="s">
        <v>5476</v>
      </c>
      <c r="F1285" s="165" t="s">
        <v>5483</v>
      </c>
      <c r="G1285" s="165"/>
      <c r="H1285" s="165"/>
      <c r="I1285" s="165">
        <v>20475</v>
      </c>
      <c r="J1285" s="165"/>
      <c r="K1285" s="165"/>
      <c r="L1285" s="165">
        <v>20475</v>
      </c>
      <c r="M1285" s="165"/>
      <c r="N1285" s="165"/>
      <c r="O1285" s="337">
        <f t="shared" si="44"/>
        <v>0</v>
      </c>
      <c r="P1285" s="165" t="s">
        <v>9848</v>
      </c>
      <c r="Q1285" s="165" t="s">
        <v>9848</v>
      </c>
      <c r="R1285" s="3">
        <f t="shared" si="46"/>
        <v>20475</v>
      </c>
      <c r="S1285" s="165">
        <v>20475</v>
      </c>
      <c r="T1285"/>
      <c r="U1285" s="3"/>
      <c r="V1285" s="271" t="s">
        <v>2740</v>
      </c>
    </row>
    <row r="1286" spans="1:22">
      <c r="A1286" s="165" t="s">
        <v>5469</v>
      </c>
      <c r="B1286" s="94">
        <v>1276</v>
      </c>
      <c r="C1286" s="165" t="s">
        <v>5208</v>
      </c>
      <c r="D1286" s="165">
        <v>7</v>
      </c>
      <c r="E1286" s="165" t="s">
        <v>5477</v>
      </c>
      <c r="F1286" s="165" t="s">
        <v>5484</v>
      </c>
      <c r="G1286" s="165"/>
      <c r="H1286" s="165"/>
      <c r="I1286" s="165">
        <v>20475</v>
      </c>
      <c r="J1286" s="165"/>
      <c r="K1286" s="165"/>
      <c r="L1286" s="165">
        <v>20475</v>
      </c>
      <c r="M1286" s="165"/>
      <c r="N1286" s="165"/>
      <c r="O1286" s="337">
        <f t="shared" si="44"/>
        <v>0</v>
      </c>
      <c r="P1286" s="165" t="s">
        <v>9849</v>
      </c>
      <c r="Q1286" s="165" t="s">
        <v>9849</v>
      </c>
      <c r="R1286" s="3">
        <f t="shared" si="46"/>
        <v>20475</v>
      </c>
      <c r="S1286" s="165">
        <v>20475</v>
      </c>
      <c r="T1286"/>
      <c r="U1286" s="3"/>
      <c r="V1286" s="271" t="s">
        <v>2740</v>
      </c>
    </row>
    <row r="1287" spans="1:22">
      <c r="A1287" s="165" t="s">
        <v>5469</v>
      </c>
      <c r="B1287" s="94">
        <v>1277</v>
      </c>
      <c r="C1287" s="165" t="s">
        <v>5208</v>
      </c>
      <c r="D1287" s="165">
        <v>8</v>
      </c>
      <c r="E1287" s="165" t="s">
        <v>5478</v>
      </c>
      <c r="F1287" s="165" t="s">
        <v>5485</v>
      </c>
      <c r="G1287" s="165"/>
      <c r="H1287" s="165">
        <v>20475</v>
      </c>
      <c r="I1287" s="165"/>
      <c r="J1287" s="165"/>
      <c r="K1287" s="165"/>
      <c r="L1287" s="165">
        <v>20475</v>
      </c>
      <c r="M1287" s="165"/>
      <c r="N1287" s="165"/>
      <c r="O1287" s="337">
        <f t="shared" si="44"/>
        <v>0</v>
      </c>
      <c r="P1287" s="165" t="s">
        <v>9700</v>
      </c>
      <c r="Q1287" s="165" t="s">
        <v>5485</v>
      </c>
      <c r="R1287" s="3">
        <f t="shared" si="46"/>
        <v>20475</v>
      </c>
      <c r="S1287" s="165">
        <v>20475</v>
      </c>
      <c r="T1287"/>
      <c r="U1287" s="3"/>
      <c r="V1287" s="338"/>
    </row>
    <row r="1288" spans="1:22">
      <c r="A1288" s="165" t="s">
        <v>5497</v>
      </c>
      <c r="B1288" s="94">
        <v>1278</v>
      </c>
      <c r="C1288" s="165" t="s">
        <v>1232</v>
      </c>
      <c r="D1288" s="165">
        <v>1</v>
      </c>
      <c r="E1288" s="165" t="s">
        <v>5498</v>
      </c>
      <c r="F1288" s="165" t="s">
        <v>5303</v>
      </c>
      <c r="G1288" s="165"/>
      <c r="H1288" s="165">
        <v>16380</v>
      </c>
      <c r="I1288" s="165"/>
      <c r="J1288" s="165"/>
      <c r="K1288" s="165">
        <v>16380</v>
      </c>
      <c r="L1288" s="165"/>
      <c r="M1288" s="165"/>
      <c r="N1288" s="165"/>
      <c r="O1288" s="337">
        <f t="shared" si="44"/>
        <v>0</v>
      </c>
      <c r="P1288" s="165" t="s">
        <v>5488</v>
      </c>
      <c r="Q1288" s="165" t="s">
        <v>5303</v>
      </c>
      <c r="R1288" s="3">
        <f t="shared" ref="R1288:R1304" si="47">H1288</f>
        <v>16380</v>
      </c>
      <c r="S1288" s="337">
        <v>16380</v>
      </c>
      <c r="T1288" s="337"/>
      <c r="U1288" s="3"/>
    </row>
    <row r="1289" spans="1:22">
      <c r="A1289" s="165" t="s">
        <v>5486</v>
      </c>
      <c r="B1289" s="94">
        <v>1279</v>
      </c>
      <c r="C1289" s="165" t="s">
        <v>906</v>
      </c>
      <c r="D1289" s="165">
        <v>1</v>
      </c>
      <c r="E1289" s="165" t="s">
        <v>5487</v>
      </c>
      <c r="F1289" s="165" t="s">
        <v>5468</v>
      </c>
      <c r="G1289" s="165"/>
      <c r="H1289" s="165">
        <v>14175</v>
      </c>
      <c r="I1289" s="165"/>
      <c r="J1289" s="165"/>
      <c r="K1289" s="165">
        <v>14175</v>
      </c>
      <c r="L1289" s="165"/>
      <c r="M1289" s="165"/>
      <c r="N1289" s="165"/>
      <c r="O1289" s="337">
        <f t="shared" si="44"/>
        <v>0</v>
      </c>
      <c r="P1289" s="165" t="s">
        <v>5488</v>
      </c>
      <c r="Q1289" s="165" t="s">
        <v>5489</v>
      </c>
      <c r="R1289" s="3">
        <f t="shared" si="47"/>
        <v>14175</v>
      </c>
      <c r="S1289" s="337">
        <v>14175</v>
      </c>
      <c r="T1289"/>
      <c r="U1289" s="3"/>
    </row>
    <row r="1290" spans="1:22">
      <c r="A1290" s="165" t="s">
        <v>5486</v>
      </c>
      <c r="B1290" s="94">
        <v>1280</v>
      </c>
      <c r="C1290" s="165" t="s">
        <v>906</v>
      </c>
      <c r="D1290" s="165">
        <v>2</v>
      </c>
      <c r="E1290" s="165" t="s">
        <v>5490</v>
      </c>
      <c r="F1290" s="165" t="s">
        <v>5479</v>
      </c>
      <c r="G1290" s="165"/>
      <c r="H1290" s="165">
        <v>14175</v>
      </c>
      <c r="I1290" s="165"/>
      <c r="J1290" s="165"/>
      <c r="K1290" s="338">
        <v>14175</v>
      </c>
      <c r="L1290" s="338"/>
      <c r="M1290" s="165"/>
      <c r="N1290" s="165"/>
      <c r="O1290" s="337">
        <f t="shared" si="44"/>
        <v>0</v>
      </c>
      <c r="P1290" s="165" t="s">
        <v>5504</v>
      </c>
      <c r="Q1290" s="165" t="s">
        <v>5479</v>
      </c>
      <c r="R1290" s="3">
        <f t="shared" si="47"/>
        <v>14175</v>
      </c>
      <c r="S1290" s="337">
        <v>14175</v>
      </c>
      <c r="T1290"/>
      <c r="U1290" s="3"/>
    </row>
    <row r="1291" spans="1:22">
      <c r="A1291" s="165" t="s">
        <v>5486</v>
      </c>
      <c r="B1291" s="94">
        <v>1281</v>
      </c>
      <c r="C1291" s="165" t="s">
        <v>906</v>
      </c>
      <c r="D1291" s="165">
        <v>3</v>
      </c>
      <c r="E1291" s="165" t="s">
        <v>5491</v>
      </c>
      <c r="F1291" s="165" t="s">
        <v>5480</v>
      </c>
      <c r="G1291" s="165"/>
      <c r="H1291" s="165">
        <v>14175</v>
      </c>
      <c r="I1291" s="165"/>
      <c r="J1291" s="165"/>
      <c r="K1291" s="338">
        <v>14175</v>
      </c>
      <c r="L1291" s="338"/>
      <c r="M1291" s="165"/>
      <c r="N1291" s="165"/>
      <c r="O1291" s="337">
        <f t="shared" si="44"/>
        <v>0</v>
      </c>
      <c r="P1291" s="165" t="s">
        <v>5289</v>
      </c>
      <c r="Q1291" s="165" t="s">
        <v>5480</v>
      </c>
      <c r="R1291" s="3">
        <f t="shared" si="47"/>
        <v>14175</v>
      </c>
      <c r="S1291" s="337">
        <v>14175</v>
      </c>
      <c r="T1291"/>
      <c r="U1291" s="3"/>
    </row>
    <row r="1292" spans="1:22">
      <c r="A1292" s="165" t="s">
        <v>5486</v>
      </c>
      <c r="B1292" s="94">
        <v>1282</v>
      </c>
      <c r="C1292" s="165" t="s">
        <v>906</v>
      </c>
      <c r="D1292" s="165">
        <v>4</v>
      </c>
      <c r="E1292" s="165" t="s">
        <v>5492</v>
      </c>
      <c r="F1292" s="165" t="s">
        <v>5481</v>
      </c>
      <c r="G1292" s="165"/>
      <c r="H1292" s="165">
        <v>14175</v>
      </c>
      <c r="I1292" s="165"/>
      <c r="J1292" s="165"/>
      <c r="K1292" s="338"/>
      <c r="L1292" s="338">
        <v>14175</v>
      </c>
      <c r="M1292" s="165"/>
      <c r="N1292" s="165"/>
      <c r="O1292" s="337">
        <f t="shared" ref="O1292:O1349" si="48">G1292+H1292+I1292-J1292-K1292-L1292</f>
        <v>0</v>
      </c>
      <c r="P1292" s="165" t="s">
        <v>5481</v>
      </c>
      <c r="Q1292" s="165" t="s">
        <v>5481</v>
      </c>
      <c r="R1292" s="3">
        <f t="shared" si="47"/>
        <v>14175</v>
      </c>
      <c r="S1292" s="337">
        <v>14175</v>
      </c>
      <c r="T1292"/>
      <c r="U1292" s="3"/>
    </row>
    <row r="1293" spans="1:22">
      <c r="A1293" s="165" t="s">
        <v>5486</v>
      </c>
      <c r="B1293" s="94">
        <v>1283</v>
      </c>
      <c r="C1293" s="165" t="s">
        <v>906</v>
      </c>
      <c r="D1293" s="165">
        <v>5</v>
      </c>
      <c r="E1293" s="165" t="s">
        <v>5493</v>
      </c>
      <c r="F1293" s="165" t="s">
        <v>5482</v>
      </c>
      <c r="G1293" s="165"/>
      <c r="H1293" s="165">
        <v>14175</v>
      </c>
      <c r="I1293" s="165"/>
      <c r="J1293" s="165"/>
      <c r="K1293" s="338"/>
      <c r="L1293" s="338">
        <v>14175</v>
      </c>
      <c r="M1293" s="165"/>
      <c r="N1293" s="165"/>
      <c r="O1293" s="337">
        <f t="shared" si="48"/>
        <v>0</v>
      </c>
      <c r="P1293" s="165" t="s">
        <v>5482</v>
      </c>
      <c r="Q1293" s="165" t="s">
        <v>5482</v>
      </c>
      <c r="R1293" s="3">
        <f t="shared" si="47"/>
        <v>14175</v>
      </c>
      <c r="S1293" s="337">
        <v>14175</v>
      </c>
      <c r="T1293"/>
      <c r="U1293" s="3"/>
    </row>
    <row r="1294" spans="1:22">
      <c r="A1294" s="165" t="s">
        <v>5486</v>
      </c>
      <c r="B1294" s="94">
        <v>1284</v>
      </c>
      <c r="C1294" s="165" t="s">
        <v>906</v>
      </c>
      <c r="D1294" s="165">
        <v>6</v>
      </c>
      <c r="E1294" s="165" t="s">
        <v>5494</v>
      </c>
      <c r="F1294" s="165" t="s">
        <v>5483</v>
      </c>
      <c r="G1294" s="165"/>
      <c r="H1294" s="165">
        <v>14175</v>
      </c>
      <c r="I1294" s="165"/>
      <c r="J1294" s="165"/>
      <c r="K1294" s="338"/>
      <c r="L1294" s="338">
        <v>14175</v>
      </c>
      <c r="M1294" s="165"/>
      <c r="N1294" s="165"/>
      <c r="O1294" s="337">
        <f t="shared" si="48"/>
        <v>0</v>
      </c>
      <c r="P1294" s="165" t="s">
        <v>9848</v>
      </c>
      <c r="Q1294" s="165" t="s">
        <v>9848</v>
      </c>
      <c r="R1294" s="3">
        <f t="shared" si="47"/>
        <v>14175</v>
      </c>
      <c r="S1294" s="337">
        <v>14175</v>
      </c>
      <c r="T1294"/>
      <c r="U1294" s="3"/>
    </row>
    <row r="1295" spans="1:22">
      <c r="A1295" s="165" t="s">
        <v>5486</v>
      </c>
      <c r="B1295" s="94">
        <v>1285</v>
      </c>
      <c r="C1295" s="165" t="s">
        <v>906</v>
      </c>
      <c r="D1295" s="165">
        <v>7</v>
      </c>
      <c r="E1295" s="165" t="s">
        <v>5495</v>
      </c>
      <c r="F1295" s="165" t="s">
        <v>5484</v>
      </c>
      <c r="G1295" s="165"/>
      <c r="H1295" s="165">
        <v>14175</v>
      </c>
      <c r="I1295" s="165"/>
      <c r="J1295" s="165"/>
      <c r="K1295" s="338"/>
      <c r="L1295" s="338">
        <v>14175</v>
      </c>
      <c r="M1295" s="165"/>
      <c r="N1295" s="165"/>
      <c r="O1295" s="337">
        <f t="shared" si="48"/>
        <v>0</v>
      </c>
      <c r="P1295" s="165" t="s">
        <v>9849</v>
      </c>
      <c r="Q1295" s="165" t="s">
        <v>9849</v>
      </c>
      <c r="R1295" s="3">
        <f t="shared" si="47"/>
        <v>14175</v>
      </c>
      <c r="S1295" s="337">
        <v>14175</v>
      </c>
      <c r="T1295"/>
      <c r="U1295" s="3"/>
    </row>
    <row r="1296" spans="1:22">
      <c r="A1296" s="165" t="s">
        <v>5486</v>
      </c>
      <c r="B1296" s="94">
        <v>1286</v>
      </c>
      <c r="C1296" s="165" t="s">
        <v>906</v>
      </c>
      <c r="D1296" s="165">
        <v>8</v>
      </c>
      <c r="E1296" s="165" t="s">
        <v>5496</v>
      </c>
      <c r="F1296" s="405" t="s">
        <v>5485</v>
      </c>
      <c r="G1296" s="165"/>
      <c r="H1296" s="165">
        <v>14175</v>
      </c>
      <c r="I1296" s="165"/>
      <c r="J1296" s="165"/>
      <c r="K1296" s="338"/>
      <c r="L1296" s="338">
        <v>14175</v>
      </c>
      <c r="M1296" s="165"/>
      <c r="N1296" s="165"/>
      <c r="O1296" s="337">
        <f t="shared" si="48"/>
        <v>0</v>
      </c>
      <c r="P1296" s="165" t="s">
        <v>9700</v>
      </c>
      <c r="Q1296" s="165" t="s">
        <v>5485</v>
      </c>
      <c r="R1296" s="3">
        <f t="shared" si="47"/>
        <v>14175</v>
      </c>
      <c r="S1296" s="337">
        <v>14175</v>
      </c>
      <c r="T1296"/>
      <c r="U1296" s="3"/>
    </row>
    <row r="1297" spans="1:22">
      <c r="A1297" s="165" t="s">
        <v>5375</v>
      </c>
      <c r="B1297" s="94">
        <v>1287</v>
      </c>
      <c r="C1297" s="165" t="s">
        <v>4149</v>
      </c>
      <c r="D1297" s="165">
        <v>1</v>
      </c>
      <c r="E1297" s="165" t="s">
        <v>5522</v>
      </c>
      <c r="F1297" s="165" t="s">
        <v>4226</v>
      </c>
      <c r="G1297" s="165"/>
      <c r="H1297" s="165">
        <v>14175</v>
      </c>
      <c r="I1297" s="165"/>
      <c r="J1297" s="165"/>
      <c r="K1297" s="165">
        <v>14175</v>
      </c>
      <c r="L1297" s="165"/>
      <c r="M1297" s="165"/>
      <c r="N1297" s="165"/>
      <c r="O1297" s="337">
        <f t="shared" si="48"/>
        <v>0</v>
      </c>
      <c r="P1297" s="165" t="s">
        <v>5504</v>
      </c>
      <c r="Q1297" s="165" t="s">
        <v>5505</v>
      </c>
      <c r="R1297" s="3">
        <f t="shared" si="47"/>
        <v>14175</v>
      </c>
      <c r="S1297" s="337">
        <v>14175</v>
      </c>
      <c r="T1297"/>
      <c r="U1297" s="3"/>
    </row>
    <row r="1298" spans="1:22">
      <c r="A1298" s="165" t="s">
        <v>5375</v>
      </c>
      <c r="B1298" s="94">
        <v>1288</v>
      </c>
      <c r="C1298" s="165" t="s">
        <v>4149</v>
      </c>
      <c r="D1298" s="165">
        <v>2</v>
      </c>
      <c r="E1298" s="165" t="s">
        <v>5523</v>
      </c>
      <c r="F1298" s="165" t="s">
        <v>4624</v>
      </c>
      <c r="G1298" s="165"/>
      <c r="H1298" s="165">
        <v>14175</v>
      </c>
      <c r="I1298" s="165"/>
      <c r="J1298" s="165"/>
      <c r="K1298" s="338">
        <v>14175</v>
      </c>
      <c r="L1298" s="338"/>
      <c r="M1298" s="165"/>
      <c r="N1298" s="165"/>
      <c r="O1298" s="337">
        <f t="shared" si="48"/>
        <v>0</v>
      </c>
      <c r="P1298" s="165" t="s">
        <v>5551</v>
      </c>
      <c r="Q1298" s="165" t="s">
        <v>4624</v>
      </c>
      <c r="R1298" s="3">
        <f t="shared" si="47"/>
        <v>14175</v>
      </c>
      <c r="S1298" s="337">
        <v>14175</v>
      </c>
      <c r="T1298"/>
      <c r="U1298" s="3"/>
    </row>
    <row r="1299" spans="1:22">
      <c r="A1299" s="165" t="s">
        <v>5375</v>
      </c>
      <c r="B1299" s="94">
        <v>1289</v>
      </c>
      <c r="C1299" s="165" t="s">
        <v>4149</v>
      </c>
      <c r="D1299" s="165">
        <v>3</v>
      </c>
      <c r="E1299" s="165" t="s">
        <v>5524</v>
      </c>
      <c r="F1299" s="165" t="s">
        <v>4625</v>
      </c>
      <c r="G1299" s="165"/>
      <c r="H1299" s="165">
        <v>14175</v>
      </c>
      <c r="I1299" s="165"/>
      <c r="J1299" s="165"/>
      <c r="K1299" s="338"/>
      <c r="L1299" s="338">
        <v>14175</v>
      </c>
      <c r="M1299" s="165"/>
      <c r="N1299" s="165"/>
      <c r="O1299" s="337">
        <f t="shared" si="48"/>
        <v>0</v>
      </c>
      <c r="P1299" s="165" t="s">
        <v>4655</v>
      </c>
      <c r="Q1299" s="165" t="s">
        <v>4655</v>
      </c>
      <c r="R1299" s="3">
        <f t="shared" si="47"/>
        <v>14175</v>
      </c>
      <c r="S1299" s="337">
        <v>14175</v>
      </c>
      <c r="T1299"/>
      <c r="U1299" s="3"/>
    </row>
    <row r="1300" spans="1:22">
      <c r="A1300" s="165" t="s">
        <v>5375</v>
      </c>
      <c r="B1300" s="94">
        <v>1290</v>
      </c>
      <c r="C1300" s="165" t="s">
        <v>4149</v>
      </c>
      <c r="D1300" s="165">
        <v>4</v>
      </c>
      <c r="E1300" s="165" t="s">
        <v>5525</v>
      </c>
      <c r="F1300" s="165" t="s">
        <v>5347</v>
      </c>
      <c r="G1300" s="165"/>
      <c r="H1300" s="165">
        <v>14175</v>
      </c>
      <c r="I1300" s="165"/>
      <c r="J1300" s="165"/>
      <c r="K1300" s="338"/>
      <c r="L1300" s="338">
        <v>14175</v>
      </c>
      <c r="M1300" s="165"/>
      <c r="N1300" s="165"/>
      <c r="O1300" s="337">
        <f t="shared" si="48"/>
        <v>0</v>
      </c>
      <c r="P1300" s="165" t="s">
        <v>5347</v>
      </c>
      <c r="Q1300" s="165" t="s">
        <v>5347</v>
      </c>
      <c r="R1300" s="3">
        <f t="shared" si="47"/>
        <v>14175</v>
      </c>
      <c r="S1300" s="337">
        <v>14175</v>
      </c>
      <c r="T1300"/>
      <c r="U1300" s="3"/>
    </row>
    <row r="1301" spans="1:22">
      <c r="A1301" s="165" t="s">
        <v>5375</v>
      </c>
      <c r="B1301" s="94">
        <v>1291</v>
      </c>
      <c r="C1301" s="165" t="s">
        <v>4149</v>
      </c>
      <c r="D1301" s="165">
        <v>5</v>
      </c>
      <c r="E1301" s="165" t="s">
        <v>5526</v>
      </c>
      <c r="F1301" s="165" t="s">
        <v>5348</v>
      </c>
      <c r="G1301" s="165"/>
      <c r="H1301" s="165">
        <v>14175</v>
      </c>
      <c r="I1301" s="165"/>
      <c r="J1301" s="165"/>
      <c r="K1301" s="338"/>
      <c r="L1301" s="338">
        <v>14175</v>
      </c>
      <c r="M1301" s="165"/>
      <c r="N1301" s="165"/>
      <c r="O1301" s="337">
        <f t="shared" si="48"/>
        <v>0</v>
      </c>
      <c r="P1301" s="165" t="s">
        <v>5348</v>
      </c>
      <c r="Q1301" s="165" t="s">
        <v>5348</v>
      </c>
      <c r="R1301" s="3">
        <f t="shared" si="47"/>
        <v>14175</v>
      </c>
      <c r="S1301" s="337">
        <v>14175</v>
      </c>
      <c r="T1301"/>
      <c r="U1301" s="3"/>
    </row>
    <row r="1302" spans="1:22">
      <c r="A1302" s="165" t="s">
        <v>5375</v>
      </c>
      <c r="B1302" s="94">
        <v>1292</v>
      </c>
      <c r="C1302" s="165" t="s">
        <v>4149</v>
      </c>
      <c r="D1302" s="165">
        <v>6</v>
      </c>
      <c r="E1302" s="165" t="s">
        <v>5527</v>
      </c>
      <c r="F1302" s="165" t="s">
        <v>5349</v>
      </c>
      <c r="G1302" s="165"/>
      <c r="H1302" s="165">
        <v>14175</v>
      </c>
      <c r="I1302" s="165"/>
      <c r="J1302" s="165"/>
      <c r="K1302" s="338"/>
      <c r="L1302" s="338">
        <v>14175</v>
      </c>
      <c r="M1302" s="165"/>
      <c r="N1302" s="165"/>
      <c r="O1302" s="337">
        <f t="shared" si="48"/>
        <v>0</v>
      </c>
      <c r="P1302" s="165" t="s">
        <v>5349</v>
      </c>
      <c r="Q1302" s="165" t="s">
        <v>5349</v>
      </c>
      <c r="R1302" s="3">
        <f t="shared" si="47"/>
        <v>14175</v>
      </c>
      <c r="S1302" s="337">
        <v>14175</v>
      </c>
      <c r="T1302"/>
      <c r="U1302" s="3"/>
    </row>
    <row r="1303" spans="1:22">
      <c r="A1303" s="165" t="s">
        <v>5375</v>
      </c>
      <c r="B1303" s="94">
        <v>1293</v>
      </c>
      <c r="C1303" s="165" t="s">
        <v>4149</v>
      </c>
      <c r="D1303" s="165">
        <v>7</v>
      </c>
      <c r="E1303" s="165" t="s">
        <v>5528</v>
      </c>
      <c r="F1303" s="405" t="s">
        <v>5463</v>
      </c>
      <c r="G1303" s="165"/>
      <c r="H1303" s="165">
        <v>14175</v>
      </c>
      <c r="I1303" s="165"/>
      <c r="J1303" s="165"/>
      <c r="K1303" s="338"/>
      <c r="L1303" s="338">
        <v>14175</v>
      </c>
      <c r="M1303" s="165"/>
      <c r="N1303" s="165"/>
      <c r="O1303" s="337">
        <f t="shared" si="48"/>
        <v>0</v>
      </c>
      <c r="P1303" s="165" t="s">
        <v>10819</v>
      </c>
      <c r="Q1303" s="165" t="s">
        <v>5463</v>
      </c>
      <c r="R1303" s="3">
        <f t="shared" si="47"/>
        <v>14175</v>
      </c>
      <c r="S1303" s="337">
        <v>14175</v>
      </c>
      <c r="T1303"/>
      <c r="U1303" s="3"/>
    </row>
    <row r="1304" spans="1:22">
      <c r="A1304" s="165" t="s">
        <v>5375</v>
      </c>
      <c r="B1304" s="94">
        <v>1294</v>
      </c>
      <c r="C1304" s="165" t="s">
        <v>4149</v>
      </c>
      <c r="D1304" s="165">
        <v>8</v>
      </c>
      <c r="E1304" s="165" t="s">
        <v>5529</v>
      </c>
      <c r="F1304" s="405" t="s">
        <v>5530</v>
      </c>
      <c r="G1304" s="165"/>
      <c r="H1304" s="165">
        <v>14175</v>
      </c>
      <c r="I1304" s="165"/>
      <c r="J1304" s="165"/>
      <c r="K1304" s="338"/>
      <c r="L1304" s="338">
        <v>14175</v>
      </c>
      <c r="M1304" s="165"/>
      <c r="N1304" s="165"/>
      <c r="O1304" s="337">
        <f t="shared" si="48"/>
        <v>0</v>
      </c>
      <c r="P1304" s="165" t="s">
        <v>8973</v>
      </c>
      <c r="Q1304" s="165" t="s">
        <v>10875</v>
      </c>
      <c r="R1304" s="3">
        <f t="shared" si="47"/>
        <v>14175</v>
      </c>
      <c r="S1304" s="337">
        <v>14175</v>
      </c>
      <c r="T1304"/>
      <c r="U1304" s="3"/>
    </row>
    <row r="1305" spans="1:22">
      <c r="A1305" s="565" t="s">
        <v>4735</v>
      </c>
      <c r="B1305" s="94">
        <v>1295</v>
      </c>
      <c r="C1305" s="565" t="s">
        <v>4182</v>
      </c>
      <c r="D1305" s="565">
        <v>1</v>
      </c>
      <c r="E1305" s="565" t="s">
        <v>5581</v>
      </c>
      <c r="F1305" s="565" t="s">
        <v>5343</v>
      </c>
      <c r="G1305" s="565"/>
      <c r="H1305" s="565">
        <v>11970</v>
      </c>
      <c r="I1305" s="565"/>
      <c r="J1305" s="565"/>
      <c r="K1305" s="565"/>
      <c r="L1305" s="565">
        <v>11970</v>
      </c>
      <c r="M1305" s="565"/>
      <c r="N1305" s="565"/>
      <c r="O1305" s="337">
        <f t="shared" si="48"/>
        <v>0</v>
      </c>
      <c r="P1305" s="565" t="s">
        <v>9667</v>
      </c>
      <c r="Q1305" s="565" t="s">
        <v>9667</v>
      </c>
      <c r="R1305" s="629">
        <v>11970</v>
      </c>
      <c r="S1305">
        <v>11970</v>
      </c>
      <c r="T1305"/>
      <c r="U1305" s="3"/>
      <c r="V1305" s="271" t="s">
        <v>5545</v>
      </c>
    </row>
    <row r="1306" spans="1:22">
      <c r="A1306" s="336" t="s">
        <v>4735</v>
      </c>
      <c r="B1306" s="94">
        <v>1296</v>
      </c>
      <c r="C1306" s="336" t="s">
        <v>4182</v>
      </c>
      <c r="D1306" s="336">
        <v>2</v>
      </c>
      <c r="E1306" s="336" t="s">
        <v>5582</v>
      </c>
      <c r="F1306" s="336" t="s">
        <v>5588</v>
      </c>
      <c r="G1306" s="336"/>
      <c r="H1306" s="336">
        <v>11970</v>
      </c>
      <c r="I1306" s="336"/>
      <c r="J1306" s="336"/>
      <c r="K1306" s="336"/>
      <c r="L1306" s="336">
        <v>11970</v>
      </c>
      <c r="M1306" s="336"/>
      <c r="N1306" s="336"/>
      <c r="O1306" s="337">
        <f t="shared" si="48"/>
        <v>0</v>
      </c>
      <c r="P1306" s="336" t="s">
        <v>9628</v>
      </c>
      <c r="Q1306" s="336" t="s">
        <v>9628</v>
      </c>
      <c r="R1306" s="583">
        <v>11970</v>
      </c>
      <c r="S1306">
        <v>11970</v>
      </c>
      <c r="T1306"/>
      <c r="U1306" s="3"/>
      <c r="V1306" s="271"/>
    </row>
    <row r="1307" spans="1:22">
      <c r="A1307" s="336" t="s">
        <v>4735</v>
      </c>
      <c r="B1307" s="94">
        <v>1297</v>
      </c>
      <c r="C1307" s="336" t="s">
        <v>4182</v>
      </c>
      <c r="D1307" s="336">
        <v>3</v>
      </c>
      <c r="E1307" s="336" t="s">
        <v>5583</v>
      </c>
      <c r="F1307" s="336" t="s">
        <v>5344</v>
      </c>
      <c r="G1307" s="336"/>
      <c r="H1307" s="336">
        <v>11970</v>
      </c>
      <c r="I1307" s="336"/>
      <c r="J1307" s="336"/>
      <c r="K1307" s="336"/>
      <c r="L1307" s="336">
        <v>11970</v>
      </c>
      <c r="M1307" s="336"/>
      <c r="N1307" s="336"/>
      <c r="O1307" s="337">
        <f t="shared" si="48"/>
        <v>0</v>
      </c>
      <c r="P1307" s="336" t="s">
        <v>5344</v>
      </c>
      <c r="Q1307" s="336" t="s">
        <v>5344</v>
      </c>
      <c r="R1307" s="583">
        <v>11970</v>
      </c>
      <c r="S1307">
        <v>11970</v>
      </c>
      <c r="T1307"/>
      <c r="U1307" s="3"/>
      <c r="V1307" s="271"/>
    </row>
    <row r="1308" spans="1:22">
      <c r="A1308" s="336" t="s">
        <v>4735</v>
      </c>
      <c r="B1308" s="94">
        <v>1298</v>
      </c>
      <c r="C1308" s="336" t="s">
        <v>4182</v>
      </c>
      <c r="D1308" s="336">
        <v>4</v>
      </c>
      <c r="E1308" s="336" t="s">
        <v>5584</v>
      </c>
      <c r="F1308" s="336" t="s">
        <v>5589</v>
      </c>
      <c r="G1308" s="336"/>
      <c r="H1308" s="336">
        <v>11970</v>
      </c>
      <c r="I1308" s="336"/>
      <c r="J1308" s="336"/>
      <c r="K1308" s="336"/>
      <c r="L1308" s="336">
        <v>11970</v>
      </c>
      <c r="M1308" s="336"/>
      <c r="N1308" s="336"/>
      <c r="O1308" s="337">
        <f t="shared" si="48"/>
        <v>0</v>
      </c>
      <c r="P1308" s="336" t="s">
        <v>9636</v>
      </c>
      <c r="Q1308" s="336" t="s">
        <v>9636</v>
      </c>
      <c r="R1308" s="583">
        <v>11970</v>
      </c>
      <c r="S1308">
        <v>11970</v>
      </c>
      <c r="T1308"/>
      <c r="U1308" s="3"/>
      <c r="V1308" s="271"/>
    </row>
    <row r="1309" spans="1:22">
      <c r="A1309" s="565" t="s">
        <v>4735</v>
      </c>
      <c r="B1309" s="94">
        <v>1299</v>
      </c>
      <c r="C1309" s="565" t="s">
        <v>4182</v>
      </c>
      <c r="D1309" s="565">
        <v>5</v>
      </c>
      <c r="E1309" s="565" t="s">
        <v>5544</v>
      </c>
      <c r="F1309" s="565" t="s">
        <v>5345</v>
      </c>
      <c r="G1309" s="565"/>
      <c r="H1309" s="565">
        <v>11970</v>
      </c>
      <c r="I1309" s="565"/>
      <c r="J1309" s="565"/>
      <c r="K1309" s="565"/>
      <c r="L1309" s="565">
        <v>11970</v>
      </c>
      <c r="M1309" s="565"/>
      <c r="N1309" s="565"/>
      <c r="O1309" s="337">
        <f t="shared" si="48"/>
        <v>0</v>
      </c>
      <c r="P1309" s="565" t="s">
        <v>5504</v>
      </c>
      <c r="Q1309" s="565" t="s">
        <v>8809</v>
      </c>
      <c r="R1309" s="629">
        <v>11970</v>
      </c>
      <c r="S1309">
        <v>11970</v>
      </c>
      <c r="T1309"/>
      <c r="U1309" s="3"/>
      <c r="V1309" s="271" t="s">
        <v>5545</v>
      </c>
    </row>
    <row r="1310" spans="1:22">
      <c r="A1310" s="336" t="s">
        <v>4735</v>
      </c>
      <c r="B1310" s="94">
        <v>1300</v>
      </c>
      <c r="C1310" s="336" t="s">
        <v>4182</v>
      </c>
      <c r="D1310" s="336">
        <v>6</v>
      </c>
      <c r="E1310" s="336" t="s">
        <v>5585</v>
      </c>
      <c r="F1310" s="336" t="s">
        <v>5346</v>
      </c>
      <c r="G1310" s="336"/>
      <c r="H1310" s="336">
        <v>11970</v>
      </c>
      <c r="I1310" s="336"/>
      <c r="J1310" s="336"/>
      <c r="K1310" s="336"/>
      <c r="L1310" s="336">
        <v>11970</v>
      </c>
      <c r="M1310" s="336"/>
      <c r="N1310" s="336"/>
      <c r="O1310" s="337">
        <f t="shared" si="48"/>
        <v>0</v>
      </c>
      <c r="P1310" s="336" t="s">
        <v>8839</v>
      </c>
      <c r="Q1310" s="336" t="s">
        <v>10818</v>
      </c>
      <c r="R1310" s="583">
        <v>11970</v>
      </c>
      <c r="S1310">
        <v>11970</v>
      </c>
      <c r="T1310"/>
      <c r="U1310" s="3"/>
      <c r="V1310" s="271"/>
    </row>
    <row r="1311" spans="1:22">
      <c r="A1311" s="336" t="s">
        <v>4735</v>
      </c>
      <c r="B1311" s="94">
        <v>1301</v>
      </c>
      <c r="C1311" s="336" t="s">
        <v>4182</v>
      </c>
      <c r="D1311" s="336">
        <v>7</v>
      </c>
      <c r="E1311" s="336" t="s">
        <v>5586</v>
      </c>
      <c r="F1311" s="336" t="s">
        <v>5590</v>
      </c>
      <c r="G1311" s="336"/>
      <c r="H1311" s="336">
        <v>11970</v>
      </c>
      <c r="I1311" s="336"/>
      <c r="J1311" s="336"/>
      <c r="K1311" s="336"/>
      <c r="L1311" s="336">
        <v>11970</v>
      </c>
      <c r="M1311" s="336"/>
      <c r="N1311" s="336"/>
      <c r="O1311" s="337">
        <f t="shared" si="48"/>
        <v>0</v>
      </c>
      <c r="P1311" s="336" t="s">
        <v>9700</v>
      </c>
      <c r="Q1311" s="336" t="s">
        <v>5590</v>
      </c>
      <c r="R1311" s="583">
        <v>11970</v>
      </c>
      <c r="S1311">
        <v>11970</v>
      </c>
      <c r="T1311"/>
      <c r="U1311" s="3"/>
      <c r="V1311" s="271"/>
    </row>
    <row r="1312" spans="1:22">
      <c r="A1312" s="336" t="s">
        <v>4735</v>
      </c>
      <c r="B1312" s="94">
        <v>1302</v>
      </c>
      <c r="C1312" s="336" t="s">
        <v>4182</v>
      </c>
      <c r="D1312" s="336">
        <v>8</v>
      </c>
      <c r="E1312" s="336" t="s">
        <v>5587</v>
      </c>
      <c r="F1312" s="336" t="s">
        <v>5591</v>
      </c>
      <c r="G1312" s="336"/>
      <c r="H1312" s="336">
        <v>11970</v>
      </c>
      <c r="I1312" s="336"/>
      <c r="J1312" s="336"/>
      <c r="K1312" s="336"/>
      <c r="L1312" s="336">
        <v>11970</v>
      </c>
      <c r="M1312" s="336"/>
      <c r="N1312" s="336"/>
      <c r="O1312" s="337">
        <f t="shared" si="48"/>
        <v>0</v>
      </c>
      <c r="P1312" s="336" t="s">
        <v>9702</v>
      </c>
      <c r="Q1312" s="336" t="s">
        <v>9924</v>
      </c>
      <c r="R1312" s="583">
        <v>11970</v>
      </c>
      <c r="S1312">
        <v>11970</v>
      </c>
      <c r="T1312"/>
      <c r="U1312" s="3"/>
      <c r="V1312" s="271"/>
    </row>
    <row r="1313" spans="1:22">
      <c r="A1313" s="165" t="s">
        <v>5502</v>
      </c>
      <c r="B1313" s="94">
        <v>1303</v>
      </c>
      <c r="C1313" s="165" t="s">
        <v>4230</v>
      </c>
      <c r="D1313" s="165">
        <v>1</v>
      </c>
      <c r="E1313" s="165" t="s">
        <v>5503</v>
      </c>
      <c r="F1313" s="165" t="s">
        <v>4653</v>
      </c>
      <c r="G1313" s="165"/>
      <c r="H1313" s="165">
        <v>3780</v>
      </c>
      <c r="I1313" s="165"/>
      <c r="J1313" s="165"/>
      <c r="K1313" s="165">
        <v>3780</v>
      </c>
      <c r="L1313" s="165"/>
      <c r="M1313" s="165"/>
      <c r="N1313" s="165"/>
      <c r="O1313" s="337">
        <f t="shared" si="48"/>
        <v>0</v>
      </c>
      <c r="P1313" s="165" t="s">
        <v>5504</v>
      </c>
      <c r="Q1313" s="165" t="s">
        <v>5505</v>
      </c>
      <c r="R1313" s="3">
        <f t="shared" ref="R1313:R1324" si="49">H1313</f>
        <v>3780</v>
      </c>
      <c r="S1313" s="337">
        <v>3780</v>
      </c>
      <c r="T1313"/>
      <c r="U1313" s="3"/>
    </row>
    <row r="1314" spans="1:22">
      <c r="A1314" s="165" t="s">
        <v>5502</v>
      </c>
      <c r="B1314" s="94">
        <v>1304</v>
      </c>
      <c r="C1314" s="165" t="s">
        <v>4230</v>
      </c>
      <c r="D1314" s="165">
        <v>2</v>
      </c>
      <c r="E1314" s="165" t="s">
        <v>5510</v>
      </c>
      <c r="F1314" s="165" t="s">
        <v>5506</v>
      </c>
      <c r="G1314" s="165"/>
      <c r="H1314" s="165">
        <v>3780</v>
      </c>
      <c r="I1314" s="165"/>
      <c r="J1314" s="165"/>
      <c r="K1314" s="338">
        <v>3780</v>
      </c>
      <c r="L1314" s="338"/>
      <c r="M1314" s="165"/>
      <c r="N1314" s="165"/>
      <c r="O1314" s="337">
        <f t="shared" si="48"/>
        <v>0</v>
      </c>
      <c r="P1314" s="165" t="s">
        <v>5504</v>
      </c>
      <c r="Q1314" s="165" t="s">
        <v>5546</v>
      </c>
      <c r="R1314" s="3">
        <f t="shared" si="49"/>
        <v>3780</v>
      </c>
      <c r="S1314" s="337">
        <v>3780</v>
      </c>
      <c r="T1314"/>
      <c r="U1314" s="3"/>
    </row>
    <row r="1315" spans="1:22">
      <c r="A1315" s="165" t="s">
        <v>5502</v>
      </c>
      <c r="B1315" s="94">
        <v>1305</v>
      </c>
      <c r="C1315" s="165" t="s">
        <v>4230</v>
      </c>
      <c r="D1315" s="165">
        <v>3</v>
      </c>
      <c r="E1315" s="165" t="s">
        <v>5511</v>
      </c>
      <c r="F1315" s="165" t="s">
        <v>5429</v>
      </c>
      <c r="G1315" s="165"/>
      <c r="H1315" s="165">
        <v>3780</v>
      </c>
      <c r="I1315" s="165"/>
      <c r="J1315" s="165"/>
      <c r="K1315" s="338">
        <v>3780</v>
      </c>
      <c r="L1315" s="338"/>
      <c r="M1315" s="165"/>
      <c r="N1315" s="165"/>
      <c r="O1315" s="337">
        <f t="shared" si="48"/>
        <v>0</v>
      </c>
      <c r="P1315" s="165" t="s">
        <v>5263</v>
      </c>
      <c r="Q1315" s="165" t="s">
        <v>5429</v>
      </c>
      <c r="R1315" s="3">
        <f t="shared" si="49"/>
        <v>3780</v>
      </c>
      <c r="S1315" s="337">
        <v>3780</v>
      </c>
      <c r="T1315"/>
      <c r="U1315" s="3"/>
    </row>
    <row r="1316" spans="1:22">
      <c r="A1316" s="165" t="s">
        <v>5502</v>
      </c>
      <c r="B1316" s="94">
        <v>1306</v>
      </c>
      <c r="C1316" s="165" t="s">
        <v>4230</v>
      </c>
      <c r="D1316" s="165">
        <v>4</v>
      </c>
      <c r="E1316" s="165" t="s">
        <v>5512</v>
      </c>
      <c r="F1316" s="165" t="s">
        <v>4654</v>
      </c>
      <c r="G1316" s="165"/>
      <c r="H1316" s="165">
        <v>3780</v>
      </c>
      <c r="I1316" s="165"/>
      <c r="J1316" s="165"/>
      <c r="K1316" s="338">
        <v>3780</v>
      </c>
      <c r="L1316" s="338"/>
      <c r="M1316" s="165"/>
      <c r="N1316" s="165"/>
      <c r="O1316" s="337">
        <f t="shared" si="48"/>
        <v>0</v>
      </c>
      <c r="P1316" s="165" t="s">
        <v>5551</v>
      </c>
      <c r="Q1316" s="165" t="s">
        <v>4654</v>
      </c>
      <c r="R1316" s="3">
        <f t="shared" si="49"/>
        <v>3780</v>
      </c>
      <c r="S1316" s="337">
        <v>3780</v>
      </c>
      <c r="T1316"/>
      <c r="U1316" s="3"/>
    </row>
    <row r="1317" spans="1:22">
      <c r="A1317" s="165" t="s">
        <v>5502</v>
      </c>
      <c r="B1317" s="94">
        <v>1307</v>
      </c>
      <c r="C1317" s="165" t="s">
        <v>4230</v>
      </c>
      <c r="D1317" s="165">
        <v>5</v>
      </c>
      <c r="E1317" s="165" t="s">
        <v>5513</v>
      </c>
      <c r="F1317" s="165" t="s">
        <v>5507</v>
      </c>
      <c r="G1317" s="165"/>
      <c r="H1317" s="165">
        <v>3780</v>
      </c>
      <c r="I1317" s="165"/>
      <c r="J1317" s="165"/>
      <c r="K1317" s="338"/>
      <c r="L1317" s="338">
        <v>3780</v>
      </c>
      <c r="M1317" s="165"/>
      <c r="N1317" s="165"/>
      <c r="O1317" s="337">
        <f t="shared" si="48"/>
        <v>0</v>
      </c>
      <c r="P1317" s="165" t="s">
        <v>9628</v>
      </c>
      <c r="Q1317" s="165" t="s">
        <v>9628</v>
      </c>
      <c r="R1317" s="3">
        <f t="shared" si="49"/>
        <v>3780</v>
      </c>
      <c r="S1317" s="337">
        <v>3780</v>
      </c>
      <c r="T1317"/>
      <c r="U1317" s="3"/>
    </row>
    <row r="1318" spans="1:22">
      <c r="A1318" s="165" t="s">
        <v>5502</v>
      </c>
      <c r="B1318" s="94">
        <v>1308</v>
      </c>
      <c r="C1318" s="165" t="s">
        <v>4230</v>
      </c>
      <c r="D1318" s="165">
        <v>6</v>
      </c>
      <c r="E1318" s="165" t="s">
        <v>5514</v>
      </c>
      <c r="F1318" s="165" t="s">
        <v>5430</v>
      </c>
      <c r="G1318" s="165"/>
      <c r="H1318" s="165">
        <v>3780</v>
      </c>
      <c r="I1318" s="165"/>
      <c r="J1318" s="165"/>
      <c r="K1318" s="338"/>
      <c r="L1318" s="338">
        <v>3780</v>
      </c>
      <c r="M1318" s="165"/>
      <c r="N1318" s="165"/>
      <c r="O1318" s="337">
        <f t="shared" si="48"/>
        <v>0</v>
      </c>
      <c r="P1318" s="165" t="s">
        <v>4640</v>
      </c>
      <c r="Q1318" s="165" t="s">
        <v>4640</v>
      </c>
      <c r="R1318" s="3">
        <f t="shared" si="49"/>
        <v>3780</v>
      </c>
      <c r="S1318" s="337">
        <v>3780</v>
      </c>
      <c r="T1318"/>
      <c r="U1318" s="3"/>
    </row>
    <row r="1319" spans="1:22">
      <c r="A1319" s="165" t="s">
        <v>5502</v>
      </c>
      <c r="B1319" s="94">
        <v>1309</v>
      </c>
      <c r="C1319" s="165" t="s">
        <v>4230</v>
      </c>
      <c r="D1319" s="165">
        <v>7</v>
      </c>
      <c r="E1319" s="165" t="s">
        <v>5515</v>
      </c>
      <c r="F1319" s="165" t="s">
        <v>4655</v>
      </c>
      <c r="G1319" s="165"/>
      <c r="H1319" s="165">
        <v>3780</v>
      </c>
      <c r="I1319" s="165"/>
      <c r="J1319" s="165"/>
      <c r="K1319" s="338"/>
      <c r="L1319" s="338">
        <v>3780</v>
      </c>
      <c r="M1319" s="165"/>
      <c r="N1319" s="165"/>
      <c r="O1319" s="337">
        <f t="shared" si="48"/>
        <v>0</v>
      </c>
      <c r="P1319" s="165" t="s">
        <v>4655</v>
      </c>
      <c r="Q1319" s="165" t="s">
        <v>4655</v>
      </c>
      <c r="R1319" s="3">
        <f t="shared" si="49"/>
        <v>3780</v>
      </c>
      <c r="S1319" s="337">
        <v>3780</v>
      </c>
      <c r="T1319"/>
      <c r="U1319" s="3"/>
    </row>
    <row r="1320" spans="1:22">
      <c r="A1320" s="165" t="s">
        <v>5502</v>
      </c>
      <c r="B1320" s="94">
        <v>1310</v>
      </c>
      <c r="C1320" s="165" t="s">
        <v>4230</v>
      </c>
      <c r="D1320" s="165">
        <v>8</v>
      </c>
      <c r="E1320" s="165" t="s">
        <v>5516</v>
      </c>
      <c r="F1320" s="165" t="s">
        <v>5508</v>
      </c>
      <c r="G1320" s="165"/>
      <c r="H1320" s="165">
        <v>3780</v>
      </c>
      <c r="I1320" s="165"/>
      <c r="J1320" s="165"/>
      <c r="K1320" s="338"/>
      <c r="L1320" s="338">
        <v>3780</v>
      </c>
      <c r="M1320" s="165"/>
      <c r="N1320" s="165"/>
      <c r="O1320" s="337">
        <f t="shared" si="48"/>
        <v>0</v>
      </c>
      <c r="P1320" s="165" t="s">
        <v>9633</v>
      </c>
      <c r="Q1320" s="165" t="s">
        <v>9633</v>
      </c>
      <c r="R1320" s="3">
        <f t="shared" si="49"/>
        <v>3780</v>
      </c>
      <c r="S1320" s="337">
        <v>3780</v>
      </c>
      <c r="T1320"/>
      <c r="U1320" s="3"/>
    </row>
    <row r="1321" spans="1:22">
      <c r="A1321" s="165" t="s">
        <v>5502</v>
      </c>
      <c r="B1321" s="94">
        <v>1311</v>
      </c>
      <c r="C1321" s="165" t="s">
        <v>4230</v>
      </c>
      <c r="D1321" s="165">
        <v>9</v>
      </c>
      <c r="E1321" s="165" t="s">
        <v>5517</v>
      </c>
      <c r="F1321" s="165" t="s">
        <v>5431</v>
      </c>
      <c r="G1321" s="165"/>
      <c r="H1321" s="165">
        <v>3780</v>
      </c>
      <c r="I1321" s="165"/>
      <c r="J1321" s="165"/>
      <c r="K1321" s="338"/>
      <c r="L1321" s="338">
        <v>3780</v>
      </c>
      <c r="M1321" s="165"/>
      <c r="N1321" s="165"/>
      <c r="O1321" s="337">
        <f t="shared" si="48"/>
        <v>0</v>
      </c>
      <c r="P1321" s="165" t="s">
        <v>9634</v>
      </c>
      <c r="Q1321" s="165" t="s">
        <v>9634</v>
      </c>
      <c r="R1321" s="3">
        <f t="shared" si="49"/>
        <v>3780</v>
      </c>
      <c r="S1321" s="337">
        <v>3780</v>
      </c>
      <c r="T1321"/>
      <c r="U1321" s="3"/>
    </row>
    <row r="1322" spans="1:22">
      <c r="A1322" s="165" t="s">
        <v>5502</v>
      </c>
      <c r="B1322" s="94">
        <v>1312</v>
      </c>
      <c r="C1322" s="165" t="s">
        <v>4230</v>
      </c>
      <c r="D1322" s="165">
        <v>10</v>
      </c>
      <c r="E1322" s="165" t="s">
        <v>5518</v>
      </c>
      <c r="F1322" s="165" t="s">
        <v>4656</v>
      </c>
      <c r="G1322" s="165"/>
      <c r="H1322" s="165">
        <v>3780</v>
      </c>
      <c r="I1322" s="165"/>
      <c r="J1322" s="165"/>
      <c r="K1322" s="338"/>
      <c r="L1322" s="338">
        <v>3780</v>
      </c>
      <c r="M1322" s="165"/>
      <c r="N1322" s="165"/>
      <c r="O1322" s="337">
        <f t="shared" si="48"/>
        <v>0</v>
      </c>
      <c r="P1322" s="165" t="s">
        <v>4656</v>
      </c>
      <c r="Q1322" s="165" t="s">
        <v>4656</v>
      </c>
      <c r="R1322" s="3">
        <f t="shared" si="49"/>
        <v>3780</v>
      </c>
      <c r="S1322" s="337">
        <v>3780</v>
      </c>
      <c r="T1322"/>
      <c r="U1322" s="3"/>
    </row>
    <row r="1323" spans="1:22">
      <c r="A1323" s="165" t="s">
        <v>5502</v>
      </c>
      <c r="B1323" s="94">
        <v>1313</v>
      </c>
      <c r="C1323" s="165" t="s">
        <v>4230</v>
      </c>
      <c r="D1323" s="165">
        <v>11</v>
      </c>
      <c r="E1323" s="165" t="s">
        <v>5519</v>
      </c>
      <c r="F1323" s="165" t="s">
        <v>5509</v>
      </c>
      <c r="G1323" s="165"/>
      <c r="H1323" s="165">
        <v>3780</v>
      </c>
      <c r="I1323" s="165"/>
      <c r="J1323" s="165"/>
      <c r="K1323" s="338"/>
      <c r="L1323" s="338">
        <v>3780</v>
      </c>
      <c r="M1323" s="165"/>
      <c r="N1323" s="165"/>
      <c r="O1323" s="337">
        <f t="shared" si="48"/>
        <v>0</v>
      </c>
      <c r="P1323" s="165" t="s">
        <v>9636</v>
      </c>
      <c r="Q1323" s="165" t="s">
        <v>9636</v>
      </c>
      <c r="R1323" s="3">
        <f t="shared" si="49"/>
        <v>3780</v>
      </c>
      <c r="S1323" s="337">
        <v>3780</v>
      </c>
      <c r="T1323"/>
      <c r="U1323" s="3"/>
    </row>
    <row r="1324" spans="1:22">
      <c r="A1324" s="165" t="s">
        <v>5502</v>
      </c>
      <c r="B1324" s="94">
        <v>1314</v>
      </c>
      <c r="C1324" s="165" t="s">
        <v>4230</v>
      </c>
      <c r="D1324" s="165">
        <v>12</v>
      </c>
      <c r="E1324" s="165" t="s">
        <v>5520</v>
      </c>
      <c r="F1324" s="165" t="s">
        <v>5432</v>
      </c>
      <c r="G1324" s="165"/>
      <c r="H1324" s="165">
        <v>3780</v>
      </c>
      <c r="I1324" s="165"/>
      <c r="J1324" s="165"/>
      <c r="K1324" s="338"/>
      <c r="L1324" s="338">
        <v>3780</v>
      </c>
      <c r="M1324" s="165"/>
      <c r="N1324" s="165"/>
      <c r="O1324" s="337">
        <f t="shared" si="48"/>
        <v>0</v>
      </c>
      <c r="P1324" s="165" t="s">
        <v>9636</v>
      </c>
      <c r="Q1324" s="165" t="s">
        <v>9636</v>
      </c>
      <c r="R1324" s="3">
        <f t="shared" si="49"/>
        <v>3780</v>
      </c>
      <c r="S1324" s="337">
        <v>3780</v>
      </c>
      <c r="T1324"/>
      <c r="U1324" s="3"/>
    </row>
    <row r="1325" spans="1:22">
      <c r="A1325" s="165" t="s">
        <v>5284</v>
      </c>
      <c r="B1325" s="94">
        <v>1315</v>
      </c>
      <c r="C1325" s="165" t="s">
        <v>4204</v>
      </c>
      <c r="D1325" s="165">
        <v>1</v>
      </c>
      <c r="E1325" s="165" t="s">
        <v>5532</v>
      </c>
      <c r="F1325" s="165" t="s">
        <v>4653</v>
      </c>
      <c r="G1325" s="165"/>
      <c r="H1325" s="165">
        <v>20475</v>
      </c>
      <c r="I1325" s="165"/>
      <c r="J1325" s="165"/>
      <c r="K1325" s="165">
        <v>20475</v>
      </c>
      <c r="L1325" s="165"/>
      <c r="M1325" s="165"/>
      <c r="N1325" s="165"/>
      <c r="O1325" s="337">
        <f t="shared" si="48"/>
        <v>0</v>
      </c>
      <c r="P1325" s="165" t="s">
        <v>5284</v>
      </c>
      <c r="Q1325" s="165" t="s">
        <v>5533</v>
      </c>
      <c r="R1325" s="3">
        <f t="shared" ref="R1325:R1332" si="50">G1325+H1325+I1325</f>
        <v>20475</v>
      </c>
      <c r="S1325" s="165">
        <v>20475</v>
      </c>
      <c r="T1325"/>
      <c r="U1325" s="3"/>
      <c r="V1325" s="271" t="s">
        <v>2740</v>
      </c>
    </row>
    <row r="1326" spans="1:22">
      <c r="A1326" s="165" t="s">
        <v>5284</v>
      </c>
      <c r="B1326" s="94">
        <v>1316</v>
      </c>
      <c r="C1326" s="165" t="s">
        <v>4204</v>
      </c>
      <c r="D1326" s="165">
        <v>2</v>
      </c>
      <c r="E1326" s="165" t="s">
        <v>5534</v>
      </c>
      <c r="F1326" s="165" t="s">
        <v>4736</v>
      </c>
      <c r="G1326" s="165"/>
      <c r="H1326" s="165">
        <v>20475</v>
      </c>
      <c r="I1326" s="165"/>
      <c r="J1326" s="165"/>
      <c r="K1326" s="165">
        <v>20475</v>
      </c>
      <c r="L1326" s="165"/>
      <c r="M1326" s="165"/>
      <c r="N1326" s="165"/>
      <c r="O1326" s="337">
        <f t="shared" si="48"/>
        <v>0</v>
      </c>
      <c r="P1326" s="165" t="s">
        <v>5551</v>
      </c>
      <c r="Q1326" s="165" t="s">
        <v>5552</v>
      </c>
      <c r="R1326" s="3">
        <f t="shared" si="50"/>
        <v>20475</v>
      </c>
      <c r="S1326" s="165">
        <v>20475</v>
      </c>
      <c r="T1326"/>
      <c r="U1326" s="3"/>
      <c r="V1326" s="271" t="s">
        <v>2740</v>
      </c>
    </row>
    <row r="1327" spans="1:22">
      <c r="A1327" s="165" t="s">
        <v>5284</v>
      </c>
      <c r="B1327" s="94">
        <v>1317</v>
      </c>
      <c r="C1327" s="165" t="s">
        <v>4204</v>
      </c>
      <c r="D1327" s="165">
        <v>3</v>
      </c>
      <c r="E1327" s="165" t="s">
        <v>5535</v>
      </c>
      <c r="F1327" s="165" t="s">
        <v>5541</v>
      </c>
      <c r="G1327" s="165"/>
      <c r="H1327" s="165"/>
      <c r="I1327" s="165">
        <v>20475</v>
      </c>
      <c r="J1327" s="165"/>
      <c r="K1327" s="165"/>
      <c r="L1327" s="165">
        <v>20475</v>
      </c>
      <c r="M1327" s="165"/>
      <c r="N1327" s="165"/>
      <c r="O1327" s="337">
        <f t="shared" si="48"/>
        <v>0</v>
      </c>
      <c r="P1327" s="165" t="s">
        <v>5612</v>
      </c>
      <c r="Q1327" s="165" t="s">
        <v>5612</v>
      </c>
      <c r="R1327" s="3">
        <f t="shared" si="50"/>
        <v>20475</v>
      </c>
      <c r="S1327" s="337">
        <v>20475</v>
      </c>
      <c r="T1327"/>
      <c r="U1327" s="3"/>
      <c r="V1327" s="271" t="s">
        <v>2740</v>
      </c>
    </row>
    <row r="1328" spans="1:22">
      <c r="A1328" s="165" t="s">
        <v>5284</v>
      </c>
      <c r="B1328" s="94">
        <v>1318</v>
      </c>
      <c r="C1328" s="165" t="s">
        <v>4204</v>
      </c>
      <c r="D1328" s="165">
        <v>4</v>
      </c>
      <c r="E1328" s="165" t="s">
        <v>5536</v>
      </c>
      <c r="F1328" s="165" t="s">
        <v>4737</v>
      </c>
      <c r="G1328" s="165"/>
      <c r="H1328" s="165"/>
      <c r="I1328" s="165">
        <v>20475</v>
      </c>
      <c r="J1328" s="165"/>
      <c r="K1328" s="165"/>
      <c r="L1328" s="165">
        <v>20475</v>
      </c>
      <c r="M1328" s="165"/>
      <c r="N1328" s="165"/>
      <c r="O1328" s="337">
        <f t="shared" si="48"/>
        <v>0</v>
      </c>
      <c r="P1328" s="165" t="s">
        <v>4737</v>
      </c>
      <c r="Q1328" s="165" t="s">
        <v>4737</v>
      </c>
      <c r="R1328" s="3">
        <f t="shared" si="50"/>
        <v>20475</v>
      </c>
      <c r="S1328" s="337">
        <v>20475</v>
      </c>
      <c r="T1328"/>
      <c r="U1328" s="3"/>
      <c r="V1328" s="271" t="s">
        <v>2740</v>
      </c>
    </row>
    <row r="1329" spans="1:22">
      <c r="A1329" s="165" t="s">
        <v>5284</v>
      </c>
      <c r="B1329" s="94">
        <v>1319</v>
      </c>
      <c r="C1329" s="165" t="s">
        <v>4204</v>
      </c>
      <c r="D1329" s="165">
        <v>5</v>
      </c>
      <c r="E1329" s="165" t="s">
        <v>5537</v>
      </c>
      <c r="F1329" s="165" t="s">
        <v>4738</v>
      </c>
      <c r="G1329" s="165"/>
      <c r="H1329" s="165"/>
      <c r="I1329" s="165">
        <v>20475</v>
      </c>
      <c r="J1329" s="165"/>
      <c r="K1329" s="165"/>
      <c r="L1329" s="165">
        <v>20475</v>
      </c>
      <c r="M1329" s="165"/>
      <c r="N1329" s="165"/>
      <c r="O1329" s="337">
        <f t="shared" si="48"/>
        <v>0</v>
      </c>
      <c r="P1329" s="165" t="s">
        <v>9775</v>
      </c>
      <c r="Q1329" s="165" t="s">
        <v>9775</v>
      </c>
      <c r="R1329" s="3">
        <f t="shared" si="50"/>
        <v>20475</v>
      </c>
      <c r="S1329" s="337">
        <v>20475</v>
      </c>
      <c r="T1329"/>
      <c r="U1329" s="3"/>
      <c r="V1329" s="271" t="s">
        <v>2740</v>
      </c>
    </row>
    <row r="1330" spans="1:22">
      <c r="A1330" s="165" t="s">
        <v>5284</v>
      </c>
      <c r="B1330" s="94">
        <v>1320</v>
      </c>
      <c r="C1330" s="165" t="s">
        <v>4204</v>
      </c>
      <c r="D1330" s="165">
        <v>6</v>
      </c>
      <c r="E1330" s="165" t="s">
        <v>5538</v>
      </c>
      <c r="F1330" s="165" t="s">
        <v>5325</v>
      </c>
      <c r="G1330" s="165"/>
      <c r="H1330" s="165"/>
      <c r="I1330" s="165">
        <v>20475</v>
      </c>
      <c r="J1330" s="165"/>
      <c r="K1330" s="165"/>
      <c r="L1330" s="165">
        <v>20475</v>
      </c>
      <c r="M1330" s="165"/>
      <c r="N1330" s="165"/>
      <c r="O1330" s="337">
        <f t="shared" si="48"/>
        <v>0</v>
      </c>
      <c r="P1330" s="165" t="s">
        <v>8837</v>
      </c>
      <c r="Q1330" s="165" t="s">
        <v>8837</v>
      </c>
      <c r="R1330" s="3">
        <f t="shared" si="50"/>
        <v>20475</v>
      </c>
      <c r="S1330" s="337">
        <v>20475</v>
      </c>
      <c r="T1330"/>
      <c r="U1330" s="3"/>
      <c r="V1330" s="271" t="s">
        <v>2740</v>
      </c>
    </row>
    <row r="1331" spans="1:22">
      <c r="A1331" s="165" t="s">
        <v>5284</v>
      </c>
      <c r="B1331" s="94">
        <v>1321</v>
      </c>
      <c r="C1331" s="165" t="s">
        <v>4204</v>
      </c>
      <c r="D1331" s="165">
        <v>7</v>
      </c>
      <c r="E1331" s="165" t="s">
        <v>5539</v>
      </c>
      <c r="F1331" s="165" t="s">
        <v>5542</v>
      </c>
      <c r="G1331" s="165"/>
      <c r="H1331" s="165">
        <v>20475</v>
      </c>
      <c r="I1331" s="165"/>
      <c r="J1331" s="165"/>
      <c r="K1331" s="165"/>
      <c r="L1331" s="165">
        <v>20475</v>
      </c>
      <c r="M1331" s="165"/>
      <c r="N1331" s="165"/>
      <c r="O1331" s="337">
        <f t="shared" si="48"/>
        <v>0</v>
      </c>
      <c r="P1331" s="165" t="s">
        <v>10819</v>
      </c>
      <c r="Q1331" s="165" t="s">
        <v>9737</v>
      </c>
      <c r="R1331" s="3">
        <f t="shared" si="50"/>
        <v>20475</v>
      </c>
      <c r="S1331" s="337">
        <v>20475</v>
      </c>
      <c r="T1331"/>
      <c r="U1331" s="3"/>
      <c r="V1331" s="691"/>
    </row>
    <row r="1332" spans="1:22">
      <c r="A1332" s="165" t="s">
        <v>5284</v>
      </c>
      <c r="B1332" s="94">
        <v>1322</v>
      </c>
      <c r="C1332" s="165" t="s">
        <v>4204</v>
      </c>
      <c r="D1332" s="165">
        <v>8</v>
      </c>
      <c r="E1332" s="165" t="s">
        <v>5540</v>
      </c>
      <c r="F1332" s="165" t="s">
        <v>5543</v>
      </c>
      <c r="G1332" s="165"/>
      <c r="H1332" s="165">
        <v>20475</v>
      </c>
      <c r="I1332" s="165"/>
      <c r="J1332" s="165"/>
      <c r="K1332" s="165"/>
      <c r="L1332" s="165">
        <v>20475</v>
      </c>
      <c r="M1332" s="165"/>
      <c r="N1332" s="165"/>
      <c r="O1332" s="337">
        <f t="shared" si="48"/>
        <v>0</v>
      </c>
      <c r="P1332" s="165" t="s">
        <v>8973</v>
      </c>
      <c r="Q1332" s="165" t="s">
        <v>5543</v>
      </c>
      <c r="R1332" s="3">
        <f t="shared" si="50"/>
        <v>20475</v>
      </c>
      <c r="S1332" s="337">
        <v>20475</v>
      </c>
      <c r="T1332"/>
      <c r="U1332" s="3"/>
      <c r="V1332" s="338"/>
    </row>
    <row r="1333" spans="1:22">
      <c r="A1333" s="165" t="s">
        <v>5547</v>
      </c>
      <c r="B1333" s="94">
        <v>1323</v>
      </c>
      <c r="C1333" s="165" t="s">
        <v>1232</v>
      </c>
      <c r="D1333" s="165">
        <v>2</v>
      </c>
      <c r="E1333" s="165" t="s">
        <v>5548</v>
      </c>
      <c r="F1333" s="165" t="s">
        <v>5304</v>
      </c>
      <c r="G1333" s="165"/>
      <c r="H1333" s="165">
        <v>16380</v>
      </c>
      <c r="I1333" s="165"/>
      <c r="J1333" s="165"/>
      <c r="K1333" s="165">
        <v>16380</v>
      </c>
      <c r="L1333" s="165"/>
      <c r="M1333" s="165"/>
      <c r="N1333" s="165"/>
      <c r="O1333" s="337">
        <f t="shared" si="48"/>
        <v>0</v>
      </c>
      <c r="P1333" s="165" t="s">
        <v>5263</v>
      </c>
      <c r="Q1333" s="165" t="s">
        <v>5549</v>
      </c>
      <c r="R1333" s="3">
        <f t="shared" ref="R1333:R1349" si="51">H1333</f>
        <v>16380</v>
      </c>
      <c r="S1333" s="337">
        <v>16380</v>
      </c>
      <c r="T1333" s="337"/>
      <c r="U1333" s="3"/>
    </row>
    <row r="1334" spans="1:22">
      <c r="A1334" s="165" t="s">
        <v>5287</v>
      </c>
      <c r="B1334" s="94">
        <v>1324</v>
      </c>
      <c r="C1334" s="165" t="s">
        <v>831</v>
      </c>
      <c r="D1334" s="165">
        <v>1</v>
      </c>
      <c r="E1334" s="165" t="s">
        <v>5553</v>
      </c>
      <c r="F1334" s="165" t="s">
        <v>4624</v>
      </c>
      <c r="G1334" s="165"/>
      <c r="H1334" s="165">
        <v>13500</v>
      </c>
      <c r="I1334" s="165"/>
      <c r="J1334" s="165"/>
      <c r="K1334" s="165">
        <v>13500</v>
      </c>
      <c r="L1334" s="165"/>
      <c r="M1334" s="165"/>
      <c r="N1334" s="165"/>
      <c r="O1334" s="337">
        <f t="shared" si="48"/>
        <v>0</v>
      </c>
      <c r="P1334" s="165" t="s">
        <v>5551</v>
      </c>
      <c r="Q1334" s="165" t="s">
        <v>4624</v>
      </c>
      <c r="R1334" s="3">
        <f t="shared" si="51"/>
        <v>13500</v>
      </c>
      <c r="S1334" s="337">
        <v>13500</v>
      </c>
      <c r="T1334"/>
      <c r="U1334" s="3"/>
    </row>
    <row r="1335" spans="1:22">
      <c r="A1335" s="165" t="s">
        <v>5287</v>
      </c>
      <c r="B1335" s="94">
        <v>1325</v>
      </c>
      <c r="C1335" s="165" t="s">
        <v>831</v>
      </c>
      <c r="D1335" s="165">
        <v>2</v>
      </c>
      <c r="E1335" s="165" t="s">
        <v>5554</v>
      </c>
      <c r="F1335" s="165" t="s">
        <v>4625</v>
      </c>
      <c r="G1335" s="165"/>
      <c r="H1335" s="165">
        <v>13500</v>
      </c>
      <c r="I1335" s="165"/>
      <c r="J1335" s="165"/>
      <c r="K1335" s="338"/>
      <c r="L1335" s="338">
        <v>13500</v>
      </c>
      <c r="M1335" s="165"/>
      <c r="N1335" s="165"/>
      <c r="O1335" s="337">
        <f t="shared" si="48"/>
        <v>0</v>
      </c>
      <c r="P1335" s="165" t="s">
        <v>4655</v>
      </c>
      <c r="Q1335" s="165" t="s">
        <v>4655</v>
      </c>
      <c r="R1335" s="3">
        <f t="shared" si="51"/>
        <v>13500</v>
      </c>
      <c r="S1335" s="337">
        <v>13500</v>
      </c>
      <c r="T1335"/>
      <c r="U1335" s="3"/>
    </row>
    <row r="1336" spans="1:22">
      <c r="A1336" s="165" t="s">
        <v>5287</v>
      </c>
      <c r="B1336" s="94">
        <v>1326</v>
      </c>
      <c r="C1336" s="165" t="s">
        <v>831</v>
      </c>
      <c r="D1336" s="165">
        <v>3</v>
      </c>
      <c r="E1336" s="165" t="s">
        <v>5555</v>
      </c>
      <c r="F1336" s="165" t="s">
        <v>5561</v>
      </c>
      <c r="G1336" s="165"/>
      <c r="H1336" s="165">
        <v>13500</v>
      </c>
      <c r="I1336" s="165"/>
      <c r="J1336" s="165"/>
      <c r="K1336" s="338"/>
      <c r="L1336" s="338">
        <v>13500</v>
      </c>
      <c r="M1336" s="165"/>
      <c r="N1336" s="165"/>
      <c r="O1336" s="337">
        <f t="shared" si="48"/>
        <v>0</v>
      </c>
      <c r="P1336" s="165" t="s">
        <v>5347</v>
      </c>
      <c r="Q1336" s="165" t="s">
        <v>5347</v>
      </c>
      <c r="R1336" s="3">
        <f t="shared" si="51"/>
        <v>13500</v>
      </c>
      <c r="S1336" s="337">
        <v>13500</v>
      </c>
      <c r="T1336"/>
      <c r="U1336" s="3"/>
    </row>
    <row r="1337" spans="1:22">
      <c r="A1337" s="165" t="s">
        <v>5287</v>
      </c>
      <c r="B1337" s="94">
        <v>1327</v>
      </c>
      <c r="C1337" s="165" t="s">
        <v>831</v>
      </c>
      <c r="D1337" s="165">
        <v>4</v>
      </c>
      <c r="E1337" s="165" t="s">
        <v>5556</v>
      </c>
      <c r="F1337" s="165" t="s">
        <v>5348</v>
      </c>
      <c r="G1337" s="165"/>
      <c r="H1337" s="165">
        <v>13500</v>
      </c>
      <c r="I1337" s="165"/>
      <c r="J1337" s="165"/>
      <c r="K1337" s="338"/>
      <c r="L1337" s="338">
        <v>13500</v>
      </c>
      <c r="M1337" s="165"/>
      <c r="N1337" s="165"/>
      <c r="O1337" s="337">
        <f t="shared" si="48"/>
        <v>0</v>
      </c>
      <c r="P1337" s="165" t="s">
        <v>5348</v>
      </c>
      <c r="Q1337" s="165" t="s">
        <v>5348</v>
      </c>
      <c r="R1337" s="3">
        <f t="shared" si="51"/>
        <v>13500</v>
      </c>
      <c r="S1337" s="337">
        <v>13500</v>
      </c>
      <c r="T1337"/>
      <c r="U1337" s="3"/>
    </row>
    <row r="1338" spans="1:22">
      <c r="A1338" s="165" t="s">
        <v>5287</v>
      </c>
      <c r="B1338" s="94">
        <v>1328</v>
      </c>
      <c r="C1338" s="165" t="s">
        <v>831</v>
      </c>
      <c r="D1338" s="165">
        <v>5</v>
      </c>
      <c r="E1338" s="165" t="s">
        <v>5557</v>
      </c>
      <c r="F1338" s="165" t="s">
        <v>5349</v>
      </c>
      <c r="G1338" s="165"/>
      <c r="H1338" s="165">
        <v>13500</v>
      </c>
      <c r="I1338" s="165"/>
      <c r="J1338" s="165"/>
      <c r="K1338" s="338"/>
      <c r="L1338" s="338">
        <v>13500</v>
      </c>
      <c r="M1338" s="165"/>
      <c r="N1338" s="165"/>
      <c r="O1338" s="337">
        <f t="shared" si="48"/>
        <v>0</v>
      </c>
      <c r="P1338" s="165" t="s">
        <v>5349</v>
      </c>
      <c r="Q1338" s="165" t="s">
        <v>5349</v>
      </c>
      <c r="R1338" s="3">
        <f t="shared" si="51"/>
        <v>13500</v>
      </c>
      <c r="S1338" s="337">
        <v>13500</v>
      </c>
      <c r="T1338"/>
      <c r="U1338" s="3"/>
    </row>
    <row r="1339" spans="1:22">
      <c r="A1339" s="165" t="s">
        <v>5287</v>
      </c>
      <c r="B1339" s="94">
        <v>1329</v>
      </c>
      <c r="C1339" s="165" t="s">
        <v>831</v>
      </c>
      <c r="D1339" s="165">
        <v>6</v>
      </c>
      <c r="E1339" s="165" t="s">
        <v>5558</v>
      </c>
      <c r="F1339" s="165" t="s">
        <v>5463</v>
      </c>
      <c r="G1339" s="165"/>
      <c r="H1339" s="165">
        <v>13500</v>
      </c>
      <c r="I1339" s="165"/>
      <c r="J1339" s="165"/>
      <c r="K1339" s="338"/>
      <c r="L1339" s="338">
        <v>13500</v>
      </c>
      <c r="M1339" s="165"/>
      <c r="N1339" s="165"/>
      <c r="O1339" s="337">
        <f t="shared" si="48"/>
        <v>0</v>
      </c>
      <c r="P1339" s="165" t="s">
        <v>10819</v>
      </c>
      <c r="Q1339" s="165" t="s">
        <v>10820</v>
      </c>
      <c r="R1339" s="3">
        <f t="shared" si="51"/>
        <v>13500</v>
      </c>
      <c r="S1339" s="337">
        <v>13500</v>
      </c>
      <c r="T1339"/>
      <c r="U1339" s="3"/>
    </row>
    <row r="1340" spans="1:22">
      <c r="A1340" s="165" t="s">
        <v>5287</v>
      </c>
      <c r="B1340" s="94">
        <v>1330</v>
      </c>
      <c r="C1340" s="165" t="s">
        <v>831</v>
      </c>
      <c r="D1340" s="165">
        <v>7</v>
      </c>
      <c r="E1340" s="165" t="s">
        <v>5559</v>
      </c>
      <c r="F1340" s="165" t="s">
        <v>5562</v>
      </c>
      <c r="G1340" s="165"/>
      <c r="H1340" s="165">
        <v>13500</v>
      </c>
      <c r="I1340" s="165"/>
      <c r="J1340" s="165"/>
      <c r="K1340" s="338"/>
      <c r="L1340" s="338">
        <v>13500</v>
      </c>
      <c r="M1340" s="165"/>
      <c r="N1340" s="165"/>
      <c r="O1340" s="337">
        <f t="shared" si="48"/>
        <v>0</v>
      </c>
      <c r="P1340" s="165" t="s">
        <v>8973</v>
      </c>
      <c r="Q1340" s="165" t="s">
        <v>5530</v>
      </c>
      <c r="R1340" s="3">
        <f t="shared" si="51"/>
        <v>13500</v>
      </c>
      <c r="S1340" s="337">
        <v>13500</v>
      </c>
      <c r="T1340"/>
      <c r="U1340" s="3"/>
    </row>
    <row r="1341" spans="1:22">
      <c r="A1341" s="165" t="s">
        <v>5287</v>
      </c>
      <c r="B1341" s="94">
        <v>1331</v>
      </c>
      <c r="C1341" s="165" t="s">
        <v>831</v>
      </c>
      <c r="D1341" s="165">
        <v>8</v>
      </c>
      <c r="E1341" s="165" t="s">
        <v>5560</v>
      </c>
      <c r="F1341" s="165" t="s">
        <v>5563</v>
      </c>
      <c r="G1341" s="165"/>
      <c r="H1341" s="165">
        <v>13500</v>
      </c>
      <c r="I1341" s="165"/>
      <c r="J1341" s="165"/>
      <c r="K1341" s="338"/>
      <c r="L1341" s="338">
        <v>13500</v>
      </c>
      <c r="M1341" s="165"/>
      <c r="N1341" s="165"/>
      <c r="O1341" s="337">
        <f t="shared" si="48"/>
        <v>0</v>
      </c>
      <c r="P1341" s="165" t="s">
        <v>10960</v>
      </c>
      <c r="Q1341" s="165" t="s">
        <v>10972</v>
      </c>
      <c r="R1341" s="3">
        <f t="shared" si="51"/>
        <v>13500</v>
      </c>
      <c r="S1341" s="337">
        <v>13500</v>
      </c>
      <c r="T1341"/>
      <c r="U1341" s="3"/>
    </row>
    <row r="1342" spans="1:22">
      <c r="A1342" s="165" t="s">
        <v>4624</v>
      </c>
      <c r="B1342" s="94">
        <v>1332</v>
      </c>
      <c r="C1342" s="165" t="s">
        <v>4131</v>
      </c>
      <c r="D1342" s="165">
        <v>1</v>
      </c>
      <c r="E1342" s="165" t="s">
        <v>5564</v>
      </c>
      <c r="F1342" s="165" t="s">
        <v>5565</v>
      </c>
      <c r="G1342" s="165"/>
      <c r="H1342" s="165">
        <v>14175</v>
      </c>
      <c r="I1342" s="165"/>
      <c r="J1342" s="165"/>
      <c r="K1342" s="165">
        <v>14175</v>
      </c>
      <c r="L1342" s="165"/>
      <c r="M1342" s="165"/>
      <c r="N1342" s="165"/>
      <c r="O1342" s="337">
        <f t="shared" si="48"/>
        <v>0</v>
      </c>
      <c r="P1342" s="165" t="s">
        <v>5289</v>
      </c>
      <c r="Q1342" s="165" t="s">
        <v>5565</v>
      </c>
      <c r="R1342" s="3">
        <f t="shared" si="51"/>
        <v>14175</v>
      </c>
      <c r="S1342" s="337">
        <v>14175</v>
      </c>
      <c r="T1342"/>
      <c r="U1342" s="3"/>
    </row>
    <row r="1343" spans="1:22">
      <c r="A1343" s="165" t="s">
        <v>4624</v>
      </c>
      <c r="B1343" s="94">
        <v>1333</v>
      </c>
      <c r="C1343" s="165" t="s">
        <v>4131</v>
      </c>
      <c r="D1343" s="165">
        <v>2</v>
      </c>
      <c r="E1343" s="165" t="s">
        <v>5566</v>
      </c>
      <c r="F1343" s="165" t="s">
        <v>5573</v>
      </c>
      <c r="G1343" s="165"/>
      <c r="H1343" s="165">
        <v>14175</v>
      </c>
      <c r="I1343" s="165"/>
      <c r="J1343" s="165"/>
      <c r="K1343" s="338"/>
      <c r="L1343" s="338">
        <v>14175</v>
      </c>
      <c r="M1343" s="165"/>
      <c r="N1343" s="165"/>
      <c r="O1343" s="337">
        <f t="shared" si="48"/>
        <v>0</v>
      </c>
      <c r="P1343" s="165" t="s">
        <v>9672</v>
      </c>
      <c r="Q1343" s="165" t="s">
        <v>9672</v>
      </c>
      <c r="R1343" s="3">
        <f t="shared" si="51"/>
        <v>14175</v>
      </c>
      <c r="S1343" s="337">
        <v>14175</v>
      </c>
      <c r="T1343"/>
      <c r="U1343" s="3"/>
    </row>
    <row r="1344" spans="1:22">
      <c r="A1344" s="165" t="s">
        <v>4624</v>
      </c>
      <c r="B1344" s="94">
        <v>1334</v>
      </c>
      <c r="C1344" s="165" t="s">
        <v>4131</v>
      </c>
      <c r="D1344" s="165">
        <v>3</v>
      </c>
      <c r="E1344" s="165" t="s">
        <v>5567</v>
      </c>
      <c r="F1344" s="165" t="s">
        <v>5574</v>
      </c>
      <c r="G1344" s="165"/>
      <c r="H1344" s="165">
        <v>14175</v>
      </c>
      <c r="I1344" s="165"/>
      <c r="J1344" s="165"/>
      <c r="K1344" s="338"/>
      <c r="L1344" s="338">
        <v>14175</v>
      </c>
      <c r="M1344" s="165"/>
      <c r="N1344" s="165"/>
      <c r="O1344" s="337">
        <f t="shared" si="48"/>
        <v>0</v>
      </c>
      <c r="P1344" s="165" t="s">
        <v>5574</v>
      </c>
      <c r="Q1344" s="165" t="s">
        <v>5574</v>
      </c>
      <c r="R1344" s="3">
        <f t="shared" si="51"/>
        <v>14175</v>
      </c>
      <c r="S1344" s="337">
        <v>14175</v>
      </c>
      <c r="T1344"/>
      <c r="U1344" s="3"/>
    </row>
    <row r="1345" spans="1:21">
      <c r="A1345" s="165" t="s">
        <v>4624</v>
      </c>
      <c r="B1345" s="94">
        <v>1335</v>
      </c>
      <c r="C1345" s="165" t="s">
        <v>4131</v>
      </c>
      <c r="D1345" s="165">
        <v>4</v>
      </c>
      <c r="E1345" s="165" t="s">
        <v>5568</v>
      </c>
      <c r="F1345" s="165" t="s">
        <v>5575</v>
      </c>
      <c r="G1345" s="165"/>
      <c r="H1345" s="165">
        <v>14175</v>
      </c>
      <c r="I1345" s="165"/>
      <c r="J1345" s="165"/>
      <c r="K1345" s="338"/>
      <c r="L1345" s="338">
        <v>14175</v>
      </c>
      <c r="M1345" s="165"/>
      <c r="N1345" s="165"/>
      <c r="O1345" s="337">
        <f t="shared" si="48"/>
        <v>0</v>
      </c>
      <c r="P1345" s="165" t="s">
        <v>5575</v>
      </c>
      <c r="Q1345" s="165" t="s">
        <v>5575</v>
      </c>
      <c r="R1345" s="3">
        <f t="shared" si="51"/>
        <v>14175</v>
      </c>
      <c r="S1345" s="337">
        <v>14175</v>
      </c>
      <c r="T1345"/>
      <c r="U1345" s="3"/>
    </row>
    <row r="1346" spans="1:21">
      <c r="A1346" s="165" t="s">
        <v>4624</v>
      </c>
      <c r="B1346" s="94">
        <v>1336</v>
      </c>
      <c r="C1346" s="165" t="s">
        <v>4131</v>
      </c>
      <c r="D1346" s="165">
        <v>5</v>
      </c>
      <c r="E1346" s="165" t="s">
        <v>5569</v>
      </c>
      <c r="F1346" s="165" t="s">
        <v>5576</v>
      </c>
      <c r="G1346" s="165"/>
      <c r="H1346" s="165">
        <v>14175</v>
      </c>
      <c r="I1346" s="165"/>
      <c r="J1346" s="165"/>
      <c r="K1346" s="338"/>
      <c r="L1346" s="338">
        <v>14175</v>
      </c>
      <c r="M1346" s="165"/>
      <c r="N1346" s="165"/>
      <c r="O1346" s="337">
        <f t="shared" si="48"/>
        <v>0</v>
      </c>
      <c r="P1346" s="165" t="s">
        <v>5576</v>
      </c>
      <c r="Q1346" s="165" t="s">
        <v>5576</v>
      </c>
      <c r="R1346" s="3">
        <f t="shared" si="51"/>
        <v>14175</v>
      </c>
      <c r="S1346" s="337">
        <v>14175</v>
      </c>
      <c r="T1346"/>
      <c r="U1346" s="3"/>
    </row>
    <row r="1347" spans="1:21">
      <c r="A1347" s="165" t="s">
        <v>4624</v>
      </c>
      <c r="B1347" s="94">
        <v>1337</v>
      </c>
      <c r="C1347" s="165" t="s">
        <v>4131</v>
      </c>
      <c r="D1347" s="165">
        <v>6</v>
      </c>
      <c r="E1347" s="165" t="s">
        <v>5570</v>
      </c>
      <c r="F1347" s="165" t="s">
        <v>5577</v>
      </c>
      <c r="G1347" s="165"/>
      <c r="H1347" s="165">
        <v>14175</v>
      </c>
      <c r="I1347" s="165"/>
      <c r="J1347" s="165"/>
      <c r="K1347" s="338"/>
      <c r="L1347" s="338">
        <v>14175</v>
      </c>
      <c r="M1347" s="165"/>
      <c r="N1347" s="165"/>
      <c r="O1347" s="337">
        <f t="shared" si="48"/>
        <v>0</v>
      </c>
      <c r="P1347" s="165" t="s">
        <v>9700</v>
      </c>
      <c r="Q1347" s="165" t="s">
        <v>5577</v>
      </c>
      <c r="R1347" s="3">
        <f t="shared" si="51"/>
        <v>14175</v>
      </c>
      <c r="S1347" s="337">
        <v>14175</v>
      </c>
      <c r="T1347"/>
      <c r="U1347" s="3"/>
    </row>
    <row r="1348" spans="1:21" s="407" customFormat="1">
      <c r="A1348" s="405" t="s">
        <v>4624</v>
      </c>
      <c r="B1348" s="767">
        <v>1338</v>
      </c>
      <c r="C1348" s="405" t="s">
        <v>4131</v>
      </c>
      <c r="D1348" s="405">
        <v>7</v>
      </c>
      <c r="E1348" s="405" t="s">
        <v>5571</v>
      </c>
      <c r="F1348" s="405" t="s">
        <v>5578</v>
      </c>
      <c r="G1348" s="405"/>
      <c r="H1348" s="405">
        <v>14175</v>
      </c>
      <c r="I1348" s="405"/>
      <c r="J1348" s="405"/>
      <c r="K1348" s="405"/>
      <c r="L1348" s="405">
        <v>14175</v>
      </c>
      <c r="M1348" s="405"/>
      <c r="N1348" s="405"/>
      <c r="O1348" s="406">
        <f t="shared" si="48"/>
        <v>0</v>
      </c>
      <c r="P1348" s="405" t="s">
        <v>9702</v>
      </c>
      <c r="Q1348" s="405" t="s">
        <v>5578</v>
      </c>
      <c r="R1348" s="405">
        <f t="shared" si="51"/>
        <v>14175</v>
      </c>
      <c r="S1348" s="406">
        <v>14175</v>
      </c>
      <c r="U1348" s="405"/>
    </row>
    <row r="1349" spans="1:21">
      <c r="A1349" s="165" t="s">
        <v>4624</v>
      </c>
      <c r="B1349" s="94">
        <v>1339</v>
      </c>
      <c r="C1349" s="165" t="s">
        <v>4131</v>
      </c>
      <c r="D1349" s="165">
        <v>8</v>
      </c>
      <c r="E1349" s="165" t="s">
        <v>5572</v>
      </c>
      <c r="F1349" s="165" t="s">
        <v>5579</v>
      </c>
      <c r="G1349" s="165"/>
      <c r="H1349" s="165">
        <v>14175</v>
      </c>
      <c r="I1349" s="165"/>
      <c r="J1349" s="165"/>
      <c r="K1349" s="338"/>
      <c r="L1349" s="338">
        <v>14175</v>
      </c>
      <c r="M1349" s="165"/>
      <c r="N1349" s="165"/>
      <c r="O1349" s="337">
        <f t="shared" si="48"/>
        <v>0</v>
      </c>
      <c r="P1349" s="165" t="s">
        <v>10983</v>
      </c>
      <c r="Q1349" s="165" t="s">
        <v>5579</v>
      </c>
      <c r="R1349" s="3">
        <f t="shared" si="51"/>
        <v>14175</v>
      </c>
      <c r="S1349" s="337">
        <v>14175</v>
      </c>
      <c r="T1349"/>
      <c r="U1349" s="3"/>
    </row>
    <row r="1350" spans="1:21">
      <c r="A1350" s="165"/>
      <c r="B1350" s="165"/>
      <c r="C1350" s="165"/>
      <c r="D1350" s="165"/>
      <c r="E1350" s="165"/>
      <c r="F1350" s="165"/>
      <c r="G1350" s="165"/>
      <c r="H1350" s="165"/>
      <c r="I1350" s="165"/>
      <c r="J1350" s="165"/>
      <c r="K1350" s="165"/>
      <c r="L1350" s="165"/>
      <c r="M1350" s="165"/>
      <c r="N1350" s="165"/>
      <c r="O1350" s="165"/>
      <c r="P1350" s="165"/>
    </row>
    <row r="1351" spans="1:21">
      <c r="A1351" s="165"/>
      <c r="B1351" s="165"/>
      <c r="C1351" s="165"/>
      <c r="D1351" s="165"/>
      <c r="E1351" s="165"/>
      <c r="F1351" s="165"/>
      <c r="G1351" s="165"/>
      <c r="H1351" s="165"/>
      <c r="I1351" s="165"/>
      <c r="J1351" s="165"/>
      <c r="K1351" s="165"/>
      <c r="L1351" s="165"/>
      <c r="M1351" s="165"/>
      <c r="N1351" s="165"/>
      <c r="O1351" s="165"/>
      <c r="P1351" s="165"/>
    </row>
    <row r="1352" spans="1:21">
      <c r="A1352" s="165"/>
      <c r="B1352" s="165"/>
      <c r="C1352" s="165"/>
      <c r="D1352" s="165"/>
      <c r="E1352" s="165"/>
      <c r="F1352" s="165"/>
      <c r="G1352" s="165"/>
      <c r="H1352" s="165"/>
      <c r="I1352" s="165"/>
      <c r="J1352" s="165"/>
      <c r="K1352" s="165"/>
      <c r="L1352" s="165"/>
      <c r="M1352" s="165"/>
      <c r="N1352" s="165"/>
      <c r="O1352" s="165"/>
      <c r="P1352" s="165"/>
    </row>
    <row r="1353" spans="1:21" s="176" customFormat="1" ht="20.25" customHeight="1">
      <c r="A1353" s="203" t="s">
        <v>9595</v>
      </c>
      <c r="B1353" s="200"/>
      <c r="C1353" s="201"/>
      <c r="D1353" s="202"/>
      <c r="E1353" s="201"/>
      <c r="F1353" s="185" t="s">
        <v>2378</v>
      </c>
      <c r="G1353" s="185">
        <f>SUM(G1355:G1511)</f>
        <v>348180</v>
      </c>
      <c r="H1353" s="185">
        <f t="shared" ref="H1353:O1353" si="52">SUM(H1355:H1511)</f>
        <v>1883340</v>
      </c>
      <c r="I1353" s="185">
        <f t="shared" si="52"/>
        <v>0</v>
      </c>
      <c r="J1353" s="185">
        <f t="shared" si="52"/>
        <v>0</v>
      </c>
      <c r="K1353" s="185">
        <f t="shared" si="52"/>
        <v>0</v>
      </c>
      <c r="L1353" s="185">
        <f t="shared" si="52"/>
        <v>2231520</v>
      </c>
      <c r="M1353" s="185">
        <f t="shared" si="52"/>
        <v>0</v>
      </c>
      <c r="N1353" s="185">
        <f t="shared" si="52"/>
        <v>0</v>
      </c>
      <c r="O1353" s="185">
        <f t="shared" si="52"/>
        <v>0</v>
      </c>
      <c r="P1353" s="185"/>
      <c r="Q1353" s="185"/>
      <c r="R1353" s="185">
        <f t="shared" ref="R1353:U1353" si="53">SUM(R1355:R1511)</f>
        <v>2721155</v>
      </c>
      <c r="S1353" s="185">
        <f t="shared" si="53"/>
        <v>2721015</v>
      </c>
      <c r="T1353" s="185">
        <f t="shared" si="53"/>
        <v>489495</v>
      </c>
      <c r="U1353" s="185">
        <f t="shared" si="53"/>
        <v>150</v>
      </c>
    </row>
    <row r="1354" spans="1:21" s="270" customFormat="1">
      <c r="A1354" s="269" t="s">
        <v>1281</v>
      </c>
      <c r="B1354" s="269" t="s">
        <v>2435</v>
      </c>
      <c r="C1354" s="269" t="s">
        <v>1385</v>
      </c>
      <c r="D1354" s="269" t="s">
        <v>1275</v>
      </c>
      <c r="E1354" s="269" t="s">
        <v>265</v>
      </c>
      <c r="F1354" s="269" t="s">
        <v>1280</v>
      </c>
      <c r="G1354" s="269" t="s">
        <v>10039</v>
      </c>
      <c r="H1354" s="269" t="s">
        <v>4468</v>
      </c>
      <c r="I1354" s="269" t="s">
        <v>4447</v>
      </c>
      <c r="J1354" s="269" t="s">
        <v>4470</v>
      </c>
      <c r="K1354" s="269" t="s">
        <v>4471</v>
      </c>
      <c r="L1354" s="269" t="s">
        <v>9596</v>
      </c>
      <c r="M1354" s="269" t="s">
        <v>4841</v>
      </c>
      <c r="N1354" s="269" t="s">
        <v>3728</v>
      </c>
      <c r="O1354" s="269" t="s">
        <v>2438</v>
      </c>
      <c r="P1354" s="269" t="s">
        <v>1282</v>
      </c>
      <c r="Q1354" s="269" t="s">
        <v>1386</v>
      </c>
      <c r="R1354" s="269" t="s">
        <v>576</v>
      </c>
      <c r="S1354" s="269" t="s">
        <v>3593</v>
      </c>
      <c r="T1354" s="269" t="s">
        <v>1283</v>
      </c>
      <c r="U1354" s="269" t="s">
        <v>577</v>
      </c>
    </row>
    <row r="1355" spans="1:21" s="665" customFormat="1">
      <c r="A1355" s="665" t="s">
        <v>9602</v>
      </c>
      <c r="B1355" s="666"/>
      <c r="C1355" s="667" t="s">
        <v>4094</v>
      </c>
      <c r="D1355" s="668">
        <v>10</v>
      </c>
      <c r="E1355" s="667" t="s">
        <v>5011</v>
      </c>
      <c r="F1355" s="665" t="s">
        <v>9602</v>
      </c>
      <c r="O1355" s="664">
        <f>G1355+H1355+I1355-J1355-K1355-L1355</f>
        <v>0</v>
      </c>
      <c r="P1355" s="665" t="s">
        <v>9602</v>
      </c>
      <c r="Q1355" s="665" t="s">
        <v>9602</v>
      </c>
      <c r="R1355" s="665">
        <v>4410</v>
      </c>
      <c r="S1355" s="669">
        <v>4410</v>
      </c>
      <c r="T1355" s="669">
        <v>4410</v>
      </c>
    </row>
    <row r="1356" spans="1:21" s="665" customFormat="1">
      <c r="A1356" s="670" t="s">
        <v>9626</v>
      </c>
      <c r="B1356" s="666"/>
      <c r="C1356" s="667" t="s">
        <v>456</v>
      </c>
      <c r="D1356" s="668">
        <v>2</v>
      </c>
      <c r="E1356" s="667" t="s">
        <v>5011</v>
      </c>
      <c r="F1356" s="665" t="s">
        <v>5609</v>
      </c>
      <c r="O1356" s="664">
        <f t="shared" ref="O1356:O1385" si="54">G1356+H1356+I1356+L1356-J1356-K1356</f>
        <v>0</v>
      </c>
      <c r="P1356" s="665" t="s">
        <v>5609</v>
      </c>
      <c r="Q1356" s="665" t="s">
        <v>5609</v>
      </c>
      <c r="R1356" s="665">
        <v>13230</v>
      </c>
      <c r="S1356" s="665">
        <v>13230</v>
      </c>
      <c r="T1356" s="665">
        <v>13230</v>
      </c>
    </row>
    <row r="1357" spans="1:21" s="665" customFormat="1">
      <c r="A1357" s="665" t="s">
        <v>5610</v>
      </c>
      <c r="B1357" s="666"/>
      <c r="C1357" s="667" t="s">
        <v>4094</v>
      </c>
      <c r="D1357" s="668">
        <v>11</v>
      </c>
      <c r="E1357" s="667" t="s">
        <v>5011</v>
      </c>
      <c r="F1357" s="665" t="s">
        <v>5610</v>
      </c>
      <c r="O1357" s="664">
        <f t="shared" si="54"/>
        <v>0</v>
      </c>
      <c r="P1357" s="665" t="s">
        <v>5610</v>
      </c>
      <c r="Q1357" s="665" t="s">
        <v>5610</v>
      </c>
      <c r="R1357" s="665">
        <v>4410</v>
      </c>
      <c r="S1357" s="669">
        <v>4410</v>
      </c>
      <c r="T1357" s="669">
        <v>4410</v>
      </c>
    </row>
    <row r="1358" spans="1:21" s="665" customFormat="1">
      <c r="A1358" s="665" t="s">
        <v>9603</v>
      </c>
      <c r="B1358" s="666"/>
      <c r="C1358" s="667" t="s">
        <v>447</v>
      </c>
      <c r="D1358" s="668">
        <v>8</v>
      </c>
      <c r="E1358" s="667" t="s">
        <v>5011</v>
      </c>
      <c r="F1358" s="665" t="s">
        <v>9603</v>
      </c>
      <c r="O1358" s="664">
        <f t="shared" si="54"/>
        <v>0</v>
      </c>
      <c r="P1358" s="665" t="s">
        <v>9603</v>
      </c>
      <c r="Q1358" s="665" t="s">
        <v>9603</v>
      </c>
      <c r="R1358" s="665">
        <v>14175</v>
      </c>
      <c r="S1358" s="669">
        <v>14165</v>
      </c>
      <c r="T1358" s="669">
        <v>14165</v>
      </c>
      <c r="U1358" s="665">
        <v>10</v>
      </c>
    </row>
    <row r="1359" spans="1:21" s="665" customFormat="1">
      <c r="A1359" s="665" t="s">
        <v>9604</v>
      </c>
      <c r="B1359" s="666"/>
      <c r="C1359" s="667" t="s">
        <v>4418</v>
      </c>
      <c r="D1359" s="668"/>
      <c r="E1359" s="667" t="s">
        <v>5011</v>
      </c>
      <c r="F1359" s="665" t="s">
        <v>9604</v>
      </c>
      <c r="O1359" s="664">
        <f>G1359+H1359+I1359+L1359-J1359-K1359</f>
        <v>0</v>
      </c>
      <c r="P1359" s="665" t="s">
        <v>9604</v>
      </c>
      <c r="Q1359" s="665" t="s">
        <v>9604</v>
      </c>
      <c r="R1359" s="665">
        <v>3150</v>
      </c>
      <c r="S1359" s="669">
        <v>3150</v>
      </c>
      <c r="T1359" s="669">
        <v>3150</v>
      </c>
    </row>
    <row r="1360" spans="1:21" s="665" customFormat="1">
      <c r="A1360" s="665" t="s">
        <v>9604</v>
      </c>
      <c r="B1360" s="666"/>
      <c r="C1360" s="667" t="s">
        <v>4094</v>
      </c>
      <c r="D1360" s="668">
        <v>12</v>
      </c>
      <c r="E1360" s="667" t="s">
        <v>5011</v>
      </c>
      <c r="F1360" s="665" t="s">
        <v>9604</v>
      </c>
      <c r="O1360" s="664">
        <f t="shared" si="54"/>
        <v>0</v>
      </c>
      <c r="P1360" s="665" t="s">
        <v>9604</v>
      </c>
      <c r="Q1360" s="665" t="s">
        <v>9604</v>
      </c>
      <c r="R1360" s="665">
        <v>4410</v>
      </c>
      <c r="S1360" s="669">
        <v>4410</v>
      </c>
      <c r="T1360" s="669">
        <v>4410</v>
      </c>
    </row>
    <row r="1361" spans="1:22" s="665" customFormat="1">
      <c r="A1361" s="665" t="s">
        <v>9605</v>
      </c>
      <c r="B1361" s="666"/>
      <c r="C1361" s="667" t="s">
        <v>4318</v>
      </c>
      <c r="D1361" s="668">
        <v>2</v>
      </c>
      <c r="E1361" s="667" t="s">
        <v>5011</v>
      </c>
      <c r="F1361" s="665" t="s">
        <v>9605</v>
      </c>
      <c r="O1361" s="664">
        <f t="shared" si="54"/>
        <v>0</v>
      </c>
      <c r="P1361" s="665" t="s">
        <v>9605</v>
      </c>
      <c r="Q1361" s="665" t="s">
        <v>9605</v>
      </c>
      <c r="R1361" s="665">
        <v>13500</v>
      </c>
      <c r="S1361" s="669">
        <v>13485</v>
      </c>
      <c r="T1361" s="669">
        <v>13485</v>
      </c>
      <c r="U1361" s="665">
        <v>15</v>
      </c>
    </row>
    <row r="1362" spans="1:22" s="665" customFormat="1">
      <c r="A1362" s="665" t="s">
        <v>9606</v>
      </c>
      <c r="B1362" s="666"/>
      <c r="C1362" s="667" t="s">
        <v>4094</v>
      </c>
      <c r="D1362" s="668">
        <v>13</v>
      </c>
      <c r="E1362" s="667" t="s">
        <v>5011</v>
      </c>
      <c r="F1362" s="665" t="s">
        <v>9606</v>
      </c>
      <c r="O1362" s="664">
        <f t="shared" si="54"/>
        <v>0</v>
      </c>
      <c r="P1362" s="665" t="s">
        <v>9606</v>
      </c>
      <c r="Q1362" s="665" t="s">
        <v>9606</v>
      </c>
      <c r="R1362" s="665">
        <v>4410</v>
      </c>
      <c r="S1362" s="669">
        <v>4410</v>
      </c>
      <c r="T1362" s="669">
        <v>4410</v>
      </c>
    </row>
    <row r="1363" spans="1:22" s="665" customFormat="1">
      <c r="A1363" s="665" t="s">
        <v>9607</v>
      </c>
      <c r="B1363" s="666"/>
      <c r="C1363" s="667" t="s">
        <v>4339</v>
      </c>
      <c r="D1363" s="668">
        <v>4</v>
      </c>
      <c r="E1363" s="667" t="s">
        <v>5011</v>
      </c>
      <c r="F1363" s="665" t="s">
        <v>9607</v>
      </c>
      <c r="O1363" s="664">
        <f t="shared" si="54"/>
        <v>0</v>
      </c>
      <c r="P1363" s="665" t="s">
        <v>9607</v>
      </c>
      <c r="Q1363" s="665" t="s">
        <v>9607</v>
      </c>
      <c r="R1363" s="665">
        <v>14175</v>
      </c>
      <c r="S1363" s="669">
        <v>14165</v>
      </c>
      <c r="T1363" s="669">
        <v>14165</v>
      </c>
      <c r="U1363" s="665">
        <v>10</v>
      </c>
    </row>
    <row r="1364" spans="1:22" s="665" customFormat="1">
      <c r="A1364" s="665" t="s">
        <v>9608</v>
      </c>
      <c r="B1364" s="666"/>
      <c r="C1364" s="667" t="s">
        <v>4094</v>
      </c>
      <c r="D1364" s="668">
        <v>14</v>
      </c>
      <c r="E1364" s="667" t="s">
        <v>5011</v>
      </c>
      <c r="F1364" s="665" t="s">
        <v>9608</v>
      </c>
      <c r="O1364" s="664">
        <f t="shared" si="54"/>
        <v>0</v>
      </c>
      <c r="P1364" s="665" t="s">
        <v>9608</v>
      </c>
      <c r="Q1364" s="665" t="s">
        <v>9608</v>
      </c>
      <c r="R1364" s="665">
        <v>4410</v>
      </c>
      <c r="S1364" s="669">
        <v>4410</v>
      </c>
      <c r="T1364" s="669">
        <v>4410</v>
      </c>
    </row>
    <row r="1365" spans="1:22" s="665" customFormat="1">
      <c r="A1365" s="665" t="s">
        <v>9609</v>
      </c>
      <c r="B1365" s="666"/>
      <c r="C1365" s="667" t="s">
        <v>4094</v>
      </c>
      <c r="D1365" s="668">
        <v>15</v>
      </c>
      <c r="E1365" s="667" t="s">
        <v>5011</v>
      </c>
      <c r="F1365" s="665" t="s">
        <v>9609</v>
      </c>
      <c r="O1365" s="664">
        <f t="shared" si="54"/>
        <v>0</v>
      </c>
      <c r="P1365" s="665" t="s">
        <v>9609</v>
      </c>
      <c r="Q1365" s="665" t="s">
        <v>9609</v>
      </c>
      <c r="R1365" s="665">
        <v>4410</v>
      </c>
      <c r="S1365" s="669">
        <v>4410</v>
      </c>
      <c r="T1365" s="669">
        <v>4410</v>
      </c>
    </row>
    <row r="1366" spans="1:22" s="665" customFormat="1">
      <c r="A1366" s="665" t="s">
        <v>9610</v>
      </c>
      <c r="B1366" s="666"/>
      <c r="C1366" s="667" t="s">
        <v>4318</v>
      </c>
      <c r="D1366" s="668">
        <v>3</v>
      </c>
      <c r="E1366" s="667" t="s">
        <v>5011</v>
      </c>
      <c r="F1366" s="665" t="s">
        <v>9610</v>
      </c>
      <c r="O1366" s="664">
        <f t="shared" si="54"/>
        <v>0</v>
      </c>
      <c r="P1366" s="665" t="s">
        <v>9610</v>
      </c>
      <c r="Q1366" s="665" t="s">
        <v>9610</v>
      </c>
      <c r="R1366" s="665">
        <v>13500</v>
      </c>
      <c r="S1366" s="669">
        <v>13485</v>
      </c>
      <c r="T1366" s="669">
        <v>13485</v>
      </c>
      <c r="U1366" s="665">
        <v>15</v>
      </c>
    </row>
    <row r="1367" spans="1:22" s="665" customFormat="1">
      <c r="A1367" s="665" t="s">
        <v>9611</v>
      </c>
      <c r="B1367" s="666"/>
      <c r="C1367" s="667" t="s">
        <v>4094</v>
      </c>
      <c r="D1367" s="668">
        <v>16</v>
      </c>
      <c r="E1367" s="667" t="s">
        <v>5011</v>
      </c>
      <c r="F1367" s="665" t="s">
        <v>9611</v>
      </c>
      <c r="O1367" s="664">
        <f t="shared" si="54"/>
        <v>0</v>
      </c>
      <c r="P1367" s="665" t="s">
        <v>9611</v>
      </c>
      <c r="Q1367" s="665" t="s">
        <v>9611</v>
      </c>
      <c r="R1367" s="665">
        <v>4410</v>
      </c>
      <c r="S1367" s="669">
        <v>4410</v>
      </c>
      <c r="T1367" s="669">
        <v>4410</v>
      </c>
    </row>
    <row r="1368" spans="1:22" s="665" customFormat="1">
      <c r="A1368" s="670" t="s">
        <v>9627</v>
      </c>
      <c r="B1368" s="666"/>
      <c r="C1368" s="667" t="s">
        <v>456</v>
      </c>
      <c r="D1368" s="668">
        <v>3</v>
      </c>
      <c r="E1368" s="667" t="s">
        <v>5011</v>
      </c>
      <c r="F1368" s="665" t="s">
        <v>5314</v>
      </c>
      <c r="O1368" s="664">
        <f t="shared" si="54"/>
        <v>0</v>
      </c>
      <c r="P1368" s="665" t="s">
        <v>5314</v>
      </c>
      <c r="Q1368" s="665" t="s">
        <v>5314</v>
      </c>
      <c r="R1368" s="665">
        <v>13230</v>
      </c>
      <c r="S1368" s="665">
        <v>13230</v>
      </c>
      <c r="T1368" s="665">
        <v>13230</v>
      </c>
    </row>
    <row r="1369" spans="1:22" s="665" customFormat="1">
      <c r="A1369" s="665" t="s">
        <v>9612</v>
      </c>
      <c r="B1369" s="666"/>
      <c r="C1369" s="667" t="s">
        <v>4339</v>
      </c>
      <c r="D1369" s="668">
        <v>5</v>
      </c>
      <c r="E1369" s="667" t="s">
        <v>5011</v>
      </c>
      <c r="F1369" s="665" t="s">
        <v>9612</v>
      </c>
      <c r="O1369" s="664">
        <f t="shared" si="54"/>
        <v>0</v>
      </c>
      <c r="P1369" s="665" t="s">
        <v>9612</v>
      </c>
      <c r="Q1369" s="665" t="s">
        <v>9612</v>
      </c>
      <c r="R1369" s="665">
        <v>14175</v>
      </c>
      <c r="S1369" s="669">
        <v>14165</v>
      </c>
      <c r="T1369" s="669">
        <v>14165</v>
      </c>
      <c r="U1369" s="665">
        <v>10</v>
      </c>
    </row>
    <row r="1370" spans="1:22" s="665" customFormat="1">
      <c r="A1370" s="665" t="s">
        <v>9613</v>
      </c>
      <c r="B1370" s="666"/>
      <c r="C1370" s="667" t="s">
        <v>4094</v>
      </c>
      <c r="D1370" s="668">
        <v>17</v>
      </c>
      <c r="E1370" s="667" t="s">
        <v>5011</v>
      </c>
      <c r="F1370" s="665" t="s">
        <v>9613</v>
      </c>
      <c r="O1370" s="664">
        <f t="shared" si="54"/>
        <v>0</v>
      </c>
      <c r="P1370" s="665" t="s">
        <v>9613</v>
      </c>
      <c r="Q1370" s="665" t="s">
        <v>9613</v>
      </c>
      <c r="R1370" s="665">
        <v>4410</v>
      </c>
      <c r="S1370" s="669">
        <v>4410</v>
      </c>
      <c r="T1370" s="669">
        <v>4410</v>
      </c>
    </row>
    <row r="1371" spans="1:22" s="665" customFormat="1">
      <c r="A1371" s="665" t="s">
        <v>9614</v>
      </c>
      <c r="B1371" s="666"/>
      <c r="C1371" s="667" t="s">
        <v>4318</v>
      </c>
      <c r="D1371" s="668">
        <v>4</v>
      </c>
      <c r="E1371" s="667" t="s">
        <v>5011</v>
      </c>
      <c r="F1371" s="665" t="s">
        <v>9614</v>
      </c>
      <c r="O1371" s="664">
        <f t="shared" si="54"/>
        <v>0</v>
      </c>
      <c r="P1371" s="665" t="s">
        <v>9614</v>
      </c>
      <c r="Q1371" s="665" t="s">
        <v>9614</v>
      </c>
      <c r="R1371" s="665">
        <v>13500</v>
      </c>
      <c r="S1371" s="669">
        <v>13485</v>
      </c>
      <c r="T1371" s="669">
        <v>13485</v>
      </c>
      <c r="U1371" s="665">
        <v>15</v>
      </c>
    </row>
    <row r="1372" spans="1:22" s="665" customFormat="1">
      <c r="A1372" s="665" t="s">
        <v>9615</v>
      </c>
      <c r="B1372" s="666"/>
      <c r="C1372" s="667" t="s">
        <v>4094</v>
      </c>
      <c r="D1372" s="668">
        <v>18</v>
      </c>
      <c r="E1372" s="667" t="s">
        <v>5011</v>
      </c>
      <c r="F1372" s="665" t="s">
        <v>9615</v>
      </c>
      <c r="O1372" s="664">
        <f t="shared" si="54"/>
        <v>0</v>
      </c>
      <c r="P1372" s="665" t="s">
        <v>9615</v>
      </c>
      <c r="Q1372" s="665" t="s">
        <v>9615</v>
      </c>
      <c r="R1372" s="665">
        <v>4410</v>
      </c>
      <c r="S1372" s="669">
        <v>4410</v>
      </c>
      <c r="T1372" s="669">
        <v>4410</v>
      </c>
    </row>
    <row r="1373" spans="1:22" s="665" customFormat="1">
      <c r="A1373" s="665" t="s">
        <v>9616</v>
      </c>
      <c r="B1373" s="666"/>
      <c r="C1373" s="667" t="s">
        <v>9599</v>
      </c>
      <c r="D1373" s="671" t="s">
        <v>9597</v>
      </c>
      <c r="E1373" s="667" t="s">
        <v>5011</v>
      </c>
      <c r="F1373" s="665" t="s">
        <v>9616</v>
      </c>
      <c r="O1373" s="664">
        <f t="shared" si="54"/>
        <v>0</v>
      </c>
      <c r="P1373" s="665" t="s">
        <v>9616</v>
      </c>
      <c r="Q1373" s="665" t="s">
        <v>9616</v>
      </c>
      <c r="R1373" s="665">
        <v>45360</v>
      </c>
      <c r="S1373" s="669">
        <v>45360</v>
      </c>
      <c r="T1373" s="669">
        <v>45360</v>
      </c>
      <c r="V1373" s="672" t="s">
        <v>4760</v>
      </c>
    </row>
    <row r="1374" spans="1:22" s="665" customFormat="1">
      <c r="A1374" s="670" t="s">
        <v>9617</v>
      </c>
      <c r="B1374" s="666"/>
      <c r="C1374" s="667" t="s">
        <v>456</v>
      </c>
      <c r="D1374" s="668">
        <v>4</v>
      </c>
      <c r="E1374" s="667" t="s">
        <v>5011</v>
      </c>
      <c r="F1374" s="665" t="s">
        <v>9931</v>
      </c>
      <c r="O1374" s="664">
        <f t="shared" si="54"/>
        <v>0</v>
      </c>
      <c r="P1374" s="665" t="s">
        <v>9931</v>
      </c>
      <c r="Q1374" s="665" t="s">
        <v>9931</v>
      </c>
      <c r="R1374" s="665">
        <v>13230</v>
      </c>
      <c r="S1374" s="665">
        <v>13230</v>
      </c>
      <c r="T1374" s="665">
        <v>13230</v>
      </c>
    </row>
    <row r="1375" spans="1:22" s="665" customFormat="1">
      <c r="A1375" s="665" t="s">
        <v>9617</v>
      </c>
      <c r="B1375" s="666"/>
      <c r="C1375" s="667" t="s">
        <v>4094</v>
      </c>
      <c r="D1375" s="668">
        <v>19</v>
      </c>
      <c r="E1375" s="667" t="s">
        <v>5011</v>
      </c>
      <c r="F1375" s="665" t="s">
        <v>9617</v>
      </c>
      <c r="O1375" s="664">
        <f t="shared" si="54"/>
        <v>0</v>
      </c>
      <c r="P1375" s="665" t="s">
        <v>9617</v>
      </c>
      <c r="Q1375" s="665" t="s">
        <v>9617</v>
      </c>
      <c r="R1375" s="665">
        <v>4410</v>
      </c>
      <c r="S1375" s="669">
        <v>4410</v>
      </c>
      <c r="T1375" s="669">
        <v>4410</v>
      </c>
    </row>
    <row r="1376" spans="1:22" s="665" customFormat="1">
      <c r="A1376" s="665" t="s">
        <v>9618</v>
      </c>
      <c r="B1376" s="666"/>
      <c r="C1376" s="667" t="s">
        <v>4339</v>
      </c>
      <c r="D1376" s="668">
        <v>6</v>
      </c>
      <c r="E1376" s="667" t="s">
        <v>5011</v>
      </c>
      <c r="F1376" s="665" t="s">
        <v>9618</v>
      </c>
      <c r="O1376" s="664">
        <f t="shared" si="54"/>
        <v>0</v>
      </c>
      <c r="P1376" s="665" t="s">
        <v>9618</v>
      </c>
      <c r="Q1376" s="665" t="s">
        <v>9618</v>
      </c>
      <c r="R1376" s="665">
        <v>14175</v>
      </c>
      <c r="S1376" s="669">
        <v>14165</v>
      </c>
      <c r="T1376" s="669">
        <v>14165</v>
      </c>
      <c r="U1376" s="665">
        <v>10</v>
      </c>
    </row>
    <row r="1377" spans="1:22" s="665" customFormat="1">
      <c r="A1377" s="665" t="s">
        <v>9619</v>
      </c>
      <c r="B1377" s="666"/>
      <c r="C1377" s="667" t="s">
        <v>447</v>
      </c>
      <c r="D1377" s="668">
        <v>1</v>
      </c>
      <c r="E1377" s="667" t="s">
        <v>5011</v>
      </c>
      <c r="F1377" s="665" t="s">
        <v>9619</v>
      </c>
      <c r="O1377" s="664">
        <f t="shared" si="54"/>
        <v>0</v>
      </c>
      <c r="P1377" s="665" t="s">
        <v>9619</v>
      </c>
      <c r="Q1377" s="665" t="s">
        <v>9619</v>
      </c>
      <c r="R1377" s="665">
        <v>14175</v>
      </c>
      <c r="S1377" s="669">
        <v>14165</v>
      </c>
      <c r="T1377" s="669">
        <v>14165</v>
      </c>
      <c r="U1377" s="665">
        <v>10</v>
      </c>
    </row>
    <row r="1378" spans="1:22" s="665" customFormat="1">
      <c r="A1378" s="665" t="s">
        <v>9620</v>
      </c>
      <c r="B1378" s="666"/>
      <c r="C1378" s="667" t="s">
        <v>4094</v>
      </c>
      <c r="D1378" s="668">
        <v>20</v>
      </c>
      <c r="E1378" s="667" t="s">
        <v>5011</v>
      </c>
      <c r="F1378" s="665" t="s">
        <v>9620</v>
      </c>
      <c r="O1378" s="664">
        <f t="shared" si="54"/>
        <v>0</v>
      </c>
      <c r="P1378" s="665" t="s">
        <v>9620</v>
      </c>
      <c r="Q1378" s="665" t="s">
        <v>9620</v>
      </c>
      <c r="R1378" s="665">
        <v>4410</v>
      </c>
      <c r="S1378" s="669">
        <v>4410</v>
      </c>
      <c r="T1378" s="669">
        <v>4410</v>
      </c>
    </row>
    <row r="1379" spans="1:22" s="665" customFormat="1">
      <c r="A1379" s="665" t="s">
        <v>9621</v>
      </c>
      <c r="B1379" s="666"/>
      <c r="C1379" s="667" t="s">
        <v>4318</v>
      </c>
      <c r="D1379" s="668">
        <v>5</v>
      </c>
      <c r="E1379" s="667" t="s">
        <v>5011</v>
      </c>
      <c r="F1379" s="665" t="s">
        <v>9621</v>
      </c>
      <c r="O1379" s="664">
        <f t="shared" si="54"/>
        <v>0</v>
      </c>
      <c r="P1379" s="665" t="s">
        <v>9621</v>
      </c>
      <c r="Q1379" s="665" t="s">
        <v>9621</v>
      </c>
      <c r="R1379" s="665">
        <v>13500</v>
      </c>
      <c r="S1379" s="669">
        <v>13485</v>
      </c>
      <c r="T1379" s="669">
        <v>13485</v>
      </c>
      <c r="U1379" s="665">
        <v>15</v>
      </c>
    </row>
    <row r="1380" spans="1:22" s="665" customFormat="1">
      <c r="A1380" s="665" t="s">
        <v>9622</v>
      </c>
      <c r="B1380" s="666"/>
      <c r="C1380" s="667" t="s">
        <v>4201</v>
      </c>
      <c r="D1380" s="668"/>
      <c r="E1380" s="667" t="s">
        <v>5011</v>
      </c>
      <c r="F1380" s="665" t="s">
        <v>9622</v>
      </c>
      <c r="O1380" s="664">
        <f t="shared" si="54"/>
        <v>0</v>
      </c>
      <c r="P1380" s="665" t="s">
        <v>9622</v>
      </c>
      <c r="Q1380" s="665" t="s">
        <v>9622</v>
      </c>
      <c r="R1380" s="665">
        <v>113400</v>
      </c>
      <c r="S1380" s="669">
        <v>113400</v>
      </c>
      <c r="T1380" s="669">
        <v>113400</v>
      </c>
      <c r="V1380" s="665" t="s">
        <v>9600</v>
      </c>
    </row>
    <row r="1381" spans="1:22" s="665" customFormat="1">
      <c r="A1381" s="665" t="s">
        <v>9623</v>
      </c>
      <c r="B1381" s="666"/>
      <c r="C1381" s="667" t="s">
        <v>4204</v>
      </c>
      <c r="D1381" s="668"/>
      <c r="E1381" s="667" t="s">
        <v>5011</v>
      </c>
      <c r="F1381" s="665" t="s">
        <v>9623</v>
      </c>
      <c r="O1381" s="664">
        <f t="shared" si="54"/>
        <v>0</v>
      </c>
      <c r="P1381" s="665" t="s">
        <v>9623</v>
      </c>
      <c r="Q1381" s="665" t="s">
        <v>9623</v>
      </c>
      <c r="R1381" s="665">
        <v>6300</v>
      </c>
      <c r="S1381" s="669">
        <v>6290</v>
      </c>
      <c r="T1381" s="669">
        <v>6290</v>
      </c>
      <c r="U1381" s="665">
        <v>10</v>
      </c>
      <c r="V1381" s="665" t="s">
        <v>9601</v>
      </c>
    </row>
    <row r="1382" spans="1:22" s="665" customFormat="1">
      <c r="A1382" s="665" t="s">
        <v>9623</v>
      </c>
      <c r="B1382" s="666"/>
      <c r="C1382" s="667" t="s">
        <v>4204</v>
      </c>
      <c r="D1382" s="668"/>
      <c r="E1382" s="667" t="s">
        <v>5011</v>
      </c>
      <c r="F1382" s="665" t="s">
        <v>9623</v>
      </c>
      <c r="O1382" s="664">
        <f t="shared" si="54"/>
        <v>0</v>
      </c>
      <c r="P1382" s="665" t="s">
        <v>9623</v>
      </c>
      <c r="Q1382" s="665" t="s">
        <v>9623</v>
      </c>
      <c r="R1382" s="665">
        <v>75590</v>
      </c>
      <c r="S1382" s="669">
        <v>75590</v>
      </c>
      <c r="T1382" s="669">
        <v>75590</v>
      </c>
      <c r="U1382" s="665">
        <v>10</v>
      </c>
      <c r="V1382" s="665" t="s">
        <v>9600</v>
      </c>
    </row>
    <row r="1383" spans="1:22" s="665" customFormat="1">
      <c r="A1383" s="665" t="s">
        <v>9624</v>
      </c>
      <c r="B1383" s="666"/>
      <c r="C1383" s="667" t="s">
        <v>4339</v>
      </c>
      <c r="D1383" s="668">
        <v>7</v>
      </c>
      <c r="E1383" s="667" t="s">
        <v>5011</v>
      </c>
      <c r="F1383" s="665" t="s">
        <v>9624</v>
      </c>
      <c r="O1383" s="664">
        <f t="shared" si="54"/>
        <v>0</v>
      </c>
      <c r="P1383" s="665" t="s">
        <v>9624</v>
      </c>
      <c r="Q1383" s="665" t="s">
        <v>9624</v>
      </c>
      <c r="R1383" s="665">
        <v>14175</v>
      </c>
      <c r="S1383" s="669">
        <v>14165</v>
      </c>
      <c r="T1383" s="669">
        <v>14165</v>
      </c>
      <c r="U1383" s="665">
        <v>10</v>
      </c>
    </row>
    <row r="1384" spans="1:22" s="665" customFormat="1">
      <c r="A1384" s="665" t="s">
        <v>9624</v>
      </c>
      <c r="B1384" s="666"/>
      <c r="C1384" s="667" t="s">
        <v>4094</v>
      </c>
      <c r="D1384" s="668">
        <v>21</v>
      </c>
      <c r="E1384" s="667" t="s">
        <v>5011</v>
      </c>
      <c r="F1384" s="665" t="s">
        <v>9624</v>
      </c>
      <c r="O1384" s="664">
        <f t="shared" si="54"/>
        <v>0</v>
      </c>
      <c r="P1384" s="665" t="s">
        <v>9624</v>
      </c>
      <c r="Q1384" s="665" t="s">
        <v>9624</v>
      </c>
      <c r="R1384" s="665">
        <v>4410</v>
      </c>
      <c r="S1384" s="669">
        <v>4410</v>
      </c>
      <c r="T1384" s="669">
        <v>4410</v>
      </c>
    </row>
    <row r="1385" spans="1:22" s="665" customFormat="1">
      <c r="A1385" s="665" t="s">
        <v>9625</v>
      </c>
      <c r="B1385" s="666"/>
      <c r="C1385" s="667" t="s">
        <v>447</v>
      </c>
      <c r="D1385" s="668">
        <v>2</v>
      </c>
      <c r="E1385" s="667" t="s">
        <v>5011</v>
      </c>
      <c r="F1385" s="665" t="s">
        <v>9625</v>
      </c>
      <c r="O1385" s="664">
        <f t="shared" si="54"/>
        <v>0</v>
      </c>
      <c r="P1385" s="665" t="s">
        <v>9625</v>
      </c>
      <c r="Q1385" s="665" t="s">
        <v>9625</v>
      </c>
      <c r="R1385" s="665">
        <v>14175</v>
      </c>
      <c r="S1385" s="669">
        <v>14165</v>
      </c>
      <c r="T1385" s="669">
        <v>14165</v>
      </c>
      <c r="U1385" s="665">
        <v>10</v>
      </c>
    </row>
    <row r="1386" spans="1:22">
      <c r="A1386" s="165" t="s">
        <v>5565</v>
      </c>
      <c r="B1386" s="94">
        <v>1340</v>
      </c>
      <c r="C1386" s="165" t="s">
        <v>1232</v>
      </c>
      <c r="D1386" s="165">
        <v>3</v>
      </c>
      <c r="E1386" s="165" t="s">
        <v>10135</v>
      </c>
      <c r="F1386" s="165" t="s">
        <v>5316</v>
      </c>
      <c r="G1386" s="556">
        <v>16380</v>
      </c>
      <c r="H1386" s="680"/>
      <c r="I1386" s="165"/>
      <c r="J1386" s="165"/>
      <c r="K1386" s="165"/>
      <c r="L1386" s="165">
        <v>16380</v>
      </c>
      <c r="M1386" s="165"/>
      <c r="N1386" s="165"/>
      <c r="O1386" s="337">
        <f t="shared" ref="O1386:O1406" si="55">G1386+H1386+I1386-J1386-K1386-L1386</f>
        <v>0</v>
      </c>
      <c r="P1386" s="165" t="s">
        <v>5605</v>
      </c>
      <c r="Q1386" s="165" t="s">
        <v>5605</v>
      </c>
      <c r="R1386" s="3">
        <f t="shared" ref="R1386:R1406" si="56">G1386+H1386+I1386</f>
        <v>16380</v>
      </c>
      <c r="S1386" s="337">
        <v>16380</v>
      </c>
      <c r="T1386" s="337"/>
      <c r="U1386" s="3"/>
    </row>
    <row r="1387" spans="1:22">
      <c r="A1387" s="165" t="s">
        <v>9672</v>
      </c>
      <c r="B1387" s="94">
        <v>1341</v>
      </c>
      <c r="C1387" s="165" t="s">
        <v>1232</v>
      </c>
      <c r="D1387" s="165">
        <v>4</v>
      </c>
      <c r="E1387" s="165" t="s">
        <v>9671</v>
      </c>
      <c r="F1387" s="165" t="s">
        <v>5315</v>
      </c>
      <c r="G1387" s="165"/>
      <c r="H1387" s="680">
        <v>16380</v>
      </c>
      <c r="I1387" s="165"/>
      <c r="J1387" s="165"/>
      <c r="K1387" s="165"/>
      <c r="L1387" s="165">
        <v>16380</v>
      </c>
      <c r="M1387" s="165"/>
      <c r="N1387" s="165"/>
      <c r="O1387" s="337">
        <f t="shared" si="55"/>
        <v>0</v>
      </c>
      <c r="P1387" s="165" t="s">
        <v>5315</v>
      </c>
      <c r="Q1387" s="165" t="s">
        <v>5315</v>
      </c>
      <c r="R1387" s="3">
        <f t="shared" si="56"/>
        <v>16380</v>
      </c>
      <c r="S1387" s="337">
        <v>16380</v>
      </c>
      <c r="T1387" s="337"/>
      <c r="U1387" s="3"/>
    </row>
    <row r="1388" spans="1:22">
      <c r="A1388" s="165" t="s">
        <v>5574</v>
      </c>
      <c r="B1388" s="94">
        <v>1342</v>
      </c>
      <c r="C1388" s="165" t="s">
        <v>1232</v>
      </c>
      <c r="D1388" s="165">
        <v>5</v>
      </c>
      <c r="E1388" s="165" t="s">
        <v>9674</v>
      </c>
      <c r="F1388" s="165" t="s">
        <v>5314</v>
      </c>
      <c r="G1388" s="165"/>
      <c r="H1388" s="680">
        <v>16380</v>
      </c>
      <c r="I1388" s="165"/>
      <c r="J1388" s="165"/>
      <c r="K1388" s="165"/>
      <c r="L1388" s="165">
        <v>16380</v>
      </c>
      <c r="M1388" s="165"/>
      <c r="N1388" s="165"/>
      <c r="O1388" s="337">
        <f t="shared" si="55"/>
        <v>0</v>
      </c>
      <c r="P1388" s="165" t="s">
        <v>9677</v>
      </c>
      <c r="Q1388" s="165" t="s">
        <v>9677</v>
      </c>
      <c r="R1388" s="3">
        <f t="shared" si="56"/>
        <v>16380</v>
      </c>
      <c r="S1388" s="337">
        <v>16380</v>
      </c>
      <c r="T1388" s="337"/>
      <c r="U1388" s="3"/>
    </row>
    <row r="1389" spans="1:22">
      <c r="A1389" s="165" t="s">
        <v>9679</v>
      </c>
      <c r="B1389" s="94">
        <v>1343</v>
      </c>
      <c r="C1389" s="165" t="s">
        <v>1232</v>
      </c>
      <c r="D1389" s="165">
        <v>6</v>
      </c>
      <c r="E1389" s="165" t="s">
        <v>9678</v>
      </c>
      <c r="F1389" s="165" t="s">
        <v>5313</v>
      </c>
      <c r="G1389" s="165"/>
      <c r="H1389" s="680">
        <v>16380</v>
      </c>
      <c r="I1389" s="165"/>
      <c r="J1389" s="165"/>
      <c r="K1389" s="165"/>
      <c r="L1389" s="165">
        <v>16380</v>
      </c>
      <c r="M1389" s="165"/>
      <c r="N1389" s="165"/>
      <c r="O1389" s="337">
        <f t="shared" si="55"/>
        <v>0</v>
      </c>
      <c r="P1389" s="165" t="s">
        <v>9681</v>
      </c>
      <c r="Q1389" s="165" t="s">
        <v>9681</v>
      </c>
      <c r="R1389" s="3">
        <f t="shared" si="56"/>
        <v>16380</v>
      </c>
      <c r="S1389" s="337">
        <v>16380</v>
      </c>
      <c r="T1389" s="337"/>
      <c r="U1389" s="3"/>
    </row>
    <row r="1390" spans="1:22">
      <c r="A1390" s="165" t="s">
        <v>5607</v>
      </c>
      <c r="B1390" s="94">
        <v>1344</v>
      </c>
      <c r="C1390" s="165" t="s">
        <v>4282</v>
      </c>
      <c r="D1390" s="165">
        <v>1</v>
      </c>
      <c r="E1390" s="165" t="s">
        <v>9747</v>
      </c>
      <c r="F1390" s="165" t="s">
        <v>5507</v>
      </c>
      <c r="G1390" s="165"/>
      <c r="H1390" s="680">
        <v>14175</v>
      </c>
      <c r="I1390" s="165"/>
      <c r="J1390" s="165"/>
      <c r="K1390" s="165"/>
      <c r="L1390" s="165">
        <v>14175</v>
      </c>
      <c r="M1390" s="165"/>
      <c r="N1390" s="165"/>
      <c r="O1390" s="337">
        <f t="shared" si="55"/>
        <v>0</v>
      </c>
      <c r="P1390" s="165" t="s">
        <v>5609</v>
      </c>
      <c r="Q1390" s="165" t="s">
        <v>5609</v>
      </c>
      <c r="R1390" s="3">
        <f t="shared" si="56"/>
        <v>14175</v>
      </c>
      <c r="S1390" s="337">
        <v>14175</v>
      </c>
      <c r="T1390"/>
      <c r="U1390" s="3"/>
    </row>
    <row r="1391" spans="1:22">
      <c r="A1391" s="165" t="s">
        <v>5607</v>
      </c>
      <c r="B1391" s="94">
        <v>1345</v>
      </c>
      <c r="C1391" s="165" t="s">
        <v>4282</v>
      </c>
      <c r="D1391" s="165">
        <v>2</v>
      </c>
      <c r="E1391" s="165" t="s">
        <v>9749</v>
      </c>
      <c r="F1391" s="165" t="s">
        <v>5508</v>
      </c>
      <c r="G1391" s="165"/>
      <c r="H1391" s="680">
        <v>14175</v>
      </c>
      <c r="I1391" s="165"/>
      <c r="J1391" s="165"/>
      <c r="K1391" s="165"/>
      <c r="L1391" s="165">
        <v>14175</v>
      </c>
      <c r="M1391" s="165"/>
      <c r="N1391" s="165"/>
      <c r="O1391" s="337">
        <f t="shared" si="55"/>
        <v>0</v>
      </c>
      <c r="P1391" s="165" t="s">
        <v>9633</v>
      </c>
      <c r="Q1391" s="165" t="s">
        <v>9633</v>
      </c>
      <c r="R1391" s="3">
        <f t="shared" si="56"/>
        <v>14175</v>
      </c>
      <c r="S1391" s="337">
        <v>14175</v>
      </c>
      <c r="T1391"/>
      <c r="U1391" s="3"/>
    </row>
    <row r="1392" spans="1:22">
      <c r="A1392" s="165" t="s">
        <v>5607</v>
      </c>
      <c r="B1392" s="94">
        <v>1346</v>
      </c>
      <c r="C1392" s="165" t="s">
        <v>4282</v>
      </c>
      <c r="D1392" s="165">
        <v>3</v>
      </c>
      <c r="E1392" s="165" t="s">
        <v>9750</v>
      </c>
      <c r="F1392" s="165" t="s">
        <v>5509</v>
      </c>
      <c r="G1392" s="165"/>
      <c r="H1392" s="680">
        <v>14175</v>
      </c>
      <c r="I1392" s="165"/>
      <c r="J1392" s="165"/>
      <c r="K1392" s="165"/>
      <c r="L1392" s="165">
        <v>14175</v>
      </c>
      <c r="M1392" s="165"/>
      <c r="N1392" s="165"/>
      <c r="O1392" s="337">
        <f t="shared" si="55"/>
        <v>0</v>
      </c>
      <c r="P1392" s="165" t="s">
        <v>9636</v>
      </c>
      <c r="Q1392" s="165" t="s">
        <v>9636</v>
      </c>
      <c r="R1392" s="3">
        <f t="shared" si="56"/>
        <v>14175</v>
      </c>
      <c r="S1392" s="337">
        <v>14175</v>
      </c>
      <c r="T1392"/>
      <c r="U1392" s="3"/>
    </row>
    <row r="1393" spans="1:21">
      <c r="A1393" s="165" t="s">
        <v>5607</v>
      </c>
      <c r="B1393" s="94">
        <v>1347</v>
      </c>
      <c r="C1393" s="165" t="s">
        <v>4282</v>
      </c>
      <c r="D1393" s="165">
        <v>4</v>
      </c>
      <c r="E1393" s="165" t="s">
        <v>9751</v>
      </c>
      <c r="F1393" s="165" t="s">
        <v>5433</v>
      </c>
      <c r="G1393" s="165"/>
      <c r="H1393" s="680">
        <v>14175</v>
      </c>
      <c r="I1393" s="165"/>
      <c r="J1393" s="165"/>
      <c r="K1393" s="165"/>
      <c r="L1393" s="165">
        <v>14175</v>
      </c>
      <c r="M1393" s="165"/>
      <c r="N1393" s="165"/>
      <c r="O1393" s="337">
        <f t="shared" si="55"/>
        <v>0</v>
      </c>
      <c r="P1393" s="165" t="s">
        <v>5433</v>
      </c>
      <c r="Q1393" s="165" t="s">
        <v>5433</v>
      </c>
      <c r="R1393" s="3">
        <f t="shared" si="56"/>
        <v>14175</v>
      </c>
      <c r="S1393" s="337">
        <v>14175</v>
      </c>
      <c r="T1393"/>
      <c r="U1393" s="3"/>
    </row>
    <row r="1394" spans="1:21">
      <c r="A1394" s="165" t="s">
        <v>5607</v>
      </c>
      <c r="B1394" s="94">
        <v>1348</v>
      </c>
      <c r="C1394" s="165" t="s">
        <v>4282</v>
      </c>
      <c r="D1394" s="165">
        <v>5</v>
      </c>
      <c r="E1394" s="165" t="s">
        <v>9752</v>
      </c>
      <c r="F1394" s="165" t="s">
        <v>9656</v>
      </c>
      <c r="G1394" s="165"/>
      <c r="H1394" s="680">
        <v>14175</v>
      </c>
      <c r="I1394" s="165"/>
      <c r="J1394" s="165"/>
      <c r="K1394" s="165"/>
      <c r="L1394" s="165">
        <v>14175</v>
      </c>
      <c r="M1394" s="165"/>
      <c r="N1394" s="165"/>
      <c r="O1394" s="337">
        <f t="shared" si="55"/>
        <v>0</v>
      </c>
      <c r="P1394" s="165" t="s">
        <v>8839</v>
      </c>
      <c r="Q1394" s="165" t="s">
        <v>9656</v>
      </c>
      <c r="R1394" s="3">
        <f t="shared" si="56"/>
        <v>14175</v>
      </c>
      <c r="S1394" s="337">
        <v>14175</v>
      </c>
      <c r="T1394"/>
      <c r="U1394" s="3"/>
    </row>
    <row r="1395" spans="1:21">
      <c r="A1395" s="165" t="s">
        <v>5607</v>
      </c>
      <c r="B1395" s="94">
        <v>1349</v>
      </c>
      <c r="C1395" s="165" t="s">
        <v>4282</v>
      </c>
      <c r="D1395" s="165">
        <v>6</v>
      </c>
      <c r="E1395" s="165" t="s">
        <v>9753</v>
      </c>
      <c r="F1395" s="165" t="s">
        <v>8939</v>
      </c>
      <c r="G1395" s="165"/>
      <c r="H1395" s="680">
        <v>14175</v>
      </c>
      <c r="I1395" s="165"/>
      <c r="J1395" s="165"/>
      <c r="K1395" s="165"/>
      <c r="L1395" s="165">
        <v>14175</v>
      </c>
      <c r="M1395" s="165"/>
      <c r="N1395" s="165"/>
      <c r="O1395" s="337">
        <f t="shared" si="55"/>
        <v>0</v>
      </c>
      <c r="P1395" s="165" t="s">
        <v>9700</v>
      </c>
      <c r="Q1395" s="165" t="s">
        <v>8939</v>
      </c>
      <c r="R1395" s="3">
        <f t="shared" si="56"/>
        <v>14175</v>
      </c>
      <c r="S1395" s="337">
        <v>14175</v>
      </c>
      <c r="T1395"/>
      <c r="U1395" s="3"/>
    </row>
    <row r="1396" spans="1:21">
      <c r="A1396" s="165" t="s">
        <v>5607</v>
      </c>
      <c r="B1396" s="94">
        <v>1350</v>
      </c>
      <c r="C1396" s="165" t="s">
        <v>4282</v>
      </c>
      <c r="D1396" s="165">
        <v>7</v>
      </c>
      <c r="E1396" s="165" t="s">
        <v>9754</v>
      </c>
      <c r="F1396" s="165" t="s">
        <v>9662</v>
      </c>
      <c r="G1396" s="165"/>
      <c r="H1396" s="680">
        <v>14175</v>
      </c>
      <c r="I1396" s="165"/>
      <c r="J1396" s="165"/>
      <c r="K1396" s="165"/>
      <c r="L1396" s="165">
        <v>14175</v>
      </c>
      <c r="M1396" s="165"/>
      <c r="N1396" s="165"/>
      <c r="O1396" s="337">
        <f t="shared" si="55"/>
        <v>0</v>
      </c>
      <c r="P1396" s="165" t="s">
        <v>9702</v>
      </c>
      <c r="Q1396" s="165" t="s">
        <v>9662</v>
      </c>
      <c r="R1396" s="3">
        <f t="shared" si="56"/>
        <v>14175</v>
      </c>
      <c r="S1396" s="337">
        <v>14175</v>
      </c>
      <c r="T1396"/>
      <c r="U1396" s="3"/>
    </row>
    <row r="1397" spans="1:21">
      <c r="A1397" s="165" t="s">
        <v>5607</v>
      </c>
      <c r="B1397" s="94">
        <v>1351</v>
      </c>
      <c r="C1397" s="165" t="s">
        <v>4282</v>
      </c>
      <c r="D1397" s="165">
        <v>8</v>
      </c>
      <c r="E1397" s="165" t="s">
        <v>9755</v>
      </c>
      <c r="F1397" s="165" t="s">
        <v>9757</v>
      </c>
      <c r="G1397" s="165"/>
      <c r="H1397" s="680">
        <v>14175</v>
      </c>
      <c r="I1397" s="165"/>
      <c r="J1397" s="165"/>
      <c r="K1397" s="165"/>
      <c r="L1397" s="165">
        <v>14175</v>
      </c>
      <c r="M1397" s="165"/>
      <c r="N1397" s="165"/>
      <c r="O1397" s="337">
        <f t="shared" si="55"/>
        <v>0</v>
      </c>
      <c r="P1397" s="165" t="s">
        <v>10997</v>
      </c>
      <c r="Q1397" s="165" t="s">
        <v>9757</v>
      </c>
      <c r="R1397" s="3">
        <f t="shared" si="56"/>
        <v>14175</v>
      </c>
      <c r="S1397" s="337">
        <v>14175</v>
      </c>
      <c r="T1397"/>
      <c r="U1397" s="3"/>
    </row>
    <row r="1398" spans="1:21">
      <c r="A1398" s="165" t="s">
        <v>5608</v>
      </c>
      <c r="B1398" s="94">
        <v>1352</v>
      </c>
      <c r="C1398" s="165" t="s">
        <v>5208</v>
      </c>
      <c r="D1398" s="165"/>
      <c r="E1398" s="165" t="s">
        <v>9765</v>
      </c>
      <c r="F1398" s="165" t="s">
        <v>5446</v>
      </c>
      <c r="G1398" s="165">
        <v>331800</v>
      </c>
      <c r="H1398" s="165"/>
      <c r="I1398" s="165"/>
      <c r="J1398" s="165"/>
      <c r="K1398" s="165"/>
      <c r="L1398" s="165">
        <v>331800</v>
      </c>
      <c r="M1398" s="165"/>
      <c r="N1398" s="165"/>
      <c r="O1398" s="337">
        <f t="shared" si="55"/>
        <v>0</v>
      </c>
      <c r="P1398" s="165" t="s">
        <v>9760</v>
      </c>
      <c r="Q1398" s="165" t="s">
        <v>9760</v>
      </c>
      <c r="R1398" s="3">
        <f t="shared" si="56"/>
        <v>331800</v>
      </c>
      <c r="S1398" s="337">
        <v>331800</v>
      </c>
      <c r="T1398"/>
      <c r="U1398" s="3"/>
    </row>
    <row r="1399" spans="1:21">
      <c r="A1399" s="165" t="s">
        <v>5608</v>
      </c>
      <c r="B1399" s="94">
        <v>1353</v>
      </c>
      <c r="C1399" s="165" t="s">
        <v>3954</v>
      </c>
      <c r="D1399" s="165">
        <v>1</v>
      </c>
      <c r="E1399" s="165" t="s">
        <v>9852</v>
      </c>
      <c r="F1399" s="165" t="s">
        <v>4671</v>
      </c>
      <c r="G1399" s="165"/>
      <c r="H1399" s="680">
        <v>17325</v>
      </c>
      <c r="I1399" s="165"/>
      <c r="J1399" s="165"/>
      <c r="K1399" s="165"/>
      <c r="L1399" s="165">
        <v>17325</v>
      </c>
      <c r="M1399" s="165"/>
      <c r="N1399" s="165"/>
      <c r="O1399" s="337">
        <f t="shared" si="55"/>
        <v>0</v>
      </c>
      <c r="P1399" s="165" t="s">
        <v>4671</v>
      </c>
      <c r="Q1399" s="165" t="s">
        <v>4671</v>
      </c>
      <c r="R1399" s="3">
        <f t="shared" si="56"/>
        <v>17325</v>
      </c>
      <c r="S1399" s="337">
        <v>17325</v>
      </c>
      <c r="T1399"/>
      <c r="U1399" s="3"/>
    </row>
    <row r="1400" spans="1:21">
      <c r="A1400" s="165" t="s">
        <v>5608</v>
      </c>
      <c r="B1400" s="94">
        <v>1354</v>
      </c>
      <c r="C1400" s="165" t="s">
        <v>3954</v>
      </c>
      <c r="D1400" s="165">
        <v>2</v>
      </c>
      <c r="E1400" s="165" t="s">
        <v>9853</v>
      </c>
      <c r="F1400" s="165" t="s">
        <v>9861</v>
      </c>
      <c r="G1400" s="165"/>
      <c r="H1400" s="680">
        <v>17325</v>
      </c>
      <c r="I1400" s="165"/>
      <c r="J1400" s="165"/>
      <c r="K1400" s="165"/>
      <c r="L1400" s="165">
        <v>17325</v>
      </c>
      <c r="M1400" s="165"/>
      <c r="N1400" s="165"/>
      <c r="O1400" s="337">
        <f t="shared" si="55"/>
        <v>0</v>
      </c>
      <c r="P1400" s="165" t="s">
        <v>9861</v>
      </c>
      <c r="Q1400" s="165" t="s">
        <v>9861</v>
      </c>
      <c r="R1400" s="3">
        <f t="shared" si="56"/>
        <v>17325</v>
      </c>
      <c r="S1400" s="337">
        <v>17325</v>
      </c>
      <c r="T1400"/>
      <c r="U1400" s="3"/>
    </row>
    <row r="1401" spans="1:21">
      <c r="A1401" s="165" t="s">
        <v>5608</v>
      </c>
      <c r="B1401" s="94">
        <v>1355</v>
      </c>
      <c r="C1401" s="165" t="s">
        <v>3954</v>
      </c>
      <c r="D1401" s="165">
        <v>3</v>
      </c>
      <c r="E1401" s="165" t="s">
        <v>9854</v>
      </c>
      <c r="F1401" s="165" t="s">
        <v>8803</v>
      </c>
      <c r="G1401" s="165"/>
      <c r="H1401" s="680">
        <v>17325</v>
      </c>
      <c r="I1401" s="165"/>
      <c r="J1401" s="165"/>
      <c r="K1401" s="165"/>
      <c r="L1401" s="165">
        <v>17325</v>
      </c>
      <c r="M1401" s="165"/>
      <c r="N1401" s="165"/>
      <c r="O1401" s="337">
        <f t="shared" si="55"/>
        <v>0</v>
      </c>
      <c r="P1401" s="165" t="s">
        <v>8803</v>
      </c>
      <c r="Q1401" s="165" t="s">
        <v>8803</v>
      </c>
      <c r="R1401" s="3">
        <f t="shared" si="56"/>
        <v>17325</v>
      </c>
      <c r="S1401" s="337">
        <v>17325</v>
      </c>
      <c r="T1401"/>
      <c r="U1401" s="3"/>
    </row>
    <row r="1402" spans="1:21">
      <c r="A1402" s="165" t="s">
        <v>5608</v>
      </c>
      <c r="B1402" s="94">
        <v>1356</v>
      </c>
      <c r="C1402" s="165" t="s">
        <v>3954</v>
      </c>
      <c r="D1402" s="165">
        <v>4</v>
      </c>
      <c r="E1402" s="165" t="s">
        <v>9855</v>
      </c>
      <c r="F1402" s="165" t="s">
        <v>9866</v>
      </c>
      <c r="G1402" s="165"/>
      <c r="H1402" s="680">
        <v>17325</v>
      </c>
      <c r="I1402" s="165"/>
      <c r="J1402" s="165"/>
      <c r="K1402" s="165"/>
      <c r="L1402" s="165">
        <v>17325</v>
      </c>
      <c r="M1402" s="165"/>
      <c r="N1402" s="165"/>
      <c r="O1402" s="337">
        <f t="shared" si="55"/>
        <v>0</v>
      </c>
      <c r="P1402" s="165" t="s">
        <v>9866</v>
      </c>
      <c r="Q1402" s="165" t="s">
        <v>9866</v>
      </c>
      <c r="R1402" s="3">
        <f t="shared" si="56"/>
        <v>17325</v>
      </c>
      <c r="S1402" s="337">
        <v>17325</v>
      </c>
      <c r="T1402"/>
      <c r="U1402" s="3"/>
    </row>
    <row r="1403" spans="1:21">
      <c r="A1403" s="165" t="s">
        <v>5608</v>
      </c>
      <c r="B1403" s="94">
        <v>1357</v>
      </c>
      <c r="C1403" s="165" t="s">
        <v>3954</v>
      </c>
      <c r="D1403" s="165">
        <v>5</v>
      </c>
      <c r="E1403" s="165" t="s">
        <v>9856</v>
      </c>
      <c r="F1403" s="165" t="s">
        <v>9864</v>
      </c>
      <c r="G1403" s="165"/>
      <c r="H1403" s="680">
        <v>17325</v>
      </c>
      <c r="I1403" s="165"/>
      <c r="J1403" s="165"/>
      <c r="K1403" s="165"/>
      <c r="L1403" s="165">
        <v>17325</v>
      </c>
      <c r="M1403" s="165"/>
      <c r="N1403" s="165"/>
      <c r="O1403" s="337">
        <f t="shared" si="55"/>
        <v>0</v>
      </c>
      <c r="P1403" s="165" t="s">
        <v>9700</v>
      </c>
      <c r="Q1403" s="165" t="s">
        <v>9864</v>
      </c>
      <c r="R1403" s="3">
        <f t="shared" si="56"/>
        <v>17325</v>
      </c>
      <c r="S1403" s="337">
        <v>17325</v>
      </c>
      <c r="T1403"/>
      <c r="U1403" s="3"/>
    </row>
    <row r="1404" spans="1:21">
      <c r="A1404" s="165" t="s">
        <v>5608</v>
      </c>
      <c r="B1404" s="94">
        <v>1358</v>
      </c>
      <c r="C1404" s="165" t="s">
        <v>3954</v>
      </c>
      <c r="D1404" s="165">
        <v>6</v>
      </c>
      <c r="E1404" s="165" t="s">
        <v>9857</v>
      </c>
      <c r="F1404" s="165" t="s">
        <v>9867</v>
      </c>
      <c r="G1404" s="165"/>
      <c r="H1404" s="680">
        <v>17325</v>
      </c>
      <c r="I1404" s="165"/>
      <c r="J1404" s="165"/>
      <c r="K1404" s="165"/>
      <c r="L1404" s="165">
        <v>17325</v>
      </c>
      <c r="M1404" s="165"/>
      <c r="N1404" s="165"/>
      <c r="O1404" s="337">
        <f t="shared" si="55"/>
        <v>0</v>
      </c>
      <c r="P1404" s="165" t="s">
        <v>9702</v>
      </c>
      <c r="Q1404" s="165" t="s">
        <v>9867</v>
      </c>
      <c r="R1404" s="3">
        <f t="shared" si="56"/>
        <v>17325</v>
      </c>
      <c r="S1404" s="337">
        <v>17325</v>
      </c>
      <c r="T1404"/>
      <c r="U1404" s="3"/>
    </row>
    <row r="1405" spans="1:21">
      <c r="A1405" s="165" t="s">
        <v>5608</v>
      </c>
      <c r="B1405" s="94">
        <v>1359</v>
      </c>
      <c r="C1405" s="165" t="s">
        <v>3954</v>
      </c>
      <c r="D1405" s="165">
        <v>7</v>
      </c>
      <c r="E1405" s="165" t="s">
        <v>9858</v>
      </c>
      <c r="F1405" s="165" t="s">
        <v>9862</v>
      </c>
      <c r="G1405" s="165"/>
      <c r="H1405" s="680">
        <v>17325</v>
      </c>
      <c r="I1405" s="165"/>
      <c r="J1405" s="165"/>
      <c r="K1405" s="165"/>
      <c r="L1405" s="165">
        <v>17325</v>
      </c>
      <c r="M1405" s="165"/>
      <c r="N1405" s="165"/>
      <c r="O1405" s="337">
        <f t="shared" si="55"/>
        <v>0</v>
      </c>
      <c r="P1405" s="165" t="s">
        <v>10983</v>
      </c>
      <c r="Q1405" s="165" t="s">
        <v>9862</v>
      </c>
      <c r="R1405" s="3">
        <f t="shared" si="56"/>
        <v>17325</v>
      </c>
      <c r="S1405" s="337">
        <v>17325</v>
      </c>
      <c r="T1405"/>
      <c r="U1405" s="3"/>
    </row>
    <row r="1406" spans="1:21">
      <c r="A1406" s="165" t="s">
        <v>5608</v>
      </c>
      <c r="B1406" s="94">
        <v>1360</v>
      </c>
      <c r="C1406" s="165" t="s">
        <v>3954</v>
      </c>
      <c r="D1406" s="165">
        <v>8</v>
      </c>
      <c r="E1406" s="165" t="s">
        <v>9859</v>
      </c>
      <c r="F1406" s="165" t="s">
        <v>9863</v>
      </c>
      <c r="G1406" s="165"/>
      <c r="H1406" s="680">
        <v>17325</v>
      </c>
      <c r="I1406" s="165"/>
      <c r="J1406" s="165"/>
      <c r="K1406" s="165"/>
      <c r="L1406" s="165">
        <v>17325</v>
      </c>
      <c r="M1406" s="165"/>
      <c r="N1406" s="165"/>
      <c r="O1406" s="337">
        <f t="shared" si="55"/>
        <v>0</v>
      </c>
      <c r="P1406" s="165" t="s">
        <v>11084</v>
      </c>
      <c r="Q1406" s="165" t="s">
        <v>9863</v>
      </c>
      <c r="R1406" s="3">
        <f t="shared" si="56"/>
        <v>17325</v>
      </c>
      <c r="S1406" s="337">
        <v>17325</v>
      </c>
      <c r="T1406"/>
      <c r="U1406" s="3"/>
    </row>
    <row r="1407" spans="1:21">
      <c r="A1407" s="165" t="s">
        <v>5611</v>
      </c>
      <c r="B1407" s="94">
        <v>1361</v>
      </c>
      <c r="C1407" s="165" t="s">
        <v>4271</v>
      </c>
      <c r="D1407" s="165">
        <v>5</v>
      </c>
      <c r="E1407" s="165" t="s">
        <v>9800</v>
      </c>
      <c r="F1407" s="165" t="s">
        <v>9801</v>
      </c>
      <c r="G1407" s="165"/>
      <c r="H1407" s="680">
        <v>20475</v>
      </c>
      <c r="I1407" s="165"/>
      <c r="J1407" s="165"/>
      <c r="K1407" s="165"/>
      <c r="L1407" s="165">
        <v>20475</v>
      </c>
      <c r="M1407" s="165"/>
      <c r="N1407" s="165"/>
      <c r="O1407" s="337">
        <f>G1407+H1407+I1407-J1407-K1407-L1407</f>
        <v>0</v>
      </c>
      <c r="P1407" s="165" t="s">
        <v>9802</v>
      </c>
      <c r="Q1407" s="165" t="s">
        <v>9802</v>
      </c>
      <c r="R1407" s="3">
        <f>G1407+H1407+I1407</f>
        <v>20475</v>
      </c>
      <c r="S1407" s="337">
        <v>20475</v>
      </c>
      <c r="T1407"/>
      <c r="U1407" s="3"/>
    </row>
    <row r="1408" spans="1:21">
      <c r="A1408" s="165" t="s">
        <v>5611</v>
      </c>
      <c r="B1408" s="94">
        <v>1362</v>
      </c>
      <c r="C1408" s="165" t="s">
        <v>4271</v>
      </c>
      <c r="D1408" s="165">
        <v>6</v>
      </c>
      <c r="E1408" s="165" t="s">
        <v>9803</v>
      </c>
      <c r="F1408" s="165" t="s">
        <v>9806</v>
      </c>
      <c r="G1408" s="165"/>
      <c r="H1408" s="680">
        <v>20475</v>
      </c>
      <c r="I1408" s="165"/>
      <c r="J1408" s="165"/>
      <c r="K1408" s="165"/>
      <c r="L1408" s="165">
        <v>20475</v>
      </c>
      <c r="M1408" s="165"/>
      <c r="N1408" s="165"/>
      <c r="O1408" s="337">
        <f>G1408+H1408+I1408-J1408-K1408-L1408</f>
        <v>0</v>
      </c>
      <c r="P1408" s="165" t="s">
        <v>9806</v>
      </c>
      <c r="Q1408" s="165" t="s">
        <v>9806</v>
      </c>
      <c r="R1408" s="3">
        <f>G1408+H1408+I1408</f>
        <v>20475</v>
      </c>
      <c r="S1408" s="337">
        <v>20475</v>
      </c>
      <c r="T1408"/>
      <c r="U1408" s="3"/>
    </row>
    <row r="1409" spans="1:21">
      <c r="A1409" s="165" t="s">
        <v>5611</v>
      </c>
      <c r="B1409" s="94">
        <v>1363</v>
      </c>
      <c r="C1409" s="165" t="s">
        <v>4271</v>
      </c>
      <c r="D1409" s="165">
        <v>7</v>
      </c>
      <c r="E1409" s="165" t="s">
        <v>9804</v>
      </c>
      <c r="F1409" s="165" t="s">
        <v>9807</v>
      </c>
      <c r="G1409" s="165"/>
      <c r="H1409" s="680">
        <v>20475</v>
      </c>
      <c r="I1409" s="165"/>
      <c r="J1409" s="165"/>
      <c r="K1409" s="165"/>
      <c r="L1409" s="165">
        <v>20475</v>
      </c>
      <c r="M1409" s="165"/>
      <c r="N1409" s="165"/>
      <c r="O1409" s="337">
        <f>G1409+H1409+I1409-J1409-K1409-L1409</f>
        <v>0</v>
      </c>
      <c r="P1409" s="165" t="s">
        <v>9807</v>
      </c>
      <c r="Q1409" s="165" t="s">
        <v>9807</v>
      </c>
      <c r="R1409" s="3">
        <f>G1409+H1409+I1409</f>
        <v>20475</v>
      </c>
      <c r="S1409" s="337">
        <v>20475</v>
      </c>
      <c r="T1409"/>
      <c r="U1409" s="3"/>
    </row>
    <row r="1410" spans="1:21">
      <c r="A1410" s="165" t="s">
        <v>5611</v>
      </c>
      <c r="B1410" s="94">
        <v>1364</v>
      </c>
      <c r="C1410" s="165" t="s">
        <v>4271</v>
      </c>
      <c r="D1410" s="165">
        <v>8</v>
      </c>
      <c r="E1410" s="165" t="s">
        <v>9805</v>
      </c>
      <c r="F1410" s="165" t="s">
        <v>9808</v>
      </c>
      <c r="G1410" s="165"/>
      <c r="H1410" s="680">
        <v>20475</v>
      </c>
      <c r="I1410" s="165"/>
      <c r="J1410" s="165"/>
      <c r="K1410" s="165"/>
      <c r="L1410" s="165">
        <v>20475</v>
      </c>
      <c r="M1410" s="165"/>
      <c r="N1410" s="165"/>
      <c r="O1410" s="337">
        <f>G1410+H1410+I1410-J1410-K1410-L1410</f>
        <v>0</v>
      </c>
      <c r="P1410" s="165" t="s">
        <v>9809</v>
      </c>
      <c r="Q1410" s="165" t="s">
        <v>9809</v>
      </c>
      <c r="R1410" s="3">
        <f>G1410+H1410+I1410</f>
        <v>20475</v>
      </c>
      <c r="S1410" s="337">
        <v>20475</v>
      </c>
      <c r="T1410"/>
      <c r="U1410" s="3"/>
    </row>
    <row r="1411" spans="1:21">
      <c r="A1411" s="165" t="s">
        <v>9881</v>
      </c>
      <c r="B1411" s="94">
        <v>1365</v>
      </c>
      <c r="C1411" s="165" t="s">
        <v>4517</v>
      </c>
      <c r="D1411" s="165">
        <v>1</v>
      </c>
      <c r="E1411" s="165" t="s">
        <v>9883</v>
      </c>
      <c r="F1411" s="165" t="s">
        <v>5430</v>
      </c>
      <c r="G1411" s="165"/>
      <c r="H1411" s="680">
        <v>13500</v>
      </c>
      <c r="I1411" s="165"/>
      <c r="J1411" s="165"/>
      <c r="K1411" s="165"/>
      <c r="L1411" s="165">
        <v>13500</v>
      </c>
      <c r="M1411" s="165"/>
      <c r="N1411" s="165"/>
      <c r="O1411" s="337">
        <f t="shared" ref="O1411:O1470" si="57">G1411+H1411+I1411-J1411-K1411-L1411</f>
        <v>0</v>
      </c>
      <c r="P1411" s="165" t="s">
        <v>9893</v>
      </c>
      <c r="Q1411" s="165" t="s">
        <v>9893</v>
      </c>
      <c r="R1411" s="3">
        <f t="shared" ref="R1411:R1474" si="58">G1411+H1411+I1411</f>
        <v>13500</v>
      </c>
      <c r="S1411" s="337">
        <v>13500</v>
      </c>
      <c r="T1411"/>
      <c r="U1411" s="3"/>
    </row>
    <row r="1412" spans="1:21">
      <c r="A1412" s="165" t="s">
        <v>9881</v>
      </c>
      <c r="B1412" s="94">
        <v>1366</v>
      </c>
      <c r="C1412" s="165" t="s">
        <v>4517</v>
      </c>
      <c r="D1412" s="165">
        <v>2</v>
      </c>
      <c r="E1412" s="165" t="s">
        <v>9884</v>
      </c>
      <c r="F1412" s="165" t="s">
        <v>5431</v>
      </c>
      <c r="G1412" s="165"/>
      <c r="H1412" s="680">
        <v>13500</v>
      </c>
      <c r="I1412" s="165"/>
      <c r="J1412" s="165"/>
      <c r="K1412" s="165"/>
      <c r="L1412" s="165">
        <v>13500</v>
      </c>
      <c r="M1412" s="165"/>
      <c r="N1412" s="165"/>
      <c r="O1412" s="337">
        <f t="shared" si="57"/>
        <v>0</v>
      </c>
      <c r="P1412" s="165" t="s">
        <v>5618</v>
      </c>
      <c r="Q1412" s="165" t="s">
        <v>5618</v>
      </c>
      <c r="R1412" s="3">
        <f t="shared" si="58"/>
        <v>13500</v>
      </c>
      <c r="S1412" s="337">
        <v>13500</v>
      </c>
      <c r="T1412"/>
      <c r="U1412" s="3"/>
    </row>
    <row r="1413" spans="1:21">
      <c r="A1413" s="165" t="s">
        <v>9881</v>
      </c>
      <c r="B1413" s="94">
        <v>1367</v>
      </c>
      <c r="C1413" s="165" t="s">
        <v>4517</v>
      </c>
      <c r="D1413" s="165">
        <v>3</v>
      </c>
      <c r="E1413" s="165" t="s">
        <v>9885</v>
      </c>
      <c r="F1413" s="165" t="s">
        <v>5432</v>
      </c>
      <c r="G1413" s="165"/>
      <c r="H1413" s="680">
        <v>13500</v>
      </c>
      <c r="I1413" s="165"/>
      <c r="J1413" s="165"/>
      <c r="K1413" s="165"/>
      <c r="L1413" s="165">
        <v>13500</v>
      </c>
      <c r="M1413" s="165"/>
      <c r="N1413" s="165"/>
      <c r="O1413" s="337">
        <f t="shared" si="57"/>
        <v>0</v>
      </c>
      <c r="P1413" s="165" t="s">
        <v>5432</v>
      </c>
      <c r="Q1413" s="165" t="s">
        <v>5432</v>
      </c>
      <c r="R1413" s="3">
        <f t="shared" si="58"/>
        <v>13500</v>
      </c>
      <c r="S1413" s="337">
        <v>13500</v>
      </c>
      <c r="T1413"/>
      <c r="U1413" s="3"/>
    </row>
    <row r="1414" spans="1:21">
      <c r="A1414" s="165" t="s">
        <v>9881</v>
      </c>
      <c r="B1414" s="94">
        <v>1368</v>
      </c>
      <c r="C1414" s="165" t="s">
        <v>4517</v>
      </c>
      <c r="D1414" s="165">
        <v>4</v>
      </c>
      <c r="E1414" s="165" t="s">
        <v>9886</v>
      </c>
      <c r="F1414" s="165" t="s">
        <v>5433</v>
      </c>
      <c r="G1414" s="165"/>
      <c r="H1414" s="680">
        <v>13500</v>
      </c>
      <c r="I1414" s="165"/>
      <c r="J1414" s="165"/>
      <c r="K1414" s="165"/>
      <c r="L1414" s="165">
        <v>13500</v>
      </c>
      <c r="M1414" s="165"/>
      <c r="N1414" s="165"/>
      <c r="O1414" s="337">
        <f t="shared" si="57"/>
        <v>0</v>
      </c>
      <c r="P1414" s="165" t="s">
        <v>5433</v>
      </c>
      <c r="Q1414" s="165" t="s">
        <v>5433</v>
      </c>
      <c r="R1414" s="3">
        <f t="shared" si="58"/>
        <v>13500</v>
      </c>
      <c r="S1414" s="337">
        <v>13500</v>
      </c>
      <c r="T1414"/>
      <c r="U1414" s="3"/>
    </row>
    <row r="1415" spans="1:21">
      <c r="A1415" s="165" t="s">
        <v>9881</v>
      </c>
      <c r="B1415" s="94">
        <v>1369</v>
      </c>
      <c r="C1415" s="165" t="s">
        <v>4517</v>
      </c>
      <c r="D1415" s="165">
        <v>5</v>
      </c>
      <c r="E1415" s="165" t="s">
        <v>9887</v>
      </c>
      <c r="F1415" s="165" t="s">
        <v>5434</v>
      </c>
      <c r="G1415" s="165"/>
      <c r="H1415" s="680">
        <v>13500</v>
      </c>
      <c r="I1415" s="165"/>
      <c r="J1415" s="165"/>
      <c r="K1415" s="165"/>
      <c r="L1415" s="165">
        <v>13500</v>
      </c>
      <c r="M1415" s="165"/>
      <c r="N1415" s="165"/>
      <c r="O1415" s="337">
        <f t="shared" si="57"/>
        <v>0</v>
      </c>
      <c r="P1415" s="165" t="s">
        <v>8883</v>
      </c>
      <c r="Q1415" s="165" t="s">
        <v>8896</v>
      </c>
      <c r="R1415" s="3">
        <f t="shared" si="58"/>
        <v>13500</v>
      </c>
      <c r="S1415" s="337">
        <v>13500</v>
      </c>
      <c r="T1415"/>
      <c r="U1415" s="3"/>
    </row>
    <row r="1416" spans="1:21">
      <c r="A1416" s="165" t="s">
        <v>9881</v>
      </c>
      <c r="B1416" s="94">
        <v>1370</v>
      </c>
      <c r="C1416" s="165" t="s">
        <v>4517</v>
      </c>
      <c r="D1416" s="165">
        <v>6</v>
      </c>
      <c r="E1416" s="165" t="s">
        <v>9888</v>
      </c>
      <c r="F1416" s="165" t="s">
        <v>9660</v>
      </c>
      <c r="G1416" s="165"/>
      <c r="H1416" s="680">
        <v>13500</v>
      </c>
      <c r="I1416" s="165"/>
      <c r="J1416" s="165"/>
      <c r="K1416" s="165"/>
      <c r="L1416" s="165">
        <v>13500</v>
      </c>
      <c r="M1416" s="165"/>
      <c r="N1416" s="165"/>
      <c r="O1416" s="337">
        <f t="shared" si="57"/>
        <v>0</v>
      </c>
      <c r="P1416" s="165" t="s">
        <v>8973</v>
      </c>
      <c r="Q1416" s="165" t="s">
        <v>8973</v>
      </c>
      <c r="R1416" s="3">
        <f t="shared" si="58"/>
        <v>13500</v>
      </c>
      <c r="S1416" s="337">
        <v>13500</v>
      </c>
      <c r="T1416"/>
      <c r="U1416" s="3"/>
    </row>
    <row r="1417" spans="1:21">
      <c r="A1417" s="165" t="s">
        <v>9881</v>
      </c>
      <c r="B1417" s="94">
        <v>1371</v>
      </c>
      <c r="C1417" s="165" t="s">
        <v>4517</v>
      </c>
      <c r="D1417" s="165">
        <v>7</v>
      </c>
      <c r="E1417" s="165" t="s">
        <v>9889</v>
      </c>
      <c r="F1417" s="165" t="s">
        <v>9663</v>
      </c>
      <c r="G1417" s="165"/>
      <c r="H1417" s="680">
        <v>13500</v>
      </c>
      <c r="I1417" s="165"/>
      <c r="J1417" s="165"/>
      <c r="K1417" s="165"/>
      <c r="L1417" s="165">
        <v>13500</v>
      </c>
      <c r="M1417" s="165"/>
      <c r="N1417" s="165"/>
      <c r="O1417" s="337">
        <f t="shared" si="57"/>
        <v>0</v>
      </c>
      <c r="P1417" s="165" t="s">
        <v>10936</v>
      </c>
      <c r="Q1417" s="165" t="s">
        <v>9663</v>
      </c>
      <c r="R1417" s="3">
        <f t="shared" si="58"/>
        <v>13500</v>
      </c>
      <c r="S1417" s="337">
        <v>13500</v>
      </c>
      <c r="T1417"/>
      <c r="U1417" s="3"/>
    </row>
    <row r="1418" spans="1:21">
      <c r="A1418" s="165" t="s">
        <v>9881</v>
      </c>
      <c r="B1418" s="94">
        <v>1372</v>
      </c>
      <c r="C1418" s="165" t="s">
        <v>4517</v>
      </c>
      <c r="D1418" s="165">
        <v>8</v>
      </c>
      <c r="E1418" s="165" t="s">
        <v>9890</v>
      </c>
      <c r="F1418" s="165" t="s">
        <v>9757</v>
      </c>
      <c r="G1418" s="165"/>
      <c r="H1418" s="680">
        <v>13500</v>
      </c>
      <c r="I1418" s="165"/>
      <c r="J1418" s="165"/>
      <c r="K1418" s="165"/>
      <c r="L1418" s="165">
        <v>13500</v>
      </c>
      <c r="M1418" s="165"/>
      <c r="N1418" s="165"/>
      <c r="O1418" s="337">
        <f t="shared" si="57"/>
        <v>0</v>
      </c>
      <c r="P1418" s="165" t="s">
        <v>10997</v>
      </c>
      <c r="Q1418" s="165" t="s">
        <v>9757</v>
      </c>
      <c r="R1418" s="3">
        <f t="shared" si="58"/>
        <v>13500</v>
      </c>
      <c r="S1418" s="337">
        <v>13500</v>
      </c>
      <c r="T1418"/>
      <c r="U1418" s="3"/>
    </row>
    <row r="1419" spans="1:21">
      <c r="A1419" s="165" t="s">
        <v>5616</v>
      </c>
      <c r="B1419" s="94">
        <v>1373</v>
      </c>
      <c r="C1419" s="165" t="s">
        <v>4255</v>
      </c>
      <c r="D1419" s="165">
        <v>1</v>
      </c>
      <c r="E1419" s="165" t="s">
        <v>9897</v>
      </c>
      <c r="F1419" s="165" t="s">
        <v>5481</v>
      </c>
      <c r="G1419" s="165"/>
      <c r="H1419" s="680">
        <v>14175</v>
      </c>
      <c r="I1419" s="165"/>
      <c r="J1419" s="165"/>
      <c r="K1419" s="165"/>
      <c r="L1419" s="165">
        <v>14175</v>
      </c>
      <c r="M1419" s="165"/>
      <c r="N1419" s="165"/>
      <c r="O1419" s="337">
        <f t="shared" si="57"/>
        <v>0</v>
      </c>
      <c r="P1419" s="165" t="s">
        <v>9893</v>
      </c>
      <c r="Q1419" s="165" t="s">
        <v>9893</v>
      </c>
      <c r="R1419" s="3">
        <f t="shared" si="58"/>
        <v>14175</v>
      </c>
      <c r="S1419" s="337">
        <v>14175</v>
      </c>
      <c r="T1419"/>
      <c r="U1419" s="3"/>
    </row>
    <row r="1420" spans="1:21">
      <c r="A1420" s="165" t="s">
        <v>5616</v>
      </c>
      <c r="B1420" s="94">
        <v>1374</v>
      </c>
      <c r="C1420" s="165" t="s">
        <v>4255</v>
      </c>
      <c r="D1420" s="165">
        <v>2</v>
      </c>
      <c r="E1420" s="165" t="s">
        <v>9900</v>
      </c>
      <c r="F1420" s="165" t="s">
        <v>5482</v>
      </c>
      <c r="G1420" s="165"/>
      <c r="H1420" s="680">
        <v>14175</v>
      </c>
      <c r="I1420" s="165"/>
      <c r="J1420" s="165"/>
      <c r="K1420" s="165"/>
      <c r="L1420" s="165">
        <v>14175</v>
      </c>
      <c r="M1420" s="165"/>
      <c r="N1420" s="165"/>
      <c r="O1420" s="337">
        <f t="shared" si="57"/>
        <v>0</v>
      </c>
      <c r="P1420" s="165" t="s">
        <v>5482</v>
      </c>
      <c r="Q1420" s="165" t="s">
        <v>5482</v>
      </c>
      <c r="R1420" s="3">
        <f t="shared" si="58"/>
        <v>14175</v>
      </c>
      <c r="S1420" s="337">
        <v>14175</v>
      </c>
      <c r="T1420"/>
      <c r="U1420" s="3"/>
    </row>
    <row r="1421" spans="1:21">
      <c r="A1421" s="165" t="s">
        <v>5616</v>
      </c>
      <c r="B1421" s="94">
        <v>1375</v>
      </c>
      <c r="C1421" s="165" t="s">
        <v>4255</v>
      </c>
      <c r="D1421" s="165">
        <v>3</v>
      </c>
      <c r="E1421" s="165" t="s">
        <v>9901</v>
      </c>
      <c r="F1421" s="165" t="s">
        <v>5483</v>
      </c>
      <c r="G1421" s="165"/>
      <c r="H1421" s="680">
        <v>14175</v>
      </c>
      <c r="I1421" s="165"/>
      <c r="J1421" s="165"/>
      <c r="K1421" s="165"/>
      <c r="L1421" s="165">
        <v>14175</v>
      </c>
      <c r="M1421" s="165"/>
      <c r="N1421" s="165"/>
      <c r="O1421" s="337">
        <f t="shared" si="57"/>
        <v>0</v>
      </c>
      <c r="P1421" s="165" t="s">
        <v>9848</v>
      </c>
      <c r="Q1421" s="165" t="s">
        <v>9848</v>
      </c>
      <c r="R1421" s="3">
        <f t="shared" si="58"/>
        <v>14175</v>
      </c>
      <c r="S1421" s="337">
        <v>14175</v>
      </c>
      <c r="T1421"/>
      <c r="U1421" s="3"/>
    </row>
    <row r="1422" spans="1:21">
      <c r="A1422" s="165" t="s">
        <v>5616</v>
      </c>
      <c r="B1422" s="94">
        <v>1376</v>
      </c>
      <c r="C1422" s="165" t="s">
        <v>4255</v>
      </c>
      <c r="D1422" s="165">
        <v>4</v>
      </c>
      <c r="E1422" s="165" t="s">
        <v>9902</v>
      </c>
      <c r="F1422" s="165" t="s">
        <v>5484</v>
      </c>
      <c r="G1422" s="165"/>
      <c r="H1422" s="680">
        <v>14175</v>
      </c>
      <c r="I1422" s="165"/>
      <c r="J1422" s="165"/>
      <c r="K1422" s="165"/>
      <c r="L1422" s="165">
        <v>14175</v>
      </c>
      <c r="M1422" s="165"/>
      <c r="N1422" s="165"/>
      <c r="O1422" s="337">
        <f t="shared" si="57"/>
        <v>0</v>
      </c>
      <c r="P1422" s="165" t="s">
        <v>9849</v>
      </c>
      <c r="Q1422" s="165" t="s">
        <v>9849</v>
      </c>
      <c r="R1422" s="3">
        <f t="shared" si="58"/>
        <v>14175</v>
      </c>
      <c r="S1422" s="337">
        <v>14175</v>
      </c>
      <c r="T1422"/>
      <c r="U1422" s="3"/>
    </row>
    <row r="1423" spans="1:21">
      <c r="A1423" s="165" t="s">
        <v>5616</v>
      </c>
      <c r="B1423" s="94">
        <v>1377</v>
      </c>
      <c r="C1423" s="165" t="s">
        <v>4255</v>
      </c>
      <c r="D1423" s="165">
        <v>5</v>
      </c>
      <c r="E1423" s="165" t="s">
        <v>9905</v>
      </c>
      <c r="F1423" s="165" t="s">
        <v>5485</v>
      </c>
      <c r="G1423" s="165"/>
      <c r="H1423" s="680">
        <v>14175</v>
      </c>
      <c r="I1423" s="165"/>
      <c r="J1423" s="165"/>
      <c r="K1423" s="165"/>
      <c r="L1423" s="165">
        <v>14175</v>
      </c>
      <c r="M1423" s="165"/>
      <c r="N1423" s="165"/>
      <c r="O1423" s="337">
        <f t="shared" si="57"/>
        <v>0</v>
      </c>
      <c r="P1423" s="165" t="s">
        <v>9700</v>
      </c>
      <c r="Q1423" s="165" t="s">
        <v>5485</v>
      </c>
      <c r="R1423" s="3">
        <f t="shared" si="58"/>
        <v>14175</v>
      </c>
      <c r="S1423" s="337">
        <v>14175</v>
      </c>
      <c r="T1423"/>
      <c r="U1423" s="3"/>
    </row>
    <row r="1424" spans="1:21">
      <c r="A1424" s="165" t="s">
        <v>5616</v>
      </c>
      <c r="B1424" s="94">
        <v>1378</v>
      </c>
      <c r="C1424" s="165" t="s">
        <v>4255</v>
      </c>
      <c r="D1424" s="165">
        <v>6</v>
      </c>
      <c r="E1424" s="165" t="s">
        <v>9898</v>
      </c>
      <c r="F1424" s="165" t="s">
        <v>9907</v>
      </c>
      <c r="G1424" s="165"/>
      <c r="H1424" s="680">
        <v>14175</v>
      </c>
      <c r="I1424" s="165"/>
      <c r="J1424" s="165"/>
      <c r="K1424" s="165"/>
      <c r="L1424" s="165">
        <v>14175</v>
      </c>
      <c r="M1424" s="165"/>
      <c r="N1424" s="165"/>
      <c r="O1424" s="337">
        <f t="shared" si="57"/>
        <v>0</v>
      </c>
      <c r="P1424" s="165" t="s">
        <v>9702</v>
      </c>
      <c r="Q1424" s="165" t="s">
        <v>9907</v>
      </c>
      <c r="R1424" s="3">
        <f t="shared" si="58"/>
        <v>14175</v>
      </c>
      <c r="S1424" s="337">
        <v>14175</v>
      </c>
      <c r="T1424"/>
      <c r="U1424" s="3"/>
    </row>
    <row r="1425" spans="1:21">
      <c r="A1425" s="165" t="s">
        <v>5616</v>
      </c>
      <c r="B1425" s="94">
        <v>1379</v>
      </c>
      <c r="C1425" s="165" t="s">
        <v>4255</v>
      </c>
      <c r="D1425" s="165">
        <v>7</v>
      </c>
      <c r="E1425" s="165" t="s">
        <v>9899</v>
      </c>
      <c r="F1425" s="165" t="s">
        <v>9908</v>
      </c>
      <c r="G1425" s="165"/>
      <c r="H1425" s="680">
        <v>14175</v>
      </c>
      <c r="I1425" s="165"/>
      <c r="J1425" s="165"/>
      <c r="K1425" s="165"/>
      <c r="L1425" s="165">
        <v>14175</v>
      </c>
      <c r="M1425" s="165"/>
      <c r="N1425" s="165"/>
      <c r="O1425" s="337">
        <f t="shared" si="57"/>
        <v>0</v>
      </c>
      <c r="P1425" s="165" t="s">
        <v>10983</v>
      </c>
      <c r="Q1425" s="165" t="s">
        <v>9908</v>
      </c>
      <c r="R1425" s="3">
        <f t="shared" si="58"/>
        <v>14175</v>
      </c>
      <c r="S1425" s="337">
        <v>14175</v>
      </c>
      <c r="T1425"/>
      <c r="U1425" s="3"/>
    </row>
    <row r="1426" spans="1:21">
      <c r="A1426" s="165" t="s">
        <v>5616</v>
      </c>
      <c r="B1426" s="94">
        <v>1380</v>
      </c>
      <c r="C1426" s="165" t="s">
        <v>4255</v>
      </c>
      <c r="D1426" s="165">
        <v>8</v>
      </c>
      <c r="E1426" s="165" t="s">
        <v>9909</v>
      </c>
      <c r="F1426" s="165" t="s">
        <v>9910</v>
      </c>
      <c r="G1426" s="165"/>
      <c r="H1426" s="680">
        <v>14175</v>
      </c>
      <c r="I1426" s="165"/>
      <c r="J1426" s="165"/>
      <c r="K1426" s="165"/>
      <c r="L1426" s="165">
        <v>14175</v>
      </c>
      <c r="M1426" s="165"/>
      <c r="N1426" s="165"/>
      <c r="O1426" s="337">
        <f t="shared" si="57"/>
        <v>0</v>
      </c>
      <c r="P1426" s="165" t="s">
        <v>11084</v>
      </c>
      <c r="Q1426" s="165" t="s">
        <v>9910</v>
      </c>
      <c r="R1426" s="3">
        <f t="shared" si="58"/>
        <v>14175</v>
      </c>
      <c r="S1426" s="337">
        <v>14175</v>
      </c>
      <c r="T1426"/>
      <c r="U1426" s="3"/>
    </row>
    <row r="1427" spans="1:21">
      <c r="A1427" s="165" t="s">
        <v>9868</v>
      </c>
      <c r="B1427" s="94">
        <v>1381</v>
      </c>
      <c r="C1427" s="165" t="s">
        <v>4530</v>
      </c>
      <c r="D1427" s="165">
        <v>1</v>
      </c>
      <c r="E1427" s="165" t="s">
        <v>9870</v>
      </c>
      <c r="F1427" s="165" t="s">
        <v>9861</v>
      </c>
      <c r="G1427" s="165"/>
      <c r="H1427" s="680">
        <v>14175</v>
      </c>
      <c r="I1427" s="165"/>
      <c r="J1427" s="165"/>
      <c r="K1427" s="165"/>
      <c r="L1427" s="165">
        <v>14175</v>
      </c>
      <c r="M1427" s="165"/>
      <c r="N1427" s="165"/>
      <c r="O1427" s="337">
        <f t="shared" si="57"/>
        <v>0</v>
      </c>
      <c r="P1427" s="165" t="s">
        <v>9677</v>
      </c>
      <c r="Q1427" s="165" t="s">
        <v>9677</v>
      </c>
      <c r="R1427" s="3">
        <f t="shared" si="58"/>
        <v>14175</v>
      </c>
      <c r="S1427" s="337">
        <v>14175</v>
      </c>
      <c r="T1427"/>
      <c r="U1427" s="3"/>
    </row>
    <row r="1428" spans="1:21">
      <c r="A1428" s="165" t="s">
        <v>9868</v>
      </c>
      <c r="B1428" s="94">
        <v>1382</v>
      </c>
      <c r="C1428" s="165" t="s">
        <v>4530</v>
      </c>
      <c r="D1428" s="165">
        <v>2</v>
      </c>
      <c r="E1428" s="165" t="s">
        <v>9871</v>
      </c>
      <c r="F1428" s="165" t="s">
        <v>8803</v>
      </c>
      <c r="G1428" s="165"/>
      <c r="H1428" s="680">
        <v>14175</v>
      </c>
      <c r="I1428" s="165"/>
      <c r="J1428" s="165"/>
      <c r="K1428" s="165"/>
      <c r="L1428" s="165">
        <v>14175</v>
      </c>
      <c r="M1428" s="165"/>
      <c r="N1428" s="165"/>
      <c r="O1428" s="337">
        <f t="shared" si="57"/>
        <v>0</v>
      </c>
      <c r="P1428" s="165" t="s">
        <v>8803</v>
      </c>
      <c r="Q1428" s="165" t="s">
        <v>8803</v>
      </c>
      <c r="R1428" s="3">
        <f t="shared" si="58"/>
        <v>14175</v>
      </c>
      <c r="S1428" s="337">
        <v>14175</v>
      </c>
      <c r="T1428"/>
      <c r="U1428" s="3"/>
    </row>
    <row r="1429" spans="1:21">
      <c r="A1429" s="165" t="s">
        <v>9868</v>
      </c>
      <c r="B1429" s="94">
        <v>1383</v>
      </c>
      <c r="C1429" s="165" t="s">
        <v>4530</v>
      </c>
      <c r="D1429" s="165">
        <v>3</v>
      </c>
      <c r="E1429" s="165" t="s">
        <v>9872</v>
      </c>
      <c r="F1429" s="165" t="s">
        <v>9866</v>
      </c>
      <c r="G1429" s="165"/>
      <c r="H1429" s="680">
        <v>14175</v>
      </c>
      <c r="I1429" s="165"/>
      <c r="J1429" s="165"/>
      <c r="K1429" s="165"/>
      <c r="L1429" s="165">
        <v>14175</v>
      </c>
      <c r="M1429" s="165"/>
      <c r="N1429" s="165"/>
      <c r="O1429" s="337">
        <f t="shared" si="57"/>
        <v>0</v>
      </c>
      <c r="P1429" s="165" t="s">
        <v>9866</v>
      </c>
      <c r="Q1429" s="165" t="s">
        <v>9866</v>
      </c>
      <c r="R1429" s="3">
        <f t="shared" si="58"/>
        <v>14175</v>
      </c>
      <c r="S1429" s="337">
        <v>14175</v>
      </c>
      <c r="T1429"/>
      <c r="U1429" s="3"/>
    </row>
    <row r="1430" spans="1:21">
      <c r="A1430" s="165" t="s">
        <v>9868</v>
      </c>
      <c r="B1430" s="94">
        <v>1384</v>
      </c>
      <c r="C1430" s="165" t="s">
        <v>4530</v>
      </c>
      <c r="D1430" s="165">
        <v>4</v>
      </c>
      <c r="E1430" s="165" t="s">
        <v>9873</v>
      </c>
      <c r="F1430" s="165" t="s">
        <v>9864</v>
      </c>
      <c r="G1430" s="165"/>
      <c r="H1430" s="680">
        <v>14175</v>
      </c>
      <c r="I1430" s="165"/>
      <c r="J1430" s="165"/>
      <c r="K1430" s="165"/>
      <c r="L1430" s="165">
        <v>14175</v>
      </c>
      <c r="M1430" s="165"/>
      <c r="N1430" s="165"/>
      <c r="O1430" s="337">
        <f t="shared" si="57"/>
        <v>0</v>
      </c>
      <c r="P1430" s="165" t="s">
        <v>9700</v>
      </c>
      <c r="Q1430" s="165" t="s">
        <v>9864</v>
      </c>
      <c r="R1430" s="3">
        <f t="shared" si="58"/>
        <v>14175</v>
      </c>
      <c r="S1430" s="337">
        <v>14175</v>
      </c>
      <c r="T1430"/>
      <c r="U1430" s="3"/>
    </row>
    <row r="1431" spans="1:21">
      <c r="A1431" s="165" t="s">
        <v>9868</v>
      </c>
      <c r="B1431" s="94">
        <v>1385</v>
      </c>
      <c r="C1431" s="165" t="s">
        <v>4530</v>
      </c>
      <c r="D1431" s="165">
        <v>5</v>
      </c>
      <c r="E1431" s="165" t="s">
        <v>9874</v>
      </c>
      <c r="F1431" s="165" t="s">
        <v>9867</v>
      </c>
      <c r="G1431" s="165"/>
      <c r="H1431" s="680">
        <v>14175</v>
      </c>
      <c r="I1431" s="165"/>
      <c r="J1431" s="165"/>
      <c r="K1431" s="165"/>
      <c r="L1431" s="165">
        <v>14175</v>
      </c>
      <c r="M1431" s="165"/>
      <c r="N1431" s="165"/>
      <c r="O1431" s="337">
        <f t="shared" si="57"/>
        <v>0</v>
      </c>
      <c r="P1431" s="165" t="s">
        <v>9702</v>
      </c>
      <c r="Q1431" s="165" t="s">
        <v>9867</v>
      </c>
      <c r="R1431" s="3">
        <f t="shared" si="58"/>
        <v>14175</v>
      </c>
      <c r="S1431" s="337">
        <v>14175</v>
      </c>
      <c r="T1431"/>
      <c r="U1431" s="3"/>
    </row>
    <row r="1432" spans="1:21">
      <c r="A1432" s="165" t="s">
        <v>9868</v>
      </c>
      <c r="B1432" s="94">
        <v>1386</v>
      </c>
      <c r="C1432" s="165" t="s">
        <v>4530</v>
      </c>
      <c r="D1432" s="165">
        <v>6</v>
      </c>
      <c r="E1432" s="165" t="s">
        <v>9875</v>
      </c>
      <c r="F1432" s="165" t="s">
        <v>9862</v>
      </c>
      <c r="G1432" s="165"/>
      <c r="H1432" s="680">
        <v>14175</v>
      </c>
      <c r="I1432" s="165"/>
      <c r="J1432" s="165"/>
      <c r="K1432" s="165"/>
      <c r="L1432" s="165">
        <v>14175</v>
      </c>
      <c r="M1432" s="165"/>
      <c r="N1432" s="165"/>
      <c r="O1432" s="337">
        <f t="shared" si="57"/>
        <v>0</v>
      </c>
      <c r="P1432" s="165" t="s">
        <v>10983</v>
      </c>
      <c r="Q1432" s="165" t="s">
        <v>9862</v>
      </c>
      <c r="R1432" s="3">
        <f t="shared" si="58"/>
        <v>14175</v>
      </c>
      <c r="S1432" s="337">
        <v>14175</v>
      </c>
      <c r="T1432"/>
      <c r="U1432" s="3"/>
    </row>
    <row r="1433" spans="1:21">
      <c r="A1433" s="165" t="s">
        <v>9868</v>
      </c>
      <c r="B1433" s="94">
        <v>1387</v>
      </c>
      <c r="C1433" s="165" t="s">
        <v>4530</v>
      </c>
      <c r="D1433" s="165">
        <v>7</v>
      </c>
      <c r="E1433" s="165" t="s">
        <v>9876</v>
      </c>
      <c r="F1433" s="165" t="s">
        <v>9863</v>
      </c>
      <c r="G1433" s="165"/>
      <c r="H1433" s="680">
        <v>14175</v>
      </c>
      <c r="I1433" s="165"/>
      <c r="J1433" s="165"/>
      <c r="K1433" s="165"/>
      <c r="L1433" s="165">
        <v>14175</v>
      </c>
      <c r="M1433" s="165"/>
      <c r="N1433" s="165"/>
      <c r="O1433" s="337">
        <f t="shared" si="57"/>
        <v>0</v>
      </c>
      <c r="P1433" s="165" t="s">
        <v>11084</v>
      </c>
      <c r="Q1433" s="165" t="s">
        <v>9863</v>
      </c>
      <c r="R1433" s="3">
        <f t="shared" si="58"/>
        <v>14175</v>
      </c>
      <c r="S1433" s="337">
        <v>14175</v>
      </c>
      <c r="T1433"/>
      <c r="U1433" s="3"/>
    </row>
    <row r="1434" spans="1:21">
      <c r="A1434" s="165" t="s">
        <v>9868</v>
      </c>
      <c r="B1434" s="94">
        <v>1388</v>
      </c>
      <c r="C1434" s="165" t="s">
        <v>4530</v>
      </c>
      <c r="D1434" s="165">
        <v>8</v>
      </c>
      <c r="E1434" s="165" t="s">
        <v>9877</v>
      </c>
      <c r="F1434" s="165" t="s">
        <v>9878</v>
      </c>
      <c r="G1434" s="165"/>
      <c r="H1434" s="680">
        <v>14175</v>
      </c>
      <c r="I1434" s="165"/>
      <c r="J1434" s="165"/>
      <c r="K1434" s="165"/>
      <c r="L1434" s="165">
        <v>14175</v>
      </c>
      <c r="M1434" s="165"/>
      <c r="N1434" s="165"/>
      <c r="O1434" s="337">
        <f t="shared" si="57"/>
        <v>0</v>
      </c>
      <c r="P1434" s="165" t="s">
        <v>16145</v>
      </c>
      <c r="Q1434" s="165" t="s">
        <v>16146</v>
      </c>
      <c r="R1434" s="3">
        <f t="shared" si="58"/>
        <v>14175</v>
      </c>
      <c r="S1434" s="337">
        <v>14175</v>
      </c>
      <c r="T1434"/>
      <c r="U1434" s="3"/>
    </row>
    <row r="1435" spans="1:21">
      <c r="A1435" s="165" t="s">
        <v>8754</v>
      </c>
      <c r="B1435" s="94">
        <v>1389</v>
      </c>
      <c r="C1435" s="165" t="s">
        <v>4528</v>
      </c>
      <c r="D1435" s="165">
        <v>1</v>
      </c>
      <c r="E1435" s="165" t="s">
        <v>9816</v>
      </c>
      <c r="F1435" s="165" t="s">
        <v>5509</v>
      </c>
      <c r="G1435" s="165"/>
      <c r="H1435" s="680">
        <v>12600</v>
      </c>
      <c r="I1435" s="165"/>
      <c r="J1435" s="165"/>
      <c r="K1435" s="165"/>
      <c r="L1435" s="165">
        <v>12600</v>
      </c>
      <c r="M1435" s="165"/>
      <c r="N1435" s="165"/>
      <c r="O1435" s="337">
        <f t="shared" si="57"/>
        <v>0</v>
      </c>
      <c r="P1435" s="165" t="s">
        <v>9813</v>
      </c>
      <c r="Q1435" s="165" t="s">
        <v>9813</v>
      </c>
      <c r="R1435" s="3">
        <f t="shared" si="58"/>
        <v>12600</v>
      </c>
      <c r="S1435" s="337">
        <v>12600</v>
      </c>
      <c r="T1435"/>
      <c r="U1435" s="3"/>
    </row>
    <row r="1436" spans="1:21">
      <c r="A1436" s="165" t="s">
        <v>8754</v>
      </c>
      <c r="B1436" s="94">
        <v>1390</v>
      </c>
      <c r="C1436" s="165" t="s">
        <v>4528</v>
      </c>
      <c r="D1436" s="165">
        <v>2</v>
      </c>
      <c r="E1436" s="165" t="s">
        <v>9817</v>
      </c>
      <c r="F1436" s="165" t="s">
        <v>8809</v>
      </c>
      <c r="G1436" s="165"/>
      <c r="H1436" s="680">
        <v>12600</v>
      </c>
      <c r="I1436" s="165"/>
      <c r="J1436" s="165"/>
      <c r="K1436" s="165"/>
      <c r="L1436" s="165">
        <v>12600</v>
      </c>
      <c r="M1436" s="165"/>
      <c r="N1436" s="165"/>
      <c r="O1436" s="337">
        <f t="shared" si="57"/>
        <v>0</v>
      </c>
      <c r="P1436" s="165" t="s">
        <v>8809</v>
      </c>
      <c r="Q1436" s="165" t="s">
        <v>8809</v>
      </c>
      <c r="R1436" s="3">
        <f t="shared" si="58"/>
        <v>12600</v>
      </c>
      <c r="S1436" s="337">
        <v>12600</v>
      </c>
      <c r="T1436"/>
      <c r="U1436" s="3"/>
    </row>
    <row r="1437" spans="1:21">
      <c r="A1437" s="165" t="s">
        <v>8754</v>
      </c>
      <c r="B1437" s="94">
        <v>1391</v>
      </c>
      <c r="C1437" s="165" t="s">
        <v>4528</v>
      </c>
      <c r="D1437" s="165">
        <v>3</v>
      </c>
      <c r="E1437" s="165" t="s">
        <v>9818</v>
      </c>
      <c r="F1437" s="165" t="s">
        <v>9656</v>
      </c>
      <c r="G1437" s="165"/>
      <c r="H1437" s="680">
        <v>12600</v>
      </c>
      <c r="I1437" s="165"/>
      <c r="J1437" s="165"/>
      <c r="K1437" s="165"/>
      <c r="L1437" s="165">
        <v>12600</v>
      </c>
      <c r="M1437" s="165"/>
      <c r="N1437" s="165"/>
      <c r="O1437" s="337">
        <f t="shared" si="57"/>
        <v>0</v>
      </c>
      <c r="P1437" s="165" t="s">
        <v>8839</v>
      </c>
      <c r="Q1437" s="165" t="s">
        <v>9656</v>
      </c>
      <c r="R1437" s="3">
        <f t="shared" si="58"/>
        <v>12600</v>
      </c>
      <c r="S1437" s="337">
        <v>12600</v>
      </c>
      <c r="T1437"/>
      <c r="U1437" s="3"/>
    </row>
    <row r="1438" spans="1:21">
      <c r="A1438" s="165" t="s">
        <v>8754</v>
      </c>
      <c r="B1438" s="94">
        <v>1392</v>
      </c>
      <c r="C1438" s="165" t="s">
        <v>4528</v>
      </c>
      <c r="D1438" s="165">
        <v>4</v>
      </c>
      <c r="E1438" s="165" t="s">
        <v>9819</v>
      </c>
      <c r="F1438" s="165" t="s">
        <v>8939</v>
      </c>
      <c r="G1438" s="165"/>
      <c r="H1438" s="680">
        <v>12600</v>
      </c>
      <c r="I1438" s="165"/>
      <c r="J1438" s="165"/>
      <c r="K1438" s="165"/>
      <c r="L1438" s="165">
        <v>12600</v>
      </c>
      <c r="M1438" s="165"/>
      <c r="N1438" s="165"/>
      <c r="O1438" s="337">
        <f t="shared" si="57"/>
        <v>0</v>
      </c>
      <c r="P1438" s="165" t="s">
        <v>9700</v>
      </c>
      <c r="Q1438" s="165" t="s">
        <v>8939</v>
      </c>
      <c r="R1438" s="3">
        <f t="shared" si="58"/>
        <v>12600</v>
      </c>
      <c r="S1438" s="337">
        <v>12600</v>
      </c>
      <c r="T1438"/>
      <c r="U1438" s="3"/>
    </row>
    <row r="1439" spans="1:21">
      <c r="A1439" s="165" t="s">
        <v>8754</v>
      </c>
      <c r="B1439" s="94">
        <v>1393</v>
      </c>
      <c r="C1439" s="165" t="s">
        <v>4528</v>
      </c>
      <c r="D1439" s="165">
        <v>5</v>
      </c>
      <c r="E1439" s="165" t="s">
        <v>9820</v>
      </c>
      <c r="F1439" s="165" t="s">
        <v>9662</v>
      </c>
      <c r="G1439" s="165"/>
      <c r="H1439" s="680">
        <v>12600</v>
      </c>
      <c r="I1439" s="165"/>
      <c r="J1439" s="165"/>
      <c r="K1439" s="165"/>
      <c r="L1439" s="165">
        <v>12600</v>
      </c>
      <c r="M1439" s="165"/>
      <c r="N1439" s="165"/>
      <c r="O1439" s="337">
        <f t="shared" si="57"/>
        <v>0</v>
      </c>
      <c r="P1439" s="165" t="s">
        <v>9702</v>
      </c>
      <c r="Q1439" s="165" t="s">
        <v>9662</v>
      </c>
      <c r="R1439" s="3">
        <f t="shared" si="58"/>
        <v>12600</v>
      </c>
      <c r="S1439" s="337">
        <v>12600</v>
      </c>
      <c r="T1439"/>
      <c r="U1439" s="3"/>
    </row>
    <row r="1440" spans="1:21">
      <c r="A1440" s="165" t="s">
        <v>8754</v>
      </c>
      <c r="B1440" s="94">
        <v>1394</v>
      </c>
      <c r="C1440" s="165" t="s">
        <v>4528</v>
      </c>
      <c r="D1440" s="165">
        <v>6</v>
      </c>
      <c r="E1440" s="165" t="s">
        <v>9821</v>
      </c>
      <c r="F1440" s="165" t="s">
        <v>9825</v>
      </c>
      <c r="G1440" s="165"/>
      <c r="H1440" s="680">
        <v>12600</v>
      </c>
      <c r="I1440" s="165"/>
      <c r="J1440" s="165"/>
      <c r="K1440" s="165"/>
      <c r="L1440" s="165">
        <v>12600</v>
      </c>
      <c r="M1440" s="165"/>
      <c r="N1440" s="165"/>
      <c r="O1440" s="337">
        <f t="shared" si="57"/>
        <v>0</v>
      </c>
      <c r="P1440" s="165" t="s">
        <v>10983</v>
      </c>
      <c r="Q1440" s="165" t="s">
        <v>9825</v>
      </c>
      <c r="R1440" s="3">
        <f t="shared" si="58"/>
        <v>12600</v>
      </c>
      <c r="S1440" s="337">
        <v>12600</v>
      </c>
      <c r="T1440"/>
      <c r="U1440" s="3"/>
    </row>
    <row r="1441" spans="1:21">
      <c r="A1441" s="165" t="s">
        <v>8754</v>
      </c>
      <c r="B1441" s="94">
        <v>1395</v>
      </c>
      <c r="C1441" s="165" t="s">
        <v>4528</v>
      </c>
      <c r="D1441" s="165">
        <v>7</v>
      </c>
      <c r="E1441" s="165" t="s">
        <v>9822</v>
      </c>
      <c r="F1441" s="165" t="s">
        <v>9826</v>
      </c>
      <c r="G1441" s="165"/>
      <c r="H1441" s="680">
        <v>12600</v>
      </c>
      <c r="I1441" s="165"/>
      <c r="J1441" s="165"/>
      <c r="K1441" s="165"/>
      <c r="L1441" s="165">
        <v>12600</v>
      </c>
      <c r="M1441" s="165"/>
      <c r="N1441" s="165"/>
      <c r="O1441" s="337">
        <f t="shared" si="57"/>
        <v>0</v>
      </c>
      <c r="P1441" s="165" t="s">
        <v>16063</v>
      </c>
      <c r="Q1441" s="165" t="s">
        <v>16064</v>
      </c>
      <c r="R1441" s="3">
        <f t="shared" si="58"/>
        <v>12600</v>
      </c>
      <c r="S1441" s="337">
        <v>12600</v>
      </c>
      <c r="T1441"/>
      <c r="U1441" s="3"/>
    </row>
    <row r="1442" spans="1:21">
      <c r="A1442" s="165" t="s">
        <v>8754</v>
      </c>
      <c r="B1442" s="94">
        <v>1396</v>
      </c>
      <c r="C1442" s="165" t="s">
        <v>4528</v>
      </c>
      <c r="D1442" s="165">
        <v>8</v>
      </c>
      <c r="E1442" s="165" t="s">
        <v>9823</v>
      </c>
      <c r="F1442" s="165" t="s">
        <v>9827</v>
      </c>
      <c r="G1442" s="165"/>
      <c r="H1442" s="680">
        <v>12600</v>
      </c>
      <c r="I1442" s="165"/>
      <c r="J1442" s="165"/>
      <c r="K1442" s="165"/>
      <c r="L1442" s="165">
        <v>12600</v>
      </c>
      <c r="M1442" s="165"/>
      <c r="N1442" s="165"/>
      <c r="O1442" s="337">
        <f t="shared" si="57"/>
        <v>0</v>
      </c>
      <c r="P1442" s="165" t="s">
        <v>16170</v>
      </c>
      <c r="Q1442" s="165" t="s">
        <v>16170</v>
      </c>
      <c r="R1442" s="3">
        <f t="shared" si="58"/>
        <v>12600</v>
      </c>
      <c r="S1442" s="337">
        <v>12600</v>
      </c>
      <c r="T1442"/>
      <c r="U1442" s="3"/>
    </row>
    <row r="1443" spans="1:21">
      <c r="A1443" s="165" t="s">
        <v>5448</v>
      </c>
      <c r="B1443" s="94">
        <v>1397</v>
      </c>
      <c r="C1443" s="165" t="s">
        <v>4678</v>
      </c>
      <c r="D1443" s="165">
        <v>1</v>
      </c>
      <c r="E1443" s="165" t="s">
        <v>9695</v>
      </c>
      <c r="F1443" s="165" t="s">
        <v>8783</v>
      </c>
      <c r="G1443" s="165"/>
      <c r="H1443" s="680">
        <v>17325</v>
      </c>
      <c r="I1443" s="165"/>
      <c r="J1443" s="165"/>
      <c r="K1443" s="165"/>
      <c r="L1443" s="165">
        <v>17325</v>
      </c>
      <c r="M1443" s="165"/>
      <c r="N1443" s="165"/>
      <c r="O1443" s="337">
        <f t="shared" si="57"/>
        <v>0</v>
      </c>
      <c r="P1443" s="165" t="s">
        <v>8794</v>
      </c>
      <c r="Q1443" s="165" t="s">
        <v>8794</v>
      </c>
      <c r="R1443" s="3">
        <f t="shared" si="58"/>
        <v>17325</v>
      </c>
      <c r="S1443" s="337">
        <v>17325</v>
      </c>
      <c r="T1443"/>
      <c r="U1443" s="3"/>
    </row>
    <row r="1444" spans="1:21">
      <c r="A1444" s="165" t="s">
        <v>5448</v>
      </c>
      <c r="B1444" s="94">
        <v>1398</v>
      </c>
      <c r="C1444" s="165" t="s">
        <v>4678</v>
      </c>
      <c r="D1444" s="165">
        <v>2</v>
      </c>
      <c r="E1444" s="165" t="s">
        <v>9697</v>
      </c>
      <c r="F1444" s="165" t="s">
        <v>8847</v>
      </c>
      <c r="G1444" s="165"/>
      <c r="H1444" s="680">
        <v>17325</v>
      </c>
      <c r="I1444" s="165"/>
      <c r="J1444" s="165"/>
      <c r="K1444" s="165"/>
      <c r="L1444" s="165">
        <v>17325</v>
      </c>
      <c r="M1444" s="165"/>
      <c r="N1444" s="165"/>
      <c r="O1444" s="337">
        <f t="shared" si="57"/>
        <v>0</v>
      </c>
      <c r="P1444" s="165" t="s">
        <v>8847</v>
      </c>
      <c r="Q1444" s="165" t="s">
        <v>8847</v>
      </c>
      <c r="R1444" s="3">
        <f t="shared" si="58"/>
        <v>17325</v>
      </c>
      <c r="S1444" s="337">
        <v>17325</v>
      </c>
      <c r="T1444"/>
      <c r="U1444" s="3"/>
    </row>
    <row r="1445" spans="1:21">
      <c r="A1445" s="165" t="s">
        <v>5448</v>
      </c>
      <c r="B1445" s="94">
        <v>1399</v>
      </c>
      <c r="C1445" s="165" t="s">
        <v>4678</v>
      </c>
      <c r="D1445" s="165">
        <v>3</v>
      </c>
      <c r="E1445" s="165" t="s">
        <v>9699</v>
      </c>
      <c r="F1445" s="165" t="s">
        <v>9700</v>
      </c>
      <c r="G1445" s="165"/>
      <c r="H1445" s="680">
        <v>17325</v>
      </c>
      <c r="I1445" s="165"/>
      <c r="J1445" s="165"/>
      <c r="K1445" s="165"/>
      <c r="L1445" s="165">
        <v>17325</v>
      </c>
      <c r="M1445" s="165"/>
      <c r="N1445" s="165"/>
      <c r="O1445" s="337">
        <f t="shared" si="57"/>
        <v>0</v>
      </c>
      <c r="P1445" s="165" t="s">
        <v>10819</v>
      </c>
      <c r="Q1445" s="165" t="s">
        <v>9700</v>
      </c>
      <c r="R1445" s="3">
        <f t="shared" si="58"/>
        <v>17325</v>
      </c>
      <c r="S1445" s="337">
        <v>17325</v>
      </c>
      <c r="T1445"/>
      <c r="U1445" s="3"/>
    </row>
    <row r="1446" spans="1:21">
      <c r="A1446" s="165" t="s">
        <v>5448</v>
      </c>
      <c r="B1446" s="94">
        <v>1400</v>
      </c>
      <c r="C1446" s="165" t="s">
        <v>4678</v>
      </c>
      <c r="D1446" s="165">
        <v>4</v>
      </c>
      <c r="E1446" s="165" t="s">
        <v>9701</v>
      </c>
      <c r="F1446" s="165" t="s">
        <v>9702</v>
      </c>
      <c r="G1446" s="165"/>
      <c r="H1446" s="680">
        <v>17325</v>
      </c>
      <c r="I1446" s="165"/>
      <c r="J1446" s="165"/>
      <c r="K1446" s="165"/>
      <c r="L1446" s="165">
        <v>17325</v>
      </c>
      <c r="M1446" s="165"/>
      <c r="N1446" s="165"/>
      <c r="O1446" s="337">
        <f t="shared" si="57"/>
        <v>0</v>
      </c>
      <c r="P1446" s="165" t="s">
        <v>8973</v>
      </c>
      <c r="Q1446" s="165" t="s">
        <v>9702</v>
      </c>
      <c r="R1446" s="3">
        <f t="shared" si="58"/>
        <v>17325</v>
      </c>
      <c r="S1446" s="337">
        <v>17325</v>
      </c>
      <c r="T1446"/>
      <c r="U1446" s="3"/>
    </row>
    <row r="1447" spans="1:21">
      <c r="A1447" s="165" t="s">
        <v>5448</v>
      </c>
      <c r="B1447" s="94">
        <v>1401</v>
      </c>
      <c r="C1447" s="165" t="s">
        <v>4678</v>
      </c>
      <c r="D1447" s="165">
        <v>5</v>
      </c>
      <c r="E1447" s="165" t="s">
        <v>9703</v>
      </c>
      <c r="F1447" s="165" t="s">
        <v>9704</v>
      </c>
      <c r="G1447" s="165"/>
      <c r="H1447" s="680">
        <v>17325</v>
      </c>
      <c r="I1447" s="165"/>
      <c r="J1447" s="165"/>
      <c r="K1447" s="165"/>
      <c r="L1447" s="165">
        <v>17325</v>
      </c>
      <c r="M1447" s="165"/>
      <c r="N1447" s="165"/>
      <c r="O1447" s="337">
        <f t="shared" si="57"/>
        <v>0</v>
      </c>
      <c r="P1447" s="165" t="s">
        <v>10960</v>
      </c>
      <c r="Q1447" s="165" t="s">
        <v>9704</v>
      </c>
      <c r="R1447" s="3">
        <f t="shared" si="58"/>
        <v>17325</v>
      </c>
      <c r="S1447" s="337">
        <v>17325</v>
      </c>
      <c r="T1447"/>
      <c r="U1447" s="3"/>
    </row>
    <row r="1448" spans="1:21">
      <c r="A1448" s="165" t="s">
        <v>5448</v>
      </c>
      <c r="B1448" s="94">
        <v>1402</v>
      </c>
      <c r="C1448" s="165" t="s">
        <v>4678</v>
      </c>
      <c r="D1448" s="165">
        <v>6</v>
      </c>
      <c r="E1448" s="165" t="s">
        <v>9705</v>
      </c>
      <c r="F1448" s="165" t="s">
        <v>9706</v>
      </c>
      <c r="G1448" s="165"/>
      <c r="H1448" s="680">
        <v>17325</v>
      </c>
      <c r="I1448" s="165"/>
      <c r="J1448" s="165"/>
      <c r="K1448" s="165"/>
      <c r="L1448" s="165">
        <v>17325</v>
      </c>
      <c r="M1448" s="165"/>
      <c r="N1448" s="165"/>
      <c r="O1448" s="337">
        <f t="shared" si="57"/>
        <v>0</v>
      </c>
      <c r="P1448" s="165" t="s">
        <v>11052</v>
      </c>
      <c r="Q1448" s="165" t="s">
        <v>9706</v>
      </c>
      <c r="R1448" s="3">
        <f t="shared" si="58"/>
        <v>17325</v>
      </c>
      <c r="S1448" s="337">
        <v>17325</v>
      </c>
      <c r="T1448"/>
      <c r="U1448" s="3"/>
    </row>
    <row r="1449" spans="1:21">
      <c r="A1449" s="165" t="s">
        <v>5448</v>
      </c>
      <c r="B1449" s="94">
        <v>1403</v>
      </c>
      <c r="C1449" s="165" t="s">
        <v>4678</v>
      </c>
      <c r="D1449" s="165">
        <v>7</v>
      </c>
      <c r="E1449" s="165" t="s">
        <v>9707</v>
      </c>
      <c r="F1449" s="165" t="s">
        <v>9708</v>
      </c>
      <c r="G1449" s="165"/>
      <c r="H1449" s="680">
        <v>17325</v>
      </c>
      <c r="I1449" s="165"/>
      <c r="J1449" s="165"/>
      <c r="K1449" s="165"/>
      <c r="L1449" s="165">
        <v>17325</v>
      </c>
      <c r="M1449" s="165"/>
      <c r="N1449" s="165"/>
      <c r="O1449" s="337">
        <f t="shared" si="57"/>
        <v>0</v>
      </c>
      <c r="P1449" s="165" t="s">
        <v>16141</v>
      </c>
      <c r="Q1449" s="165" t="s">
        <v>16143</v>
      </c>
      <c r="R1449" s="3">
        <f t="shared" si="58"/>
        <v>17325</v>
      </c>
      <c r="S1449" s="337">
        <v>17325</v>
      </c>
      <c r="T1449"/>
      <c r="U1449" s="3"/>
    </row>
    <row r="1450" spans="1:21">
      <c r="A1450" s="165" t="s">
        <v>5448</v>
      </c>
      <c r="B1450" s="94">
        <v>1404</v>
      </c>
      <c r="C1450" s="165" t="s">
        <v>4678</v>
      </c>
      <c r="D1450" s="165">
        <v>8</v>
      </c>
      <c r="E1450" s="165" t="s">
        <v>9709</v>
      </c>
      <c r="F1450" s="165" t="s">
        <v>9710</v>
      </c>
      <c r="G1450" s="165"/>
      <c r="H1450" s="680">
        <v>17325</v>
      </c>
      <c r="I1450" s="165"/>
      <c r="J1450" s="165"/>
      <c r="K1450" s="165"/>
      <c r="L1450" s="165">
        <v>17325</v>
      </c>
      <c r="M1450" s="165"/>
      <c r="N1450" s="165"/>
      <c r="O1450" s="337">
        <f t="shared" si="57"/>
        <v>0</v>
      </c>
      <c r="P1450" s="165" t="s">
        <v>16230</v>
      </c>
      <c r="Q1450" s="165" t="s">
        <v>16230</v>
      </c>
      <c r="R1450" s="3">
        <f t="shared" si="58"/>
        <v>17325</v>
      </c>
      <c r="S1450" s="337">
        <v>17325</v>
      </c>
      <c r="T1450"/>
      <c r="U1450" s="3"/>
    </row>
    <row r="1451" spans="1:21">
      <c r="A1451" s="165" t="s">
        <v>5448</v>
      </c>
      <c r="B1451" s="94">
        <v>1405</v>
      </c>
      <c r="C1451" s="165" t="s">
        <v>4695</v>
      </c>
      <c r="D1451" s="165">
        <v>1</v>
      </c>
      <c r="E1451" s="165" t="s">
        <v>9713</v>
      </c>
      <c r="F1451" s="165" t="s">
        <v>8783</v>
      </c>
      <c r="G1451" s="165"/>
      <c r="H1451" s="680">
        <v>12600</v>
      </c>
      <c r="I1451" s="165"/>
      <c r="J1451" s="165"/>
      <c r="K1451" s="165"/>
      <c r="L1451" s="165">
        <v>12600</v>
      </c>
      <c r="M1451" s="165"/>
      <c r="N1451" s="165"/>
      <c r="O1451" s="337">
        <f t="shared" si="57"/>
        <v>0</v>
      </c>
      <c r="P1451" s="165" t="s">
        <v>8794</v>
      </c>
      <c r="Q1451" s="165" t="s">
        <v>8794</v>
      </c>
      <c r="R1451" s="3">
        <f t="shared" si="58"/>
        <v>12600</v>
      </c>
      <c r="S1451" s="337">
        <v>12600</v>
      </c>
      <c r="T1451"/>
      <c r="U1451" s="3"/>
    </row>
    <row r="1452" spans="1:21">
      <c r="A1452" s="165" t="s">
        <v>5448</v>
      </c>
      <c r="B1452" s="94">
        <v>1406</v>
      </c>
      <c r="C1452" s="165" t="s">
        <v>4695</v>
      </c>
      <c r="D1452" s="165">
        <v>2</v>
      </c>
      <c r="E1452" s="165" t="s">
        <v>9714</v>
      </c>
      <c r="F1452" s="165" t="s">
        <v>8847</v>
      </c>
      <c r="G1452" s="165"/>
      <c r="H1452" s="680">
        <v>12600</v>
      </c>
      <c r="I1452" s="165"/>
      <c r="J1452" s="165"/>
      <c r="K1452" s="165"/>
      <c r="L1452" s="165">
        <v>12600</v>
      </c>
      <c r="M1452" s="165"/>
      <c r="N1452" s="165"/>
      <c r="O1452" s="337">
        <f t="shared" si="57"/>
        <v>0</v>
      </c>
      <c r="P1452" s="165" t="s">
        <v>8847</v>
      </c>
      <c r="Q1452" s="165" t="s">
        <v>8847</v>
      </c>
      <c r="R1452" s="3">
        <f t="shared" si="58"/>
        <v>12600</v>
      </c>
      <c r="S1452" s="337">
        <v>12600</v>
      </c>
      <c r="T1452"/>
      <c r="U1452" s="3"/>
    </row>
    <row r="1453" spans="1:21">
      <c r="A1453" s="165" t="s">
        <v>5448</v>
      </c>
      <c r="B1453" s="94">
        <v>1407</v>
      </c>
      <c r="C1453" s="165" t="s">
        <v>4695</v>
      </c>
      <c r="D1453" s="165">
        <v>3</v>
      </c>
      <c r="E1453" s="165" t="s">
        <v>9715</v>
      </c>
      <c r="F1453" s="165" t="s">
        <v>9700</v>
      </c>
      <c r="G1453" s="165"/>
      <c r="H1453" s="680">
        <v>12600</v>
      </c>
      <c r="I1453" s="165"/>
      <c r="J1453" s="165"/>
      <c r="K1453" s="165"/>
      <c r="L1453" s="165">
        <v>12600</v>
      </c>
      <c r="M1453" s="165"/>
      <c r="N1453" s="165"/>
      <c r="O1453" s="337">
        <f t="shared" si="57"/>
        <v>0</v>
      </c>
      <c r="P1453" s="165" t="s">
        <v>10819</v>
      </c>
      <c r="Q1453" s="165" t="s">
        <v>9700</v>
      </c>
      <c r="R1453" s="3">
        <f t="shared" si="58"/>
        <v>12600</v>
      </c>
      <c r="S1453" s="337">
        <v>12600</v>
      </c>
      <c r="T1453"/>
      <c r="U1453" s="3"/>
    </row>
    <row r="1454" spans="1:21">
      <c r="A1454" s="165" t="s">
        <v>5448</v>
      </c>
      <c r="B1454" s="94">
        <v>1408</v>
      </c>
      <c r="C1454" s="165" t="s">
        <v>4695</v>
      </c>
      <c r="D1454" s="165">
        <v>4</v>
      </c>
      <c r="E1454" s="165" t="s">
        <v>9716</v>
      </c>
      <c r="F1454" s="165" t="s">
        <v>9702</v>
      </c>
      <c r="G1454" s="165"/>
      <c r="H1454" s="680">
        <v>12600</v>
      </c>
      <c r="I1454" s="165"/>
      <c r="J1454" s="165"/>
      <c r="K1454" s="165"/>
      <c r="L1454" s="165">
        <v>12600</v>
      </c>
      <c r="M1454" s="165"/>
      <c r="N1454" s="165"/>
      <c r="O1454" s="337">
        <f t="shared" si="57"/>
        <v>0</v>
      </c>
      <c r="P1454" s="165" t="s">
        <v>8973</v>
      </c>
      <c r="Q1454" s="165" t="s">
        <v>9702</v>
      </c>
      <c r="R1454" s="3">
        <f t="shared" si="58"/>
        <v>12600</v>
      </c>
      <c r="S1454" s="337">
        <v>12600</v>
      </c>
      <c r="T1454"/>
      <c r="U1454" s="3"/>
    </row>
    <row r="1455" spans="1:21">
      <c r="A1455" s="165" t="s">
        <v>5448</v>
      </c>
      <c r="B1455" s="94">
        <v>1409</v>
      </c>
      <c r="C1455" s="165" t="s">
        <v>4695</v>
      </c>
      <c r="D1455" s="165">
        <v>5</v>
      </c>
      <c r="E1455" s="165" t="s">
        <v>9717</v>
      </c>
      <c r="F1455" s="165" t="s">
        <v>9704</v>
      </c>
      <c r="G1455" s="165"/>
      <c r="H1455" s="680">
        <v>12600</v>
      </c>
      <c r="I1455" s="165"/>
      <c r="J1455" s="165"/>
      <c r="K1455" s="165"/>
      <c r="L1455" s="165">
        <v>12600</v>
      </c>
      <c r="M1455" s="165"/>
      <c r="N1455" s="165"/>
      <c r="O1455" s="337">
        <f t="shared" si="57"/>
        <v>0</v>
      </c>
      <c r="P1455" s="165" t="s">
        <v>10960</v>
      </c>
      <c r="Q1455" s="165" t="s">
        <v>9704</v>
      </c>
      <c r="R1455" s="3">
        <f t="shared" si="58"/>
        <v>12600</v>
      </c>
      <c r="S1455" s="337">
        <v>12600</v>
      </c>
      <c r="T1455"/>
      <c r="U1455" s="3"/>
    </row>
    <row r="1456" spans="1:21">
      <c r="A1456" s="165" t="s">
        <v>5448</v>
      </c>
      <c r="B1456" s="94">
        <v>1410</v>
      </c>
      <c r="C1456" s="165" t="s">
        <v>4695</v>
      </c>
      <c r="D1456" s="165">
        <v>6</v>
      </c>
      <c r="E1456" s="165" t="s">
        <v>9718</v>
      </c>
      <c r="F1456" s="165" t="s">
        <v>9706</v>
      </c>
      <c r="G1456" s="165"/>
      <c r="H1456" s="680">
        <v>12600</v>
      </c>
      <c r="I1456" s="165"/>
      <c r="J1456" s="165"/>
      <c r="K1456" s="165"/>
      <c r="L1456" s="165">
        <v>12600</v>
      </c>
      <c r="M1456" s="165"/>
      <c r="N1456" s="165"/>
      <c r="O1456" s="337">
        <f t="shared" si="57"/>
        <v>0</v>
      </c>
      <c r="P1456" s="165" t="s">
        <v>11052</v>
      </c>
      <c r="Q1456" s="165" t="s">
        <v>9706</v>
      </c>
      <c r="R1456" s="3">
        <f t="shared" si="58"/>
        <v>12600</v>
      </c>
      <c r="S1456" s="337">
        <v>12600</v>
      </c>
      <c r="T1456"/>
      <c r="U1456" s="3"/>
    </row>
    <row r="1457" spans="1:21">
      <c r="A1457" s="165" t="s">
        <v>5448</v>
      </c>
      <c r="B1457" s="94">
        <v>1411</v>
      </c>
      <c r="C1457" s="165" t="s">
        <v>4695</v>
      </c>
      <c r="D1457" s="165">
        <v>7</v>
      </c>
      <c r="E1457" s="165" t="s">
        <v>9719</v>
      </c>
      <c r="F1457" s="165" t="s">
        <v>9708</v>
      </c>
      <c r="G1457" s="165"/>
      <c r="H1457" s="680">
        <v>12600</v>
      </c>
      <c r="I1457" s="165"/>
      <c r="J1457" s="165"/>
      <c r="K1457" s="165"/>
      <c r="L1457" s="165">
        <v>12600</v>
      </c>
      <c r="M1457" s="165"/>
      <c r="N1457" s="165"/>
      <c r="O1457" s="337">
        <f t="shared" si="57"/>
        <v>0</v>
      </c>
      <c r="P1457" s="165" t="s">
        <v>16141</v>
      </c>
      <c r="Q1457" s="165" t="s">
        <v>16142</v>
      </c>
      <c r="R1457" s="3">
        <f t="shared" si="58"/>
        <v>12600</v>
      </c>
      <c r="S1457" s="337">
        <v>12600</v>
      </c>
      <c r="T1457"/>
      <c r="U1457" s="3"/>
    </row>
    <row r="1458" spans="1:21">
      <c r="A1458" s="165" t="s">
        <v>5448</v>
      </c>
      <c r="B1458" s="94">
        <v>1412</v>
      </c>
      <c r="C1458" s="165" t="s">
        <v>4695</v>
      </c>
      <c r="D1458" s="165">
        <v>8</v>
      </c>
      <c r="E1458" s="165" t="s">
        <v>9720</v>
      </c>
      <c r="F1458" s="165" t="s">
        <v>9710</v>
      </c>
      <c r="G1458" s="165"/>
      <c r="H1458" s="680">
        <v>12600</v>
      </c>
      <c r="I1458" s="165"/>
      <c r="J1458" s="165"/>
      <c r="K1458" s="165"/>
      <c r="L1458" s="165">
        <v>12600</v>
      </c>
      <c r="M1458" s="165"/>
      <c r="N1458" s="165"/>
      <c r="O1458" s="337">
        <f t="shared" si="57"/>
        <v>0</v>
      </c>
      <c r="P1458" s="165" t="s">
        <v>16230</v>
      </c>
      <c r="Q1458" s="165" t="s">
        <v>16231</v>
      </c>
      <c r="R1458" s="3">
        <f t="shared" si="58"/>
        <v>12600</v>
      </c>
      <c r="S1458" s="337">
        <v>12600</v>
      </c>
      <c r="T1458"/>
      <c r="U1458" s="3"/>
    </row>
    <row r="1459" spans="1:21">
      <c r="A1459" s="165" t="s">
        <v>9829</v>
      </c>
      <c r="B1459" s="94">
        <v>1413</v>
      </c>
      <c r="C1459" s="165" t="s">
        <v>4513</v>
      </c>
      <c r="D1459" s="165">
        <v>1</v>
      </c>
      <c r="E1459" s="165" t="s">
        <v>9831</v>
      </c>
      <c r="F1459" s="165" t="s">
        <v>5313</v>
      </c>
      <c r="G1459" s="165"/>
      <c r="H1459" s="556">
        <v>11970</v>
      </c>
      <c r="I1459" s="165"/>
      <c r="J1459" s="165"/>
      <c r="K1459" s="165"/>
      <c r="L1459" s="165">
        <v>11970</v>
      </c>
      <c r="M1459" s="165"/>
      <c r="N1459" s="165"/>
      <c r="O1459" s="337">
        <f t="shared" si="57"/>
        <v>0</v>
      </c>
      <c r="P1459" s="165" t="s">
        <v>9681</v>
      </c>
      <c r="Q1459" s="165" t="s">
        <v>9681</v>
      </c>
      <c r="R1459" s="3">
        <f t="shared" si="58"/>
        <v>11970</v>
      </c>
      <c r="S1459" s="337">
        <v>11970</v>
      </c>
      <c r="T1459"/>
      <c r="U1459" s="3"/>
    </row>
    <row r="1460" spans="1:21">
      <c r="A1460" s="165" t="s">
        <v>9829</v>
      </c>
      <c r="B1460" s="94">
        <v>1414</v>
      </c>
      <c r="C1460" s="165" t="s">
        <v>4513</v>
      </c>
      <c r="D1460" s="165">
        <v>2</v>
      </c>
      <c r="E1460" s="165" t="s">
        <v>9832</v>
      </c>
      <c r="F1460" s="165" t="s">
        <v>9837</v>
      </c>
      <c r="G1460" s="165"/>
      <c r="H1460" s="680">
        <v>11970</v>
      </c>
      <c r="I1460" s="165"/>
      <c r="J1460" s="165"/>
      <c r="K1460" s="165"/>
      <c r="L1460" s="165">
        <v>11970</v>
      </c>
      <c r="M1460" s="165"/>
      <c r="N1460" s="165"/>
      <c r="O1460" s="337">
        <f t="shared" si="57"/>
        <v>0</v>
      </c>
      <c r="P1460" s="165" t="s">
        <v>8883</v>
      </c>
      <c r="Q1460" s="165" t="s">
        <v>9837</v>
      </c>
      <c r="R1460" s="3">
        <f t="shared" si="58"/>
        <v>11970</v>
      </c>
      <c r="S1460" s="337">
        <v>11970</v>
      </c>
      <c r="T1460"/>
      <c r="U1460" s="3"/>
    </row>
    <row r="1461" spans="1:21">
      <c r="A1461" s="165" t="s">
        <v>9829</v>
      </c>
      <c r="B1461" s="94">
        <v>1415</v>
      </c>
      <c r="C1461" s="165" t="s">
        <v>4513</v>
      </c>
      <c r="D1461" s="165">
        <v>3</v>
      </c>
      <c r="E1461" s="165" t="s">
        <v>9838</v>
      </c>
      <c r="F1461" s="165" t="s">
        <v>8949</v>
      </c>
      <c r="G1461" s="165"/>
      <c r="H1461" s="556">
        <v>11970</v>
      </c>
      <c r="I1461" s="165"/>
      <c r="J1461" s="165"/>
      <c r="K1461" s="165"/>
      <c r="L1461" s="165">
        <v>11970</v>
      </c>
      <c r="M1461" s="165"/>
      <c r="N1461" s="165"/>
      <c r="O1461" s="337">
        <f t="shared" si="57"/>
        <v>0</v>
      </c>
      <c r="P1461" s="165" t="s">
        <v>8973</v>
      </c>
      <c r="Q1461" s="165" t="s">
        <v>8973</v>
      </c>
      <c r="R1461" s="3">
        <f t="shared" si="58"/>
        <v>11970</v>
      </c>
      <c r="S1461" s="337">
        <v>11970</v>
      </c>
      <c r="T1461"/>
      <c r="U1461" s="3"/>
    </row>
    <row r="1462" spans="1:21">
      <c r="A1462" s="165" t="s">
        <v>9829</v>
      </c>
      <c r="B1462" s="94">
        <v>1416</v>
      </c>
      <c r="C1462" s="165" t="s">
        <v>4513</v>
      </c>
      <c r="D1462" s="165">
        <v>4</v>
      </c>
      <c r="E1462" s="165" t="s">
        <v>9833</v>
      </c>
      <c r="F1462" s="165" t="s">
        <v>9841</v>
      </c>
      <c r="G1462" s="165"/>
      <c r="H1462" s="556">
        <v>11970</v>
      </c>
      <c r="I1462" s="165"/>
      <c r="J1462" s="165"/>
      <c r="K1462" s="165"/>
      <c r="L1462" s="165">
        <v>11970</v>
      </c>
      <c r="M1462" s="165"/>
      <c r="N1462" s="165"/>
      <c r="O1462" s="337">
        <f t="shared" si="57"/>
        <v>0</v>
      </c>
      <c r="P1462" s="165" t="s">
        <v>10936</v>
      </c>
      <c r="Q1462" s="165" t="s">
        <v>10936</v>
      </c>
      <c r="R1462" s="3">
        <f t="shared" si="58"/>
        <v>11970</v>
      </c>
      <c r="S1462" s="337">
        <v>11970</v>
      </c>
      <c r="T1462"/>
      <c r="U1462" s="3"/>
    </row>
    <row r="1463" spans="1:21">
      <c r="A1463" s="165" t="s">
        <v>9829</v>
      </c>
      <c r="B1463" s="94">
        <v>1417</v>
      </c>
      <c r="C1463" s="165" t="s">
        <v>4513</v>
      </c>
      <c r="D1463" s="165">
        <v>5</v>
      </c>
      <c r="E1463" s="165" t="s">
        <v>9834</v>
      </c>
      <c r="F1463" s="165" t="s">
        <v>9842</v>
      </c>
      <c r="G1463" s="165"/>
      <c r="H1463" s="556">
        <v>11970</v>
      </c>
      <c r="I1463" s="165"/>
      <c r="J1463" s="165"/>
      <c r="K1463" s="165"/>
      <c r="L1463" s="165">
        <v>11970</v>
      </c>
      <c r="M1463" s="165"/>
      <c r="N1463" s="165"/>
      <c r="O1463" s="337">
        <f t="shared" si="57"/>
        <v>0</v>
      </c>
      <c r="P1463" s="165" t="s">
        <v>10997</v>
      </c>
      <c r="Q1463" s="165" t="s">
        <v>9842</v>
      </c>
      <c r="R1463" s="3">
        <f t="shared" si="58"/>
        <v>11970</v>
      </c>
      <c r="S1463" s="337">
        <v>11970</v>
      </c>
      <c r="T1463"/>
      <c r="U1463" s="3"/>
    </row>
    <row r="1464" spans="1:21">
      <c r="A1464" s="165" t="s">
        <v>9829</v>
      </c>
      <c r="B1464" s="94">
        <v>1418</v>
      </c>
      <c r="C1464" s="165" t="s">
        <v>4513</v>
      </c>
      <c r="D1464" s="165">
        <v>6</v>
      </c>
      <c r="E1464" s="165" t="s">
        <v>9835</v>
      </c>
      <c r="F1464" s="165" t="s">
        <v>9843</v>
      </c>
      <c r="G1464" s="165"/>
      <c r="H1464" s="556">
        <v>11970</v>
      </c>
      <c r="I1464" s="165"/>
      <c r="J1464" s="165"/>
      <c r="K1464" s="165"/>
      <c r="L1464" s="165">
        <v>11970</v>
      </c>
      <c r="M1464" s="165"/>
      <c r="N1464" s="165"/>
      <c r="O1464" s="337">
        <f t="shared" si="57"/>
        <v>0</v>
      </c>
      <c r="P1464" s="165" t="s">
        <v>16100</v>
      </c>
      <c r="Q1464" s="165" t="s">
        <v>16101</v>
      </c>
      <c r="R1464" s="3">
        <f t="shared" si="58"/>
        <v>11970</v>
      </c>
      <c r="S1464" s="337">
        <v>11970</v>
      </c>
      <c r="T1464"/>
      <c r="U1464" s="3"/>
    </row>
    <row r="1465" spans="1:21">
      <c r="A1465" s="165" t="s">
        <v>9829</v>
      </c>
      <c r="B1465" s="94">
        <v>1419</v>
      </c>
      <c r="C1465" s="165" t="s">
        <v>4513</v>
      </c>
      <c r="D1465" s="165">
        <v>7</v>
      </c>
      <c r="E1465" s="165" t="s">
        <v>9836</v>
      </c>
      <c r="F1465" s="165" t="s">
        <v>9844</v>
      </c>
      <c r="G1465" s="165"/>
      <c r="H1465" s="556">
        <v>11970</v>
      </c>
      <c r="I1465" s="165"/>
      <c r="J1465" s="165"/>
      <c r="K1465" s="165"/>
      <c r="L1465" s="165">
        <v>11970</v>
      </c>
      <c r="M1465" s="165"/>
      <c r="N1465" s="165"/>
      <c r="O1465" s="337">
        <f t="shared" si="57"/>
        <v>0</v>
      </c>
      <c r="P1465" s="165" t="s">
        <v>16174</v>
      </c>
      <c r="Q1465" s="165" t="s">
        <v>16174</v>
      </c>
      <c r="R1465" s="3">
        <f t="shared" si="58"/>
        <v>11970</v>
      </c>
      <c r="S1465" s="337">
        <v>11970</v>
      </c>
      <c r="T1465"/>
      <c r="U1465" s="3"/>
    </row>
    <row r="1466" spans="1:21">
      <c r="A1466" s="165" t="s">
        <v>9829</v>
      </c>
      <c r="B1466" s="94">
        <v>1420</v>
      </c>
      <c r="C1466" s="165" t="s">
        <v>4513</v>
      </c>
      <c r="D1466" s="165">
        <v>8</v>
      </c>
      <c r="E1466" s="165" t="s">
        <v>9840</v>
      </c>
      <c r="F1466" s="165" t="s">
        <v>9845</v>
      </c>
      <c r="G1466" s="165"/>
      <c r="H1466" s="556">
        <v>11970</v>
      </c>
      <c r="I1466" s="165"/>
      <c r="J1466" s="165"/>
      <c r="K1466" s="165"/>
      <c r="L1466" s="165">
        <v>11970</v>
      </c>
      <c r="M1466" s="165"/>
      <c r="N1466" s="165"/>
      <c r="O1466" s="337">
        <f t="shared" si="57"/>
        <v>0</v>
      </c>
      <c r="P1466" s="165" t="s">
        <v>16301</v>
      </c>
      <c r="Q1466" s="165" t="s">
        <v>16302</v>
      </c>
      <c r="R1466" s="3">
        <f t="shared" si="58"/>
        <v>11970</v>
      </c>
      <c r="S1466" s="337">
        <v>11970</v>
      </c>
      <c r="T1466"/>
      <c r="U1466" s="3"/>
    </row>
    <row r="1467" spans="1:21">
      <c r="A1467" s="165" t="s">
        <v>9911</v>
      </c>
      <c r="B1467" s="94">
        <v>1421</v>
      </c>
      <c r="C1467" s="165" t="s">
        <v>4539</v>
      </c>
      <c r="D1467" s="165">
        <v>1</v>
      </c>
      <c r="E1467" s="165" t="s">
        <v>9914</v>
      </c>
      <c r="F1467" s="165" t="s">
        <v>5345</v>
      </c>
      <c r="G1467" s="165"/>
      <c r="H1467" s="680">
        <v>13230</v>
      </c>
      <c r="I1467" s="165"/>
      <c r="J1467" s="165"/>
      <c r="K1467" s="165"/>
      <c r="L1467" s="165">
        <v>13230</v>
      </c>
      <c r="M1467" s="165"/>
      <c r="N1467" s="165"/>
      <c r="O1467" s="337">
        <f t="shared" si="57"/>
        <v>0</v>
      </c>
      <c r="P1467" s="165" t="s">
        <v>8812</v>
      </c>
      <c r="Q1467" s="165" t="s">
        <v>8812</v>
      </c>
      <c r="R1467" s="3">
        <f t="shared" si="58"/>
        <v>13230</v>
      </c>
      <c r="S1467" s="337">
        <v>13230</v>
      </c>
      <c r="T1467"/>
      <c r="U1467" s="3"/>
    </row>
    <row r="1468" spans="1:21">
      <c r="A1468" s="165" t="s">
        <v>9911</v>
      </c>
      <c r="B1468" s="94">
        <v>1422</v>
      </c>
      <c r="C1468" s="165" t="s">
        <v>4539</v>
      </c>
      <c r="D1468" s="165">
        <v>2</v>
      </c>
      <c r="E1468" s="165" t="s">
        <v>9915</v>
      </c>
      <c r="F1468" s="165" t="s">
        <v>9922</v>
      </c>
      <c r="G1468" s="165"/>
      <c r="H1468" s="680">
        <v>13230</v>
      </c>
      <c r="I1468" s="165"/>
      <c r="J1468" s="165"/>
      <c r="K1468" s="165"/>
      <c r="L1468" s="165">
        <v>13230</v>
      </c>
      <c r="M1468" s="165"/>
      <c r="N1468" s="165"/>
      <c r="O1468" s="337">
        <f t="shared" si="57"/>
        <v>0</v>
      </c>
      <c r="P1468" s="165" t="s">
        <v>8871</v>
      </c>
      <c r="Q1468" s="165" t="s">
        <v>8871</v>
      </c>
      <c r="R1468" s="3">
        <f t="shared" si="58"/>
        <v>13230</v>
      </c>
      <c r="S1468" s="337">
        <v>13230</v>
      </c>
      <c r="T1468"/>
      <c r="U1468" s="3"/>
    </row>
    <row r="1469" spans="1:21">
      <c r="A1469" s="165" t="s">
        <v>9911</v>
      </c>
      <c r="B1469" s="94">
        <v>1423</v>
      </c>
      <c r="C1469" s="165" t="s">
        <v>4539</v>
      </c>
      <c r="D1469" s="165">
        <v>3</v>
      </c>
      <c r="E1469" s="165" t="s">
        <v>9916</v>
      </c>
      <c r="F1469" s="165" t="s">
        <v>9923</v>
      </c>
      <c r="G1469" s="165"/>
      <c r="H1469" s="680">
        <v>13230</v>
      </c>
      <c r="I1469" s="165"/>
      <c r="J1469" s="165"/>
      <c r="K1469" s="165"/>
      <c r="L1469" s="165">
        <v>13230</v>
      </c>
      <c r="M1469" s="165"/>
      <c r="N1469" s="165"/>
      <c r="O1469" s="337">
        <f t="shared" si="57"/>
        <v>0</v>
      </c>
      <c r="P1469" s="165" t="s">
        <v>9700</v>
      </c>
      <c r="Q1469" s="165" t="s">
        <v>9923</v>
      </c>
      <c r="R1469" s="3">
        <f t="shared" si="58"/>
        <v>13230</v>
      </c>
      <c r="S1469" s="337">
        <v>13230</v>
      </c>
      <c r="T1469"/>
      <c r="U1469" s="3"/>
    </row>
    <row r="1470" spans="1:21">
      <c r="A1470" s="165" t="s">
        <v>9911</v>
      </c>
      <c r="B1470" s="94">
        <v>1424</v>
      </c>
      <c r="C1470" s="165" t="s">
        <v>4539</v>
      </c>
      <c r="D1470" s="165">
        <v>4</v>
      </c>
      <c r="E1470" s="165" t="s">
        <v>9917</v>
      </c>
      <c r="F1470" s="165" t="s">
        <v>5591</v>
      </c>
      <c r="G1470" s="165"/>
      <c r="H1470" s="680">
        <v>13230</v>
      </c>
      <c r="I1470" s="165"/>
      <c r="J1470" s="165"/>
      <c r="K1470" s="165"/>
      <c r="L1470" s="165">
        <v>13230</v>
      </c>
      <c r="M1470" s="165"/>
      <c r="N1470" s="165"/>
      <c r="O1470" s="337">
        <f t="shared" si="57"/>
        <v>0</v>
      </c>
      <c r="P1470" s="165" t="s">
        <v>9702</v>
      </c>
      <c r="Q1470" s="165" t="s">
        <v>9924</v>
      </c>
      <c r="R1470" s="3">
        <f t="shared" si="58"/>
        <v>13230</v>
      </c>
      <c r="S1470" s="337">
        <v>13230</v>
      </c>
      <c r="T1470"/>
      <c r="U1470" s="3"/>
    </row>
    <row r="1471" spans="1:21">
      <c r="A1471" s="165" t="s">
        <v>9911</v>
      </c>
      <c r="B1471" s="94">
        <v>1425</v>
      </c>
      <c r="C1471" s="165" t="s">
        <v>4539</v>
      </c>
      <c r="D1471" s="165">
        <v>5</v>
      </c>
      <c r="E1471" s="165" t="s">
        <v>9918</v>
      </c>
      <c r="F1471" s="165" t="s">
        <v>9925</v>
      </c>
      <c r="G1471" s="165"/>
      <c r="H1471" s="680">
        <v>13230</v>
      </c>
      <c r="I1471" s="165"/>
      <c r="J1471" s="165"/>
      <c r="K1471" s="165"/>
      <c r="L1471" s="165">
        <v>13230</v>
      </c>
      <c r="M1471" s="165"/>
      <c r="N1471" s="165"/>
      <c r="O1471" s="337">
        <f>G1471+H1471+I1471-J1471-K1471-L1471</f>
        <v>0</v>
      </c>
      <c r="P1471" s="165" t="s">
        <v>10983</v>
      </c>
      <c r="Q1471" s="165" t="s">
        <v>9925</v>
      </c>
      <c r="R1471" s="3">
        <f t="shared" si="58"/>
        <v>13230</v>
      </c>
      <c r="S1471" s="337">
        <v>13230</v>
      </c>
      <c r="T1471"/>
      <c r="U1471" s="3"/>
    </row>
    <row r="1472" spans="1:21">
      <c r="A1472" s="165" t="s">
        <v>9911</v>
      </c>
      <c r="B1472" s="94">
        <v>1426</v>
      </c>
      <c r="C1472" s="165" t="s">
        <v>4539</v>
      </c>
      <c r="D1472" s="165">
        <v>6</v>
      </c>
      <c r="E1472" s="165" t="s">
        <v>9919</v>
      </c>
      <c r="F1472" s="165" t="s">
        <v>9926</v>
      </c>
      <c r="G1472" s="165"/>
      <c r="H1472" s="680">
        <v>13230</v>
      </c>
      <c r="I1472" s="165"/>
      <c r="J1472" s="165"/>
      <c r="K1472" s="165"/>
      <c r="L1472" s="165">
        <v>13230</v>
      </c>
      <c r="M1472" s="165"/>
      <c r="N1472" s="165"/>
      <c r="O1472" s="337">
        <f>G1472+H1472+I1472-J1472-K1472-L1472</f>
        <v>0</v>
      </c>
      <c r="P1472" s="165" t="s">
        <v>11084</v>
      </c>
      <c r="Q1472" s="165" t="s">
        <v>9926</v>
      </c>
      <c r="R1472" s="3">
        <f t="shared" si="58"/>
        <v>13230</v>
      </c>
      <c r="S1472" s="337">
        <v>13230</v>
      </c>
      <c r="T1472"/>
      <c r="U1472" s="3"/>
    </row>
    <row r="1473" spans="1:22">
      <c r="A1473" s="165" t="s">
        <v>9911</v>
      </c>
      <c r="B1473" s="94">
        <v>1427</v>
      </c>
      <c r="C1473" s="165" t="s">
        <v>4539</v>
      </c>
      <c r="D1473" s="165">
        <v>7</v>
      </c>
      <c r="E1473" s="165" t="s">
        <v>9920</v>
      </c>
      <c r="F1473" s="165" t="s">
        <v>9927</v>
      </c>
      <c r="G1473" s="165"/>
      <c r="H1473" s="680">
        <v>13230</v>
      </c>
      <c r="I1473" s="165"/>
      <c r="J1473" s="165"/>
      <c r="K1473" s="165"/>
      <c r="L1473" s="165">
        <v>13230</v>
      </c>
      <c r="M1473" s="165"/>
      <c r="N1473" s="165"/>
      <c r="O1473" s="337">
        <f>G1473+H1473+I1473-J1473-K1473-L1473</f>
        <v>0</v>
      </c>
      <c r="P1473" s="165" t="s">
        <v>16147</v>
      </c>
      <c r="Q1473" s="165" t="s">
        <v>16148</v>
      </c>
      <c r="R1473" s="3">
        <f t="shared" si="58"/>
        <v>13230</v>
      </c>
      <c r="S1473" s="337">
        <v>13230</v>
      </c>
      <c r="T1473"/>
      <c r="U1473" s="3"/>
    </row>
    <row r="1474" spans="1:22">
      <c r="A1474" s="165" t="s">
        <v>9911</v>
      </c>
      <c r="B1474" s="94">
        <v>1428</v>
      </c>
      <c r="C1474" s="165" t="s">
        <v>4539</v>
      </c>
      <c r="D1474" s="165">
        <v>8</v>
      </c>
      <c r="E1474" s="165" t="s">
        <v>9921</v>
      </c>
      <c r="F1474" s="165" t="s">
        <v>9928</v>
      </c>
      <c r="G1474" s="165"/>
      <c r="H1474" s="680">
        <v>13230</v>
      </c>
      <c r="I1474" s="165"/>
      <c r="J1474" s="165"/>
      <c r="K1474" s="165"/>
      <c r="L1474" s="165">
        <v>13230</v>
      </c>
      <c r="M1474" s="165"/>
      <c r="N1474" s="165"/>
      <c r="O1474" s="337">
        <f>G1474+H1474+I1474-J1474-K1474-L1474</f>
        <v>0</v>
      </c>
      <c r="P1474" s="165" t="s">
        <v>16277</v>
      </c>
      <c r="Q1474" s="165" t="s">
        <v>16273</v>
      </c>
      <c r="R1474" s="3">
        <f t="shared" si="58"/>
        <v>13230</v>
      </c>
      <c r="S1474" s="337">
        <v>13230</v>
      </c>
      <c r="T1474"/>
      <c r="U1474" s="3"/>
    </row>
    <row r="1475" spans="1:22">
      <c r="A1475" s="165" t="s">
        <v>9638</v>
      </c>
      <c r="B1475" s="94">
        <v>1429</v>
      </c>
      <c r="C1475" s="165" t="s">
        <v>4230</v>
      </c>
      <c r="D1475" s="165">
        <v>13</v>
      </c>
      <c r="E1475" s="165" t="s">
        <v>9639</v>
      </c>
      <c r="F1475" s="165" t="s">
        <v>9640</v>
      </c>
      <c r="G1475" s="165"/>
      <c r="H1475" s="680">
        <v>3780</v>
      </c>
      <c r="I1475" s="165"/>
      <c r="J1475" s="165"/>
      <c r="K1475" s="165"/>
      <c r="L1475" s="165">
        <v>3780</v>
      </c>
      <c r="M1475" s="165"/>
      <c r="N1475" s="165"/>
      <c r="O1475" s="337">
        <f t="shared" ref="O1475:O1506" si="59">G1475+H1475+I1475-J1475-K1475-L1475</f>
        <v>0</v>
      </c>
      <c r="P1475" s="165" t="s">
        <v>8812</v>
      </c>
      <c r="Q1475" s="165" t="s">
        <v>8812</v>
      </c>
      <c r="R1475" s="3">
        <f t="shared" ref="R1475:R1510" si="60">G1475+H1475+I1475</f>
        <v>3780</v>
      </c>
      <c r="S1475" s="337">
        <v>3780</v>
      </c>
      <c r="T1475"/>
      <c r="U1475" s="3"/>
    </row>
    <row r="1476" spans="1:22">
      <c r="A1476" s="165" t="s">
        <v>9638</v>
      </c>
      <c r="B1476" s="94">
        <v>1430</v>
      </c>
      <c r="C1476" s="165" t="s">
        <v>4230</v>
      </c>
      <c r="D1476" s="165">
        <v>14</v>
      </c>
      <c r="E1476" s="165" t="s">
        <v>9641</v>
      </c>
      <c r="F1476" s="165" t="s">
        <v>8809</v>
      </c>
      <c r="G1476" s="165"/>
      <c r="H1476" s="680">
        <v>3780</v>
      </c>
      <c r="I1476" s="165"/>
      <c r="J1476" s="165"/>
      <c r="K1476" s="338"/>
      <c r="L1476" s="338">
        <v>3780</v>
      </c>
      <c r="M1476" s="165"/>
      <c r="N1476" s="165"/>
      <c r="O1476" s="337">
        <f t="shared" si="59"/>
        <v>0</v>
      </c>
      <c r="P1476" s="165" t="s">
        <v>8812</v>
      </c>
      <c r="Q1476" s="165" t="s">
        <v>8812</v>
      </c>
      <c r="R1476" s="3">
        <f t="shared" si="60"/>
        <v>3780</v>
      </c>
      <c r="S1476" s="337">
        <v>3780</v>
      </c>
      <c r="T1476"/>
      <c r="U1476" s="3"/>
    </row>
    <row r="1477" spans="1:22">
      <c r="A1477" s="165" t="s">
        <v>9638</v>
      </c>
      <c r="B1477" s="94">
        <v>1431</v>
      </c>
      <c r="C1477" s="165" t="s">
        <v>4230</v>
      </c>
      <c r="D1477" s="165">
        <v>15</v>
      </c>
      <c r="E1477" s="165" t="s">
        <v>9642</v>
      </c>
      <c r="F1477" s="165" t="s">
        <v>5433</v>
      </c>
      <c r="G1477" s="165"/>
      <c r="H1477" s="680">
        <v>3780</v>
      </c>
      <c r="I1477" s="165"/>
      <c r="J1477" s="165"/>
      <c r="K1477" s="338"/>
      <c r="L1477" s="338">
        <v>3780</v>
      </c>
      <c r="M1477" s="165"/>
      <c r="N1477" s="165"/>
      <c r="O1477" s="337">
        <f t="shared" si="59"/>
        <v>0</v>
      </c>
      <c r="P1477" s="165" t="s">
        <v>5433</v>
      </c>
      <c r="Q1477" s="165" t="s">
        <v>5433</v>
      </c>
      <c r="R1477" s="3">
        <f t="shared" si="60"/>
        <v>3780</v>
      </c>
      <c r="S1477" s="337">
        <v>3780</v>
      </c>
      <c r="T1477"/>
      <c r="U1477" s="3"/>
    </row>
    <row r="1478" spans="1:22">
      <c r="A1478" s="165" t="s">
        <v>9638</v>
      </c>
      <c r="B1478" s="94">
        <v>1432</v>
      </c>
      <c r="C1478" s="165" t="s">
        <v>4230</v>
      </c>
      <c r="D1478" s="165">
        <v>16</v>
      </c>
      <c r="E1478" s="165" t="s">
        <v>9643</v>
      </c>
      <c r="F1478" s="165" t="s">
        <v>9655</v>
      </c>
      <c r="G1478" s="165"/>
      <c r="H1478" s="680">
        <v>3780</v>
      </c>
      <c r="I1478" s="165"/>
      <c r="J1478" s="165"/>
      <c r="K1478" s="338"/>
      <c r="L1478" s="338">
        <v>3780</v>
      </c>
      <c r="M1478" s="165"/>
      <c r="N1478" s="165"/>
      <c r="O1478" s="337">
        <f t="shared" si="59"/>
        <v>0</v>
      </c>
      <c r="P1478" s="165" t="s">
        <v>8845</v>
      </c>
      <c r="Q1478" s="165" t="s">
        <v>8845</v>
      </c>
      <c r="R1478" s="3">
        <f t="shared" si="60"/>
        <v>3780</v>
      </c>
      <c r="S1478" s="337">
        <v>3780</v>
      </c>
      <c r="T1478"/>
      <c r="U1478" s="3"/>
    </row>
    <row r="1479" spans="1:22">
      <c r="A1479" s="165" t="s">
        <v>9638</v>
      </c>
      <c r="B1479" s="94">
        <v>1433</v>
      </c>
      <c r="C1479" s="165" t="s">
        <v>4230</v>
      </c>
      <c r="D1479" s="165">
        <v>17</v>
      </c>
      <c r="E1479" s="165" t="s">
        <v>9644</v>
      </c>
      <c r="F1479" s="165" t="s">
        <v>9656</v>
      </c>
      <c r="G1479" s="165"/>
      <c r="H1479" s="680">
        <v>3780</v>
      </c>
      <c r="I1479" s="165"/>
      <c r="J1479" s="165"/>
      <c r="K1479" s="338"/>
      <c r="L1479" s="338">
        <v>3780</v>
      </c>
      <c r="M1479" s="165"/>
      <c r="N1479" s="165"/>
      <c r="O1479" s="337">
        <f t="shared" si="59"/>
        <v>0</v>
      </c>
      <c r="P1479" s="165" t="s">
        <v>8839</v>
      </c>
      <c r="Q1479" s="165" t="s">
        <v>9656</v>
      </c>
      <c r="R1479" s="3">
        <f t="shared" si="60"/>
        <v>3780</v>
      </c>
      <c r="S1479" s="337">
        <v>3780</v>
      </c>
      <c r="T1479"/>
      <c r="U1479" s="3"/>
    </row>
    <row r="1480" spans="1:22">
      <c r="A1480" s="165" t="s">
        <v>9638</v>
      </c>
      <c r="B1480" s="94">
        <v>1434</v>
      </c>
      <c r="C1480" s="165" t="s">
        <v>4230</v>
      </c>
      <c r="D1480" s="165">
        <v>18</v>
      </c>
      <c r="E1480" s="165" t="s">
        <v>9645</v>
      </c>
      <c r="F1480" s="165" t="s">
        <v>5434</v>
      </c>
      <c r="G1480" s="165"/>
      <c r="H1480" s="680">
        <v>3780</v>
      </c>
      <c r="I1480" s="165"/>
      <c r="J1480" s="165"/>
      <c r="K1480" s="338"/>
      <c r="L1480" s="338">
        <v>3780</v>
      </c>
      <c r="M1480" s="165"/>
      <c r="N1480" s="165"/>
      <c r="O1480" s="337">
        <f t="shared" si="59"/>
        <v>0</v>
      </c>
      <c r="P1480" s="165" t="s">
        <v>8883</v>
      </c>
      <c r="Q1480" s="165" t="s">
        <v>8896</v>
      </c>
      <c r="R1480" s="3">
        <f t="shared" si="60"/>
        <v>3780</v>
      </c>
      <c r="S1480" s="337">
        <v>3780</v>
      </c>
      <c r="T1480"/>
      <c r="U1480" s="3"/>
    </row>
    <row r="1481" spans="1:22">
      <c r="A1481" s="165" t="s">
        <v>9638</v>
      </c>
      <c r="B1481" s="94">
        <v>1435</v>
      </c>
      <c r="C1481" s="165" t="s">
        <v>4230</v>
      </c>
      <c r="D1481" s="165">
        <v>19</v>
      </c>
      <c r="E1481" s="165" t="s">
        <v>9646</v>
      </c>
      <c r="F1481" s="165" t="s">
        <v>9658</v>
      </c>
      <c r="G1481" s="165"/>
      <c r="H1481" s="680">
        <v>3780</v>
      </c>
      <c r="I1481" s="165"/>
      <c r="J1481" s="165"/>
      <c r="K1481" s="338"/>
      <c r="L1481" s="338">
        <v>3780</v>
      </c>
      <c r="M1481" s="165"/>
      <c r="N1481" s="165"/>
      <c r="O1481" s="337">
        <f t="shared" si="59"/>
        <v>0</v>
      </c>
      <c r="P1481" s="165" t="s">
        <v>10819</v>
      </c>
      <c r="Q1481" s="165" t="s">
        <v>9658</v>
      </c>
      <c r="R1481" s="3">
        <f t="shared" si="60"/>
        <v>3780</v>
      </c>
      <c r="S1481" s="337">
        <v>3780</v>
      </c>
      <c r="T1481"/>
      <c r="U1481" s="3"/>
    </row>
    <row r="1482" spans="1:22">
      <c r="A1482" s="165" t="s">
        <v>9638</v>
      </c>
      <c r="B1482" s="94">
        <v>1436</v>
      </c>
      <c r="C1482" s="165" t="s">
        <v>4230</v>
      </c>
      <c r="D1482" s="165">
        <v>20</v>
      </c>
      <c r="E1482" s="165" t="s">
        <v>9647</v>
      </c>
      <c r="F1482" s="165" t="s">
        <v>8939</v>
      </c>
      <c r="G1482" s="165"/>
      <c r="H1482" s="680">
        <v>3780</v>
      </c>
      <c r="I1482" s="165"/>
      <c r="J1482" s="165"/>
      <c r="K1482" s="338"/>
      <c r="L1482" s="338">
        <v>3780</v>
      </c>
      <c r="M1482" s="165"/>
      <c r="N1482" s="165"/>
      <c r="O1482" s="337">
        <f t="shared" si="59"/>
        <v>0</v>
      </c>
      <c r="P1482" s="165" t="s">
        <v>9700</v>
      </c>
      <c r="Q1482" s="165" t="s">
        <v>8939</v>
      </c>
      <c r="R1482" s="3">
        <f t="shared" si="60"/>
        <v>3780</v>
      </c>
      <c r="S1482" s="337">
        <v>3780</v>
      </c>
      <c r="T1482"/>
      <c r="U1482" s="3"/>
    </row>
    <row r="1483" spans="1:22">
      <c r="A1483" s="165" t="s">
        <v>9638</v>
      </c>
      <c r="B1483" s="94">
        <v>1437</v>
      </c>
      <c r="C1483" s="165" t="s">
        <v>4230</v>
      </c>
      <c r="D1483" s="165">
        <v>21</v>
      </c>
      <c r="E1483" s="165" t="s">
        <v>9648</v>
      </c>
      <c r="F1483" s="165" t="s">
        <v>9660</v>
      </c>
      <c r="G1483" s="165"/>
      <c r="H1483" s="680">
        <v>3780</v>
      </c>
      <c r="I1483" s="165"/>
      <c r="J1483" s="165"/>
      <c r="K1483" s="338"/>
      <c r="L1483" s="338">
        <v>3780</v>
      </c>
      <c r="M1483" s="165"/>
      <c r="N1483" s="165"/>
      <c r="O1483" s="337">
        <f t="shared" si="59"/>
        <v>0</v>
      </c>
      <c r="P1483" s="165" t="s">
        <v>8973</v>
      </c>
      <c r="Q1483" s="165" t="s">
        <v>8973</v>
      </c>
      <c r="R1483" s="3">
        <f t="shared" si="60"/>
        <v>3780</v>
      </c>
      <c r="S1483" s="337">
        <v>3780</v>
      </c>
      <c r="T1483"/>
      <c r="U1483" s="3"/>
    </row>
    <row r="1484" spans="1:22">
      <c r="A1484" s="165" t="s">
        <v>9638</v>
      </c>
      <c r="B1484" s="94">
        <v>1438</v>
      </c>
      <c r="C1484" s="165" t="s">
        <v>4230</v>
      </c>
      <c r="D1484" s="165">
        <v>22</v>
      </c>
      <c r="E1484" s="165" t="s">
        <v>9649</v>
      </c>
      <c r="F1484" s="165" t="s">
        <v>9661</v>
      </c>
      <c r="G1484" s="165"/>
      <c r="H1484" s="680">
        <v>3780</v>
      </c>
      <c r="I1484" s="165"/>
      <c r="J1484" s="165"/>
      <c r="K1484" s="338"/>
      <c r="L1484" s="338">
        <v>3780</v>
      </c>
      <c r="M1484" s="165"/>
      <c r="N1484" s="165"/>
      <c r="O1484" s="337">
        <f t="shared" si="59"/>
        <v>0</v>
      </c>
      <c r="P1484" s="165" t="s">
        <v>8973</v>
      </c>
      <c r="Q1484" s="165" t="s">
        <v>9661</v>
      </c>
      <c r="R1484" s="3">
        <f t="shared" si="60"/>
        <v>3780</v>
      </c>
      <c r="S1484" s="337">
        <v>3780</v>
      </c>
      <c r="T1484"/>
      <c r="U1484" s="3"/>
    </row>
    <row r="1485" spans="1:22">
      <c r="A1485" s="165" t="s">
        <v>9638</v>
      </c>
      <c r="B1485" s="94">
        <v>1439</v>
      </c>
      <c r="C1485" s="165" t="s">
        <v>4230</v>
      </c>
      <c r="D1485" s="165">
        <v>23</v>
      </c>
      <c r="E1485" s="165" t="s">
        <v>9650</v>
      </c>
      <c r="F1485" s="165" t="s">
        <v>9662</v>
      </c>
      <c r="G1485" s="165"/>
      <c r="H1485" s="680">
        <v>3780</v>
      </c>
      <c r="I1485" s="165"/>
      <c r="J1485" s="165"/>
      <c r="K1485" s="338"/>
      <c r="L1485" s="338">
        <v>3780</v>
      </c>
      <c r="M1485" s="165"/>
      <c r="N1485" s="165"/>
      <c r="O1485" s="337">
        <f t="shared" si="59"/>
        <v>0</v>
      </c>
      <c r="P1485" s="165" t="s">
        <v>9702</v>
      </c>
      <c r="Q1485" s="165" t="s">
        <v>9662</v>
      </c>
      <c r="R1485" s="3">
        <f t="shared" si="60"/>
        <v>3780</v>
      </c>
      <c r="S1485" s="337">
        <v>3780</v>
      </c>
      <c r="T1485"/>
      <c r="U1485" s="3"/>
    </row>
    <row r="1486" spans="1:22">
      <c r="A1486" s="165" t="s">
        <v>9638</v>
      </c>
      <c r="B1486" s="94">
        <v>1440</v>
      </c>
      <c r="C1486" s="165" t="s">
        <v>4230</v>
      </c>
      <c r="D1486" s="165">
        <v>24</v>
      </c>
      <c r="E1486" s="165" t="s">
        <v>9651</v>
      </c>
      <c r="F1486" s="165" t="s">
        <v>9663</v>
      </c>
      <c r="G1486" s="165"/>
      <c r="H1486" s="680">
        <v>3780</v>
      </c>
      <c r="I1486" s="165"/>
      <c r="J1486" s="165"/>
      <c r="K1486" s="338"/>
      <c r="L1486" s="338">
        <v>3780</v>
      </c>
      <c r="M1486" s="165"/>
      <c r="N1486" s="165"/>
      <c r="O1486" s="337">
        <f t="shared" si="59"/>
        <v>0</v>
      </c>
      <c r="P1486" s="165" t="s">
        <v>10936</v>
      </c>
      <c r="Q1486" s="165" t="s">
        <v>9663</v>
      </c>
      <c r="R1486" s="3">
        <f t="shared" si="60"/>
        <v>3780</v>
      </c>
      <c r="S1486" s="337">
        <v>3780</v>
      </c>
      <c r="T1486"/>
      <c r="U1486" s="3"/>
    </row>
    <row r="1487" spans="1:22">
      <c r="A1487" s="165" t="s">
        <v>9726</v>
      </c>
      <c r="B1487" s="94">
        <v>1441</v>
      </c>
      <c r="C1487" s="165" t="s">
        <v>4201</v>
      </c>
      <c r="D1487" s="165">
        <v>1</v>
      </c>
      <c r="E1487" s="165" t="s">
        <v>9728</v>
      </c>
      <c r="F1487" s="165" t="s">
        <v>5325</v>
      </c>
      <c r="G1487" s="165"/>
      <c r="H1487" s="165">
        <v>20475</v>
      </c>
      <c r="I1487" s="165"/>
      <c r="J1487" s="165"/>
      <c r="K1487" s="165"/>
      <c r="L1487" s="165">
        <v>20475</v>
      </c>
      <c r="M1487" s="165"/>
      <c r="N1487" s="165"/>
      <c r="O1487" s="337">
        <f>G1487+H1487+I1487-J1487-K1487-L1487</f>
        <v>0</v>
      </c>
      <c r="P1487" s="165" t="s">
        <v>9744</v>
      </c>
      <c r="Q1487" s="165" t="s">
        <v>9744</v>
      </c>
      <c r="R1487" s="3">
        <f t="shared" si="60"/>
        <v>20475</v>
      </c>
      <c r="S1487" s="337">
        <v>20475</v>
      </c>
      <c r="T1487"/>
      <c r="U1487" s="3"/>
      <c r="V1487" s="338"/>
    </row>
    <row r="1488" spans="1:22">
      <c r="A1488" s="165" t="s">
        <v>9726</v>
      </c>
      <c r="B1488" s="94">
        <v>1442</v>
      </c>
      <c r="C1488" s="165" t="s">
        <v>4201</v>
      </c>
      <c r="D1488" s="165">
        <v>2</v>
      </c>
      <c r="E1488" s="165" t="s">
        <v>9730</v>
      </c>
      <c r="F1488" s="165" t="s">
        <v>5542</v>
      </c>
      <c r="G1488" s="165"/>
      <c r="H1488" s="165">
        <v>20475</v>
      </c>
      <c r="I1488" s="165"/>
      <c r="J1488" s="165"/>
      <c r="K1488" s="165"/>
      <c r="L1488" s="165">
        <v>20475</v>
      </c>
      <c r="M1488" s="165"/>
      <c r="N1488" s="165"/>
      <c r="O1488" s="337">
        <f>G1488+H1488+I1488-J1488-K1488-L1488</f>
        <v>0</v>
      </c>
      <c r="P1488" s="165" t="s">
        <v>10819</v>
      </c>
      <c r="Q1488" s="165" t="s">
        <v>5542</v>
      </c>
      <c r="R1488" s="3">
        <f t="shared" si="60"/>
        <v>20475</v>
      </c>
      <c r="S1488" s="337">
        <v>20475</v>
      </c>
      <c r="T1488"/>
      <c r="U1488" s="3"/>
      <c r="V1488" s="338"/>
    </row>
    <row r="1489" spans="1:22">
      <c r="A1489" s="165" t="s">
        <v>9726</v>
      </c>
      <c r="B1489" s="94">
        <v>1443</v>
      </c>
      <c r="C1489" s="165" t="s">
        <v>4201</v>
      </c>
      <c r="D1489" s="165">
        <v>3</v>
      </c>
      <c r="E1489" s="165" t="s">
        <v>9731</v>
      </c>
      <c r="F1489" s="165" t="s">
        <v>5543</v>
      </c>
      <c r="G1489" s="165"/>
      <c r="H1489" s="165">
        <v>20475</v>
      </c>
      <c r="I1489" s="165"/>
      <c r="J1489" s="165"/>
      <c r="K1489" s="165"/>
      <c r="L1489" s="165">
        <v>20475</v>
      </c>
      <c r="M1489" s="165"/>
      <c r="N1489" s="165"/>
      <c r="O1489" s="337">
        <f>G1489+H1489+I1489-J1489-K1489-L1489</f>
        <v>0</v>
      </c>
      <c r="P1489" s="165" t="s">
        <v>8973</v>
      </c>
      <c r="Q1489" s="165" t="s">
        <v>5543</v>
      </c>
      <c r="R1489" s="3">
        <f t="shared" si="60"/>
        <v>20475</v>
      </c>
      <c r="S1489" s="337">
        <v>20475</v>
      </c>
      <c r="T1489"/>
      <c r="U1489" s="3"/>
      <c r="V1489" s="338"/>
    </row>
    <row r="1490" spans="1:22">
      <c r="A1490" s="165" t="s">
        <v>9726</v>
      </c>
      <c r="B1490" s="94">
        <v>1444</v>
      </c>
      <c r="C1490" s="165" t="s">
        <v>4201</v>
      </c>
      <c r="D1490" s="165">
        <v>4</v>
      </c>
      <c r="E1490" s="165" t="s">
        <v>9732</v>
      </c>
      <c r="F1490" s="165" t="s">
        <v>9739</v>
      </c>
      <c r="G1490" s="165"/>
      <c r="H1490" s="165">
        <v>20475</v>
      </c>
      <c r="I1490" s="165"/>
      <c r="J1490" s="165"/>
      <c r="K1490" s="165"/>
      <c r="L1490" s="165">
        <v>20475</v>
      </c>
      <c r="M1490" s="165"/>
      <c r="N1490" s="165"/>
      <c r="O1490" s="337">
        <f>G1490+H1490+I1490-J1490-K1490-L1490</f>
        <v>0</v>
      </c>
      <c r="P1490" s="165" t="s">
        <v>10960</v>
      </c>
      <c r="Q1490" s="165" t="s">
        <v>9739</v>
      </c>
      <c r="R1490" s="3">
        <f t="shared" si="60"/>
        <v>20475</v>
      </c>
      <c r="S1490" s="337">
        <v>20475</v>
      </c>
      <c r="T1490"/>
      <c r="U1490" s="3"/>
      <c r="V1490" s="338"/>
    </row>
    <row r="1491" spans="1:22">
      <c r="A1491" s="165" t="s">
        <v>9726</v>
      </c>
      <c r="B1491" s="94">
        <v>1445</v>
      </c>
      <c r="C1491" s="165" t="s">
        <v>4201</v>
      </c>
      <c r="D1491" s="165">
        <v>5</v>
      </c>
      <c r="E1491" s="165" t="s">
        <v>9733</v>
      </c>
      <c r="F1491" s="165" t="s">
        <v>9740</v>
      </c>
      <c r="G1491" s="165"/>
      <c r="H1491" s="165">
        <v>20475</v>
      </c>
      <c r="I1491" s="165"/>
      <c r="J1491" s="165"/>
      <c r="K1491" s="165"/>
      <c r="L1491" s="165">
        <v>20475</v>
      </c>
      <c r="M1491" s="165"/>
      <c r="N1491" s="165"/>
      <c r="O1491" s="337">
        <f t="shared" si="59"/>
        <v>0</v>
      </c>
      <c r="P1491" s="165" t="s">
        <v>11052</v>
      </c>
      <c r="Q1491" s="165" t="s">
        <v>11019</v>
      </c>
      <c r="R1491" s="3">
        <f t="shared" si="60"/>
        <v>20475</v>
      </c>
      <c r="S1491" s="337">
        <v>20475</v>
      </c>
      <c r="T1491"/>
      <c r="U1491" s="3"/>
      <c r="V1491" s="338"/>
    </row>
    <row r="1492" spans="1:22">
      <c r="A1492" s="165" t="s">
        <v>9726</v>
      </c>
      <c r="B1492" s="94">
        <v>1446</v>
      </c>
      <c r="C1492" s="165" t="s">
        <v>4201</v>
      </c>
      <c r="D1492" s="165">
        <v>6</v>
      </c>
      <c r="E1492" s="165" t="s">
        <v>9734</v>
      </c>
      <c r="F1492" s="165" t="s">
        <v>9741</v>
      </c>
      <c r="G1492" s="165"/>
      <c r="H1492" s="165">
        <v>20475</v>
      </c>
      <c r="I1492" s="165"/>
      <c r="J1492" s="165"/>
      <c r="K1492" s="165"/>
      <c r="L1492" s="165">
        <v>20475</v>
      </c>
      <c r="M1492" s="165"/>
      <c r="N1492" s="165"/>
      <c r="O1492" s="337">
        <f>G1492+H1492+I1492-J1492-K1492-L1492</f>
        <v>0</v>
      </c>
      <c r="P1492" s="165" t="s">
        <v>16119</v>
      </c>
      <c r="Q1492" s="165" t="s">
        <v>16120</v>
      </c>
      <c r="R1492" s="3">
        <f t="shared" si="60"/>
        <v>20475</v>
      </c>
      <c r="S1492" s="337">
        <v>20475</v>
      </c>
      <c r="T1492"/>
      <c r="U1492" s="3"/>
      <c r="V1492" s="338"/>
    </row>
    <row r="1493" spans="1:22">
      <c r="A1493" s="165" t="s">
        <v>9726</v>
      </c>
      <c r="B1493" s="94">
        <v>1447</v>
      </c>
      <c r="C1493" s="165" t="s">
        <v>4201</v>
      </c>
      <c r="D1493" s="165">
        <v>7</v>
      </c>
      <c r="E1493" s="165" t="s">
        <v>9735</v>
      </c>
      <c r="F1493" s="165" t="s">
        <v>9743</v>
      </c>
      <c r="G1493" s="165"/>
      <c r="H1493" s="165">
        <v>20475</v>
      </c>
      <c r="I1493" s="165"/>
      <c r="J1493" s="165"/>
      <c r="K1493" s="165"/>
      <c r="L1493" s="165">
        <v>20475</v>
      </c>
      <c r="M1493" s="165"/>
      <c r="N1493" s="165"/>
      <c r="O1493" s="337">
        <f>G1493+H1493+I1493-J1493-K1493-L1493</f>
        <v>0</v>
      </c>
      <c r="P1493" s="165" t="s">
        <v>16202</v>
      </c>
      <c r="Q1493" s="165" t="s">
        <v>16202</v>
      </c>
      <c r="R1493" s="3">
        <f t="shared" si="60"/>
        <v>20475</v>
      </c>
      <c r="S1493" s="337">
        <v>20475</v>
      </c>
      <c r="T1493"/>
      <c r="U1493" s="3"/>
      <c r="V1493" s="271" t="s">
        <v>2740</v>
      </c>
    </row>
    <row r="1494" spans="1:22">
      <c r="A1494" s="165" t="s">
        <v>9726</v>
      </c>
      <c r="B1494" s="94">
        <v>1448</v>
      </c>
      <c r="C1494" s="165" t="s">
        <v>4201</v>
      </c>
      <c r="D1494" s="165">
        <v>8</v>
      </c>
      <c r="E1494" s="165" t="s">
        <v>9736</v>
      </c>
      <c r="F1494" s="165" t="s">
        <v>9742</v>
      </c>
      <c r="G1494" s="165"/>
      <c r="H1494" s="165">
        <v>20475</v>
      </c>
      <c r="I1494" s="165"/>
      <c r="J1494" s="165"/>
      <c r="K1494" s="165"/>
      <c r="L1494" s="165">
        <v>20475</v>
      </c>
      <c r="M1494" s="165"/>
      <c r="N1494" s="165"/>
      <c r="O1494" s="337">
        <f t="shared" si="59"/>
        <v>0</v>
      </c>
      <c r="P1494" s="165" t="s">
        <v>16368</v>
      </c>
      <c r="Q1494" s="165" t="s">
        <v>16369</v>
      </c>
      <c r="R1494" s="3">
        <f t="shared" si="60"/>
        <v>20475</v>
      </c>
      <c r="S1494" s="337">
        <v>20475</v>
      </c>
      <c r="T1494"/>
      <c r="U1494" s="3"/>
      <c r="V1494" s="271" t="s">
        <v>2740</v>
      </c>
    </row>
    <row r="1495" spans="1:22">
      <c r="A1495" s="165" t="s">
        <v>9744</v>
      </c>
      <c r="B1495" s="94">
        <v>1449</v>
      </c>
      <c r="C1495" s="165" t="s">
        <v>4000</v>
      </c>
      <c r="D1495" s="165">
        <v>1</v>
      </c>
      <c r="E1495" s="165" t="s">
        <v>9779</v>
      </c>
      <c r="F1495" s="165" t="s">
        <v>5325</v>
      </c>
      <c r="G1495" s="165"/>
      <c r="H1495" s="165">
        <v>16380</v>
      </c>
      <c r="I1495" s="165"/>
      <c r="J1495" s="165"/>
      <c r="K1495" s="165"/>
      <c r="L1495" s="165">
        <v>16380</v>
      </c>
      <c r="M1495" s="165"/>
      <c r="N1495" s="165"/>
      <c r="O1495" s="337">
        <f t="shared" si="59"/>
        <v>0</v>
      </c>
      <c r="P1495" s="165" t="s">
        <v>5349</v>
      </c>
      <c r="Q1495" s="165" t="s">
        <v>5349</v>
      </c>
      <c r="R1495" s="3">
        <f t="shared" si="60"/>
        <v>16380</v>
      </c>
      <c r="S1495" s="337">
        <v>16380</v>
      </c>
      <c r="T1495"/>
      <c r="U1495" s="3"/>
      <c r="V1495" s="338"/>
    </row>
    <row r="1496" spans="1:22">
      <c r="A1496" s="165" t="s">
        <v>9744</v>
      </c>
      <c r="B1496" s="94">
        <v>1450</v>
      </c>
      <c r="C1496" s="165" t="s">
        <v>4000</v>
      </c>
      <c r="D1496" s="165">
        <v>2</v>
      </c>
      <c r="E1496" s="165" t="s">
        <v>9781</v>
      </c>
      <c r="F1496" s="165" t="s">
        <v>5542</v>
      </c>
      <c r="G1496" s="165"/>
      <c r="H1496" s="165">
        <v>16380</v>
      </c>
      <c r="I1496" s="165"/>
      <c r="J1496" s="165"/>
      <c r="K1496" s="165"/>
      <c r="L1496" s="165">
        <v>16380</v>
      </c>
      <c r="M1496" s="165"/>
      <c r="N1496" s="165"/>
      <c r="O1496" s="337">
        <f t="shared" si="59"/>
        <v>0</v>
      </c>
      <c r="P1496" s="165" t="s">
        <v>10819</v>
      </c>
      <c r="Q1496" s="165" t="s">
        <v>5542</v>
      </c>
      <c r="R1496" s="3">
        <f t="shared" si="60"/>
        <v>16380</v>
      </c>
      <c r="S1496" s="337">
        <v>16380</v>
      </c>
      <c r="T1496"/>
      <c r="U1496" s="3"/>
      <c r="V1496" s="338"/>
    </row>
    <row r="1497" spans="1:22">
      <c r="A1497" s="165" t="s">
        <v>9744</v>
      </c>
      <c r="B1497" s="94">
        <v>1451</v>
      </c>
      <c r="C1497" s="165" t="s">
        <v>4000</v>
      </c>
      <c r="D1497" s="165">
        <v>3</v>
      </c>
      <c r="E1497" s="165" t="s">
        <v>9782</v>
      </c>
      <c r="F1497" s="165" t="s">
        <v>5543</v>
      </c>
      <c r="G1497" s="165"/>
      <c r="H1497" s="165">
        <v>16380</v>
      </c>
      <c r="I1497" s="165"/>
      <c r="J1497" s="165"/>
      <c r="K1497" s="165"/>
      <c r="L1497" s="165">
        <v>16380</v>
      </c>
      <c r="M1497" s="165"/>
      <c r="N1497" s="165"/>
      <c r="O1497" s="337">
        <f t="shared" si="59"/>
        <v>0</v>
      </c>
      <c r="P1497" s="165" t="s">
        <v>8973</v>
      </c>
      <c r="Q1497" s="165" t="s">
        <v>9738</v>
      </c>
      <c r="R1497" s="3">
        <f t="shared" si="60"/>
        <v>16380</v>
      </c>
      <c r="S1497" s="337">
        <v>16380</v>
      </c>
      <c r="T1497"/>
      <c r="U1497" s="3"/>
      <c r="V1497" s="338"/>
    </row>
    <row r="1498" spans="1:22">
      <c r="A1498" s="165" t="s">
        <v>9744</v>
      </c>
      <c r="B1498" s="94">
        <v>1452</v>
      </c>
      <c r="C1498" s="165" t="s">
        <v>4000</v>
      </c>
      <c r="D1498" s="165">
        <v>4</v>
      </c>
      <c r="E1498" s="165" t="s">
        <v>9783</v>
      </c>
      <c r="F1498" s="165" t="s">
        <v>9739</v>
      </c>
      <c r="G1498" s="165"/>
      <c r="H1498" s="165">
        <v>16380</v>
      </c>
      <c r="I1498" s="165"/>
      <c r="J1498" s="165"/>
      <c r="K1498" s="165"/>
      <c r="L1498" s="165">
        <v>16380</v>
      </c>
      <c r="M1498" s="165"/>
      <c r="N1498" s="165"/>
      <c r="O1498" s="337">
        <f t="shared" si="59"/>
        <v>0</v>
      </c>
      <c r="P1498" s="165" t="s">
        <v>10960</v>
      </c>
      <c r="Q1498" s="165" t="s">
        <v>9739</v>
      </c>
      <c r="R1498" s="3">
        <f t="shared" si="60"/>
        <v>16380</v>
      </c>
      <c r="S1498" s="337">
        <v>16380</v>
      </c>
      <c r="T1498"/>
      <c r="U1498" s="3"/>
      <c r="V1498" s="338"/>
    </row>
    <row r="1499" spans="1:22">
      <c r="A1499" s="165" t="s">
        <v>9744</v>
      </c>
      <c r="B1499" s="94">
        <v>1453</v>
      </c>
      <c r="C1499" s="165" t="s">
        <v>4000</v>
      </c>
      <c r="D1499" s="165">
        <v>5</v>
      </c>
      <c r="E1499" s="165" t="s">
        <v>9784</v>
      </c>
      <c r="F1499" s="165" t="s">
        <v>9740</v>
      </c>
      <c r="G1499" s="165"/>
      <c r="H1499" s="165">
        <v>16380</v>
      </c>
      <c r="I1499" s="165"/>
      <c r="J1499" s="165"/>
      <c r="K1499" s="165"/>
      <c r="L1499" s="165">
        <v>16380</v>
      </c>
      <c r="M1499" s="165"/>
      <c r="N1499" s="165"/>
      <c r="O1499" s="337">
        <f t="shared" si="59"/>
        <v>0</v>
      </c>
      <c r="P1499" s="165" t="s">
        <v>11052</v>
      </c>
      <c r="Q1499" s="165" t="s">
        <v>9740</v>
      </c>
      <c r="R1499" s="3">
        <f t="shared" si="60"/>
        <v>16380</v>
      </c>
      <c r="S1499" s="337">
        <v>16380</v>
      </c>
      <c r="T1499"/>
      <c r="U1499" s="3"/>
      <c r="V1499" s="338"/>
    </row>
    <row r="1500" spans="1:22">
      <c r="A1500" s="165" t="s">
        <v>9744</v>
      </c>
      <c r="B1500" s="94">
        <v>1454</v>
      </c>
      <c r="C1500" s="165" t="s">
        <v>4000</v>
      </c>
      <c r="D1500" s="165">
        <v>6</v>
      </c>
      <c r="E1500" s="165" t="s">
        <v>9785</v>
      </c>
      <c r="F1500" s="165" t="s">
        <v>9741</v>
      </c>
      <c r="G1500" s="165"/>
      <c r="H1500" s="165">
        <v>16380</v>
      </c>
      <c r="I1500" s="165"/>
      <c r="J1500" s="165"/>
      <c r="K1500" s="165"/>
      <c r="L1500" s="165">
        <v>16380</v>
      </c>
      <c r="M1500" s="165"/>
      <c r="N1500" s="165"/>
      <c r="O1500" s="337">
        <f t="shared" si="59"/>
        <v>0</v>
      </c>
      <c r="P1500" s="165" t="s">
        <v>16122</v>
      </c>
      <c r="Q1500" s="165" t="s">
        <v>16123</v>
      </c>
      <c r="R1500" s="3">
        <f t="shared" si="60"/>
        <v>16380</v>
      </c>
      <c r="S1500" s="337">
        <v>16380</v>
      </c>
      <c r="T1500"/>
      <c r="U1500" s="3"/>
      <c r="V1500" s="338"/>
    </row>
    <row r="1501" spans="1:22">
      <c r="A1501" s="165" t="s">
        <v>9744</v>
      </c>
      <c r="B1501" s="94">
        <v>1455</v>
      </c>
      <c r="C1501" s="165" t="s">
        <v>4000</v>
      </c>
      <c r="D1501" s="165">
        <v>7</v>
      </c>
      <c r="E1501" s="165" t="s">
        <v>9786</v>
      </c>
      <c r="F1501" s="165" t="s">
        <v>9743</v>
      </c>
      <c r="G1501" s="165"/>
      <c r="H1501" s="165">
        <v>16380</v>
      </c>
      <c r="I1501" s="165"/>
      <c r="J1501" s="165"/>
      <c r="K1501" s="165"/>
      <c r="L1501" s="165">
        <v>16380</v>
      </c>
      <c r="M1501" s="165"/>
      <c r="N1501" s="165"/>
      <c r="O1501" s="337">
        <f t="shared" si="59"/>
        <v>0</v>
      </c>
      <c r="P1501" s="165" t="s">
        <v>16202</v>
      </c>
      <c r="Q1501" s="165" t="s">
        <v>16202</v>
      </c>
      <c r="R1501" s="3">
        <f t="shared" si="60"/>
        <v>16380</v>
      </c>
      <c r="S1501" s="337">
        <v>16380</v>
      </c>
      <c r="T1501"/>
      <c r="U1501" s="3"/>
      <c r="V1501" s="271" t="s">
        <v>2740</v>
      </c>
    </row>
    <row r="1502" spans="1:22">
      <c r="A1502" s="165" t="s">
        <v>9744</v>
      </c>
      <c r="B1502" s="94">
        <v>1456</v>
      </c>
      <c r="C1502" s="165" t="s">
        <v>4000</v>
      </c>
      <c r="D1502" s="165">
        <v>8</v>
      </c>
      <c r="E1502" s="165" t="s">
        <v>9787</v>
      </c>
      <c r="F1502" s="165" t="s">
        <v>9742</v>
      </c>
      <c r="G1502" s="165"/>
      <c r="H1502" s="165">
        <v>16380</v>
      </c>
      <c r="I1502" s="165"/>
      <c r="J1502" s="165"/>
      <c r="K1502" s="165"/>
      <c r="L1502" s="165">
        <v>16380</v>
      </c>
      <c r="M1502" s="165"/>
      <c r="N1502" s="165"/>
      <c r="O1502" s="337">
        <f t="shared" si="59"/>
        <v>0</v>
      </c>
      <c r="P1502" s="165" t="s">
        <v>16371</v>
      </c>
      <c r="Q1502" s="165" t="s">
        <v>16372</v>
      </c>
      <c r="R1502" s="3">
        <f t="shared" si="60"/>
        <v>16380</v>
      </c>
      <c r="S1502" s="337">
        <v>16380</v>
      </c>
      <c r="T1502"/>
      <c r="U1502" s="3"/>
      <c r="V1502" s="271" t="s">
        <v>2740</v>
      </c>
    </row>
    <row r="1503" spans="1:22">
      <c r="A1503" s="165" t="s">
        <v>9744</v>
      </c>
      <c r="B1503" s="94">
        <v>1457</v>
      </c>
      <c r="C1503" s="165" t="s">
        <v>4000</v>
      </c>
      <c r="D1503" s="165">
        <v>1</v>
      </c>
      <c r="E1503" s="165" t="s">
        <v>9790</v>
      </c>
      <c r="F1503" s="165" t="s">
        <v>5325</v>
      </c>
      <c r="G1503" s="165"/>
      <c r="H1503" s="165">
        <v>20475</v>
      </c>
      <c r="I1503" s="165"/>
      <c r="J1503" s="165"/>
      <c r="K1503" s="165"/>
      <c r="L1503" s="165">
        <v>20475</v>
      </c>
      <c r="M1503" s="165"/>
      <c r="N1503" s="165"/>
      <c r="O1503" s="337">
        <f t="shared" si="59"/>
        <v>0</v>
      </c>
      <c r="P1503" s="165" t="s">
        <v>5349</v>
      </c>
      <c r="Q1503" s="165" t="s">
        <v>5349</v>
      </c>
      <c r="R1503" s="3">
        <f t="shared" si="60"/>
        <v>20475</v>
      </c>
      <c r="S1503" s="337">
        <v>20475</v>
      </c>
      <c r="T1503"/>
      <c r="U1503" s="3"/>
      <c r="V1503" s="338"/>
    </row>
    <row r="1504" spans="1:22">
      <c r="A1504" s="165" t="s">
        <v>9744</v>
      </c>
      <c r="B1504" s="94">
        <v>1458</v>
      </c>
      <c r="C1504" s="165" t="s">
        <v>4000</v>
      </c>
      <c r="D1504" s="165">
        <v>2</v>
      </c>
      <c r="E1504" s="165" t="s">
        <v>9791</v>
      </c>
      <c r="F1504" s="165" t="s">
        <v>5542</v>
      </c>
      <c r="G1504" s="165"/>
      <c r="H1504" s="165">
        <v>20475</v>
      </c>
      <c r="I1504" s="165"/>
      <c r="J1504" s="165"/>
      <c r="K1504" s="165"/>
      <c r="L1504" s="165">
        <v>20475</v>
      </c>
      <c r="M1504" s="165"/>
      <c r="N1504" s="165"/>
      <c r="O1504" s="337">
        <f t="shared" si="59"/>
        <v>0</v>
      </c>
      <c r="P1504" s="165" t="s">
        <v>10819</v>
      </c>
      <c r="Q1504" s="165" t="s">
        <v>5542</v>
      </c>
      <c r="R1504" s="3">
        <f t="shared" si="60"/>
        <v>20475</v>
      </c>
      <c r="S1504" s="337">
        <v>20475</v>
      </c>
      <c r="T1504"/>
      <c r="U1504" s="3"/>
      <c r="V1504" s="338"/>
    </row>
    <row r="1505" spans="1:23">
      <c r="A1505" s="165" t="s">
        <v>9744</v>
      </c>
      <c r="B1505" s="94">
        <v>1459</v>
      </c>
      <c r="C1505" s="165" t="s">
        <v>4000</v>
      </c>
      <c r="D1505" s="165">
        <v>3</v>
      </c>
      <c r="E1505" s="165" t="s">
        <v>9792</v>
      </c>
      <c r="F1505" s="165" t="s">
        <v>5543</v>
      </c>
      <c r="G1505" s="165"/>
      <c r="H1505" s="165">
        <v>20475</v>
      </c>
      <c r="I1505" s="165"/>
      <c r="J1505" s="165"/>
      <c r="K1505" s="165"/>
      <c r="L1505" s="165">
        <v>20475</v>
      </c>
      <c r="M1505" s="165"/>
      <c r="N1505" s="165"/>
      <c r="O1505" s="337">
        <f t="shared" si="59"/>
        <v>0</v>
      </c>
      <c r="P1505" s="165" t="s">
        <v>8973</v>
      </c>
      <c r="Q1505" s="165" t="s">
        <v>5543</v>
      </c>
      <c r="R1505" s="3">
        <f t="shared" si="60"/>
        <v>20475</v>
      </c>
      <c r="S1505" s="337">
        <v>20475</v>
      </c>
      <c r="T1505"/>
      <c r="U1505" s="3"/>
      <c r="V1505" s="338"/>
    </row>
    <row r="1506" spans="1:23">
      <c r="A1506" s="165" t="s">
        <v>9744</v>
      </c>
      <c r="B1506" s="94">
        <v>1460</v>
      </c>
      <c r="C1506" s="165" t="s">
        <v>4000</v>
      </c>
      <c r="D1506" s="165">
        <v>4</v>
      </c>
      <c r="E1506" s="165" t="s">
        <v>9793</v>
      </c>
      <c r="F1506" s="165" t="s">
        <v>9739</v>
      </c>
      <c r="G1506" s="165"/>
      <c r="H1506" s="165">
        <v>20475</v>
      </c>
      <c r="I1506" s="165"/>
      <c r="J1506" s="165"/>
      <c r="K1506" s="165"/>
      <c r="L1506" s="165">
        <v>20475</v>
      </c>
      <c r="M1506" s="165"/>
      <c r="N1506" s="165"/>
      <c r="O1506" s="337">
        <f t="shared" si="59"/>
        <v>0</v>
      </c>
      <c r="P1506" s="165" t="s">
        <v>10960</v>
      </c>
      <c r="Q1506" s="165" t="s">
        <v>9739</v>
      </c>
      <c r="R1506" s="3">
        <f t="shared" si="60"/>
        <v>20475</v>
      </c>
      <c r="S1506" s="337">
        <v>20475</v>
      </c>
      <c r="T1506"/>
      <c r="U1506" s="3"/>
      <c r="V1506" s="338"/>
    </row>
    <row r="1507" spans="1:23">
      <c r="A1507" s="165" t="s">
        <v>9744</v>
      </c>
      <c r="B1507" s="94">
        <v>1461</v>
      </c>
      <c r="C1507" s="165" t="s">
        <v>4000</v>
      </c>
      <c r="D1507" s="165">
        <v>5</v>
      </c>
      <c r="E1507" s="165" t="s">
        <v>9794</v>
      </c>
      <c r="F1507" s="165" t="s">
        <v>9740</v>
      </c>
      <c r="G1507" s="165"/>
      <c r="H1507" s="165">
        <v>20475</v>
      </c>
      <c r="I1507" s="165"/>
      <c r="J1507" s="165"/>
      <c r="K1507" s="165"/>
      <c r="L1507" s="165">
        <v>20475</v>
      </c>
      <c r="M1507" s="165"/>
      <c r="N1507" s="165"/>
      <c r="O1507" s="337">
        <f>G1507+H1507+I1507-J1507-K1507-L1507</f>
        <v>0</v>
      </c>
      <c r="P1507" s="165" t="s">
        <v>9740</v>
      </c>
      <c r="Q1507" s="165" t="s">
        <v>9740</v>
      </c>
      <c r="R1507" s="3">
        <f t="shared" si="60"/>
        <v>20475</v>
      </c>
      <c r="S1507" s="337">
        <v>20475</v>
      </c>
      <c r="T1507"/>
      <c r="U1507" s="3"/>
      <c r="V1507" s="338"/>
    </row>
    <row r="1508" spans="1:23">
      <c r="A1508" s="165" t="s">
        <v>9744</v>
      </c>
      <c r="B1508" s="94">
        <v>1462</v>
      </c>
      <c r="C1508" s="165" t="s">
        <v>4000</v>
      </c>
      <c r="D1508" s="165">
        <v>6</v>
      </c>
      <c r="E1508" s="165" t="s">
        <v>9795</v>
      </c>
      <c r="F1508" s="165" t="s">
        <v>9741</v>
      </c>
      <c r="G1508" s="165"/>
      <c r="H1508" s="165">
        <v>20475</v>
      </c>
      <c r="I1508" s="165"/>
      <c r="J1508" s="165"/>
      <c r="K1508" s="165"/>
      <c r="L1508" s="165">
        <v>20475</v>
      </c>
      <c r="M1508" s="165"/>
      <c r="N1508" s="165"/>
      <c r="O1508" s="337">
        <f>G1508+H1508+I1508-J1508-K1508-L1508</f>
        <v>0</v>
      </c>
      <c r="P1508" s="165" t="s">
        <v>16118</v>
      </c>
      <c r="Q1508" s="165" t="s">
        <v>16121</v>
      </c>
      <c r="R1508" s="3">
        <f t="shared" si="60"/>
        <v>20475</v>
      </c>
      <c r="S1508" s="337">
        <v>20475</v>
      </c>
      <c r="T1508"/>
      <c r="U1508" s="3"/>
      <c r="V1508" s="338"/>
    </row>
    <row r="1509" spans="1:23">
      <c r="A1509" s="165" t="s">
        <v>9744</v>
      </c>
      <c r="B1509" s="94">
        <v>1463</v>
      </c>
      <c r="C1509" s="165" t="s">
        <v>4000</v>
      </c>
      <c r="D1509" s="165">
        <v>7</v>
      </c>
      <c r="E1509" s="165" t="s">
        <v>9796</v>
      </c>
      <c r="F1509" s="165" t="s">
        <v>9743</v>
      </c>
      <c r="G1509" s="165"/>
      <c r="H1509" s="165">
        <v>20475</v>
      </c>
      <c r="I1509" s="165"/>
      <c r="J1509" s="165"/>
      <c r="K1509" s="165"/>
      <c r="L1509" s="165">
        <v>20475</v>
      </c>
      <c r="M1509" s="165"/>
      <c r="N1509" s="165"/>
      <c r="O1509" s="337">
        <f>G1509+H1509+I1509-J1509-K1509-L1509</f>
        <v>0</v>
      </c>
      <c r="P1509" s="165" t="s">
        <v>16205</v>
      </c>
      <c r="Q1509" s="165" t="s">
        <v>16206</v>
      </c>
      <c r="R1509" s="3">
        <f t="shared" si="60"/>
        <v>20475</v>
      </c>
      <c r="S1509" s="337">
        <v>20475</v>
      </c>
      <c r="T1509"/>
      <c r="U1509" s="3"/>
      <c r="V1509" s="271" t="s">
        <v>2740</v>
      </c>
    </row>
    <row r="1510" spans="1:23">
      <c r="A1510" s="165" t="s">
        <v>9744</v>
      </c>
      <c r="B1510" s="94">
        <v>1464</v>
      </c>
      <c r="C1510" s="165" t="s">
        <v>4000</v>
      </c>
      <c r="D1510" s="165">
        <v>8</v>
      </c>
      <c r="E1510" s="165" t="s">
        <v>9797</v>
      </c>
      <c r="F1510" s="165" t="s">
        <v>9742</v>
      </c>
      <c r="G1510" s="165"/>
      <c r="H1510" s="165">
        <v>20475</v>
      </c>
      <c r="I1510" s="165"/>
      <c r="J1510" s="165"/>
      <c r="K1510" s="165"/>
      <c r="L1510" s="165">
        <v>20475</v>
      </c>
      <c r="M1510" s="165"/>
      <c r="N1510" s="165"/>
      <c r="O1510" s="337">
        <f>G1510+H1510+I1510-J1510-K1510-L1510</f>
        <v>0</v>
      </c>
      <c r="P1510" s="165" t="s">
        <v>16366</v>
      </c>
      <c r="Q1510" s="165" t="s">
        <v>16370</v>
      </c>
      <c r="R1510" s="3">
        <f t="shared" si="60"/>
        <v>20475</v>
      </c>
      <c r="S1510" s="337">
        <v>20475</v>
      </c>
      <c r="T1510"/>
      <c r="U1510" s="3"/>
      <c r="V1510" s="271" t="s">
        <v>2740</v>
      </c>
    </row>
    <row r="1511" spans="1:23">
      <c r="A1511" s="165" t="s">
        <v>9744</v>
      </c>
      <c r="B1511" s="94">
        <v>1465</v>
      </c>
      <c r="C1511" s="165" t="s">
        <v>4000</v>
      </c>
      <c r="D1511" s="165"/>
      <c r="E1511" s="165" t="s">
        <v>9929</v>
      </c>
      <c r="F1511" s="165" t="s">
        <v>5349</v>
      </c>
      <c r="G1511" s="165"/>
      <c r="H1511" s="165">
        <v>119700</v>
      </c>
      <c r="I1511" s="165"/>
      <c r="J1511" s="165"/>
      <c r="K1511" s="165"/>
      <c r="L1511" s="165">
        <v>119700</v>
      </c>
      <c r="M1511" s="165"/>
      <c r="N1511" s="165"/>
      <c r="O1511" s="337">
        <f>G1511+H1511+I1511-J1511-K1511-L1511</f>
        <v>0</v>
      </c>
      <c r="P1511" s="165" t="s">
        <v>5349</v>
      </c>
      <c r="Q1511" s="165" t="s">
        <v>5349</v>
      </c>
      <c r="R1511" s="3">
        <f>G1511+H1511+I1511</f>
        <v>119700</v>
      </c>
      <c r="S1511" s="337">
        <v>119700</v>
      </c>
      <c r="T1511"/>
      <c r="U1511" s="3"/>
      <c r="V1511" s="338"/>
      <c r="W1511" t="s">
        <v>9930</v>
      </c>
    </row>
    <row r="1512" spans="1:23">
      <c r="A1512" s="165"/>
      <c r="B1512" s="94"/>
      <c r="C1512" s="165"/>
      <c r="D1512" s="165"/>
      <c r="E1512" s="165"/>
      <c r="F1512" s="165"/>
      <c r="G1512" s="165"/>
      <c r="H1512" s="165"/>
      <c r="I1512" s="165"/>
      <c r="J1512" s="165"/>
      <c r="K1512" s="165"/>
      <c r="L1512" s="165"/>
      <c r="M1512" s="165"/>
      <c r="N1512" s="165"/>
      <c r="O1512" s="165"/>
      <c r="P1512" s="165"/>
      <c r="R1512" s="165"/>
      <c r="U1512" s="338"/>
    </row>
    <row r="1513" spans="1:23">
      <c r="A1513" s="165"/>
      <c r="B1513" s="94"/>
      <c r="C1513" s="165"/>
      <c r="D1513" s="165"/>
      <c r="E1513" s="165"/>
      <c r="F1513" s="165"/>
      <c r="G1513" s="165"/>
      <c r="H1513" s="165"/>
      <c r="I1513" s="165"/>
      <c r="J1513" s="165"/>
      <c r="K1513" s="165"/>
      <c r="L1513" s="165"/>
      <c r="M1513" s="165"/>
      <c r="N1513" s="165"/>
      <c r="O1513" s="165"/>
      <c r="P1513" s="165"/>
      <c r="R1513" s="165"/>
      <c r="U1513" s="338"/>
    </row>
    <row r="1514" spans="1:23">
      <c r="A1514" s="165"/>
      <c r="B1514" s="94"/>
      <c r="C1514" s="165"/>
      <c r="D1514" s="165"/>
      <c r="E1514" s="165"/>
      <c r="F1514" s="165"/>
      <c r="G1514" s="165"/>
      <c r="H1514" s="165"/>
      <c r="I1514" s="165"/>
      <c r="J1514" s="165"/>
      <c r="K1514" s="165"/>
      <c r="L1514" s="165">
        <f>H1515+I1515-L1515</f>
        <v>197145</v>
      </c>
      <c r="M1514" s="165"/>
      <c r="N1514" s="165"/>
      <c r="O1514" s="165"/>
      <c r="P1514" s="165"/>
      <c r="R1514" s="165"/>
      <c r="U1514" s="338"/>
    </row>
    <row r="1515" spans="1:23" s="176" customFormat="1" ht="20.25" customHeight="1">
      <c r="A1515" s="203" t="s">
        <v>10753</v>
      </c>
      <c r="B1515" s="200"/>
      <c r="C1515" s="201"/>
      <c r="D1515" s="202"/>
      <c r="E1515" s="201"/>
      <c r="F1515" s="185" t="s">
        <v>2378</v>
      </c>
      <c r="G1515" s="185">
        <f t="shared" ref="G1515:O1515" si="61">SUM(G1517:G1654)</f>
        <v>0</v>
      </c>
      <c r="H1515" s="185">
        <f t="shared" si="61"/>
        <v>1710600</v>
      </c>
      <c r="I1515" s="185">
        <f t="shared" si="61"/>
        <v>20475</v>
      </c>
      <c r="J1515" s="185">
        <f t="shared" si="61"/>
        <v>0</v>
      </c>
      <c r="K1515" s="185">
        <f t="shared" si="61"/>
        <v>0</v>
      </c>
      <c r="L1515" s="185">
        <f t="shared" si="61"/>
        <v>1533930</v>
      </c>
      <c r="M1515" s="185">
        <f t="shared" si="61"/>
        <v>197145</v>
      </c>
      <c r="N1515" s="185">
        <f t="shared" si="61"/>
        <v>0</v>
      </c>
      <c r="O1515" s="185">
        <f t="shared" si="61"/>
        <v>197145</v>
      </c>
      <c r="P1515" s="185"/>
      <c r="Q1515" s="185"/>
      <c r="R1515" s="185">
        <f>SUM(R1517:R1654)</f>
        <v>2514450</v>
      </c>
      <c r="S1515" s="185">
        <f>SUM(S1517:S1654)</f>
        <v>2337555</v>
      </c>
      <c r="T1515" s="185">
        <f>SUM(T1517:T1654)</f>
        <v>803625</v>
      </c>
      <c r="U1515" s="832">
        <f>SUM(U1517:U1654)</f>
        <v>225</v>
      </c>
    </row>
    <row r="1516" spans="1:23" s="270" customFormat="1">
      <c r="A1516" s="269" t="s">
        <v>1281</v>
      </c>
      <c r="B1516" s="269" t="s">
        <v>2435</v>
      </c>
      <c r="C1516" s="269" t="s">
        <v>1385</v>
      </c>
      <c r="D1516" s="269" t="s">
        <v>1275</v>
      </c>
      <c r="E1516" s="269" t="s">
        <v>265</v>
      </c>
      <c r="F1516" s="269" t="s">
        <v>1280</v>
      </c>
      <c r="G1516" s="269" t="s">
        <v>15202</v>
      </c>
      <c r="H1516" s="269" t="s">
        <v>4468</v>
      </c>
      <c r="I1516" s="269" t="s">
        <v>4447</v>
      </c>
      <c r="J1516" s="269" t="s">
        <v>4471</v>
      </c>
      <c r="K1516" s="269" t="s">
        <v>9596</v>
      </c>
      <c r="L1516" s="269" t="s">
        <v>10754</v>
      </c>
      <c r="M1516" s="269" t="s">
        <v>4841</v>
      </c>
      <c r="N1516" s="269" t="s">
        <v>3728</v>
      </c>
      <c r="O1516" s="269" t="s">
        <v>2438</v>
      </c>
      <c r="P1516" s="269" t="s">
        <v>1282</v>
      </c>
      <c r="Q1516" s="269" t="s">
        <v>1386</v>
      </c>
      <c r="R1516" s="269" t="s">
        <v>576</v>
      </c>
      <c r="S1516" s="269" t="s">
        <v>3593</v>
      </c>
      <c r="T1516" s="269" t="s">
        <v>1283</v>
      </c>
      <c r="U1516" s="269" t="s">
        <v>577</v>
      </c>
    </row>
    <row r="1517" spans="1:23" s="665" customFormat="1">
      <c r="A1517" s="670" t="s">
        <v>14737</v>
      </c>
      <c r="B1517" s="666"/>
      <c r="C1517" s="667" t="s">
        <v>456</v>
      </c>
      <c r="D1517" s="668">
        <v>5</v>
      </c>
      <c r="E1517" s="667" t="s">
        <v>5011</v>
      </c>
      <c r="F1517" s="665" t="s">
        <v>14737</v>
      </c>
      <c r="O1517" s="664">
        <f t="shared" ref="O1517" si="62">G1517+H1517+I1517+L1517-J1517-K1517</f>
        <v>0</v>
      </c>
      <c r="P1517" s="665" t="s">
        <v>14737</v>
      </c>
      <c r="Q1517" s="665" t="s">
        <v>14737</v>
      </c>
      <c r="R1517" s="667">
        <v>13230</v>
      </c>
      <c r="S1517" s="667">
        <v>13230</v>
      </c>
      <c r="T1517" s="667">
        <v>13230</v>
      </c>
      <c r="U1517" s="690">
        <f t="shared" ref="U1517:U1553" si="63">R1517-S1517</f>
        <v>0</v>
      </c>
    </row>
    <row r="1518" spans="1:23" s="665" customFormat="1">
      <c r="A1518" s="665" t="s">
        <v>9837</v>
      </c>
      <c r="B1518" s="666"/>
      <c r="C1518" s="667" t="s">
        <v>4094</v>
      </c>
      <c r="D1518" s="668">
        <v>22</v>
      </c>
      <c r="E1518" s="667" t="s">
        <v>5011</v>
      </c>
      <c r="F1518" s="665" t="s">
        <v>9837</v>
      </c>
      <c r="O1518" s="664">
        <f>G1518+H1518+I1518+L1518-J1518-K1518</f>
        <v>0</v>
      </c>
      <c r="P1518" s="665" t="str">
        <f t="shared" ref="P1518:P1553" si="64">F1518</f>
        <v>2019.01.10</v>
      </c>
      <c r="Q1518" s="665" t="str">
        <f>P1518</f>
        <v>2019.01.10</v>
      </c>
      <c r="R1518" s="688">
        <v>4410</v>
      </c>
      <c r="S1518" s="689">
        <v>4410</v>
      </c>
      <c r="T1518" s="689">
        <v>4410</v>
      </c>
      <c r="U1518" s="690">
        <f t="shared" si="63"/>
        <v>0</v>
      </c>
    </row>
    <row r="1519" spans="1:23" s="665" customFormat="1">
      <c r="A1519" s="665" t="s">
        <v>9837</v>
      </c>
      <c r="B1519" s="666"/>
      <c r="C1519" s="667" t="s">
        <v>10623</v>
      </c>
      <c r="D1519" s="668">
        <v>7</v>
      </c>
      <c r="E1519" s="667" t="s">
        <v>5011</v>
      </c>
      <c r="F1519" s="665" t="s">
        <v>9837</v>
      </c>
      <c r="O1519" s="664">
        <f>G1519+H1519+I1519-J1519-K1519-L1519</f>
        <v>0</v>
      </c>
      <c r="P1519" s="665" t="str">
        <f t="shared" si="64"/>
        <v>2019.01.10</v>
      </c>
      <c r="Q1519" s="665" t="str">
        <f>F1519</f>
        <v>2019.01.10</v>
      </c>
      <c r="R1519" s="688">
        <v>16380</v>
      </c>
      <c r="S1519" s="689">
        <v>16365</v>
      </c>
      <c r="T1519" s="689">
        <v>16365</v>
      </c>
      <c r="U1519" s="690">
        <f t="shared" si="63"/>
        <v>15</v>
      </c>
    </row>
    <row r="1520" spans="1:23" s="665" customFormat="1">
      <c r="A1520" s="665" t="s">
        <v>8885</v>
      </c>
      <c r="B1520" s="666"/>
      <c r="C1520" s="667" t="s">
        <v>4318</v>
      </c>
      <c r="D1520" s="668">
        <v>6</v>
      </c>
      <c r="E1520" s="667" t="s">
        <v>5011</v>
      </c>
      <c r="F1520" s="665" t="s">
        <v>8885</v>
      </c>
      <c r="O1520" s="664">
        <f t="shared" ref="O1520:O1526" si="65">G1520+H1520+I1520+L1520-J1520-K1520</f>
        <v>0</v>
      </c>
      <c r="P1520" s="665" t="str">
        <f t="shared" si="64"/>
        <v>2019.01.15</v>
      </c>
      <c r="Q1520" s="665" t="str">
        <f>F1520</f>
        <v>2019.01.15</v>
      </c>
      <c r="R1520" s="688">
        <v>13500</v>
      </c>
      <c r="S1520" s="689">
        <v>13485</v>
      </c>
      <c r="T1520" s="689">
        <v>13485</v>
      </c>
      <c r="U1520" s="690">
        <f t="shared" si="63"/>
        <v>15</v>
      </c>
    </row>
    <row r="1521" spans="1:21" s="665" customFormat="1">
      <c r="A1521" s="665" t="s">
        <v>5434</v>
      </c>
      <c r="B1521" s="666"/>
      <c r="C1521" s="667" t="s">
        <v>4094</v>
      </c>
      <c r="D1521" s="668">
        <v>23</v>
      </c>
      <c r="E1521" s="667" t="s">
        <v>5011</v>
      </c>
      <c r="F1521" s="665" t="s">
        <v>5434</v>
      </c>
      <c r="O1521" s="664">
        <f t="shared" si="65"/>
        <v>0</v>
      </c>
      <c r="P1521" s="665" t="str">
        <f t="shared" si="64"/>
        <v>2019.02.01</v>
      </c>
      <c r="Q1521" s="665" t="str">
        <f>P1521</f>
        <v>2019.02.01</v>
      </c>
      <c r="R1521" s="688">
        <v>4410</v>
      </c>
      <c r="S1521" s="689">
        <v>4410</v>
      </c>
      <c r="T1521" s="689">
        <v>4410</v>
      </c>
      <c r="U1521" s="690">
        <f t="shared" si="63"/>
        <v>0</v>
      </c>
    </row>
    <row r="1522" spans="1:21" s="665" customFormat="1">
      <c r="A1522" s="670" t="s">
        <v>8926</v>
      </c>
      <c r="B1522" s="666"/>
      <c r="C1522" s="667" t="s">
        <v>456</v>
      </c>
      <c r="D1522" s="668">
        <v>6</v>
      </c>
      <c r="E1522" s="667" t="s">
        <v>5011</v>
      </c>
      <c r="F1522" s="665" t="s">
        <v>8926</v>
      </c>
      <c r="O1522" s="664">
        <f t="shared" si="65"/>
        <v>0</v>
      </c>
      <c r="P1522" s="665" t="s">
        <v>8926</v>
      </c>
      <c r="Q1522" s="665" t="s">
        <v>8926</v>
      </c>
      <c r="R1522" s="667">
        <v>13230</v>
      </c>
      <c r="S1522" s="667">
        <v>13230</v>
      </c>
      <c r="T1522" s="667">
        <v>13230</v>
      </c>
      <c r="U1522" s="690">
        <f t="shared" si="63"/>
        <v>0</v>
      </c>
    </row>
    <row r="1523" spans="1:21" s="665" customFormat="1">
      <c r="A1523" s="665" t="s">
        <v>8926</v>
      </c>
      <c r="B1523" s="666"/>
      <c r="C1523" s="667" t="s">
        <v>4094</v>
      </c>
      <c r="D1523" s="668">
        <v>24</v>
      </c>
      <c r="E1523" s="667" t="s">
        <v>5011</v>
      </c>
      <c r="F1523" s="665" t="s">
        <v>8926</v>
      </c>
      <c r="O1523" s="664">
        <f t="shared" si="65"/>
        <v>0</v>
      </c>
      <c r="P1523" s="665" t="str">
        <f t="shared" si="64"/>
        <v>2019.03.12</v>
      </c>
      <c r="Q1523" s="665" t="str">
        <f>P1523</f>
        <v>2019.03.12</v>
      </c>
      <c r="R1523" s="688">
        <v>4410</v>
      </c>
      <c r="S1523" s="689">
        <v>4410</v>
      </c>
      <c r="T1523" s="689">
        <v>4410</v>
      </c>
      <c r="U1523" s="690">
        <f t="shared" si="63"/>
        <v>0</v>
      </c>
    </row>
    <row r="1524" spans="1:21" s="665" customFormat="1">
      <c r="A1524" s="665" t="s">
        <v>9906</v>
      </c>
      <c r="B1524" s="666"/>
      <c r="C1524" s="667" t="s">
        <v>10606</v>
      </c>
      <c r="D1524" s="671" t="s">
        <v>9597</v>
      </c>
      <c r="E1524" s="667" t="s">
        <v>5011</v>
      </c>
      <c r="F1524" s="665" t="s">
        <v>5485</v>
      </c>
      <c r="O1524" s="664">
        <f t="shared" si="65"/>
        <v>0</v>
      </c>
      <c r="P1524" s="665" t="str">
        <f t="shared" si="64"/>
        <v>2019.03.15</v>
      </c>
      <c r="Q1524" s="665" t="str">
        <f>P1524</f>
        <v>2019.03.15</v>
      </c>
      <c r="R1524" s="688">
        <v>63000</v>
      </c>
      <c r="S1524" s="689">
        <v>63000</v>
      </c>
      <c r="T1524" s="689">
        <v>63000</v>
      </c>
      <c r="U1524" s="690">
        <f t="shared" si="63"/>
        <v>0</v>
      </c>
    </row>
    <row r="1525" spans="1:21" s="665" customFormat="1">
      <c r="A1525" s="665" t="s">
        <v>5485</v>
      </c>
      <c r="B1525" s="666"/>
      <c r="C1525" s="667" t="s">
        <v>4339</v>
      </c>
      <c r="D1525" s="668">
        <v>8</v>
      </c>
      <c r="E1525" s="667" t="s">
        <v>5011</v>
      </c>
      <c r="F1525" s="665" t="s">
        <v>5485</v>
      </c>
      <c r="O1525" s="664">
        <f t="shared" si="65"/>
        <v>0</v>
      </c>
      <c r="P1525" s="665" t="str">
        <f t="shared" si="64"/>
        <v>2019.03.15</v>
      </c>
      <c r="Q1525" s="665" t="str">
        <f>P1525</f>
        <v>2019.03.15</v>
      </c>
      <c r="R1525" s="688">
        <v>14175</v>
      </c>
      <c r="S1525" s="689">
        <v>14165</v>
      </c>
      <c r="T1525" s="689">
        <v>14165</v>
      </c>
      <c r="U1525" s="690">
        <f t="shared" si="63"/>
        <v>10</v>
      </c>
    </row>
    <row r="1526" spans="1:21" s="665" customFormat="1">
      <c r="A1526" s="665" t="s">
        <v>5577</v>
      </c>
      <c r="B1526" s="666"/>
      <c r="C1526" s="667" t="s">
        <v>447</v>
      </c>
      <c r="D1526" s="668">
        <v>3</v>
      </c>
      <c r="E1526" s="667" t="s">
        <v>5011</v>
      </c>
      <c r="F1526" s="665" t="s">
        <v>5577</v>
      </c>
      <c r="O1526" s="664">
        <f t="shared" si="65"/>
        <v>0</v>
      </c>
      <c r="P1526" s="665" t="str">
        <f t="shared" si="64"/>
        <v>2019.03.25</v>
      </c>
      <c r="Q1526" s="665" t="str">
        <f>P1526</f>
        <v>2019.03.25</v>
      </c>
      <c r="R1526" s="688">
        <v>14175</v>
      </c>
      <c r="S1526" s="689">
        <v>14165</v>
      </c>
      <c r="T1526" s="689">
        <v>14165</v>
      </c>
      <c r="U1526" s="690">
        <f t="shared" si="63"/>
        <v>10</v>
      </c>
    </row>
    <row r="1527" spans="1:21" s="665" customFormat="1">
      <c r="A1527" s="665" t="s">
        <v>8949</v>
      </c>
      <c r="B1527" s="666"/>
      <c r="C1527" s="667" t="s">
        <v>10623</v>
      </c>
      <c r="D1527" s="668">
        <v>8</v>
      </c>
      <c r="E1527" s="667" t="s">
        <v>5011</v>
      </c>
      <c r="F1527" s="665" t="s">
        <v>8949</v>
      </c>
      <c r="O1527" s="664">
        <f>G1527+H1527+I1527-J1527-K1527-L1527</f>
        <v>0</v>
      </c>
      <c r="P1527" s="665" t="str">
        <f t="shared" si="64"/>
        <v>2019.04.10</v>
      </c>
      <c r="Q1527" s="665" t="str">
        <f>F1527</f>
        <v>2019.04.10</v>
      </c>
      <c r="R1527" s="688">
        <v>16380</v>
      </c>
      <c r="S1527" s="689">
        <v>16365</v>
      </c>
      <c r="T1527" s="689">
        <v>16365</v>
      </c>
      <c r="U1527" s="690">
        <f t="shared" si="63"/>
        <v>15</v>
      </c>
    </row>
    <row r="1528" spans="1:21" s="665" customFormat="1">
      <c r="A1528" s="665" t="s">
        <v>8949</v>
      </c>
      <c r="B1528" s="666"/>
      <c r="C1528" s="667" t="s">
        <v>4094</v>
      </c>
      <c r="D1528" s="668">
        <v>1</v>
      </c>
      <c r="E1528" s="667" t="s">
        <v>5011</v>
      </c>
      <c r="F1528" s="665" t="s">
        <v>8949</v>
      </c>
      <c r="O1528" s="664">
        <f t="shared" ref="O1528:O1535" si="66">G1528+H1528+I1528+L1528-J1528-K1528</f>
        <v>0</v>
      </c>
      <c r="P1528" s="665" t="str">
        <f t="shared" si="64"/>
        <v>2019.04.10</v>
      </c>
      <c r="Q1528" s="665" t="str">
        <f>P1528</f>
        <v>2019.04.10</v>
      </c>
      <c r="R1528" s="688">
        <v>4410</v>
      </c>
      <c r="S1528" s="689">
        <v>4410</v>
      </c>
      <c r="T1528" s="689">
        <v>4410</v>
      </c>
      <c r="U1528" s="690">
        <f t="shared" si="63"/>
        <v>0</v>
      </c>
    </row>
    <row r="1529" spans="1:21" s="665" customFormat="1">
      <c r="A1529" s="665" t="s">
        <v>10765</v>
      </c>
      <c r="B1529" s="666"/>
      <c r="C1529" s="667" t="s">
        <v>4094</v>
      </c>
      <c r="D1529" s="668">
        <v>2</v>
      </c>
      <c r="E1529" s="667" t="s">
        <v>5011</v>
      </c>
      <c r="F1529" s="665" t="s">
        <v>10765</v>
      </c>
      <c r="O1529" s="664">
        <f t="shared" si="66"/>
        <v>0</v>
      </c>
      <c r="P1529" s="665" t="str">
        <f t="shared" si="64"/>
        <v>2019.05.15</v>
      </c>
      <c r="Q1529" s="665" t="str">
        <f>P1529</f>
        <v>2019.05.15</v>
      </c>
      <c r="R1529" s="688">
        <v>4410</v>
      </c>
      <c r="S1529" s="689">
        <v>4410</v>
      </c>
      <c r="T1529" s="689">
        <v>4410</v>
      </c>
      <c r="U1529" s="690">
        <f t="shared" si="63"/>
        <v>0</v>
      </c>
    </row>
    <row r="1530" spans="1:21" s="665" customFormat="1">
      <c r="A1530" s="665" t="s">
        <v>10765</v>
      </c>
      <c r="B1530" s="666"/>
      <c r="C1530" s="667" t="s">
        <v>4318</v>
      </c>
      <c r="D1530" s="668">
        <v>7</v>
      </c>
      <c r="E1530" s="667" t="s">
        <v>5011</v>
      </c>
      <c r="F1530" s="665" t="s">
        <v>10765</v>
      </c>
      <c r="O1530" s="664">
        <f t="shared" si="66"/>
        <v>0</v>
      </c>
      <c r="P1530" s="665" t="str">
        <f t="shared" si="64"/>
        <v>2019.05.15</v>
      </c>
      <c r="Q1530" s="665" t="str">
        <f>F1530</f>
        <v>2019.05.15</v>
      </c>
      <c r="R1530" s="688">
        <v>13500</v>
      </c>
      <c r="S1530" s="689">
        <v>13485</v>
      </c>
      <c r="T1530" s="689">
        <v>13485</v>
      </c>
      <c r="U1530" s="690">
        <f t="shared" si="63"/>
        <v>15</v>
      </c>
    </row>
    <row r="1531" spans="1:21" s="665" customFormat="1">
      <c r="A1531" s="665" t="s">
        <v>10769</v>
      </c>
      <c r="B1531" s="666"/>
      <c r="C1531" s="667" t="s">
        <v>4094</v>
      </c>
      <c r="D1531" s="668">
        <v>3</v>
      </c>
      <c r="E1531" s="667" t="s">
        <v>5011</v>
      </c>
      <c r="F1531" s="665" t="s">
        <v>10769</v>
      </c>
      <c r="O1531" s="664">
        <f t="shared" si="66"/>
        <v>0</v>
      </c>
      <c r="P1531" s="665" t="str">
        <f t="shared" si="64"/>
        <v>2019.06.10</v>
      </c>
      <c r="Q1531" s="665" t="str">
        <f>P1531</f>
        <v>2019.06.10</v>
      </c>
      <c r="R1531" s="688">
        <v>4410</v>
      </c>
      <c r="S1531" s="689">
        <v>4410</v>
      </c>
      <c r="T1531" s="689">
        <v>4410</v>
      </c>
      <c r="U1531" s="690">
        <f t="shared" si="63"/>
        <v>0</v>
      </c>
    </row>
    <row r="1532" spans="1:21" s="665" customFormat="1">
      <c r="A1532" s="665" t="s">
        <v>10770</v>
      </c>
      <c r="B1532" s="666"/>
      <c r="C1532" s="667" t="s">
        <v>4339</v>
      </c>
      <c r="D1532" s="668">
        <v>1</v>
      </c>
      <c r="E1532" s="667" t="s">
        <v>5011</v>
      </c>
      <c r="F1532" s="665" t="s">
        <v>10770</v>
      </c>
      <c r="O1532" s="664">
        <f t="shared" si="66"/>
        <v>0</v>
      </c>
      <c r="P1532" s="665" t="str">
        <f t="shared" si="64"/>
        <v>2019.06.24</v>
      </c>
      <c r="Q1532" s="665" t="str">
        <f>P1532</f>
        <v>2019.06.24</v>
      </c>
      <c r="R1532" s="688">
        <v>14175</v>
      </c>
      <c r="S1532" s="689">
        <v>14165</v>
      </c>
      <c r="T1532" s="689">
        <v>14165</v>
      </c>
      <c r="U1532" s="690">
        <f t="shared" si="63"/>
        <v>10</v>
      </c>
    </row>
    <row r="1533" spans="1:21" s="665" customFormat="1">
      <c r="A1533" s="670" t="s">
        <v>10773</v>
      </c>
      <c r="B1533" s="666"/>
      <c r="C1533" s="667" t="s">
        <v>456</v>
      </c>
      <c r="D1533" s="671" t="s">
        <v>14745</v>
      </c>
      <c r="E1533" s="667" t="s">
        <v>5011</v>
      </c>
      <c r="F1533" s="665" t="s">
        <v>10773</v>
      </c>
      <c r="O1533" s="664">
        <f>G1533+H1533+I1533+L1533-J1533-K1533</f>
        <v>0</v>
      </c>
      <c r="P1533" s="665" t="s">
        <v>5578</v>
      </c>
      <c r="Q1533" s="665" t="s">
        <v>5578</v>
      </c>
      <c r="R1533" s="667">
        <v>26460</v>
      </c>
      <c r="S1533" s="667">
        <v>26460</v>
      </c>
      <c r="T1533" s="667">
        <v>26460</v>
      </c>
      <c r="U1533" s="690">
        <f t="shared" si="63"/>
        <v>0</v>
      </c>
    </row>
    <row r="1534" spans="1:21" s="665" customFormat="1">
      <c r="A1534" s="665" t="s">
        <v>10773</v>
      </c>
      <c r="B1534" s="666"/>
      <c r="C1534" s="667" t="s">
        <v>447</v>
      </c>
      <c r="D1534" s="668">
        <v>4</v>
      </c>
      <c r="E1534" s="667" t="s">
        <v>5011</v>
      </c>
      <c r="F1534" s="665" t="s">
        <v>10773</v>
      </c>
      <c r="O1534" s="664">
        <f t="shared" si="66"/>
        <v>0</v>
      </c>
      <c r="P1534" s="665" t="str">
        <f t="shared" si="64"/>
        <v>2019.06.25</v>
      </c>
      <c r="Q1534" s="665" t="str">
        <f>P1534</f>
        <v>2019.06.25</v>
      </c>
      <c r="R1534" s="688">
        <v>14175</v>
      </c>
      <c r="S1534" s="689">
        <v>14165</v>
      </c>
      <c r="T1534" s="689">
        <v>14165</v>
      </c>
      <c r="U1534" s="690">
        <f t="shared" si="63"/>
        <v>10</v>
      </c>
    </row>
    <row r="1535" spans="1:21" s="665" customFormat="1">
      <c r="A1535" s="665" t="s">
        <v>9841</v>
      </c>
      <c r="B1535" s="666"/>
      <c r="C1535" s="667" t="s">
        <v>4094</v>
      </c>
      <c r="D1535" s="668">
        <v>4</v>
      </c>
      <c r="E1535" s="667" t="s">
        <v>5011</v>
      </c>
      <c r="F1535" s="665" t="s">
        <v>9841</v>
      </c>
      <c r="O1535" s="664">
        <f t="shared" si="66"/>
        <v>0</v>
      </c>
      <c r="P1535" s="665" t="str">
        <f t="shared" si="64"/>
        <v>2019.07.10</v>
      </c>
      <c r="Q1535" s="665" t="str">
        <f>P1535</f>
        <v>2019.07.10</v>
      </c>
      <c r="R1535" s="688">
        <v>4410</v>
      </c>
      <c r="S1535" s="689">
        <v>4410</v>
      </c>
      <c r="T1535" s="689">
        <v>4410</v>
      </c>
      <c r="U1535" s="690">
        <f t="shared" si="63"/>
        <v>0</v>
      </c>
    </row>
    <row r="1536" spans="1:21" s="665" customFormat="1">
      <c r="A1536" s="665" t="s">
        <v>10775</v>
      </c>
      <c r="B1536" s="666"/>
      <c r="C1536" s="667" t="s">
        <v>10623</v>
      </c>
      <c r="D1536" s="668">
        <v>9</v>
      </c>
      <c r="E1536" s="667" t="s">
        <v>5011</v>
      </c>
      <c r="F1536" s="665" t="s">
        <v>10775</v>
      </c>
      <c r="O1536" s="664">
        <f>G1536+H1536+I1536-J1536-K1536-L1536</f>
        <v>0</v>
      </c>
      <c r="P1536" s="665" t="str">
        <f t="shared" si="64"/>
        <v>2019.07.15</v>
      </c>
      <c r="Q1536" s="665" t="str">
        <f>F1536</f>
        <v>2019.07.15</v>
      </c>
      <c r="R1536" s="688">
        <v>16380</v>
      </c>
      <c r="S1536" s="689">
        <v>16350</v>
      </c>
      <c r="T1536" s="689">
        <v>16350</v>
      </c>
      <c r="U1536" s="690">
        <f t="shared" si="63"/>
        <v>30</v>
      </c>
    </row>
    <row r="1537" spans="1:22" s="665" customFormat="1">
      <c r="A1537" s="665" t="s">
        <v>10777</v>
      </c>
      <c r="B1537" s="666"/>
      <c r="C1537" s="667" t="s">
        <v>4094</v>
      </c>
      <c r="D1537" s="668">
        <v>5</v>
      </c>
      <c r="E1537" s="667" t="s">
        <v>5011</v>
      </c>
      <c r="F1537" s="665" t="s">
        <v>10777</v>
      </c>
      <c r="O1537" s="664">
        <f t="shared" ref="O1537:O1544" si="67">G1537+H1537+I1537+L1537-J1537-K1537</f>
        <v>0</v>
      </c>
      <c r="P1537" s="665" t="str">
        <f t="shared" si="64"/>
        <v>2019.08.10</v>
      </c>
      <c r="Q1537" s="665" t="str">
        <f>P1537</f>
        <v>2019.08.10</v>
      </c>
      <c r="R1537" s="688">
        <v>4410</v>
      </c>
      <c r="S1537" s="689">
        <v>4410</v>
      </c>
      <c r="T1537" s="689">
        <v>4410</v>
      </c>
      <c r="U1537" s="690">
        <f t="shared" si="63"/>
        <v>0</v>
      </c>
    </row>
    <row r="1538" spans="1:22" s="665" customFormat="1">
      <c r="A1538" s="665" t="s">
        <v>10778</v>
      </c>
      <c r="B1538" s="666"/>
      <c r="C1538" s="667" t="s">
        <v>4318</v>
      </c>
      <c r="D1538" s="668">
        <v>8</v>
      </c>
      <c r="E1538" s="667" t="s">
        <v>5011</v>
      </c>
      <c r="F1538" s="665" t="s">
        <v>10778</v>
      </c>
      <c r="O1538" s="664">
        <f t="shared" si="67"/>
        <v>0</v>
      </c>
      <c r="P1538" s="665" t="str">
        <f t="shared" si="64"/>
        <v>2019.08.15</v>
      </c>
      <c r="Q1538" s="665" t="str">
        <f>F1538</f>
        <v>2019.08.15</v>
      </c>
      <c r="R1538" s="688">
        <v>13500</v>
      </c>
      <c r="S1538" s="689">
        <v>13485</v>
      </c>
      <c r="T1538" s="689">
        <v>13485</v>
      </c>
      <c r="U1538" s="690">
        <f t="shared" si="63"/>
        <v>15</v>
      </c>
    </row>
    <row r="1539" spans="1:22" s="665" customFormat="1">
      <c r="A1539" s="665" t="s">
        <v>10780</v>
      </c>
      <c r="B1539" s="666"/>
      <c r="C1539" s="667" t="s">
        <v>4094</v>
      </c>
      <c r="D1539" s="668">
        <v>6</v>
      </c>
      <c r="E1539" s="667" t="s">
        <v>5011</v>
      </c>
      <c r="F1539" s="665" t="s">
        <v>10780</v>
      </c>
      <c r="O1539" s="664">
        <f t="shared" si="67"/>
        <v>0</v>
      </c>
      <c r="P1539" s="665" t="str">
        <f t="shared" si="64"/>
        <v>2019.09.10</v>
      </c>
      <c r="Q1539" s="665" t="str">
        <f t="shared" ref="Q1539:Q1544" si="68">P1539</f>
        <v>2019.09.10</v>
      </c>
      <c r="R1539" s="688">
        <v>4410</v>
      </c>
      <c r="S1539" s="689">
        <v>4410</v>
      </c>
      <c r="T1539" s="689">
        <v>4410</v>
      </c>
      <c r="U1539" s="690">
        <f t="shared" si="63"/>
        <v>0</v>
      </c>
    </row>
    <row r="1540" spans="1:22" s="665" customFormat="1">
      <c r="A1540" s="665" t="s">
        <v>10782</v>
      </c>
      <c r="B1540" s="666"/>
      <c r="C1540" s="667" t="s">
        <v>4339</v>
      </c>
      <c r="D1540" s="668">
        <v>2</v>
      </c>
      <c r="E1540" s="667" t="s">
        <v>5011</v>
      </c>
      <c r="F1540" s="665" t="s">
        <v>10782</v>
      </c>
      <c r="O1540" s="664">
        <f t="shared" si="67"/>
        <v>0</v>
      </c>
      <c r="P1540" s="665" t="str">
        <f t="shared" si="64"/>
        <v>2019.09.18</v>
      </c>
      <c r="Q1540" s="665" t="str">
        <f t="shared" si="68"/>
        <v>2019.09.18</v>
      </c>
      <c r="R1540" s="688">
        <v>14175</v>
      </c>
      <c r="S1540" s="689">
        <v>14165</v>
      </c>
      <c r="T1540" s="689">
        <v>14165</v>
      </c>
      <c r="U1540" s="690">
        <f t="shared" si="63"/>
        <v>10</v>
      </c>
    </row>
    <row r="1541" spans="1:22" s="665" customFormat="1">
      <c r="A1541" s="665" t="s">
        <v>10785</v>
      </c>
      <c r="B1541" s="666"/>
      <c r="C1541" s="667" t="s">
        <v>4000</v>
      </c>
      <c r="D1541" s="668"/>
      <c r="E1541" s="667" t="s">
        <v>5011</v>
      </c>
      <c r="F1541" s="665" t="s">
        <v>10785</v>
      </c>
      <c r="O1541" s="664">
        <f t="shared" si="67"/>
        <v>0</v>
      </c>
      <c r="P1541" s="665" t="str">
        <f t="shared" si="64"/>
        <v>2019.09.19</v>
      </c>
      <c r="Q1541" s="665" t="str">
        <f t="shared" si="68"/>
        <v>2019.09.19</v>
      </c>
      <c r="R1541" s="688">
        <v>84000</v>
      </c>
      <c r="S1541" s="689">
        <v>84000</v>
      </c>
      <c r="T1541" s="689">
        <v>84000</v>
      </c>
      <c r="U1541" s="690">
        <f t="shared" si="63"/>
        <v>0</v>
      </c>
      <c r="V1541" s="665" t="s">
        <v>10786</v>
      </c>
    </row>
    <row r="1542" spans="1:22" s="665" customFormat="1">
      <c r="A1542" s="665" t="s">
        <v>10784</v>
      </c>
      <c r="B1542" s="666"/>
      <c r="C1542" s="667" t="s">
        <v>9599</v>
      </c>
      <c r="D1542" s="671" t="s">
        <v>4111</v>
      </c>
      <c r="E1542" s="667" t="s">
        <v>5011</v>
      </c>
      <c r="F1542" s="665" t="s">
        <v>10784</v>
      </c>
      <c r="O1542" s="664">
        <f t="shared" si="67"/>
        <v>0</v>
      </c>
      <c r="P1542" s="665" t="str">
        <f t="shared" si="64"/>
        <v>2019.09.24</v>
      </c>
      <c r="Q1542" s="665" t="str">
        <f t="shared" si="68"/>
        <v>2019.09.24</v>
      </c>
      <c r="R1542" s="688">
        <v>45360</v>
      </c>
      <c r="S1542" s="689">
        <v>45360</v>
      </c>
      <c r="T1542" s="689">
        <v>45360</v>
      </c>
      <c r="U1542" s="690">
        <f t="shared" si="63"/>
        <v>0</v>
      </c>
      <c r="V1542" s="672" t="s">
        <v>4760</v>
      </c>
    </row>
    <row r="1543" spans="1:22" s="665" customFormat="1">
      <c r="A1543" s="665" t="s">
        <v>5579</v>
      </c>
      <c r="B1543" s="666"/>
      <c r="C1543" s="667" t="s">
        <v>4201</v>
      </c>
      <c r="D1543" s="668"/>
      <c r="E1543" s="667" t="s">
        <v>5011</v>
      </c>
      <c r="F1543" s="665" t="s">
        <v>10787</v>
      </c>
      <c r="O1543" s="664">
        <f t="shared" si="67"/>
        <v>0</v>
      </c>
      <c r="P1543" s="665" t="str">
        <f t="shared" si="64"/>
        <v>2019.09.25</v>
      </c>
      <c r="Q1543" s="665" t="str">
        <f t="shared" si="68"/>
        <v>2019.09.25</v>
      </c>
      <c r="R1543" s="688">
        <v>84000</v>
      </c>
      <c r="S1543" s="689">
        <v>84000</v>
      </c>
      <c r="T1543" s="689">
        <v>84000</v>
      </c>
      <c r="U1543" s="690">
        <f t="shared" si="63"/>
        <v>0</v>
      </c>
      <c r="V1543" s="665" t="s">
        <v>10786</v>
      </c>
    </row>
    <row r="1544" spans="1:22" s="665" customFormat="1">
      <c r="A1544" s="665" t="s">
        <v>10788</v>
      </c>
      <c r="B1544" s="666"/>
      <c r="C1544" s="667" t="s">
        <v>4094</v>
      </c>
      <c r="D1544" s="668">
        <v>7</v>
      </c>
      <c r="E1544" s="667" t="s">
        <v>5011</v>
      </c>
      <c r="F1544" s="665" t="s">
        <v>10788</v>
      </c>
      <c r="O1544" s="664">
        <f t="shared" si="67"/>
        <v>0</v>
      </c>
      <c r="P1544" s="665" t="str">
        <f t="shared" si="64"/>
        <v>2019.10.04</v>
      </c>
      <c r="Q1544" s="665" t="str">
        <f t="shared" si="68"/>
        <v>2019.10.04</v>
      </c>
      <c r="R1544" s="688">
        <v>4410</v>
      </c>
      <c r="S1544" s="689">
        <v>4410</v>
      </c>
      <c r="T1544" s="689">
        <v>4410</v>
      </c>
      <c r="U1544" s="690">
        <f t="shared" si="63"/>
        <v>0</v>
      </c>
    </row>
    <row r="1545" spans="1:22" s="665" customFormat="1">
      <c r="A1545" s="665" t="s">
        <v>10790</v>
      </c>
      <c r="B1545" s="666"/>
      <c r="C1545" s="667" t="s">
        <v>10623</v>
      </c>
      <c r="D1545" s="668">
        <v>10</v>
      </c>
      <c r="E1545" s="667" t="s">
        <v>5011</v>
      </c>
      <c r="F1545" s="665" t="s">
        <v>10790</v>
      </c>
      <c r="O1545" s="664">
        <f>G1545+H1545+I1545-J1545-K1545-L1545</f>
        <v>0</v>
      </c>
      <c r="P1545" s="665" t="str">
        <f t="shared" si="64"/>
        <v>2019.10.15</v>
      </c>
      <c r="Q1545" s="665" t="str">
        <f>F1545</f>
        <v>2019.10.15</v>
      </c>
      <c r="R1545" s="688">
        <v>16380</v>
      </c>
      <c r="S1545" s="689">
        <v>16350</v>
      </c>
      <c r="T1545" s="689">
        <v>16350</v>
      </c>
      <c r="U1545" s="690">
        <f t="shared" si="63"/>
        <v>30</v>
      </c>
    </row>
    <row r="1546" spans="1:22" s="665" customFormat="1">
      <c r="A1546" s="665" t="s">
        <v>10791</v>
      </c>
      <c r="B1546" s="666"/>
      <c r="C1546" s="667" t="s">
        <v>447</v>
      </c>
      <c r="D1546" s="668">
        <v>5</v>
      </c>
      <c r="E1546" s="667" t="s">
        <v>5011</v>
      </c>
      <c r="F1546" s="665" t="s">
        <v>10791</v>
      </c>
      <c r="O1546" s="664">
        <f t="shared" ref="O1546:O1553" si="69">G1546+H1546+I1546+L1546-J1546-K1546</f>
        <v>0</v>
      </c>
      <c r="P1546" s="665" t="str">
        <f t="shared" si="64"/>
        <v>2019.10.25</v>
      </c>
      <c r="Q1546" s="665" t="str">
        <f t="shared" ref="Q1546:Q1553" si="70">P1546</f>
        <v>2019.10.25</v>
      </c>
      <c r="R1546" s="688">
        <v>14175</v>
      </c>
      <c r="S1546" s="689">
        <v>14165</v>
      </c>
      <c r="T1546" s="689">
        <v>14165</v>
      </c>
      <c r="U1546" s="690">
        <f t="shared" si="63"/>
        <v>10</v>
      </c>
    </row>
    <row r="1547" spans="1:22" s="665" customFormat="1">
      <c r="A1547" s="665" t="s">
        <v>10792</v>
      </c>
      <c r="B1547" s="666"/>
      <c r="C1547" s="667" t="s">
        <v>4094</v>
      </c>
      <c r="D1547" s="668">
        <v>8</v>
      </c>
      <c r="E1547" s="667" t="s">
        <v>5011</v>
      </c>
      <c r="F1547" s="665" t="s">
        <v>10792</v>
      </c>
      <c r="O1547" s="664">
        <f t="shared" si="69"/>
        <v>0</v>
      </c>
      <c r="P1547" s="665" t="str">
        <f t="shared" si="64"/>
        <v>2019.11.11</v>
      </c>
      <c r="Q1547" s="665" t="str">
        <f t="shared" si="70"/>
        <v>2019.11.11</v>
      </c>
      <c r="R1547" s="688">
        <v>4410</v>
      </c>
      <c r="S1547" s="689">
        <v>4410</v>
      </c>
      <c r="T1547" s="689">
        <v>4410</v>
      </c>
      <c r="U1547" s="690">
        <f t="shared" si="63"/>
        <v>0</v>
      </c>
    </row>
    <row r="1548" spans="1:22" s="665" customFormat="1">
      <c r="A1548" s="665" t="s">
        <v>10794</v>
      </c>
      <c r="B1548" s="666"/>
      <c r="C1548" s="667" t="s">
        <v>4204</v>
      </c>
      <c r="D1548" s="668"/>
      <c r="E1548" s="667" t="s">
        <v>5011</v>
      </c>
      <c r="F1548" s="665" t="s">
        <v>10794</v>
      </c>
      <c r="O1548" s="664">
        <f t="shared" si="69"/>
        <v>0</v>
      </c>
      <c r="P1548" s="665" t="str">
        <f t="shared" si="64"/>
        <v>2019.11.14</v>
      </c>
      <c r="Q1548" s="665" t="str">
        <f t="shared" si="70"/>
        <v>2019.11.14</v>
      </c>
      <c r="R1548" s="688">
        <v>75600</v>
      </c>
      <c r="S1548" s="689">
        <v>75600</v>
      </c>
      <c r="T1548" s="689">
        <v>75600</v>
      </c>
      <c r="U1548" s="690">
        <f t="shared" si="63"/>
        <v>0</v>
      </c>
      <c r="V1548" s="665" t="s">
        <v>9600</v>
      </c>
    </row>
    <row r="1549" spans="1:22" s="665" customFormat="1">
      <c r="A1549" s="665" t="s">
        <v>10797</v>
      </c>
      <c r="B1549" s="666"/>
      <c r="C1549" s="667" t="s">
        <v>4000</v>
      </c>
      <c r="D1549" s="668"/>
      <c r="E1549" s="667" t="s">
        <v>5011</v>
      </c>
      <c r="F1549" s="665" t="s">
        <v>10797</v>
      </c>
      <c r="O1549" s="664">
        <f t="shared" si="69"/>
        <v>0</v>
      </c>
      <c r="P1549" s="665" t="str">
        <f t="shared" si="64"/>
        <v>2019.11.18</v>
      </c>
      <c r="Q1549" s="665" t="str">
        <f t="shared" si="70"/>
        <v>2019.11.18</v>
      </c>
      <c r="R1549" s="688">
        <v>113400</v>
      </c>
      <c r="S1549" s="689">
        <v>113390</v>
      </c>
      <c r="T1549" s="689">
        <v>113390</v>
      </c>
      <c r="U1549" s="690">
        <f t="shared" si="63"/>
        <v>10</v>
      </c>
      <c r="V1549" s="665" t="s">
        <v>9600</v>
      </c>
    </row>
    <row r="1550" spans="1:22" s="665" customFormat="1">
      <c r="A1550" s="665" t="s">
        <v>10798</v>
      </c>
      <c r="B1550" s="666"/>
      <c r="C1550" s="667" t="s">
        <v>4339</v>
      </c>
      <c r="D1550" s="668">
        <v>3</v>
      </c>
      <c r="E1550" s="667" t="s">
        <v>5011</v>
      </c>
      <c r="F1550" s="665" t="s">
        <v>10798</v>
      </c>
      <c r="O1550" s="664">
        <f t="shared" si="69"/>
        <v>0</v>
      </c>
      <c r="P1550" s="665" t="str">
        <f t="shared" si="64"/>
        <v>2019.11.21</v>
      </c>
      <c r="Q1550" s="665" t="str">
        <f t="shared" si="70"/>
        <v>2019.11.21</v>
      </c>
      <c r="R1550" s="688">
        <v>14175</v>
      </c>
      <c r="S1550" s="689">
        <v>14165</v>
      </c>
      <c r="T1550" s="689">
        <v>14165</v>
      </c>
      <c r="U1550" s="690">
        <f t="shared" si="63"/>
        <v>10</v>
      </c>
    </row>
    <row r="1551" spans="1:22" s="665" customFormat="1">
      <c r="A1551" s="670" t="s">
        <v>14746</v>
      </c>
      <c r="B1551" s="666"/>
      <c r="C1551" s="667" t="s">
        <v>456</v>
      </c>
      <c r="D1551" s="668">
        <v>1</v>
      </c>
      <c r="E1551" s="667" t="s">
        <v>5011</v>
      </c>
      <c r="F1551" s="665" t="s">
        <v>14746</v>
      </c>
      <c r="O1551" s="664">
        <f t="shared" si="69"/>
        <v>0</v>
      </c>
      <c r="P1551" s="665" t="s">
        <v>14746</v>
      </c>
      <c r="Q1551" s="665" t="s">
        <v>14746</v>
      </c>
      <c r="R1551" s="667">
        <v>13230</v>
      </c>
      <c r="S1551" s="667">
        <v>13230</v>
      </c>
      <c r="T1551" s="667">
        <v>13230</v>
      </c>
      <c r="U1551" s="690">
        <f t="shared" si="63"/>
        <v>0</v>
      </c>
    </row>
    <row r="1552" spans="1:22" s="665" customFormat="1">
      <c r="A1552" s="665" t="s">
        <v>9937</v>
      </c>
      <c r="B1552" s="666"/>
      <c r="C1552" s="667" t="s">
        <v>447</v>
      </c>
      <c r="D1552" s="668">
        <v>6</v>
      </c>
      <c r="E1552" s="667" t="s">
        <v>5011</v>
      </c>
      <c r="F1552" s="665" t="s">
        <v>9937</v>
      </c>
      <c r="O1552" s="664">
        <f t="shared" si="69"/>
        <v>0</v>
      </c>
      <c r="P1552" s="665" t="str">
        <f t="shared" ref="P1552" si="71">F1552</f>
        <v>2019.12.25</v>
      </c>
      <c r="Q1552" s="665" t="str">
        <f t="shared" ref="Q1552" si="72">P1552</f>
        <v>2019.12.25</v>
      </c>
      <c r="R1552" s="688">
        <v>14175</v>
      </c>
      <c r="S1552" s="689">
        <v>14165</v>
      </c>
      <c r="T1552" s="689">
        <v>14165</v>
      </c>
      <c r="U1552" s="690">
        <f t="shared" si="63"/>
        <v>10</v>
      </c>
    </row>
    <row r="1553" spans="1:21" s="665" customFormat="1">
      <c r="A1553" s="665" t="s">
        <v>10800</v>
      </c>
      <c r="B1553" s="666"/>
      <c r="C1553" s="667" t="s">
        <v>4094</v>
      </c>
      <c r="D1553" s="668">
        <v>9</v>
      </c>
      <c r="E1553" s="667" t="s">
        <v>5011</v>
      </c>
      <c r="F1553" s="665" t="s">
        <v>10800</v>
      </c>
      <c r="O1553" s="664">
        <f t="shared" si="69"/>
        <v>0</v>
      </c>
      <c r="P1553" s="665" t="str">
        <f t="shared" si="64"/>
        <v>2019.12.26</v>
      </c>
      <c r="Q1553" s="665" t="str">
        <f t="shared" si="70"/>
        <v>2019.12.26</v>
      </c>
      <c r="R1553" s="688">
        <v>4410</v>
      </c>
      <c r="S1553" s="689">
        <v>4410</v>
      </c>
      <c r="T1553" s="689">
        <v>4410</v>
      </c>
      <c r="U1553" s="690">
        <f t="shared" si="63"/>
        <v>0</v>
      </c>
    </row>
    <row r="1554" spans="1:21">
      <c r="A1554" s="165" t="s">
        <v>5576</v>
      </c>
      <c r="B1554" s="94">
        <v>1466</v>
      </c>
      <c r="C1554" s="165" t="s">
        <v>5184</v>
      </c>
      <c r="D1554" s="165">
        <v>1</v>
      </c>
      <c r="E1554" s="165" t="s">
        <v>10803</v>
      </c>
      <c r="F1554" s="165" t="s">
        <v>9837</v>
      </c>
      <c r="G1554" s="165"/>
      <c r="H1554" s="165">
        <v>14175</v>
      </c>
      <c r="I1554" s="165"/>
      <c r="J1554" s="165"/>
      <c r="K1554" s="165"/>
      <c r="L1554" s="165">
        <v>14175</v>
      </c>
      <c r="M1554" s="165"/>
      <c r="N1554" s="165"/>
      <c r="O1554" s="337">
        <f t="shared" ref="O1554:O1617" si="73">G1554+H1554+I1554-J1554-K1554-L1554</f>
        <v>0</v>
      </c>
      <c r="P1554" s="165" t="s">
        <v>8883</v>
      </c>
      <c r="Q1554" s="165" t="s">
        <v>9837</v>
      </c>
      <c r="R1554" s="3">
        <f t="shared" ref="R1554:R1567" si="74">H1554</f>
        <v>14175</v>
      </c>
      <c r="S1554" s="337">
        <v>14175</v>
      </c>
      <c r="T1554"/>
      <c r="U1554" s="3"/>
    </row>
    <row r="1555" spans="1:21">
      <c r="A1555" s="165" t="s">
        <v>5576</v>
      </c>
      <c r="B1555" s="94">
        <v>1467</v>
      </c>
      <c r="C1555" s="165" t="s">
        <v>5184</v>
      </c>
      <c r="D1555" s="165">
        <v>2</v>
      </c>
      <c r="E1555" s="165" t="s">
        <v>10804</v>
      </c>
      <c r="F1555" s="165" t="s">
        <v>8949</v>
      </c>
      <c r="G1555" s="165"/>
      <c r="H1555" s="165">
        <v>14175</v>
      </c>
      <c r="I1555" s="165"/>
      <c r="J1555" s="165"/>
      <c r="K1555" s="165"/>
      <c r="L1555" s="165">
        <v>14175</v>
      </c>
      <c r="M1555" s="165"/>
      <c r="N1555" s="165"/>
      <c r="O1555" s="337">
        <f t="shared" si="73"/>
        <v>0</v>
      </c>
      <c r="P1555" s="165" t="s">
        <v>8973</v>
      </c>
      <c r="Q1555" s="165" t="s">
        <v>8973</v>
      </c>
      <c r="R1555" s="3">
        <f t="shared" si="74"/>
        <v>14175</v>
      </c>
      <c r="S1555" s="337">
        <v>14175</v>
      </c>
      <c r="T1555"/>
      <c r="U1555" s="3"/>
    </row>
    <row r="1556" spans="1:21">
      <c r="A1556" s="165" t="s">
        <v>5576</v>
      </c>
      <c r="B1556" s="94">
        <v>1468</v>
      </c>
      <c r="C1556" s="165" t="s">
        <v>5184</v>
      </c>
      <c r="D1556" s="165">
        <v>3</v>
      </c>
      <c r="E1556" s="165" t="s">
        <v>10805</v>
      </c>
      <c r="F1556" s="165" t="s">
        <v>9841</v>
      </c>
      <c r="G1556" s="165"/>
      <c r="H1556" s="165">
        <v>14175</v>
      </c>
      <c r="I1556" s="165"/>
      <c r="J1556" s="165"/>
      <c r="K1556" s="165"/>
      <c r="L1556" s="165">
        <v>14175</v>
      </c>
      <c r="M1556" s="165"/>
      <c r="N1556" s="165"/>
      <c r="O1556" s="337">
        <f t="shared" si="73"/>
        <v>0</v>
      </c>
      <c r="P1556" s="165" t="s">
        <v>10936</v>
      </c>
      <c r="Q1556" s="165" t="s">
        <v>10936</v>
      </c>
      <c r="R1556" s="3">
        <f t="shared" si="74"/>
        <v>14175</v>
      </c>
      <c r="S1556" s="337">
        <v>14175</v>
      </c>
      <c r="T1556"/>
      <c r="U1556" s="3"/>
    </row>
    <row r="1557" spans="1:21">
      <c r="A1557" s="165" t="s">
        <v>5576</v>
      </c>
      <c r="B1557" s="94">
        <v>1469</v>
      </c>
      <c r="C1557" s="165" t="s">
        <v>5184</v>
      </c>
      <c r="D1557" s="165">
        <v>4</v>
      </c>
      <c r="E1557" s="165" t="s">
        <v>10806</v>
      </c>
      <c r="F1557" s="165" t="s">
        <v>9842</v>
      </c>
      <c r="G1557" s="165"/>
      <c r="H1557" s="165">
        <v>14175</v>
      </c>
      <c r="I1557" s="165"/>
      <c r="J1557" s="165"/>
      <c r="K1557" s="165"/>
      <c r="L1557" s="165">
        <v>14175</v>
      </c>
      <c r="M1557" s="165"/>
      <c r="N1557" s="165"/>
      <c r="O1557" s="337">
        <f t="shared" si="73"/>
        <v>0</v>
      </c>
      <c r="P1557" s="165" t="s">
        <v>10997</v>
      </c>
      <c r="Q1557" s="165" t="s">
        <v>9842</v>
      </c>
      <c r="R1557" s="3">
        <f t="shared" si="74"/>
        <v>14175</v>
      </c>
      <c r="S1557" s="337">
        <v>14175</v>
      </c>
      <c r="T1557"/>
      <c r="U1557" s="3"/>
    </row>
    <row r="1558" spans="1:21">
      <c r="A1558" s="165" t="s">
        <v>5576</v>
      </c>
      <c r="B1558" s="94">
        <v>1470</v>
      </c>
      <c r="C1558" s="165" t="s">
        <v>5184</v>
      </c>
      <c r="D1558" s="165">
        <v>5</v>
      </c>
      <c r="E1558" s="165" t="s">
        <v>10807</v>
      </c>
      <c r="F1558" s="165" t="s">
        <v>9843</v>
      </c>
      <c r="G1558" s="165"/>
      <c r="H1558" s="165">
        <v>14175</v>
      </c>
      <c r="I1558" s="165"/>
      <c r="J1558" s="165"/>
      <c r="K1558" s="165"/>
      <c r="L1558" s="165">
        <v>14175</v>
      </c>
      <c r="M1558" s="165"/>
      <c r="N1558" s="165"/>
      <c r="O1558" s="337">
        <f t="shared" si="73"/>
        <v>0</v>
      </c>
      <c r="P1558" s="165" t="s">
        <v>9843</v>
      </c>
      <c r="Q1558" s="165" t="s">
        <v>16102</v>
      </c>
      <c r="R1558" s="3">
        <f t="shared" si="74"/>
        <v>14175</v>
      </c>
      <c r="S1558" s="337">
        <v>14175</v>
      </c>
      <c r="T1558"/>
      <c r="U1558" s="3"/>
    </row>
    <row r="1559" spans="1:21">
      <c r="A1559" s="165" t="s">
        <v>5576</v>
      </c>
      <c r="B1559" s="94">
        <v>1471</v>
      </c>
      <c r="C1559" s="165" t="s">
        <v>5184</v>
      </c>
      <c r="D1559" s="165">
        <v>6</v>
      </c>
      <c r="E1559" s="165" t="s">
        <v>10808</v>
      </c>
      <c r="F1559" s="165" t="s">
        <v>9844</v>
      </c>
      <c r="G1559" s="165"/>
      <c r="H1559" s="165">
        <v>14175</v>
      </c>
      <c r="I1559" s="165"/>
      <c r="J1559" s="165"/>
      <c r="K1559" s="165"/>
      <c r="L1559" s="165">
        <v>14175</v>
      </c>
      <c r="M1559" s="165"/>
      <c r="N1559" s="165"/>
      <c r="O1559" s="337">
        <f t="shared" si="73"/>
        <v>0</v>
      </c>
      <c r="P1559" s="165" t="s">
        <v>16174</v>
      </c>
      <c r="Q1559" s="165" t="s">
        <v>16175</v>
      </c>
      <c r="R1559" s="3">
        <f t="shared" si="74"/>
        <v>14175</v>
      </c>
      <c r="S1559" s="337">
        <v>14175</v>
      </c>
      <c r="T1559"/>
      <c r="U1559" s="3"/>
    </row>
    <row r="1560" spans="1:21">
      <c r="A1560" s="165" t="s">
        <v>5576</v>
      </c>
      <c r="B1560" s="94">
        <v>1472</v>
      </c>
      <c r="C1560" s="165" t="s">
        <v>5184</v>
      </c>
      <c r="D1560" s="165">
        <v>7</v>
      </c>
      <c r="E1560" s="165" t="s">
        <v>10809</v>
      </c>
      <c r="F1560" s="165" t="s">
        <v>9845</v>
      </c>
      <c r="G1560" s="165"/>
      <c r="H1560" s="165">
        <v>14175</v>
      </c>
      <c r="I1560" s="165"/>
      <c r="J1560" s="165"/>
      <c r="K1560" s="165"/>
      <c r="L1560" s="165">
        <v>14175</v>
      </c>
      <c r="M1560" s="165"/>
      <c r="N1560" s="165"/>
      <c r="O1560" s="337">
        <f t="shared" si="73"/>
        <v>0</v>
      </c>
      <c r="P1560" s="165" t="s">
        <v>16303</v>
      </c>
      <c r="Q1560" s="165" t="s">
        <v>16304</v>
      </c>
      <c r="R1560" s="3">
        <f t="shared" si="74"/>
        <v>14175</v>
      </c>
      <c r="S1560" s="337">
        <v>14175</v>
      </c>
      <c r="T1560"/>
      <c r="U1560" s="3"/>
    </row>
    <row r="1561" spans="1:21">
      <c r="A1561" s="165" t="s">
        <v>5576</v>
      </c>
      <c r="B1561" s="94">
        <v>1473</v>
      </c>
      <c r="C1561" s="165" t="s">
        <v>5184</v>
      </c>
      <c r="D1561" s="165">
        <v>8</v>
      </c>
      <c r="E1561" s="165" t="s">
        <v>10810</v>
      </c>
      <c r="F1561" s="165" t="s">
        <v>10866</v>
      </c>
      <c r="G1561" s="165"/>
      <c r="H1561" s="165">
        <v>14175</v>
      </c>
      <c r="I1561" s="165"/>
      <c r="J1561" s="165"/>
      <c r="K1561" s="165"/>
      <c r="L1561" s="165">
        <v>14175</v>
      </c>
      <c r="M1561" s="165"/>
      <c r="N1561" s="165"/>
      <c r="O1561" s="337">
        <f t="shared" si="73"/>
        <v>0</v>
      </c>
      <c r="P1561" s="165" t="s">
        <v>16420</v>
      </c>
      <c r="Q1561" s="165" t="s">
        <v>16421</v>
      </c>
      <c r="R1561" s="3">
        <f t="shared" si="74"/>
        <v>14175</v>
      </c>
      <c r="S1561" s="337">
        <v>14175</v>
      </c>
      <c r="T1561"/>
      <c r="U1561" s="3"/>
    </row>
    <row r="1562" spans="1:21">
      <c r="A1562" s="165" t="s">
        <v>10833</v>
      </c>
      <c r="B1562" s="94">
        <v>1474</v>
      </c>
      <c r="C1562" s="165" t="s">
        <v>4555</v>
      </c>
      <c r="D1562" s="165">
        <v>1</v>
      </c>
      <c r="E1562" s="165" t="s">
        <v>10834</v>
      </c>
      <c r="F1562" s="165" t="s">
        <v>10835</v>
      </c>
      <c r="G1562" s="165"/>
      <c r="H1562" s="165">
        <v>11340</v>
      </c>
      <c r="I1562" s="165"/>
      <c r="J1562" s="165"/>
      <c r="K1562" s="165"/>
      <c r="L1562" s="165">
        <v>11340</v>
      </c>
      <c r="M1562" s="165"/>
      <c r="N1562" s="165"/>
      <c r="O1562" s="337">
        <f t="shared" si="73"/>
        <v>0</v>
      </c>
      <c r="P1562" s="165" t="s">
        <v>8913</v>
      </c>
      <c r="Q1562" s="165" t="s">
        <v>8913</v>
      </c>
      <c r="R1562" s="3">
        <f>H1562</f>
        <v>11340</v>
      </c>
      <c r="S1562" s="337">
        <v>11340</v>
      </c>
      <c r="T1562"/>
      <c r="U1562" s="3"/>
    </row>
    <row r="1563" spans="1:21">
      <c r="A1563" s="165" t="s">
        <v>10833</v>
      </c>
      <c r="B1563" s="94">
        <v>1475</v>
      </c>
      <c r="C1563" s="165" t="s">
        <v>4555</v>
      </c>
      <c r="D1563" s="165">
        <v>2</v>
      </c>
      <c r="E1563" s="165" t="s">
        <v>10836</v>
      </c>
      <c r="F1563" s="336" t="s">
        <v>15085</v>
      </c>
      <c r="G1563" s="165"/>
      <c r="H1563" s="165">
        <v>11340</v>
      </c>
      <c r="I1563" s="165"/>
      <c r="J1563" s="165"/>
      <c r="K1563" s="165"/>
      <c r="L1563" s="165">
        <v>11340</v>
      </c>
      <c r="M1563" s="165"/>
      <c r="N1563" s="165"/>
      <c r="O1563" s="337">
        <f t="shared" si="73"/>
        <v>0</v>
      </c>
      <c r="P1563" s="165" t="s">
        <v>8973</v>
      </c>
      <c r="Q1563" s="165" t="s">
        <v>8973</v>
      </c>
      <c r="R1563" s="3">
        <f>H1563</f>
        <v>11340</v>
      </c>
      <c r="S1563" s="337">
        <v>11340</v>
      </c>
      <c r="T1563"/>
      <c r="U1563" s="3"/>
    </row>
    <row r="1564" spans="1:21">
      <c r="A1564" s="165" t="s">
        <v>10833</v>
      </c>
      <c r="B1564" s="94">
        <v>1476</v>
      </c>
      <c r="C1564" s="165" t="s">
        <v>4555</v>
      </c>
      <c r="D1564" s="165">
        <v>3</v>
      </c>
      <c r="E1564" s="165" t="s">
        <v>10837</v>
      </c>
      <c r="F1564" s="336" t="s">
        <v>10936</v>
      </c>
      <c r="G1564" s="165"/>
      <c r="H1564" s="165">
        <v>11340</v>
      </c>
      <c r="I1564" s="165"/>
      <c r="J1564" s="165"/>
      <c r="K1564" s="165"/>
      <c r="L1564" s="165">
        <v>11340</v>
      </c>
      <c r="M1564" s="165"/>
      <c r="N1564" s="165"/>
      <c r="O1564" s="337">
        <f t="shared" si="73"/>
        <v>0</v>
      </c>
      <c r="P1564" s="165" t="s">
        <v>10936</v>
      </c>
      <c r="Q1564" s="165" t="s">
        <v>10936</v>
      </c>
      <c r="R1564" s="3">
        <f>H1564</f>
        <v>11340</v>
      </c>
      <c r="S1564" s="337">
        <v>11340</v>
      </c>
      <c r="T1564"/>
      <c r="U1564" s="3"/>
    </row>
    <row r="1565" spans="1:21">
      <c r="A1565" s="165" t="s">
        <v>10833</v>
      </c>
      <c r="B1565" s="94">
        <v>1477</v>
      </c>
      <c r="C1565" s="165" t="s">
        <v>4555</v>
      </c>
      <c r="D1565" s="165">
        <v>4</v>
      </c>
      <c r="E1565" s="165" t="s">
        <v>10838</v>
      </c>
      <c r="F1565" s="336" t="s">
        <v>11032</v>
      </c>
      <c r="G1565" s="165"/>
      <c r="H1565" s="165">
        <v>11340</v>
      </c>
      <c r="I1565" s="165"/>
      <c r="J1565" s="165"/>
      <c r="K1565" s="165"/>
      <c r="L1565" s="165">
        <v>11340</v>
      </c>
      <c r="M1565" s="165"/>
      <c r="N1565" s="165"/>
      <c r="O1565" s="337">
        <f t="shared" si="73"/>
        <v>0</v>
      </c>
      <c r="P1565" s="165" t="s">
        <v>10997</v>
      </c>
      <c r="Q1565" s="165" t="s">
        <v>11032</v>
      </c>
      <c r="R1565" s="3">
        <f>H1565</f>
        <v>11340</v>
      </c>
      <c r="S1565" s="337">
        <v>11340</v>
      </c>
      <c r="T1565"/>
      <c r="U1565" s="3"/>
    </row>
    <row r="1566" spans="1:21">
      <c r="A1566" s="165" t="s">
        <v>10833</v>
      </c>
      <c r="B1566" s="94">
        <v>1478</v>
      </c>
      <c r="C1566" s="165" t="s">
        <v>4555</v>
      </c>
      <c r="D1566" s="165">
        <v>5</v>
      </c>
      <c r="E1566" s="165" t="s">
        <v>10839</v>
      </c>
      <c r="F1566" s="336" t="s">
        <v>15087</v>
      </c>
      <c r="G1566" s="165"/>
      <c r="H1566" s="165">
        <v>11340</v>
      </c>
      <c r="I1566" s="165"/>
      <c r="J1566" s="165"/>
      <c r="K1566" s="165"/>
      <c r="L1566" s="165">
        <v>11340</v>
      </c>
      <c r="M1566" s="165"/>
      <c r="N1566" s="165"/>
      <c r="O1566" s="337">
        <f t="shared" si="73"/>
        <v>0</v>
      </c>
      <c r="P1566" s="165" t="s">
        <v>15087</v>
      </c>
      <c r="Q1566" s="165" t="s">
        <v>16103</v>
      </c>
      <c r="R1566" s="3">
        <f t="shared" si="74"/>
        <v>11340</v>
      </c>
      <c r="S1566" s="337">
        <v>11340</v>
      </c>
      <c r="T1566"/>
      <c r="U1566" s="3"/>
    </row>
    <row r="1567" spans="1:21">
      <c r="A1567" s="165" t="s">
        <v>10833</v>
      </c>
      <c r="B1567" s="94">
        <v>1479</v>
      </c>
      <c r="C1567" s="165" t="s">
        <v>4555</v>
      </c>
      <c r="D1567" s="165">
        <v>6</v>
      </c>
      <c r="E1567" s="165" t="s">
        <v>10840</v>
      </c>
      <c r="F1567" s="336" t="s">
        <v>15088</v>
      </c>
      <c r="G1567" s="165"/>
      <c r="H1567" s="165">
        <v>11340</v>
      </c>
      <c r="I1567" s="165"/>
      <c r="J1567" s="165"/>
      <c r="K1567" s="165"/>
      <c r="L1567" s="165">
        <v>11340</v>
      </c>
      <c r="M1567" s="165"/>
      <c r="N1567" s="165"/>
      <c r="O1567" s="337">
        <f t="shared" si="73"/>
        <v>0</v>
      </c>
      <c r="P1567" s="165" t="s">
        <v>16176</v>
      </c>
      <c r="Q1567" s="165" t="s">
        <v>16177</v>
      </c>
      <c r="R1567" s="3">
        <f t="shared" si="74"/>
        <v>11340</v>
      </c>
      <c r="S1567" s="337">
        <v>11340</v>
      </c>
      <c r="T1567"/>
      <c r="U1567" s="3"/>
    </row>
    <row r="1568" spans="1:21">
      <c r="A1568" s="165" t="s">
        <v>10833</v>
      </c>
      <c r="B1568" s="94">
        <v>1480</v>
      </c>
      <c r="C1568" s="165" t="s">
        <v>4555</v>
      </c>
      <c r="D1568" s="165">
        <v>7</v>
      </c>
      <c r="E1568" s="165" t="s">
        <v>15083</v>
      </c>
      <c r="F1568" s="336" t="s">
        <v>15089</v>
      </c>
      <c r="G1568" s="165"/>
      <c r="H1568" s="165">
        <v>11340</v>
      </c>
      <c r="I1568" s="165"/>
      <c r="J1568" s="165"/>
      <c r="K1568" s="165"/>
      <c r="L1568" s="165">
        <v>11340</v>
      </c>
      <c r="M1568" s="165"/>
      <c r="N1568" s="165"/>
      <c r="O1568" s="337">
        <f t="shared" si="73"/>
        <v>0</v>
      </c>
      <c r="P1568" s="165" t="s">
        <v>16305</v>
      </c>
      <c r="Q1568" s="165" t="s">
        <v>16306</v>
      </c>
      <c r="R1568" s="3">
        <f>H1568</f>
        <v>11340</v>
      </c>
      <c r="S1568" s="337">
        <v>11340</v>
      </c>
      <c r="T1568"/>
      <c r="U1568" s="3"/>
    </row>
    <row r="1569" spans="1:22">
      <c r="A1569" s="165" t="s">
        <v>10833</v>
      </c>
      <c r="B1569" s="94">
        <v>1481</v>
      </c>
      <c r="C1569" s="165" t="s">
        <v>4555</v>
      </c>
      <c r="D1569" s="165">
        <v>8</v>
      </c>
      <c r="E1569" s="165" t="s">
        <v>15084</v>
      </c>
      <c r="F1569" s="336" t="s">
        <v>15090</v>
      </c>
      <c r="G1569" s="165"/>
      <c r="H1569" s="165">
        <v>11340</v>
      </c>
      <c r="I1569" s="165"/>
      <c r="J1569" s="165"/>
      <c r="K1569" s="165"/>
      <c r="L1569" s="165">
        <v>11340</v>
      </c>
      <c r="M1569" s="165"/>
      <c r="N1569" s="165"/>
      <c r="O1569" s="337">
        <f t="shared" si="73"/>
        <v>0</v>
      </c>
      <c r="P1569" s="165" t="s">
        <v>16422</v>
      </c>
      <c r="Q1569" s="165" t="s">
        <v>16423</v>
      </c>
      <c r="R1569" s="3">
        <f>H1569</f>
        <v>11340</v>
      </c>
      <c r="S1569" s="337">
        <v>11340</v>
      </c>
      <c r="T1569"/>
      <c r="U1569" s="3"/>
    </row>
    <row r="1570" spans="1:22">
      <c r="A1570" s="165" t="s">
        <v>10819</v>
      </c>
      <c r="B1570" s="94">
        <v>1482</v>
      </c>
      <c r="C1570" s="165" t="s">
        <v>5208</v>
      </c>
      <c r="D1570" s="165"/>
      <c r="E1570" s="165" t="s">
        <v>10831</v>
      </c>
      <c r="F1570" s="165" t="s">
        <v>5485</v>
      </c>
      <c r="G1570" s="165"/>
      <c r="H1570" s="165">
        <v>165900</v>
      </c>
      <c r="I1570" s="165"/>
      <c r="J1570" s="165"/>
      <c r="K1570" s="165"/>
      <c r="L1570" s="165">
        <v>165900</v>
      </c>
      <c r="M1570" s="165"/>
      <c r="N1570" s="165"/>
      <c r="O1570" s="337">
        <f t="shared" si="73"/>
        <v>0</v>
      </c>
      <c r="P1570" s="165" t="s">
        <v>10819</v>
      </c>
      <c r="Q1570" s="165" t="s">
        <v>5485</v>
      </c>
      <c r="R1570" s="3">
        <f>G1570+H1570+I1570</f>
        <v>165900</v>
      </c>
      <c r="S1570" s="337">
        <v>165900</v>
      </c>
      <c r="T1570"/>
      <c r="U1570" s="3"/>
      <c r="V1570" t="s">
        <v>10832</v>
      </c>
    </row>
    <row r="1571" spans="1:22">
      <c r="A1571" s="165" t="s">
        <v>10841</v>
      </c>
      <c r="B1571" s="94">
        <v>1483</v>
      </c>
      <c r="C1571" s="165" t="s">
        <v>9727</v>
      </c>
      <c r="D1571" s="165"/>
      <c r="E1571" s="165" t="s">
        <v>10843</v>
      </c>
      <c r="F1571" s="165" t="s">
        <v>8879</v>
      </c>
      <c r="G1571" s="165"/>
      <c r="H1571" s="165">
        <v>6300</v>
      </c>
      <c r="I1571" s="165"/>
      <c r="J1571" s="165"/>
      <c r="K1571" s="165"/>
      <c r="L1571" s="165">
        <v>6300</v>
      </c>
      <c r="M1571" s="165"/>
      <c r="N1571" s="165"/>
      <c r="O1571" s="337">
        <f t="shared" si="73"/>
        <v>0</v>
      </c>
      <c r="P1571" s="165" t="s">
        <v>8915</v>
      </c>
      <c r="Q1571" s="165" t="s">
        <v>8915</v>
      </c>
      <c r="R1571" s="3">
        <f>G1571+H1571+I1571</f>
        <v>6300</v>
      </c>
      <c r="S1571" s="337">
        <v>6300</v>
      </c>
      <c r="T1571"/>
      <c r="U1571" s="3"/>
      <c r="V1571" t="s">
        <v>10845</v>
      </c>
    </row>
    <row r="1572" spans="1:22">
      <c r="A1572" s="165" t="s">
        <v>10841</v>
      </c>
      <c r="B1572" s="94">
        <v>1484</v>
      </c>
      <c r="C1572" s="165" t="s">
        <v>9799</v>
      </c>
      <c r="D1572" s="165">
        <v>1</v>
      </c>
      <c r="E1572" s="165" t="s">
        <v>10847</v>
      </c>
      <c r="F1572" s="165" t="s">
        <v>10848</v>
      </c>
      <c r="G1572" s="165"/>
      <c r="H1572" s="165">
        <v>20475</v>
      </c>
      <c r="I1572" s="165"/>
      <c r="J1572" s="165"/>
      <c r="K1572" s="165"/>
      <c r="L1572" s="165">
        <v>20475</v>
      </c>
      <c r="M1572" s="165"/>
      <c r="N1572" s="165"/>
      <c r="O1572" s="337">
        <f t="shared" si="73"/>
        <v>0</v>
      </c>
      <c r="P1572" s="165" t="s">
        <v>8915</v>
      </c>
      <c r="Q1572" s="165" t="s">
        <v>8915</v>
      </c>
      <c r="R1572" s="3">
        <f t="shared" ref="R1572:R1616" si="75">H1572</f>
        <v>20475</v>
      </c>
      <c r="S1572" s="337">
        <v>20475</v>
      </c>
      <c r="T1572"/>
      <c r="U1572" s="3"/>
    </row>
    <row r="1573" spans="1:22">
      <c r="A1573" s="165" t="s">
        <v>10841</v>
      </c>
      <c r="B1573" s="94">
        <v>1485</v>
      </c>
      <c r="C1573" s="165" t="s">
        <v>9799</v>
      </c>
      <c r="D1573" s="165">
        <v>2</v>
      </c>
      <c r="E1573" s="165" t="s">
        <v>10849</v>
      </c>
      <c r="F1573" s="165" t="s">
        <v>10852</v>
      </c>
      <c r="G1573" s="165"/>
      <c r="H1573" s="165">
        <v>20475</v>
      </c>
      <c r="I1573" s="165"/>
      <c r="J1573" s="165"/>
      <c r="K1573" s="165"/>
      <c r="L1573" s="165">
        <v>20475</v>
      </c>
      <c r="M1573" s="165"/>
      <c r="N1573" s="165"/>
      <c r="O1573" s="337">
        <f t="shared" si="73"/>
        <v>0</v>
      </c>
      <c r="P1573" s="165" t="s">
        <v>8973</v>
      </c>
      <c r="Q1573" s="165" t="s">
        <v>10852</v>
      </c>
      <c r="R1573" s="3">
        <f t="shared" si="75"/>
        <v>20475</v>
      </c>
      <c r="S1573" s="337">
        <v>20475</v>
      </c>
      <c r="T1573"/>
      <c r="U1573" s="3"/>
    </row>
    <row r="1574" spans="1:22">
      <c r="A1574" s="165" t="s">
        <v>10841</v>
      </c>
      <c r="B1574" s="94">
        <v>1486</v>
      </c>
      <c r="C1574" s="165" t="s">
        <v>9799</v>
      </c>
      <c r="D1574" s="165">
        <v>3</v>
      </c>
      <c r="E1574" s="165" t="s">
        <v>10850</v>
      </c>
      <c r="F1574" s="165" t="s">
        <v>10853</v>
      </c>
      <c r="G1574" s="165"/>
      <c r="H1574" s="165">
        <v>20475</v>
      </c>
      <c r="I1574" s="165"/>
      <c r="J1574" s="165"/>
      <c r="K1574" s="165"/>
      <c r="L1574" s="165">
        <v>20475</v>
      </c>
      <c r="M1574" s="165"/>
      <c r="N1574" s="165"/>
      <c r="O1574" s="337">
        <f t="shared" si="73"/>
        <v>0</v>
      </c>
      <c r="P1574" s="165" t="s">
        <v>10960</v>
      </c>
      <c r="Q1574" s="165" t="s">
        <v>10853</v>
      </c>
      <c r="R1574" s="3">
        <f t="shared" si="75"/>
        <v>20475</v>
      </c>
      <c r="S1574" s="337">
        <v>20475</v>
      </c>
      <c r="T1574"/>
      <c r="U1574" s="3"/>
    </row>
    <row r="1575" spans="1:22">
      <c r="A1575" s="165" t="s">
        <v>10841</v>
      </c>
      <c r="B1575" s="94">
        <v>1487</v>
      </c>
      <c r="C1575" s="165" t="s">
        <v>9799</v>
      </c>
      <c r="D1575" s="165">
        <v>4</v>
      </c>
      <c r="E1575" s="165" t="s">
        <v>10851</v>
      </c>
      <c r="F1575" s="165" t="s">
        <v>10854</v>
      </c>
      <c r="G1575" s="165"/>
      <c r="H1575" s="165">
        <v>20475</v>
      </c>
      <c r="I1575" s="165"/>
      <c r="J1575" s="165"/>
      <c r="K1575" s="165"/>
      <c r="L1575" s="165">
        <v>20475</v>
      </c>
      <c r="M1575" s="165"/>
      <c r="N1575" s="165"/>
      <c r="O1575" s="337">
        <f t="shared" si="73"/>
        <v>0</v>
      </c>
      <c r="P1575" s="165" t="s">
        <v>11052</v>
      </c>
      <c r="Q1575" s="165" t="s">
        <v>11062</v>
      </c>
      <c r="R1575" s="3">
        <f t="shared" si="75"/>
        <v>20475</v>
      </c>
      <c r="S1575" s="337">
        <v>20475</v>
      </c>
      <c r="T1575"/>
      <c r="U1575" s="3"/>
    </row>
    <row r="1576" spans="1:22">
      <c r="A1576" s="165" t="s">
        <v>9700</v>
      </c>
      <c r="B1576" s="94">
        <v>1488</v>
      </c>
      <c r="C1576" s="165" t="s">
        <v>10876</v>
      </c>
      <c r="D1576" s="165">
        <v>1</v>
      </c>
      <c r="E1576" s="165" t="s">
        <v>10877</v>
      </c>
      <c r="F1576" s="165" t="s">
        <v>9661</v>
      </c>
      <c r="G1576" s="165"/>
      <c r="H1576" s="165">
        <v>12600</v>
      </c>
      <c r="I1576" s="165"/>
      <c r="J1576" s="165"/>
      <c r="K1576" s="165"/>
      <c r="L1576" s="165">
        <v>12600</v>
      </c>
      <c r="M1576" s="165"/>
      <c r="N1576" s="165"/>
      <c r="O1576" s="337">
        <f t="shared" si="73"/>
        <v>0</v>
      </c>
      <c r="P1576" s="165" t="s">
        <v>8973</v>
      </c>
      <c r="Q1576" s="165" t="s">
        <v>9661</v>
      </c>
      <c r="R1576" s="3">
        <f t="shared" si="75"/>
        <v>12600</v>
      </c>
      <c r="S1576" s="337">
        <v>12600</v>
      </c>
      <c r="T1576"/>
      <c r="U1576" s="3"/>
    </row>
    <row r="1577" spans="1:22">
      <c r="A1577" s="165" t="s">
        <v>9700</v>
      </c>
      <c r="B1577" s="94">
        <v>1489</v>
      </c>
      <c r="C1577" s="165" t="s">
        <v>10876</v>
      </c>
      <c r="D1577" s="165">
        <v>2</v>
      </c>
      <c r="E1577" s="165" t="s">
        <v>10878</v>
      </c>
      <c r="F1577" s="165" t="s">
        <v>10885</v>
      </c>
      <c r="G1577" s="165"/>
      <c r="H1577" s="165">
        <v>12600</v>
      </c>
      <c r="I1577" s="165"/>
      <c r="J1577" s="165"/>
      <c r="K1577" s="165"/>
      <c r="L1577" s="165">
        <v>12600</v>
      </c>
      <c r="M1577" s="165"/>
      <c r="N1577" s="165"/>
      <c r="O1577" s="337">
        <f t="shared" si="73"/>
        <v>0</v>
      </c>
      <c r="P1577" s="165" t="s">
        <v>10960</v>
      </c>
      <c r="Q1577" s="165" t="s">
        <v>10885</v>
      </c>
      <c r="R1577" s="3">
        <f t="shared" si="75"/>
        <v>12600</v>
      </c>
      <c r="S1577" s="337">
        <v>12600</v>
      </c>
      <c r="T1577"/>
      <c r="U1577" s="3"/>
    </row>
    <row r="1578" spans="1:22">
      <c r="A1578" s="165" t="s">
        <v>9700</v>
      </c>
      <c r="B1578" s="94">
        <v>1490</v>
      </c>
      <c r="C1578" s="165" t="s">
        <v>10876</v>
      </c>
      <c r="D1578" s="165">
        <v>3</v>
      </c>
      <c r="E1578" s="165" t="s">
        <v>10879</v>
      </c>
      <c r="F1578" s="165" t="s">
        <v>10886</v>
      </c>
      <c r="G1578" s="165"/>
      <c r="H1578" s="165">
        <v>12600</v>
      </c>
      <c r="I1578" s="165"/>
      <c r="J1578" s="165"/>
      <c r="K1578" s="165"/>
      <c r="L1578" s="165">
        <v>12600</v>
      </c>
      <c r="M1578" s="165"/>
      <c r="N1578" s="165"/>
      <c r="O1578" s="337">
        <f t="shared" si="73"/>
        <v>0</v>
      </c>
      <c r="P1578" s="165" t="s">
        <v>11052</v>
      </c>
      <c r="Q1578" s="165" t="s">
        <v>10886</v>
      </c>
      <c r="R1578" s="3">
        <f t="shared" si="75"/>
        <v>12600</v>
      </c>
      <c r="S1578" s="337">
        <v>12600</v>
      </c>
      <c r="T1578"/>
      <c r="U1578" s="3"/>
    </row>
    <row r="1579" spans="1:22">
      <c r="A1579" s="165" t="s">
        <v>9700</v>
      </c>
      <c r="B1579" s="94">
        <v>1491</v>
      </c>
      <c r="C1579" s="165" t="s">
        <v>10876</v>
      </c>
      <c r="D1579" s="165">
        <v>4</v>
      </c>
      <c r="E1579" s="165" t="s">
        <v>10880</v>
      </c>
      <c r="F1579" s="165" t="s">
        <v>10887</v>
      </c>
      <c r="G1579" s="165"/>
      <c r="H1579" s="165">
        <v>12600</v>
      </c>
      <c r="I1579" s="165"/>
      <c r="J1579" s="165"/>
      <c r="K1579" s="165"/>
      <c r="L1579" s="165">
        <v>12600</v>
      </c>
      <c r="M1579" s="165"/>
      <c r="N1579" s="165"/>
      <c r="O1579" s="337">
        <f t="shared" si="73"/>
        <v>0</v>
      </c>
      <c r="P1579" s="165" t="s">
        <v>16140</v>
      </c>
      <c r="Q1579" s="165" t="s">
        <v>16134</v>
      </c>
      <c r="R1579" s="3">
        <f t="shared" si="75"/>
        <v>12600</v>
      </c>
      <c r="S1579" s="337">
        <v>12600</v>
      </c>
      <c r="T1579"/>
      <c r="U1579" s="3"/>
    </row>
    <row r="1580" spans="1:22">
      <c r="A1580" s="165" t="s">
        <v>9700</v>
      </c>
      <c r="B1580" s="94">
        <v>1492</v>
      </c>
      <c r="C1580" s="165" t="s">
        <v>10876</v>
      </c>
      <c r="D1580" s="165">
        <v>5</v>
      </c>
      <c r="E1580" s="165" t="s">
        <v>10881</v>
      </c>
      <c r="F1580" s="165" t="s">
        <v>10888</v>
      </c>
      <c r="G1580" s="165"/>
      <c r="H1580" s="165">
        <v>12600</v>
      </c>
      <c r="I1580" s="165"/>
      <c r="J1580" s="165"/>
      <c r="K1580" s="165"/>
      <c r="L1580" s="165">
        <v>12600</v>
      </c>
      <c r="M1580" s="165"/>
      <c r="N1580" s="165"/>
      <c r="O1580" s="337">
        <f t="shared" si="73"/>
        <v>0</v>
      </c>
      <c r="P1580" s="165" t="s">
        <v>16226</v>
      </c>
      <c r="Q1580" s="165" t="s">
        <v>16226</v>
      </c>
      <c r="R1580" s="3">
        <f t="shared" si="75"/>
        <v>12600</v>
      </c>
      <c r="S1580" s="337">
        <v>12600</v>
      </c>
      <c r="T1580"/>
      <c r="U1580" s="3"/>
    </row>
    <row r="1581" spans="1:22">
      <c r="A1581" s="165" t="s">
        <v>9700</v>
      </c>
      <c r="B1581" s="94">
        <v>1493</v>
      </c>
      <c r="C1581" s="165" t="s">
        <v>10876</v>
      </c>
      <c r="D1581" s="165">
        <v>6</v>
      </c>
      <c r="E1581" s="165" t="s">
        <v>10882</v>
      </c>
      <c r="F1581" s="165" t="s">
        <v>10889</v>
      </c>
      <c r="G1581" s="165"/>
      <c r="H1581" s="165">
        <v>12600</v>
      </c>
      <c r="I1581" s="165"/>
      <c r="J1581" s="165"/>
      <c r="K1581" s="165"/>
      <c r="L1581" s="165">
        <v>12600</v>
      </c>
      <c r="M1581" s="165"/>
      <c r="N1581" s="165"/>
      <c r="O1581" s="337">
        <f t="shared" si="73"/>
        <v>0</v>
      </c>
      <c r="P1581" s="165" t="s">
        <v>16376</v>
      </c>
      <c r="Q1581" s="165" t="s">
        <v>16377</v>
      </c>
      <c r="R1581" s="3">
        <f t="shared" si="75"/>
        <v>12600</v>
      </c>
      <c r="S1581" s="337">
        <v>12600</v>
      </c>
      <c r="T1581"/>
      <c r="U1581" s="3"/>
    </row>
    <row r="1582" spans="1:22">
      <c r="A1582" s="165" t="s">
        <v>9700</v>
      </c>
      <c r="B1582" s="94">
        <v>1494</v>
      </c>
      <c r="C1582" s="165" t="s">
        <v>10876</v>
      </c>
      <c r="D1582" s="165">
        <v>7</v>
      </c>
      <c r="E1582" s="165" t="s">
        <v>10883</v>
      </c>
      <c r="F1582" s="165" t="s">
        <v>10890</v>
      </c>
      <c r="G1582" s="165"/>
      <c r="H1582" s="165">
        <v>12600</v>
      </c>
      <c r="I1582" s="165"/>
      <c r="J1582" s="165"/>
      <c r="K1582" s="165"/>
      <c r="L1582" s="165">
        <v>12600</v>
      </c>
      <c r="M1582" s="165"/>
      <c r="N1582" s="165"/>
      <c r="O1582" s="337">
        <f t="shared" si="73"/>
        <v>0</v>
      </c>
      <c r="P1582" s="165" t="s">
        <v>16507</v>
      </c>
      <c r="Q1582" s="165" t="s">
        <v>16508</v>
      </c>
      <c r="R1582" s="3">
        <f t="shared" si="75"/>
        <v>12600</v>
      </c>
      <c r="S1582" s="337">
        <v>12600</v>
      </c>
      <c r="T1582"/>
      <c r="U1582" s="3"/>
    </row>
    <row r="1583" spans="1:22">
      <c r="A1583" s="165" t="s">
        <v>9700</v>
      </c>
      <c r="B1583" s="94">
        <v>1495</v>
      </c>
      <c r="C1583" s="165" t="s">
        <v>10876</v>
      </c>
      <c r="D1583" s="165">
        <v>8</v>
      </c>
      <c r="E1583" s="165" t="s">
        <v>10884</v>
      </c>
      <c r="F1583" s="165" t="s">
        <v>10891</v>
      </c>
      <c r="G1583" s="165"/>
      <c r="H1583" s="165">
        <v>12600</v>
      </c>
      <c r="I1583" s="165"/>
      <c r="J1583" s="165"/>
      <c r="K1583" s="165"/>
      <c r="L1583" s="165"/>
      <c r="M1583" s="165">
        <v>12600</v>
      </c>
      <c r="N1583" s="165"/>
      <c r="O1583" s="337">
        <f t="shared" si="73"/>
        <v>12600</v>
      </c>
      <c r="P1583" s="165"/>
      <c r="Q1583" s="165"/>
      <c r="R1583" s="3">
        <f t="shared" si="75"/>
        <v>12600</v>
      </c>
      <c r="S1583" s="337"/>
      <c r="T1583"/>
      <c r="U1583" s="3"/>
    </row>
    <row r="1584" spans="1:22">
      <c r="A1584" s="165" t="s">
        <v>10852</v>
      </c>
      <c r="B1584" s="94">
        <v>1496</v>
      </c>
      <c r="C1584" s="165" t="s">
        <v>4038</v>
      </c>
      <c r="D1584" s="165">
        <v>1</v>
      </c>
      <c r="E1584" s="165" t="s">
        <v>10912</v>
      </c>
      <c r="F1584" s="165" t="s">
        <v>5530</v>
      </c>
      <c r="G1584" s="165"/>
      <c r="H1584" s="165">
        <v>14175</v>
      </c>
      <c r="I1584" s="165"/>
      <c r="J1584" s="165"/>
      <c r="K1584" s="165"/>
      <c r="L1584" s="165">
        <v>14175</v>
      </c>
      <c r="M1584" s="165"/>
      <c r="N1584" s="165"/>
      <c r="O1584" s="337">
        <f t="shared" si="73"/>
        <v>0</v>
      </c>
      <c r="P1584" s="165" t="s">
        <v>9702</v>
      </c>
      <c r="Q1584" s="165" t="s">
        <v>9702</v>
      </c>
      <c r="R1584" s="3">
        <f t="shared" si="75"/>
        <v>14175</v>
      </c>
      <c r="S1584" s="337">
        <v>14175</v>
      </c>
      <c r="T1584"/>
      <c r="U1584" s="3"/>
    </row>
    <row r="1585" spans="1:21">
      <c r="A1585" s="165" t="s">
        <v>10852</v>
      </c>
      <c r="B1585" s="94">
        <v>1497</v>
      </c>
      <c r="C1585" s="165" t="s">
        <v>4038</v>
      </c>
      <c r="D1585" s="165">
        <v>2</v>
      </c>
      <c r="E1585" s="165" t="s">
        <v>10913</v>
      </c>
      <c r="F1585" s="165" t="s">
        <v>5563</v>
      </c>
      <c r="G1585" s="165"/>
      <c r="H1585" s="165">
        <v>14175</v>
      </c>
      <c r="I1585" s="165"/>
      <c r="J1585" s="165"/>
      <c r="K1585" s="165"/>
      <c r="L1585" s="165">
        <v>14175</v>
      </c>
      <c r="M1585" s="165"/>
      <c r="N1585" s="165"/>
      <c r="O1585" s="337">
        <f t="shared" si="73"/>
        <v>0</v>
      </c>
      <c r="P1585" s="165" t="s">
        <v>10960</v>
      </c>
      <c r="Q1585" s="165" t="s">
        <v>5563</v>
      </c>
      <c r="R1585" s="3">
        <f t="shared" si="75"/>
        <v>14175</v>
      </c>
      <c r="S1585" s="337">
        <v>14175</v>
      </c>
      <c r="T1585"/>
      <c r="U1585" s="3"/>
    </row>
    <row r="1586" spans="1:21">
      <c r="A1586" s="165" t="s">
        <v>10852</v>
      </c>
      <c r="B1586" s="94">
        <v>1498</v>
      </c>
      <c r="C1586" s="165" t="s">
        <v>4038</v>
      </c>
      <c r="D1586" s="165">
        <v>3</v>
      </c>
      <c r="E1586" s="165" t="s">
        <v>10914</v>
      </c>
      <c r="F1586" s="165" t="s">
        <v>10905</v>
      </c>
      <c r="G1586" s="165"/>
      <c r="H1586" s="165">
        <v>14175</v>
      </c>
      <c r="I1586" s="165"/>
      <c r="J1586" s="165"/>
      <c r="K1586" s="165"/>
      <c r="L1586" s="165">
        <v>14175</v>
      </c>
      <c r="M1586" s="165"/>
      <c r="N1586" s="165"/>
      <c r="O1586" s="337">
        <f t="shared" si="73"/>
        <v>0</v>
      </c>
      <c r="P1586" s="165" t="s">
        <v>11052</v>
      </c>
      <c r="Q1586" s="165" t="s">
        <v>10905</v>
      </c>
      <c r="R1586" s="3">
        <f t="shared" si="75"/>
        <v>14175</v>
      </c>
      <c r="S1586" s="337">
        <v>14175</v>
      </c>
      <c r="T1586"/>
      <c r="U1586" s="3"/>
    </row>
    <row r="1587" spans="1:21">
      <c r="A1587" s="165" t="s">
        <v>10852</v>
      </c>
      <c r="B1587" s="94">
        <v>1499</v>
      </c>
      <c r="C1587" s="165" t="s">
        <v>4038</v>
      </c>
      <c r="D1587" s="165">
        <v>4</v>
      </c>
      <c r="E1587" s="165" t="s">
        <v>10915</v>
      </c>
      <c r="F1587" s="165" t="s">
        <v>10906</v>
      </c>
      <c r="G1587" s="165"/>
      <c r="H1587" s="165">
        <v>14175</v>
      </c>
      <c r="I1587" s="165"/>
      <c r="J1587" s="165"/>
      <c r="K1587" s="165"/>
      <c r="L1587" s="165">
        <v>14175</v>
      </c>
      <c r="M1587" s="165"/>
      <c r="N1587" s="165"/>
      <c r="O1587" s="337">
        <f t="shared" si="73"/>
        <v>0</v>
      </c>
      <c r="P1587" s="165" t="s">
        <v>16137</v>
      </c>
      <c r="Q1587" s="165" t="s">
        <v>16139</v>
      </c>
      <c r="R1587" s="3">
        <f t="shared" si="75"/>
        <v>14175</v>
      </c>
      <c r="S1587" s="337">
        <v>14175</v>
      </c>
      <c r="T1587"/>
      <c r="U1587" s="3"/>
    </row>
    <row r="1588" spans="1:21">
      <c r="A1588" s="165" t="s">
        <v>10852</v>
      </c>
      <c r="B1588" s="94">
        <v>1500</v>
      </c>
      <c r="C1588" s="165" t="s">
        <v>4038</v>
      </c>
      <c r="D1588" s="165">
        <v>5</v>
      </c>
      <c r="E1588" s="165" t="s">
        <v>10916</v>
      </c>
      <c r="F1588" s="165" t="s">
        <v>10907</v>
      </c>
      <c r="G1588" s="165"/>
      <c r="H1588" s="165">
        <v>14175</v>
      </c>
      <c r="I1588" s="165"/>
      <c r="J1588" s="165"/>
      <c r="K1588" s="165"/>
      <c r="L1588" s="165">
        <v>14175</v>
      </c>
      <c r="M1588" s="165"/>
      <c r="N1588" s="165"/>
      <c r="O1588" s="337">
        <f t="shared" si="73"/>
        <v>0</v>
      </c>
      <c r="P1588" s="165" t="s">
        <v>16228</v>
      </c>
      <c r="Q1588" s="165" t="s">
        <v>16229</v>
      </c>
      <c r="R1588" s="3">
        <f t="shared" si="75"/>
        <v>14175</v>
      </c>
      <c r="S1588" s="337">
        <v>14175</v>
      </c>
      <c r="T1588"/>
      <c r="U1588" s="3"/>
    </row>
    <row r="1589" spans="1:21">
      <c r="A1589" s="165" t="s">
        <v>10852</v>
      </c>
      <c r="B1589" s="94">
        <v>1501</v>
      </c>
      <c r="C1589" s="165" t="s">
        <v>4038</v>
      </c>
      <c r="D1589" s="165">
        <v>6</v>
      </c>
      <c r="E1589" s="165" t="s">
        <v>10917</v>
      </c>
      <c r="F1589" s="165" t="s">
        <v>10908</v>
      </c>
      <c r="G1589" s="165"/>
      <c r="H1589" s="165">
        <v>14175</v>
      </c>
      <c r="I1589" s="165"/>
      <c r="J1589" s="165"/>
      <c r="K1589" s="165"/>
      <c r="L1589" s="165">
        <v>14175</v>
      </c>
      <c r="M1589" s="165"/>
      <c r="N1589" s="165"/>
      <c r="O1589" s="337">
        <f t="shared" si="73"/>
        <v>0</v>
      </c>
      <c r="P1589" s="165" t="s">
        <v>16374</v>
      </c>
      <c r="Q1589" s="165" t="s">
        <v>16374</v>
      </c>
      <c r="R1589" s="3">
        <f t="shared" si="75"/>
        <v>14175</v>
      </c>
      <c r="S1589" s="337">
        <v>14175</v>
      </c>
      <c r="T1589"/>
      <c r="U1589" s="3"/>
    </row>
    <row r="1590" spans="1:21">
      <c r="A1590" s="165" t="s">
        <v>10852</v>
      </c>
      <c r="B1590" s="94">
        <v>1502</v>
      </c>
      <c r="C1590" s="165" t="s">
        <v>4038</v>
      </c>
      <c r="D1590" s="165">
        <v>7</v>
      </c>
      <c r="E1590" s="165" t="s">
        <v>10918</v>
      </c>
      <c r="F1590" s="165" t="s">
        <v>10909</v>
      </c>
      <c r="G1590" s="165"/>
      <c r="H1590" s="165">
        <v>14175</v>
      </c>
      <c r="I1590" s="165"/>
      <c r="J1590" s="165"/>
      <c r="K1590" s="165"/>
      <c r="L1590" s="165">
        <v>14175</v>
      </c>
      <c r="M1590" s="165"/>
      <c r="N1590" s="165"/>
      <c r="O1590" s="337">
        <f t="shared" si="73"/>
        <v>0</v>
      </c>
      <c r="P1590" s="165" t="s">
        <v>16504</v>
      </c>
      <c r="Q1590" s="165" t="s">
        <v>16504</v>
      </c>
      <c r="R1590" s="3">
        <f t="shared" si="75"/>
        <v>14175</v>
      </c>
      <c r="S1590" s="337">
        <v>14175</v>
      </c>
      <c r="T1590"/>
      <c r="U1590" s="3"/>
    </row>
    <row r="1591" spans="1:21">
      <c r="A1591" s="165" t="s">
        <v>10852</v>
      </c>
      <c r="B1591" s="94">
        <v>1503</v>
      </c>
      <c r="C1591" s="165" t="s">
        <v>4038</v>
      </c>
      <c r="D1591" s="165">
        <v>8</v>
      </c>
      <c r="E1591" s="165" t="s">
        <v>10919</v>
      </c>
      <c r="F1591" s="165" t="s">
        <v>10910</v>
      </c>
      <c r="G1591" s="165"/>
      <c r="H1591" s="165">
        <v>14175</v>
      </c>
      <c r="I1591" s="165"/>
      <c r="J1591" s="165"/>
      <c r="K1591" s="165"/>
      <c r="L1591" s="165"/>
      <c r="M1591" s="165">
        <v>14175</v>
      </c>
      <c r="N1591" s="165"/>
      <c r="O1591" s="337">
        <f t="shared" si="73"/>
        <v>14175</v>
      </c>
      <c r="P1591" s="165"/>
      <c r="Q1591" s="165"/>
      <c r="R1591" s="3">
        <f t="shared" si="75"/>
        <v>14175</v>
      </c>
      <c r="S1591" s="337"/>
      <c r="T1591"/>
      <c r="U1591" s="3"/>
    </row>
    <row r="1592" spans="1:21">
      <c r="A1592" s="165" t="s">
        <v>5562</v>
      </c>
      <c r="B1592" s="94">
        <v>1504</v>
      </c>
      <c r="C1592" s="165" t="s">
        <v>5189</v>
      </c>
      <c r="D1592" s="165">
        <v>1</v>
      </c>
      <c r="E1592" s="165" t="s">
        <v>10895</v>
      </c>
      <c r="F1592" s="165" t="s">
        <v>5530</v>
      </c>
      <c r="G1592" s="165"/>
      <c r="H1592" s="165">
        <v>13500</v>
      </c>
      <c r="I1592" s="165"/>
      <c r="J1592" s="165"/>
      <c r="K1592" s="165"/>
      <c r="L1592" s="165">
        <v>13500</v>
      </c>
      <c r="M1592" s="165"/>
      <c r="N1592" s="165"/>
      <c r="O1592" s="337">
        <f t="shared" si="73"/>
        <v>0</v>
      </c>
      <c r="P1592" s="165" t="s">
        <v>9702</v>
      </c>
      <c r="Q1592" s="165" t="s">
        <v>9702</v>
      </c>
      <c r="R1592" s="3">
        <f t="shared" si="75"/>
        <v>13500</v>
      </c>
      <c r="S1592" s="337">
        <v>13500</v>
      </c>
      <c r="T1592"/>
      <c r="U1592" s="3"/>
    </row>
    <row r="1593" spans="1:21">
      <c r="A1593" s="165" t="s">
        <v>5562</v>
      </c>
      <c r="B1593" s="94">
        <v>1505</v>
      </c>
      <c r="C1593" s="165" t="s">
        <v>5189</v>
      </c>
      <c r="D1593" s="165">
        <v>2</v>
      </c>
      <c r="E1593" s="165" t="s">
        <v>10898</v>
      </c>
      <c r="F1593" s="165" t="s">
        <v>5563</v>
      </c>
      <c r="G1593" s="165"/>
      <c r="H1593" s="165">
        <v>13500</v>
      </c>
      <c r="I1593" s="165"/>
      <c r="J1593" s="165"/>
      <c r="K1593" s="165"/>
      <c r="L1593" s="165">
        <v>13500</v>
      </c>
      <c r="M1593" s="165"/>
      <c r="N1593" s="165"/>
      <c r="O1593" s="337">
        <f t="shared" si="73"/>
        <v>0</v>
      </c>
      <c r="P1593" s="165" t="s">
        <v>10960</v>
      </c>
      <c r="Q1593" s="165" t="s">
        <v>10972</v>
      </c>
      <c r="R1593" s="3">
        <f t="shared" si="75"/>
        <v>13500</v>
      </c>
      <c r="S1593" s="337">
        <v>13500</v>
      </c>
      <c r="T1593"/>
      <c r="U1593" s="3"/>
    </row>
    <row r="1594" spans="1:21">
      <c r="A1594" s="165" t="s">
        <v>5562</v>
      </c>
      <c r="B1594" s="94">
        <v>1506</v>
      </c>
      <c r="C1594" s="165" t="s">
        <v>5189</v>
      </c>
      <c r="D1594" s="165">
        <v>3</v>
      </c>
      <c r="E1594" s="165" t="s">
        <v>10899</v>
      </c>
      <c r="F1594" s="165" t="s">
        <v>10905</v>
      </c>
      <c r="G1594" s="165"/>
      <c r="H1594" s="165">
        <v>13500</v>
      </c>
      <c r="I1594" s="165"/>
      <c r="J1594" s="165"/>
      <c r="K1594" s="165"/>
      <c r="L1594" s="165">
        <v>13500</v>
      </c>
      <c r="M1594" s="165"/>
      <c r="N1594" s="165"/>
      <c r="O1594" s="337">
        <f t="shared" si="73"/>
        <v>0</v>
      </c>
      <c r="P1594" s="165" t="s">
        <v>11052</v>
      </c>
      <c r="Q1594" s="165" t="s">
        <v>10905</v>
      </c>
      <c r="R1594" s="3">
        <f t="shared" si="75"/>
        <v>13500</v>
      </c>
      <c r="S1594" s="337">
        <v>13500</v>
      </c>
      <c r="T1594"/>
      <c r="U1594" s="3"/>
    </row>
    <row r="1595" spans="1:21">
      <c r="A1595" s="165" t="s">
        <v>5562</v>
      </c>
      <c r="B1595" s="94">
        <v>1507</v>
      </c>
      <c r="C1595" s="165" t="s">
        <v>5189</v>
      </c>
      <c r="D1595" s="165">
        <v>4</v>
      </c>
      <c r="E1595" s="165" t="s">
        <v>10900</v>
      </c>
      <c r="F1595" s="165" t="s">
        <v>10906</v>
      </c>
      <c r="G1595" s="165"/>
      <c r="H1595" s="165">
        <v>13500</v>
      </c>
      <c r="I1595" s="165"/>
      <c r="J1595" s="165"/>
      <c r="K1595" s="165"/>
      <c r="L1595" s="165">
        <v>13500</v>
      </c>
      <c r="M1595" s="165"/>
      <c r="N1595" s="165"/>
      <c r="O1595" s="337">
        <f t="shared" si="73"/>
        <v>0</v>
      </c>
      <c r="P1595" s="165" t="s">
        <v>16137</v>
      </c>
      <c r="Q1595" s="165" t="s">
        <v>16138</v>
      </c>
      <c r="R1595" s="3">
        <f t="shared" si="75"/>
        <v>13500</v>
      </c>
      <c r="S1595" s="337">
        <v>13500</v>
      </c>
      <c r="T1595"/>
      <c r="U1595" s="3"/>
    </row>
    <row r="1596" spans="1:21">
      <c r="A1596" s="165" t="s">
        <v>5562</v>
      </c>
      <c r="B1596" s="94">
        <v>1508</v>
      </c>
      <c r="C1596" s="165" t="s">
        <v>5189</v>
      </c>
      <c r="D1596" s="165">
        <v>5</v>
      </c>
      <c r="E1596" s="165" t="s">
        <v>10901</v>
      </c>
      <c r="F1596" s="165" t="s">
        <v>10907</v>
      </c>
      <c r="G1596" s="165"/>
      <c r="H1596" s="165">
        <v>13500</v>
      </c>
      <c r="I1596" s="165"/>
      <c r="J1596" s="165"/>
      <c r="K1596" s="165"/>
      <c r="L1596" s="165">
        <v>13500</v>
      </c>
      <c r="M1596" s="165"/>
      <c r="N1596" s="165"/>
      <c r="O1596" s="337">
        <f t="shared" si="73"/>
        <v>0</v>
      </c>
      <c r="P1596" s="165" t="s">
        <v>16226</v>
      </c>
      <c r="Q1596" s="165" t="s">
        <v>16226</v>
      </c>
      <c r="R1596" s="3">
        <f t="shared" si="75"/>
        <v>13500</v>
      </c>
      <c r="S1596" s="337">
        <v>13500</v>
      </c>
      <c r="T1596"/>
      <c r="U1596" s="3"/>
    </row>
    <row r="1597" spans="1:21">
      <c r="A1597" s="165" t="s">
        <v>5562</v>
      </c>
      <c r="B1597" s="94">
        <v>1509</v>
      </c>
      <c r="C1597" s="165" t="s">
        <v>5189</v>
      </c>
      <c r="D1597" s="165">
        <v>6</v>
      </c>
      <c r="E1597" s="165" t="s">
        <v>10902</v>
      </c>
      <c r="F1597" s="165" t="s">
        <v>10908</v>
      </c>
      <c r="G1597" s="165"/>
      <c r="H1597" s="165">
        <v>13500</v>
      </c>
      <c r="I1597" s="165"/>
      <c r="J1597" s="165"/>
      <c r="K1597" s="165"/>
      <c r="L1597" s="165">
        <v>13500</v>
      </c>
      <c r="M1597" s="165"/>
      <c r="N1597" s="165"/>
      <c r="O1597" s="337">
        <f t="shared" si="73"/>
        <v>0</v>
      </c>
      <c r="P1597" s="165" t="s">
        <v>16375</v>
      </c>
      <c r="Q1597" s="165" t="s">
        <v>16374</v>
      </c>
      <c r="R1597" s="3">
        <f t="shared" si="75"/>
        <v>13500</v>
      </c>
      <c r="S1597" s="337">
        <v>13500</v>
      </c>
      <c r="T1597"/>
      <c r="U1597" s="3"/>
    </row>
    <row r="1598" spans="1:21">
      <c r="A1598" s="165" t="s">
        <v>5562</v>
      </c>
      <c r="B1598" s="94">
        <v>1510</v>
      </c>
      <c r="C1598" s="165" t="s">
        <v>5189</v>
      </c>
      <c r="D1598" s="165">
        <v>7</v>
      </c>
      <c r="E1598" s="165" t="s">
        <v>10903</v>
      </c>
      <c r="F1598" s="165" t="s">
        <v>10909</v>
      </c>
      <c r="G1598" s="165"/>
      <c r="H1598" s="165">
        <v>13500</v>
      </c>
      <c r="I1598" s="165"/>
      <c r="J1598" s="165"/>
      <c r="K1598" s="165"/>
      <c r="L1598" s="165">
        <v>13500</v>
      </c>
      <c r="M1598" s="165"/>
      <c r="N1598" s="165"/>
      <c r="O1598" s="337">
        <f t="shared" si="73"/>
        <v>0</v>
      </c>
      <c r="P1598" s="165" t="s">
        <v>16506</v>
      </c>
      <c r="Q1598" s="165" t="s">
        <v>16505</v>
      </c>
      <c r="R1598" s="3">
        <f t="shared" si="75"/>
        <v>13500</v>
      </c>
      <c r="S1598" s="337">
        <v>13500</v>
      </c>
      <c r="T1598"/>
      <c r="U1598" s="3"/>
    </row>
    <row r="1599" spans="1:21">
      <c r="A1599" s="165" t="s">
        <v>5562</v>
      </c>
      <c r="B1599" s="94">
        <v>1511</v>
      </c>
      <c r="C1599" s="165" t="s">
        <v>5189</v>
      </c>
      <c r="D1599" s="165">
        <v>8</v>
      </c>
      <c r="E1599" s="165" t="s">
        <v>10904</v>
      </c>
      <c r="F1599" s="165" t="s">
        <v>10910</v>
      </c>
      <c r="G1599" s="165"/>
      <c r="H1599" s="165">
        <v>13500</v>
      </c>
      <c r="I1599" s="165"/>
      <c r="J1599" s="165"/>
      <c r="K1599" s="165"/>
      <c r="L1599" s="165"/>
      <c r="M1599" s="165">
        <v>13500</v>
      </c>
      <c r="N1599" s="165"/>
      <c r="O1599" s="337">
        <f t="shared" si="73"/>
        <v>13500</v>
      </c>
      <c r="P1599" s="165"/>
      <c r="Q1599" s="165"/>
      <c r="R1599" s="3">
        <f t="shared" si="75"/>
        <v>13500</v>
      </c>
      <c r="S1599" s="337"/>
      <c r="T1599"/>
      <c r="U1599" s="3"/>
    </row>
    <row r="1600" spans="1:21">
      <c r="A1600" s="165" t="s">
        <v>10925</v>
      </c>
      <c r="B1600" s="94">
        <v>1512</v>
      </c>
      <c r="C1600" s="165" t="s">
        <v>10667</v>
      </c>
      <c r="D1600" s="165">
        <v>1</v>
      </c>
      <c r="E1600" s="165" t="s">
        <v>10927</v>
      </c>
      <c r="F1600" s="165" t="s">
        <v>9924</v>
      </c>
      <c r="G1600" s="165"/>
      <c r="H1600" s="165">
        <v>13230</v>
      </c>
      <c r="I1600" s="165"/>
      <c r="J1600" s="165"/>
      <c r="K1600" s="165"/>
      <c r="L1600" s="165">
        <v>13230</v>
      </c>
      <c r="M1600" s="165"/>
      <c r="N1600" s="165"/>
      <c r="O1600" s="337">
        <f t="shared" si="73"/>
        <v>0</v>
      </c>
      <c r="P1600" s="165" t="s">
        <v>10936</v>
      </c>
      <c r="Q1600" s="165" t="s">
        <v>10936</v>
      </c>
      <c r="R1600" s="3">
        <f t="shared" si="75"/>
        <v>13230</v>
      </c>
      <c r="S1600" s="337">
        <v>13230</v>
      </c>
      <c r="T1600"/>
      <c r="U1600" s="3"/>
    </row>
    <row r="1601" spans="1:21">
      <c r="A1601" s="165" t="s">
        <v>10925</v>
      </c>
      <c r="B1601" s="94">
        <v>1513</v>
      </c>
      <c r="C1601" s="165" t="s">
        <v>10667</v>
      </c>
      <c r="D1601" s="165">
        <v>2</v>
      </c>
      <c r="E1601" s="165" t="s">
        <v>10928</v>
      </c>
      <c r="F1601" s="165" t="s">
        <v>9925</v>
      </c>
      <c r="G1601" s="165"/>
      <c r="H1601" s="165">
        <v>13230</v>
      </c>
      <c r="I1601" s="165"/>
      <c r="J1601" s="165"/>
      <c r="K1601" s="165"/>
      <c r="L1601" s="165">
        <v>13230</v>
      </c>
      <c r="M1601" s="165"/>
      <c r="N1601" s="165"/>
      <c r="O1601" s="337">
        <f t="shared" si="73"/>
        <v>0</v>
      </c>
      <c r="P1601" s="165" t="s">
        <v>10983</v>
      </c>
      <c r="Q1601" s="165" t="s">
        <v>9925</v>
      </c>
      <c r="R1601" s="3">
        <f t="shared" si="75"/>
        <v>13230</v>
      </c>
      <c r="S1601" s="337">
        <v>13230</v>
      </c>
      <c r="T1601"/>
      <c r="U1601" s="3"/>
    </row>
    <row r="1602" spans="1:21">
      <c r="A1602" s="165" t="s">
        <v>10925</v>
      </c>
      <c r="B1602" s="94">
        <v>1514</v>
      </c>
      <c r="C1602" s="165" t="s">
        <v>10667</v>
      </c>
      <c r="D1602" s="165">
        <v>3</v>
      </c>
      <c r="E1602" s="165" t="s">
        <v>10929</v>
      </c>
      <c r="F1602" s="165" t="s">
        <v>9937</v>
      </c>
      <c r="G1602" s="165"/>
      <c r="H1602" s="165">
        <v>13230</v>
      </c>
      <c r="I1602" s="165"/>
      <c r="J1602" s="165"/>
      <c r="K1602" s="165"/>
      <c r="L1602" s="165">
        <v>13230</v>
      </c>
      <c r="M1602" s="165"/>
      <c r="N1602" s="165"/>
      <c r="O1602" s="337">
        <f t="shared" si="73"/>
        <v>0</v>
      </c>
      <c r="P1602" s="165" t="s">
        <v>11084</v>
      </c>
      <c r="Q1602" s="165" t="s">
        <v>9937</v>
      </c>
      <c r="R1602" s="3">
        <f t="shared" si="75"/>
        <v>13230</v>
      </c>
      <c r="S1602" s="337">
        <v>13230</v>
      </c>
      <c r="T1602"/>
      <c r="U1602" s="3"/>
    </row>
    <row r="1603" spans="1:21">
      <c r="A1603" s="165" t="s">
        <v>10925</v>
      </c>
      <c r="B1603" s="94">
        <v>1515</v>
      </c>
      <c r="C1603" s="165" t="s">
        <v>10667</v>
      </c>
      <c r="D1603" s="165">
        <v>4</v>
      </c>
      <c r="E1603" s="165" t="s">
        <v>10930</v>
      </c>
      <c r="F1603" s="165" t="s">
        <v>10940</v>
      </c>
      <c r="G1603" s="165"/>
      <c r="H1603" s="165">
        <v>13230</v>
      </c>
      <c r="I1603" s="165"/>
      <c r="J1603" s="165"/>
      <c r="K1603" s="165"/>
      <c r="L1603" s="165">
        <v>13230</v>
      </c>
      <c r="M1603" s="165"/>
      <c r="N1603" s="165"/>
      <c r="O1603" s="337">
        <f t="shared" si="73"/>
        <v>0</v>
      </c>
      <c r="P1603" s="165" t="s">
        <v>16166</v>
      </c>
      <c r="Q1603" s="165" t="s">
        <v>16167</v>
      </c>
      <c r="R1603" s="3">
        <f t="shared" si="75"/>
        <v>13230</v>
      </c>
      <c r="S1603" s="337">
        <v>13230</v>
      </c>
      <c r="T1603"/>
      <c r="U1603" s="3"/>
    </row>
    <row r="1604" spans="1:21">
      <c r="A1604" s="165" t="s">
        <v>10925</v>
      </c>
      <c r="B1604" s="94">
        <v>1516</v>
      </c>
      <c r="C1604" s="165" t="s">
        <v>10667</v>
      </c>
      <c r="D1604" s="165">
        <v>5</v>
      </c>
      <c r="E1604" s="165" t="s">
        <v>10931</v>
      </c>
      <c r="F1604" s="165" t="s">
        <v>9928</v>
      </c>
      <c r="G1604" s="165"/>
      <c r="H1604" s="165">
        <v>13230</v>
      </c>
      <c r="I1604" s="165"/>
      <c r="J1604" s="165"/>
      <c r="K1604" s="165"/>
      <c r="L1604" s="165">
        <v>13230</v>
      </c>
      <c r="M1604" s="165"/>
      <c r="N1604" s="165"/>
      <c r="O1604" s="337">
        <f t="shared" si="73"/>
        <v>0</v>
      </c>
      <c r="P1604" s="165" t="s">
        <v>16274</v>
      </c>
      <c r="Q1604" s="165" t="s">
        <v>16275</v>
      </c>
      <c r="R1604" s="3">
        <f t="shared" si="75"/>
        <v>13230</v>
      </c>
      <c r="S1604" s="337">
        <v>13230</v>
      </c>
      <c r="T1604"/>
      <c r="U1604" s="3"/>
    </row>
    <row r="1605" spans="1:21">
      <c r="A1605" s="165" t="s">
        <v>10925</v>
      </c>
      <c r="B1605" s="94">
        <v>1517</v>
      </c>
      <c r="C1605" s="165" t="s">
        <v>10667</v>
      </c>
      <c r="D1605" s="165">
        <v>6</v>
      </c>
      <c r="E1605" s="165" t="s">
        <v>10932</v>
      </c>
      <c r="F1605" s="165" t="s">
        <v>10941</v>
      </c>
      <c r="G1605" s="165"/>
      <c r="H1605" s="165">
        <v>13230</v>
      </c>
      <c r="I1605" s="165"/>
      <c r="J1605" s="165"/>
      <c r="K1605" s="165"/>
      <c r="L1605" s="165">
        <v>13230</v>
      </c>
      <c r="M1605" s="165"/>
      <c r="N1605" s="165"/>
      <c r="O1605" s="337">
        <f t="shared" si="73"/>
        <v>0</v>
      </c>
      <c r="P1605" s="165" t="s">
        <v>16413</v>
      </c>
      <c r="Q1605" s="165" t="s">
        <v>16414</v>
      </c>
      <c r="R1605" s="3">
        <f t="shared" si="75"/>
        <v>13230</v>
      </c>
      <c r="S1605" s="337">
        <v>13230</v>
      </c>
      <c r="T1605"/>
      <c r="U1605" s="3"/>
    </row>
    <row r="1606" spans="1:21">
      <c r="A1606" s="165" t="s">
        <v>10925</v>
      </c>
      <c r="B1606" s="94">
        <v>1518</v>
      </c>
      <c r="C1606" s="165" t="s">
        <v>10667</v>
      </c>
      <c r="D1606" s="165">
        <v>7</v>
      </c>
      <c r="E1606" s="165" t="s">
        <v>10933</v>
      </c>
      <c r="F1606" s="165" t="s">
        <v>10942</v>
      </c>
      <c r="G1606" s="165"/>
      <c r="H1606" s="165">
        <v>13230</v>
      </c>
      <c r="I1606" s="165"/>
      <c r="J1606" s="165"/>
      <c r="K1606" s="165"/>
      <c r="L1606" s="165">
        <v>13230</v>
      </c>
      <c r="M1606" s="165"/>
      <c r="N1606" s="165"/>
      <c r="O1606" s="337">
        <f t="shared" si="73"/>
        <v>0</v>
      </c>
      <c r="P1606" s="165" t="s">
        <v>16527</v>
      </c>
      <c r="Q1606" s="165" t="s">
        <v>16527</v>
      </c>
      <c r="R1606" s="3">
        <f t="shared" si="75"/>
        <v>13230</v>
      </c>
      <c r="S1606" s="337">
        <v>13230</v>
      </c>
      <c r="T1606"/>
      <c r="U1606" s="3"/>
    </row>
    <row r="1607" spans="1:21">
      <c r="A1607" s="165" t="s">
        <v>10925</v>
      </c>
      <c r="B1607" s="94">
        <v>1519</v>
      </c>
      <c r="C1607" s="165" t="s">
        <v>10667</v>
      </c>
      <c r="D1607" s="165">
        <v>8</v>
      </c>
      <c r="E1607" s="165" t="s">
        <v>10934</v>
      </c>
      <c r="F1607" s="165" t="s">
        <v>10943</v>
      </c>
      <c r="G1607" s="165"/>
      <c r="H1607" s="165">
        <v>13230</v>
      </c>
      <c r="I1607" s="165"/>
      <c r="J1607" s="165"/>
      <c r="K1607" s="165"/>
      <c r="L1607" s="165"/>
      <c r="M1607" s="165">
        <v>13230</v>
      </c>
      <c r="N1607" s="165"/>
      <c r="O1607" s="337">
        <f t="shared" si="73"/>
        <v>13230</v>
      </c>
      <c r="P1607" s="165"/>
      <c r="Q1607" s="165"/>
      <c r="R1607" s="3">
        <f t="shared" si="75"/>
        <v>13230</v>
      </c>
      <c r="S1607" s="337"/>
      <c r="T1607"/>
      <c r="U1607" s="3"/>
    </row>
    <row r="1608" spans="1:21">
      <c r="A1608" s="165" t="s">
        <v>9662</v>
      </c>
      <c r="B1608" s="94">
        <v>1520</v>
      </c>
      <c r="C1608" s="165" t="s">
        <v>5208</v>
      </c>
      <c r="D1608" s="165">
        <v>1</v>
      </c>
      <c r="E1608" s="165" t="s">
        <v>10947</v>
      </c>
      <c r="F1608" s="165" t="s">
        <v>10775</v>
      </c>
      <c r="G1608" s="165"/>
      <c r="H1608" s="165">
        <v>20475</v>
      </c>
      <c r="I1608" s="165"/>
      <c r="J1608" s="165"/>
      <c r="K1608" s="165"/>
      <c r="L1608" s="165">
        <v>20475</v>
      </c>
      <c r="M1608" s="165"/>
      <c r="N1608" s="165"/>
      <c r="O1608" s="337">
        <f t="shared" si="73"/>
        <v>0</v>
      </c>
      <c r="P1608" s="165" t="s">
        <v>10936</v>
      </c>
      <c r="Q1608" s="165" t="s">
        <v>10936</v>
      </c>
      <c r="R1608" s="3">
        <f t="shared" si="75"/>
        <v>20475</v>
      </c>
      <c r="S1608" s="337">
        <v>20475</v>
      </c>
      <c r="T1608"/>
      <c r="U1608" s="3"/>
    </row>
    <row r="1609" spans="1:21">
      <c r="A1609" s="165" t="s">
        <v>10951</v>
      </c>
      <c r="B1609" s="94">
        <v>1521</v>
      </c>
      <c r="C1609" s="165" t="s">
        <v>4075</v>
      </c>
      <c r="D1609" s="165">
        <v>1</v>
      </c>
      <c r="E1609" s="165" t="s">
        <v>10952</v>
      </c>
      <c r="F1609" s="165" t="s">
        <v>10960</v>
      </c>
      <c r="G1609" s="165"/>
      <c r="H1609" s="165">
        <v>14175</v>
      </c>
      <c r="I1609" s="165"/>
      <c r="J1609" s="165"/>
      <c r="K1609" s="165"/>
      <c r="L1609" s="165">
        <v>14175</v>
      </c>
      <c r="M1609" s="165"/>
      <c r="N1609" s="165"/>
      <c r="O1609" s="337">
        <f t="shared" si="73"/>
        <v>0</v>
      </c>
      <c r="P1609" s="165" t="s">
        <v>10960</v>
      </c>
      <c r="Q1609" s="165" t="s">
        <v>10960</v>
      </c>
      <c r="R1609" s="3">
        <f t="shared" si="75"/>
        <v>14175</v>
      </c>
      <c r="S1609" s="337">
        <v>14175</v>
      </c>
      <c r="T1609"/>
      <c r="U1609" s="3"/>
    </row>
    <row r="1610" spans="1:21">
      <c r="A1610" s="165" t="s">
        <v>10951</v>
      </c>
      <c r="B1610" s="94">
        <v>1522</v>
      </c>
      <c r="C1610" s="165" t="s">
        <v>4075</v>
      </c>
      <c r="D1610" s="165">
        <v>2</v>
      </c>
      <c r="E1610" s="165" t="s">
        <v>10953</v>
      </c>
      <c r="F1610" s="165" t="s">
        <v>10962</v>
      </c>
      <c r="G1610" s="165"/>
      <c r="H1610" s="165">
        <v>14175</v>
      </c>
      <c r="I1610" s="165"/>
      <c r="J1610" s="165"/>
      <c r="K1610" s="165"/>
      <c r="L1610" s="165">
        <v>14175</v>
      </c>
      <c r="M1610" s="165"/>
      <c r="N1610" s="165"/>
      <c r="O1610" s="337">
        <f t="shared" si="73"/>
        <v>0</v>
      </c>
      <c r="P1610" s="165" t="s">
        <v>10997</v>
      </c>
      <c r="Q1610" s="165" t="s">
        <v>10962</v>
      </c>
      <c r="R1610" s="3">
        <f t="shared" si="75"/>
        <v>14175</v>
      </c>
      <c r="S1610" s="337">
        <v>14175</v>
      </c>
      <c r="T1610"/>
      <c r="U1610" s="3"/>
    </row>
    <row r="1611" spans="1:21">
      <c r="A1611" s="165" t="s">
        <v>10951</v>
      </c>
      <c r="B1611" s="94">
        <v>1523</v>
      </c>
      <c r="C1611" s="165" t="s">
        <v>4075</v>
      </c>
      <c r="D1611" s="165">
        <v>3</v>
      </c>
      <c r="E1611" s="165" t="s">
        <v>10954</v>
      </c>
      <c r="F1611" s="165" t="s">
        <v>10963</v>
      </c>
      <c r="G1611" s="165"/>
      <c r="H1611" s="165">
        <v>14175</v>
      </c>
      <c r="I1611" s="165"/>
      <c r="J1611" s="165"/>
      <c r="K1611" s="165"/>
      <c r="L1611" s="165">
        <v>14175</v>
      </c>
      <c r="M1611" s="165"/>
      <c r="N1611" s="165"/>
      <c r="O1611" s="337">
        <f t="shared" si="73"/>
        <v>0</v>
      </c>
      <c r="P1611" s="165" t="s">
        <v>10963</v>
      </c>
      <c r="Q1611" s="165" t="s">
        <v>16104</v>
      </c>
      <c r="R1611" s="3">
        <f t="shared" si="75"/>
        <v>14175</v>
      </c>
      <c r="S1611" s="337">
        <v>14175</v>
      </c>
      <c r="T1611"/>
      <c r="U1611" s="3"/>
    </row>
    <row r="1612" spans="1:21">
      <c r="A1612" s="165" t="s">
        <v>10951</v>
      </c>
      <c r="B1612" s="94">
        <v>1524</v>
      </c>
      <c r="C1612" s="165" t="s">
        <v>4075</v>
      </c>
      <c r="D1612" s="165">
        <v>4</v>
      </c>
      <c r="E1612" s="165" t="s">
        <v>10955</v>
      </c>
      <c r="F1612" s="165" t="s">
        <v>10964</v>
      </c>
      <c r="G1612" s="165"/>
      <c r="H1612" s="165">
        <v>14175</v>
      </c>
      <c r="I1612" s="165"/>
      <c r="J1612" s="165"/>
      <c r="K1612" s="165"/>
      <c r="L1612" s="165">
        <v>14175</v>
      </c>
      <c r="M1612" s="165"/>
      <c r="N1612" s="165"/>
      <c r="O1612" s="337">
        <f t="shared" si="73"/>
        <v>0</v>
      </c>
      <c r="P1612" s="165" t="s">
        <v>16178</v>
      </c>
      <c r="Q1612" s="165" t="s">
        <v>16179</v>
      </c>
      <c r="R1612" s="3">
        <f t="shared" si="75"/>
        <v>14175</v>
      </c>
      <c r="S1612" s="337">
        <v>14175</v>
      </c>
      <c r="T1612"/>
      <c r="U1612" s="3"/>
    </row>
    <row r="1613" spans="1:21">
      <c r="A1613" s="165" t="s">
        <v>10951</v>
      </c>
      <c r="B1613" s="94">
        <v>1525</v>
      </c>
      <c r="C1613" s="165" t="s">
        <v>4075</v>
      </c>
      <c r="D1613" s="165">
        <v>5</v>
      </c>
      <c r="E1613" s="165" t="s">
        <v>10956</v>
      </c>
      <c r="F1613" s="165" t="s">
        <v>10965</v>
      </c>
      <c r="G1613" s="165"/>
      <c r="H1613" s="165">
        <v>14175</v>
      </c>
      <c r="I1613" s="165"/>
      <c r="J1613" s="165"/>
      <c r="K1613" s="165"/>
      <c r="L1613" s="165">
        <v>14175</v>
      </c>
      <c r="M1613" s="165"/>
      <c r="N1613" s="165"/>
      <c r="O1613" s="337">
        <f t="shared" si="73"/>
        <v>0</v>
      </c>
      <c r="P1613" s="165" t="s">
        <v>16307</v>
      </c>
      <c r="Q1613" s="165" t="s">
        <v>16307</v>
      </c>
      <c r="R1613" s="3">
        <f t="shared" si="75"/>
        <v>14175</v>
      </c>
      <c r="S1613" s="337">
        <v>14175</v>
      </c>
      <c r="T1613"/>
      <c r="U1613" s="3"/>
    </row>
    <row r="1614" spans="1:21">
      <c r="A1614" s="165" t="s">
        <v>10951</v>
      </c>
      <c r="B1614" s="94">
        <v>1526</v>
      </c>
      <c r="C1614" s="165" t="s">
        <v>4075</v>
      </c>
      <c r="D1614" s="165">
        <v>6</v>
      </c>
      <c r="E1614" s="165" t="s">
        <v>10957</v>
      </c>
      <c r="F1614" s="165" t="s">
        <v>10966</v>
      </c>
      <c r="G1614" s="165"/>
      <c r="H1614" s="165">
        <v>14175</v>
      </c>
      <c r="I1614" s="165"/>
      <c r="J1614" s="165"/>
      <c r="K1614" s="165"/>
      <c r="L1614" s="165">
        <v>14175</v>
      </c>
      <c r="M1614" s="165"/>
      <c r="N1614" s="165"/>
      <c r="O1614" s="337">
        <f t="shared" si="73"/>
        <v>0</v>
      </c>
      <c r="P1614" s="165" t="s">
        <v>16441</v>
      </c>
      <c r="Q1614" s="165" t="s">
        <v>16442</v>
      </c>
      <c r="R1614" s="3">
        <f t="shared" si="75"/>
        <v>14175</v>
      </c>
      <c r="S1614" s="337">
        <v>14175</v>
      </c>
      <c r="T1614"/>
      <c r="U1614" s="3"/>
    </row>
    <row r="1615" spans="1:21">
      <c r="A1615" s="165" t="s">
        <v>10951</v>
      </c>
      <c r="B1615" s="94">
        <v>1527</v>
      </c>
      <c r="C1615" s="165" t="s">
        <v>4075</v>
      </c>
      <c r="D1615" s="165">
        <v>7</v>
      </c>
      <c r="E1615" s="165" t="s">
        <v>10958</v>
      </c>
      <c r="F1615" s="165" t="s">
        <v>10968</v>
      </c>
      <c r="G1615" s="165"/>
      <c r="H1615" s="165">
        <v>14175</v>
      </c>
      <c r="I1615" s="165"/>
      <c r="J1615" s="165"/>
      <c r="K1615" s="165"/>
      <c r="L1615" s="165"/>
      <c r="M1615" s="165">
        <v>14175</v>
      </c>
      <c r="N1615" s="165"/>
      <c r="O1615" s="337">
        <f t="shared" si="73"/>
        <v>14175</v>
      </c>
      <c r="P1615" s="165"/>
      <c r="Q1615" s="165"/>
      <c r="R1615" s="3">
        <f t="shared" si="75"/>
        <v>14175</v>
      </c>
      <c r="S1615" s="337"/>
      <c r="T1615"/>
      <c r="U1615" s="3"/>
    </row>
    <row r="1616" spans="1:21">
      <c r="A1616" s="165" t="s">
        <v>10951</v>
      </c>
      <c r="B1616" s="94">
        <v>1528</v>
      </c>
      <c r="C1616" s="165" t="s">
        <v>4075</v>
      </c>
      <c r="D1616" s="165">
        <v>8</v>
      </c>
      <c r="E1616" s="165" t="s">
        <v>10959</v>
      </c>
      <c r="F1616" s="165" t="s">
        <v>10967</v>
      </c>
      <c r="G1616" s="165"/>
      <c r="H1616" s="165">
        <v>14175</v>
      </c>
      <c r="I1616" s="165"/>
      <c r="J1616" s="165"/>
      <c r="K1616" s="165"/>
      <c r="L1616" s="165"/>
      <c r="M1616" s="165">
        <v>14175</v>
      </c>
      <c r="N1616" s="165"/>
      <c r="O1616" s="337">
        <f t="shared" si="73"/>
        <v>14175</v>
      </c>
      <c r="P1616" s="165"/>
      <c r="Q1616" s="165"/>
      <c r="R1616" s="3">
        <f t="shared" si="75"/>
        <v>14175</v>
      </c>
      <c r="S1616" s="337"/>
      <c r="T1616"/>
      <c r="U1616" s="3"/>
    </row>
    <row r="1617" spans="1:22">
      <c r="A1617" s="165" t="s">
        <v>10975</v>
      </c>
      <c r="B1617" s="94">
        <v>1529</v>
      </c>
      <c r="C1617" s="165" t="s">
        <v>10597</v>
      </c>
      <c r="D1617" s="165">
        <v>1</v>
      </c>
      <c r="E1617" s="165" t="s">
        <v>10977</v>
      </c>
      <c r="F1617" s="165" t="s">
        <v>10975</v>
      </c>
      <c r="G1617" s="165"/>
      <c r="H1617" s="165">
        <v>20475</v>
      </c>
      <c r="I1617" s="165"/>
      <c r="J1617" s="165"/>
      <c r="K1617" s="165"/>
      <c r="L1617" s="165">
        <v>20475</v>
      </c>
      <c r="M1617" s="165"/>
      <c r="N1617" s="165"/>
      <c r="O1617" s="337">
        <f t="shared" si="73"/>
        <v>0</v>
      </c>
      <c r="P1617" s="165" t="s">
        <v>10983</v>
      </c>
      <c r="Q1617" s="165" t="s">
        <v>10983</v>
      </c>
      <c r="R1617" s="3">
        <f>G1617+H1617+I1617</f>
        <v>20475</v>
      </c>
      <c r="S1617" s="337">
        <v>20475</v>
      </c>
      <c r="T1617"/>
      <c r="U1617" s="3"/>
      <c r="V1617" s="338"/>
    </row>
    <row r="1618" spans="1:22">
      <c r="A1618" s="165" t="s">
        <v>10975</v>
      </c>
      <c r="B1618" s="94">
        <v>1530</v>
      </c>
      <c r="C1618" s="165" t="s">
        <v>10597</v>
      </c>
      <c r="D1618" s="165">
        <v>2</v>
      </c>
      <c r="E1618" s="165" t="s">
        <v>10978</v>
      </c>
      <c r="F1618" s="165" t="s">
        <v>10985</v>
      </c>
      <c r="G1618" s="165"/>
      <c r="H1618" s="165">
        <v>20475</v>
      </c>
      <c r="I1618" s="165"/>
      <c r="J1618" s="165"/>
      <c r="K1618" s="165"/>
      <c r="L1618" s="165">
        <v>20475</v>
      </c>
      <c r="M1618" s="165"/>
      <c r="N1618" s="165"/>
      <c r="O1618" s="337">
        <f t="shared" ref="O1618:O1654" si="76">G1618+H1618+I1618-J1618-K1618-L1618</f>
        <v>0</v>
      </c>
      <c r="P1618" s="165" t="s">
        <v>11052</v>
      </c>
      <c r="Q1618" s="165" t="s">
        <v>9740</v>
      </c>
      <c r="R1618" s="3">
        <f>G1618+H1618+I1618</f>
        <v>20475</v>
      </c>
      <c r="S1618" s="337">
        <v>20475</v>
      </c>
      <c r="T1618"/>
      <c r="U1618" s="3"/>
      <c r="V1618" s="338"/>
    </row>
    <row r="1619" spans="1:22">
      <c r="A1619" s="165" t="s">
        <v>10975</v>
      </c>
      <c r="B1619" s="94">
        <v>1531</v>
      </c>
      <c r="C1619" s="165" t="s">
        <v>10597</v>
      </c>
      <c r="D1619" s="165">
        <v>3</v>
      </c>
      <c r="E1619" s="165" t="s">
        <v>10979</v>
      </c>
      <c r="F1619" s="165" t="s">
        <v>10986</v>
      </c>
      <c r="G1619" s="165"/>
      <c r="H1619" s="165">
        <v>20475</v>
      </c>
      <c r="I1619" s="165"/>
      <c r="J1619" s="165"/>
      <c r="K1619" s="165"/>
      <c r="L1619" s="165">
        <v>20475</v>
      </c>
      <c r="M1619" s="165"/>
      <c r="N1619" s="165"/>
      <c r="O1619" s="337">
        <f t="shared" si="76"/>
        <v>0</v>
      </c>
      <c r="P1619" s="165" t="s">
        <v>16118</v>
      </c>
      <c r="Q1619" s="165" t="s">
        <v>16118</v>
      </c>
      <c r="R1619" s="3">
        <f>G1619+H1619+I1619</f>
        <v>20475</v>
      </c>
      <c r="S1619" s="337">
        <v>20475</v>
      </c>
      <c r="T1619"/>
      <c r="U1619" s="3"/>
      <c r="V1619" s="338"/>
    </row>
    <row r="1620" spans="1:22">
      <c r="A1620" s="165" t="s">
        <v>10975</v>
      </c>
      <c r="B1620" s="94">
        <v>1532</v>
      </c>
      <c r="C1620" s="165" t="s">
        <v>10597</v>
      </c>
      <c r="D1620" s="165">
        <v>4</v>
      </c>
      <c r="E1620" s="165" t="s">
        <v>10980</v>
      </c>
      <c r="F1620" s="165" t="s">
        <v>10987</v>
      </c>
      <c r="G1620" s="165"/>
      <c r="H1620" s="165">
        <v>20475</v>
      </c>
      <c r="I1620" s="165"/>
      <c r="J1620" s="165"/>
      <c r="K1620" s="165"/>
      <c r="L1620" s="165">
        <v>20475</v>
      </c>
      <c r="M1620" s="165"/>
      <c r="N1620" s="165"/>
      <c r="O1620" s="337">
        <f t="shared" si="76"/>
        <v>0</v>
      </c>
      <c r="P1620" s="165" t="s">
        <v>16203</v>
      </c>
      <c r="Q1620" s="165" t="s">
        <v>16204</v>
      </c>
      <c r="R1620" s="3">
        <f>G1620+H1620+I1620</f>
        <v>20475</v>
      </c>
      <c r="S1620" s="337">
        <v>20475</v>
      </c>
      <c r="T1620"/>
      <c r="U1620" s="3"/>
      <c r="V1620" s="338"/>
    </row>
    <row r="1621" spans="1:22">
      <c r="A1621" s="165" t="s">
        <v>10975</v>
      </c>
      <c r="B1621" s="94">
        <v>1533</v>
      </c>
      <c r="C1621" s="165" t="s">
        <v>10597</v>
      </c>
      <c r="D1621" s="165">
        <v>5</v>
      </c>
      <c r="E1621" s="165" t="s">
        <v>10981</v>
      </c>
      <c r="F1621" s="165" t="s">
        <v>10988</v>
      </c>
      <c r="G1621" s="165"/>
      <c r="H1621" s="165">
        <v>20475</v>
      </c>
      <c r="I1621" s="165"/>
      <c r="J1621" s="165"/>
      <c r="K1621" s="165"/>
      <c r="L1621" s="165">
        <v>20475</v>
      </c>
      <c r="M1621" s="165"/>
      <c r="N1621" s="165"/>
      <c r="O1621" s="337">
        <f t="shared" si="76"/>
        <v>0</v>
      </c>
      <c r="P1621" s="165" t="s">
        <v>16366</v>
      </c>
      <c r="Q1621" s="165" t="s">
        <v>16367</v>
      </c>
      <c r="R1621" s="3">
        <f>G1621+H1621+I1621</f>
        <v>20475</v>
      </c>
      <c r="S1621" s="337">
        <v>20475</v>
      </c>
      <c r="T1621"/>
      <c r="U1621" s="3"/>
      <c r="V1621" s="338"/>
    </row>
    <row r="1622" spans="1:22">
      <c r="A1622" s="165" t="s">
        <v>10994</v>
      </c>
      <c r="B1622" s="94">
        <v>1534</v>
      </c>
      <c r="C1622" s="165" t="s">
        <v>10686</v>
      </c>
      <c r="D1622" s="165">
        <v>1</v>
      </c>
      <c r="E1622" s="165" t="s">
        <v>10996</v>
      </c>
      <c r="F1622" s="165" t="s">
        <v>9925</v>
      </c>
      <c r="G1622" s="165"/>
      <c r="H1622" s="165">
        <v>11970</v>
      </c>
      <c r="I1622" s="165"/>
      <c r="J1622" s="165"/>
      <c r="K1622" s="165"/>
      <c r="L1622" s="165">
        <v>11970</v>
      </c>
      <c r="M1622" s="165"/>
      <c r="N1622" s="165"/>
      <c r="O1622" s="337">
        <f t="shared" si="76"/>
        <v>0</v>
      </c>
      <c r="P1622" s="165" t="s">
        <v>10997</v>
      </c>
      <c r="Q1622" s="165" t="s">
        <v>10997</v>
      </c>
      <c r="R1622" s="3">
        <f t="shared" ref="R1622:R1630" si="77">H1622</f>
        <v>11970</v>
      </c>
      <c r="S1622" s="337">
        <v>11970</v>
      </c>
      <c r="T1622"/>
      <c r="U1622" s="3"/>
    </row>
    <row r="1623" spans="1:22">
      <c r="A1623" s="165" t="s">
        <v>10994</v>
      </c>
      <c r="B1623" s="94">
        <v>1535</v>
      </c>
      <c r="C1623" s="165" t="s">
        <v>10686</v>
      </c>
      <c r="D1623" s="165">
        <v>2</v>
      </c>
      <c r="E1623" s="165" t="s">
        <v>10998</v>
      </c>
      <c r="F1623" s="165" t="s">
        <v>9926</v>
      </c>
      <c r="G1623" s="165"/>
      <c r="H1623" s="165">
        <v>11970</v>
      </c>
      <c r="I1623" s="165"/>
      <c r="J1623" s="165"/>
      <c r="K1623" s="165"/>
      <c r="L1623" s="165">
        <v>11970</v>
      </c>
      <c r="M1623" s="165"/>
      <c r="N1623" s="165"/>
      <c r="O1623" s="337">
        <f t="shared" si="76"/>
        <v>0</v>
      </c>
      <c r="P1623" s="165" t="s">
        <v>11084</v>
      </c>
      <c r="Q1623" s="165" t="s">
        <v>11090</v>
      </c>
      <c r="R1623" s="3">
        <f t="shared" si="77"/>
        <v>11970</v>
      </c>
      <c r="S1623" s="337">
        <v>11970</v>
      </c>
      <c r="T1623"/>
      <c r="U1623" s="3"/>
    </row>
    <row r="1624" spans="1:22">
      <c r="A1624" s="165" t="s">
        <v>10994</v>
      </c>
      <c r="B1624" s="94">
        <v>1536</v>
      </c>
      <c r="C1624" s="165" t="s">
        <v>10686</v>
      </c>
      <c r="D1624" s="165">
        <v>3</v>
      </c>
      <c r="E1624" s="165" t="s">
        <v>10999</v>
      </c>
      <c r="F1624" s="165" t="s">
        <v>9927</v>
      </c>
      <c r="G1624" s="165"/>
      <c r="H1624" s="165">
        <v>11970</v>
      </c>
      <c r="I1624" s="165"/>
      <c r="J1624" s="165"/>
      <c r="K1624" s="165"/>
      <c r="L1624" s="165">
        <v>11970</v>
      </c>
      <c r="M1624" s="165"/>
      <c r="N1624" s="165"/>
      <c r="O1624" s="337">
        <f t="shared" si="76"/>
        <v>0</v>
      </c>
      <c r="P1624" s="165" t="s">
        <v>16149</v>
      </c>
      <c r="Q1624" s="165" t="s">
        <v>16150</v>
      </c>
      <c r="R1624" s="3">
        <f t="shared" si="77"/>
        <v>11970</v>
      </c>
      <c r="S1624" s="337">
        <v>11970</v>
      </c>
      <c r="T1624"/>
      <c r="U1624" s="3"/>
    </row>
    <row r="1625" spans="1:22">
      <c r="A1625" s="165" t="s">
        <v>10994</v>
      </c>
      <c r="B1625" s="94">
        <v>1537</v>
      </c>
      <c r="C1625" s="165" t="s">
        <v>10686</v>
      </c>
      <c r="D1625" s="165">
        <v>4</v>
      </c>
      <c r="E1625" s="165" t="s">
        <v>11000</v>
      </c>
      <c r="F1625" s="165" t="s">
        <v>9928</v>
      </c>
      <c r="G1625" s="165"/>
      <c r="H1625" s="165">
        <v>11970</v>
      </c>
      <c r="I1625" s="165"/>
      <c r="J1625" s="165"/>
      <c r="K1625" s="165"/>
      <c r="L1625" s="165">
        <v>11970</v>
      </c>
      <c r="M1625" s="165"/>
      <c r="N1625" s="165"/>
      <c r="O1625" s="337">
        <f t="shared" si="76"/>
        <v>0</v>
      </c>
      <c r="P1625" s="165" t="s">
        <v>16273</v>
      </c>
      <c r="Q1625" s="165" t="s">
        <v>16273</v>
      </c>
      <c r="R1625" s="3">
        <f t="shared" si="77"/>
        <v>11970</v>
      </c>
      <c r="S1625" s="337">
        <v>11970</v>
      </c>
      <c r="T1625"/>
      <c r="U1625" s="3"/>
    </row>
    <row r="1626" spans="1:22">
      <c r="A1626" s="165" t="s">
        <v>10994</v>
      </c>
      <c r="B1626" s="94">
        <v>1538</v>
      </c>
      <c r="C1626" s="165" t="s">
        <v>10686</v>
      </c>
      <c r="D1626" s="165">
        <v>5</v>
      </c>
      <c r="E1626" s="165" t="s">
        <v>11001</v>
      </c>
      <c r="F1626" s="165" t="s">
        <v>10941</v>
      </c>
      <c r="G1626" s="165"/>
      <c r="H1626" s="165">
        <v>11970</v>
      </c>
      <c r="I1626" s="165"/>
      <c r="J1626" s="165"/>
      <c r="K1626" s="165"/>
      <c r="L1626" s="165">
        <v>11970</v>
      </c>
      <c r="M1626" s="165"/>
      <c r="N1626" s="165"/>
      <c r="O1626" s="337">
        <f t="shared" si="76"/>
        <v>0</v>
      </c>
      <c r="P1626" s="165" t="s">
        <v>16413</v>
      </c>
      <c r="Q1626" s="165" t="s">
        <v>16414</v>
      </c>
      <c r="R1626" s="3">
        <f t="shared" si="77"/>
        <v>11970</v>
      </c>
      <c r="S1626" s="337">
        <v>11970</v>
      </c>
      <c r="T1626"/>
      <c r="U1626" s="3"/>
    </row>
    <row r="1627" spans="1:22">
      <c r="A1627" s="165" t="s">
        <v>10994</v>
      </c>
      <c r="B1627" s="94">
        <v>1539</v>
      </c>
      <c r="C1627" s="165" t="s">
        <v>10686</v>
      </c>
      <c r="D1627" s="165">
        <v>6</v>
      </c>
      <c r="E1627" s="165" t="s">
        <v>11002</v>
      </c>
      <c r="F1627" s="165" t="s">
        <v>11007</v>
      </c>
      <c r="G1627" s="165"/>
      <c r="H1627" s="165">
        <v>11970</v>
      </c>
      <c r="I1627" s="165"/>
      <c r="J1627" s="165"/>
      <c r="K1627" s="165"/>
      <c r="L1627" s="165">
        <v>11970</v>
      </c>
      <c r="M1627" s="165"/>
      <c r="N1627" s="165"/>
      <c r="O1627" s="337">
        <f t="shared" si="76"/>
        <v>0</v>
      </c>
      <c r="P1627" s="165" t="s">
        <v>16531</v>
      </c>
      <c r="Q1627" s="165" t="s">
        <v>16534</v>
      </c>
      <c r="R1627" s="3">
        <f t="shared" si="77"/>
        <v>11970</v>
      </c>
      <c r="S1627" s="337">
        <v>11970</v>
      </c>
      <c r="T1627"/>
      <c r="U1627" s="3"/>
    </row>
    <row r="1628" spans="1:22">
      <c r="A1628" s="165" t="s">
        <v>10994</v>
      </c>
      <c r="B1628" s="94">
        <v>1540</v>
      </c>
      <c r="C1628" s="165" t="s">
        <v>10686</v>
      </c>
      <c r="D1628" s="165">
        <v>7</v>
      </c>
      <c r="E1628" s="165" t="s">
        <v>11003</v>
      </c>
      <c r="F1628" s="165" t="s">
        <v>11008</v>
      </c>
      <c r="G1628" s="165"/>
      <c r="H1628" s="165">
        <v>11970</v>
      </c>
      <c r="I1628" s="165"/>
      <c r="J1628" s="165"/>
      <c r="K1628" s="165"/>
      <c r="L1628" s="165"/>
      <c r="M1628" s="165">
        <v>11970</v>
      </c>
      <c r="N1628" s="165"/>
      <c r="O1628" s="337">
        <f t="shared" si="76"/>
        <v>11970</v>
      </c>
      <c r="P1628" s="165"/>
      <c r="Q1628" s="165"/>
      <c r="R1628" s="3">
        <f t="shared" si="77"/>
        <v>11970</v>
      </c>
      <c r="S1628" s="337"/>
      <c r="T1628"/>
      <c r="U1628" s="3"/>
    </row>
    <row r="1629" spans="1:22">
      <c r="A1629" s="165" t="s">
        <v>10994</v>
      </c>
      <c r="B1629" s="94">
        <v>1541</v>
      </c>
      <c r="C1629" s="165" t="s">
        <v>10686</v>
      </c>
      <c r="D1629" s="165">
        <v>8</v>
      </c>
      <c r="E1629" s="165" t="s">
        <v>11004</v>
      </c>
      <c r="F1629" s="165" t="s">
        <v>11009</v>
      </c>
      <c r="G1629" s="165"/>
      <c r="H1629" s="165">
        <v>11970</v>
      </c>
      <c r="I1629" s="165"/>
      <c r="J1629" s="165"/>
      <c r="K1629" s="165"/>
      <c r="L1629" s="165"/>
      <c r="M1629" s="165">
        <v>11970</v>
      </c>
      <c r="N1629" s="165"/>
      <c r="O1629" s="337">
        <f t="shared" si="76"/>
        <v>11970</v>
      </c>
      <c r="P1629" s="165"/>
      <c r="Q1629" s="165"/>
      <c r="R1629" s="3">
        <f t="shared" si="77"/>
        <v>11970</v>
      </c>
      <c r="S1629" s="337"/>
      <c r="T1629"/>
      <c r="U1629" s="3"/>
    </row>
    <row r="1630" spans="1:22">
      <c r="A1630" s="165" t="s">
        <v>11013</v>
      </c>
      <c r="B1630" s="94">
        <v>1542</v>
      </c>
      <c r="C1630" s="165" t="s">
        <v>5208</v>
      </c>
      <c r="D1630" s="165">
        <v>2</v>
      </c>
      <c r="E1630" s="165" t="s">
        <v>11014</v>
      </c>
      <c r="F1630" s="165" t="s">
        <v>10790</v>
      </c>
      <c r="G1630" s="165"/>
      <c r="H1630" s="165">
        <v>20475</v>
      </c>
      <c r="I1630" s="165"/>
      <c r="J1630" s="165"/>
      <c r="K1630" s="165"/>
      <c r="L1630" s="165">
        <v>20475</v>
      </c>
      <c r="M1630" s="165"/>
      <c r="N1630" s="165"/>
      <c r="O1630" s="337">
        <f t="shared" si="76"/>
        <v>0</v>
      </c>
      <c r="P1630" s="165" t="s">
        <v>10997</v>
      </c>
      <c r="Q1630" s="165" t="s">
        <v>10790</v>
      </c>
      <c r="R1630" s="3">
        <f t="shared" si="77"/>
        <v>20475</v>
      </c>
      <c r="S1630" s="337">
        <v>20475</v>
      </c>
      <c r="T1630"/>
      <c r="U1630" s="3"/>
    </row>
    <row r="1631" spans="1:22">
      <c r="A1631" s="165" t="s">
        <v>11013</v>
      </c>
      <c r="B1631" s="94">
        <v>1543</v>
      </c>
      <c r="C1631" s="165" t="s">
        <v>5208</v>
      </c>
      <c r="D1631" s="165">
        <v>3</v>
      </c>
      <c r="E1631" s="165" t="s">
        <v>11018</v>
      </c>
      <c r="F1631" s="165" t="s">
        <v>11019</v>
      </c>
      <c r="G1631" s="165"/>
      <c r="H1631" s="165">
        <v>20475</v>
      </c>
      <c r="I1631" s="165"/>
      <c r="J1631" s="165"/>
      <c r="K1631" s="165"/>
      <c r="L1631" s="165">
        <v>20475</v>
      </c>
      <c r="M1631" s="165"/>
      <c r="N1631" s="165"/>
      <c r="O1631" s="337">
        <f t="shared" si="76"/>
        <v>0</v>
      </c>
      <c r="P1631" s="165" t="s">
        <v>11052</v>
      </c>
      <c r="Q1631" s="165" t="s">
        <v>11019</v>
      </c>
      <c r="R1631" s="3">
        <f>H1631</f>
        <v>20475</v>
      </c>
      <c r="S1631" s="337">
        <v>20475</v>
      </c>
      <c r="T1631"/>
      <c r="U1631" s="3"/>
      <c r="V1631" s="338"/>
    </row>
    <row r="1632" spans="1:22">
      <c r="A1632" s="165" t="s">
        <v>11013</v>
      </c>
      <c r="B1632" s="94">
        <v>1544</v>
      </c>
      <c r="C1632" s="165" t="s">
        <v>5208</v>
      </c>
      <c r="D1632" s="165">
        <v>4</v>
      </c>
      <c r="E1632" s="165" t="s">
        <v>11020</v>
      </c>
      <c r="F1632" s="165" t="s">
        <v>11027</v>
      </c>
      <c r="G1632" s="165"/>
      <c r="H1632" s="165">
        <v>20475</v>
      </c>
      <c r="I1632" s="165"/>
      <c r="J1632" s="165"/>
      <c r="K1632" s="165"/>
      <c r="L1632" s="165">
        <v>20475</v>
      </c>
      <c r="M1632" s="165"/>
      <c r="N1632" s="165"/>
      <c r="O1632" s="337">
        <f t="shared" si="76"/>
        <v>0</v>
      </c>
      <c r="P1632" s="165" t="s">
        <v>16105</v>
      </c>
      <c r="Q1632" s="165" t="s">
        <v>16106</v>
      </c>
      <c r="R1632" s="3">
        <f>H1632</f>
        <v>20475</v>
      </c>
      <c r="S1632" s="337">
        <v>20475</v>
      </c>
      <c r="T1632"/>
      <c r="U1632" s="3"/>
      <c r="V1632" s="338"/>
    </row>
    <row r="1633" spans="1:22">
      <c r="A1633" s="165" t="s">
        <v>11013</v>
      </c>
      <c r="B1633" s="94">
        <v>1545</v>
      </c>
      <c r="C1633" s="165" t="s">
        <v>5208</v>
      </c>
      <c r="D1633" s="165">
        <v>5</v>
      </c>
      <c r="E1633" s="165" t="s">
        <v>11021</v>
      </c>
      <c r="F1633" s="165" t="s">
        <v>11028</v>
      </c>
      <c r="G1633" s="165"/>
      <c r="H1633" s="165">
        <v>20475</v>
      </c>
      <c r="I1633" s="165"/>
      <c r="J1633" s="165"/>
      <c r="K1633" s="165"/>
      <c r="L1633" s="165">
        <v>20475</v>
      </c>
      <c r="M1633" s="165"/>
      <c r="N1633" s="165"/>
      <c r="O1633" s="337">
        <f t="shared" si="76"/>
        <v>0</v>
      </c>
      <c r="P1633" s="165" t="s">
        <v>16180</v>
      </c>
      <c r="Q1633" s="165" t="s">
        <v>16181</v>
      </c>
      <c r="R1633" s="3">
        <f>H1633</f>
        <v>20475</v>
      </c>
      <c r="S1633" s="337">
        <v>20475</v>
      </c>
      <c r="T1633"/>
      <c r="U1633" s="3"/>
      <c r="V1633" s="338"/>
    </row>
    <row r="1634" spans="1:22">
      <c r="A1634" s="165" t="s">
        <v>11013</v>
      </c>
      <c r="B1634" s="94">
        <v>1546</v>
      </c>
      <c r="C1634" s="165" t="s">
        <v>5208</v>
      </c>
      <c r="D1634" s="165">
        <v>6</v>
      </c>
      <c r="E1634" s="165" t="s">
        <v>11022</v>
      </c>
      <c r="F1634" s="165" t="s">
        <v>11029</v>
      </c>
      <c r="G1634" s="165"/>
      <c r="H1634" s="165">
        <v>20475</v>
      </c>
      <c r="I1634" s="165"/>
      <c r="J1634" s="165"/>
      <c r="K1634" s="165"/>
      <c r="L1634" s="165">
        <v>20475</v>
      </c>
      <c r="M1634" s="165"/>
      <c r="N1634" s="165"/>
      <c r="O1634" s="337">
        <f t="shared" si="76"/>
        <v>0</v>
      </c>
      <c r="P1634" s="165" t="s">
        <v>16336</v>
      </c>
      <c r="Q1634" s="165" t="s">
        <v>16337</v>
      </c>
      <c r="R1634" s="3">
        <f>H1634</f>
        <v>20475</v>
      </c>
      <c r="S1634" s="337">
        <v>20475</v>
      </c>
      <c r="T1634"/>
      <c r="U1634" s="3"/>
      <c r="V1634" s="338"/>
    </row>
    <row r="1635" spans="1:22">
      <c r="A1635" s="165" t="s">
        <v>11013</v>
      </c>
      <c r="B1635" s="94">
        <v>1547</v>
      </c>
      <c r="C1635" s="165" t="s">
        <v>5208</v>
      </c>
      <c r="D1635" s="165">
        <v>7</v>
      </c>
      <c r="E1635" s="165" t="s">
        <v>11023</v>
      </c>
      <c r="F1635" s="165" t="s">
        <v>11030</v>
      </c>
      <c r="G1635" s="165"/>
      <c r="H1635" s="165">
        <v>20475</v>
      </c>
      <c r="I1635" s="165"/>
      <c r="J1635" s="165"/>
      <c r="K1635" s="165"/>
      <c r="L1635" s="165">
        <v>20475</v>
      </c>
      <c r="M1635" s="165"/>
      <c r="N1635" s="165"/>
      <c r="O1635" s="337">
        <f t="shared" si="76"/>
        <v>0</v>
      </c>
      <c r="P1635" s="165" t="s">
        <v>16449</v>
      </c>
      <c r="Q1635" s="165" t="s">
        <v>16450</v>
      </c>
      <c r="R1635" s="3">
        <f>H1635</f>
        <v>20475</v>
      </c>
      <c r="S1635" s="337">
        <v>20475</v>
      </c>
      <c r="T1635"/>
      <c r="U1635" s="3"/>
      <c r="V1635" s="338"/>
    </row>
    <row r="1636" spans="1:22">
      <c r="A1636" s="165" t="s">
        <v>11013</v>
      </c>
      <c r="B1636" s="94">
        <v>1548</v>
      </c>
      <c r="C1636" s="165" t="s">
        <v>5208</v>
      </c>
      <c r="D1636" s="165">
        <v>8</v>
      </c>
      <c r="E1636" s="165" t="s">
        <v>11024</v>
      </c>
      <c r="F1636" s="165" t="s">
        <v>11031</v>
      </c>
      <c r="G1636" s="165"/>
      <c r="H1636" s="165"/>
      <c r="I1636" s="165">
        <v>20475</v>
      </c>
      <c r="J1636" s="165"/>
      <c r="K1636" s="165"/>
      <c r="L1636" s="165"/>
      <c r="M1636" s="165">
        <v>20475</v>
      </c>
      <c r="N1636" s="165"/>
      <c r="O1636" s="337">
        <f t="shared" si="76"/>
        <v>20475</v>
      </c>
      <c r="P1636" s="165"/>
      <c r="Q1636" s="165"/>
      <c r="R1636" s="3">
        <f t="shared" ref="R1636:R1654" si="78">H1636</f>
        <v>0</v>
      </c>
      <c r="S1636" s="337"/>
      <c r="T1636"/>
      <c r="U1636" s="3"/>
      <c r="V1636" s="271" t="s">
        <v>2740</v>
      </c>
    </row>
    <row r="1637" spans="1:22">
      <c r="A1637" s="165" t="s">
        <v>11013</v>
      </c>
      <c r="B1637" s="94">
        <v>1549</v>
      </c>
      <c r="C1637" s="165" t="s">
        <v>5208</v>
      </c>
      <c r="D1637" s="165"/>
      <c r="E1637" s="165" t="s">
        <v>11025</v>
      </c>
      <c r="F1637" s="165" t="s">
        <v>10790</v>
      </c>
      <c r="G1637" s="165"/>
      <c r="H1637" s="165">
        <v>120000</v>
      </c>
      <c r="I1637" s="165"/>
      <c r="J1637" s="165"/>
      <c r="K1637" s="165"/>
      <c r="L1637" s="165">
        <v>120000</v>
      </c>
      <c r="M1637" s="165"/>
      <c r="N1637" s="165"/>
      <c r="O1637" s="337">
        <f t="shared" si="76"/>
        <v>0</v>
      </c>
      <c r="P1637" s="165" t="s">
        <v>10997</v>
      </c>
      <c r="Q1637" s="165" t="s">
        <v>10790</v>
      </c>
      <c r="R1637" s="3">
        <f t="shared" si="78"/>
        <v>120000</v>
      </c>
      <c r="S1637" s="337">
        <v>120000</v>
      </c>
      <c r="T1637"/>
      <c r="U1637" s="3"/>
      <c r="V1637" s="338" t="s">
        <v>9600</v>
      </c>
    </row>
    <row r="1638" spans="1:22">
      <c r="A1638" s="165" t="s">
        <v>10962</v>
      </c>
      <c r="B1638" s="94">
        <v>1550</v>
      </c>
      <c r="C1638" s="165" t="s">
        <v>10719</v>
      </c>
      <c r="D1638" s="692" t="s">
        <v>11061</v>
      </c>
      <c r="E1638" s="165" t="s">
        <v>11058</v>
      </c>
      <c r="F1638" s="165" t="s">
        <v>10797</v>
      </c>
      <c r="G1638" s="165"/>
      <c r="H1638" s="165">
        <v>22680</v>
      </c>
      <c r="I1638" s="165"/>
      <c r="J1638" s="165"/>
      <c r="K1638" s="165"/>
      <c r="L1638" s="165">
        <v>22680</v>
      </c>
      <c r="M1638" s="165"/>
      <c r="N1638" s="165"/>
      <c r="O1638" s="337">
        <f t="shared" si="76"/>
        <v>0</v>
      </c>
      <c r="P1638" s="165" t="s">
        <v>11052</v>
      </c>
      <c r="Q1638" s="165" t="s">
        <v>10797</v>
      </c>
      <c r="R1638" s="3">
        <f>H1638</f>
        <v>22680</v>
      </c>
      <c r="S1638" s="337">
        <v>22680</v>
      </c>
      <c r="T1638"/>
      <c r="U1638" s="3"/>
    </row>
    <row r="1639" spans="1:22">
      <c r="A1639" s="165" t="s">
        <v>9757</v>
      </c>
      <c r="B1639" s="94">
        <v>1551</v>
      </c>
      <c r="C1639" s="165" t="s">
        <v>10721</v>
      </c>
      <c r="D1639" s="165">
        <v>1</v>
      </c>
      <c r="E1639" s="165" t="s">
        <v>11036</v>
      </c>
      <c r="F1639" s="165" t="s">
        <v>9908</v>
      </c>
      <c r="G1639" s="165"/>
      <c r="H1639" s="165">
        <v>14175</v>
      </c>
      <c r="I1639" s="165"/>
      <c r="J1639" s="165"/>
      <c r="K1639" s="165"/>
      <c r="L1639" s="165">
        <v>14175</v>
      </c>
      <c r="M1639" s="165"/>
      <c r="N1639" s="165"/>
      <c r="O1639" s="337">
        <f t="shared" si="76"/>
        <v>0</v>
      </c>
      <c r="P1639" s="165" t="s">
        <v>11052</v>
      </c>
      <c r="Q1639" s="165" t="s">
        <v>11052</v>
      </c>
      <c r="R1639" s="3">
        <f t="shared" si="78"/>
        <v>14175</v>
      </c>
      <c r="S1639" s="337">
        <v>14175</v>
      </c>
      <c r="T1639"/>
      <c r="U1639" s="3"/>
    </row>
    <row r="1640" spans="1:22">
      <c r="A1640" s="165" t="s">
        <v>9757</v>
      </c>
      <c r="B1640" s="94">
        <v>1552</v>
      </c>
      <c r="C1640" s="165" t="s">
        <v>10721</v>
      </c>
      <c r="D1640" s="165">
        <v>2</v>
      </c>
      <c r="E1640" s="165" t="s">
        <v>11037</v>
      </c>
      <c r="F1640" s="165" t="s">
        <v>9910</v>
      </c>
      <c r="G1640" s="165"/>
      <c r="H1640" s="165">
        <v>14175</v>
      </c>
      <c r="I1640" s="165"/>
      <c r="J1640" s="165"/>
      <c r="K1640" s="165"/>
      <c r="L1640" s="165">
        <v>14175</v>
      </c>
      <c r="M1640" s="165"/>
      <c r="N1640" s="165"/>
      <c r="O1640" s="337">
        <f t="shared" si="76"/>
        <v>0</v>
      </c>
      <c r="P1640" s="165" t="s">
        <v>11084</v>
      </c>
      <c r="Q1640" s="165" t="s">
        <v>9910</v>
      </c>
      <c r="R1640" s="3">
        <f t="shared" si="78"/>
        <v>14175</v>
      </c>
      <c r="S1640" s="337">
        <v>14175</v>
      </c>
      <c r="T1640"/>
      <c r="U1640" s="3"/>
    </row>
    <row r="1641" spans="1:22">
      <c r="A1641" s="165" t="s">
        <v>9757</v>
      </c>
      <c r="B1641" s="94">
        <v>1553</v>
      </c>
      <c r="C1641" s="165" t="s">
        <v>10721</v>
      </c>
      <c r="D1641" s="165">
        <v>3</v>
      </c>
      <c r="E1641" s="165" t="s">
        <v>11038</v>
      </c>
      <c r="F1641" s="165" t="s">
        <v>11046</v>
      </c>
      <c r="G1641" s="165"/>
      <c r="H1641" s="165">
        <v>14175</v>
      </c>
      <c r="I1641" s="165"/>
      <c r="J1641" s="165"/>
      <c r="K1641" s="165"/>
      <c r="L1641" s="165">
        <v>14175</v>
      </c>
      <c r="M1641" s="165"/>
      <c r="N1641" s="165"/>
      <c r="O1641" s="337">
        <f t="shared" si="76"/>
        <v>0</v>
      </c>
      <c r="P1641" s="165" t="s">
        <v>16144</v>
      </c>
      <c r="Q1641" s="165" t="s">
        <v>16144</v>
      </c>
      <c r="R1641" s="3">
        <f t="shared" si="78"/>
        <v>14175</v>
      </c>
      <c r="S1641" s="337">
        <v>14175</v>
      </c>
      <c r="T1641"/>
      <c r="U1641" s="3"/>
    </row>
    <row r="1642" spans="1:22">
      <c r="A1642" s="165" t="s">
        <v>9757</v>
      </c>
      <c r="B1642" s="94">
        <v>1554</v>
      </c>
      <c r="C1642" s="165" t="s">
        <v>10721</v>
      </c>
      <c r="D1642" s="165">
        <v>4</v>
      </c>
      <c r="E1642" s="165" t="s">
        <v>11039</v>
      </c>
      <c r="F1642" s="165" t="s">
        <v>11047</v>
      </c>
      <c r="G1642" s="165"/>
      <c r="H1642" s="165">
        <v>14175</v>
      </c>
      <c r="I1642" s="165"/>
      <c r="J1642" s="165"/>
      <c r="K1642" s="165"/>
      <c r="L1642" s="165">
        <v>14175</v>
      </c>
      <c r="M1642" s="165"/>
      <c r="N1642" s="165"/>
      <c r="O1642" s="337">
        <f t="shared" si="76"/>
        <v>0</v>
      </c>
      <c r="P1642" s="165" t="s">
        <v>16232</v>
      </c>
      <c r="Q1642" s="165" t="s">
        <v>16233</v>
      </c>
      <c r="R1642" s="3">
        <f t="shared" si="78"/>
        <v>14175</v>
      </c>
      <c r="S1642" s="337">
        <v>14175</v>
      </c>
      <c r="T1642"/>
      <c r="U1642" s="3"/>
    </row>
    <row r="1643" spans="1:22">
      <c r="A1643" s="165" t="s">
        <v>9757</v>
      </c>
      <c r="B1643" s="94">
        <v>1555</v>
      </c>
      <c r="C1643" s="165" t="s">
        <v>10721</v>
      </c>
      <c r="D1643" s="165">
        <v>5</v>
      </c>
      <c r="E1643" s="165" t="s">
        <v>11040</v>
      </c>
      <c r="F1643" s="165" t="s">
        <v>11048</v>
      </c>
      <c r="G1643" s="165"/>
      <c r="H1643" s="165">
        <v>14175</v>
      </c>
      <c r="I1643" s="165"/>
      <c r="J1643" s="165"/>
      <c r="K1643" s="165"/>
      <c r="L1643" s="165">
        <v>14175</v>
      </c>
      <c r="M1643" s="165"/>
      <c r="N1643" s="165"/>
      <c r="O1643" s="337">
        <f t="shared" si="76"/>
        <v>0</v>
      </c>
      <c r="P1643" s="165" t="s">
        <v>16404</v>
      </c>
      <c r="Q1643" s="165" t="s">
        <v>16405</v>
      </c>
      <c r="R1643" s="3">
        <f t="shared" si="78"/>
        <v>14175</v>
      </c>
      <c r="S1643" s="337">
        <v>14175</v>
      </c>
      <c r="T1643"/>
      <c r="U1643" s="3"/>
    </row>
    <row r="1644" spans="1:22">
      <c r="A1644" s="165" t="s">
        <v>9757</v>
      </c>
      <c r="B1644" s="94">
        <v>1556</v>
      </c>
      <c r="C1644" s="165" t="s">
        <v>10721</v>
      </c>
      <c r="D1644" s="165">
        <v>6</v>
      </c>
      <c r="E1644" s="165" t="s">
        <v>11041</v>
      </c>
      <c r="F1644" s="165" t="s">
        <v>11049</v>
      </c>
      <c r="G1644" s="165"/>
      <c r="H1644" s="165">
        <v>14175</v>
      </c>
      <c r="I1644" s="165"/>
      <c r="J1644" s="165"/>
      <c r="K1644" s="165"/>
      <c r="L1644" s="165">
        <v>14175</v>
      </c>
      <c r="M1644" s="165"/>
      <c r="N1644" s="165"/>
      <c r="O1644" s="337">
        <f t="shared" si="76"/>
        <v>0</v>
      </c>
      <c r="P1644" s="165" t="s">
        <v>16521</v>
      </c>
      <c r="Q1644" s="165" t="s">
        <v>16522</v>
      </c>
      <c r="R1644" s="3">
        <f t="shared" si="78"/>
        <v>14175</v>
      </c>
      <c r="S1644" s="337">
        <v>14175</v>
      </c>
      <c r="T1644"/>
      <c r="U1644" s="3"/>
    </row>
    <row r="1645" spans="1:22">
      <c r="A1645" s="165" t="s">
        <v>9757</v>
      </c>
      <c r="B1645" s="94">
        <v>1557</v>
      </c>
      <c r="C1645" s="165" t="s">
        <v>10721</v>
      </c>
      <c r="D1645" s="165">
        <v>7</v>
      </c>
      <c r="E1645" s="165" t="s">
        <v>11042</v>
      </c>
      <c r="F1645" s="165" t="s">
        <v>11050</v>
      </c>
      <c r="G1645" s="165"/>
      <c r="H1645" s="165">
        <v>14175</v>
      </c>
      <c r="I1645" s="165"/>
      <c r="J1645" s="165"/>
      <c r="K1645" s="165"/>
      <c r="L1645" s="165"/>
      <c r="M1645" s="165">
        <v>14175</v>
      </c>
      <c r="N1645" s="165"/>
      <c r="O1645" s="337">
        <f t="shared" si="76"/>
        <v>14175</v>
      </c>
      <c r="P1645" s="165"/>
      <c r="Q1645" s="165"/>
      <c r="R1645" s="3">
        <f t="shared" si="78"/>
        <v>14175</v>
      </c>
      <c r="S1645" s="337"/>
      <c r="T1645"/>
      <c r="U1645" s="3"/>
    </row>
    <row r="1646" spans="1:22">
      <c r="A1646" s="165" t="s">
        <v>9757</v>
      </c>
      <c r="B1646" s="94">
        <v>1558</v>
      </c>
      <c r="C1646" s="165" t="s">
        <v>10721</v>
      </c>
      <c r="D1646" s="165">
        <v>8</v>
      </c>
      <c r="E1646" s="165" t="s">
        <v>11043</v>
      </c>
      <c r="F1646" s="165" t="s">
        <v>11051</v>
      </c>
      <c r="G1646" s="165"/>
      <c r="H1646" s="165">
        <v>14175</v>
      </c>
      <c r="I1646" s="165"/>
      <c r="J1646" s="165"/>
      <c r="K1646" s="165"/>
      <c r="L1646" s="165"/>
      <c r="M1646" s="165">
        <v>14175</v>
      </c>
      <c r="N1646" s="165"/>
      <c r="O1646" s="337">
        <f t="shared" si="76"/>
        <v>14175</v>
      </c>
      <c r="P1646" s="165"/>
      <c r="Q1646" s="165"/>
      <c r="R1646" s="3">
        <f t="shared" si="78"/>
        <v>14175</v>
      </c>
      <c r="S1646" s="337"/>
      <c r="T1646"/>
      <c r="U1646" s="3"/>
    </row>
    <row r="1647" spans="1:22">
      <c r="A1647" s="165" t="s">
        <v>10794</v>
      </c>
      <c r="B1647" s="94">
        <v>1559</v>
      </c>
      <c r="C1647" s="165" t="s">
        <v>10730</v>
      </c>
      <c r="D1647" s="165">
        <v>1</v>
      </c>
      <c r="E1647" s="165" t="s">
        <v>11072</v>
      </c>
      <c r="F1647" s="165" t="s">
        <v>10905</v>
      </c>
      <c r="G1647" s="165"/>
      <c r="H1647" s="165">
        <v>14175</v>
      </c>
      <c r="I1647" s="165"/>
      <c r="J1647" s="165"/>
      <c r="K1647" s="165"/>
      <c r="L1647" s="165">
        <v>14175</v>
      </c>
      <c r="M1647" s="165"/>
      <c r="N1647" s="165"/>
      <c r="O1647" s="337">
        <f t="shared" si="76"/>
        <v>0</v>
      </c>
      <c r="P1647" s="165" t="s">
        <v>11084</v>
      </c>
      <c r="Q1647" s="165" t="s">
        <v>11084</v>
      </c>
      <c r="R1647" s="3">
        <f t="shared" si="78"/>
        <v>14175</v>
      </c>
      <c r="S1647" s="337">
        <v>14175</v>
      </c>
      <c r="T1647"/>
      <c r="U1647" s="3"/>
    </row>
    <row r="1648" spans="1:22">
      <c r="A1648" s="165" t="s">
        <v>10794</v>
      </c>
      <c r="B1648" s="94">
        <v>1560</v>
      </c>
      <c r="C1648" s="165" t="s">
        <v>10730</v>
      </c>
      <c r="D1648" s="165">
        <v>2</v>
      </c>
      <c r="E1648" s="165" t="s">
        <v>11073</v>
      </c>
      <c r="F1648" s="165" t="s">
        <v>11083</v>
      </c>
      <c r="G1648" s="165"/>
      <c r="H1648" s="165">
        <v>14175</v>
      </c>
      <c r="I1648" s="165"/>
      <c r="J1648" s="165"/>
      <c r="K1648" s="165"/>
      <c r="L1648" s="165">
        <v>14175</v>
      </c>
      <c r="M1648" s="165"/>
      <c r="N1648" s="165"/>
      <c r="O1648" s="337">
        <f t="shared" si="76"/>
        <v>0</v>
      </c>
      <c r="P1648" s="165" t="s">
        <v>16134</v>
      </c>
      <c r="Q1648" s="165" t="s">
        <v>16136</v>
      </c>
      <c r="R1648" s="3">
        <f t="shared" si="78"/>
        <v>14175</v>
      </c>
      <c r="S1648" s="337">
        <v>14175</v>
      </c>
      <c r="T1648"/>
      <c r="U1648" s="3"/>
    </row>
    <row r="1649" spans="1:22">
      <c r="A1649" s="165" t="s">
        <v>10794</v>
      </c>
      <c r="B1649" s="94">
        <v>1561</v>
      </c>
      <c r="C1649" s="165" t="s">
        <v>10730</v>
      </c>
      <c r="D1649" s="165">
        <v>3</v>
      </c>
      <c r="E1649" s="165" t="s">
        <v>11074</v>
      </c>
      <c r="F1649" s="165" t="s">
        <v>10907</v>
      </c>
      <c r="G1649" s="165"/>
      <c r="H1649" s="165">
        <v>14175</v>
      </c>
      <c r="I1649" s="165"/>
      <c r="J1649" s="165"/>
      <c r="K1649" s="165"/>
      <c r="L1649" s="165">
        <v>14175</v>
      </c>
      <c r="M1649" s="165"/>
      <c r="N1649" s="165"/>
      <c r="O1649" s="337">
        <f t="shared" si="76"/>
        <v>0</v>
      </c>
      <c r="P1649" s="165" t="s">
        <v>16226</v>
      </c>
      <c r="Q1649" s="165" t="s">
        <v>16227</v>
      </c>
      <c r="R1649" s="3">
        <f t="shared" si="78"/>
        <v>14175</v>
      </c>
      <c r="S1649" s="337">
        <v>14175</v>
      </c>
      <c r="T1649"/>
      <c r="U1649" s="3"/>
    </row>
    <row r="1650" spans="1:22">
      <c r="A1650" s="165" t="s">
        <v>10794</v>
      </c>
      <c r="B1650" s="94">
        <v>1562</v>
      </c>
      <c r="C1650" s="165" t="s">
        <v>10730</v>
      </c>
      <c r="D1650" s="165">
        <v>4</v>
      </c>
      <c r="E1650" s="165" t="s">
        <v>11075</v>
      </c>
      <c r="F1650" s="165" t="s">
        <v>10908</v>
      </c>
      <c r="G1650" s="165"/>
      <c r="H1650" s="165">
        <v>14175</v>
      </c>
      <c r="I1650" s="165"/>
      <c r="J1650" s="165"/>
      <c r="K1650" s="165"/>
      <c r="L1650" s="165">
        <v>14175</v>
      </c>
      <c r="M1650" s="165"/>
      <c r="N1650" s="165"/>
      <c r="O1650" s="337">
        <f t="shared" si="76"/>
        <v>0</v>
      </c>
      <c r="P1650" s="165" t="s">
        <v>16373</v>
      </c>
      <c r="Q1650" s="165" t="s">
        <v>16374</v>
      </c>
      <c r="R1650" s="3">
        <f t="shared" si="78"/>
        <v>14175</v>
      </c>
      <c r="S1650" s="337">
        <v>14175</v>
      </c>
      <c r="T1650"/>
      <c r="U1650" s="3"/>
    </row>
    <row r="1651" spans="1:22">
      <c r="A1651" s="165" t="s">
        <v>10794</v>
      </c>
      <c r="B1651" s="94">
        <v>1563</v>
      </c>
      <c r="C1651" s="165" t="s">
        <v>10730</v>
      </c>
      <c r="D1651" s="165">
        <v>5</v>
      </c>
      <c r="E1651" s="165" t="s">
        <v>11076</v>
      </c>
      <c r="F1651" s="165" t="s">
        <v>10909</v>
      </c>
      <c r="G1651" s="165"/>
      <c r="H1651" s="165">
        <v>14175</v>
      </c>
      <c r="I1651" s="165"/>
      <c r="J1651" s="165"/>
      <c r="K1651" s="165"/>
      <c r="L1651" s="165">
        <v>14175</v>
      </c>
      <c r="M1651" s="165"/>
      <c r="N1651" s="165"/>
      <c r="O1651" s="337">
        <f t="shared" si="76"/>
        <v>0</v>
      </c>
      <c r="P1651" s="165" t="s">
        <v>16505</v>
      </c>
      <c r="Q1651" s="165" t="s">
        <v>16506</v>
      </c>
      <c r="R1651" s="3">
        <f t="shared" si="78"/>
        <v>14175</v>
      </c>
      <c r="S1651" s="337">
        <v>14175</v>
      </c>
      <c r="T1651"/>
      <c r="U1651" s="3"/>
    </row>
    <row r="1652" spans="1:22">
      <c r="A1652" s="165" t="s">
        <v>10794</v>
      </c>
      <c r="B1652" s="94">
        <v>1564</v>
      </c>
      <c r="C1652" s="165" t="s">
        <v>10730</v>
      </c>
      <c r="D1652" s="165">
        <v>6</v>
      </c>
      <c r="E1652" s="165" t="s">
        <v>11077</v>
      </c>
      <c r="F1652" s="165" t="s">
        <v>10910</v>
      </c>
      <c r="G1652" s="165"/>
      <c r="H1652" s="165">
        <v>14175</v>
      </c>
      <c r="I1652" s="165"/>
      <c r="J1652" s="165"/>
      <c r="K1652" s="165"/>
      <c r="L1652" s="165"/>
      <c r="M1652" s="165">
        <v>14175</v>
      </c>
      <c r="N1652" s="165"/>
      <c r="O1652" s="337">
        <f t="shared" si="76"/>
        <v>14175</v>
      </c>
      <c r="P1652" s="165"/>
      <c r="Q1652" s="165"/>
      <c r="R1652" s="3">
        <f t="shared" si="78"/>
        <v>14175</v>
      </c>
      <c r="S1652" s="337"/>
      <c r="T1652"/>
      <c r="U1652" s="3"/>
    </row>
    <row r="1653" spans="1:22">
      <c r="A1653" s="165" t="s">
        <v>10794</v>
      </c>
      <c r="B1653" s="94">
        <v>1565</v>
      </c>
      <c r="C1653" s="165" t="s">
        <v>10730</v>
      </c>
      <c r="D1653" s="165">
        <v>7</v>
      </c>
      <c r="E1653" s="165" t="s">
        <v>11078</v>
      </c>
      <c r="F1653" s="165" t="s">
        <v>11081</v>
      </c>
      <c r="G1653" s="165"/>
      <c r="H1653" s="165">
        <v>14175</v>
      </c>
      <c r="I1653" s="165"/>
      <c r="J1653" s="165"/>
      <c r="K1653" s="165"/>
      <c r="L1653" s="165"/>
      <c r="M1653" s="165">
        <v>14175</v>
      </c>
      <c r="N1653" s="165"/>
      <c r="O1653" s="337">
        <f t="shared" si="76"/>
        <v>14175</v>
      </c>
      <c r="P1653" s="165"/>
      <c r="Q1653" s="165"/>
      <c r="R1653" s="3">
        <f t="shared" si="78"/>
        <v>14175</v>
      </c>
      <c r="S1653" s="337"/>
      <c r="T1653"/>
      <c r="U1653" s="3"/>
    </row>
    <row r="1654" spans="1:22">
      <c r="A1654" s="165" t="s">
        <v>10794</v>
      </c>
      <c r="B1654" s="94">
        <v>1566</v>
      </c>
      <c r="C1654" s="165" t="s">
        <v>10730</v>
      </c>
      <c r="D1654" s="165">
        <v>8</v>
      </c>
      <c r="E1654" s="165" t="s">
        <v>11079</v>
      </c>
      <c r="F1654" s="165" t="s">
        <v>11082</v>
      </c>
      <c r="G1654" s="165"/>
      <c r="H1654" s="165">
        <v>14175</v>
      </c>
      <c r="I1654" s="165"/>
      <c r="J1654" s="165"/>
      <c r="K1654" s="165"/>
      <c r="L1654" s="165"/>
      <c r="M1654" s="165">
        <v>14175</v>
      </c>
      <c r="N1654" s="165"/>
      <c r="O1654" s="337">
        <f t="shared" si="76"/>
        <v>14175</v>
      </c>
      <c r="P1654" s="165"/>
      <c r="Q1654" s="165"/>
      <c r="R1654" s="3">
        <f t="shared" si="78"/>
        <v>14175</v>
      </c>
      <c r="S1654" s="337"/>
      <c r="T1654"/>
      <c r="U1654" s="3"/>
    </row>
    <row r="1655" spans="1:22" s="3" customFormat="1">
      <c r="A1655" s="165"/>
      <c r="B1655" s="94"/>
      <c r="C1655" s="165"/>
      <c r="D1655" s="165"/>
      <c r="E1655" s="165"/>
      <c r="F1655" s="165"/>
      <c r="G1655" s="165"/>
      <c r="H1655" s="165"/>
      <c r="I1655" s="165"/>
      <c r="J1655" s="165"/>
      <c r="K1655" s="165"/>
      <c r="L1655" s="165"/>
      <c r="M1655" s="165"/>
      <c r="N1655" s="165"/>
      <c r="O1655" s="165"/>
      <c r="P1655" s="165"/>
      <c r="R1655"/>
      <c r="S1655"/>
      <c r="U1655"/>
      <c r="V1655"/>
    </row>
    <row r="1656" spans="1:22" s="3" customFormat="1">
      <c r="A1656" s="165"/>
      <c r="B1656" s="94"/>
      <c r="C1656" s="165"/>
      <c r="D1656" s="165"/>
      <c r="E1656" s="165"/>
      <c r="F1656" s="165"/>
      <c r="G1656" s="165"/>
      <c r="H1656" s="165"/>
      <c r="I1656" s="165"/>
      <c r="J1656" s="165"/>
      <c r="K1656" s="165"/>
      <c r="L1656" s="165"/>
      <c r="M1656" s="165"/>
      <c r="N1656" s="165"/>
      <c r="O1656" s="165"/>
      <c r="P1656" s="165"/>
      <c r="R1656"/>
      <c r="S1656"/>
      <c r="U1656"/>
      <c r="V1656"/>
    </row>
    <row r="1657" spans="1:22">
      <c r="A1657" s="165"/>
      <c r="B1657" s="94"/>
      <c r="C1657" s="165"/>
      <c r="D1657" s="165"/>
      <c r="E1657" s="165"/>
      <c r="F1657" s="165"/>
      <c r="G1657" s="165"/>
      <c r="H1657" s="165"/>
      <c r="I1657" s="165"/>
      <c r="J1657" s="165"/>
      <c r="K1657" s="165"/>
      <c r="L1657" s="165">
        <f>G1658+H1658+I1658-L1658</f>
        <v>1416885</v>
      </c>
      <c r="M1657" s="165"/>
      <c r="N1657" s="165"/>
      <c r="O1657" s="165"/>
      <c r="P1657" s="165"/>
      <c r="R1657" s="165"/>
      <c r="U1657" s="338"/>
    </row>
    <row r="1658" spans="1:22" s="176" customFormat="1" ht="20.25" customHeight="1">
      <c r="A1658" s="203" t="s">
        <v>16060</v>
      </c>
      <c r="B1658" s="200"/>
      <c r="C1658" s="201"/>
      <c r="D1658" s="202"/>
      <c r="E1658" s="201"/>
      <c r="F1658" s="185" t="s">
        <v>2378</v>
      </c>
      <c r="G1658" s="185">
        <f t="shared" ref="G1658:O1658" si="79">SUM(G1660:G1843)</f>
        <v>259020</v>
      </c>
      <c r="H1658" s="185">
        <f t="shared" si="79"/>
        <v>1544205</v>
      </c>
      <c r="I1658" s="185">
        <f t="shared" si="79"/>
        <v>544635</v>
      </c>
      <c r="J1658" s="185">
        <f t="shared" si="79"/>
        <v>0</v>
      </c>
      <c r="K1658" s="185">
        <f t="shared" si="79"/>
        <v>0</v>
      </c>
      <c r="L1658" s="185">
        <f t="shared" si="79"/>
        <v>930975</v>
      </c>
      <c r="M1658" s="185">
        <f t="shared" si="79"/>
        <v>1416885</v>
      </c>
      <c r="N1658" s="185">
        <f t="shared" si="79"/>
        <v>0</v>
      </c>
      <c r="O1658" s="185">
        <f t="shared" si="79"/>
        <v>1416885</v>
      </c>
      <c r="P1658" s="185"/>
      <c r="Q1658" s="185"/>
      <c r="R1658" s="185">
        <f>SUM(R1660:R1843)</f>
        <v>3290160</v>
      </c>
      <c r="S1658" s="185">
        <f>SUM(S1660:S1843)</f>
        <v>1873092</v>
      </c>
      <c r="T1658" s="185">
        <f>SUM(T1660:T1843)</f>
        <v>942117</v>
      </c>
      <c r="U1658" s="832">
        <f>SUM(U1660:U1843)</f>
        <v>183</v>
      </c>
    </row>
    <row r="1659" spans="1:22" s="270" customFormat="1">
      <c r="A1659" s="269" t="s">
        <v>1281</v>
      </c>
      <c r="B1659" s="269" t="s">
        <v>2435</v>
      </c>
      <c r="C1659" s="269" t="s">
        <v>1385</v>
      </c>
      <c r="D1659" s="269" t="s">
        <v>1275</v>
      </c>
      <c r="E1659" s="269" t="s">
        <v>265</v>
      </c>
      <c r="F1659" s="269" t="s">
        <v>1280</v>
      </c>
      <c r="G1659" s="269" t="s">
        <v>16061</v>
      </c>
      <c r="H1659" s="269" t="s">
        <v>19207</v>
      </c>
      <c r="I1659" s="269" t="s">
        <v>4447</v>
      </c>
      <c r="J1659" s="269" t="s">
        <v>9596</v>
      </c>
      <c r="K1659" s="269" t="s">
        <v>10754</v>
      </c>
      <c r="L1659" s="269" t="s">
        <v>16062</v>
      </c>
      <c r="M1659" s="269" t="s">
        <v>4841</v>
      </c>
      <c r="N1659" s="269" t="s">
        <v>3728</v>
      </c>
      <c r="O1659" s="269" t="s">
        <v>2438</v>
      </c>
      <c r="P1659" s="269" t="s">
        <v>1282</v>
      </c>
      <c r="Q1659" s="269" t="s">
        <v>1386</v>
      </c>
      <c r="R1659" s="269" t="s">
        <v>576</v>
      </c>
      <c r="S1659" s="269" t="s">
        <v>3593</v>
      </c>
      <c r="T1659" s="269" t="s">
        <v>1283</v>
      </c>
      <c r="U1659" s="269" t="s">
        <v>577</v>
      </c>
    </row>
    <row r="1660" spans="1:22" s="665" customFormat="1">
      <c r="A1660" s="833" t="s">
        <v>16535</v>
      </c>
      <c r="B1660" s="666"/>
      <c r="C1660" s="667" t="s">
        <v>16536</v>
      </c>
      <c r="D1660" s="668"/>
      <c r="E1660" s="667" t="s">
        <v>5011</v>
      </c>
      <c r="F1660" s="665" t="s">
        <v>16537</v>
      </c>
      <c r="O1660" s="664">
        <f t="shared" ref="O1660" si="80">G1660+H1660+I1660+L1660-J1660-K1660</f>
        <v>0</v>
      </c>
      <c r="P1660" s="665" t="str">
        <f t="shared" ref="P1660:P1662" si="81">F1660</f>
        <v>2020.01.06</v>
      </c>
      <c r="Q1660" s="665" t="str">
        <f>P1660</f>
        <v>2020.01.06</v>
      </c>
      <c r="R1660" s="667">
        <v>113400</v>
      </c>
      <c r="S1660" s="667">
        <v>113390</v>
      </c>
      <c r="T1660" s="667">
        <v>113390</v>
      </c>
      <c r="U1660" s="690">
        <f t="shared" ref="U1660:U1661" si="82">R1660-S1660</f>
        <v>10</v>
      </c>
    </row>
    <row r="1661" spans="1:22" s="665" customFormat="1">
      <c r="A1661" s="667" t="s">
        <v>16538</v>
      </c>
      <c r="B1661" s="666"/>
      <c r="C1661" s="667" t="s">
        <v>4094</v>
      </c>
      <c r="D1661" s="668">
        <v>10</v>
      </c>
      <c r="E1661" s="667" t="s">
        <v>5011</v>
      </c>
      <c r="F1661" s="665" t="s">
        <v>16539</v>
      </c>
      <c r="O1661" s="664">
        <f>G1661+H1661+I1661+L1661-J1661-K1661</f>
        <v>0</v>
      </c>
      <c r="P1661" s="665" t="str">
        <f t="shared" si="81"/>
        <v>2020.01.14</v>
      </c>
      <c r="Q1661" s="665" t="str">
        <f>P1661</f>
        <v>2020.01.14</v>
      </c>
      <c r="R1661" s="688">
        <v>4410</v>
      </c>
      <c r="S1661" s="689">
        <v>4410</v>
      </c>
      <c r="T1661" s="689">
        <v>4410</v>
      </c>
      <c r="U1661" s="690">
        <f t="shared" si="82"/>
        <v>0</v>
      </c>
    </row>
    <row r="1662" spans="1:22" s="665" customFormat="1">
      <c r="A1662" s="833" t="s">
        <v>16540</v>
      </c>
      <c r="B1662" s="666"/>
      <c r="C1662" s="667" t="s">
        <v>16541</v>
      </c>
      <c r="D1662" s="668">
        <v>11</v>
      </c>
      <c r="E1662" s="667" t="s">
        <v>5011</v>
      </c>
      <c r="F1662" s="665" t="s">
        <v>16540</v>
      </c>
      <c r="O1662" s="664">
        <f t="shared" ref="O1662" si="83">G1662+H1662+I1662+L1662-J1662-K1662</f>
        <v>0</v>
      </c>
      <c r="P1662" s="665" t="str">
        <f t="shared" si="81"/>
        <v>2020.01.15</v>
      </c>
      <c r="Q1662" s="665" t="str">
        <f>P1662</f>
        <v>2020.01.15</v>
      </c>
      <c r="R1662" s="667">
        <v>16380</v>
      </c>
      <c r="S1662" s="667">
        <v>16350</v>
      </c>
      <c r="T1662" s="667">
        <v>16350</v>
      </c>
      <c r="U1662" s="690">
        <f t="shared" ref="U1662:U1665" si="84">R1662-S1662</f>
        <v>30</v>
      </c>
    </row>
    <row r="1663" spans="1:22" s="665" customFormat="1">
      <c r="A1663" s="667" t="s">
        <v>16542</v>
      </c>
      <c r="B1663" s="666"/>
      <c r="C1663" s="667" t="s">
        <v>4094</v>
      </c>
      <c r="D1663" s="668">
        <v>11</v>
      </c>
      <c r="E1663" s="667" t="s">
        <v>5011</v>
      </c>
      <c r="F1663" s="665" t="s">
        <v>16543</v>
      </c>
      <c r="O1663" s="664">
        <f>G1663+H1663+I1663+L1663-J1663-K1663</f>
        <v>0</v>
      </c>
      <c r="P1663" s="665" t="str">
        <f t="shared" ref="P1663:P1665" si="85">F1663</f>
        <v>2020.02.12</v>
      </c>
      <c r="Q1663" s="665" t="str">
        <f>P1663</f>
        <v>2020.02.12</v>
      </c>
      <c r="R1663" s="688">
        <v>4410</v>
      </c>
      <c r="S1663" s="689">
        <v>4410</v>
      </c>
      <c r="T1663" s="689">
        <v>4410</v>
      </c>
      <c r="U1663" s="690">
        <f t="shared" si="84"/>
        <v>0</v>
      </c>
    </row>
    <row r="1664" spans="1:22" s="665" customFormat="1">
      <c r="A1664" s="667" t="s">
        <v>16058</v>
      </c>
      <c r="B1664" s="666"/>
      <c r="C1664" s="667" t="s">
        <v>4339</v>
      </c>
      <c r="D1664" s="668">
        <v>4</v>
      </c>
      <c r="E1664" s="667" t="s">
        <v>5011</v>
      </c>
      <c r="F1664" s="665" t="s">
        <v>16058</v>
      </c>
      <c r="O1664" s="664">
        <f t="shared" ref="O1664:O1665" si="86">G1664+H1664+I1664+L1664-J1664-K1664</f>
        <v>0</v>
      </c>
      <c r="P1664" s="665" t="str">
        <f t="shared" si="85"/>
        <v>2020.02.24</v>
      </c>
      <c r="Q1664" s="665" t="str">
        <f t="shared" ref="Q1664:Q1665" si="87">P1664</f>
        <v>2020.02.24</v>
      </c>
      <c r="R1664" s="688">
        <v>14175</v>
      </c>
      <c r="S1664" s="689">
        <v>14165</v>
      </c>
      <c r="T1664" s="689">
        <v>14165</v>
      </c>
      <c r="U1664" s="690">
        <f t="shared" si="84"/>
        <v>10</v>
      </c>
    </row>
    <row r="1665" spans="1:21" s="665" customFormat="1">
      <c r="A1665" s="833" t="s">
        <v>14491</v>
      </c>
      <c r="B1665" s="666"/>
      <c r="C1665" s="667" t="s">
        <v>456</v>
      </c>
      <c r="D1665" s="668">
        <v>2</v>
      </c>
      <c r="E1665" s="667" t="s">
        <v>5011</v>
      </c>
      <c r="F1665" s="665" t="s">
        <v>14491</v>
      </c>
      <c r="O1665" s="664">
        <f t="shared" si="86"/>
        <v>0</v>
      </c>
      <c r="P1665" s="665" t="str">
        <f t="shared" si="85"/>
        <v>2020.03.12</v>
      </c>
      <c r="Q1665" s="665" t="str">
        <f t="shared" si="87"/>
        <v>2020.03.12</v>
      </c>
      <c r="R1665" s="667">
        <v>13230</v>
      </c>
      <c r="S1665" s="667">
        <v>13230</v>
      </c>
      <c r="T1665" s="667">
        <v>13230</v>
      </c>
      <c r="U1665" s="690">
        <f t="shared" si="84"/>
        <v>0</v>
      </c>
    </row>
    <row r="1666" spans="1:21" s="665" customFormat="1">
      <c r="A1666" s="667" t="s">
        <v>16544</v>
      </c>
      <c r="B1666" s="666"/>
      <c r="C1666" s="667" t="s">
        <v>4094</v>
      </c>
      <c r="D1666" s="668">
        <v>12</v>
      </c>
      <c r="E1666" s="667" t="s">
        <v>5011</v>
      </c>
      <c r="F1666" s="665" t="s">
        <v>16545</v>
      </c>
      <c r="O1666" s="664">
        <f>G1666+H1666+I1666+L1666-J1666-K1666</f>
        <v>0</v>
      </c>
      <c r="P1666" s="665" t="str">
        <f t="shared" ref="P1666:P1667" si="88">F1666</f>
        <v>2020.03.13</v>
      </c>
      <c r="Q1666" s="665" t="str">
        <f>P1666</f>
        <v>2020.03.13</v>
      </c>
      <c r="R1666" s="688">
        <v>4410</v>
      </c>
      <c r="S1666" s="689">
        <v>4410</v>
      </c>
      <c r="T1666" s="689">
        <v>4410</v>
      </c>
      <c r="U1666" s="690">
        <f t="shared" ref="U1666:U1667" si="89">R1666-S1666</f>
        <v>0</v>
      </c>
    </row>
    <row r="1667" spans="1:21" s="665" customFormat="1">
      <c r="A1667" s="667" t="s">
        <v>16546</v>
      </c>
      <c r="B1667" s="666"/>
      <c r="C1667" s="667" t="s">
        <v>447</v>
      </c>
      <c r="D1667" s="668">
        <v>7</v>
      </c>
      <c r="E1667" s="667" t="s">
        <v>5011</v>
      </c>
      <c r="F1667" s="665" t="s">
        <v>16547</v>
      </c>
      <c r="O1667" s="664">
        <f t="shared" ref="O1667" si="90">G1667+H1667+I1667+L1667-J1667-K1667</f>
        <v>0</v>
      </c>
      <c r="P1667" s="665" t="str">
        <f t="shared" si="88"/>
        <v>2020.03.25</v>
      </c>
      <c r="Q1667" s="665" t="str">
        <f t="shared" ref="Q1667" si="91">P1667</f>
        <v>2020.03.25</v>
      </c>
      <c r="R1667" s="688">
        <v>14175</v>
      </c>
      <c r="S1667" s="689">
        <v>14165</v>
      </c>
      <c r="T1667" s="689">
        <v>14165</v>
      </c>
      <c r="U1667" s="690">
        <f t="shared" si="89"/>
        <v>10</v>
      </c>
    </row>
    <row r="1668" spans="1:21" s="665" customFormat="1">
      <c r="A1668" s="667" t="s">
        <v>16548</v>
      </c>
      <c r="B1668" s="666"/>
      <c r="C1668" s="667" t="s">
        <v>4094</v>
      </c>
      <c r="D1668" s="668">
        <v>13</v>
      </c>
      <c r="E1668" s="667" t="s">
        <v>5011</v>
      </c>
      <c r="F1668" s="665" t="s">
        <v>16549</v>
      </c>
      <c r="O1668" s="664">
        <f>G1668+H1668+I1668+L1668-J1668-K1668</f>
        <v>0</v>
      </c>
      <c r="P1668" s="665" t="str">
        <f t="shared" ref="P1668:P1669" si="92">F1668</f>
        <v>2020.04.10</v>
      </c>
      <c r="Q1668" s="665" t="str">
        <f>P1668</f>
        <v>2020.04.10</v>
      </c>
      <c r="R1668" s="688">
        <v>4410</v>
      </c>
      <c r="S1668" s="689">
        <v>4410</v>
      </c>
      <c r="T1668" s="689">
        <v>4410</v>
      </c>
      <c r="U1668" s="690">
        <f t="shared" ref="U1668:U1669" si="93">R1668-S1668</f>
        <v>0</v>
      </c>
    </row>
    <row r="1669" spans="1:21" s="665" customFormat="1">
      <c r="A1669" s="667" t="s">
        <v>16550</v>
      </c>
      <c r="B1669" s="666"/>
      <c r="C1669" s="667" t="s">
        <v>4318</v>
      </c>
      <c r="D1669" s="668">
        <v>1</v>
      </c>
      <c r="E1669" s="667" t="s">
        <v>5011</v>
      </c>
      <c r="F1669" s="665" t="s">
        <v>16551</v>
      </c>
      <c r="O1669" s="664">
        <f t="shared" ref="O1669" si="94">G1669+H1669+I1669+L1669-J1669-K1669</f>
        <v>0</v>
      </c>
      <c r="P1669" s="665" t="str">
        <f t="shared" si="92"/>
        <v>2020.04.15</v>
      </c>
      <c r="Q1669" s="665" t="str">
        <f>F1669</f>
        <v>2020.04.15</v>
      </c>
      <c r="R1669" s="688">
        <v>13500</v>
      </c>
      <c r="S1669" s="689">
        <v>13485</v>
      </c>
      <c r="T1669" s="689">
        <v>13485</v>
      </c>
      <c r="U1669" s="690">
        <f t="shared" si="93"/>
        <v>15</v>
      </c>
    </row>
    <row r="1670" spans="1:21" s="665" customFormat="1">
      <c r="A1670" s="667" t="s">
        <v>16552</v>
      </c>
      <c r="B1670" s="666"/>
      <c r="C1670" s="667" t="s">
        <v>4094</v>
      </c>
      <c r="D1670" s="668">
        <v>14</v>
      </c>
      <c r="E1670" s="667" t="s">
        <v>5011</v>
      </c>
      <c r="F1670" s="665" t="s">
        <v>16553</v>
      </c>
      <c r="O1670" s="664">
        <f>G1670+H1670+I1670+L1670-J1670-K1670</f>
        <v>0</v>
      </c>
      <c r="P1670" s="665" t="str">
        <f t="shared" ref="P1670:P1671" si="95">F1670</f>
        <v>2020.05.08</v>
      </c>
      <c r="Q1670" s="665" t="str">
        <f>P1670</f>
        <v>2020.05.08</v>
      </c>
      <c r="R1670" s="688">
        <v>4410</v>
      </c>
      <c r="S1670" s="689">
        <v>4410</v>
      </c>
      <c r="T1670" s="689">
        <v>4410</v>
      </c>
      <c r="U1670" s="690">
        <f t="shared" ref="U1670:U1671" si="96">R1670-S1670</f>
        <v>0</v>
      </c>
    </row>
    <row r="1671" spans="1:21" s="665" customFormat="1">
      <c r="A1671" s="667" t="s">
        <v>16554</v>
      </c>
      <c r="B1671" s="666"/>
      <c r="C1671" s="667" t="s">
        <v>4339</v>
      </c>
      <c r="D1671" s="668">
        <v>5</v>
      </c>
      <c r="E1671" s="667" t="s">
        <v>5011</v>
      </c>
      <c r="F1671" s="665" t="s">
        <v>16555</v>
      </c>
      <c r="O1671" s="664">
        <f t="shared" ref="O1671" si="97">G1671+H1671+I1671+L1671-J1671-K1671</f>
        <v>0</v>
      </c>
      <c r="P1671" s="665" t="str">
        <f t="shared" si="95"/>
        <v>2020.05.25</v>
      </c>
      <c r="Q1671" s="665" t="str">
        <f t="shared" ref="Q1671" si="98">P1671</f>
        <v>2020.05.25</v>
      </c>
      <c r="R1671" s="688">
        <v>14175</v>
      </c>
      <c r="S1671" s="689">
        <v>14165</v>
      </c>
      <c r="T1671" s="689">
        <v>14165</v>
      </c>
      <c r="U1671" s="690">
        <f t="shared" si="96"/>
        <v>10</v>
      </c>
    </row>
    <row r="1672" spans="1:21" s="665" customFormat="1">
      <c r="A1672" s="667" t="s">
        <v>16556</v>
      </c>
      <c r="B1672" s="666"/>
      <c r="C1672" s="667" t="s">
        <v>16557</v>
      </c>
      <c r="D1672" s="671" t="s">
        <v>16559</v>
      </c>
      <c r="E1672" s="667" t="s">
        <v>5011</v>
      </c>
      <c r="F1672" s="665" t="s">
        <v>16558</v>
      </c>
      <c r="O1672" s="664">
        <f t="shared" ref="O1672:O1675" si="99">G1672+H1672+I1672+L1672-J1672-K1672</f>
        <v>0</v>
      </c>
      <c r="P1672" s="665" t="str">
        <f t="shared" ref="P1672:P1678" si="100">F1672</f>
        <v>2020.06.03</v>
      </c>
      <c r="Q1672" s="665" t="str">
        <f t="shared" ref="Q1672:Q1674" si="101">P1672</f>
        <v>2020.06.03</v>
      </c>
      <c r="R1672" s="688">
        <v>108000</v>
      </c>
      <c r="S1672" s="689">
        <v>108000</v>
      </c>
      <c r="T1672" s="689">
        <v>108000</v>
      </c>
      <c r="U1672" s="690">
        <f t="shared" ref="U1672:U1678" si="102">R1672-S1672</f>
        <v>0</v>
      </c>
    </row>
    <row r="1673" spans="1:21" s="665" customFormat="1">
      <c r="A1673" s="833" t="s">
        <v>16590</v>
      </c>
      <c r="B1673" s="666"/>
      <c r="C1673" s="667" t="s">
        <v>456</v>
      </c>
      <c r="D1673" s="668">
        <v>3</v>
      </c>
      <c r="E1673" s="667" t="s">
        <v>5011</v>
      </c>
      <c r="F1673" s="665" t="s">
        <v>16591</v>
      </c>
      <c r="O1673" s="664">
        <f t="shared" si="99"/>
        <v>0</v>
      </c>
      <c r="P1673" s="665" t="str">
        <f t="shared" si="100"/>
        <v>2020.06.10</v>
      </c>
      <c r="Q1673" s="665" t="str">
        <f t="shared" si="101"/>
        <v>2020.06.10</v>
      </c>
      <c r="R1673" s="667">
        <v>13230</v>
      </c>
      <c r="S1673" s="667">
        <v>13230</v>
      </c>
      <c r="T1673" s="667">
        <v>13230</v>
      </c>
      <c r="U1673" s="690">
        <f t="shared" si="102"/>
        <v>0</v>
      </c>
    </row>
    <row r="1674" spans="1:21" s="665" customFormat="1">
      <c r="A1674" s="667" t="s">
        <v>16560</v>
      </c>
      <c r="B1674" s="666"/>
      <c r="C1674" s="667" t="s">
        <v>447</v>
      </c>
      <c r="D1674" s="668">
        <v>8</v>
      </c>
      <c r="E1674" s="667" t="s">
        <v>5011</v>
      </c>
      <c r="F1674" s="665" t="s">
        <v>16561</v>
      </c>
      <c r="O1674" s="664">
        <f t="shared" si="99"/>
        <v>0</v>
      </c>
      <c r="P1674" s="665" t="str">
        <f t="shared" si="100"/>
        <v>2020.06.29</v>
      </c>
      <c r="Q1674" s="665" t="str">
        <f t="shared" si="101"/>
        <v>2020.06.29</v>
      </c>
      <c r="R1674" s="688">
        <v>14175</v>
      </c>
      <c r="S1674" s="689">
        <v>14165</v>
      </c>
      <c r="T1674" s="689">
        <v>14165</v>
      </c>
      <c r="U1674" s="690">
        <f t="shared" si="102"/>
        <v>10</v>
      </c>
    </row>
    <row r="1675" spans="1:21" s="665" customFormat="1">
      <c r="A1675" s="667" t="s">
        <v>16562</v>
      </c>
      <c r="B1675" s="666"/>
      <c r="C1675" s="667" t="s">
        <v>4318</v>
      </c>
      <c r="D1675" s="668">
        <v>2</v>
      </c>
      <c r="E1675" s="667" t="s">
        <v>5011</v>
      </c>
      <c r="F1675" s="665" t="s">
        <v>16563</v>
      </c>
      <c r="O1675" s="664">
        <f t="shared" si="99"/>
        <v>0</v>
      </c>
      <c r="P1675" s="665" t="str">
        <f t="shared" si="100"/>
        <v>2020.07.15</v>
      </c>
      <c r="Q1675" s="665" t="str">
        <f>F1675</f>
        <v>2020.07.15</v>
      </c>
      <c r="R1675" s="688">
        <v>13500</v>
      </c>
      <c r="S1675" s="689">
        <v>13487</v>
      </c>
      <c r="T1675" s="689">
        <v>13487</v>
      </c>
      <c r="U1675" s="690">
        <f t="shared" si="102"/>
        <v>13</v>
      </c>
    </row>
    <row r="1676" spans="1:21" s="665" customFormat="1">
      <c r="A1676" s="667" t="s">
        <v>16564</v>
      </c>
      <c r="B1676" s="666"/>
      <c r="C1676" s="667" t="s">
        <v>4094</v>
      </c>
      <c r="D1676" s="671" t="s">
        <v>16565</v>
      </c>
      <c r="E1676" s="667" t="s">
        <v>5011</v>
      </c>
      <c r="F1676" s="665" t="s">
        <v>16566</v>
      </c>
      <c r="O1676" s="664">
        <f>G1676+H1676+I1676+L1676-J1676-K1676</f>
        <v>0</v>
      </c>
      <c r="P1676" s="665" t="str">
        <f t="shared" si="100"/>
        <v>2020.07.15</v>
      </c>
      <c r="Q1676" s="665" t="str">
        <f>P1676</f>
        <v>2020.07.15</v>
      </c>
      <c r="R1676" s="688">
        <v>8820</v>
      </c>
      <c r="S1676" s="689">
        <v>8820</v>
      </c>
      <c r="T1676" s="689">
        <v>8820</v>
      </c>
      <c r="U1676" s="690">
        <f t="shared" si="102"/>
        <v>0</v>
      </c>
    </row>
    <row r="1677" spans="1:21" s="665" customFormat="1">
      <c r="A1677" s="667" t="s">
        <v>16567</v>
      </c>
      <c r="B1677" s="666"/>
      <c r="C1677" s="667" t="s">
        <v>4094</v>
      </c>
      <c r="D1677" s="668">
        <v>17</v>
      </c>
      <c r="E1677" s="667" t="s">
        <v>5011</v>
      </c>
      <c r="F1677" s="665" t="s">
        <v>16568</v>
      </c>
      <c r="O1677" s="664">
        <f>G1677+H1677+I1677+L1677-J1677-K1677</f>
        <v>0</v>
      </c>
      <c r="P1677" s="665" t="str">
        <f t="shared" si="100"/>
        <v>2020.08.10</v>
      </c>
      <c r="Q1677" s="665" t="str">
        <f>P1677</f>
        <v>2020.08.10</v>
      </c>
      <c r="R1677" s="688">
        <v>4410</v>
      </c>
      <c r="S1677" s="689">
        <v>4410</v>
      </c>
      <c r="T1677" s="689">
        <v>4410</v>
      </c>
      <c r="U1677" s="690">
        <f t="shared" si="102"/>
        <v>0</v>
      </c>
    </row>
    <row r="1678" spans="1:21" s="665" customFormat="1">
      <c r="A1678" s="667" t="s">
        <v>16569</v>
      </c>
      <c r="B1678" s="666"/>
      <c r="C1678" s="667" t="s">
        <v>4339</v>
      </c>
      <c r="D1678" s="668">
        <v>6</v>
      </c>
      <c r="E1678" s="667" t="s">
        <v>5011</v>
      </c>
      <c r="F1678" s="665" t="s">
        <v>16570</v>
      </c>
      <c r="O1678" s="664">
        <f t="shared" ref="O1678" si="103">G1678+H1678+I1678+L1678-J1678-K1678</f>
        <v>0</v>
      </c>
      <c r="P1678" s="665" t="str">
        <f t="shared" si="100"/>
        <v>2020.08.24</v>
      </c>
      <c r="Q1678" s="665" t="str">
        <f t="shared" ref="Q1678" si="104">P1678</f>
        <v>2020.08.24</v>
      </c>
      <c r="R1678" s="688">
        <v>14175</v>
      </c>
      <c r="S1678" s="689">
        <v>14165</v>
      </c>
      <c r="T1678" s="689">
        <v>14165</v>
      </c>
      <c r="U1678" s="690">
        <f t="shared" si="102"/>
        <v>10</v>
      </c>
    </row>
    <row r="1679" spans="1:21" s="665" customFormat="1">
      <c r="A1679" s="667" t="s">
        <v>11048</v>
      </c>
      <c r="B1679" s="666"/>
      <c r="C1679" s="667" t="s">
        <v>4094</v>
      </c>
      <c r="D1679" s="668">
        <v>18</v>
      </c>
      <c r="E1679" s="667" t="s">
        <v>5011</v>
      </c>
      <c r="F1679" s="665" t="s">
        <v>16571</v>
      </c>
      <c r="O1679" s="664">
        <f>G1679+H1679+I1679+L1679-J1679-K1679</f>
        <v>0</v>
      </c>
      <c r="P1679" s="665" t="str">
        <f t="shared" ref="P1679:P1681" si="105">F1679</f>
        <v>2020.09.15</v>
      </c>
      <c r="Q1679" s="665" t="str">
        <f>P1679</f>
        <v>2020.09.15</v>
      </c>
      <c r="R1679" s="688">
        <v>4410</v>
      </c>
      <c r="S1679" s="689">
        <v>4410</v>
      </c>
      <c r="T1679" s="689">
        <v>4410</v>
      </c>
      <c r="U1679" s="690">
        <f t="shared" ref="U1679:U1681" si="106">R1679-S1679</f>
        <v>0</v>
      </c>
    </row>
    <row r="1680" spans="1:21" s="665" customFormat="1">
      <c r="A1680" s="833" t="s">
        <v>10941</v>
      </c>
      <c r="B1680" s="666"/>
      <c r="C1680" s="667" t="s">
        <v>456</v>
      </c>
      <c r="D1680" s="668">
        <v>4</v>
      </c>
      <c r="E1680" s="667" t="s">
        <v>5011</v>
      </c>
      <c r="F1680" s="665" t="s">
        <v>16592</v>
      </c>
      <c r="O1680" s="664">
        <f t="shared" ref="O1680" si="107">G1680+H1680+I1680+L1680-J1680-K1680</f>
        <v>0</v>
      </c>
      <c r="P1680" s="665" t="str">
        <f t="shared" si="105"/>
        <v>2020.09.30</v>
      </c>
      <c r="Q1680" s="665" t="str">
        <f t="shared" ref="Q1680" si="108">P1680</f>
        <v>2020.09.30</v>
      </c>
      <c r="R1680" s="667">
        <v>13230</v>
      </c>
      <c r="S1680" s="667">
        <v>13230</v>
      </c>
      <c r="T1680" s="667">
        <v>13230</v>
      </c>
      <c r="U1680" s="690">
        <f t="shared" si="106"/>
        <v>0</v>
      </c>
    </row>
    <row r="1681" spans="1:22" s="665" customFormat="1">
      <c r="A1681" s="833" t="s">
        <v>16049</v>
      </c>
      <c r="B1681" s="666"/>
      <c r="C1681" s="667" t="s">
        <v>16572</v>
      </c>
      <c r="D1681" s="668"/>
      <c r="E1681" s="667" t="s">
        <v>5011</v>
      </c>
      <c r="F1681" s="665" t="s">
        <v>16573</v>
      </c>
      <c r="O1681" s="664">
        <f t="shared" ref="O1681" si="109">G1681+H1681+I1681+L1681-J1681-K1681</f>
        <v>0</v>
      </c>
      <c r="P1681" s="665" t="str">
        <f t="shared" si="105"/>
        <v>2020.10.05</v>
      </c>
      <c r="Q1681" s="665" t="str">
        <f>P1681</f>
        <v>2020.10.05</v>
      </c>
      <c r="R1681" s="667">
        <v>126000</v>
      </c>
      <c r="S1681" s="667">
        <v>125990</v>
      </c>
      <c r="T1681" s="667">
        <v>125990</v>
      </c>
      <c r="U1681" s="690">
        <f t="shared" si="106"/>
        <v>10</v>
      </c>
    </row>
    <row r="1682" spans="1:22" s="665" customFormat="1">
      <c r="A1682" s="833" t="s">
        <v>16049</v>
      </c>
      <c r="B1682" s="666"/>
      <c r="C1682" s="667" t="s">
        <v>16510</v>
      </c>
      <c r="D1682" s="668"/>
      <c r="E1682" s="667" t="s">
        <v>5011</v>
      </c>
      <c r="F1682" s="665" t="s">
        <v>16573</v>
      </c>
      <c r="O1682" s="664">
        <f t="shared" ref="O1682" si="110">G1682+H1682+I1682+L1682-J1682-K1682</f>
        <v>0</v>
      </c>
      <c r="P1682" s="665" t="str">
        <f t="shared" ref="P1682:P1685" si="111">F1682</f>
        <v>2020.10.05</v>
      </c>
      <c r="Q1682" s="665" t="str">
        <f>P1682</f>
        <v>2020.10.05</v>
      </c>
      <c r="R1682" s="667">
        <v>126000</v>
      </c>
      <c r="S1682" s="667">
        <v>125990</v>
      </c>
      <c r="T1682" s="667">
        <v>125990</v>
      </c>
      <c r="U1682" s="690">
        <f t="shared" ref="U1682:U1685" si="112">R1682-S1682</f>
        <v>10</v>
      </c>
    </row>
    <row r="1683" spans="1:22" s="665" customFormat="1">
      <c r="A1683" s="667" t="s">
        <v>16574</v>
      </c>
      <c r="B1683" s="666"/>
      <c r="C1683" s="667" t="s">
        <v>4094</v>
      </c>
      <c r="D1683" s="668">
        <v>19</v>
      </c>
      <c r="E1683" s="667" t="s">
        <v>5011</v>
      </c>
      <c r="F1683" s="665" t="s">
        <v>16575</v>
      </c>
      <c r="O1683" s="664">
        <f>G1683+H1683+I1683+L1683-J1683-K1683</f>
        <v>0</v>
      </c>
      <c r="P1683" s="665" t="str">
        <f t="shared" si="111"/>
        <v>2020.10.13</v>
      </c>
      <c r="Q1683" s="665" t="str">
        <f>P1683</f>
        <v>2020.10.13</v>
      </c>
      <c r="R1683" s="688">
        <v>4410</v>
      </c>
      <c r="S1683" s="689">
        <v>4410</v>
      </c>
      <c r="T1683" s="689">
        <v>4410</v>
      </c>
      <c r="U1683" s="690">
        <f t="shared" si="112"/>
        <v>0</v>
      </c>
    </row>
    <row r="1684" spans="1:22" s="665" customFormat="1">
      <c r="A1684" s="667" t="s">
        <v>16576</v>
      </c>
      <c r="B1684" s="666"/>
      <c r="C1684" s="667" t="s">
        <v>4318</v>
      </c>
      <c r="D1684" s="668">
        <v>3</v>
      </c>
      <c r="E1684" s="667" t="s">
        <v>5011</v>
      </c>
      <c r="F1684" s="665" t="s">
        <v>16577</v>
      </c>
      <c r="O1684" s="664">
        <f t="shared" ref="O1684:O1685" si="113">G1684+H1684+I1684+L1684-J1684-K1684</f>
        <v>0</v>
      </c>
      <c r="P1684" s="665" t="str">
        <f t="shared" si="111"/>
        <v>2020.10.15</v>
      </c>
      <c r="Q1684" s="665" t="str">
        <f>F1684</f>
        <v>2020.10.15</v>
      </c>
      <c r="R1684" s="688">
        <v>13500</v>
      </c>
      <c r="S1684" s="689">
        <v>13485</v>
      </c>
      <c r="T1684" s="689">
        <v>13485</v>
      </c>
      <c r="U1684" s="690">
        <f t="shared" si="112"/>
        <v>15</v>
      </c>
    </row>
    <row r="1685" spans="1:22" s="665" customFormat="1">
      <c r="A1685" s="833" t="s">
        <v>16578</v>
      </c>
      <c r="B1685" s="666"/>
      <c r="C1685" s="667" t="s">
        <v>16579</v>
      </c>
      <c r="D1685" s="668"/>
      <c r="E1685" s="667" t="s">
        <v>5011</v>
      </c>
      <c r="F1685" s="665" t="s">
        <v>16580</v>
      </c>
      <c r="O1685" s="664">
        <f t="shared" si="113"/>
        <v>0</v>
      </c>
      <c r="P1685" s="665" t="str">
        <f t="shared" si="111"/>
        <v>2020.11.10</v>
      </c>
      <c r="Q1685" s="665" t="str">
        <f>P1685</f>
        <v>2020.11.10</v>
      </c>
      <c r="R1685" s="667">
        <v>75600</v>
      </c>
      <c r="S1685" s="667">
        <v>75590</v>
      </c>
      <c r="T1685" s="667">
        <v>75590</v>
      </c>
      <c r="U1685" s="690">
        <f t="shared" si="112"/>
        <v>10</v>
      </c>
    </row>
    <row r="1686" spans="1:22" s="665" customFormat="1">
      <c r="A1686" s="667" t="s">
        <v>16581</v>
      </c>
      <c r="B1686" s="666"/>
      <c r="C1686" s="667" t="s">
        <v>4094</v>
      </c>
      <c r="D1686" s="668">
        <v>20</v>
      </c>
      <c r="E1686" s="667" t="s">
        <v>5011</v>
      </c>
      <c r="F1686" s="665" t="s">
        <v>16582</v>
      </c>
      <c r="O1686" s="664">
        <f>G1686+H1686+I1686+L1686-J1686-K1686</f>
        <v>0</v>
      </c>
      <c r="P1686" s="665" t="str">
        <f t="shared" ref="P1686:P1689" si="114">F1686</f>
        <v>2020.11.11</v>
      </c>
      <c r="Q1686" s="665" t="str">
        <f>P1686</f>
        <v>2020.11.11</v>
      </c>
      <c r="R1686" s="688">
        <v>4410</v>
      </c>
      <c r="S1686" s="689">
        <v>4410</v>
      </c>
      <c r="T1686" s="689">
        <v>4410</v>
      </c>
      <c r="U1686" s="690">
        <f t="shared" ref="U1686:U1689" si="115">R1686-S1686</f>
        <v>0</v>
      </c>
    </row>
    <row r="1687" spans="1:22" s="665" customFormat="1">
      <c r="A1687" s="667" t="s">
        <v>16583</v>
      </c>
      <c r="B1687" s="666"/>
      <c r="C1687" s="667" t="s">
        <v>4339</v>
      </c>
      <c r="D1687" s="668">
        <v>7</v>
      </c>
      <c r="E1687" s="667" t="s">
        <v>5011</v>
      </c>
      <c r="F1687" s="665" t="s">
        <v>16584</v>
      </c>
      <c r="O1687" s="664">
        <f t="shared" ref="O1687:O1689" si="116">G1687+H1687+I1687+L1687-J1687-K1687</f>
        <v>0</v>
      </c>
      <c r="P1687" s="665" t="str">
        <f t="shared" si="114"/>
        <v>2020.11.23</v>
      </c>
      <c r="Q1687" s="665" t="str">
        <f t="shared" ref="Q1687:Q1688" si="117">P1687</f>
        <v>2020.11.23</v>
      </c>
      <c r="R1687" s="688">
        <v>14175</v>
      </c>
      <c r="S1687" s="689">
        <v>14165</v>
      </c>
      <c r="T1687" s="689">
        <v>14165</v>
      </c>
      <c r="U1687" s="690">
        <f t="shared" si="115"/>
        <v>10</v>
      </c>
    </row>
    <row r="1688" spans="1:22" s="665" customFormat="1">
      <c r="A1688" s="667" t="s">
        <v>16585</v>
      </c>
      <c r="B1688" s="666"/>
      <c r="C1688" s="667" t="s">
        <v>9599</v>
      </c>
      <c r="D1688" s="671" t="s">
        <v>9597</v>
      </c>
      <c r="E1688" s="667" t="s">
        <v>5011</v>
      </c>
      <c r="F1688" s="665" t="s">
        <v>16586</v>
      </c>
      <c r="O1688" s="664">
        <f t="shared" si="116"/>
        <v>0</v>
      </c>
      <c r="P1688" s="665" t="str">
        <f t="shared" si="114"/>
        <v>2020.11.30</v>
      </c>
      <c r="Q1688" s="665" t="str">
        <f t="shared" si="117"/>
        <v>2020.11.30</v>
      </c>
      <c r="R1688" s="688">
        <v>45360</v>
      </c>
      <c r="S1688" s="689">
        <v>45360</v>
      </c>
      <c r="T1688" s="689">
        <v>45360</v>
      </c>
      <c r="U1688" s="690">
        <f t="shared" si="115"/>
        <v>0</v>
      </c>
      <c r="V1688" s="672" t="s">
        <v>4760</v>
      </c>
    </row>
    <row r="1689" spans="1:22" s="665" customFormat="1">
      <c r="A1689" s="833" t="s">
        <v>16587</v>
      </c>
      <c r="B1689" s="666"/>
      <c r="C1689" s="667" t="s">
        <v>16510</v>
      </c>
      <c r="D1689" s="668"/>
      <c r="E1689" s="667" t="s">
        <v>5011</v>
      </c>
      <c r="F1689" s="665" t="s">
        <v>16053</v>
      </c>
      <c r="O1689" s="664">
        <f t="shared" si="116"/>
        <v>0</v>
      </c>
      <c r="P1689" s="665" t="str">
        <f t="shared" si="114"/>
        <v>2020.12.07</v>
      </c>
      <c r="Q1689" s="665" t="str">
        <f>P1689</f>
        <v>2020.12.07</v>
      </c>
      <c r="R1689" s="667">
        <v>113400</v>
      </c>
      <c r="S1689" s="667">
        <v>113390</v>
      </c>
      <c r="T1689" s="667">
        <v>113390</v>
      </c>
      <c r="U1689" s="690">
        <f t="shared" si="115"/>
        <v>10</v>
      </c>
    </row>
    <row r="1690" spans="1:22" s="665" customFormat="1">
      <c r="A1690" s="667" t="s">
        <v>16588</v>
      </c>
      <c r="B1690" s="666"/>
      <c r="C1690" s="667" t="s">
        <v>4094</v>
      </c>
      <c r="D1690" s="668">
        <v>21</v>
      </c>
      <c r="E1690" s="667" t="s">
        <v>5011</v>
      </c>
      <c r="F1690" s="665" t="s">
        <v>16589</v>
      </c>
      <c r="O1690" s="664">
        <f>G1690+H1690+I1690+L1690-J1690-K1690</f>
        <v>0</v>
      </c>
      <c r="P1690" s="665" t="str">
        <f t="shared" ref="P1690" si="118">F1690</f>
        <v>2020.12.14</v>
      </c>
      <c r="Q1690" s="665" t="str">
        <f>P1690</f>
        <v>2020.12.14</v>
      </c>
      <c r="R1690" s="688">
        <v>4410</v>
      </c>
      <c r="S1690" s="689">
        <v>4410</v>
      </c>
      <c r="T1690" s="689">
        <v>4410</v>
      </c>
      <c r="U1690" s="690">
        <f t="shared" ref="U1690" si="119">R1690-S1690</f>
        <v>0</v>
      </c>
    </row>
    <row r="1691" spans="1:22">
      <c r="A1691" s="165" t="s">
        <v>16065</v>
      </c>
      <c r="B1691" s="94">
        <v>1567</v>
      </c>
      <c r="C1691" s="165" t="s">
        <v>19210</v>
      </c>
      <c r="D1691" s="165">
        <v>1</v>
      </c>
      <c r="E1691" s="165" t="s">
        <v>16066</v>
      </c>
      <c r="F1691" s="165" t="s">
        <v>16067</v>
      </c>
      <c r="G1691" s="165">
        <v>10800</v>
      </c>
      <c r="H1691" s="338"/>
      <c r="I1691" s="165"/>
      <c r="J1691" s="165"/>
      <c r="K1691" s="165"/>
      <c r="L1691" s="165">
        <v>10800</v>
      </c>
      <c r="M1691" s="165"/>
      <c r="N1691" s="165"/>
      <c r="O1691" s="337">
        <f t="shared" ref="O1691:O1706" si="120">G1691+H1691+I1691-J1691-K1691-L1691</f>
        <v>0</v>
      </c>
      <c r="P1691" s="165" t="s">
        <v>16069</v>
      </c>
      <c r="Q1691" s="165" t="s">
        <v>16068</v>
      </c>
      <c r="R1691" s="3">
        <f t="shared" ref="R1691:R1706" si="121">G1691</f>
        <v>10800</v>
      </c>
      <c r="S1691" s="337">
        <v>10800</v>
      </c>
      <c r="T1691"/>
      <c r="U1691" s="3"/>
    </row>
    <row r="1692" spans="1:22">
      <c r="A1692" s="165" t="s">
        <v>16065</v>
      </c>
      <c r="B1692" s="94">
        <v>1568</v>
      </c>
      <c r="C1692" s="165" t="s">
        <v>10748</v>
      </c>
      <c r="D1692" s="165">
        <v>2</v>
      </c>
      <c r="E1692" s="165" t="s">
        <v>16070</v>
      </c>
      <c r="F1692" s="165" t="s">
        <v>16077</v>
      </c>
      <c r="G1692" s="165">
        <v>10800</v>
      </c>
      <c r="H1692" s="338"/>
      <c r="I1692" s="165"/>
      <c r="J1692" s="165"/>
      <c r="K1692" s="165"/>
      <c r="L1692" s="165">
        <v>10800</v>
      </c>
      <c r="M1692" s="165"/>
      <c r="N1692" s="165"/>
      <c r="O1692" s="337">
        <f t="shared" si="120"/>
        <v>0</v>
      </c>
      <c r="P1692" s="165" t="s">
        <v>16172</v>
      </c>
      <c r="Q1692" s="165" t="s">
        <v>16173</v>
      </c>
      <c r="R1692" s="3">
        <f t="shared" si="121"/>
        <v>10800</v>
      </c>
      <c r="S1692" s="337">
        <v>10800</v>
      </c>
      <c r="T1692"/>
      <c r="U1692" s="3"/>
    </row>
    <row r="1693" spans="1:22" s="3" customFormat="1">
      <c r="A1693" s="165" t="s">
        <v>16065</v>
      </c>
      <c r="B1693" s="94">
        <v>1569</v>
      </c>
      <c r="C1693" s="165" t="s">
        <v>10748</v>
      </c>
      <c r="D1693" s="165">
        <v>3</v>
      </c>
      <c r="E1693" s="165" t="s">
        <v>16071</v>
      </c>
      <c r="F1693" s="165" t="s">
        <v>16078</v>
      </c>
      <c r="G1693" s="165">
        <v>10800</v>
      </c>
      <c r="I1693" s="165"/>
      <c r="J1693" s="165"/>
      <c r="K1693" s="165"/>
      <c r="L1693" s="165">
        <v>10800</v>
      </c>
      <c r="M1693" s="165"/>
      <c r="N1693" s="165"/>
      <c r="O1693" s="337">
        <f t="shared" si="120"/>
        <v>0</v>
      </c>
      <c r="P1693" s="165" t="s">
        <v>16299</v>
      </c>
      <c r="Q1693" s="3" t="s">
        <v>16300</v>
      </c>
      <c r="R1693" s="3">
        <f t="shared" si="121"/>
        <v>10800</v>
      </c>
      <c r="S1693" s="178">
        <v>10800</v>
      </c>
      <c r="U1693"/>
      <c r="V1693"/>
    </row>
    <row r="1694" spans="1:22" s="3" customFormat="1">
      <c r="A1694" s="165" t="s">
        <v>16065</v>
      </c>
      <c r="B1694" s="94">
        <v>1570</v>
      </c>
      <c r="C1694" s="165" t="s">
        <v>10748</v>
      </c>
      <c r="D1694" s="165">
        <v>4</v>
      </c>
      <c r="E1694" s="165" t="s">
        <v>16072</v>
      </c>
      <c r="F1694" s="165" t="s">
        <v>16052</v>
      </c>
      <c r="G1694" s="165">
        <v>10800</v>
      </c>
      <c r="I1694" s="165"/>
      <c r="J1694" s="165"/>
      <c r="K1694" s="165"/>
      <c r="L1694" s="165">
        <v>10800</v>
      </c>
      <c r="M1694" s="165"/>
      <c r="N1694" s="165"/>
      <c r="O1694" s="337">
        <f t="shared" si="120"/>
        <v>0</v>
      </c>
      <c r="P1694" s="165" t="s">
        <v>16417</v>
      </c>
      <c r="Q1694" s="3" t="s">
        <v>16418</v>
      </c>
      <c r="R1694" s="3">
        <f t="shared" si="121"/>
        <v>10800</v>
      </c>
      <c r="S1694" s="178">
        <v>10800</v>
      </c>
      <c r="U1694"/>
      <c r="V1694"/>
    </row>
    <row r="1695" spans="1:22" s="3" customFormat="1">
      <c r="A1695" s="165" t="s">
        <v>16065</v>
      </c>
      <c r="B1695" s="94">
        <v>1571</v>
      </c>
      <c r="C1695" s="165" t="s">
        <v>10748</v>
      </c>
      <c r="D1695" s="165">
        <v>5</v>
      </c>
      <c r="E1695" s="165" t="s">
        <v>16073</v>
      </c>
      <c r="F1695" s="165" t="s">
        <v>16079</v>
      </c>
      <c r="G1695" s="165">
        <v>10800</v>
      </c>
      <c r="I1695" s="165"/>
      <c r="J1695" s="165"/>
      <c r="K1695" s="165"/>
      <c r="L1695" s="165"/>
      <c r="M1695" s="165">
        <v>10800</v>
      </c>
      <c r="N1695" s="165"/>
      <c r="O1695" s="337">
        <f t="shared" si="120"/>
        <v>10800</v>
      </c>
      <c r="P1695" s="165"/>
      <c r="R1695" s="3">
        <f t="shared" si="121"/>
        <v>10800</v>
      </c>
      <c r="S1695" s="178"/>
      <c r="U1695"/>
      <c r="V1695"/>
    </row>
    <row r="1696" spans="1:22" s="3" customFormat="1">
      <c r="A1696" s="165" t="s">
        <v>16065</v>
      </c>
      <c r="B1696" s="94">
        <v>1572</v>
      </c>
      <c r="C1696" s="165" t="s">
        <v>10748</v>
      </c>
      <c r="D1696" s="165">
        <v>6</v>
      </c>
      <c r="E1696" s="165" t="s">
        <v>16074</v>
      </c>
      <c r="F1696" s="165" t="s">
        <v>16080</v>
      </c>
      <c r="G1696" s="165">
        <v>10800</v>
      </c>
      <c r="I1696" s="165"/>
      <c r="J1696" s="165"/>
      <c r="K1696" s="165"/>
      <c r="L1696" s="165"/>
      <c r="M1696" s="165">
        <v>10800</v>
      </c>
      <c r="N1696" s="165"/>
      <c r="O1696" s="337">
        <f t="shared" si="120"/>
        <v>10800</v>
      </c>
      <c r="P1696" s="165"/>
      <c r="R1696" s="3">
        <f t="shared" si="121"/>
        <v>10800</v>
      </c>
      <c r="S1696" s="178"/>
      <c r="U1696"/>
      <c r="V1696"/>
    </row>
    <row r="1697" spans="1:22" s="3" customFormat="1">
      <c r="A1697" s="165" t="s">
        <v>16065</v>
      </c>
      <c r="B1697" s="94">
        <v>1573</v>
      </c>
      <c r="C1697" s="165" t="s">
        <v>10748</v>
      </c>
      <c r="D1697" s="165">
        <v>7</v>
      </c>
      <c r="E1697" s="165" t="s">
        <v>16075</v>
      </c>
      <c r="F1697" s="165" t="s">
        <v>16081</v>
      </c>
      <c r="G1697" s="165">
        <v>10800</v>
      </c>
      <c r="I1697" s="165"/>
      <c r="J1697" s="165"/>
      <c r="K1697" s="165"/>
      <c r="L1697" s="165"/>
      <c r="M1697" s="165">
        <v>10800</v>
      </c>
      <c r="N1697" s="165"/>
      <c r="O1697" s="337">
        <f t="shared" si="120"/>
        <v>10800</v>
      </c>
      <c r="P1697" s="165"/>
      <c r="R1697" s="3">
        <f t="shared" si="121"/>
        <v>10800</v>
      </c>
      <c r="S1697" s="178"/>
      <c r="U1697"/>
      <c r="V1697"/>
    </row>
    <row r="1698" spans="1:22" s="3" customFormat="1">
      <c r="A1698" s="165" t="s">
        <v>16065</v>
      </c>
      <c r="B1698" s="94">
        <v>1574</v>
      </c>
      <c r="C1698" s="165" t="s">
        <v>10748</v>
      </c>
      <c r="D1698" s="165">
        <v>8</v>
      </c>
      <c r="E1698" s="165" t="s">
        <v>16076</v>
      </c>
      <c r="F1698" s="165" t="s">
        <v>16082</v>
      </c>
      <c r="G1698" s="165">
        <v>10800</v>
      </c>
      <c r="I1698" s="165"/>
      <c r="J1698" s="165"/>
      <c r="K1698" s="165"/>
      <c r="L1698" s="165"/>
      <c r="M1698" s="165">
        <v>10800</v>
      </c>
      <c r="N1698" s="165"/>
      <c r="O1698" s="337">
        <f t="shared" si="120"/>
        <v>10800</v>
      </c>
      <c r="P1698" s="165"/>
      <c r="R1698" s="3">
        <f t="shared" si="121"/>
        <v>10800</v>
      </c>
      <c r="S1698" s="178"/>
      <c r="U1698"/>
      <c r="V1698"/>
    </row>
    <row r="1699" spans="1:22">
      <c r="A1699" s="165" t="s">
        <v>16065</v>
      </c>
      <c r="B1699" s="94">
        <v>1575</v>
      </c>
      <c r="C1699" s="165" t="s">
        <v>19211</v>
      </c>
      <c r="D1699" s="165">
        <v>1</v>
      </c>
      <c r="E1699" s="165" t="s">
        <v>16084</v>
      </c>
      <c r="F1699" s="165" t="s">
        <v>9826</v>
      </c>
      <c r="G1699" s="165">
        <v>11340</v>
      </c>
      <c r="H1699" s="338"/>
      <c r="I1699" s="165"/>
      <c r="J1699" s="165"/>
      <c r="K1699" s="165"/>
      <c r="L1699" s="165">
        <v>11340</v>
      </c>
      <c r="M1699" s="165"/>
      <c r="N1699" s="165"/>
      <c r="O1699" s="337">
        <f t="shared" si="120"/>
        <v>0</v>
      </c>
      <c r="P1699" s="165" t="s">
        <v>16085</v>
      </c>
      <c r="Q1699" s="165" t="s">
        <v>16068</v>
      </c>
      <c r="R1699" s="3">
        <f t="shared" si="121"/>
        <v>11340</v>
      </c>
      <c r="S1699" s="337">
        <v>11340</v>
      </c>
      <c r="T1699"/>
      <c r="U1699" s="3"/>
    </row>
    <row r="1700" spans="1:22" s="3" customFormat="1">
      <c r="A1700" s="165" t="s">
        <v>16065</v>
      </c>
      <c r="B1700" s="94">
        <v>1576</v>
      </c>
      <c r="C1700" s="165" t="s">
        <v>16083</v>
      </c>
      <c r="D1700" s="165">
        <v>2</v>
      </c>
      <c r="E1700" s="165" t="s">
        <v>16086</v>
      </c>
      <c r="F1700" s="165" t="s">
        <v>16093</v>
      </c>
      <c r="G1700" s="165">
        <v>11340</v>
      </c>
      <c r="I1700" s="165"/>
      <c r="J1700" s="165"/>
      <c r="K1700" s="165"/>
      <c r="L1700" s="165">
        <v>11340</v>
      </c>
      <c r="M1700" s="165"/>
      <c r="N1700" s="165"/>
      <c r="O1700" s="337">
        <f t="shared" si="120"/>
        <v>0</v>
      </c>
      <c r="P1700" s="165" t="s">
        <v>16171</v>
      </c>
      <c r="Q1700" s="3" t="s">
        <v>16170</v>
      </c>
      <c r="R1700" s="3">
        <f t="shared" si="121"/>
        <v>11340</v>
      </c>
      <c r="S1700" s="178">
        <v>11340</v>
      </c>
      <c r="U1700"/>
      <c r="V1700"/>
    </row>
    <row r="1701" spans="1:22" s="3" customFormat="1">
      <c r="A1701" s="165" t="s">
        <v>16065</v>
      </c>
      <c r="B1701" s="94">
        <v>1577</v>
      </c>
      <c r="C1701" s="165" t="s">
        <v>16083</v>
      </c>
      <c r="D1701" s="165">
        <v>3</v>
      </c>
      <c r="E1701" s="165" t="s">
        <v>16087</v>
      </c>
      <c r="F1701" s="165" t="s">
        <v>16094</v>
      </c>
      <c r="G1701" s="165">
        <v>11340</v>
      </c>
      <c r="I1701" s="165"/>
      <c r="J1701" s="165"/>
      <c r="K1701" s="165"/>
      <c r="L1701" s="165">
        <v>11340</v>
      </c>
      <c r="M1701" s="165"/>
      <c r="N1701" s="165"/>
      <c r="O1701" s="337">
        <f t="shared" si="120"/>
        <v>0</v>
      </c>
      <c r="P1701" s="165" t="s">
        <v>16280</v>
      </c>
      <c r="Q1701" s="3" t="s">
        <v>16280</v>
      </c>
      <c r="R1701" s="3">
        <f t="shared" si="121"/>
        <v>11340</v>
      </c>
      <c r="S1701" s="178">
        <v>11340</v>
      </c>
      <c r="U1701"/>
      <c r="V1701"/>
    </row>
    <row r="1702" spans="1:22" s="3" customFormat="1">
      <c r="A1702" s="165" t="s">
        <v>16065</v>
      </c>
      <c r="B1702" s="94">
        <v>1578</v>
      </c>
      <c r="C1702" s="165" t="s">
        <v>16083</v>
      </c>
      <c r="D1702" s="165">
        <v>4</v>
      </c>
      <c r="E1702" s="165" t="s">
        <v>16088</v>
      </c>
      <c r="F1702" s="165" t="s">
        <v>16095</v>
      </c>
      <c r="G1702" s="165">
        <v>11340</v>
      </c>
      <c r="I1702" s="165"/>
      <c r="J1702" s="165"/>
      <c r="K1702" s="165"/>
      <c r="L1702" s="165">
        <v>11340</v>
      </c>
      <c r="M1702" s="165"/>
      <c r="N1702" s="165"/>
      <c r="O1702" s="337">
        <f t="shared" si="120"/>
        <v>0</v>
      </c>
      <c r="P1702" s="165" t="s">
        <v>16416</v>
      </c>
      <c r="Q1702" s="3" t="s">
        <v>16417</v>
      </c>
      <c r="R1702" s="3">
        <f t="shared" si="121"/>
        <v>11340</v>
      </c>
      <c r="S1702" s="178">
        <v>11340</v>
      </c>
      <c r="U1702"/>
      <c r="V1702"/>
    </row>
    <row r="1703" spans="1:22" s="3" customFormat="1">
      <c r="A1703" s="165" t="s">
        <v>16065</v>
      </c>
      <c r="B1703" s="94">
        <v>1579</v>
      </c>
      <c r="C1703" s="165" t="s">
        <v>16083</v>
      </c>
      <c r="D1703" s="165">
        <v>5</v>
      </c>
      <c r="E1703" s="165" t="s">
        <v>16089</v>
      </c>
      <c r="F1703" s="165" t="s">
        <v>16096</v>
      </c>
      <c r="G1703" s="165">
        <v>11340</v>
      </c>
      <c r="I1703" s="165"/>
      <c r="J1703" s="165"/>
      <c r="K1703" s="165"/>
      <c r="L1703" s="165"/>
      <c r="M1703" s="165">
        <v>11340</v>
      </c>
      <c r="N1703" s="165"/>
      <c r="O1703" s="337">
        <f t="shared" si="120"/>
        <v>11340</v>
      </c>
      <c r="P1703" s="165"/>
      <c r="R1703" s="3">
        <f t="shared" si="121"/>
        <v>11340</v>
      </c>
      <c r="S1703" s="178"/>
      <c r="U1703"/>
      <c r="V1703"/>
    </row>
    <row r="1704" spans="1:22" s="3" customFormat="1">
      <c r="A1704" s="165" t="s">
        <v>16065</v>
      </c>
      <c r="B1704" s="94">
        <v>1580</v>
      </c>
      <c r="C1704" s="165" t="s">
        <v>16083</v>
      </c>
      <c r="D1704" s="165">
        <v>6</v>
      </c>
      <c r="E1704" s="165" t="s">
        <v>16090</v>
      </c>
      <c r="F1704" s="165" t="s">
        <v>16097</v>
      </c>
      <c r="G1704" s="165">
        <v>11340</v>
      </c>
      <c r="I1704" s="165"/>
      <c r="J1704" s="165"/>
      <c r="K1704" s="165"/>
      <c r="L1704" s="165"/>
      <c r="M1704" s="165">
        <v>11340</v>
      </c>
      <c r="N1704" s="165"/>
      <c r="O1704" s="337">
        <f t="shared" si="120"/>
        <v>11340</v>
      </c>
      <c r="P1704" s="165"/>
      <c r="R1704" s="3">
        <f t="shared" si="121"/>
        <v>11340</v>
      </c>
      <c r="S1704" s="178"/>
      <c r="U1704"/>
      <c r="V1704"/>
    </row>
    <row r="1705" spans="1:22" s="3" customFormat="1">
      <c r="A1705" s="165" t="s">
        <v>16065</v>
      </c>
      <c r="B1705" s="94">
        <v>1581</v>
      </c>
      <c r="C1705" s="165" t="s">
        <v>16083</v>
      </c>
      <c r="D1705" s="165">
        <v>7</v>
      </c>
      <c r="E1705" s="165" t="s">
        <v>16091</v>
      </c>
      <c r="F1705" s="165" t="s">
        <v>16098</v>
      </c>
      <c r="G1705" s="165">
        <v>11340</v>
      </c>
      <c r="I1705" s="165"/>
      <c r="J1705" s="165"/>
      <c r="K1705" s="165"/>
      <c r="L1705" s="165"/>
      <c r="M1705" s="165">
        <v>11340</v>
      </c>
      <c r="N1705" s="165"/>
      <c r="O1705" s="337">
        <f t="shared" si="120"/>
        <v>11340</v>
      </c>
      <c r="P1705" s="165"/>
      <c r="R1705" s="3">
        <f t="shared" si="121"/>
        <v>11340</v>
      </c>
      <c r="S1705" s="178"/>
      <c r="U1705"/>
      <c r="V1705"/>
    </row>
    <row r="1706" spans="1:22" s="3" customFormat="1">
      <c r="A1706" s="165" t="s">
        <v>16065</v>
      </c>
      <c r="B1706" s="94">
        <v>1582</v>
      </c>
      <c r="C1706" s="165" t="s">
        <v>16083</v>
      </c>
      <c r="D1706" s="165">
        <v>8</v>
      </c>
      <c r="E1706" s="165" t="s">
        <v>16092</v>
      </c>
      <c r="F1706" s="165" t="s">
        <v>16099</v>
      </c>
      <c r="G1706" s="165">
        <v>11340</v>
      </c>
      <c r="I1706" s="165"/>
      <c r="J1706" s="165"/>
      <c r="K1706" s="165"/>
      <c r="L1706" s="165"/>
      <c r="M1706" s="165">
        <v>11340</v>
      </c>
      <c r="N1706" s="165"/>
      <c r="O1706" s="337">
        <f t="shared" si="120"/>
        <v>11340</v>
      </c>
      <c r="P1706" s="165"/>
      <c r="R1706" s="3">
        <f t="shared" si="121"/>
        <v>11340</v>
      </c>
      <c r="S1706" s="178"/>
      <c r="U1706"/>
      <c r="V1706"/>
    </row>
    <row r="1707" spans="1:22">
      <c r="A1707" s="165" t="s">
        <v>16107</v>
      </c>
      <c r="B1707" s="94">
        <v>1583</v>
      </c>
      <c r="C1707" s="165" t="s">
        <v>16108</v>
      </c>
      <c r="D1707" s="165">
        <v>5</v>
      </c>
      <c r="E1707" s="165" t="s">
        <v>16109</v>
      </c>
      <c r="F1707" s="165" t="s">
        <v>16110</v>
      </c>
      <c r="G1707" s="165">
        <v>20475</v>
      </c>
      <c r="H1707" s="165"/>
      <c r="I1707" s="165"/>
      <c r="J1707" s="165"/>
      <c r="K1707" s="165"/>
      <c r="L1707" s="165">
        <v>20475</v>
      </c>
      <c r="M1707" s="165"/>
      <c r="N1707" s="165"/>
      <c r="O1707" s="337">
        <f t="shared" ref="O1707" si="122">G1707+H1707+I1707-J1707-K1707-L1707</f>
        <v>0</v>
      </c>
      <c r="P1707" s="165" t="s">
        <v>14458</v>
      </c>
      <c r="Q1707" s="165" t="s">
        <v>16111</v>
      </c>
      <c r="R1707" s="3">
        <f t="shared" ref="R1707:R1770" si="123">G1707+H1707+I1707</f>
        <v>20475</v>
      </c>
      <c r="S1707" s="337">
        <v>20475</v>
      </c>
      <c r="T1707"/>
      <c r="U1707" s="3"/>
    </row>
    <row r="1708" spans="1:22">
      <c r="A1708" s="165" t="s">
        <v>16107</v>
      </c>
      <c r="B1708" s="94">
        <v>1584</v>
      </c>
      <c r="C1708" s="165" t="s">
        <v>16108</v>
      </c>
      <c r="D1708" s="165">
        <v>6</v>
      </c>
      <c r="E1708" s="165" t="s">
        <v>16112</v>
      </c>
      <c r="F1708" s="165" t="s">
        <v>16115</v>
      </c>
      <c r="G1708" s="165">
        <v>20475</v>
      </c>
      <c r="H1708" s="165"/>
      <c r="I1708" s="165"/>
      <c r="J1708" s="165"/>
      <c r="K1708" s="165"/>
      <c r="L1708" s="165">
        <v>20475</v>
      </c>
      <c r="M1708" s="165"/>
      <c r="N1708" s="165"/>
      <c r="O1708" s="337">
        <f t="shared" ref="O1708:O1709" si="124">G1708+H1708+I1708-J1708-K1708-L1708</f>
        <v>0</v>
      </c>
      <c r="P1708" s="165" t="s">
        <v>16182</v>
      </c>
      <c r="Q1708" s="165" t="s">
        <v>16183</v>
      </c>
      <c r="R1708" s="3">
        <f t="shared" si="123"/>
        <v>20475</v>
      </c>
      <c r="S1708" s="337">
        <v>20475</v>
      </c>
      <c r="T1708"/>
      <c r="U1708" s="3"/>
    </row>
    <row r="1709" spans="1:22">
      <c r="A1709" s="165" t="s">
        <v>16107</v>
      </c>
      <c r="B1709" s="94">
        <v>1585</v>
      </c>
      <c r="C1709" s="165" t="s">
        <v>16108</v>
      </c>
      <c r="D1709" s="165">
        <v>7</v>
      </c>
      <c r="E1709" s="165" t="s">
        <v>16113</v>
      </c>
      <c r="F1709" s="165" t="s">
        <v>16116</v>
      </c>
      <c r="G1709" s="165">
        <v>20475</v>
      </c>
      <c r="H1709" s="165"/>
      <c r="I1709" s="165"/>
      <c r="J1709" s="165"/>
      <c r="K1709" s="165"/>
      <c r="L1709" s="165">
        <v>20475</v>
      </c>
      <c r="M1709" s="165"/>
      <c r="N1709" s="165"/>
      <c r="O1709" s="337">
        <f t="shared" si="124"/>
        <v>0</v>
      </c>
      <c r="P1709" s="165" t="s">
        <v>16363</v>
      </c>
      <c r="Q1709" s="165" t="s">
        <v>16364</v>
      </c>
      <c r="R1709" s="3">
        <f t="shared" si="123"/>
        <v>20475</v>
      </c>
      <c r="S1709" s="337">
        <v>20475</v>
      </c>
      <c r="T1709"/>
      <c r="U1709" s="3"/>
    </row>
    <row r="1710" spans="1:22">
      <c r="A1710" s="165" t="s">
        <v>16107</v>
      </c>
      <c r="B1710" s="94">
        <v>1586</v>
      </c>
      <c r="C1710" s="165" t="s">
        <v>16108</v>
      </c>
      <c r="D1710" s="165">
        <v>8</v>
      </c>
      <c r="E1710" s="165" t="s">
        <v>16114</v>
      </c>
      <c r="F1710" s="165" t="s">
        <v>16117</v>
      </c>
      <c r="G1710" s="165">
        <v>20475</v>
      </c>
      <c r="H1710" s="165"/>
      <c r="I1710" s="165"/>
      <c r="J1710" s="165"/>
      <c r="K1710" s="165"/>
      <c r="L1710" s="165">
        <v>20475</v>
      </c>
      <c r="M1710" s="165"/>
      <c r="N1710" s="165"/>
      <c r="O1710" s="337">
        <f t="shared" ref="O1710:O1726" si="125">G1710+H1710+I1710-J1710-K1710-L1710</f>
        <v>0</v>
      </c>
      <c r="P1710" s="165" t="s">
        <v>16472</v>
      </c>
      <c r="Q1710" s="165" t="s">
        <v>16473</v>
      </c>
      <c r="R1710" s="3">
        <f t="shared" si="123"/>
        <v>20475</v>
      </c>
      <c r="S1710" s="337">
        <v>20475</v>
      </c>
      <c r="T1710"/>
      <c r="U1710" s="3"/>
    </row>
    <row r="1711" spans="1:22">
      <c r="A1711" s="165" t="s">
        <v>16207</v>
      </c>
      <c r="B1711" s="94">
        <v>1587</v>
      </c>
      <c r="C1711" s="165" t="s">
        <v>831</v>
      </c>
      <c r="D1711" s="165">
        <v>1</v>
      </c>
      <c r="E1711" s="165" t="s">
        <v>16151</v>
      </c>
      <c r="F1711" s="165" t="s">
        <v>16159</v>
      </c>
      <c r="G1711" s="165"/>
      <c r="H1711" s="165">
        <v>11400</v>
      </c>
      <c r="I1711" s="165"/>
      <c r="J1711" s="165"/>
      <c r="K1711" s="165"/>
      <c r="L1711" s="165">
        <v>11400</v>
      </c>
      <c r="M1711" s="165"/>
      <c r="N1711" s="165"/>
      <c r="O1711" s="337">
        <f t="shared" ref="O1711:O1718" si="126">G1711+H1711+I1711-J1711-K1711-L1711</f>
        <v>0</v>
      </c>
      <c r="P1711" s="165" t="s">
        <v>16164</v>
      </c>
      <c r="Q1711" s="165" t="s">
        <v>16165</v>
      </c>
      <c r="R1711" s="3">
        <f t="shared" si="123"/>
        <v>11400</v>
      </c>
      <c r="S1711" s="337">
        <v>11400</v>
      </c>
      <c r="T1711"/>
      <c r="U1711" s="3"/>
    </row>
    <row r="1712" spans="1:22" s="3" customFormat="1">
      <c r="A1712" s="165" t="s">
        <v>16207</v>
      </c>
      <c r="B1712" s="94">
        <v>1588</v>
      </c>
      <c r="C1712" s="165" t="s">
        <v>831</v>
      </c>
      <c r="D1712" s="165">
        <v>2</v>
      </c>
      <c r="E1712" s="165" t="s">
        <v>16152</v>
      </c>
      <c r="F1712" s="165" t="s">
        <v>9928</v>
      </c>
      <c r="G1712" s="165"/>
      <c r="H1712" s="165">
        <v>11400</v>
      </c>
      <c r="I1712" s="165"/>
      <c r="J1712" s="165"/>
      <c r="K1712" s="165"/>
      <c r="L1712" s="165">
        <v>11400</v>
      </c>
      <c r="M1712" s="165"/>
      <c r="N1712" s="165"/>
      <c r="O1712" s="337">
        <f t="shared" si="126"/>
        <v>0</v>
      </c>
      <c r="P1712" s="165" t="s">
        <v>16276</v>
      </c>
      <c r="Q1712" s="3" t="s">
        <v>16277</v>
      </c>
      <c r="R1712" s="3">
        <f t="shared" si="123"/>
        <v>11400</v>
      </c>
      <c r="S1712" s="337">
        <v>11400</v>
      </c>
      <c r="U1712"/>
      <c r="V1712"/>
    </row>
    <row r="1713" spans="1:22" s="3" customFormat="1">
      <c r="A1713" s="165" t="s">
        <v>16207</v>
      </c>
      <c r="B1713" s="94">
        <v>1589</v>
      </c>
      <c r="C1713" s="165" t="s">
        <v>831</v>
      </c>
      <c r="D1713" s="165">
        <v>3</v>
      </c>
      <c r="E1713" s="165" t="s">
        <v>16153</v>
      </c>
      <c r="F1713" s="165" t="s">
        <v>10941</v>
      </c>
      <c r="G1713" s="165"/>
      <c r="H1713" s="165">
        <v>11400</v>
      </c>
      <c r="I1713" s="165"/>
      <c r="J1713" s="165"/>
      <c r="K1713" s="165"/>
      <c r="L1713" s="165">
        <v>11400</v>
      </c>
      <c r="M1713" s="165"/>
      <c r="N1713" s="165"/>
      <c r="O1713" s="337">
        <f t="shared" si="126"/>
        <v>0</v>
      </c>
      <c r="P1713" s="165" t="s">
        <v>16413</v>
      </c>
      <c r="Q1713" s="3" t="s">
        <v>16415</v>
      </c>
      <c r="R1713" s="3">
        <f t="shared" si="123"/>
        <v>11400</v>
      </c>
      <c r="S1713" s="337">
        <v>11400</v>
      </c>
      <c r="U1713"/>
      <c r="V1713"/>
    </row>
    <row r="1714" spans="1:22" s="3" customFormat="1">
      <c r="A1714" s="165" t="s">
        <v>16207</v>
      </c>
      <c r="B1714" s="94">
        <v>1590</v>
      </c>
      <c r="C1714" s="165" t="s">
        <v>831</v>
      </c>
      <c r="D1714" s="165">
        <v>4</v>
      </c>
      <c r="E1714" s="165" t="s">
        <v>16154</v>
      </c>
      <c r="F1714" s="165" t="s">
        <v>16160</v>
      </c>
      <c r="G1714" s="165"/>
      <c r="H1714" s="165">
        <v>11400</v>
      </c>
      <c r="I1714" s="165"/>
      <c r="J1714" s="165"/>
      <c r="K1714" s="165"/>
      <c r="L1714" s="165">
        <v>11400</v>
      </c>
      <c r="M1714" s="165"/>
      <c r="N1714" s="165"/>
      <c r="O1714" s="337">
        <f t="shared" si="126"/>
        <v>0</v>
      </c>
      <c r="P1714" s="165" t="s">
        <v>16531</v>
      </c>
      <c r="Q1714" s="3" t="s">
        <v>16531</v>
      </c>
      <c r="R1714" s="3">
        <f t="shared" si="123"/>
        <v>11400</v>
      </c>
      <c r="S1714" s="337">
        <v>11400</v>
      </c>
      <c r="U1714"/>
      <c r="V1714"/>
    </row>
    <row r="1715" spans="1:22" s="3" customFormat="1">
      <c r="A1715" s="165" t="s">
        <v>16207</v>
      </c>
      <c r="B1715" s="94">
        <v>1591</v>
      </c>
      <c r="C1715" s="165" t="s">
        <v>831</v>
      </c>
      <c r="D1715" s="165">
        <v>5</v>
      </c>
      <c r="E1715" s="165" t="s">
        <v>16155</v>
      </c>
      <c r="F1715" s="165" t="s">
        <v>16161</v>
      </c>
      <c r="G1715" s="165"/>
      <c r="H1715" s="165">
        <v>11400</v>
      </c>
      <c r="I1715" s="165"/>
      <c r="J1715" s="165"/>
      <c r="K1715" s="165"/>
      <c r="L1715" s="165"/>
      <c r="M1715" s="165">
        <v>11400</v>
      </c>
      <c r="N1715" s="165"/>
      <c r="O1715" s="337">
        <f t="shared" si="126"/>
        <v>11400</v>
      </c>
      <c r="P1715" s="165"/>
      <c r="R1715" s="3">
        <f t="shared" si="123"/>
        <v>11400</v>
      </c>
      <c r="S1715"/>
      <c r="U1715"/>
      <c r="V1715"/>
    </row>
    <row r="1716" spans="1:22" s="3" customFormat="1">
      <c r="A1716" s="165" t="s">
        <v>16207</v>
      </c>
      <c r="B1716" s="94">
        <v>1592</v>
      </c>
      <c r="C1716" s="165" t="s">
        <v>831</v>
      </c>
      <c r="D1716" s="165">
        <v>6</v>
      </c>
      <c r="E1716" s="165" t="s">
        <v>16156</v>
      </c>
      <c r="F1716" s="165" t="s">
        <v>11009</v>
      </c>
      <c r="G1716" s="165"/>
      <c r="H1716" s="165">
        <v>11400</v>
      </c>
      <c r="I1716" s="165"/>
      <c r="J1716" s="165"/>
      <c r="K1716" s="165"/>
      <c r="L1716" s="165"/>
      <c r="M1716" s="165">
        <v>11400</v>
      </c>
      <c r="N1716" s="165"/>
      <c r="O1716" s="337">
        <f t="shared" si="126"/>
        <v>11400</v>
      </c>
      <c r="P1716" s="165"/>
      <c r="R1716" s="3">
        <f t="shared" si="123"/>
        <v>11400</v>
      </c>
      <c r="S1716"/>
      <c r="U1716"/>
      <c r="V1716"/>
    </row>
    <row r="1717" spans="1:22" s="3" customFormat="1">
      <c r="A1717" s="165" t="s">
        <v>16207</v>
      </c>
      <c r="B1717" s="94">
        <v>1593</v>
      </c>
      <c r="C1717" s="165" t="s">
        <v>831</v>
      </c>
      <c r="D1717" s="165">
        <v>7</v>
      </c>
      <c r="E1717" s="165" t="s">
        <v>16157</v>
      </c>
      <c r="F1717" s="165" t="s">
        <v>16162</v>
      </c>
      <c r="G1717" s="165"/>
      <c r="H1717" s="165">
        <v>11400</v>
      </c>
      <c r="I1717" s="165"/>
      <c r="J1717" s="165"/>
      <c r="K1717" s="165"/>
      <c r="L1717" s="165"/>
      <c r="M1717" s="165">
        <v>11400</v>
      </c>
      <c r="N1717" s="165"/>
      <c r="O1717" s="337">
        <f t="shared" si="126"/>
        <v>11400</v>
      </c>
      <c r="P1717" s="165"/>
      <c r="R1717" s="3">
        <f t="shared" si="123"/>
        <v>11400</v>
      </c>
      <c r="S1717"/>
      <c r="U1717"/>
      <c r="V1717"/>
    </row>
    <row r="1718" spans="1:22" s="3" customFormat="1">
      <c r="A1718" s="165" t="s">
        <v>16207</v>
      </c>
      <c r="B1718" s="94">
        <v>1594</v>
      </c>
      <c r="C1718" s="165" t="s">
        <v>831</v>
      </c>
      <c r="D1718" s="165">
        <v>8</v>
      </c>
      <c r="E1718" s="165" t="s">
        <v>16158</v>
      </c>
      <c r="F1718" s="165" t="s">
        <v>16163</v>
      </c>
      <c r="G1718" s="165"/>
      <c r="H1718" s="165">
        <v>11400</v>
      </c>
      <c r="I1718" s="165"/>
      <c r="J1718" s="165"/>
      <c r="K1718" s="165"/>
      <c r="L1718" s="165"/>
      <c r="M1718" s="165">
        <v>11400</v>
      </c>
      <c r="N1718" s="165"/>
      <c r="O1718" s="337">
        <f t="shared" si="126"/>
        <v>11400</v>
      </c>
      <c r="P1718" s="165"/>
      <c r="R1718" s="3">
        <f t="shared" si="123"/>
        <v>11400</v>
      </c>
      <c r="S1718"/>
      <c r="U1718"/>
      <c r="V1718"/>
    </row>
    <row r="1719" spans="1:22">
      <c r="A1719" s="165" t="s">
        <v>16131</v>
      </c>
      <c r="B1719" s="94">
        <v>1595</v>
      </c>
      <c r="C1719" s="165" t="s">
        <v>16124</v>
      </c>
      <c r="D1719" s="165">
        <v>1</v>
      </c>
      <c r="E1719" s="165" t="s">
        <v>16133</v>
      </c>
      <c r="F1719" s="165" t="s">
        <v>9826</v>
      </c>
      <c r="G1719" s="165"/>
      <c r="H1719" s="165">
        <v>14175</v>
      </c>
      <c r="I1719" s="165"/>
      <c r="J1719" s="165"/>
      <c r="K1719" s="165"/>
      <c r="L1719" s="165">
        <v>14175</v>
      </c>
      <c r="M1719" s="165"/>
      <c r="N1719" s="165"/>
      <c r="O1719" s="337">
        <f t="shared" si="125"/>
        <v>0</v>
      </c>
      <c r="P1719" s="165" t="s">
        <v>16134</v>
      </c>
      <c r="Q1719" s="165" t="s">
        <v>16135</v>
      </c>
      <c r="R1719" s="3">
        <f t="shared" si="123"/>
        <v>14175</v>
      </c>
      <c r="S1719" s="337">
        <v>14175</v>
      </c>
      <c r="T1719"/>
      <c r="U1719" s="3"/>
    </row>
    <row r="1720" spans="1:22" s="3" customFormat="1">
      <c r="A1720" s="165" t="s">
        <v>16131</v>
      </c>
      <c r="B1720" s="94">
        <v>1596</v>
      </c>
      <c r="C1720" s="165" t="s">
        <v>16124</v>
      </c>
      <c r="D1720" s="165">
        <v>2</v>
      </c>
      <c r="E1720" s="165" t="s">
        <v>16132</v>
      </c>
      <c r="F1720" s="165" t="s">
        <v>9827</v>
      </c>
      <c r="G1720" s="165"/>
      <c r="H1720" s="165">
        <v>14175</v>
      </c>
      <c r="I1720" s="165"/>
      <c r="J1720" s="165"/>
      <c r="K1720" s="165"/>
      <c r="L1720" s="165">
        <v>14175</v>
      </c>
      <c r="M1720" s="165"/>
      <c r="N1720" s="165"/>
      <c r="O1720" s="337">
        <f t="shared" si="125"/>
        <v>0</v>
      </c>
      <c r="P1720" s="165" t="s">
        <v>16168</v>
      </c>
      <c r="Q1720" s="3" t="s">
        <v>16169</v>
      </c>
      <c r="R1720" s="3">
        <f t="shared" si="123"/>
        <v>14175</v>
      </c>
      <c r="S1720" s="178">
        <v>14175</v>
      </c>
      <c r="U1720"/>
      <c r="V1720"/>
    </row>
    <row r="1721" spans="1:22" s="3" customFormat="1">
      <c r="A1721" s="165" t="s">
        <v>16131</v>
      </c>
      <c r="B1721" s="94">
        <v>1597</v>
      </c>
      <c r="C1721" s="165" t="s">
        <v>16124</v>
      </c>
      <c r="D1721" s="165">
        <v>3</v>
      </c>
      <c r="E1721" s="165" t="s">
        <v>16125</v>
      </c>
      <c r="F1721" s="165" t="s">
        <v>16094</v>
      </c>
      <c r="G1721" s="165"/>
      <c r="H1721" s="165">
        <v>14175</v>
      </c>
      <c r="I1721" s="165"/>
      <c r="J1721" s="165"/>
      <c r="K1721" s="165"/>
      <c r="L1721" s="165">
        <v>14175</v>
      </c>
      <c r="M1721" s="165"/>
      <c r="N1721" s="165"/>
      <c r="O1721" s="337">
        <f t="shared" si="125"/>
        <v>0</v>
      </c>
      <c r="P1721" s="165" t="s">
        <v>16278</v>
      </c>
      <c r="Q1721" s="3" t="s">
        <v>16279</v>
      </c>
      <c r="R1721" s="3">
        <f t="shared" si="123"/>
        <v>14175</v>
      </c>
      <c r="S1721" s="178">
        <v>14175</v>
      </c>
      <c r="U1721"/>
      <c r="V1721"/>
    </row>
    <row r="1722" spans="1:22" s="3" customFormat="1">
      <c r="A1722" s="165" t="s">
        <v>16131</v>
      </c>
      <c r="B1722" s="94">
        <v>1598</v>
      </c>
      <c r="C1722" s="165" t="s">
        <v>16124</v>
      </c>
      <c r="D1722" s="165">
        <v>4</v>
      </c>
      <c r="E1722" s="165" t="s">
        <v>16126</v>
      </c>
      <c r="F1722" s="165" t="s">
        <v>16095</v>
      </c>
      <c r="G1722" s="165"/>
      <c r="H1722" s="165">
        <v>14175</v>
      </c>
      <c r="I1722" s="165"/>
      <c r="J1722" s="165"/>
      <c r="K1722" s="165"/>
      <c r="L1722" s="165">
        <v>14175</v>
      </c>
      <c r="M1722" s="165"/>
      <c r="N1722" s="165"/>
      <c r="O1722" s="337">
        <f t="shared" si="125"/>
        <v>0</v>
      </c>
      <c r="P1722" s="165" t="s">
        <v>16417</v>
      </c>
      <c r="Q1722" s="3" t="s">
        <v>16419</v>
      </c>
      <c r="R1722" s="3">
        <f t="shared" si="123"/>
        <v>14175</v>
      </c>
      <c r="S1722" s="178">
        <v>14175</v>
      </c>
      <c r="U1722"/>
      <c r="V1722"/>
    </row>
    <row r="1723" spans="1:22" s="3" customFormat="1">
      <c r="A1723" s="165" t="s">
        <v>16131</v>
      </c>
      <c r="B1723" s="94">
        <v>1599</v>
      </c>
      <c r="C1723" s="165" t="s">
        <v>16124</v>
      </c>
      <c r="D1723" s="165">
        <v>5</v>
      </c>
      <c r="E1723" s="165" t="s">
        <v>16127</v>
      </c>
      <c r="F1723" s="165" t="s">
        <v>16096</v>
      </c>
      <c r="G1723" s="165"/>
      <c r="H1723" s="165">
        <v>14175</v>
      </c>
      <c r="I1723" s="165"/>
      <c r="J1723" s="165"/>
      <c r="K1723" s="165"/>
      <c r="L1723" s="165"/>
      <c r="M1723" s="165">
        <v>14175</v>
      </c>
      <c r="N1723" s="165"/>
      <c r="O1723" s="337">
        <f t="shared" si="125"/>
        <v>14175</v>
      </c>
      <c r="P1723" s="165"/>
      <c r="R1723" s="3">
        <f t="shared" si="123"/>
        <v>14175</v>
      </c>
      <c r="S1723" s="178"/>
      <c r="U1723"/>
      <c r="V1723"/>
    </row>
    <row r="1724" spans="1:22" s="3" customFormat="1">
      <c r="A1724" s="165" t="s">
        <v>16131</v>
      </c>
      <c r="B1724" s="94">
        <v>1600</v>
      </c>
      <c r="C1724" s="165" t="s">
        <v>16124</v>
      </c>
      <c r="D1724" s="165">
        <v>6</v>
      </c>
      <c r="E1724" s="165" t="s">
        <v>16128</v>
      </c>
      <c r="F1724" s="165" t="s">
        <v>16097</v>
      </c>
      <c r="G1724" s="165"/>
      <c r="H1724" s="165">
        <v>14175</v>
      </c>
      <c r="I1724" s="165"/>
      <c r="J1724" s="165"/>
      <c r="K1724" s="165"/>
      <c r="L1724" s="165"/>
      <c r="M1724" s="165">
        <v>14175</v>
      </c>
      <c r="N1724" s="165"/>
      <c r="O1724" s="337">
        <f t="shared" si="125"/>
        <v>14175</v>
      </c>
      <c r="P1724" s="165"/>
      <c r="R1724" s="3">
        <f t="shared" si="123"/>
        <v>14175</v>
      </c>
      <c r="S1724" s="178"/>
      <c r="U1724"/>
      <c r="V1724"/>
    </row>
    <row r="1725" spans="1:22" s="3" customFormat="1">
      <c r="A1725" s="165" t="s">
        <v>16131</v>
      </c>
      <c r="B1725" s="94">
        <v>1601</v>
      </c>
      <c r="C1725" s="165" t="s">
        <v>16124</v>
      </c>
      <c r="D1725" s="165">
        <v>7</v>
      </c>
      <c r="E1725" s="165" t="s">
        <v>16129</v>
      </c>
      <c r="F1725" s="165" t="s">
        <v>16098</v>
      </c>
      <c r="G1725" s="165"/>
      <c r="H1725" s="165">
        <v>14175</v>
      </c>
      <c r="I1725" s="165"/>
      <c r="J1725" s="165"/>
      <c r="K1725" s="165"/>
      <c r="L1725" s="165"/>
      <c r="M1725" s="165">
        <v>14175</v>
      </c>
      <c r="N1725" s="165"/>
      <c r="O1725" s="337">
        <f t="shared" si="125"/>
        <v>14175</v>
      </c>
      <c r="P1725" s="165"/>
      <c r="R1725" s="3">
        <f t="shared" si="123"/>
        <v>14175</v>
      </c>
      <c r="S1725" s="178"/>
      <c r="U1725"/>
      <c r="V1725"/>
    </row>
    <row r="1726" spans="1:22" s="3" customFormat="1">
      <c r="A1726" s="165" t="s">
        <v>16131</v>
      </c>
      <c r="B1726" s="94">
        <v>1602</v>
      </c>
      <c r="C1726" s="165" t="s">
        <v>16124</v>
      </c>
      <c r="D1726" s="165">
        <v>8</v>
      </c>
      <c r="E1726" s="165" t="s">
        <v>16130</v>
      </c>
      <c r="F1726" s="165" t="s">
        <v>16099</v>
      </c>
      <c r="G1726" s="165"/>
      <c r="H1726" s="165">
        <v>14175</v>
      </c>
      <c r="I1726" s="165"/>
      <c r="J1726" s="165"/>
      <c r="K1726" s="165"/>
      <c r="L1726" s="165"/>
      <c r="M1726" s="165">
        <v>14175</v>
      </c>
      <c r="N1726" s="165"/>
      <c r="O1726" s="337">
        <f t="shared" si="125"/>
        <v>14175</v>
      </c>
      <c r="P1726" s="165"/>
      <c r="R1726" s="3">
        <f t="shared" si="123"/>
        <v>14175</v>
      </c>
      <c r="S1726" s="178"/>
      <c r="U1726"/>
      <c r="V1726"/>
    </row>
    <row r="1727" spans="1:22">
      <c r="A1727" s="165" t="s">
        <v>16193</v>
      </c>
      <c r="B1727" s="94">
        <v>1603</v>
      </c>
      <c r="C1727" s="165" t="s">
        <v>16184</v>
      </c>
      <c r="D1727" s="165">
        <v>1</v>
      </c>
      <c r="E1727" s="165" t="s">
        <v>16185</v>
      </c>
      <c r="F1727" s="165" t="s">
        <v>16194</v>
      </c>
      <c r="G1727" s="165"/>
      <c r="H1727" s="165">
        <v>17325</v>
      </c>
      <c r="I1727" s="165"/>
      <c r="J1727" s="165"/>
      <c r="K1727" s="165"/>
      <c r="L1727" s="165">
        <v>17325</v>
      </c>
      <c r="M1727" s="165"/>
      <c r="N1727" s="165"/>
      <c r="O1727" s="337">
        <f t="shared" ref="O1727:O1734" si="127">G1727+H1727+I1727-J1727-K1727-L1727</f>
        <v>0</v>
      </c>
      <c r="P1727" s="165" t="s">
        <v>16200</v>
      </c>
      <c r="Q1727" s="165" t="s">
        <v>16201</v>
      </c>
      <c r="R1727" s="3">
        <f t="shared" si="123"/>
        <v>17325</v>
      </c>
      <c r="S1727" s="337">
        <v>17325</v>
      </c>
      <c r="T1727"/>
      <c r="U1727" s="3"/>
    </row>
    <row r="1728" spans="1:22" s="3" customFormat="1">
      <c r="A1728" s="165" t="s">
        <v>16193</v>
      </c>
      <c r="B1728" s="94">
        <v>1604</v>
      </c>
      <c r="C1728" s="165" t="s">
        <v>16184</v>
      </c>
      <c r="D1728" s="165">
        <v>2</v>
      </c>
      <c r="E1728" s="165" t="s">
        <v>16186</v>
      </c>
      <c r="F1728" s="165" t="s">
        <v>16116</v>
      </c>
      <c r="G1728" s="165"/>
      <c r="H1728" s="165">
        <v>17325</v>
      </c>
      <c r="I1728" s="165"/>
      <c r="J1728" s="165"/>
      <c r="K1728" s="165"/>
      <c r="L1728" s="165">
        <v>17325</v>
      </c>
      <c r="M1728" s="165"/>
      <c r="N1728" s="165"/>
      <c r="O1728" s="337">
        <f t="shared" si="127"/>
        <v>0</v>
      </c>
      <c r="P1728" s="165" t="s">
        <v>16364</v>
      </c>
      <c r="Q1728" s="3" t="s">
        <v>16365</v>
      </c>
      <c r="R1728" s="3">
        <f t="shared" si="123"/>
        <v>17325</v>
      </c>
      <c r="S1728" s="178">
        <v>17325</v>
      </c>
      <c r="U1728"/>
      <c r="V1728"/>
    </row>
    <row r="1729" spans="1:22" s="3" customFormat="1">
      <c r="A1729" s="165" t="s">
        <v>16193</v>
      </c>
      <c r="B1729" s="94">
        <v>1605</v>
      </c>
      <c r="C1729" s="165" t="s">
        <v>16184</v>
      </c>
      <c r="D1729" s="165">
        <v>3</v>
      </c>
      <c r="E1729" s="165" t="s">
        <v>16187</v>
      </c>
      <c r="F1729" s="165" t="s">
        <v>16117</v>
      </c>
      <c r="G1729" s="165"/>
      <c r="H1729" s="165">
        <v>17325</v>
      </c>
      <c r="I1729" s="165"/>
      <c r="J1729" s="165"/>
      <c r="K1729" s="165"/>
      <c r="L1729" s="165">
        <v>17325</v>
      </c>
      <c r="M1729" s="165"/>
      <c r="N1729" s="165"/>
      <c r="O1729" s="337">
        <f t="shared" si="127"/>
        <v>0</v>
      </c>
      <c r="P1729" s="165" t="s">
        <v>16474</v>
      </c>
      <c r="Q1729" s="3" t="s">
        <v>16473</v>
      </c>
      <c r="R1729" s="3">
        <f t="shared" si="123"/>
        <v>17325</v>
      </c>
      <c r="S1729" s="178">
        <v>17325</v>
      </c>
      <c r="U1729"/>
      <c r="V1729"/>
    </row>
    <row r="1730" spans="1:22" s="3" customFormat="1">
      <c r="A1730" s="165" t="s">
        <v>16193</v>
      </c>
      <c r="B1730" s="94">
        <v>1606</v>
      </c>
      <c r="C1730" s="165" t="s">
        <v>16184</v>
      </c>
      <c r="D1730" s="165">
        <v>4</v>
      </c>
      <c r="E1730" s="165" t="s">
        <v>16188</v>
      </c>
      <c r="F1730" s="165" t="s">
        <v>16195</v>
      </c>
      <c r="G1730" s="165"/>
      <c r="H1730" s="165">
        <v>17325</v>
      </c>
      <c r="I1730" s="165"/>
      <c r="J1730" s="165"/>
      <c r="K1730" s="165"/>
      <c r="L1730" s="165"/>
      <c r="M1730" s="165">
        <v>17325</v>
      </c>
      <c r="N1730" s="165"/>
      <c r="O1730" s="337">
        <f t="shared" si="127"/>
        <v>17325</v>
      </c>
      <c r="P1730" s="165"/>
      <c r="R1730" s="3">
        <f t="shared" si="123"/>
        <v>17325</v>
      </c>
      <c r="S1730" s="178"/>
      <c r="U1730"/>
      <c r="V1730"/>
    </row>
    <row r="1731" spans="1:22" s="3" customFormat="1">
      <c r="A1731" s="165" t="s">
        <v>16193</v>
      </c>
      <c r="B1731" s="94">
        <v>1607</v>
      </c>
      <c r="C1731" s="165" t="s">
        <v>16184</v>
      </c>
      <c r="D1731" s="165">
        <v>5</v>
      </c>
      <c r="E1731" s="165" t="s">
        <v>16189</v>
      </c>
      <c r="F1731" s="165" t="s">
        <v>16196</v>
      </c>
      <c r="G1731" s="165"/>
      <c r="H1731" s="165">
        <v>17325</v>
      </c>
      <c r="I1731" s="165"/>
      <c r="J1731" s="165"/>
      <c r="K1731" s="165"/>
      <c r="L1731" s="165"/>
      <c r="M1731" s="165">
        <v>17325</v>
      </c>
      <c r="N1731" s="165"/>
      <c r="O1731" s="337">
        <f t="shared" si="127"/>
        <v>17325</v>
      </c>
      <c r="P1731" s="165"/>
      <c r="R1731" s="3">
        <f t="shared" si="123"/>
        <v>17325</v>
      </c>
      <c r="S1731" s="178"/>
      <c r="U1731"/>
      <c r="V1731"/>
    </row>
    <row r="1732" spans="1:22" s="3" customFormat="1">
      <c r="A1732" s="165" t="s">
        <v>16193</v>
      </c>
      <c r="B1732" s="94">
        <v>1608</v>
      </c>
      <c r="C1732" s="165" t="s">
        <v>16184</v>
      </c>
      <c r="D1732" s="165">
        <v>6</v>
      </c>
      <c r="E1732" s="165" t="s">
        <v>16190</v>
      </c>
      <c r="F1732" s="165" t="s">
        <v>16197</v>
      </c>
      <c r="G1732" s="165"/>
      <c r="H1732" s="165">
        <v>17325</v>
      </c>
      <c r="I1732" s="165"/>
      <c r="J1732" s="165"/>
      <c r="K1732" s="165"/>
      <c r="L1732" s="165"/>
      <c r="M1732" s="165">
        <v>17325</v>
      </c>
      <c r="N1732" s="165"/>
      <c r="O1732" s="337">
        <f t="shared" si="127"/>
        <v>17325</v>
      </c>
      <c r="P1732" s="165"/>
      <c r="R1732" s="3">
        <f t="shared" si="123"/>
        <v>17325</v>
      </c>
      <c r="S1732" s="178"/>
      <c r="U1732"/>
      <c r="V1732"/>
    </row>
    <row r="1733" spans="1:22" s="3" customFormat="1">
      <c r="A1733" s="165" t="s">
        <v>16193</v>
      </c>
      <c r="B1733" s="94">
        <v>1609</v>
      </c>
      <c r="C1733" s="165" t="s">
        <v>16184</v>
      </c>
      <c r="D1733" s="165">
        <v>7</v>
      </c>
      <c r="E1733" s="165" t="s">
        <v>16191</v>
      </c>
      <c r="F1733" s="165" t="s">
        <v>16198</v>
      </c>
      <c r="G1733" s="165"/>
      <c r="H1733" s="165">
        <v>17325</v>
      </c>
      <c r="I1733" s="165"/>
      <c r="J1733" s="165"/>
      <c r="K1733" s="165"/>
      <c r="L1733" s="165"/>
      <c r="M1733" s="165">
        <v>17325</v>
      </c>
      <c r="N1733" s="165"/>
      <c r="O1733" s="337">
        <f t="shared" si="127"/>
        <v>17325</v>
      </c>
      <c r="P1733" s="165"/>
      <c r="R1733" s="3">
        <f t="shared" si="123"/>
        <v>17325</v>
      </c>
      <c r="S1733" s="178"/>
      <c r="U1733"/>
      <c r="V1733"/>
    </row>
    <row r="1734" spans="1:22" s="3" customFormat="1">
      <c r="A1734" s="165" t="s">
        <v>16193</v>
      </c>
      <c r="B1734" s="94">
        <v>1610</v>
      </c>
      <c r="C1734" s="165" t="s">
        <v>16184</v>
      </c>
      <c r="D1734" s="165">
        <v>8</v>
      </c>
      <c r="E1734" s="165" t="s">
        <v>16192</v>
      </c>
      <c r="F1734" s="165" t="s">
        <v>16199</v>
      </c>
      <c r="G1734" s="165"/>
      <c r="H1734" s="165">
        <v>17325</v>
      </c>
      <c r="I1734" s="165"/>
      <c r="J1734" s="165"/>
      <c r="K1734" s="165"/>
      <c r="L1734" s="165"/>
      <c r="M1734" s="165">
        <v>17325</v>
      </c>
      <c r="N1734" s="165"/>
      <c r="O1734" s="337">
        <f t="shared" si="127"/>
        <v>17325</v>
      </c>
      <c r="P1734" s="165"/>
      <c r="R1734" s="3">
        <f t="shared" si="123"/>
        <v>17325</v>
      </c>
      <c r="S1734" s="178"/>
      <c r="U1734"/>
      <c r="V1734"/>
    </row>
    <row r="1735" spans="1:22">
      <c r="A1735" s="165" t="s">
        <v>16208</v>
      </c>
      <c r="B1735" s="94">
        <v>1611</v>
      </c>
      <c r="C1735" s="165" t="s">
        <v>5191</v>
      </c>
      <c r="D1735" s="692" t="s">
        <v>16210</v>
      </c>
      <c r="E1735" s="165" t="s">
        <v>16209</v>
      </c>
      <c r="F1735" s="165" t="s">
        <v>16217</v>
      </c>
      <c r="G1735" s="165"/>
      <c r="H1735" s="165">
        <v>5670</v>
      </c>
      <c r="I1735" s="165"/>
      <c r="J1735" s="165"/>
      <c r="K1735" s="165"/>
      <c r="L1735" s="165">
        <v>5670</v>
      </c>
      <c r="M1735" s="165"/>
      <c r="N1735" s="165"/>
      <c r="O1735" s="337">
        <f t="shared" ref="O1735:O1765" si="128">G1735+H1735+I1735-J1735-K1735-L1735</f>
        <v>0</v>
      </c>
      <c r="P1735" s="165" t="s">
        <v>16223</v>
      </c>
      <c r="Q1735" s="165" t="s">
        <v>16224</v>
      </c>
      <c r="R1735" s="3">
        <f t="shared" si="123"/>
        <v>5670</v>
      </c>
      <c r="S1735" s="337">
        <v>5670</v>
      </c>
      <c r="T1735"/>
      <c r="U1735" s="3"/>
    </row>
    <row r="1736" spans="1:22" s="3" customFormat="1">
      <c r="A1736" s="165" t="s">
        <v>16208</v>
      </c>
      <c r="B1736" s="94">
        <v>1612</v>
      </c>
      <c r="C1736" s="165" t="s">
        <v>5191</v>
      </c>
      <c r="D1736" s="165">
        <v>3</v>
      </c>
      <c r="E1736" s="165" t="s">
        <v>16211</v>
      </c>
      <c r="F1736" s="165" t="s">
        <v>16217</v>
      </c>
      <c r="G1736" s="165"/>
      <c r="H1736" s="165">
        <v>14175</v>
      </c>
      <c r="I1736" s="165"/>
      <c r="J1736" s="165"/>
      <c r="K1736" s="165"/>
      <c r="L1736" s="165">
        <v>14175</v>
      </c>
      <c r="M1736" s="165"/>
      <c r="N1736" s="165"/>
      <c r="O1736" s="337">
        <f t="shared" si="128"/>
        <v>0</v>
      </c>
      <c r="P1736" s="165" t="s">
        <v>16225</v>
      </c>
      <c r="Q1736" s="3" t="s">
        <v>16225</v>
      </c>
      <c r="R1736" s="3">
        <f t="shared" si="123"/>
        <v>14175</v>
      </c>
      <c r="S1736" s="178">
        <v>14175</v>
      </c>
      <c r="U1736"/>
      <c r="V1736"/>
    </row>
    <row r="1737" spans="1:22" s="3" customFormat="1">
      <c r="A1737" s="165" t="s">
        <v>16208</v>
      </c>
      <c r="B1737" s="94">
        <v>1613</v>
      </c>
      <c r="C1737" s="165" t="s">
        <v>5191</v>
      </c>
      <c r="D1737" s="165">
        <v>4</v>
      </c>
      <c r="E1737" s="165" t="s">
        <v>16212</v>
      </c>
      <c r="F1737" s="165" t="s">
        <v>16218</v>
      </c>
      <c r="G1737" s="165"/>
      <c r="H1737" s="165">
        <v>14175</v>
      </c>
      <c r="I1737" s="165"/>
      <c r="J1737" s="165"/>
      <c r="K1737" s="165"/>
      <c r="L1737" s="165">
        <v>14175</v>
      </c>
      <c r="M1737" s="165"/>
      <c r="N1737" s="165"/>
      <c r="O1737" s="337">
        <f t="shared" si="128"/>
        <v>0</v>
      </c>
      <c r="P1737" s="165" t="s">
        <v>16341</v>
      </c>
      <c r="Q1737" s="3" t="s">
        <v>16342</v>
      </c>
      <c r="R1737" s="3">
        <f t="shared" si="123"/>
        <v>14175</v>
      </c>
      <c r="S1737" s="178">
        <v>14175</v>
      </c>
      <c r="U1737"/>
      <c r="V1737"/>
    </row>
    <row r="1738" spans="1:22" s="3" customFormat="1">
      <c r="A1738" s="165" t="s">
        <v>16208</v>
      </c>
      <c r="B1738" s="94">
        <v>1614</v>
      </c>
      <c r="C1738" s="165" t="s">
        <v>5191</v>
      </c>
      <c r="D1738" s="165">
        <v>5</v>
      </c>
      <c r="E1738" s="165" t="s">
        <v>16213</v>
      </c>
      <c r="F1738" s="165" t="s">
        <v>16220</v>
      </c>
      <c r="G1738" s="165"/>
      <c r="H1738" s="165">
        <v>14175</v>
      </c>
      <c r="I1738" s="165"/>
      <c r="J1738" s="165"/>
      <c r="K1738" s="165"/>
      <c r="L1738" s="165">
        <v>14175</v>
      </c>
      <c r="M1738" s="165"/>
      <c r="N1738" s="165"/>
      <c r="O1738" s="337">
        <f t="shared" si="128"/>
        <v>0</v>
      </c>
      <c r="P1738" s="165" t="s">
        <v>16451</v>
      </c>
      <c r="Q1738" s="3" t="s">
        <v>16452</v>
      </c>
      <c r="R1738" s="3">
        <f t="shared" si="123"/>
        <v>14175</v>
      </c>
      <c r="S1738" s="178">
        <v>14175</v>
      </c>
      <c r="U1738"/>
      <c r="V1738"/>
    </row>
    <row r="1739" spans="1:22" s="3" customFormat="1">
      <c r="A1739" s="165" t="s">
        <v>16208</v>
      </c>
      <c r="B1739" s="94">
        <v>1615</v>
      </c>
      <c r="C1739" s="165" t="s">
        <v>5191</v>
      </c>
      <c r="D1739" s="165">
        <v>6</v>
      </c>
      <c r="E1739" s="165" t="s">
        <v>16214</v>
      </c>
      <c r="F1739" s="165" t="s">
        <v>16219</v>
      </c>
      <c r="G1739" s="165"/>
      <c r="H1739" s="165">
        <v>14175</v>
      </c>
      <c r="I1739" s="165"/>
      <c r="J1739" s="165"/>
      <c r="K1739" s="165"/>
      <c r="L1739" s="165"/>
      <c r="M1739" s="165">
        <v>14175</v>
      </c>
      <c r="N1739" s="165"/>
      <c r="O1739" s="337">
        <f t="shared" si="128"/>
        <v>14175</v>
      </c>
      <c r="P1739" s="165"/>
      <c r="R1739" s="3">
        <f t="shared" si="123"/>
        <v>14175</v>
      </c>
      <c r="S1739" s="178"/>
      <c r="U1739"/>
      <c r="V1739"/>
    </row>
    <row r="1740" spans="1:22" s="3" customFormat="1">
      <c r="A1740" s="165" t="s">
        <v>16208</v>
      </c>
      <c r="B1740" s="94">
        <v>1616</v>
      </c>
      <c r="C1740" s="165" t="s">
        <v>5191</v>
      </c>
      <c r="D1740" s="165">
        <v>7</v>
      </c>
      <c r="E1740" s="165" t="s">
        <v>16215</v>
      </c>
      <c r="F1740" s="165" t="s">
        <v>16221</v>
      </c>
      <c r="G1740" s="165"/>
      <c r="H1740" s="165">
        <v>14175</v>
      </c>
      <c r="I1740" s="165"/>
      <c r="J1740" s="165"/>
      <c r="K1740" s="165"/>
      <c r="L1740" s="165"/>
      <c r="M1740" s="165">
        <v>14175</v>
      </c>
      <c r="N1740" s="165"/>
      <c r="O1740" s="337">
        <f t="shared" si="128"/>
        <v>14175</v>
      </c>
      <c r="P1740" s="165"/>
      <c r="R1740" s="3">
        <f t="shared" si="123"/>
        <v>14175</v>
      </c>
      <c r="S1740" s="178"/>
      <c r="U1740"/>
      <c r="V1740"/>
    </row>
    <row r="1741" spans="1:22" s="3" customFormat="1">
      <c r="A1741" s="165" t="s">
        <v>16208</v>
      </c>
      <c r="B1741" s="94">
        <v>1617</v>
      </c>
      <c r="C1741" s="165" t="s">
        <v>5191</v>
      </c>
      <c r="D1741" s="165">
        <v>8</v>
      </c>
      <c r="E1741" s="165" t="s">
        <v>16216</v>
      </c>
      <c r="F1741" s="165" t="s">
        <v>16222</v>
      </c>
      <c r="G1741" s="165"/>
      <c r="H1741" s="165">
        <v>14175</v>
      </c>
      <c r="I1741" s="165"/>
      <c r="J1741" s="165"/>
      <c r="K1741" s="165"/>
      <c r="L1741" s="165"/>
      <c r="M1741" s="165">
        <v>14175</v>
      </c>
      <c r="N1741" s="165"/>
      <c r="O1741" s="337">
        <f t="shared" si="128"/>
        <v>14175</v>
      </c>
      <c r="P1741" s="165"/>
      <c r="R1741" s="3">
        <f t="shared" si="123"/>
        <v>14175</v>
      </c>
      <c r="S1741" s="178"/>
      <c r="U1741"/>
      <c r="V1741"/>
    </row>
    <row r="1742" spans="1:22">
      <c r="A1742" s="165" t="s">
        <v>16253</v>
      </c>
      <c r="B1742" s="94">
        <v>1618</v>
      </c>
      <c r="C1742" s="165" t="s">
        <v>16254</v>
      </c>
      <c r="D1742" s="165">
        <v>1</v>
      </c>
      <c r="E1742" s="165" t="s">
        <v>16256</v>
      </c>
      <c r="F1742" s="165" t="s">
        <v>16255</v>
      </c>
      <c r="G1742" s="165"/>
      <c r="H1742" s="165">
        <v>14175</v>
      </c>
      <c r="I1742" s="165"/>
      <c r="J1742" s="165"/>
      <c r="K1742" s="165"/>
      <c r="L1742" s="165">
        <v>14175</v>
      </c>
      <c r="M1742" s="165"/>
      <c r="N1742" s="165"/>
      <c r="O1742" s="337">
        <f t="shared" ref="O1742:O1757" si="129">G1742+H1742+I1742-J1742-K1742-L1742</f>
        <v>0</v>
      </c>
      <c r="P1742" s="165" t="s">
        <v>16271</v>
      </c>
      <c r="Q1742" s="165" t="s">
        <v>16272</v>
      </c>
      <c r="R1742" s="3">
        <f t="shared" si="123"/>
        <v>14175</v>
      </c>
      <c r="S1742" s="337">
        <v>14175</v>
      </c>
      <c r="T1742"/>
      <c r="U1742" s="3"/>
    </row>
    <row r="1743" spans="1:22" s="3" customFormat="1">
      <c r="A1743" s="165" t="s">
        <v>16253</v>
      </c>
      <c r="B1743" s="94">
        <v>1619</v>
      </c>
      <c r="C1743" s="165" t="s">
        <v>16254</v>
      </c>
      <c r="D1743" s="165">
        <v>2</v>
      </c>
      <c r="E1743" s="165" t="s">
        <v>16257</v>
      </c>
      <c r="F1743" s="165" t="s">
        <v>16264</v>
      </c>
      <c r="G1743" s="165"/>
      <c r="H1743" s="165">
        <v>14175</v>
      </c>
      <c r="I1743" s="165"/>
      <c r="J1743" s="165"/>
      <c r="K1743" s="165"/>
      <c r="L1743" s="165">
        <v>14175</v>
      </c>
      <c r="M1743" s="165"/>
      <c r="N1743" s="165"/>
      <c r="O1743" s="337">
        <f t="shared" si="129"/>
        <v>0</v>
      </c>
      <c r="P1743" s="165" t="s">
        <v>16409</v>
      </c>
      <c r="Q1743" s="3" t="s">
        <v>16410</v>
      </c>
      <c r="R1743" s="3">
        <f t="shared" si="123"/>
        <v>14175</v>
      </c>
      <c r="S1743" s="178">
        <v>14175</v>
      </c>
      <c r="U1743"/>
      <c r="V1743"/>
    </row>
    <row r="1744" spans="1:22" s="3" customFormat="1">
      <c r="A1744" s="165" t="s">
        <v>16253</v>
      </c>
      <c r="B1744" s="94">
        <v>1620</v>
      </c>
      <c r="C1744" s="165" t="s">
        <v>16254</v>
      </c>
      <c r="D1744" s="165">
        <v>3</v>
      </c>
      <c r="E1744" s="165" t="s">
        <v>16258</v>
      </c>
      <c r="F1744" s="165" t="s">
        <v>16265</v>
      </c>
      <c r="G1744" s="165"/>
      <c r="H1744" s="165">
        <v>14175</v>
      </c>
      <c r="I1744" s="165"/>
      <c r="J1744" s="165"/>
      <c r="K1744" s="165"/>
      <c r="L1744" s="165">
        <v>14175</v>
      </c>
      <c r="M1744" s="165"/>
      <c r="N1744" s="165"/>
      <c r="O1744" s="337">
        <f t="shared" si="129"/>
        <v>0</v>
      </c>
      <c r="P1744" s="165" t="s">
        <v>16528</v>
      </c>
      <c r="Q1744" s="3" t="s">
        <v>16527</v>
      </c>
      <c r="R1744" s="3">
        <f t="shared" si="123"/>
        <v>14175</v>
      </c>
      <c r="S1744" s="178">
        <v>14175</v>
      </c>
      <c r="U1744"/>
      <c r="V1744"/>
    </row>
    <row r="1745" spans="1:22" s="3" customFormat="1">
      <c r="A1745" s="165" t="s">
        <v>16253</v>
      </c>
      <c r="B1745" s="94">
        <v>1621</v>
      </c>
      <c r="C1745" s="165" t="s">
        <v>16254</v>
      </c>
      <c r="D1745" s="165">
        <v>4</v>
      </c>
      <c r="E1745" s="165" t="s">
        <v>16259</v>
      </c>
      <c r="F1745" s="165" t="s">
        <v>16266</v>
      </c>
      <c r="G1745" s="165"/>
      <c r="H1745" s="165">
        <v>14175</v>
      </c>
      <c r="I1745" s="165"/>
      <c r="J1745" s="165"/>
      <c r="K1745" s="165"/>
      <c r="L1745" s="165"/>
      <c r="M1745" s="165">
        <v>14175</v>
      </c>
      <c r="N1745" s="165"/>
      <c r="O1745" s="337">
        <f t="shared" si="129"/>
        <v>14175</v>
      </c>
      <c r="P1745" s="165"/>
      <c r="R1745" s="3">
        <f t="shared" si="123"/>
        <v>14175</v>
      </c>
      <c r="S1745" s="178"/>
      <c r="U1745"/>
      <c r="V1745"/>
    </row>
    <row r="1746" spans="1:22" s="3" customFormat="1">
      <c r="A1746" s="165" t="s">
        <v>16253</v>
      </c>
      <c r="B1746" s="94">
        <v>1622</v>
      </c>
      <c r="C1746" s="165" t="s">
        <v>16254</v>
      </c>
      <c r="D1746" s="165">
        <v>5</v>
      </c>
      <c r="E1746" s="165" t="s">
        <v>16260</v>
      </c>
      <c r="F1746" s="165" t="s">
        <v>16267</v>
      </c>
      <c r="G1746" s="165"/>
      <c r="H1746" s="165">
        <v>14175</v>
      </c>
      <c r="I1746" s="165"/>
      <c r="J1746" s="165"/>
      <c r="K1746" s="165"/>
      <c r="L1746" s="165"/>
      <c r="M1746" s="165">
        <v>14175</v>
      </c>
      <c r="N1746" s="165"/>
      <c r="O1746" s="337">
        <f t="shared" si="129"/>
        <v>14175</v>
      </c>
      <c r="P1746" s="165"/>
      <c r="R1746" s="3">
        <f t="shared" si="123"/>
        <v>14175</v>
      </c>
      <c r="S1746" s="178"/>
      <c r="U1746"/>
      <c r="V1746"/>
    </row>
    <row r="1747" spans="1:22" s="3" customFormat="1">
      <c r="A1747" s="165" t="s">
        <v>16253</v>
      </c>
      <c r="B1747" s="94">
        <v>1623</v>
      </c>
      <c r="C1747" s="165" t="s">
        <v>16254</v>
      </c>
      <c r="D1747" s="165">
        <v>6</v>
      </c>
      <c r="E1747" s="165" t="s">
        <v>16261</v>
      </c>
      <c r="F1747" s="165" t="s">
        <v>16268</v>
      </c>
      <c r="G1747" s="165"/>
      <c r="H1747" s="165">
        <v>14175</v>
      </c>
      <c r="I1747" s="165"/>
      <c r="J1747" s="165"/>
      <c r="K1747" s="165"/>
      <c r="L1747" s="165"/>
      <c r="M1747" s="165">
        <v>14175</v>
      </c>
      <c r="N1747" s="165"/>
      <c r="O1747" s="337">
        <f t="shared" si="129"/>
        <v>14175</v>
      </c>
      <c r="P1747" s="165"/>
      <c r="R1747" s="3">
        <f t="shared" si="123"/>
        <v>14175</v>
      </c>
      <c r="S1747" s="178"/>
      <c r="U1747"/>
      <c r="V1747"/>
    </row>
    <row r="1748" spans="1:22" s="3" customFormat="1">
      <c r="A1748" s="165" t="s">
        <v>16253</v>
      </c>
      <c r="B1748" s="94">
        <v>1624</v>
      </c>
      <c r="C1748" s="165" t="s">
        <v>16254</v>
      </c>
      <c r="D1748" s="165">
        <v>7</v>
      </c>
      <c r="E1748" s="165" t="s">
        <v>16262</v>
      </c>
      <c r="F1748" s="165" t="s">
        <v>16269</v>
      </c>
      <c r="G1748" s="165"/>
      <c r="H1748" s="165">
        <v>14175</v>
      </c>
      <c r="I1748" s="165"/>
      <c r="J1748" s="165"/>
      <c r="K1748" s="165"/>
      <c r="L1748" s="165"/>
      <c r="M1748" s="165">
        <v>14175</v>
      </c>
      <c r="N1748" s="165"/>
      <c r="O1748" s="337">
        <f t="shared" si="129"/>
        <v>14175</v>
      </c>
      <c r="P1748" s="165"/>
      <c r="R1748" s="3">
        <f t="shared" si="123"/>
        <v>14175</v>
      </c>
      <c r="S1748" s="178"/>
      <c r="U1748"/>
      <c r="V1748"/>
    </row>
    <row r="1749" spans="1:22" s="3" customFormat="1">
      <c r="A1749" s="165" t="s">
        <v>16253</v>
      </c>
      <c r="B1749" s="94">
        <v>1625</v>
      </c>
      <c r="C1749" s="165" t="s">
        <v>16254</v>
      </c>
      <c r="D1749" s="165">
        <v>8</v>
      </c>
      <c r="E1749" s="165" t="s">
        <v>16263</v>
      </c>
      <c r="F1749" s="165" t="s">
        <v>16270</v>
      </c>
      <c r="G1749" s="165"/>
      <c r="H1749" s="165">
        <v>14175</v>
      </c>
      <c r="I1749" s="165"/>
      <c r="J1749" s="165"/>
      <c r="K1749" s="165"/>
      <c r="L1749" s="165"/>
      <c r="M1749" s="165">
        <v>14175</v>
      </c>
      <c r="N1749" s="165"/>
      <c r="O1749" s="337">
        <f t="shared" si="129"/>
        <v>14175</v>
      </c>
      <c r="P1749" s="165"/>
      <c r="R1749" s="3">
        <f t="shared" si="123"/>
        <v>14175</v>
      </c>
      <c r="S1749" s="178"/>
      <c r="U1749"/>
      <c r="V1749"/>
    </row>
    <row r="1750" spans="1:22">
      <c r="A1750" s="165" t="s">
        <v>16281</v>
      </c>
      <c r="B1750" s="94">
        <v>1626</v>
      </c>
      <c r="C1750" s="165" t="s">
        <v>16282</v>
      </c>
      <c r="D1750" s="165">
        <v>1</v>
      </c>
      <c r="E1750" s="165" t="s">
        <v>16283</v>
      </c>
      <c r="F1750" s="165" t="s">
        <v>9928</v>
      </c>
      <c r="G1750" s="165"/>
      <c r="H1750" s="165">
        <v>14175</v>
      </c>
      <c r="I1750" s="165"/>
      <c r="J1750" s="165"/>
      <c r="K1750" s="165"/>
      <c r="L1750" s="165">
        <v>14175</v>
      </c>
      <c r="M1750" s="165"/>
      <c r="N1750" s="165"/>
      <c r="O1750" s="337">
        <f t="shared" si="129"/>
        <v>0</v>
      </c>
      <c r="P1750" s="165" t="s">
        <v>16278</v>
      </c>
      <c r="Q1750" s="165" t="s">
        <v>16279</v>
      </c>
      <c r="R1750" s="3">
        <f t="shared" si="123"/>
        <v>14175</v>
      </c>
      <c r="S1750" s="337">
        <v>14175</v>
      </c>
      <c r="T1750"/>
      <c r="U1750" s="3"/>
    </row>
    <row r="1751" spans="1:22" s="3" customFormat="1">
      <c r="A1751" s="165" t="s">
        <v>16281</v>
      </c>
      <c r="B1751" s="94">
        <v>1627</v>
      </c>
      <c r="C1751" s="165" t="s">
        <v>16282</v>
      </c>
      <c r="D1751" s="165">
        <v>2</v>
      </c>
      <c r="E1751" s="165" t="s">
        <v>16284</v>
      </c>
      <c r="F1751" s="165" t="s">
        <v>10941</v>
      </c>
      <c r="G1751" s="165"/>
      <c r="H1751" s="165">
        <v>14175</v>
      </c>
      <c r="I1751" s="165"/>
      <c r="J1751" s="165"/>
      <c r="K1751" s="165"/>
      <c r="L1751" s="165">
        <v>14175</v>
      </c>
      <c r="M1751" s="165"/>
      <c r="N1751" s="165"/>
      <c r="O1751" s="337">
        <f t="shared" si="129"/>
        <v>0</v>
      </c>
      <c r="P1751" s="165" t="s">
        <v>16411</v>
      </c>
      <c r="Q1751" s="3" t="s">
        <v>16412</v>
      </c>
      <c r="R1751" s="3">
        <f t="shared" si="123"/>
        <v>14175</v>
      </c>
      <c r="S1751" s="178">
        <v>14175</v>
      </c>
      <c r="U1751"/>
      <c r="V1751"/>
    </row>
    <row r="1752" spans="1:22" s="3" customFormat="1">
      <c r="A1752" s="165" t="s">
        <v>16281</v>
      </c>
      <c r="B1752" s="94">
        <v>1628</v>
      </c>
      <c r="C1752" s="165" t="s">
        <v>16282</v>
      </c>
      <c r="D1752" s="165">
        <v>3</v>
      </c>
      <c r="E1752" s="165" t="s">
        <v>16285</v>
      </c>
      <c r="F1752" s="165" t="s">
        <v>16298</v>
      </c>
      <c r="G1752" s="165"/>
      <c r="H1752" s="165">
        <v>14175</v>
      </c>
      <c r="I1752" s="165"/>
      <c r="J1752" s="165"/>
      <c r="K1752" s="165"/>
      <c r="L1752" s="165">
        <v>14175</v>
      </c>
      <c r="M1752" s="165"/>
      <c r="N1752" s="165"/>
      <c r="O1752" s="337">
        <f t="shared" si="129"/>
        <v>0</v>
      </c>
      <c r="P1752" s="165" t="s">
        <v>16532</v>
      </c>
      <c r="Q1752" s="3" t="s">
        <v>16533</v>
      </c>
      <c r="R1752" s="3">
        <f t="shared" si="123"/>
        <v>14175</v>
      </c>
      <c r="S1752" s="178">
        <v>14175</v>
      </c>
      <c r="U1752"/>
      <c r="V1752"/>
    </row>
    <row r="1753" spans="1:22" s="3" customFormat="1">
      <c r="A1753" s="165" t="s">
        <v>16281</v>
      </c>
      <c r="B1753" s="94">
        <v>1629</v>
      </c>
      <c r="C1753" s="165" t="s">
        <v>16282</v>
      </c>
      <c r="D1753" s="165">
        <v>4</v>
      </c>
      <c r="E1753" s="165" t="s">
        <v>16286</v>
      </c>
      <c r="F1753" s="165" t="s">
        <v>16297</v>
      </c>
      <c r="G1753" s="165"/>
      <c r="H1753" s="165">
        <v>14175</v>
      </c>
      <c r="I1753" s="165"/>
      <c r="J1753" s="165"/>
      <c r="K1753" s="165"/>
      <c r="L1753" s="165"/>
      <c r="M1753" s="165">
        <v>14175</v>
      </c>
      <c r="N1753" s="165"/>
      <c r="O1753" s="337">
        <f t="shared" si="129"/>
        <v>14175</v>
      </c>
      <c r="P1753" s="165"/>
      <c r="R1753" s="3">
        <f t="shared" si="123"/>
        <v>14175</v>
      </c>
      <c r="S1753" s="178"/>
      <c r="U1753"/>
      <c r="V1753"/>
    </row>
    <row r="1754" spans="1:22" s="3" customFormat="1">
      <c r="A1754" s="165" t="s">
        <v>16281</v>
      </c>
      <c r="B1754" s="94">
        <v>1630</v>
      </c>
      <c r="C1754" s="165" t="s">
        <v>16282</v>
      </c>
      <c r="D1754" s="165">
        <v>5</v>
      </c>
      <c r="E1754" s="165" t="s">
        <v>16287</v>
      </c>
      <c r="F1754" s="165" t="s">
        <v>16292</v>
      </c>
      <c r="G1754" s="165"/>
      <c r="H1754" s="165">
        <v>14175</v>
      </c>
      <c r="I1754" s="165"/>
      <c r="J1754" s="165"/>
      <c r="K1754" s="165"/>
      <c r="L1754" s="165"/>
      <c r="M1754" s="165">
        <v>14175</v>
      </c>
      <c r="N1754" s="165"/>
      <c r="O1754" s="337">
        <f t="shared" si="129"/>
        <v>14175</v>
      </c>
      <c r="P1754" s="165"/>
      <c r="R1754" s="3">
        <f t="shared" si="123"/>
        <v>14175</v>
      </c>
      <c r="S1754" s="178"/>
      <c r="U1754"/>
      <c r="V1754"/>
    </row>
    <row r="1755" spans="1:22" s="3" customFormat="1">
      <c r="A1755" s="165" t="s">
        <v>16281</v>
      </c>
      <c r="B1755" s="94">
        <v>1631</v>
      </c>
      <c r="C1755" s="165" t="s">
        <v>16282</v>
      </c>
      <c r="D1755" s="165">
        <v>6</v>
      </c>
      <c r="E1755" s="165" t="s">
        <v>16288</v>
      </c>
      <c r="F1755" s="165" t="s">
        <v>16293</v>
      </c>
      <c r="G1755" s="165"/>
      <c r="H1755" s="165">
        <v>14175</v>
      </c>
      <c r="I1755" s="165"/>
      <c r="J1755" s="165"/>
      <c r="K1755" s="165"/>
      <c r="L1755" s="165"/>
      <c r="M1755" s="165">
        <v>14175</v>
      </c>
      <c r="N1755" s="165"/>
      <c r="O1755" s="337">
        <f t="shared" si="129"/>
        <v>14175</v>
      </c>
      <c r="P1755" s="165"/>
      <c r="R1755" s="3">
        <f t="shared" si="123"/>
        <v>14175</v>
      </c>
      <c r="S1755" s="178"/>
      <c r="U1755"/>
      <c r="V1755"/>
    </row>
    <row r="1756" spans="1:22" s="3" customFormat="1">
      <c r="A1756" s="165" t="s">
        <v>16281</v>
      </c>
      <c r="B1756" s="94">
        <v>1632</v>
      </c>
      <c r="C1756" s="165" t="s">
        <v>16282</v>
      </c>
      <c r="D1756" s="165">
        <v>7</v>
      </c>
      <c r="E1756" s="165" t="s">
        <v>16289</v>
      </c>
      <c r="F1756" s="165" t="s">
        <v>16296</v>
      </c>
      <c r="G1756" s="165"/>
      <c r="H1756" s="165">
        <v>14175</v>
      </c>
      <c r="I1756" s="165"/>
      <c r="J1756" s="165"/>
      <c r="K1756" s="165"/>
      <c r="L1756" s="165"/>
      <c r="M1756" s="165">
        <v>14175</v>
      </c>
      <c r="N1756" s="165"/>
      <c r="O1756" s="337">
        <f t="shared" si="129"/>
        <v>14175</v>
      </c>
      <c r="P1756" s="165"/>
      <c r="R1756" s="3">
        <f t="shared" si="123"/>
        <v>14175</v>
      </c>
      <c r="S1756" s="178"/>
      <c r="U1756"/>
      <c r="V1756"/>
    </row>
    <row r="1757" spans="1:22" s="3" customFormat="1">
      <c r="A1757" s="165" t="s">
        <v>16281</v>
      </c>
      <c r="B1757" s="94">
        <v>1633</v>
      </c>
      <c r="C1757" s="165" t="s">
        <v>16282</v>
      </c>
      <c r="D1757" s="165">
        <v>8</v>
      </c>
      <c r="E1757" s="165" t="s">
        <v>16290</v>
      </c>
      <c r="F1757" s="165" t="s">
        <v>16295</v>
      </c>
      <c r="G1757" s="165"/>
      <c r="H1757" s="165">
        <v>14175</v>
      </c>
      <c r="I1757" s="165"/>
      <c r="J1757" s="165"/>
      <c r="K1757" s="165"/>
      <c r="L1757" s="165"/>
      <c r="M1757" s="165">
        <v>14175</v>
      </c>
      <c r="N1757" s="165"/>
      <c r="O1757" s="337">
        <f t="shared" si="129"/>
        <v>14175</v>
      </c>
      <c r="P1757" s="165"/>
      <c r="R1757" s="3">
        <f t="shared" si="123"/>
        <v>14175</v>
      </c>
      <c r="S1757" s="178"/>
      <c r="U1757"/>
      <c r="V1757"/>
    </row>
    <row r="1758" spans="1:22">
      <c r="A1758" s="165" t="s">
        <v>16234</v>
      </c>
      <c r="B1758" s="94">
        <v>1634</v>
      </c>
      <c r="C1758" s="165" t="s">
        <v>15941</v>
      </c>
      <c r="D1758" s="165">
        <v>1</v>
      </c>
      <c r="E1758" s="165" t="s">
        <v>16235</v>
      </c>
      <c r="F1758" s="165" t="s">
        <v>16241</v>
      </c>
      <c r="G1758" s="165"/>
      <c r="H1758" s="165">
        <v>12000</v>
      </c>
      <c r="I1758" s="165"/>
      <c r="J1758" s="165"/>
      <c r="K1758" s="165"/>
      <c r="L1758" s="165">
        <v>12000</v>
      </c>
      <c r="M1758" s="165"/>
      <c r="N1758" s="165"/>
      <c r="O1758" s="337">
        <f t="shared" si="128"/>
        <v>0</v>
      </c>
      <c r="P1758" s="165" t="s">
        <v>16251</v>
      </c>
      <c r="Q1758" s="165" t="s">
        <v>16252</v>
      </c>
      <c r="R1758" s="3">
        <f t="shared" si="123"/>
        <v>12000</v>
      </c>
      <c r="S1758" s="337">
        <v>12000</v>
      </c>
      <c r="T1758"/>
      <c r="U1758" s="3"/>
    </row>
    <row r="1759" spans="1:22" s="3" customFormat="1">
      <c r="A1759" s="165" t="s">
        <v>16234</v>
      </c>
      <c r="B1759" s="94">
        <v>1635</v>
      </c>
      <c r="C1759" s="165" t="s">
        <v>15941</v>
      </c>
      <c r="D1759" s="165">
        <v>2</v>
      </c>
      <c r="E1759" s="165" t="s">
        <v>16236</v>
      </c>
      <c r="F1759" s="165" t="s">
        <v>16244</v>
      </c>
      <c r="G1759" s="165"/>
      <c r="H1759" s="165">
        <v>12000</v>
      </c>
      <c r="I1759" s="165"/>
      <c r="J1759" s="165"/>
      <c r="K1759" s="165"/>
      <c r="L1759" s="165">
        <v>12000</v>
      </c>
      <c r="M1759" s="165"/>
      <c r="N1759" s="165"/>
      <c r="O1759" s="337">
        <f t="shared" si="128"/>
        <v>0</v>
      </c>
      <c r="P1759" s="165" t="s">
        <v>16406</v>
      </c>
      <c r="Q1759" s="3" t="s">
        <v>16408</v>
      </c>
      <c r="R1759" s="3">
        <f t="shared" si="123"/>
        <v>12000</v>
      </c>
      <c r="S1759" s="178">
        <v>12000</v>
      </c>
      <c r="U1759"/>
      <c r="V1759"/>
    </row>
    <row r="1760" spans="1:22" s="3" customFormat="1">
      <c r="A1760" s="165" t="s">
        <v>16234</v>
      </c>
      <c r="B1760" s="94">
        <v>1636</v>
      </c>
      <c r="C1760" s="165" t="s">
        <v>15941</v>
      </c>
      <c r="D1760" s="165">
        <v>3</v>
      </c>
      <c r="E1760" s="165" t="s">
        <v>16237</v>
      </c>
      <c r="F1760" s="165" t="s">
        <v>16245</v>
      </c>
      <c r="G1760" s="165"/>
      <c r="H1760" s="165">
        <v>12000</v>
      </c>
      <c r="I1760" s="165"/>
      <c r="J1760" s="165"/>
      <c r="K1760" s="165"/>
      <c r="L1760" s="165">
        <v>12000</v>
      </c>
      <c r="M1760" s="165"/>
      <c r="N1760" s="165"/>
      <c r="O1760" s="337">
        <f t="shared" si="128"/>
        <v>0</v>
      </c>
      <c r="P1760" s="165" t="s">
        <v>16525</v>
      </c>
      <c r="Q1760" s="3" t="s">
        <v>16526</v>
      </c>
      <c r="R1760" s="3">
        <f t="shared" si="123"/>
        <v>12000</v>
      </c>
      <c r="S1760" s="178">
        <v>12000</v>
      </c>
      <c r="U1760"/>
      <c r="V1760"/>
    </row>
    <row r="1761" spans="1:22" s="3" customFormat="1">
      <c r="A1761" s="165" t="s">
        <v>16234</v>
      </c>
      <c r="B1761" s="94">
        <v>1637</v>
      </c>
      <c r="C1761" s="165" t="s">
        <v>15941</v>
      </c>
      <c r="D1761" s="165">
        <v>4</v>
      </c>
      <c r="E1761" s="165" t="s">
        <v>16242</v>
      </c>
      <c r="F1761" s="165" t="s">
        <v>16246</v>
      </c>
      <c r="G1761" s="165"/>
      <c r="H1761" s="165">
        <v>12000</v>
      </c>
      <c r="I1761" s="165"/>
      <c r="J1761" s="165"/>
      <c r="K1761" s="165"/>
      <c r="L1761" s="165"/>
      <c r="M1761" s="165">
        <v>12000</v>
      </c>
      <c r="N1761" s="165"/>
      <c r="O1761" s="337">
        <f t="shared" si="128"/>
        <v>12000</v>
      </c>
      <c r="P1761" s="165"/>
      <c r="R1761" s="3">
        <f t="shared" si="123"/>
        <v>12000</v>
      </c>
      <c r="S1761" s="178"/>
      <c r="U1761"/>
      <c r="V1761"/>
    </row>
    <row r="1762" spans="1:22" s="3" customFormat="1">
      <c r="A1762" s="165" t="s">
        <v>16234</v>
      </c>
      <c r="B1762" s="94">
        <v>1638</v>
      </c>
      <c r="C1762" s="165" t="s">
        <v>15941</v>
      </c>
      <c r="D1762" s="165">
        <v>5</v>
      </c>
      <c r="E1762" s="165" t="s">
        <v>16238</v>
      </c>
      <c r="F1762" s="165" t="s">
        <v>16247</v>
      </c>
      <c r="G1762" s="165"/>
      <c r="H1762" s="165">
        <v>12000</v>
      </c>
      <c r="I1762" s="165"/>
      <c r="J1762" s="165"/>
      <c r="K1762" s="165"/>
      <c r="L1762" s="165"/>
      <c r="M1762" s="165">
        <v>12000</v>
      </c>
      <c r="N1762" s="165"/>
      <c r="O1762" s="337">
        <f t="shared" si="128"/>
        <v>12000</v>
      </c>
      <c r="P1762" s="165"/>
      <c r="R1762" s="3">
        <f t="shared" si="123"/>
        <v>12000</v>
      </c>
      <c r="S1762" s="178"/>
      <c r="U1762"/>
      <c r="V1762"/>
    </row>
    <row r="1763" spans="1:22" s="3" customFormat="1">
      <c r="A1763" s="165" t="s">
        <v>16234</v>
      </c>
      <c r="B1763" s="94">
        <v>1639</v>
      </c>
      <c r="C1763" s="165" t="s">
        <v>15941</v>
      </c>
      <c r="D1763" s="165">
        <v>6</v>
      </c>
      <c r="E1763" s="165" t="s">
        <v>16239</v>
      </c>
      <c r="F1763" s="165" t="s">
        <v>16248</v>
      </c>
      <c r="G1763" s="165"/>
      <c r="H1763" s="165">
        <v>12000</v>
      </c>
      <c r="I1763" s="165"/>
      <c r="J1763" s="165"/>
      <c r="K1763" s="165"/>
      <c r="L1763" s="165"/>
      <c r="M1763" s="165">
        <v>12000</v>
      </c>
      <c r="N1763" s="165"/>
      <c r="O1763" s="337">
        <f t="shared" si="128"/>
        <v>12000</v>
      </c>
      <c r="P1763" s="165"/>
      <c r="R1763" s="3">
        <f t="shared" si="123"/>
        <v>12000</v>
      </c>
      <c r="S1763" s="178"/>
      <c r="U1763"/>
      <c r="V1763"/>
    </row>
    <row r="1764" spans="1:22" s="3" customFormat="1">
      <c r="A1764" s="165" t="s">
        <v>16234</v>
      </c>
      <c r="B1764" s="94">
        <v>1640</v>
      </c>
      <c r="C1764" s="165" t="s">
        <v>15941</v>
      </c>
      <c r="D1764" s="165">
        <v>7</v>
      </c>
      <c r="E1764" s="165" t="s">
        <v>16240</v>
      </c>
      <c r="F1764" s="165" t="s">
        <v>16249</v>
      </c>
      <c r="G1764" s="165"/>
      <c r="H1764" s="165">
        <v>12000</v>
      </c>
      <c r="I1764" s="165"/>
      <c r="J1764" s="165"/>
      <c r="K1764" s="165"/>
      <c r="L1764" s="165"/>
      <c r="M1764" s="165">
        <v>12000</v>
      </c>
      <c r="N1764" s="165"/>
      <c r="O1764" s="337">
        <f t="shared" si="128"/>
        <v>12000</v>
      </c>
      <c r="P1764" s="165"/>
      <c r="R1764" s="3">
        <f t="shared" si="123"/>
        <v>12000</v>
      </c>
      <c r="S1764" s="178"/>
      <c r="U1764"/>
      <c r="V1764"/>
    </row>
    <row r="1765" spans="1:22" s="3" customFormat="1">
      <c r="A1765" s="165" t="s">
        <v>16234</v>
      </c>
      <c r="B1765" s="94">
        <v>1641</v>
      </c>
      <c r="C1765" s="165" t="s">
        <v>15941</v>
      </c>
      <c r="D1765" s="165">
        <v>8</v>
      </c>
      <c r="E1765" s="165" t="s">
        <v>16243</v>
      </c>
      <c r="F1765" s="165" t="s">
        <v>16250</v>
      </c>
      <c r="G1765" s="165"/>
      <c r="H1765" s="165">
        <v>12000</v>
      </c>
      <c r="I1765" s="165"/>
      <c r="J1765" s="165"/>
      <c r="K1765" s="165"/>
      <c r="L1765" s="165"/>
      <c r="M1765" s="165">
        <v>12000</v>
      </c>
      <c r="N1765" s="165"/>
      <c r="O1765" s="337">
        <f t="shared" si="128"/>
        <v>12000</v>
      </c>
      <c r="P1765" s="165"/>
      <c r="R1765" s="3">
        <f t="shared" si="123"/>
        <v>12000</v>
      </c>
      <c r="S1765" s="178"/>
      <c r="U1765"/>
      <c r="V1765"/>
    </row>
    <row r="1766" spans="1:22">
      <c r="A1766" s="165" t="s">
        <v>16335</v>
      </c>
      <c r="B1766" s="94">
        <v>1642</v>
      </c>
      <c r="C1766" s="165" t="s">
        <v>5820</v>
      </c>
      <c r="D1766" s="165">
        <v>1</v>
      </c>
      <c r="E1766" s="165" t="s">
        <v>16309</v>
      </c>
      <c r="F1766" s="165" t="s">
        <v>16308</v>
      </c>
      <c r="G1766" s="165"/>
      <c r="H1766" s="165">
        <v>17325</v>
      </c>
      <c r="I1766" s="165"/>
      <c r="J1766" s="165"/>
      <c r="K1766" s="165"/>
      <c r="L1766" s="165">
        <v>17325</v>
      </c>
      <c r="M1766" s="165"/>
      <c r="N1766" s="165"/>
      <c r="O1766" s="337">
        <f t="shared" ref="O1766:O1773" si="130">G1766+H1766+I1766-J1766-K1766-L1766</f>
        <v>0</v>
      </c>
      <c r="P1766" s="165" t="s">
        <v>16324</v>
      </c>
      <c r="Q1766" s="165" t="s">
        <v>16325</v>
      </c>
      <c r="R1766" s="3">
        <f t="shared" si="123"/>
        <v>17325</v>
      </c>
      <c r="S1766" s="337">
        <v>17325</v>
      </c>
      <c r="T1766"/>
      <c r="U1766" s="3"/>
    </row>
    <row r="1767" spans="1:22" s="3" customFormat="1">
      <c r="A1767" s="165" t="s">
        <v>16335</v>
      </c>
      <c r="B1767" s="94">
        <v>1643</v>
      </c>
      <c r="C1767" s="165" t="s">
        <v>5820</v>
      </c>
      <c r="D1767" s="165">
        <v>2</v>
      </c>
      <c r="E1767" s="165" t="s">
        <v>16310</v>
      </c>
      <c r="F1767" s="165" t="s">
        <v>16317</v>
      </c>
      <c r="G1767" s="165"/>
      <c r="H1767" s="165">
        <v>17325</v>
      </c>
      <c r="I1767" s="165"/>
      <c r="J1767" s="165"/>
      <c r="K1767" s="165"/>
      <c r="L1767" s="165">
        <v>17325</v>
      </c>
      <c r="M1767" s="165"/>
      <c r="N1767" s="165"/>
      <c r="O1767" s="337">
        <f t="shared" si="130"/>
        <v>0</v>
      </c>
      <c r="P1767" s="165" t="s">
        <v>16447</v>
      </c>
      <c r="Q1767" s="3" t="s">
        <v>16448</v>
      </c>
      <c r="R1767" s="3">
        <f t="shared" si="123"/>
        <v>17325</v>
      </c>
      <c r="S1767" s="178">
        <v>17325</v>
      </c>
      <c r="U1767"/>
      <c r="V1767"/>
    </row>
    <row r="1768" spans="1:22" s="3" customFormat="1">
      <c r="A1768" s="165" t="s">
        <v>16335</v>
      </c>
      <c r="B1768" s="94">
        <v>1644</v>
      </c>
      <c r="C1768" s="165" t="s">
        <v>5820</v>
      </c>
      <c r="D1768" s="165">
        <v>3</v>
      </c>
      <c r="E1768" s="165" t="s">
        <v>16311</v>
      </c>
      <c r="F1768" s="165" t="s">
        <v>16318</v>
      </c>
      <c r="G1768" s="165"/>
      <c r="H1768" s="165">
        <v>17325</v>
      </c>
      <c r="I1768" s="165"/>
      <c r="J1768" s="165"/>
      <c r="K1768" s="165"/>
      <c r="L1768" s="165"/>
      <c r="M1768" s="165">
        <v>17325</v>
      </c>
      <c r="N1768" s="165"/>
      <c r="O1768" s="337">
        <f t="shared" si="130"/>
        <v>17325</v>
      </c>
      <c r="P1768" s="165"/>
      <c r="R1768" s="3">
        <f t="shared" si="123"/>
        <v>17325</v>
      </c>
      <c r="S1768" s="178"/>
      <c r="U1768"/>
      <c r="V1768"/>
    </row>
    <row r="1769" spans="1:22" s="3" customFormat="1">
      <c r="A1769" s="165" t="s">
        <v>16335</v>
      </c>
      <c r="B1769" s="94">
        <v>1645</v>
      </c>
      <c r="C1769" s="165" t="s">
        <v>5820</v>
      </c>
      <c r="D1769" s="165">
        <v>4</v>
      </c>
      <c r="E1769" s="165" t="s">
        <v>16312</v>
      </c>
      <c r="F1769" s="165" t="s">
        <v>16319</v>
      </c>
      <c r="G1769" s="165"/>
      <c r="H1769" s="165">
        <v>17325</v>
      </c>
      <c r="I1769" s="165"/>
      <c r="J1769" s="165"/>
      <c r="K1769" s="165"/>
      <c r="L1769" s="165"/>
      <c r="M1769" s="165">
        <v>17325</v>
      </c>
      <c r="N1769" s="165"/>
      <c r="O1769" s="337">
        <f t="shared" si="130"/>
        <v>17325</v>
      </c>
      <c r="P1769" s="165"/>
      <c r="R1769" s="3">
        <f t="shared" si="123"/>
        <v>17325</v>
      </c>
      <c r="S1769" s="178"/>
      <c r="U1769"/>
      <c r="V1769"/>
    </row>
    <row r="1770" spans="1:22" s="3" customFormat="1">
      <c r="A1770" s="165" t="s">
        <v>16335</v>
      </c>
      <c r="B1770" s="94">
        <v>1646</v>
      </c>
      <c r="C1770" s="165" t="s">
        <v>5820</v>
      </c>
      <c r="D1770" s="165">
        <v>5</v>
      </c>
      <c r="E1770" s="165" t="s">
        <v>16313</v>
      </c>
      <c r="F1770" s="165" t="s">
        <v>16320</v>
      </c>
      <c r="G1770" s="165"/>
      <c r="H1770" s="165">
        <v>17325</v>
      </c>
      <c r="I1770" s="165"/>
      <c r="J1770" s="165"/>
      <c r="K1770" s="165"/>
      <c r="L1770" s="165"/>
      <c r="M1770" s="165">
        <v>17325</v>
      </c>
      <c r="N1770" s="165"/>
      <c r="O1770" s="337">
        <f t="shared" si="130"/>
        <v>17325</v>
      </c>
      <c r="P1770" s="165"/>
      <c r="R1770" s="3">
        <f t="shared" si="123"/>
        <v>17325</v>
      </c>
      <c r="S1770" s="178"/>
      <c r="U1770"/>
      <c r="V1770"/>
    </row>
    <row r="1771" spans="1:22" s="3" customFormat="1">
      <c r="A1771" s="165" t="s">
        <v>16335</v>
      </c>
      <c r="B1771" s="94">
        <v>1647</v>
      </c>
      <c r="C1771" s="165" t="s">
        <v>5820</v>
      </c>
      <c r="D1771" s="165">
        <v>6</v>
      </c>
      <c r="E1771" s="165" t="s">
        <v>16314</v>
      </c>
      <c r="F1771" s="165" t="s">
        <v>16321</v>
      </c>
      <c r="G1771" s="165"/>
      <c r="H1771" s="165">
        <v>17325</v>
      </c>
      <c r="I1771" s="165"/>
      <c r="J1771" s="165"/>
      <c r="K1771" s="165"/>
      <c r="L1771" s="165"/>
      <c r="M1771" s="165">
        <v>17325</v>
      </c>
      <c r="N1771" s="165"/>
      <c r="O1771" s="337">
        <f t="shared" si="130"/>
        <v>17325</v>
      </c>
      <c r="P1771" s="165"/>
      <c r="R1771" s="3">
        <f t="shared" ref="R1771:R1810" si="131">G1771+H1771+I1771</f>
        <v>17325</v>
      </c>
      <c r="S1771" s="178"/>
      <c r="U1771"/>
      <c r="V1771"/>
    </row>
    <row r="1772" spans="1:22" s="3" customFormat="1">
      <c r="A1772" s="165" t="s">
        <v>16335</v>
      </c>
      <c r="B1772" s="94">
        <v>1648</v>
      </c>
      <c r="C1772" s="165" t="s">
        <v>5820</v>
      </c>
      <c r="D1772" s="165">
        <v>7</v>
      </c>
      <c r="E1772" s="165" t="s">
        <v>16315</v>
      </c>
      <c r="F1772" s="165" t="s">
        <v>16322</v>
      </c>
      <c r="G1772" s="165"/>
      <c r="H1772" s="165">
        <v>17325</v>
      </c>
      <c r="I1772" s="165"/>
      <c r="J1772" s="165"/>
      <c r="K1772" s="165"/>
      <c r="L1772" s="165"/>
      <c r="M1772" s="165">
        <v>17325</v>
      </c>
      <c r="N1772" s="165"/>
      <c r="O1772" s="337">
        <f t="shared" si="130"/>
        <v>17325</v>
      </c>
      <c r="P1772" s="165"/>
      <c r="R1772" s="3">
        <f t="shared" si="131"/>
        <v>17325</v>
      </c>
      <c r="S1772" s="178"/>
      <c r="U1772"/>
      <c r="V1772"/>
    </row>
    <row r="1773" spans="1:22" s="3" customFormat="1">
      <c r="A1773" s="165" t="s">
        <v>16335</v>
      </c>
      <c r="B1773" s="94">
        <v>1649</v>
      </c>
      <c r="C1773" s="165" t="s">
        <v>5820</v>
      </c>
      <c r="D1773" s="165">
        <v>8</v>
      </c>
      <c r="E1773" s="165" t="s">
        <v>16316</v>
      </c>
      <c r="F1773" s="165" t="s">
        <v>16323</v>
      </c>
      <c r="G1773" s="165"/>
      <c r="H1773" s="165">
        <v>17325</v>
      </c>
      <c r="I1773" s="165"/>
      <c r="J1773" s="165"/>
      <c r="K1773" s="165"/>
      <c r="L1773" s="165"/>
      <c r="M1773" s="165">
        <v>17325</v>
      </c>
      <c r="N1773" s="165"/>
      <c r="O1773" s="337">
        <f t="shared" si="130"/>
        <v>17325</v>
      </c>
      <c r="P1773" s="165"/>
      <c r="R1773" s="3">
        <f t="shared" si="131"/>
        <v>17325</v>
      </c>
      <c r="S1773" s="178"/>
      <c r="U1773"/>
      <c r="V1773"/>
    </row>
    <row r="1774" spans="1:22">
      <c r="A1774" s="165" t="s">
        <v>16326</v>
      </c>
      <c r="B1774" s="94">
        <v>1650</v>
      </c>
      <c r="C1774" s="165" t="s">
        <v>5820</v>
      </c>
      <c r="D1774" s="165">
        <v>1</v>
      </c>
      <c r="E1774" s="165" t="s">
        <v>16327</v>
      </c>
      <c r="F1774" s="165" t="s">
        <v>16308</v>
      </c>
      <c r="G1774" s="165"/>
      <c r="H1774" s="165">
        <v>12600</v>
      </c>
      <c r="I1774" s="165"/>
      <c r="J1774" s="165"/>
      <c r="K1774" s="165"/>
      <c r="L1774" s="165">
        <v>12600</v>
      </c>
      <c r="M1774" s="165"/>
      <c r="N1774" s="165"/>
      <c r="O1774" s="337">
        <f t="shared" ref="O1774:O1781" si="132">G1774+H1774+I1774-J1774-K1774-L1774</f>
        <v>0</v>
      </c>
      <c r="P1774" s="165" t="s">
        <v>16324</v>
      </c>
      <c r="Q1774" s="165" t="s">
        <v>16325</v>
      </c>
      <c r="R1774" s="3">
        <f t="shared" si="131"/>
        <v>12600</v>
      </c>
      <c r="S1774" s="337">
        <v>12600</v>
      </c>
      <c r="T1774"/>
      <c r="U1774" s="3"/>
    </row>
    <row r="1775" spans="1:22" s="3" customFormat="1">
      <c r="A1775" s="165" t="s">
        <v>16326</v>
      </c>
      <c r="B1775" s="94">
        <v>1651</v>
      </c>
      <c r="C1775" s="165" t="s">
        <v>5820</v>
      </c>
      <c r="D1775" s="165">
        <v>2</v>
      </c>
      <c r="E1775" s="165" t="s">
        <v>16328</v>
      </c>
      <c r="F1775" s="165" t="s">
        <v>16317</v>
      </c>
      <c r="G1775" s="165"/>
      <c r="H1775" s="165">
        <v>12600</v>
      </c>
      <c r="I1775" s="165"/>
      <c r="J1775" s="165"/>
      <c r="K1775" s="165"/>
      <c r="L1775" s="165">
        <v>12600</v>
      </c>
      <c r="M1775" s="165"/>
      <c r="N1775" s="165"/>
      <c r="O1775" s="337">
        <f t="shared" si="132"/>
        <v>0</v>
      </c>
      <c r="P1775" s="165" t="s">
        <v>16445</v>
      </c>
      <c r="Q1775" s="3" t="s">
        <v>16446</v>
      </c>
      <c r="R1775" s="3">
        <f t="shared" si="131"/>
        <v>12600</v>
      </c>
      <c r="S1775" s="178">
        <v>12600</v>
      </c>
      <c r="U1775"/>
      <c r="V1775"/>
    </row>
    <row r="1776" spans="1:22" s="3" customFormat="1">
      <c r="A1776" s="165" t="s">
        <v>16326</v>
      </c>
      <c r="B1776" s="94">
        <v>1652</v>
      </c>
      <c r="C1776" s="165" t="s">
        <v>5820</v>
      </c>
      <c r="D1776" s="165">
        <v>3</v>
      </c>
      <c r="E1776" s="165" t="s">
        <v>16329</v>
      </c>
      <c r="F1776" s="165" t="s">
        <v>16318</v>
      </c>
      <c r="G1776" s="165"/>
      <c r="H1776" s="165">
        <v>12600</v>
      </c>
      <c r="I1776" s="165"/>
      <c r="J1776" s="165"/>
      <c r="K1776" s="165"/>
      <c r="L1776" s="165"/>
      <c r="M1776" s="165">
        <v>12600</v>
      </c>
      <c r="N1776" s="165"/>
      <c r="O1776" s="337">
        <f t="shared" si="132"/>
        <v>12600</v>
      </c>
      <c r="P1776" s="165"/>
      <c r="R1776" s="3">
        <f t="shared" si="131"/>
        <v>12600</v>
      </c>
      <c r="S1776" s="178"/>
      <c r="U1776"/>
      <c r="V1776"/>
    </row>
    <row r="1777" spans="1:22" s="3" customFormat="1">
      <c r="A1777" s="165" t="s">
        <v>16326</v>
      </c>
      <c r="B1777" s="94">
        <v>1653</v>
      </c>
      <c r="C1777" s="165" t="s">
        <v>5820</v>
      </c>
      <c r="D1777" s="165">
        <v>4</v>
      </c>
      <c r="E1777" s="165" t="s">
        <v>16330</v>
      </c>
      <c r="F1777" s="165" t="s">
        <v>16319</v>
      </c>
      <c r="G1777" s="165"/>
      <c r="H1777" s="165">
        <v>12600</v>
      </c>
      <c r="I1777" s="165"/>
      <c r="J1777" s="165"/>
      <c r="K1777" s="165"/>
      <c r="L1777" s="165"/>
      <c r="M1777" s="165">
        <v>12600</v>
      </c>
      <c r="N1777" s="165"/>
      <c r="O1777" s="337">
        <f t="shared" si="132"/>
        <v>12600</v>
      </c>
      <c r="P1777" s="165"/>
      <c r="R1777" s="3">
        <f t="shared" si="131"/>
        <v>12600</v>
      </c>
      <c r="S1777" s="178"/>
      <c r="U1777"/>
      <c r="V1777"/>
    </row>
    <row r="1778" spans="1:22" s="3" customFormat="1">
      <c r="A1778" s="165" t="s">
        <v>16326</v>
      </c>
      <c r="B1778" s="94">
        <v>1654</v>
      </c>
      <c r="C1778" s="165" t="s">
        <v>5820</v>
      </c>
      <c r="D1778" s="165">
        <v>5</v>
      </c>
      <c r="E1778" s="165" t="s">
        <v>16331</v>
      </c>
      <c r="F1778" s="165" t="s">
        <v>16320</v>
      </c>
      <c r="G1778" s="165"/>
      <c r="H1778" s="165">
        <v>12600</v>
      </c>
      <c r="I1778" s="165"/>
      <c r="J1778" s="165"/>
      <c r="K1778" s="165"/>
      <c r="L1778" s="165"/>
      <c r="M1778" s="165">
        <v>12600</v>
      </c>
      <c r="N1778" s="165"/>
      <c r="O1778" s="337">
        <f t="shared" si="132"/>
        <v>12600</v>
      </c>
      <c r="P1778" s="165"/>
      <c r="R1778" s="3">
        <f t="shared" si="131"/>
        <v>12600</v>
      </c>
      <c r="S1778" s="178"/>
      <c r="U1778"/>
      <c r="V1778"/>
    </row>
    <row r="1779" spans="1:22" s="3" customFormat="1">
      <c r="A1779" s="165" t="s">
        <v>16326</v>
      </c>
      <c r="B1779" s="94">
        <v>1655</v>
      </c>
      <c r="C1779" s="165" t="s">
        <v>5820</v>
      </c>
      <c r="D1779" s="165">
        <v>6</v>
      </c>
      <c r="E1779" s="165" t="s">
        <v>16332</v>
      </c>
      <c r="F1779" s="165" t="s">
        <v>16321</v>
      </c>
      <c r="G1779" s="165"/>
      <c r="H1779" s="165">
        <v>12600</v>
      </c>
      <c r="I1779" s="165"/>
      <c r="J1779" s="165"/>
      <c r="K1779" s="165"/>
      <c r="L1779" s="165"/>
      <c r="M1779" s="165">
        <v>12600</v>
      </c>
      <c r="N1779" s="165"/>
      <c r="O1779" s="337">
        <f t="shared" si="132"/>
        <v>12600</v>
      </c>
      <c r="P1779" s="165"/>
      <c r="R1779" s="3">
        <f t="shared" si="131"/>
        <v>12600</v>
      </c>
      <c r="S1779" s="178"/>
      <c r="U1779"/>
      <c r="V1779"/>
    </row>
    <row r="1780" spans="1:22" s="3" customFormat="1">
      <c r="A1780" s="165" t="s">
        <v>16326</v>
      </c>
      <c r="B1780" s="94">
        <v>1656</v>
      </c>
      <c r="C1780" s="165" t="s">
        <v>5820</v>
      </c>
      <c r="D1780" s="165">
        <v>7</v>
      </c>
      <c r="E1780" s="165" t="s">
        <v>16333</v>
      </c>
      <c r="F1780" s="165" t="s">
        <v>16322</v>
      </c>
      <c r="G1780" s="165"/>
      <c r="H1780" s="165">
        <v>12600</v>
      </c>
      <c r="I1780" s="165"/>
      <c r="J1780" s="165"/>
      <c r="K1780" s="165"/>
      <c r="L1780" s="165"/>
      <c r="M1780" s="165">
        <v>12600</v>
      </c>
      <c r="N1780" s="165"/>
      <c r="O1780" s="337">
        <f t="shared" si="132"/>
        <v>12600</v>
      </c>
      <c r="P1780" s="165"/>
      <c r="R1780" s="3">
        <f t="shared" si="131"/>
        <v>12600</v>
      </c>
      <c r="S1780" s="178"/>
      <c r="U1780"/>
      <c r="V1780"/>
    </row>
    <row r="1781" spans="1:22" s="3" customFormat="1">
      <c r="A1781" s="165" t="s">
        <v>16326</v>
      </c>
      <c r="B1781" s="94">
        <v>1657</v>
      </c>
      <c r="C1781" s="165" t="s">
        <v>5820</v>
      </c>
      <c r="D1781" s="165">
        <v>8</v>
      </c>
      <c r="E1781" s="165" t="s">
        <v>16334</v>
      </c>
      <c r="F1781" s="165" t="s">
        <v>16323</v>
      </c>
      <c r="G1781" s="165"/>
      <c r="H1781" s="165">
        <v>12600</v>
      </c>
      <c r="I1781" s="165"/>
      <c r="J1781" s="165"/>
      <c r="K1781" s="165"/>
      <c r="L1781" s="165"/>
      <c r="M1781" s="165">
        <v>12600</v>
      </c>
      <c r="N1781" s="165"/>
      <c r="O1781" s="337">
        <f t="shared" si="132"/>
        <v>12600</v>
      </c>
      <c r="P1781" s="165"/>
      <c r="R1781" s="3">
        <f t="shared" si="131"/>
        <v>12600</v>
      </c>
      <c r="S1781" s="178"/>
      <c r="U1781"/>
      <c r="V1781"/>
    </row>
    <row r="1782" spans="1:22" s="3" customFormat="1">
      <c r="A1782" s="165" t="s">
        <v>16338</v>
      </c>
      <c r="B1782" s="94">
        <v>1658</v>
      </c>
      <c r="C1782" s="165" t="s">
        <v>5208</v>
      </c>
      <c r="D1782" s="165"/>
      <c r="E1782" s="165" t="s">
        <v>16339</v>
      </c>
      <c r="F1782" s="165" t="s">
        <v>16340</v>
      </c>
      <c r="G1782" s="165"/>
      <c r="H1782" s="165">
        <v>120000</v>
      </c>
      <c r="I1782" s="165"/>
      <c r="J1782" s="165"/>
      <c r="K1782" s="165"/>
      <c r="L1782" s="165">
        <v>120000</v>
      </c>
      <c r="M1782" s="165"/>
      <c r="N1782" s="165"/>
      <c r="O1782" s="337">
        <f t="shared" ref="O1782:O1790" si="133">G1782+H1782+I1782-J1782-K1782-L1782</f>
        <v>0</v>
      </c>
      <c r="P1782" s="165" t="s">
        <v>16337</v>
      </c>
      <c r="Q1782" s="3" t="s">
        <v>16336</v>
      </c>
      <c r="R1782" s="3">
        <f t="shared" si="131"/>
        <v>120000</v>
      </c>
      <c r="S1782" s="178">
        <v>120000</v>
      </c>
      <c r="U1782"/>
      <c r="V1782"/>
    </row>
    <row r="1783" spans="1:22">
      <c r="A1783" s="165" t="s">
        <v>16343</v>
      </c>
      <c r="B1783" s="94">
        <v>1659</v>
      </c>
      <c r="C1783" s="165" t="s">
        <v>16344</v>
      </c>
      <c r="D1783" s="165">
        <v>1</v>
      </c>
      <c r="E1783" s="165" t="s">
        <v>16346</v>
      </c>
      <c r="F1783" s="165" t="s">
        <v>16345</v>
      </c>
      <c r="G1783" s="165"/>
      <c r="H1783" s="165">
        <v>12600</v>
      </c>
      <c r="I1783" s="165"/>
      <c r="J1783" s="165"/>
      <c r="K1783" s="165"/>
      <c r="L1783" s="165">
        <v>12600</v>
      </c>
      <c r="M1783" s="165"/>
      <c r="N1783" s="165"/>
      <c r="O1783" s="337">
        <f t="shared" si="133"/>
        <v>0</v>
      </c>
      <c r="P1783" s="165" t="s">
        <v>16361</v>
      </c>
      <c r="Q1783" s="165" t="s">
        <v>16362</v>
      </c>
      <c r="R1783" s="3">
        <f t="shared" si="131"/>
        <v>12600</v>
      </c>
      <c r="S1783" s="337">
        <v>12600</v>
      </c>
      <c r="T1783"/>
      <c r="U1783" s="3"/>
    </row>
    <row r="1784" spans="1:22" s="3" customFormat="1">
      <c r="A1784" s="165" t="s">
        <v>16343</v>
      </c>
      <c r="B1784" s="94">
        <v>1660</v>
      </c>
      <c r="C1784" s="165" t="s">
        <v>16344</v>
      </c>
      <c r="D1784" s="165">
        <v>2</v>
      </c>
      <c r="E1784" s="165" t="s">
        <v>16347</v>
      </c>
      <c r="F1784" s="165" t="s">
        <v>16354</v>
      </c>
      <c r="G1784" s="165"/>
      <c r="H1784" s="165">
        <v>12600</v>
      </c>
      <c r="I1784" s="165"/>
      <c r="J1784" s="165"/>
      <c r="K1784" s="165"/>
      <c r="L1784" s="165">
        <v>12600</v>
      </c>
      <c r="M1784" s="165"/>
      <c r="N1784" s="165"/>
      <c r="O1784" s="337">
        <f t="shared" si="133"/>
        <v>0</v>
      </c>
      <c r="P1784" s="165" t="s">
        <v>16443</v>
      </c>
      <c r="Q1784" s="3" t="s">
        <v>16444</v>
      </c>
      <c r="R1784" s="3">
        <f t="shared" si="131"/>
        <v>12600</v>
      </c>
      <c r="S1784" s="178">
        <v>12600</v>
      </c>
      <c r="U1784"/>
      <c r="V1784"/>
    </row>
    <row r="1785" spans="1:22" s="3" customFormat="1">
      <c r="A1785" s="165" t="s">
        <v>16343</v>
      </c>
      <c r="B1785" s="94">
        <v>1661</v>
      </c>
      <c r="C1785" s="165" t="s">
        <v>16344</v>
      </c>
      <c r="D1785" s="165">
        <v>3</v>
      </c>
      <c r="E1785" s="165" t="s">
        <v>16348</v>
      </c>
      <c r="F1785" s="165" t="s">
        <v>16355</v>
      </c>
      <c r="G1785" s="165"/>
      <c r="H1785" s="165">
        <v>12600</v>
      </c>
      <c r="I1785" s="165"/>
      <c r="J1785" s="165"/>
      <c r="K1785" s="165"/>
      <c r="L1785" s="165"/>
      <c r="M1785" s="165">
        <v>12600</v>
      </c>
      <c r="N1785" s="165"/>
      <c r="O1785" s="337">
        <f t="shared" si="133"/>
        <v>12600</v>
      </c>
      <c r="P1785" s="165"/>
      <c r="R1785" s="3">
        <f t="shared" si="131"/>
        <v>12600</v>
      </c>
      <c r="S1785" s="178"/>
      <c r="U1785"/>
      <c r="V1785"/>
    </row>
    <row r="1786" spans="1:22" s="3" customFormat="1">
      <c r="A1786" s="165" t="s">
        <v>16343</v>
      </c>
      <c r="B1786" s="94">
        <v>1662</v>
      </c>
      <c r="C1786" s="165" t="s">
        <v>16344</v>
      </c>
      <c r="D1786" s="165">
        <v>4</v>
      </c>
      <c r="E1786" s="165" t="s">
        <v>16349</v>
      </c>
      <c r="F1786" s="165" t="s">
        <v>16356</v>
      </c>
      <c r="G1786" s="165"/>
      <c r="H1786" s="165">
        <v>12600</v>
      </c>
      <c r="I1786" s="165"/>
      <c r="J1786" s="165"/>
      <c r="K1786" s="165"/>
      <c r="L1786" s="165"/>
      <c r="M1786" s="165">
        <v>12600</v>
      </c>
      <c r="N1786" s="165"/>
      <c r="O1786" s="337">
        <f t="shared" si="133"/>
        <v>12600</v>
      </c>
      <c r="P1786" s="165"/>
      <c r="R1786" s="3">
        <f t="shared" si="131"/>
        <v>12600</v>
      </c>
      <c r="S1786" s="178"/>
      <c r="U1786"/>
      <c r="V1786"/>
    </row>
    <row r="1787" spans="1:22" s="3" customFormat="1">
      <c r="A1787" s="165" t="s">
        <v>16343</v>
      </c>
      <c r="B1787" s="94">
        <v>1663</v>
      </c>
      <c r="C1787" s="165" t="s">
        <v>16344</v>
      </c>
      <c r="D1787" s="165">
        <v>5</v>
      </c>
      <c r="E1787" s="165" t="s">
        <v>16350</v>
      </c>
      <c r="F1787" s="165" t="s">
        <v>16357</v>
      </c>
      <c r="G1787" s="165"/>
      <c r="H1787" s="165">
        <v>12600</v>
      </c>
      <c r="I1787" s="165"/>
      <c r="J1787" s="165"/>
      <c r="K1787" s="165"/>
      <c r="L1787" s="165"/>
      <c r="M1787" s="165">
        <v>12600</v>
      </c>
      <c r="N1787" s="165"/>
      <c r="O1787" s="337">
        <f t="shared" si="133"/>
        <v>12600</v>
      </c>
      <c r="P1787" s="165"/>
      <c r="R1787" s="3">
        <f t="shared" si="131"/>
        <v>12600</v>
      </c>
      <c r="S1787" s="178"/>
      <c r="U1787"/>
      <c r="V1787"/>
    </row>
    <row r="1788" spans="1:22" s="3" customFormat="1">
      <c r="A1788" s="165" t="s">
        <v>16343</v>
      </c>
      <c r="B1788" s="94">
        <v>1664</v>
      </c>
      <c r="C1788" s="165" t="s">
        <v>16344</v>
      </c>
      <c r="D1788" s="165">
        <v>6</v>
      </c>
      <c r="E1788" s="165" t="s">
        <v>16351</v>
      </c>
      <c r="F1788" s="165" t="s">
        <v>16358</v>
      </c>
      <c r="G1788" s="165"/>
      <c r="H1788" s="165">
        <v>12600</v>
      </c>
      <c r="I1788" s="165"/>
      <c r="J1788" s="165"/>
      <c r="K1788" s="165"/>
      <c r="L1788" s="165"/>
      <c r="M1788" s="165">
        <v>12600</v>
      </c>
      <c r="N1788" s="165"/>
      <c r="O1788" s="337">
        <f t="shared" si="133"/>
        <v>12600</v>
      </c>
      <c r="P1788" s="165"/>
      <c r="R1788" s="3">
        <f t="shared" si="131"/>
        <v>12600</v>
      </c>
      <c r="S1788" s="178"/>
      <c r="U1788"/>
      <c r="V1788"/>
    </row>
    <row r="1789" spans="1:22" s="3" customFormat="1">
      <c r="A1789" s="165" t="s">
        <v>16343</v>
      </c>
      <c r="B1789" s="94">
        <v>1665</v>
      </c>
      <c r="C1789" s="165" t="s">
        <v>16344</v>
      </c>
      <c r="D1789" s="165">
        <v>7</v>
      </c>
      <c r="E1789" s="165" t="s">
        <v>16352</v>
      </c>
      <c r="F1789" s="165" t="s">
        <v>16359</v>
      </c>
      <c r="G1789" s="165"/>
      <c r="H1789" s="165">
        <v>12600</v>
      </c>
      <c r="I1789" s="165"/>
      <c r="J1789" s="165"/>
      <c r="K1789" s="165"/>
      <c r="L1789" s="165"/>
      <c r="M1789" s="165">
        <v>12600</v>
      </c>
      <c r="N1789" s="165"/>
      <c r="O1789" s="337">
        <f t="shared" si="133"/>
        <v>12600</v>
      </c>
      <c r="P1789" s="165"/>
      <c r="R1789" s="3">
        <f t="shared" si="131"/>
        <v>12600</v>
      </c>
      <c r="S1789" s="178"/>
      <c r="U1789"/>
      <c r="V1789"/>
    </row>
    <row r="1790" spans="1:22" s="3" customFormat="1">
      <c r="A1790" s="165" t="s">
        <v>16343</v>
      </c>
      <c r="B1790" s="94">
        <v>1666</v>
      </c>
      <c r="C1790" s="165" t="s">
        <v>16344</v>
      </c>
      <c r="D1790" s="165">
        <v>8</v>
      </c>
      <c r="E1790" s="165" t="s">
        <v>16353</v>
      </c>
      <c r="F1790" s="165" t="s">
        <v>16360</v>
      </c>
      <c r="G1790" s="165"/>
      <c r="H1790" s="165">
        <v>12600</v>
      </c>
      <c r="I1790" s="165"/>
      <c r="J1790" s="165"/>
      <c r="K1790" s="165"/>
      <c r="L1790" s="165"/>
      <c r="M1790" s="165">
        <v>12600</v>
      </c>
      <c r="N1790" s="165"/>
      <c r="O1790" s="337">
        <f t="shared" si="133"/>
        <v>12600</v>
      </c>
      <c r="P1790" s="165"/>
      <c r="R1790" s="3">
        <f t="shared" si="131"/>
        <v>12600</v>
      </c>
      <c r="S1790" s="178"/>
      <c r="U1790"/>
      <c r="V1790"/>
    </row>
    <row r="1791" spans="1:22">
      <c r="A1791" s="165" t="s">
        <v>16378</v>
      </c>
      <c r="B1791" s="94">
        <v>1667</v>
      </c>
      <c r="C1791" s="165" t="s">
        <v>4230</v>
      </c>
      <c r="D1791" s="165">
        <v>1</v>
      </c>
      <c r="E1791" s="165" t="s">
        <v>16380</v>
      </c>
      <c r="F1791" s="165" t="s">
        <v>16379</v>
      </c>
      <c r="G1791" s="165"/>
      <c r="H1791" s="165">
        <v>3360</v>
      </c>
      <c r="I1791" s="165"/>
      <c r="J1791" s="165"/>
      <c r="K1791" s="165"/>
      <c r="L1791" s="165">
        <v>3360</v>
      </c>
      <c r="M1791" s="165"/>
      <c r="N1791" s="165"/>
      <c r="O1791" s="337">
        <f t="shared" ref="O1791:O1798" si="134">G1791+H1791+I1791-J1791-K1791-L1791</f>
        <v>0</v>
      </c>
      <c r="P1791" s="165" t="s">
        <v>16403</v>
      </c>
      <c r="Q1791" s="165" t="s">
        <v>16403</v>
      </c>
      <c r="R1791" s="3">
        <f t="shared" si="131"/>
        <v>3360</v>
      </c>
      <c r="S1791" s="337">
        <v>3360</v>
      </c>
      <c r="T1791"/>
      <c r="U1791" s="3"/>
    </row>
    <row r="1792" spans="1:22" s="3" customFormat="1">
      <c r="A1792" s="165" t="s">
        <v>16378</v>
      </c>
      <c r="B1792" s="94">
        <v>1668</v>
      </c>
      <c r="C1792" s="165" t="s">
        <v>4230</v>
      </c>
      <c r="D1792" s="165">
        <v>2</v>
      </c>
      <c r="E1792" s="165" t="s">
        <v>16381</v>
      </c>
      <c r="F1792" s="165" t="s">
        <v>16392</v>
      </c>
      <c r="G1792" s="165"/>
      <c r="H1792" s="165">
        <v>3360</v>
      </c>
      <c r="I1792" s="165"/>
      <c r="J1792" s="165"/>
      <c r="K1792" s="165"/>
      <c r="L1792" s="165">
        <v>3360</v>
      </c>
      <c r="M1792" s="165"/>
      <c r="N1792" s="165"/>
      <c r="O1792" s="337">
        <f t="shared" si="134"/>
        <v>0</v>
      </c>
      <c r="P1792" s="165" t="s">
        <v>16406</v>
      </c>
      <c r="Q1792" s="3" t="s">
        <v>16407</v>
      </c>
      <c r="R1792" s="3">
        <f t="shared" si="131"/>
        <v>3360</v>
      </c>
      <c r="S1792" s="178">
        <v>3360</v>
      </c>
      <c r="U1792"/>
      <c r="V1792"/>
    </row>
    <row r="1793" spans="1:22" s="3" customFormat="1">
      <c r="A1793" s="165" t="s">
        <v>16378</v>
      </c>
      <c r="B1793" s="94">
        <v>1669</v>
      </c>
      <c r="C1793" s="165" t="s">
        <v>4230</v>
      </c>
      <c r="D1793" s="165">
        <v>3</v>
      </c>
      <c r="E1793" s="165" t="s">
        <v>16382</v>
      </c>
      <c r="F1793" s="165" t="s">
        <v>16393</v>
      </c>
      <c r="G1793" s="165"/>
      <c r="H1793" s="165">
        <v>3360</v>
      </c>
      <c r="I1793" s="165"/>
      <c r="J1793" s="165"/>
      <c r="K1793" s="165"/>
      <c r="L1793" s="165">
        <v>3360</v>
      </c>
      <c r="M1793" s="165"/>
      <c r="N1793" s="165"/>
      <c r="O1793" s="337">
        <f t="shared" si="134"/>
        <v>0</v>
      </c>
      <c r="P1793" s="165" t="s">
        <v>16424</v>
      </c>
      <c r="Q1793" s="3" t="s">
        <v>16425</v>
      </c>
      <c r="R1793" s="3">
        <f t="shared" si="131"/>
        <v>3360</v>
      </c>
      <c r="S1793" s="178">
        <v>3360</v>
      </c>
      <c r="U1793"/>
      <c r="V1793"/>
    </row>
    <row r="1794" spans="1:22" s="3" customFormat="1">
      <c r="A1794" s="165" t="s">
        <v>16378</v>
      </c>
      <c r="B1794" s="94">
        <v>1670</v>
      </c>
      <c r="C1794" s="165" t="s">
        <v>4230</v>
      </c>
      <c r="D1794" s="165">
        <v>4</v>
      </c>
      <c r="E1794" s="165" t="s">
        <v>16383</v>
      </c>
      <c r="F1794" s="165" t="s">
        <v>16394</v>
      </c>
      <c r="G1794" s="165"/>
      <c r="H1794" s="165">
        <v>3360</v>
      </c>
      <c r="I1794" s="165"/>
      <c r="J1794" s="165"/>
      <c r="K1794" s="165"/>
      <c r="L1794" s="165">
        <v>3360</v>
      </c>
      <c r="M1794" s="165"/>
      <c r="N1794" s="165"/>
      <c r="O1794" s="337">
        <f t="shared" si="134"/>
        <v>0</v>
      </c>
      <c r="P1794" s="165" t="s">
        <v>16470</v>
      </c>
      <c r="Q1794" s="3" t="s">
        <v>16471</v>
      </c>
      <c r="R1794" s="3">
        <f t="shared" si="131"/>
        <v>3360</v>
      </c>
      <c r="S1794" s="178">
        <v>3360</v>
      </c>
      <c r="U1794"/>
      <c r="V1794"/>
    </row>
    <row r="1795" spans="1:22" s="3" customFormat="1">
      <c r="A1795" s="165" t="s">
        <v>16378</v>
      </c>
      <c r="B1795" s="94">
        <v>1671</v>
      </c>
      <c r="C1795" s="165" t="s">
        <v>4230</v>
      </c>
      <c r="D1795" s="165">
        <v>5</v>
      </c>
      <c r="E1795" s="165" t="s">
        <v>16384</v>
      </c>
      <c r="F1795" s="165" t="s">
        <v>16395</v>
      </c>
      <c r="G1795" s="165"/>
      <c r="H1795" s="165">
        <v>3360</v>
      </c>
      <c r="I1795" s="165"/>
      <c r="J1795" s="165"/>
      <c r="K1795" s="165"/>
      <c r="L1795" s="165">
        <v>3360</v>
      </c>
      <c r="M1795" s="165"/>
      <c r="N1795" s="165"/>
      <c r="O1795" s="337">
        <f t="shared" si="134"/>
        <v>0</v>
      </c>
      <c r="P1795" s="165" t="s">
        <v>16523</v>
      </c>
      <c r="Q1795" s="3" t="s">
        <v>16524</v>
      </c>
      <c r="R1795" s="3">
        <f t="shared" si="131"/>
        <v>3360</v>
      </c>
      <c r="S1795" s="178">
        <v>3360</v>
      </c>
      <c r="U1795"/>
      <c r="V1795"/>
    </row>
    <row r="1796" spans="1:22" s="3" customFormat="1">
      <c r="A1796" s="165" t="s">
        <v>16378</v>
      </c>
      <c r="B1796" s="94">
        <v>1672</v>
      </c>
      <c r="C1796" s="165" t="s">
        <v>4230</v>
      </c>
      <c r="D1796" s="165">
        <v>6</v>
      </c>
      <c r="E1796" s="165" t="s">
        <v>16385</v>
      </c>
      <c r="F1796" s="165" t="s">
        <v>16396</v>
      </c>
      <c r="G1796" s="165"/>
      <c r="H1796" s="165">
        <v>3360</v>
      </c>
      <c r="I1796" s="165"/>
      <c r="J1796" s="165"/>
      <c r="K1796" s="165"/>
      <c r="L1796" s="165"/>
      <c r="M1796" s="165">
        <v>3360</v>
      </c>
      <c r="N1796" s="165"/>
      <c r="O1796" s="337">
        <f t="shared" si="134"/>
        <v>3360</v>
      </c>
      <c r="P1796" s="165"/>
      <c r="R1796" s="3">
        <f t="shared" si="131"/>
        <v>3360</v>
      </c>
      <c r="S1796" s="178"/>
      <c r="U1796"/>
      <c r="V1796"/>
    </row>
    <row r="1797" spans="1:22" s="3" customFormat="1">
      <c r="A1797" s="165" t="s">
        <v>16378</v>
      </c>
      <c r="B1797" s="94">
        <v>1673</v>
      </c>
      <c r="C1797" s="165" t="s">
        <v>4230</v>
      </c>
      <c r="D1797" s="165">
        <v>7</v>
      </c>
      <c r="E1797" s="165" t="s">
        <v>16386</v>
      </c>
      <c r="F1797" s="165" t="s">
        <v>16397</v>
      </c>
      <c r="G1797" s="165"/>
      <c r="H1797" s="165">
        <v>3360</v>
      </c>
      <c r="I1797" s="165"/>
      <c r="J1797" s="165"/>
      <c r="K1797" s="165"/>
      <c r="L1797" s="165"/>
      <c r="M1797" s="165">
        <v>3360</v>
      </c>
      <c r="N1797" s="165"/>
      <c r="O1797" s="337">
        <f t="shared" si="134"/>
        <v>3360</v>
      </c>
      <c r="P1797" s="165"/>
      <c r="R1797" s="3">
        <f t="shared" si="131"/>
        <v>3360</v>
      </c>
      <c r="S1797" s="178"/>
      <c r="U1797"/>
      <c r="V1797"/>
    </row>
    <row r="1798" spans="1:22" s="3" customFormat="1">
      <c r="A1798" s="165" t="s">
        <v>16378</v>
      </c>
      <c r="B1798" s="94">
        <v>1674</v>
      </c>
      <c r="C1798" s="165" t="s">
        <v>4230</v>
      </c>
      <c r="D1798" s="165">
        <v>8</v>
      </c>
      <c r="E1798" s="165" t="s">
        <v>16387</v>
      </c>
      <c r="F1798" s="165" t="s">
        <v>16398</v>
      </c>
      <c r="G1798" s="165"/>
      <c r="H1798" s="165">
        <v>3360</v>
      </c>
      <c r="I1798" s="165"/>
      <c r="J1798" s="165"/>
      <c r="K1798" s="165"/>
      <c r="L1798" s="165"/>
      <c r="M1798" s="165">
        <v>3360</v>
      </c>
      <c r="N1798" s="165"/>
      <c r="O1798" s="337">
        <f t="shared" si="134"/>
        <v>3360</v>
      </c>
      <c r="P1798" s="165"/>
      <c r="R1798" s="3">
        <f t="shared" si="131"/>
        <v>3360</v>
      </c>
      <c r="S1798" s="178"/>
      <c r="U1798"/>
      <c r="V1798"/>
    </row>
    <row r="1799" spans="1:22" s="3" customFormat="1">
      <c r="A1799" s="165" t="s">
        <v>16378</v>
      </c>
      <c r="B1799" s="94">
        <v>1675</v>
      </c>
      <c r="C1799" s="165" t="s">
        <v>4230</v>
      </c>
      <c r="D1799" s="165">
        <v>9</v>
      </c>
      <c r="E1799" s="165" t="s">
        <v>16388</v>
      </c>
      <c r="F1799" s="165" t="s">
        <v>16399</v>
      </c>
      <c r="G1799" s="165"/>
      <c r="H1799" s="165">
        <v>3360</v>
      </c>
      <c r="I1799" s="165"/>
      <c r="J1799" s="165"/>
      <c r="K1799" s="165"/>
      <c r="L1799" s="165"/>
      <c r="M1799" s="165">
        <v>3360</v>
      </c>
      <c r="N1799" s="165"/>
      <c r="O1799" s="337">
        <f t="shared" ref="O1799:O1810" si="135">G1799+H1799+I1799-J1799-K1799-L1799</f>
        <v>3360</v>
      </c>
      <c r="P1799" s="165"/>
      <c r="R1799" s="3">
        <f t="shared" si="131"/>
        <v>3360</v>
      </c>
      <c r="S1799" s="178"/>
      <c r="U1799"/>
      <c r="V1799"/>
    </row>
    <row r="1800" spans="1:22" s="3" customFormat="1">
      <c r="A1800" s="165" t="s">
        <v>16378</v>
      </c>
      <c r="B1800" s="94">
        <v>1676</v>
      </c>
      <c r="C1800" s="165" t="s">
        <v>4230</v>
      </c>
      <c r="D1800" s="165">
        <v>10</v>
      </c>
      <c r="E1800" s="165" t="s">
        <v>16389</v>
      </c>
      <c r="F1800" s="165" t="s">
        <v>16400</v>
      </c>
      <c r="G1800" s="165"/>
      <c r="H1800" s="165">
        <v>3360</v>
      </c>
      <c r="I1800" s="165"/>
      <c r="J1800" s="165"/>
      <c r="K1800" s="165"/>
      <c r="L1800" s="165"/>
      <c r="M1800" s="165">
        <v>3360</v>
      </c>
      <c r="N1800" s="165"/>
      <c r="O1800" s="337">
        <f t="shared" si="135"/>
        <v>3360</v>
      </c>
      <c r="P1800" s="165"/>
      <c r="R1800" s="3">
        <f t="shared" si="131"/>
        <v>3360</v>
      </c>
      <c r="S1800" s="178"/>
      <c r="U1800"/>
      <c r="V1800"/>
    </row>
    <row r="1801" spans="1:22" s="3" customFormat="1">
      <c r="A1801" s="165" t="s">
        <v>16378</v>
      </c>
      <c r="B1801" s="94">
        <v>1677</v>
      </c>
      <c r="C1801" s="165" t="s">
        <v>4230</v>
      </c>
      <c r="D1801" s="165">
        <v>11</v>
      </c>
      <c r="E1801" s="165" t="s">
        <v>16390</v>
      </c>
      <c r="F1801" s="165" t="s">
        <v>16401</v>
      </c>
      <c r="G1801" s="165"/>
      <c r="H1801" s="165">
        <v>3360</v>
      </c>
      <c r="I1801" s="165"/>
      <c r="J1801" s="165"/>
      <c r="K1801" s="165"/>
      <c r="L1801" s="165"/>
      <c r="M1801" s="165">
        <v>3360</v>
      </c>
      <c r="N1801" s="165"/>
      <c r="O1801" s="337">
        <f t="shared" si="135"/>
        <v>3360</v>
      </c>
      <c r="P1801" s="165"/>
      <c r="R1801" s="3">
        <f t="shared" si="131"/>
        <v>3360</v>
      </c>
      <c r="S1801" s="178"/>
      <c r="U1801"/>
      <c r="V1801"/>
    </row>
    <row r="1802" spans="1:22" s="3" customFormat="1">
      <c r="A1802" s="165" t="s">
        <v>16378</v>
      </c>
      <c r="B1802" s="94">
        <v>1678</v>
      </c>
      <c r="C1802" s="165" t="s">
        <v>4230</v>
      </c>
      <c r="D1802" s="165">
        <v>12</v>
      </c>
      <c r="E1802" s="165" t="s">
        <v>16391</v>
      </c>
      <c r="F1802" s="165" t="s">
        <v>16402</v>
      </c>
      <c r="G1802" s="165"/>
      <c r="H1802" s="165">
        <v>3360</v>
      </c>
      <c r="I1802" s="165"/>
      <c r="J1802" s="165"/>
      <c r="K1802" s="165"/>
      <c r="L1802" s="165"/>
      <c r="M1802" s="165">
        <v>3360</v>
      </c>
      <c r="N1802" s="165"/>
      <c r="O1802" s="337">
        <f t="shared" si="135"/>
        <v>3360</v>
      </c>
      <c r="P1802" s="165"/>
      <c r="R1802" s="3">
        <f t="shared" si="131"/>
        <v>3360</v>
      </c>
      <c r="S1802" s="178"/>
      <c r="U1802"/>
      <c r="V1802"/>
    </row>
    <row r="1803" spans="1:22">
      <c r="A1803" s="165" t="s">
        <v>16426</v>
      </c>
      <c r="B1803" s="94">
        <v>1679</v>
      </c>
      <c r="C1803" s="165" t="s">
        <v>16427</v>
      </c>
      <c r="D1803" s="165">
        <v>1</v>
      </c>
      <c r="E1803" s="165" t="s">
        <v>16429</v>
      </c>
      <c r="F1803" s="165" t="s">
        <v>16428</v>
      </c>
      <c r="G1803" s="165"/>
      <c r="H1803" s="165">
        <v>11970</v>
      </c>
      <c r="I1803" s="165"/>
      <c r="J1803" s="165"/>
      <c r="K1803" s="165"/>
      <c r="L1803" s="165">
        <v>11970</v>
      </c>
      <c r="M1803" s="165"/>
      <c r="N1803" s="165"/>
      <c r="O1803" s="337">
        <f t="shared" si="135"/>
        <v>0</v>
      </c>
      <c r="P1803" s="165" t="s">
        <v>16440</v>
      </c>
      <c r="Q1803" s="165" t="s">
        <v>16440</v>
      </c>
      <c r="R1803" s="3">
        <f t="shared" si="131"/>
        <v>11970</v>
      </c>
      <c r="S1803" s="337">
        <v>11970</v>
      </c>
      <c r="T1803"/>
      <c r="U1803" s="3"/>
    </row>
    <row r="1804" spans="1:22" s="3" customFormat="1">
      <c r="A1804" s="165" t="s">
        <v>16426</v>
      </c>
      <c r="B1804" s="94">
        <v>1680</v>
      </c>
      <c r="C1804" s="165" t="s">
        <v>16427</v>
      </c>
      <c r="D1804" s="165">
        <v>2</v>
      </c>
      <c r="E1804" s="165" t="s">
        <v>16430</v>
      </c>
      <c r="F1804" s="165" t="s">
        <v>16438</v>
      </c>
      <c r="G1804" s="165"/>
      <c r="H1804" s="165">
        <v>11970</v>
      </c>
      <c r="I1804" s="165"/>
      <c r="J1804" s="165"/>
      <c r="K1804" s="165"/>
      <c r="L1804" s="165">
        <v>11970</v>
      </c>
      <c r="M1804" s="165"/>
      <c r="N1804" s="165"/>
      <c r="O1804" s="337">
        <f t="shared" si="135"/>
        <v>0</v>
      </c>
      <c r="P1804" s="165" t="s">
        <v>16529</v>
      </c>
      <c r="Q1804" s="3" t="s">
        <v>16530</v>
      </c>
      <c r="R1804" s="3">
        <f t="shared" si="131"/>
        <v>11970</v>
      </c>
      <c r="S1804" s="178">
        <v>11970</v>
      </c>
      <c r="U1804"/>
      <c r="V1804"/>
    </row>
    <row r="1805" spans="1:22" s="3" customFormat="1">
      <c r="A1805" s="165" t="s">
        <v>16426</v>
      </c>
      <c r="B1805" s="94">
        <v>1681</v>
      </c>
      <c r="C1805" s="165" t="s">
        <v>16427</v>
      </c>
      <c r="D1805" s="165">
        <v>3</v>
      </c>
      <c r="E1805" s="165" t="s">
        <v>16431</v>
      </c>
      <c r="F1805" s="165" t="s">
        <v>16291</v>
      </c>
      <c r="G1805" s="165"/>
      <c r="H1805" s="165">
        <v>11970</v>
      </c>
      <c r="I1805" s="165"/>
      <c r="J1805" s="165"/>
      <c r="K1805" s="165"/>
      <c r="L1805" s="165"/>
      <c r="M1805" s="165">
        <v>11970</v>
      </c>
      <c r="N1805" s="165"/>
      <c r="O1805" s="337">
        <f t="shared" si="135"/>
        <v>11970</v>
      </c>
      <c r="P1805" s="165"/>
      <c r="R1805" s="3">
        <f t="shared" si="131"/>
        <v>11970</v>
      </c>
      <c r="S1805" s="178"/>
      <c r="U1805"/>
      <c r="V1805"/>
    </row>
    <row r="1806" spans="1:22" s="3" customFormat="1">
      <c r="A1806" s="165" t="s">
        <v>16426</v>
      </c>
      <c r="B1806" s="94">
        <v>1682</v>
      </c>
      <c r="C1806" s="165" t="s">
        <v>16427</v>
      </c>
      <c r="D1806" s="165">
        <v>4</v>
      </c>
      <c r="E1806" s="165" t="s">
        <v>16432</v>
      </c>
      <c r="F1806" s="165" t="s">
        <v>11009</v>
      </c>
      <c r="G1806" s="165"/>
      <c r="H1806" s="165">
        <v>11970</v>
      </c>
      <c r="I1806" s="165"/>
      <c r="J1806" s="165"/>
      <c r="K1806" s="165"/>
      <c r="L1806" s="165"/>
      <c r="M1806" s="165">
        <v>11970</v>
      </c>
      <c r="N1806" s="165"/>
      <c r="O1806" s="337">
        <f t="shared" si="135"/>
        <v>11970</v>
      </c>
      <c r="P1806" s="165"/>
      <c r="R1806" s="3">
        <f t="shared" si="131"/>
        <v>11970</v>
      </c>
      <c r="S1806" s="178"/>
      <c r="U1806"/>
      <c r="V1806"/>
    </row>
    <row r="1807" spans="1:22" s="3" customFormat="1">
      <c r="A1807" s="165" t="s">
        <v>16426</v>
      </c>
      <c r="B1807" s="94">
        <v>1683</v>
      </c>
      <c r="C1807" s="165" t="s">
        <v>16427</v>
      </c>
      <c r="D1807" s="165">
        <v>5</v>
      </c>
      <c r="E1807" s="165" t="s">
        <v>16433</v>
      </c>
      <c r="F1807" s="165" t="s">
        <v>16293</v>
      </c>
      <c r="G1807" s="165"/>
      <c r="H1807" s="165">
        <v>11970</v>
      </c>
      <c r="I1807" s="165"/>
      <c r="J1807" s="165"/>
      <c r="K1807" s="165"/>
      <c r="L1807" s="165"/>
      <c r="M1807" s="165">
        <v>11970</v>
      </c>
      <c r="N1807" s="165"/>
      <c r="O1807" s="337">
        <f t="shared" si="135"/>
        <v>11970</v>
      </c>
      <c r="P1807" s="165"/>
      <c r="R1807" s="3">
        <f t="shared" si="131"/>
        <v>11970</v>
      </c>
      <c r="S1807" s="178"/>
      <c r="U1807"/>
      <c r="V1807"/>
    </row>
    <row r="1808" spans="1:22" s="3" customFormat="1">
      <c r="A1808" s="165" t="s">
        <v>16426</v>
      </c>
      <c r="B1808" s="94">
        <v>1684</v>
      </c>
      <c r="C1808" s="165" t="s">
        <v>16427</v>
      </c>
      <c r="D1808" s="165">
        <v>6</v>
      </c>
      <c r="E1808" s="165" t="s">
        <v>16434</v>
      </c>
      <c r="F1808" s="165" t="s">
        <v>16294</v>
      </c>
      <c r="G1808" s="165"/>
      <c r="H1808" s="165">
        <v>11970</v>
      </c>
      <c r="I1808" s="165"/>
      <c r="J1808" s="165"/>
      <c r="K1808" s="165"/>
      <c r="L1808" s="165"/>
      <c r="M1808" s="165">
        <v>11970</v>
      </c>
      <c r="N1808" s="165"/>
      <c r="O1808" s="337">
        <f t="shared" si="135"/>
        <v>11970</v>
      </c>
      <c r="P1808" s="165"/>
      <c r="R1808" s="3">
        <f t="shared" si="131"/>
        <v>11970</v>
      </c>
      <c r="S1808" s="178"/>
      <c r="U1808"/>
      <c r="V1808"/>
    </row>
    <row r="1809" spans="1:22" s="3" customFormat="1">
      <c r="A1809" s="165" t="s">
        <v>16426</v>
      </c>
      <c r="B1809" s="94">
        <v>1685</v>
      </c>
      <c r="C1809" s="165" t="s">
        <v>16427</v>
      </c>
      <c r="D1809" s="165">
        <v>7</v>
      </c>
      <c r="E1809" s="165" t="s">
        <v>16435</v>
      </c>
      <c r="F1809" s="165" t="s">
        <v>16439</v>
      </c>
      <c r="G1809" s="165"/>
      <c r="H1809" s="165">
        <v>11970</v>
      </c>
      <c r="I1809" s="165"/>
      <c r="J1809" s="165"/>
      <c r="K1809" s="165"/>
      <c r="L1809" s="165"/>
      <c r="M1809" s="165">
        <v>11970</v>
      </c>
      <c r="N1809" s="165"/>
      <c r="O1809" s="337">
        <f t="shared" si="135"/>
        <v>11970</v>
      </c>
      <c r="P1809" s="165"/>
      <c r="R1809" s="3">
        <f t="shared" si="131"/>
        <v>11970</v>
      </c>
      <c r="S1809" s="178"/>
      <c r="U1809"/>
      <c r="V1809"/>
    </row>
    <row r="1810" spans="1:22" s="3" customFormat="1">
      <c r="A1810" s="165" t="s">
        <v>16426</v>
      </c>
      <c r="B1810" s="94">
        <v>1686</v>
      </c>
      <c r="C1810" s="165" t="s">
        <v>16427</v>
      </c>
      <c r="D1810" s="165">
        <v>8</v>
      </c>
      <c r="E1810" s="165" t="s">
        <v>16436</v>
      </c>
      <c r="F1810" s="165" t="s">
        <v>16437</v>
      </c>
      <c r="G1810" s="165"/>
      <c r="H1810" s="165">
        <v>11970</v>
      </c>
      <c r="I1810" s="165"/>
      <c r="J1810" s="165"/>
      <c r="K1810" s="165"/>
      <c r="L1810" s="165"/>
      <c r="M1810" s="165">
        <v>11970</v>
      </c>
      <c r="N1810" s="165"/>
      <c r="O1810" s="337">
        <f t="shared" si="135"/>
        <v>11970</v>
      </c>
      <c r="P1810" s="165"/>
      <c r="R1810" s="3">
        <f t="shared" si="131"/>
        <v>11970</v>
      </c>
      <c r="S1810" s="178"/>
      <c r="U1810"/>
      <c r="V1810"/>
    </row>
    <row r="1811" spans="1:22">
      <c r="A1811" s="165" t="s">
        <v>16453</v>
      </c>
      <c r="B1811" s="94">
        <v>1687</v>
      </c>
      <c r="C1811" s="165" t="s">
        <v>16454</v>
      </c>
      <c r="D1811" s="165">
        <v>1</v>
      </c>
      <c r="E1811" s="165" t="s">
        <v>16455</v>
      </c>
      <c r="F1811" s="165" t="s">
        <v>16354</v>
      </c>
      <c r="G1811" s="165"/>
      <c r="H1811" s="165">
        <v>20475</v>
      </c>
      <c r="I1811" s="165"/>
      <c r="J1811" s="165"/>
      <c r="K1811" s="165"/>
      <c r="L1811" s="165">
        <v>20475</v>
      </c>
      <c r="M1811" s="165"/>
      <c r="N1811" s="165"/>
      <c r="O1811" s="337">
        <f t="shared" ref="O1811" si="136">G1811+H1811+I1811-J1811-K1811-L1811</f>
        <v>0</v>
      </c>
      <c r="P1811" s="165" t="s">
        <v>16469</v>
      </c>
      <c r="Q1811" s="165" t="s">
        <v>16452</v>
      </c>
      <c r="R1811" s="3">
        <f>G1811+H1811+I1811</f>
        <v>20475</v>
      </c>
      <c r="S1811" s="337">
        <v>20475</v>
      </c>
      <c r="T1811"/>
      <c r="U1811" s="3"/>
    </row>
    <row r="1812" spans="1:22" s="3" customFormat="1">
      <c r="A1812" s="165" t="s">
        <v>16453</v>
      </c>
      <c r="B1812" s="94">
        <v>1688</v>
      </c>
      <c r="C1812" s="165" t="s">
        <v>16454</v>
      </c>
      <c r="D1812" s="165">
        <v>2</v>
      </c>
      <c r="E1812" s="165" t="s">
        <v>16456</v>
      </c>
      <c r="F1812" s="165" t="s">
        <v>16355</v>
      </c>
      <c r="G1812" s="165"/>
      <c r="H1812" s="165"/>
      <c r="I1812" s="165">
        <v>20475</v>
      </c>
      <c r="J1812" s="165"/>
      <c r="K1812" s="165"/>
      <c r="L1812" s="165"/>
      <c r="M1812" s="165">
        <v>20475</v>
      </c>
      <c r="N1812" s="165"/>
      <c r="O1812" s="337">
        <f t="shared" ref="O1812:O1819" si="137">G1812+H1812+I1812-J1812-K1812-L1812</f>
        <v>20475</v>
      </c>
      <c r="P1812" s="165"/>
      <c r="R1812" s="3">
        <f t="shared" ref="R1812:R1818" si="138">G1812+H1812+I1812</f>
        <v>20475</v>
      </c>
      <c r="S1812"/>
      <c r="U1812"/>
      <c r="V1812" s="271" t="s">
        <v>2740</v>
      </c>
    </row>
    <row r="1813" spans="1:22" s="3" customFormat="1">
      <c r="A1813" s="165" t="s">
        <v>16453</v>
      </c>
      <c r="B1813" s="94">
        <v>1689</v>
      </c>
      <c r="C1813" s="165" t="s">
        <v>16454</v>
      </c>
      <c r="D1813" s="165">
        <v>3</v>
      </c>
      <c r="E1813" s="165" t="s">
        <v>16457</v>
      </c>
      <c r="F1813" s="165" t="s">
        <v>16463</v>
      </c>
      <c r="G1813" s="165"/>
      <c r="H1813" s="165"/>
      <c r="I1813" s="165">
        <v>20475</v>
      </c>
      <c r="J1813" s="165"/>
      <c r="K1813" s="165"/>
      <c r="L1813" s="165"/>
      <c r="M1813" s="165">
        <v>20475</v>
      </c>
      <c r="N1813" s="165"/>
      <c r="O1813" s="337">
        <f t="shared" si="137"/>
        <v>20475</v>
      </c>
      <c r="P1813" s="165"/>
      <c r="R1813" s="3">
        <f t="shared" si="138"/>
        <v>20475</v>
      </c>
      <c r="S1813"/>
      <c r="U1813"/>
      <c r="V1813" s="271" t="s">
        <v>2740</v>
      </c>
    </row>
    <row r="1814" spans="1:22" s="3" customFormat="1">
      <c r="A1814" s="165" t="s">
        <v>16453</v>
      </c>
      <c r="B1814" s="94">
        <v>1690</v>
      </c>
      <c r="C1814" s="165" t="s">
        <v>16454</v>
      </c>
      <c r="D1814" s="165">
        <v>4</v>
      </c>
      <c r="E1814" s="165" t="s">
        <v>16458</v>
      </c>
      <c r="F1814" s="165" t="s">
        <v>16464</v>
      </c>
      <c r="G1814" s="165"/>
      <c r="H1814" s="165"/>
      <c r="I1814" s="165">
        <v>20475</v>
      </c>
      <c r="J1814" s="165"/>
      <c r="K1814" s="165"/>
      <c r="L1814" s="165"/>
      <c r="M1814" s="165">
        <v>20475</v>
      </c>
      <c r="N1814" s="165"/>
      <c r="O1814" s="337">
        <f t="shared" si="137"/>
        <v>20475</v>
      </c>
      <c r="P1814" s="165"/>
      <c r="R1814" s="3">
        <f t="shared" si="138"/>
        <v>20475</v>
      </c>
      <c r="S1814"/>
      <c r="U1814"/>
      <c r="V1814" s="271" t="s">
        <v>2740</v>
      </c>
    </row>
    <row r="1815" spans="1:22" s="3" customFormat="1">
      <c r="A1815" s="165" t="s">
        <v>16453</v>
      </c>
      <c r="B1815" s="94">
        <v>1691</v>
      </c>
      <c r="C1815" s="165" t="s">
        <v>16454</v>
      </c>
      <c r="D1815" s="165">
        <v>5</v>
      </c>
      <c r="E1815" s="165" t="s">
        <v>16459</v>
      </c>
      <c r="F1815" s="165" t="s">
        <v>16465</v>
      </c>
      <c r="G1815" s="165"/>
      <c r="H1815" s="165"/>
      <c r="I1815" s="165">
        <v>20475</v>
      </c>
      <c r="J1815" s="165"/>
      <c r="K1815" s="165"/>
      <c r="L1815" s="165"/>
      <c r="M1815" s="165">
        <v>20475</v>
      </c>
      <c r="N1815" s="165"/>
      <c r="O1815" s="337">
        <f t="shared" si="137"/>
        <v>20475</v>
      </c>
      <c r="P1815" s="165"/>
      <c r="R1815" s="3">
        <f t="shared" si="138"/>
        <v>20475</v>
      </c>
      <c r="S1815"/>
      <c r="U1815"/>
      <c r="V1815" s="271" t="s">
        <v>2740</v>
      </c>
    </row>
    <row r="1816" spans="1:22" s="3" customFormat="1">
      <c r="A1816" s="165" t="s">
        <v>16453</v>
      </c>
      <c r="B1816" s="94">
        <v>1692</v>
      </c>
      <c r="C1816" s="165" t="s">
        <v>16454</v>
      </c>
      <c r="D1816" s="165">
        <v>6</v>
      </c>
      <c r="E1816" s="165" t="s">
        <v>16460</v>
      </c>
      <c r="F1816" s="165" t="s">
        <v>16466</v>
      </c>
      <c r="G1816" s="165"/>
      <c r="H1816" s="165"/>
      <c r="I1816" s="165">
        <v>20475</v>
      </c>
      <c r="J1816" s="165"/>
      <c r="K1816" s="165"/>
      <c r="L1816" s="165"/>
      <c r="M1816" s="165">
        <v>20475</v>
      </c>
      <c r="N1816" s="165"/>
      <c r="O1816" s="337">
        <f t="shared" si="137"/>
        <v>20475</v>
      </c>
      <c r="P1816" s="165"/>
      <c r="R1816" s="3">
        <f t="shared" si="138"/>
        <v>20475</v>
      </c>
      <c r="S1816"/>
      <c r="U1816"/>
      <c r="V1816" s="271" t="s">
        <v>2740</v>
      </c>
    </row>
    <row r="1817" spans="1:22" s="3" customFormat="1">
      <c r="A1817" s="165" t="s">
        <v>16453</v>
      </c>
      <c r="B1817" s="94">
        <v>1693</v>
      </c>
      <c r="C1817" s="165" t="s">
        <v>16454</v>
      </c>
      <c r="D1817" s="165">
        <v>7</v>
      </c>
      <c r="E1817" s="165" t="s">
        <v>16461</v>
      </c>
      <c r="F1817" s="165" t="s">
        <v>16467</v>
      </c>
      <c r="G1817" s="165"/>
      <c r="H1817" s="165"/>
      <c r="I1817" s="165">
        <v>20475</v>
      </c>
      <c r="J1817" s="165"/>
      <c r="K1817" s="165"/>
      <c r="L1817" s="165"/>
      <c r="M1817" s="165">
        <v>20475</v>
      </c>
      <c r="N1817" s="165"/>
      <c r="O1817" s="337">
        <f t="shared" si="137"/>
        <v>20475</v>
      </c>
      <c r="P1817" s="165"/>
      <c r="R1817" s="3">
        <f t="shared" si="138"/>
        <v>20475</v>
      </c>
      <c r="S1817"/>
      <c r="U1817"/>
      <c r="V1817" s="271" t="s">
        <v>2740</v>
      </c>
    </row>
    <row r="1818" spans="1:22" s="3" customFormat="1">
      <c r="A1818" s="165" t="s">
        <v>16453</v>
      </c>
      <c r="B1818" s="94">
        <v>1694</v>
      </c>
      <c r="C1818" s="165" t="s">
        <v>16454</v>
      </c>
      <c r="D1818" s="165">
        <v>8</v>
      </c>
      <c r="E1818" s="165" t="s">
        <v>16462</v>
      </c>
      <c r="F1818" s="165" t="s">
        <v>16468</v>
      </c>
      <c r="G1818" s="165"/>
      <c r="H1818" s="165"/>
      <c r="I1818" s="165">
        <v>20475</v>
      </c>
      <c r="J1818" s="165"/>
      <c r="K1818" s="165"/>
      <c r="L1818" s="165"/>
      <c r="M1818" s="165">
        <v>20475</v>
      </c>
      <c r="N1818" s="165"/>
      <c r="O1818" s="337">
        <f t="shared" si="137"/>
        <v>20475</v>
      </c>
      <c r="P1818" s="165"/>
      <c r="R1818" s="3">
        <f t="shared" si="138"/>
        <v>20475</v>
      </c>
      <c r="S1818"/>
      <c r="U1818"/>
      <c r="V1818" s="271" t="s">
        <v>2740</v>
      </c>
    </row>
    <row r="1819" spans="1:22">
      <c r="A1819" s="165" t="s">
        <v>16453</v>
      </c>
      <c r="B1819" s="94">
        <v>1695</v>
      </c>
      <c r="C1819" s="165" t="s">
        <v>16475</v>
      </c>
      <c r="D1819" s="165">
        <v>1</v>
      </c>
      <c r="E1819" s="165" t="s">
        <v>16478</v>
      </c>
      <c r="F1819" s="165" t="s">
        <v>16477</v>
      </c>
      <c r="G1819" s="165"/>
      <c r="H1819" s="165">
        <v>16380</v>
      </c>
      <c r="I1819" s="165"/>
      <c r="J1819" s="165"/>
      <c r="K1819" s="165"/>
      <c r="L1819" s="165">
        <v>16380</v>
      </c>
      <c r="M1819" s="165"/>
      <c r="N1819" s="165"/>
      <c r="O1819" s="337">
        <f t="shared" si="137"/>
        <v>0</v>
      </c>
      <c r="P1819" s="165" t="s">
        <v>16498</v>
      </c>
      <c r="Q1819" s="165" t="s">
        <v>16499</v>
      </c>
      <c r="R1819" s="3">
        <f>G1819+H1819+I1819</f>
        <v>16380</v>
      </c>
      <c r="S1819" s="337">
        <v>16380</v>
      </c>
      <c r="T1819"/>
      <c r="U1819" s="3"/>
    </row>
    <row r="1820" spans="1:22" s="3" customFormat="1">
      <c r="A1820" s="165" t="s">
        <v>16453</v>
      </c>
      <c r="B1820" s="94">
        <v>1696</v>
      </c>
      <c r="C1820" s="165" t="s">
        <v>16475</v>
      </c>
      <c r="D1820" s="165">
        <v>2</v>
      </c>
      <c r="E1820" s="165" t="s">
        <v>16479</v>
      </c>
      <c r="F1820" s="165" t="s">
        <v>16491</v>
      </c>
      <c r="G1820" s="165"/>
      <c r="H1820" s="165"/>
      <c r="I1820" s="165">
        <v>16380</v>
      </c>
      <c r="J1820" s="165"/>
      <c r="K1820" s="165"/>
      <c r="L1820" s="165"/>
      <c r="M1820" s="165">
        <v>16380</v>
      </c>
      <c r="N1820" s="165"/>
      <c r="O1820" s="337">
        <f t="shared" ref="O1820:O1827" si="139">G1820+H1820+I1820-J1820-K1820-L1820</f>
        <v>16380</v>
      </c>
      <c r="P1820" s="165"/>
      <c r="R1820" s="3">
        <f t="shared" ref="R1820:R1826" si="140">G1820+H1820+I1820</f>
        <v>16380</v>
      </c>
      <c r="S1820"/>
      <c r="U1820"/>
      <c r="V1820" s="271" t="s">
        <v>2740</v>
      </c>
    </row>
    <row r="1821" spans="1:22" s="3" customFormat="1">
      <c r="A1821" s="165" t="s">
        <v>16453</v>
      </c>
      <c r="B1821" s="94">
        <v>1697</v>
      </c>
      <c r="C1821" s="165" t="s">
        <v>16475</v>
      </c>
      <c r="D1821" s="165">
        <v>3</v>
      </c>
      <c r="E1821" s="165" t="s">
        <v>16485</v>
      </c>
      <c r="F1821" s="165" t="s">
        <v>16492</v>
      </c>
      <c r="G1821" s="165"/>
      <c r="H1821" s="165"/>
      <c r="I1821" s="165">
        <v>16380</v>
      </c>
      <c r="J1821" s="165"/>
      <c r="K1821" s="165"/>
      <c r="L1821" s="165"/>
      <c r="M1821" s="165">
        <v>16380</v>
      </c>
      <c r="N1821" s="165"/>
      <c r="O1821" s="337">
        <f t="shared" si="139"/>
        <v>16380</v>
      </c>
      <c r="P1821" s="165"/>
      <c r="R1821" s="3">
        <f t="shared" si="140"/>
        <v>16380</v>
      </c>
      <c r="S1821"/>
      <c r="U1821"/>
      <c r="V1821" s="271" t="s">
        <v>2740</v>
      </c>
    </row>
    <row r="1822" spans="1:22" s="3" customFormat="1">
      <c r="A1822" s="165" t="s">
        <v>16453</v>
      </c>
      <c r="B1822" s="94">
        <v>1698</v>
      </c>
      <c r="C1822" s="165" t="s">
        <v>16475</v>
      </c>
      <c r="D1822" s="165">
        <v>4</v>
      </c>
      <c r="E1822" s="165" t="s">
        <v>16486</v>
      </c>
      <c r="F1822" s="165" t="s">
        <v>16493</v>
      </c>
      <c r="G1822" s="165"/>
      <c r="H1822" s="165"/>
      <c r="I1822" s="165">
        <v>16380</v>
      </c>
      <c r="J1822" s="165"/>
      <c r="K1822" s="165"/>
      <c r="L1822" s="165"/>
      <c r="M1822" s="165">
        <v>16380</v>
      </c>
      <c r="N1822" s="165"/>
      <c r="O1822" s="337">
        <f t="shared" si="139"/>
        <v>16380</v>
      </c>
      <c r="P1822" s="165"/>
      <c r="R1822" s="3">
        <f t="shared" si="140"/>
        <v>16380</v>
      </c>
      <c r="S1822"/>
      <c r="U1822"/>
      <c r="V1822" s="271" t="s">
        <v>2740</v>
      </c>
    </row>
    <row r="1823" spans="1:22" s="3" customFormat="1">
      <c r="A1823" s="165" t="s">
        <v>16453</v>
      </c>
      <c r="B1823" s="94">
        <v>1699</v>
      </c>
      <c r="C1823" s="165" t="s">
        <v>16475</v>
      </c>
      <c r="D1823" s="165">
        <v>5</v>
      </c>
      <c r="E1823" s="165" t="s">
        <v>16487</v>
      </c>
      <c r="F1823" s="165" t="s">
        <v>16494</v>
      </c>
      <c r="G1823" s="165"/>
      <c r="H1823" s="165"/>
      <c r="I1823" s="165">
        <v>16380</v>
      </c>
      <c r="J1823" s="165"/>
      <c r="K1823" s="165"/>
      <c r="L1823" s="165"/>
      <c r="M1823" s="165">
        <v>16380</v>
      </c>
      <c r="N1823" s="165"/>
      <c r="O1823" s="337">
        <f t="shared" si="139"/>
        <v>16380</v>
      </c>
      <c r="P1823" s="165"/>
      <c r="R1823" s="3">
        <f t="shared" si="140"/>
        <v>16380</v>
      </c>
      <c r="S1823"/>
      <c r="U1823"/>
      <c r="V1823" s="271" t="s">
        <v>2740</v>
      </c>
    </row>
    <row r="1824" spans="1:22" s="3" customFormat="1">
      <c r="A1824" s="165" t="s">
        <v>16453</v>
      </c>
      <c r="B1824" s="94">
        <v>1700</v>
      </c>
      <c r="C1824" s="165" t="s">
        <v>16475</v>
      </c>
      <c r="D1824" s="165">
        <v>6</v>
      </c>
      <c r="E1824" s="165" t="s">
        <v>16488</v>
      </c>
      <c r="F1824" s="165" t="s">
        <v>16495</v>
      </c>
      <c r="G1824" s="165"/>
      <c r="H1824" s="165"/>
      <c r="I1824" s="165">
        <v>16380</v>
      </c>
      <c r="J1824" s="165"/>
      <c r="K1824" s="165"/>
      <c r="L1824" s="165"/>
      <c r="M1824" s="165">
        <v>16380</v>
      </c>
      <c r="N1824" s="165"/>
      <c r="O1824" s="337">
        <f t="shared" si="139"/>
        <v>16380</v>
      </c>
      <c r="P1824" s="165"/>
      <c r="R1824" s="3">
        <f t="shared" si="140"/>
        <v>16380</v>
      </c>
      <c r="S1824"/>
      <c r="U1824"/>
      <c r="V1824" s="271" t="s">
        <v>2740</v>
      </c>
    </row>
    <row r="1825" spans="1:22" s="3" customFormat="1">
      <c r="A1825" s="165" t="s">
        <v>16453</v>
      </c>
      <c r="B1825" s="94">
        <v>1701</v>
      </c>
      <c r="C1825" s="165" t="s">
        <v>16475</v>
      </c>
      <c r="D1825" s="165">
        <v>7</v>
      </c>
      <c r="E1825" s="165" t="s">
        <v>16489</v>
      </c>
      <c r="F1825" s="165" t="s">
        <v>16496</v>
      </c>
      <c r="G1825" s="165"/>
      <c r="H1825" s="165"/>
      <c r="I1825" s="165">
        <v>16380</v>
      </c>
      <c r="J1825" s="165"/>
      <c r="K1825" s="165"/>
      <c r="L1825" s="165"/>
      <c r="M1825" s="165">
        <v>16380</v>
      </c>
      <c r="N1825" s="165"/>
      <c r="O1825" s="337">
        <f t="shared" si="139"/>
        <v>16380</v>
      </c>
      <c r="P1825" s="165"/>
      <c r="R1825" s="3">
        <f t="shared" si="140"/>
        <v>16380</v>
      </c>
      <c r="S1825"/>
      <c r="U1825"/>
      <c r="V1825" s="271" t="s">
        <v>2740</v>
      </c>
    </row>
    <row r="1826" spans="1:22" s="3" customFormat="1">
      <c r="A1826" s="165" t="s">
        <v>16453</v>
      </c>
      <c r="B1826" s="94">
        <v>1702</v>
      </c>
      <c r="C1826" s="165" t="s">
        <v>16475</v>
      </c>
      <c r="D1826" s="165">
        <v>8</v>
      </c>
      <c r="E1826" s="165" t="s">
        <v>16490</v>
      </c>
      <c r="F1826" s="165" t="s">
        <v>16497</v>
      </c>
      <c r="G1826" s="165"/>
      <c r="H1826" s="165"/>
      <c r="I1826" s="165">
        <v>16380</v>
      </c>
      <c r="J1826" s="165"/>
      <c r="K1826" s="165"/>
      <c r="L1826" s="165"/>
      <c r="M1826" s="165">
        <v>16380</v>
      </c>
      <c r="N1826" s="165"/>
      <c r="O1826" s="337">
        <f t="shared" si="139"/>
        <v>16380</v>
      </c>
      <c r="P1826" s="165"/>
      <c r="R1826" s="3">
        <f t="shared" si="140"/>
        <v>16380</v>
      </c>
      <c r="S1826"/>
      <c r="U1826"/>
      <c r="V1826" s="271" t="s">
        <v>2740</v>
      </c>
    </row>
    <row r="1827" spans="1:22">
      <c r="A1827" s="165" t="s">
        <v>16453</v>
      </c>
      <c r="B1827" s="94">
        <v>1703</v>
      </c>
      <c r="C1827" s="165" t="s">
        <v>16475</v>
      </c>
      <c r="D1827" s="165">
        <v>1</v>
      </c>
      <c r="E1827" s="165" t="s">
        <v>16500</v>
      </c>
      <c r="F1827" s="165" t="s">
        <v>16477</v>
      </c>
      <c r="G1827" s="165"/>
      <c r="H1827" s="165">
        <v>20475</v>
      </c>
      <c r="I1827" s="165"/>
      <c r="J1827" s="165"/>
      <c r="K1827" s="165"/>
      <c r="L1827" s="165">
        <v>20475</v>
      </c>
      <c r="M1827" s="165"/>
      <c r="N1827" s="165"/>
      <c r="O1827" s="337">
        <f t="shared" si="139"/>
        <v>0</v>
      </c>
      <c r="P1827" s="165" t="s">
        <v>16498</v>
      </c>
      <c r="Q1827" s="165" t="s">
        <v>16499</v>
      </c>
      <c r="R1827" s="3">
        <f>G1827+H1827+I1827</f>
        <v>20475</v>
      </c>
      <c r="S1827" s="337">
        <v>20475</v>
      </c>
      <c r="T1827"/>
      <c r="U1827" s="3"/>
    </row>
    <row r="1828" spans="1:22" s="3" customFormat="1">
      <c r="A1828" s="165" t="s">
        <v>16453</v>
      </c>
      <c r="B1828" s="94">
        <v>1704</v>
      </c>
      <c r="C1828" s="165" t="s">
        <v>16475</v>
      </c>
      <c r="D1828" s="165">
        <v>2</v>
      </c>
      <c r="E1828" s="165" t="s">
        <v>16501</v>
      </c>
      <c r="F1828" s="165" t="s">
        <v>16491</v>
      </c>
      <c r="G1828" s="165"/>
      <c r="H1828" s="165"/>
      <c r="I1828" s="165">
        <v>20475</v>
      </c>
      <c r="J1828" s="165"/>
      <c r="K1828" s="165"/>
      <c r="L1828" s="165"/>
      <c r="M1828" s="165">
        <v>20475</v>
      </c>
      <c r="N1828" s="165"/>
      <c r="O1828" s="337">
        <f t="shared" ref="O1828:O1836" si="141">G1828+H1828+I1828-J1828-K1828-L1828</f>
        <v>20475</v>
      </c>
      <c r="P1828" s="165"/>
      <c r="R1828" s="3">
        <f t="shared" ref="R1828:R1834" si="142">G1828+H1828+I1828</f>
        <v>20475</v>
      </c>
      <c r="S1828"/>
      <c r="U1828"/>
      <c r="V1828" s="271" t="s">
        <v>2740</v>
      </c>
    </row>
    <row r="1829" spans="1:22" s="3" customFormat="1">
      <c r="A1829" s="165" t="s">
        <v>16453</v>
      </c>
      <c r="B1829" s="94">
        <v>1705</v>
      </c>
      <c r="C1829" s="165" t="s">
        <v>16475</v>
      </c>
      <c r="D1829" s="165">
        <v>3</v>
      </c>
      <c r="E1829" s="165" t="s">
        <v>16502</v>
      </c>
      <c r="F1829" s="165" t="s">
        <v>16492</v>
      </c>
      <c r="G1829" s="165"/>
      <c r="H1829" s="165"/>
      <c r="I1829" s="165">
        <v>20475</v>
      </c>
      <c r="J1829" s="165"/>
      <c r="K1829" s="165"/>
      <c r="L1829" s="165"/>
      <c r="M1829" s="165">
        <v>20475</v>
      </c>
      <c r="N1829" s="165"/>
      <c r="O1829" s="337">
        <f t="shared" si="141"/>
        <v>20475</v>
      </c>
      <c r="P1829" s="165"/>
      <c r="R1829" s="3">
        <f t="shared" si="142"/>
        <v>20475</v>
      </c>
      <c r="S1829"/>
      <c r="U1829"/>
      <c r="V1829" s="271" t="s">
        <v>2740</v>
      </c>
    </row>
    <row r="1830" spans="1:22" s="3" customFormat="1">
      <c r="A1830" s="165" t="s">
        <v>16453</v>
      </c>
      <c r="B1830" s="94">
        <v>1706</v>
      </c>
      <c r="C1830" s="165" t="s">
        <v>16475</v>
      </c>
      <c r="D1830" s="165">
        <v>4</v>
      </c>
      <c r="E1830" s="165" t="s">
        <v>16480</v>
      </c>
      <c r="F1830" s="165" t="s">
        <v>16493</v>
      </c>
      <c r="G1830" s="165"/>
      <c r="H1830" s="165"/>
      <c r="I1830" s="165">
        <v>20475</v>
      </c>
      <c r="J1830" s="165"/>
      <c r="K1830" s="165"/>
      <c r="L1830" s="165"/>
      <c r="M1830" s="165">
        <v>20475</v>
      </c>
      <c r="N1830" s="165"/>
      <c r="O1830" s="337">
        <f t="shared" si="141"/>
        <v>20475</v>
      </c>
      <c r="P1830" s="165"/>
      <c r="R1830" s="3">
        <f t="shared" si="142"/>
        <v>20475</v>
      </c>
      <c r="S1830"/>
      <c r="U1830"/>
      <c r="V1830" s="271" t="s">
        <v>2740</v>
      </c>
    </row>
    <row r="1831" spans="1:22" s="3" customFormat="1">
      <c r="A1831" s="165" t="s">
        <v>16453</v>
      </c>
      <c r="B1831" s="94">
        <v>1707</v>
      </c>
      <c r="C1831" s="165" t="s">
        <v>16475</v>
      </c>
      <c r="D1831" s="165">
        <v>5</v>
      </c>
      <c r="E1831" s="165" t="s">
        <v>16481</v>
      </c>
      <c r="F1831" s="165" t="s">
        <v>16494</v>
      </c>
      <c r="G1831" s="165"/>
      <c r="H1831" s="165"/>
      <c r="I1831" s="165">
        <v>20475</v>
      </c>
      <c r="J1831" s="165"/>
      <c r="K1831" s="165"/>
      <c r="L1831" s="165"/>
      <c r="M1831" s="165">
        <v>20475</v>
      </c>
      <c r="N1831" s="165"/>
      <c r="O1831" s="337">
        <f t="shared" si="141"/>
        <v>20475</v>
      </c>
      <c r="P1831" s="165"/>
      <c r="R1831" s="3">
        <f t="shared" si="142"/>
        <v>20475</v>
      </c>
      <c r="S1831"/>
      <c r="U1831"/>
      <c r="V1831" s="271" t="s">
        <v>2740</v>
      </c>
    </row>
    <row r="1832" spans="1:22" s="3" customFormat="1">
      <c r="A1832" s="165" t="s">
        <v>16453</v>
      </c>
      <c r="B1832" s="94">
        <v>1708</v>
      </c>
      <c r="C1832" s="165" t="s">
        <v>16475</v>
      </c>
      <c r="D1832" s="165">
        <v>6</v>
      </c>
      <c r="E1832" s="165" t="s">
        <v>16482</v>
      </c>
      <c r="F1832" s="165" t="s">
        <v>16495</v>
      </c>
      <c r="G1832" s="165"/>
      <c r="H1832" s="165"/>
      <c r="I1832" s="165">
        <v>20475</v>
      </c>
      <c r="J1832" s="165"/>
      <c r="K1832" s="165"/>
      <c r="L1832" s="165"/>
      <c r="M1832" s="165">
        <v>20475</v>
      </c>
      <c r="N1832" s="165"/>
      <c r="O1832" s="337">
        <f t="shared" si="141"/>
        <v>20475</v>
      </c>
      <c r="P1832" s="165"/>
      <c r="R1832" s="3">
        <f t="shared" si="142"/>
        <v>20475</v>
      </c>
      <c r="S1832"/>
      <c r="U1832"/>
      <c r="V1832" s="271" t="s">
        <v>2740</v>
      </c>
    </row>
    <row r="1833" spans="1:22" s="3" customFormat="1">
      <c r="A1833" s="165" t="s">
        <v>16453</v>
      </c>
      <c r="B1833" s="94">
        <v>1709</v>
      </c>
      <c r="C1833" s="165" t="s">
        <v>16475</v>
      </c>
      <c r="D1833" s="165">
        <v>7</v>
      </c>
      <c r="E1833" s="165" t="s">
        <v>16483</v>
      </c>
      <c r="F1833" s="165" t="s">
        <v>16496</v>
      </c>
      <c r="G1833" s="165"/>
      <c r="H1833" s="165"/>
      <c r="I1833" s="165">
        <v>20475</v>
      </c>
      <c r="J1833" s="165"/>
      <c r="K1833" s="165"/>
      <c r="L1833" s="165"/>
      <c r="M1833" s="165">
        <v>20475</v>
      </c>
      <c r="N1833" s="165"/>
      <c r="O1833" s="337">
        <f t="shared" si="141"/>
        <v>20475</v>
      </c>
      <c r="P1833" s="165"/>
      <c r="R1833" s="3">
        <f t="shared" si="142"/>
        <v>20475</v>
      </c>
      <c r="S1833"/>
      <c r="U1833"/>
      <c r="V1833" s="271" t="s">
        <v>2740</v>
      </c>
    </row>
    <row r="1834" spans="1:22" s="3" customFormat="1">
      <c r="A1834" s="165" t="s">
        <v>16453</v>
      </c>
      <c r="B1834" s="94">
        <v>1710</v>
      </c>
      <c r="C1834" s="165" t="s">
        <v>16475</v>
      </c>
      <c r="D1834" s="165">
        <v>8</v>
      </c>
      <c r="E1834" s="165" t="s">
        <v>16484</v>
      </c>
      <c r="F1834" s="165" t="s">
        <v>16497</v>
      </c>
      <c r="G1834" s="165"/>
      <c r="H1834" s="165"/>
      <c r="I1834" s="165">
        <v>20475</v>
      </c>
      <c r="J1834" s="165"/>
      <c r="K1834" s="165"/>
      <c r="L1834" s="165"/>
      <c r="M1834" s="165">
        <v>20475</v>
      </c>
      <c r="N1834" s="165"/>
      <c r="O1834" s="337">
        <f t="shared" si="141"/>
        <v>20475</v>
      </c>
      <c r="P1834" s="165"/>
      <c r="R1834" s="3">
        <f t="shared" si="142"/>
        <v>20475</v>
      </c>
      <c r="S1834"/>
      <c r="U1834"/>
      <c r="V1834" s="271" t="s">
        <v>2740</v>
      </c>
    </row>
    <row r="1835" spans="1:22">
      <c r="A1835" s="165" t="s">
        <v>16453</v>
      </c>
      <c r="B1835" s="94">
        <v>1711</v>
      </c>
      <c r="C1835" s="165" t="s">
        <v>16475</v>
      </c>
      <c r="D1835" s="165"/>
      <c r="E1835" s="165" t="s">
        <v>16503</v>
      </c>
      <c r="F1835" s="165" t="s">
        <v>16477</v>
      </c>
      <c r="G1835" s="165"/>
      <c r="H1835" s="165">
        <v>113400</v>
      </c>
      <c r="I1835" s="165"/>
      <c r="J1835" s="165"/>
      <c r="K1835" s="165"/>
      <c r="L1835" s="165">
        <v>113400</v>
      </c>
      <c r="M1835" s="165"/>
      <c r="N1835" s="165"/>
      <c r="O1835" s="337">
        <f t="shared" si="141"/>
        <v>0</v>
      </c>
      <c r="P1835" s="165" t="s">
        <v>16498</v>
      </c>
      <c r="Q1835" s="165" t="s">
        <v>16499</v>
      </c>
      <c r="R1835" s="3">
        <f>G1835+H1835+I1835</f>
        <v>113400</v>
      </c>
      <c r="S1835" s="337">
        <v>113400</v>
      </c>
      <c r="T1835"/>
      <c r="U1835" s="3"/>
    </row>
    <row r="1836" spans="1:22">
      <c r="A1836" s="165" t="s">
        <v>16509</v>
      </c>
      <c r="B1836" s="94">
        <v>1712</v>
      </c>
      <c r="C1836" s="165" t="s">
        <v>16510</v>
      </c>
      <c r="D1836" s="165">
        <v>1</v>
      </c>
      <c r="E1836" s="165" t="s">
        <v>16511</v>
      </c>
      <c r="F1836" s="165" t="s">
        <v>16477</v>
      </c>
      <c r="G1836" s="165"/>
      <c r="H1836" s="165">
        <v>20475</v>
      </c>
      <c r="I1836" s="165"/>
      <c r="J1836" s="165"/>
      <c r="K1836" s="165"/>
      <c r="L1836" s="165">
        <v>20475</v>
      </c>
      <c r="M1836" s="165"/>
      <c r="N1836" s="165"/>
      <c r="O1836" s="337">
        <f t="shared" si="141"/>
        <v>0</v>
      </c>
      <c r="P1836" s="165" t="s">
        <v>16519</v>
      </c>
      <c r="Q1836" s="165" t="s">
        <v>16520</v>
      </c>
      <c r="R1836" s="3">
        <f>G1836+H1836+I1836</f>
        <v>20475</v>
      </c>
      <c r="S1836" s="337">
        <v>20475</v>
      </c>
      <c r="T1836"/>
      <c r="U1836" s="3"/>
    </row>
    <row r="1837" spans="1:22" s="3" customFormat="1">
      <c r="A1837" s="165" t="s">
        <v>16509</v>
      </c>
      <c r="B1837" s="94">
        <v>1713</v>
      </c>
      <c r="C1837" s="165" t="s">
        <v>16510</v>
      </c>
      <c r="D1837" s="165">
        <v>2</v>
      </c>
      <c r="E1837" s="165" t="s">
        <v>16512</v>
      </c>
      <c r="F1837" s="165" t="s">
        <v>16491</v>
      </c>
      <c r="G1837" s="165"/>
      <c r="H1837" s="165"/>
      <c r="I1837" s="165">
        <v>20475</v>
      </c>
      <c r="J1837" s="165"/>
      <c r="K1837" s="165"/>
      <c r="L1837" s="165"/>
      <c r="M1837" s="165">
        <v>20475</v>
      </c>
      <c r="N1837" s="165"/>
      <c r="O1837" s="337">
        <f t="shared" ref="O1837:O1843" si="143">G1837+H1837+I1837-J1837-K1837-L1837</f>
        <v>20475</v>
      </c>
      <c r="P1837" s="165"/>
      <c r="R1837" s="3">
        <f t="shared" ref="R1837:R1843" si="144">G1837+H1837+I1837</f>
        <v>20475</v>
      </c>
      <c r="S1837"/>
      <c r="U1837"/>
      <c r="V1837" s="271" t="s">
        <v>2740</v>
      </c>
    </row>
    <row r="1838" spans="1:22" s="3" customFormat="1">
      <c r="A1838" s="165" t="s">
        <v>16509</v>
      </c>
      <c r="B1838" s="94">
        <v>1714</v>
      </c>
      <c r="C1838" s="165" t="s">
        <v>16510</v>
      </c>
      <c r="D1838" s="165">
        <v>3</v>
      </c>
      <c r="E1838" s="165" t="s">
        <v>16513</v>
      </c>
      <c r="F1838" s="165" t="s">
        <v>16492</v>
      </c>
      <c r="G1838" s="165"/>
      <c r="H1838" s="165"/>
      <c r="I1838" s="165">
        <v>20475</v>
      </c>
      <c r="J1838" s="165"/>
      <c r="K1838" s="165"/>
      <c r="L1838" s="165"/>
      <c r="M1838" s="165">
        <v>20475</v>
      </c>
      <c r="N1838" s="165"/>
      <c r="O1838" s="337">
        <f t="shared" si="143"/>
        <v>20475</v>
      </c>
      <c r="P1838" s="165"/>
      <c r="R1838" s="3">
        <f t="shared" si="144"/>
        <v>20475</v>
      </c>
      <c r="S1838"/>
      <c r="U1838"/>
      <c r="V1838" s="271" t="s">
        <v>2740</v>
      </c>
    </row>
    <row r="1839" spans="1:22" s="3" customFormat="1">
      <c r="A1839" s="165" t="s">
        <v>16509</v>
      </c>
      <c r="B1839" s="94">
        <v>1715</v>
      </c>
      <c r="C1839" s="165" t="s">
        <v>16510</v>
      </c>
      <c r="D1839" s="165">
        <v>4</v>
      </c>
      <c r="E1839" s="165" t="s">
        <v>16514</v>
      </c>
      <c r="F1839" s="165" t="s">
        <v>16493</v>
      </c>
      <c r="G1839" s="165"/>
      <c r="H1839" s="165"/>
      <c r="I1839" s="165">
        <v>20475</v>
      </c>
      <c r="J1839" s="165"/>
      <c r="K1839" s="165"/>
      <c r="L1839" s="165"/>
      <c r="M1839" s="165">
        <v>20475</v>
      </c>
      <c r="N1839" s="165"/>
      <c r="O1839" s="337">
        <f t="shared" si="143"/>
        <v>20475</v>
      </c>
      <c r="P1839" s="165"/>
      <c r="R1839" s="3">
        <f t="shared" si="144"/>
        <v>20475</v>
      </c>
      <c r="S1839"/>
      <c r="U1839"/>
      <c r="V1839" s="271" t="s">
        <v>2740</v>
      </c>
    </row>
    <row r="1840" spans="1:22" s="3" customFormat="1">
      <c r="A1840" s="165" t="s">
        <v>16509</v>
      </c>
      <c r="B1840" s="94">
        <v>1716</v>
      </c>
      <c r="C1840" s="165" t="s">
        <v>16510</v>
      </c>
      <c r="D1840" s="165">
        <v>5</v>
      </c>
      <c r="E1840" s="165" t="s">
        <v>16515</v>
      </c>
      <c r="F1840" s="165" t="s">
        <v>16494</v>
      </c>
      <c r="G1840" s="165"/>
      <c r="H1840" s="165"/>
      <c r="I1840" s="165">
        <v>20475</v>
      </c>
      <c r="J1840" s="165"/>
      <c r="K1840" s="165"/>
      <c r="L1840" s="165"/>
      <c r="M1840" s="165">
        <v>20475</v>
      </c>
      <c r="N1840" s="165"/>
      <c r="O1840" s="337">
        <f t="shared" si="143"/>
        <v>20475</v>
      </c>
      <c r="P1840" s="165"/>
      <c r="R1840" s="3">
        <f t="shared" si="144"/>
        <v>20475</v>
      </c>
      <c r="S1840"/>
      <c r="U1840"/>
      <c r="V1840" s="271" t="s">
        <v>2740</v>
      </c>
    </row>
    <row r="1841" spans="1:22" s="3" customFormat="1">
      <c r="A1841" s="165" t="s">
        <v>16509</v>
      </c>
      <c r="B1841" s="94">
        <v>1717</v>
      </c>
      <c r="C1841" s="165" t="s">
        <v>16510</v>
      </c>
      <c r="D1841" s="165">
        <v>6</v>
      </c>
      <c r="E1841" s="165" t="s">
        <v>16516</v>
      </c>
      <c r="F1841" s="165" t="s">
        <v>16495</v>
      </c>
      <c r="G1841" s="165"/>
      <c r="H1841" s="165"/>
      <c r="I1841" s="165">
        <v>20475</v>
      </c>
      <c r="J1841" s="165"/>
      <c r="K1841" s="165"/>
      <c r="L1841" s="165"/>
      <c r="M1841" s="165">
        <v>20475</v>
      </c>
      <c r="N1841" s="165"/>
      <c r="O1841" s="337">
        <f t="shared" si="143"/>
        <v>20475</v>
      </c>
      <c r="P1841" s="165"/>
      <c r="R1841" s="3">
        <f t="shared" si="144"/>
        <v>20475</v>
      </c>
      <c r="S1841"/>
      <c r="U1841"/>
      <c r="V1841" s="271" t="s">
        <v>2740</v>
      </c>
    </row>
    <row r="1842" spans="1:22" s="3" customFormat="1">
      <c r="A1842" s="165" t="s">
        <v>16509</v>
      </c>
      <c r="B1842" s="94">
        <v>1718</v>
      </c>
      <c r="C1842" s="165" t="s">
        <v>16510</v>
      </c>
      <c r="D1842" s="165">
        <v>7</v>
      </c>
      <c r="E1842" s="165" t="s">
        <v>16517</v>
      </c>
      <c r="F1842" s="165" t="s">
        <v>16496</v>
      </c>
      <c r="G1842" s="165"/>
      <c r="H1842" s="165"/>
      <c r="I1842" s="165">
        <v>20475</v>
      </c>
      <c r="J1842" s="165"/>
      <c r="K1842" s="165"/>
      <c r="L1842" s="165"/>
      <c r="M1842" s="165">
        <v>20475</v>
      </c>
      <c r="N1842" s="165"/>
      <c r="O1842" s="337">
        <f t="shared" si="143"/>
        <v>20475</v>
      </c>
      <c r="P1842" s="165"/>
      <c r="R1842" s="3">
        <f t="shared" si="144"/>
        <v>20475</v>
      </c>
      <c r="S1842"/>
      <c r="U1842"/>
      <c r="V1842" s="271" t="s">
        <v>2740</v>
      </c>
    </row>
    <row r="1843" spans="1:22" s="3" customFormat="1">
      <c r="A1843" s="165" t="s">
        <v>16509</v>
      </c>
      <c r="B1843" s="94">
        <v>1719</v>
      </c>
      <c r="C1843" s="165" t="s">
        <v>16510</v>
      </c>
      <c r="D1843" s="165">
        <v>8</v>
      </c>
      <c r="E1843" s="165" t="s">
        <v>16518</v>
      </c>
      <c r="F1843" s="165" t="s">
        <v>16497</v>
      </c>
      <c r="G1843" s="165"/>
      <c r="H1843" s="165"/>
      <c r="I1843" s="165">
        <v>20475</v>
      </c>
      <c r="J1843" s="165"/>
      <c r="K1843" s="165"/>
      <c r="L1843" s="165"/>
      <c r="M1843" s="165">
        <v>20475</v>
      </c>
      <c r="N1843" s="165"/>
      <c r="O1843" s="337">
        <f t="shared" si="143"/>
        <v>20475</v>
      </c>
      <c r="P1843" s="165"/>
      <c r="R1843" s="3">
        <f t="shared" si="144"/>
        <v>20475</v>
      </c>
      <c r="S1843"/>
      <c r="U1843"/>
      <c r="V1843" s="271" t="s">
        <v>2740</v>
      </c>
    </row>
    <row r="1844" spans="1:22" s="3" customFormat="1">
      <c r="A1844" s="770"/>
      <c r="B1844" s="165"/>
      <c r="C1844" s="165"/>
      <c r="D1844" s="165"/>
      <c r="E1844" s="165"/>
      <c r="F1844" s="165"/>
      <c r="G1844" s="165"/>
      <c r="H1844" s="165"/>
      <c r="I1844" s="165"/>
      <c r="J1844" s="165"/>
      <c r="K1844" s="165"/>
      <c r="L1844" s="165"/>
      <c r="M1844" s="165"/>
      <c r="N1844" s="165"/>
      <c r="O1844" s="165"/>
      <c r="P1844" s="165"/>
      <c r="R1844"/>
      <c r="S1844"/>
      <c r="U1844"/>
      <c r="V1844"/>
    </row>
    <row r="1845" spans="1:22" s="3" customFormat="1">
      <c r="A1845" s="770"/>
      <c r="B1845" s="165"/>
      <c r="C1845" s="165"/>
      <c r="D1845" s="165"/>
      <c r="E1845" s="165"/>
      <c r="F1845" s="165"/>
      <c r="G1845" s="165"/>
      <c r="H1845" s="165"/>
      <c r="I1845" s="165"/>
      <c r="J1845" s="165"/>
      <c r="K1845" s="165"/>
      <c r="L1845" s="165"/>
      <c r="M1845" s="165"/>
      <c r="N1845" s="165"/>
      <c r="O1845" s="165"/>
      <c r="P1845" s="165"/>
      <c r="R1845"/>
      <c r="S1845"/>
      <c r="U1845"/>
      <c r="V1845"/>
    </row>
    <row r="1846" spans="1:22" s="3" customFormat="1">
      <c r="A1846" s="770"/>
      <c r="B1846" s="165"/>
      <c r="C1846" s="165"/>
      <c r="D1846" s="165"/>
      <c r="E1846" s="165"/>
      <c r="F1846" s="165"/>
      <c r="G1846" s="165"/>
      <c r="H1846" s="165"/>
      <c r="I1846" s="165"/>
      <c r="J1846" s="165"/>
      <c r="K1846" s="165"/>
      <c r="L1846" s="165"/>
      <c r="M1846" s="165"/>
      <c r="N1846" s="165"/>
      <c r="O1846" s="165"/>
      <c r="P1846" s="165"/>
      <c r="R1846"/>
      <c r="S1846"/>
      <c r="U1846"/>
      <c r="V1846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388"/>
  <sheetViews>
    <sheetView zoomScaleNormal="100" workbookViewId="0">
      <pane ySplit="4" topLeftCell="A284" activePane="bottomLeft" state="frozen"/>
      <selection activeCell="F179" sqref="F179"/>
      <selection pane="bottomLeft" activeCell="H298" sqref="H298"/>
    </sheetView>
  </sheetViews>
  <sheetFormatPr defaultColWidth="9" defaultRowHeight="16.5"/>
  <cols>
    <col min="1" max="1" width="8.5" style="273" customWidth="1"/>
    <col min="2" max="2" width="9.125" style="273" bestFit="1" customWidth="1"/>
    <col min="3" max="3" width="30.75" style="273" customWidth="1"/>
    <col min="4" max="6" width="9" style="273"/>
    <col min="7" max="7" width="22.25" style="273" customWidth="1"/>
    <col min="8" max="8" width="9" style="273"/>
    <col min="9" max="9" width="9.375" style="273" customWidth="1"/>
    <col min="10" max="10" width="8.5" style="273" customWidth="1"/>
    <col min="11" max="11" width="19" style="273" bestFit="1" customWidth="1"/>
    <col min="12" max="16384" width="9" style="273"/>
  </cols>
  <sheetData>
    <row r="1" spans="1:14">
      <c r="C1" s="274" t="s">
        <v>4478</v>
      </c>
    </row>
    <row r="2" spans="1:14">
      <c r="B2" s="273" t="s">
        <v>241</v>
      </c>
      <c r="C2" s="273" t="s">
        <v>474</v>
      </c>
      <c r="D2" s="273" t="s">
        <v>475</v>
      </c>
      <c r="E2" s="275" t="s">
        <v>299</v>
      </c>
      <c r="F2" s="273" t="s">
        <v>2991</v>
      </c>
      <c r="G2" s="275" t="s">
        <v>300</v>
      </c>
      <c r="H2" s="273" t="s">
        <v>476</v>
      </c>
      <c r="I2" s="273" t="s">
        <v>477</v>
      </c>
      <c r="J2" s="273" t="s">
        <v>478</v>
      </c>
      <c r="K2" s="273" t="s">
        <v>1385</v>
      </c>
      <c r="L2" s="273" t="s">
        <v>1275</v>
      </c>
      <c r="M2" s="273" t="s">
        <v>265</v>
      </c>
      <c r="N2" s="273" t="s">
        <v>2992</v>
      </c>
    </row>
    <row r="3" spans="1:14">
      <c r="A3" s="273" t="s">
        <v>4500</v>
      </c>
      <c r="D3" s="273">
        <f>SUM(D5:D341)</f>
        <v>2935600</v>
      </c>
      <c r="F3" s="273">
        <f>SUM(F5:F341)</f>
        <v>2899835</v>
      </c>
      <c r="G3" s="273">
        <f>H3+F3-D3</f>
        <v>174375</v>
      </c>
      <c r="H3" s="273">
        <v>210140</v>
      </c>
    </row>
    <row r="4" spans="1:14" s="276" customFormat="1" ht="3" customHeight="1"/>
    <row r="5" spans="1:14">
      <c r="B5" s="273" t="s">
        <v>9014</v>
      </c>
      <c r="C5" s="273" t="s">
        <v>9015</v>
      </c>
      <c r="D5" s="658">
        <v>37362</v>
      </c>
      <c r="E5" s="277"/>
      <c r="F5" s="658"/>
      <c r="G5" s="278"/>
      <c r="H5" s="273">
        <v>68328</v>
      </c>
    </row>
    <row r="6" spans="1:14">
      <c r="B6" s="273" t="s">
        <v>9122</v>
      </c>
      <c r="C6" s="273" t="s">
        <v>9123</v>
      </c>
      <c r="D6" s="658">
        <v>28440</v>
      </c>
      <c r="E6" s="277"/>
      <c r="F6" s="658"/>
      <c r="G6" s="278"/>
      <c r="H6" s="273">
        <v>110194</v>
      </c>
    </row>
    <row r="7" spans="1:14">
      <c r="B7" s="273" t="s">
        <v>9193</v>
      </c>
      <c r="C7" s="273" t="s">
        <v>9231</v>
      </c>
      <c r="D7" s="658">
        <v>4515</v>
      </c>
      <c r="E7" s="277"/>
      <c r="F7" s="658"/>
      <c r="G7" s="278"/>
      <c r="H7" s="273">
        <v>112614</v>
      </c>
    </row>
    <row r="8" spans="1:14">
      <c r="B8" s="273" t="s">
        <v>8980</v>
      </c>
      <c r="C8" s="273" t="s">
        <v>9312</v>
      </c>
      <c r="D8" s="658">
        <v>12236</v>
      </c>
      <c r="E8" s="277"/>
      <c r="F8" s="658"/>
      <c r="G8" s="278"/>
      <c r="H8" s="273">
        <v>89777</v>
      </c>
    </row>
    <row r="9" spans="1:14">
      <c r="B9" s="273" t="s">
        <v>9403</v>
      </c>
      <c r="C9" s="273" t="s">
        <v>9405</v>
      </c>
      <c r="D9" s="658">
        <v>22824</v>
      </c>
      <c r="E9" s="277"/>
      <c r="F9" s="658"/>
      <c r="G9" s="278"/>
      <c r="H9" s="273">
        <v>25997</v>
      </c>
    </row>
    <row r="10" spans="1:14">
      <c r="B10" s="273" t="s">
        <v>9007</v>
      </c>
      <c r="C10" s="273" t="s">
        <v>9008</v>
      </c>
      <c r="D10" s="658">
        <v>22362</v>
      </c>
      <c r="E10" s="277" t="s">
        <v>9009</v>
      </c>
      <c r="F10" s="658"/>
      <c r="G10" s="294"/>
      <c r="H10" s="273">
        <v>176177</v>
      </c>
    </row>
    <row r="11" spans="1:14">
      <c r="B11" s="273" t="s">
        <v>9059</v>
      </c>
      <c r="C11" s="273" t="s">
        <v>9060</v>
      </c>
      <c r="D11" s="658">
        <v>31556</v>
      </c>
      <c r="E11" s="277" t="s">
        <v>9009</v>
      </c>
      <c r="F11" s="658"/>
      <c r="G11" s="294"/>
      <c r="H11" s="273">
        <v>20413</v>
      </c>
    </row>
    <row r="12" spans="1:14">
      <c r="B12" s="273" t="s">
        <v>9190</v>
      </c>
      <c r="C12" s="273" t="s">
        <v>9230</v>
      </c>
      <c r="D12" s="658">
        <v>17624</v>
      </c>
      <c r="E12" s="277" t="s">
        <v>9009</v>
      </c>
      <c r="F12" s="658"/>
      <c r="G12" s="294"/>
      <c r="H12" s="273">
        <v>103629</v>
      </c>
    </row>
    <row r="13" spans="1:14">
      <c r="B13" s="273" t="s">
        <v>9263</v>
      </c>
      <c r="C13" s="273" t="s">
        <v>9267</v>
      </c>
      <c r="D13" s="658">
        <v>21491</v>
      </c>
      <c r="E13" s="277"/>
      <c r="F13" s="658"/>
      <c r="G13" s="294"/>
      <c r="H13" s="273">
        <v>108173</v>
      </c>
    </row>
    <row r="14" spans="1:14">
      <c r="B14" s="273" t="s">
        <v>9310</v>
      </c>
      <c r="C14" s="273" t="s">
        <v>9593</v>
      </c>
      <c r="D14" s="658">
        <v>1161</v>
      </c>
      <c r="E14" s="277"/>
      <c r="F14" s="658"/>
      <c r="G14" s="294"/>
      <c r="H14" s="273">
        <v>97603</v>
      </c>
    </row>
    <row r="15" spans="1:14">
      <c r="B15" s="273" t="s">
        <v>8982</v>
      </c>
      <c r="C15" s="273" t="s">
        <v>8993</v>
      </c>
      <c r="D15" s="658">
        <v>21000</v>
      </c>
      <c r="E15" s="277"/>
      <c r="F15" s="658"/>
      <c r="G15" s="294"/>
      <c r="H15" s="273">
        <v>35603</v>
      </c>
    </row>
    <row r="16" spans="1:14">
      <c r="B16" s="273" t="s">
        <v>9397</v>
      </c>
      <c r="C16" s="273" t="s">
        <v>9400</v>
      </c>
      <c r="D16" s="658">
        <v>516</v>
      </c>
      <c r="E16" s="277"/>
      <c r="F16" s="658"/>
      <c r="G16" s="294"/>
      <c r="H16" s="273">
        <v>132019</v>
      </c>
    </row>
    <row r="17" spans="2:8">
      <c r="B17" s="273" t="s">
        <v>9397</v>
      </c>
      <c r="C17" s="273" t="s">
        <v>9400</v>
      </c>
      <c r="D17" s="658">
        <v>41154</v>
      </c>
      <c r="E17" s="277"/>
      <c r="F17" s="658"/>
      <c r="G17" s="294"/>
      <c r="H17" s="273">
        <v>90865</v>
      </c>
    </row>
    <row r="18" spans="2:8">
      <c r="B18" s="273" t="s">
        <v>9454</v>
      </c>
      <c r="C18" s="273" t="s">
        <v>9457</v>
      </c>
      <c r="D18" s="658">
        <v>18907</v>
      </c>
      <c r="E18" s="277"/>
      <c r="F18" s="658"/>
      <c r="G18" s="294"/>
      <c r="H18" s="273">
        <v>24253</v>
      </c>
    </row>
    <row r="19" spans="2:8">
      <c r="B19" s="273" t="s">
        <v>9501</v>
      </c>
      <c r="C19" s="273" t="s">
        <v>9504</v>
      </c>
      <c r="D19" s="658">
        <v>8137</v>
      </c>
      <c r="E19" s="277"/>
      <c r="F19" s="658"/>
      <c r="G19" s="294"/>
      <c r="H19" s="273">
        <v>22709</v>
      </c>
    </row>
    <row r="20" spans="2:8">
      <c r="B20" s="273" t="s">
        <v>9564</v>
      </c>
      <c r="C20" s="273" t="s">
        <v>9565</v>
      </c>
      <c r="D20" s="658">
        <v>44648</v>
      </c>
      <c r="E20" s="277"/>
      <c r="F20" s="658"/>
      <c r="G20" s="294"/>
      <c r="H20" s="273">
        <v>67392</v>
      </c>
    </row>
    <row r="21" spans="2:8">
      <c r="B21" s="273" t="s">
        <v>8979</v>
      </c>
      <c r="C21" s="273" t="s">
        <v>3483</v>
      </c>
      <c r="D21" s="658"/>
      <c r="E21" s="277"/>
      <c r="F21" s="658">
        <v>45</v>
      </c>
      <c r="G21" s="278"/>
      <c r="H21" s="273">
        <v>196273</v>
      </c>
    </row>
    <row r="22" spans="2:8">
      <c r="B22" s="273" t="s">
        <v>8987</v>
      </c>
      <c r="C22" s="273" t="s">
        <v>3483</v>
      </c>
      <c r="D22" s="658"/>
      <c r="E22" s="277"/>
      <c r="F22" s="658">
        <v>45</v>
      </c>
      <c r="G22" s="278"/>
      <c r="H22" s="273">
        <v>156080</v>
      </c>
    </row>
    <row r="23" spans="2:8">
      <c r="B23" s="273" t="s">
        <v>8997</v>
      </c>
      <c r="C23" s="273" t="s">
        <v>8998</v>
      </c>
      <c r="D23" s="658">
        <v>17015</v>
      </c>
      <c r="E23" s="277"/>
      <c r="F23" s="658"/>
      <c r="G23" s="278"/>
      <c r="H23" s="273">
        <v>193125</v>
      </c>
    </row>
    <row r="24" spans="2:8">
      <c r="B24" s="273" t="s">
        <v>9046</v>
      </c>
      <c r="C24" s="273" t="s">
        <v>9049</v>
      </c>
      <c r="D24" s="658">
        <v>17015</v>
      </c>
      <c r="E24" s="277"/>
      <c r="F24" s="658"/>
      <c r="G24" s="278"/>
      <c r="H24" s="273">
        <v>49216</v>
      </c>
    </row>
    <row r="25" spans="2:8">
      <c r="B25" s="273" t="s">
        <v>9094</v>
      </c>
      <c r="C25" s="273" t="s">
        <v>9110</v>
      </c>
      <c r="D25" s="658">
        <v>17015</v>
      </c>
      <c r="E25" s="277"/>
      <c r="F25" s="658"/>
      <c r="G25" s="278"/>
      <c r="H25" s="273">
        <v>188505</v>
      </c>
    </row>
    <row r="26" spans="2:8">
      <c r="B26" s="273" t="s">
        <v>9159</v>
      </c>
      <c r="C26" s="273" t="s">
        <v>9226</v>
      </c>
      <c r="D26" s="658">
        <v>17015</v>
      </c>
      <c r="E26" s="277"/>
      <c r="F26" s="658"/>
      <c r="G26" s="278"/>
      <c r="H26" s="273">
        <v>134951</v>
      </c>
    </row>
    <row r="27" spans="2:8">
      <c r="B27" s="273" t="s">
        <v>9224</v>
      </c>
      <c r="C27" s="273" t="s">
        <v>9225</v>
      </c>
      <c r="D27" s="658">
        <v>17015</v>
      </c>
      <c r="E27" s="277"/>
      <c r="F27" s="658"/>
      <c r="G27" s="278"/>
      <c r="H27" s="273">
        <v>95860</v>
      </c>
    </row>
    <row r="28" spans="2:8">
      <c r="B28" s="273" t="s">
        <v>9260</v>
      </c>
      <c r="C28" s="273" t="s">
        <v>9266</v>
      </c>
      <c r="D28" s="658">
        <v>17015</v>
      </c>
      <c r="E28" s="277"/>
      <c r="F28" s="658"/>
      <c r="G28" s="278"/>
      <c r="H28" s="273">
        <v>220765</v>
      </c>
    </row>
    <row r="29" spans="2:8">
      <c r="B29" s="273" t="s">
        <v>9295</v>
      </c>
      <c r="C29" s="273" t="s">
        <v>9296</v>
      </c>
      <c r="D29" s="658">
        <v>17015</v>
      </c>
      <c r="E29" s="277"/>
      <c r="F29" s="658"/>
      <c r="G29" s="278"/>
      <c r="H29" s="273">
        <v>188420</v>
      </c>
    </row>
    <row r="30" spans="2:8">
      <c r="B30" s="273" t="s">
        <v>9334</v>
      </c>
      <c r="C30" s="273" t="s">
        <v>9347</v>
      </c>
      <c r="D30" s="658">
        <v>17015</v>
      </c>
      <c r="E30" s="277"/>
      <c r="F30" s="658"/>
      <c r="G30" s="278"/>
      <c r="H30" s="273">
        <v>140729</v>
      </c>
    </row>
    <row r="31" spans="2:8">
      <c r="B31" s="273" t="s">
        <v>9393</v>
      </c>
      <c r="C31" s="273" t="s">
        <v>9396</v>
      </c>
      <c r="D31" s="658">
        <v>17015</v>
      </c>
      <c r="E31" s="277"/>
      <c r="F31" s="658"/>
      <c r="G31" s="278"/>
      <c r="H31" s="273">
        <v>205682</v>
      </c>
    </row>
    <row r="32" spans="2:8">
      <c r="B32" s="273" t="s">
        <v>9435</v>
      </c>
      <c r="C32" s="273" t="s">
        <v>9440</v>
      </c>
      <c r="D32" s="658">
        <v>17000</v>
      </c>
      <c r="E32" s="277" t="s">
        <v>9441</v>
      </c>
      <c r="F32" s="658"/>
      <c r="G32" s="278"/>
      <c r="H32" s="273">
        <v>152297</v>
      </c>
    </row>
    <row r="33" spans="2:8">
      <c r="B33" s="273" t="s">
        <v>9486</v>
      </c>
      <c r="C33" s="273" t="s">
        <v>9499</v>
      </c>
      <c r="D33" s="658">
        <v>20030</v>
      </c>
      <c r="E33" s="277"/>
      <c r="F33" s="658"/>
      <c r="G33" s="278"/>
      <c r="H33" s="273">
        <v>67993</v>
      </c>
    </row>
    <row r="34" spans="2:8">
      <c r="B34" s="273" t="s">
        <v>9535</v>
      </c>
      <c r="C34" s="273" t="s">
        <v>9555</v>
      </c>
      <c r="D34" s="658">
        <v>20030</v>
      </c>
      <c r="E34" s="277"/>
      <c r="F34" s="658"/>
      <c r="G34" s="278"/>
      <c r="H34" s="273">
        <v>321569</v>
      </c>
    </row>
    <row r="35" spans="2:8">
      <c r="B35" s="273" t="s">
        <v>9021</v>
      </c>
      <c r="C35" s="273" t="s">
        <v>9022</v>
      </c>
      <c r="D35" s="658">
        <v>6089</v>
      </c>
      <c r="E35" s="277"/>
      <c r="F35" s="658"/>
      <c r="G35" s="278"/>
      <c r="H35" s="273">
        <v>92794</v>
      </c>
    </row>
    <row r="36" spans="2:8">
      <c r="B36" s="273" t="s">
        <v>9077</v>
      </c>
      <c r="C36" s="273" t="s">
        <v>9078</v>
      </c>
      <c r="D36" s="658">
        <v>6089</v>
      </c>
      <c r="E36" s="277"/>
      <c r="F36" s="658"/>
      <c r="G36" s="278"/>
      <c r="H36" s="273">
        <v>335029</v>
      </c>
    </row>
    <row r="37" spans="2:8">
      <c r="B37" s="273" t="s">
        <v>9135</v>
      </c>
      <c r="C37" s="273" t="s">
        <v>9136</v>
      </c>
      <c r="D37" s="658">
        <v>6089</v>
      </c>
      <c r="E37" s="277"/>
      <c r="F37" s="658"/>
      <c r="G37" s="278"/>
      <c r="H37" s="273">
        <v>110316</v>
      </c>
    </row>
    <row r="38" spans="2:8">
      <c r="B38" s="273" t="s">
        <v>9178</v>
      </c>
      <c r="C38" s="273" t="s">
        <v>9179</v>
      </c>
      <c r="D38" s="658">
        <v>6089</v>
      </c>
      <c r="E38" s="277"/>
      <c r="F38" s="658"/>
      <c r="G38" s="278"/>
      <c r="H38" s="273">
        <v>53572</v>
      </c>
    </row>
    <row r="39" spans="2:8">
      <c r="B39" s="273" t="s">
        <v>9235</v>
      </c>
      <c r="C39" s="273" t="s">
        <v>9236</v>
      </c>
      <c r="D39" s="658">
        <v>6089</v>
      </c>
      <c r="E39" s="277"/>
      <c r="F39" s="658"/>
      <c r="G39" s="278"/>
      <c r="H39" s="273">
        <v>84131</v>
      </c>
    </row>
    <row r="40" spans="2:8">
      <c r="B40" s="273" t="s">
        <v>9281</v>
      </c>
      <c r="C40" s="273" t="s">
        <v>9282</v>
      </c>
      <c r="D40" s="658">
        <v>6089</v>
      </c>
      <c r="E40" s="277"/>
      <c r="F40" s="658"/>
      <c r="G40" s="278"/>
      <c r="H40" s="273">
        <v>180774</v>
      </c>
    </row>
    <row r="41" spans="2:8">
      <c r="B41" s="273" t="s">
        <v>9321</v>
      </c>
      <c r="C41" s="273" t="s">
        <v>9322</v>
      </c>
      <c r="D41" s="658">
        <v>6089</v>
      </c>
      <c r="E41" s="277"/>
      <c r="F41" s="658"/>
      <c r="G41" s="278"/>
      <c r="H41" s="273">
        <v>98418</v>
      </c>
    </row>
    <row r="42" spans="2:8">
      <c r="B42" s="273" t="s">
        <v>9366</v>
      </c>
      <c r="C42" s="273" t="s">
        <v>9367</v>
      </c>
      <c r="D42" s="658">
        <v>6089</v>
      </c>
      <c r="E42" s="277"/>
      <c r="F42" s="658"/>
      <c r="G42" s="278"/>
      <c r="H42" s="273">
        <v>94659</v>
      </c>
    </row>
    <row r="43" spans="2:8">
      <c r="B43" s="273" t="s">
        <v>9418</v>
      </c>
      <c r="C43" s="273" t="s">
        <v>9419</v>
      </c>
      <c r="D43" s="658">
        <v>6089</v>
      </c>
      <c r="E43" s="277"/>
      <c r="F43" s="658"/>
      <c r="G43" s="278"/>
      <c r="H43" s="273">
        <v>98658</v>
      </c>
    </row>
    <row r="44" spans="2:8">
      <c r="B44" s="273" t="s">
        <v>9470</v>
      </c>
      <c r="C44" s="273" t="s">
        <v>9471</v>
      </c>
      <c r="D44" s="658">
        <v>6089</v>
      </c>
      <c r="E44" s="277"/>
      <c r="F44" s="658"/>
      <c r="G44" s="278"/>
      <c r="H44" s="273">
        <v>17810</v>
      </c>
    </row>
    <row r="45" spans="2:8">
      <c r="B45" s="273" t="s">
        <v>9513</v>
      </c>
      <c r="C45" s="273" t="s">
        <v>9514</v>
      </c>
      <c r="D45" s="658">
        <v>8350</v>
      </c>
      <c r="E45" s="277"/>
      <c r="F45" s="658"/>
      <c r="G45" s="278"/>
      <c r="H45" s="273">
        <v>6904</v>
      </c>
    </row>
    <row r="46" spans="2:8">
      <c r="B46" s="273" t="s">
        <v>9577</v>
      </c>
      <c r="C46" s="273" t="s">
        <v>9578</v>
      </c>
      <c r="D46" s="658">
        <v>8350</v>
      </c>
      <c r="E46" s="277"/>
      <c r="F46" s="658"/>
      <c r="G46" s="278"/>
      <c r="H46" s="273">
        <v>124535</v>
      </c>
    </row>
    <row r="47" spans="2:8">
      <c r="B47" s="273" t="s">
        <v>8999</v>
      </c>
      <c r="C47" s="273" t="s">
        <v>9000</v>
      </c>
      <c r="D47" s="658"/>
      <c r="E47" s="277"/>
      <c r="F47" s="658">
        <v>3780</v>
      </c>
      <c r="G47" s="278" t="s">
        <v>9001</v>
      </c>
      <c r="H47" s="273">
        <v>196905</v>
      </c>
    </row>
    <row r="48" spans="2:8">
      <c r="B48" s="273" t="s">
        <v>8999</v>
      </c>
      <c r="C48" s="273" t="s">
        <v>9002</v>
      </c>
      <c r="D48" s="658"/>
      <c r="E48" s="277"/>
      <c r="F48" s="658">
        <v>11970</v>
      </c>
      <c r="G48" s="278" t="s">
        <v>9003</v>
      </c>
      <c r="H48" s="273">
        <v>208875</v>
      </c>
    </row>
    <row r="49" spans="2:8">
      <c r="B49" s="273" t="s">
        <v>9016</v>
      </c>
      <c r="C49" s="273" t="s">
        <v>9017</v>
      </c>
      <c r="D49" s="658"/>
      <c r="E49" s="277"/>
      <c r="F49" s="658">
        <v>16380</v>
      </c>
      <c r="G49" s="278" t="s">
        <v>9019</v>
      </c>
      <c r="H49" s="273">
        <v>84708</v>
      </c>
    </row>
    <row r="50" spans="2:8">
      <c r="B50" s="273" t="s">
        <v>9016</v>
      </c>
      <c r="C50" s="273" t="s">
        <v>9018</v>
      </c>
      <c r="D50" s="658"/>
      <c r="E50" s="277"/>
      <c r="F50" s="658">
        <v>14175</v>
      </c>
      <c r="G50" s="278" t="s">
        <v>9020</v>
      </c>
      <c r="H50" s="273">
        <v>98883</v>
      </c>
    </row>
    <row r="51" spans="2:8">
      <c r="B51" s="273" t="s">
        <v>9025</v>
      </c>
      <c r="C51" s="273" t="s">
        <v>9026</v>
      </c>
      <c r="D51" s="658"/>
      <c r="E51" s="277"/>
      <c r="F51" s="658">
        <v>12000</v>
      </c>
      <c r="G51" s="278" t="s">
        <v>9027</v>
      </c>
      <c r="H51" s="273">
        <v>43340</v>
      </c>
    </row>
    <row r="52" spans="2:8">
      <c r="B52" s="273" t="s">
        <v>9035</v>
      </c>
      <c r="C52" s="273" t="s">
        <v>9036</v>
      </c>
      <c r="D52" s="658"/>
      <c r="E52" s="277"/>
      <c r="F52" s="658">
        <v>14175</v>
      </c>
      <c r="G52" s="278" t="s">
        <v>9041</v>
      </c>
      <c r="H52" s="273">
        <v>37417</v>
      </c>
    </row>
    <row r="53" spans="2:8">
      <c r="B53" s="273" t="s">
        <v>9035</v>
      </c>
      <c r="C53" s="273" t="s">
        <v>9037</v>
      </c>
      <c r="D53" s="658"/>
      <c r="E53" s="277"/>
      <c r="F53" s="658">
        <v>13230</v>
      </c>
      <c r="G53" s="278" t="s">
        <v>9042</v>
      </c>
      <c r="H53" s="273">
        <v>50647</v>
      </c>
    </row>
    <row r="54" spans="2:8">
      <c r="B54" s="273" t="s">
        <v>9035</v>
      </c>
      <c r="C54" s="273" t="s">
        <v>9038</v>
      </c>
      <c r="D54" s="658"/>
      <c r="E54" s="277"/>
      <c r="F54" s="658">
        <v>10800</v>
      </c>
      <c r="G54" s="278" t="s">
        <v>9043</v>
      </c>
      <c r="H54" s="273">
        <v>61447</v>
      </c>
    </row>
    <row r="55" spans="2:8">
      <c r="B55" s="273" t="s">
        <v>9035</v>
      </c>
      <c r="C55" s="273" t="s">
        <v>9039</v>
      </c>
      <c r="D55" s="658"/>
      <c r="E55" s="277"/>
      <c r="F55" s="658">
        <v>3780</v>
      </c>
      <c r="G55" s="278" t="s">
        <v>9044</v>
      </c>
      <c r="H55" s="273">
        <v>65227</v>
      </c>
    </row>
    <row r="56" spans="2:8">
      <c r="B56" s="273" t="s">
        <v>9035</v>
      </c>
      <c r="C56" s="273" t="s">
        <v>9040</v>
      </c>
      <c r="D56" s="658"/>
      <c r="E56" s="277"/>
      <c r="F56" s="658">
        <v>11340</v>
      </c>
      <c r="G56" s="278" t="s">
        <v>9045</v>
      </c>
      <c r="H56" s="273">
        <v>76567</v>
      </c>
    </row>
    <row r="57" spans="2:8">
      <c r="B57" s="273" t="s">
        <v>9050</v>
      </c>
      <c r="C57" s="273" t="s">
        <v>9051</v>
      </c>
      <c r="D57" s="658"/>
      <c r="E57" s="277"/>
      <c r="F57" s="658">
        <v>17325</v>
      </c>
      <c r="G57" s="278" t="s">
        <v>9054</v>
      </c>
      <c r="H57" s="273">
        <v>66541</v>
      </c>
    </row>
    <row r="58" spans="2:8">
      <c r="B58" s="273" t="s">
        <v>9050</v>
      </c>
      <c r="C58" s="273" t="s">
        <v>9052</v>
      </c>
      <c r="D58" s="658"/>
      <c r="E58" s="277"/>
      <c r="F58" s="658">
        <v>20475</v>
      </c>
      <c r="G58" s="278" t="s">
        <v>9055</v>
      </c>
      <c r="H58" s="273">
        <v>87016</v>
      </c>
    </row>
    <row r="59" spans="2:8">
      <c r="B59" s="273" t="s">
        <v>9050</v>
      </c>
      <c r="C59" s="273" t="s">
        <v>9053</v>
      </c>
      <c r="D59" s="658"/>
      <c r="E59" s="277"/>
      <c r="F59" s="658">
        <v>12600</v>
      </c>
      <c r="G59" s="278" t="s">
        <v>9056</v>
      </c>
      <c r="H59" s="273">
        <v>99616</v>
      </c>
    </row>
    <row r="60" spans="2:8">
      <c r="B60" s="273" t="s">
        <v>8977</v>
      </c>
      <c r="C60" s="273" t="s">
        <v>9061</v>
      </c>
      <c r="D60" s="658"/>
      <c r="E60" s="277"/>
      <c r="F60" s="658">
        <v>14175</v>
      </c>
      <c r="G60" s="278" t="s">
        <v>9062</v>
      </c>
      <c r="H60" s="273">
        <v>34588</v>
      </c>
    </row>
    <row r="61" spans="2:8">
      <c r="B61" s="273" t="s">
        <v>9070</v>
      </c>
      <c r="C61" s="273" t="s">
        <v>9071</v>
      </c>
      <c r="D61" s="658"/>
      <c r="E61" s="277"/>
      <c r="F61" s="658">
        <v>14175</v>
      </c>
      <c r="G61" s="278" t="s">
        <v>9074</v>
      </c>
      <c r="H61" s="273">
        <v>15143</v>
      </c>
    </row>
    <row r="62" spans="2:8">
      <c r="B62" s="273" t="s">
        <v>9070</v>
      </c>
      <c r="C62" s="273" t="s">
        <v>9072</v>
      </c>
      <c r="D62" s="658"/>
      <c r="E62" s="277"/>
      <c r="F62" s="658">
        <v>331800</v>
      </c>
      <c r="G62" s="278" t="s">
        <v>9075</v>
      </c>
      <c r="H62" s="273">
        <v>346943</v>
      </c>
    </row>
    <row r="63" spans="2:8">
      <c r="B63" s="273" t="s">
        <v>9070</v>
      </c>
      <c r="C63" s="273" t="s">
        <v>9073</v>
      </c>
      <c r="D63" s="658"/>
      <c r="E63" s="277"/>
      <c r="F63" s="658">
        <v>14175</v>
      </c>
      <c r="G63" s="278" t="s">
        <v>9076</v>
      </c>
      <c r="H63" s="273">
        <v>361118</v>
      </c>
    </row>
    <row r="64" spans="2:8">
      <c r="B64" s="273" t="s">
        <v>8978</v>
      </c>
      <c r="C64" s="273" t="s">
        <v>9080</v>
      </c>
      <c r="D64" s="658"/>
      <c r="E64" s="277"/>
      <c r="F64" s="658">
        <v>20475</v>
      </c>
      <c r="G64" s="278" t="s">
        <v>9084</v>
      </c>
      <c r="H64" s="273">
        <v>359504</v>
      </c>
    </row>
    <row r="65" spans="2:8">
      <c r="B65" s="273" t="s">
        <v>8978</v>
      </c>
      <c r="C65" s="273" t="s">
        <v>9081</v>
      </c>
      <c r="D65" s="658"/>
      <c r="E65" s="277"/>
      <c r="F65" s="658">
        <v>20475</v>
      </c>
      <c r="G65" s="278" t="s">
        <v>9085</v>
      </c>
      <c r="H65" s="273">
        <v>379979</v>
      </c>
    </row>
    <row r="66" spans="2:8">
      <c r="B66" s="273" t="s">
        <v>8978</v>
      </c>
      <c r="C66" s="273" t="s">
        <v>9082</v>
      </c>
      <c r="D66" s="658"/>
      <c r="E66" s="277"/>
      <c r="F66" s="658">
        <v>16380</v>
      </c>
      <c r="G66" s="278" t="s">
        <v>9086</v>
      </c>
      <c r="H66" s="273">
        <v>396359</v>
      </c>
    </row>
    <row r="67" spans="2:8">
      <c r="B67" s="273" t="s">
        <v>8978</v>
      </c>
      <c r="C67" s="273" t="s">
        <v>9083</v>
      </c>
      <c r="D67" s="658"/>
      <c r="E67" s="277"/>
      <c r="F67" s="658">
        <v>20475</v>
      </c>
      <c r="G67" s="278" t="s">
        <v>9086</v>
      </c>
      <c r="H67" s="273">
        <v>416834</v>
      </c>
    </row>
    <row r="68" spans="2:8">
      <c r="B68" s="273" t="s">
        <v>9089</v>
      </c>
      <c r="C68" s="273" t="s">
        <v>9090</v>
      </c>
      <c r="D68" s="658"/>
      <c r="E68" s="277"/>
      <c r="F68" s="658">
        <v>20475</v>
      </c>
      <c r="G68" s="278" t="s">
        <v>9091</v>
      </c>
      <c r="H68" s="273">
        <v>174249</v>
      </c>
    </row>
    <row r="69" spans="2:8">
      <c r="B69" s="273" t="s">
        <v>9094</v>
      </c>
      <c r="C69" s="273" t="s">
        <v>9810</v>
      </c>
      <c r="D69" s="658"/>
      <c r="E69" s="277"/>
      <c r="F69" s="658">
        <v>13230</v>
      </c>
      <c r="G69" s="278" t="s">
        <v>9101</v>
      </c>
      <c r="H69" s="273">
        <v>124025</v>
      </c>
    </row>
    <row r="70" spans="2:8">
      <c r="B70" s="273" t="s">
        <v>9094</v>
      </c>
      <c r="C70" s="273" t="s">
        <v>9095</v>
      </c>
      <c r="D70" s="658"/>
      <c r="E70" s="277"/>
      <c r="F70" s="658">
        <v>12600</v>
      </c>
      <c r="G70" s="278" t="s">
        <v>9102</v>
      </c>
      <c r="H70" s="273">
        <v>136625</v>
      </c>
    </row>
    <row r="71" spans="2:8">
      <c r="B71" s="273" t="s">
        <v>9094</v>
      </c>
      <c r="C71" s="273" t="s">
        <v>9096</v>
      </c>
      <c r="D71" s="658"/>
      <c r="E71" s="277"/>
      <c r="F71" s="658">
        <v>13500</v>
      </c>
      <c r="G71" s="278" t="s">
        <v>9103</v>
      </c>
      <c r="H71" s="273">
        <v>150125</v>
      </c>
    </row>
    <row r="72" spans="2:8">
      <c r="B72" s="273" t="s">
        <v>9094</v>
      </c>
      <c r="C72" s="273" t="s">
        <v>9097</v>
      </c>
      <c r="D72" s="658"/>
      <c r="E72" s="277"/>
      <c r="F72" s="658">
        <v>14175</v>
      </c>
      <c r="G72" s="278" t="s">
        <v>9104</v>
      </c>
      <c r="H72" s="273">
        <v>164300</v>
      </c>
    </row>
    <row r="73" spans="2:8">
      <c r="B73" s="273" t="s">
        <v>9094</v>
      </c>
      <c r="C73" s="273" t="s">
        <v>9098</v>
      </c>
      <c r="D73" s="658"/>
      <c r="E73" s="277"/>
      <c r="F73" s="658">
        <v>13500</v>
      </c>
      <c r="G73" s="278" t="s">
        <v>9105</v>
      </c>
      <c r="H73" s="273">
        <v>177800</v>
      </c>
    </row>
    <row r="74" spans="2:8">
      <c r="B74" s="273" t="s">
        <v>9094</v>
      </c>
      <c r="C74" s="273" t="s">
        <v>9099</v>
      </c>
      <c r="D74" s="658"/>
      <c r="E74" s="277"/>
      <c r="F74" s="658">
        <v>11340</v>
      </c>
      <c r="G74" s="278" t="s">
        <v>9106</v>
      </c>
      <c r="H74" s="273">
        <v>189140</v>
      </c>
    </row>
    <row r="75" spans="2:8">
      <c r="B75" s="273" t="s">
        <v>9094</v>
      </c>
      <c r="C75" s="273" t="s">
        <v>9100</v>
      </c>
      <c r="D75" s="658"/>
      <c r="E75" s="277"/>
      <c r="F75" s="658">
        <v>3780</v>
      </c>
      <c r="G75" s="278" t="s">
        <v>9107</v>
      </c>
      <c r="H75" s="273">
        <v>192920</v>
      </c>
    </row>
    <row r="76" spans="2:8">
      <c r="B76" s="273" t="s">
        <v>9094</v>
      </c>
      <c r="C76" s="273" t="s">
        <v>9108</v>
      </c>
      <c r="D76" s="658"/>
      <c r="E76" s="277"/>
      <c r="F76" s="658">
        <v>12600</v>
      </c>
      <c r="G76" s="278" t="s">
        <v>9109</v>
      </c>
      <c r="H76" s="273">
        <v>205520</v>
      </c>
    </row>
    <row r="77" spans="2:8">
      <c r="B77" s="273" t="s">
        <v>9125</v>
      </c>
      <c r="C77" s="273" t="s">
        <v>9126</v>
      </c>
      <c r="D77" s="658"/>
      <c r="E77" s="277"/>
      <c r="F77" s="658">
        <v>11970</v>
      </c>
      <c r="G77" s="278" t="s">
        <v>9127</v>
      </c>
      <c r="H77" s="273">
        <v>129724</v>
      </c>
    </row>
    <row r="78" spans="2:8">
      <c r="B78" s="273" t="s">
        <v>9129</v>
      </c>
      <c r="C78" s="273" t="s">
        <v>9130</v>
      </c>
      <c r="D78" s="658"/>
      <c r="E78" s="277"/>
      <c r="F78" s="658">
        <v>14175</v>
      </c>
      <c r="G78" s="278" t="s">
        <v>9132</v>
      </c>
      <c r="H78" s="273">
        <v>82445</v>
      </c>
    </row>
    <row r="79" spans="2:8">
      <c r="B79" s="273" t="s">
        <v>9129</v>
      </c>
      <c r="C79" s="273" t="s">
        <v>9131</v>
      </c>
      <c r="D79" s="658"/>
      <c r="E79" s="277"/>
      <c r="F79" s="658">
        <v>20475</v>
      </c>
      <c r="G79" s="278" t="s">
        <v>9133</v>
      </c>
      <c r="H79" s="273">
        <v>102920</v>
      </c>
    </row>
    <row r="80" spans="2:8">
      <c r="B80" s="273" t="s">
        <v>9137</v>
      </c>
      <c r="C80" s="273" t="s">
        <v>9138</v>
      </c>
      <c r="D80" s="658"/>
      <c r="E80" s="277"/>
      <c r="F80" s="658">
        <v>17325</v>
      </c>
      <c r="G80" s="278" t="s">
        <v>9140</v>
      </c>
      <c r="H80" s="273">
        <v>127641</v>
      </c>
    </row>
    <row r="81" spans="2:8">
      <c r="B81" s="273" t="s">
        <v>9137</v>
      </c>
      <c r="C81" s="273" t="s">
        <v>9139</v>
      </c>
      <c r="D81" s="658"/>
      <c r="E81" s="277"/>
      <c r="F81" s="658">
        <v>14175</v>
      </c>
      <c r="G81" s="278" t="s">
        <v>9141</v>
      </c>
      <c r="H81" s="273">
        <v>141816</v>
      </c>
    </row>
    <row r="82" spans="2:8">
      <c r="B82" s="273" t="s">
        <v>9143</v>
      </c>
      <c r="C82" s="273" t="s">
        <v>9144</v>
      </c>
      <c r="D82" s="658"/>
      <c r="E82" s="277"/>
      <c r="F82" s="658">
        <v>14175</v>
      </c>
      <c r="G82" s="278" t="s">
        <v>9145</v>
      </c>
      <c r="H82" s="273">
        <v>150991</v>
      </c>
    </row>
    <row r="83" spans="2:8">
      <c r="B83" s="273" t="s">
        <v>9151</v>
      </c>
      <c r="C83" s="273" t="s">
        <v>9153</v>
      </c>
      <c r="D83" s="658"/>
      <c r="E83" s="277"/>
      <c r="F83" s="658">
        <v>11970</v>
      </c>
      <c r="G83" s="278" t="s">
        <v>9156</v>
      </c>
      <c r="H83" s="273">
        <v>151966</v>
      </c>
    </row>
    <row r="84" spans="2:8">
      <c r="B84" s="273" t="s">
        <v>9152</v>
      </c>
      <c r="C84" s="273" t="s">
        <v>9154</v>
      </c>
      <c r="D84" s="658"/>
      <c r="E84" s="277"/>
      <c r="F84" s="658">
        <v>3780</v>
      </c>
      <c r="G84" s="278" t="s">
        <v>9157</v>
      </c>
      <c r="H84" s="273">
        <v>138731</v>
      </c>
    </row>
    <row r="85" spans="2:8">
      <c r="B85" s="273" t="s">
        <v>9152</v>
      </c>
      <c r="C85" s="273" t="s">
        <v>9155</v>
      </c>
      <c r="D85" s="658"/>
      <c r="E85" s="277"/>
      <c r="F85" s="658">
        <v>14175</v>
      </c>
      <c r="G85" s="278" t="s">
        <v>9158</v>
      </c>
      <c r="H85" s="273">
        <v>152906</v>
      </c>
    </row>
    <row r="86" spans="2:8">
      <c r="B86" s="273" t="s">
        <v>9162</v>
      </c>
      <c r="C86" s="273" t="s">
        <v>9163</v>
      </c>
      <c r="D86" s="658"/>
      <c r="E86" s="277"/>
      <c r="F86" s="658">
        <v>13500</v>
      </c>
      <c r="G86" s="278" t="s">
        <v>9165</v>
      </c>
      <c r="H86" s="273">
        <v>155926</v>
      </c>
    </row>
    <row r="87" spans="2:8">
      <c r="B87" s="273" t="s">
        <v>9162</v>
      </c>
      <c r="C87" s="273" t="s">
        <v>9164</v>
      </c>
      <c r="D87" s="658"/>
      <c r="E87" s="277"/>
      <c r="F87" s="658">
        <v>14175</v>
      </c>
      <c r="G87" s="278" t="s">
        <v>9166</v>
      </c>
      <c r="H87" s="273">
        <v>170101</v>
      </c>
    </row>
    <row r="88" spans="2:8">
      <c r="B88" s="273" t="s">
        <v>9172</v>
      </c>
      <c r="C88" s="273" t="s">
        <v>9173</v>
      </c>
      <c r="D88" s="658"/>
      <c r="E88" s="277"/>
      <c r="F88" s="658">
        <v>14175</v>
      </c>
      <c r="G88" s="278" t="s">
        <v>9175</v>
      </c>
      <c r="H88" s="273">
        <v>44585</v>
      </c>
    </row>
    <row r="89" spans="2:8">
      <c r="B89" s="273" t="s">
        <v>9172</v>
      </c>
      <c r="C89" s="273" t="s">
        <v>9174</v>
      </c>
      <c r="D89" s="658"/>
      <c r="E89" s="277"/>
      <c r="F89" s="658">
        <v>16380</v>
      </c>
      <c r="G89" s="278" t="s">
        <v>9176</v>
      </c>
      <c r="H89" s="273">
        <v>60965</v>
      </c>
    </row>
    <row r="90" spans="2:8">
      <c r="B90" s="273" t="s">
        <v>9180</v>
      </c>
      <c r="C90" s="273" t="s">
        <v>9181</v>
      </c>
      <c r="D90" s="658"/>
      <c r="E90" s="277"/>
      <c r="F90" s="658">
        <v>12000</v>
      </c>
      <c r="G90" s="278" t="s">
        <v>9182</v>
      </c>
      <c r="H90" s="273">
        <v>65572</v>
      </c>
    </row>
    <row r="91" spans="2:8">
      <c r="B91" s="273" t="s">
        <v>9188</v>
      </c>
      <c r="C91" s="273" t="s">
        <v>9196</v>
      </c>
      <c r="D91" s="658"/>
      <c r="E91" s="277"/>
      <c r="F91" s="658">
        <v>14175</v>
      </c>
      <c r="G91" s="278" t="s">
        <v>9210</v>
      </c>
      <c r="H91" s="273">
        <v>88845</v>
      </c>
    </row>
    <row r="92" spans="2:8">
      <c r="B92" s="273" t="s">
        <v>9188</v>
      </c>
      <c r="C92" s="273" t="s">
        <v>9197</v>
      </c>
      <c r="D92" s="658"/>
      <c r="E92" s="277"/>
      <c r="F92" s="658">
        <v>10800</v>
      </c>
      <c r="G92" s="278" t="s">
        <v>9211</v>
      </c>
      <c r="H92" s="273">
        <v>99645</v>
      </c>
    </row>
    <row r="93" spans="2:8">
      <c r="B93" s="273" t="s">
        <v>9188</v>
      </c>
      <c r="C93" s="273" t="s">
        <v>9198</v>
      </c>
      <c r="D93" s="658"/>
      <c r="E93" s="277"/>
      <c r="F93" s="658">
        <v>13230</v>
      </c>
      <c r="G93" s="278" t="s">
        <v>9212</v>
      </c>
      <c r="H93" s="273">
        <v>112875</v>
      </c>
    </row>
    <row r="94" spans="2:8">
      <c r="B94" s="273" t="s">
        <v>9189</v>
      </c>
      <c r="C94" s="273" t="s">
        <v>9199</v>
      </c>
      <c r="D94" s="658"/>
      <c r="E94" s="277"/>
      <c r="F94" s="658">
        <v>3780</v>
      </c>
      <c r="G94" s="278" t="s">
        <v>9213</v>
      </c>
      <c r="H94" s="273">
        <v>99640</v>
      </c>
    </row>
    <row r="95" spans="2:8">
      <c r="B95" s="273" t="s">
        <v>9189</v>
      </c>
      <c r="C95" s="273" t="s">
        <v>9200</v>
      </c>
      <c r="D95" s="658"/>
      <c r="E95" s="277"/>
      <c r="F95" s="658">
        <v>11340</v>
      </c>
      <c r="G95" s="278" t="s">
        <v>9214</v>
      </c>
      <c r="H95" s="273">
        <v>110980</v>
      </c>
    </row>
    <row r="96" spans="2:8">
      <c r="B96" s="273" t="s">
        <v>9190</v>
      </c>
      <c r="C96" s="273" t="s">
        <v>9201</v>
      </c>
      <c r="D96" s="658"/>
      <c r="E96" s="277"/>
      <c r="F96" s="658">
        <v>17325</v>
      </c>
      <c r="G96" s="278" t="s">
        <v>9215</v>
      </c>
      <c r="H96" s="273">
        <v>117825</v>
      </c>
    </row>
    <row r="97" spans="2:8">
      <c r="B97" s="273" t="s">
        <v>9190</v>
      </c>
      <c r="C97" s="273" t="s">
        <v>9202</v>
      </c>
      <c r="D97" s="658"/>
      <c r="E97" s="277"/>
      <c r="F97" s="658">
        <v>12600</v>
      </c>
      <c r="G97" s="278" t="s">
        <v>9216</v>
      </c>
      <c r="H97" s="273">
        <v>130425</v>
      </c>
    </row>
    <row r="98" spans="2:8">
      <c r="B98" s="273" t="s">
        <v>9190</v>
      </c>
      <c r="C98" s="273" t="s">
        <v>9203</v>
      </c>
      <c r="D98" s="658"/>
      <c r="E98" s="277"/>
      <c r="F98" s="658">
        <v>20475</v>
      </c>
      <c r="G98" s="278" t="s">
        <v>9217</v>
      </c>
      <c r="H98" s="273">
        <v>150900</v>
      </c>
    </row>
    <row r="99" spans="2:8">
      <c r="B99" s="273" t="s">
        <v>9193</v>
      </c>
      <c r="C99" s="273" t="s">
        <v>9204</v>
      </c>
      <c r="D99" s="658"/>
      <c r="E99" s="277"/>
      <c r="F99" s="658">
        <v>13500</v>
      </c>
      <c r="G99" s="278" t="s">
        <v>9218</v>
      </c>
      <c r="H99" s="273">
        <v>117129</v>
      </c>
    </row>
    <row r="100" spans="2:8">
      <c r="B100" s="273" t="s">
        <v>9191</v>
      </c>
      <c r="C100" s="273" t="s">
        <v>9205</v>
      </c>
      <c r="D100" s="658"/>
      <c r="E100" s="277"/>
      <c r="F100" s="658">
        <v>20475</v>
      </c>
      <c r="G100" s="278" t="s">
        <v>9219</v>
      </c>
      <c r="H100" s="273">
        <v>76045</v>
      </c>
    </row>
    <row r="101" spans="2:8">
      <c r="B101" s="273" t="s">
        <v>9194</v>
      </c>
      <c r="C101" s="273" t="s">
        <v>9206</v>
      </c>
      <c r="D101" s="658"/>
      <c r="E101" s="277"/>
      <c r="F101" s="658">
        <v>14175</v>
      </c>
      <c r="G101" s="278" t="s">
        <v>9220</v>
      </c>
      <c r="H101" s="273">
        <v>90220</v>
      </c>
    </row>
    <row r="102" spans="2:8">
      <c r="B102" s="273" t="s">
        <v>9192</v>
      </c>
      <c r="C102" s="273" t="s">
        <v>9207</v>
      </c>
      <c r="D102" s="658"/>
      <c r="E102" s="277"/>
      <c r="F102" s="658">
        <v>14175</v>
      </c>
      <c r="G102" s="278" t="s">
        <v>9221</v>
      </c>
      <c r="H102" s="273">
        <v>98306</v>
      </c>
    </row>
    <row r="103" spans="2:8">
      <c r="B103" s="273" t="s">
        <v>9195</v>
      </c>
      <c r="C103" s="273" t="s">
        <v>9208</v>
      </c>
      <c r="D103" s="658"/>
      <c r="E103" s="277"/>
      <c r="F103" s="658">
        <v>20475</v>
      </c>
      <c r="G103" s="278" t="s">
        <v>9222</v>
      </c>
      <c r="H103" s="273">
        <v>113781</v>
      </c>
    </row>
    <row r="104" spans="2:8">
      <c r="B104" s="273" t="s">
        <v>9195</v>
      </c>
      <c r="C104" s="273" t="s">
        <v>9209</v>
      </c>
      <c r="D104" s="658"/>
      <c r="E104" s="277"/>
      <c r="F104" s="658">
        <v>20475</v>
      </c>
      <c r="G104" s="278" t="s">
        <v>9223</v>
      </c>
      <c r="H104" s="273">
        <v>134256</v>
      </c>
    </row>
    <row r="105" spans="2:8">
      <c r="B105" s="273" t="s">
        <v>9195</v>
      </c>
      <c r="C105" s="273" t="s">
        <v>9238</v>
      </c>
      <c r="D105" s="658"/>
      <c r="E105" s="277"/>
      <c r="F105" s="658">
        <v>16380</v>
      </c>
      <c r="G105" s="278" t="s">
        <v>9223</v>
      </c>
      <c r="H105" s="273">
        <v>150636</v>
      </c>
    </row>
    <row r="106" spans="2:8">
      <c r="B106" s="273" t="s">
        <v>9195</v>
      </c>
      <c r="C106" s="273" t="s">
        <v>9239</v>
      </c>
      <c r="D106" s="658"/>
      <c r="E106" s="277"/>
      <c r="F106" s="658">
        <v>20475</v>
      </c>
      <c r="G106" s="278" t="s">
        <v>9240</v>
      </c>
      <c r="H106" s="273">
        <v>171111</v>
      </c>
    </row>
    <row r="107" spans="2:8">
      <c r="B107" s="273" t="s">
        <v>9245</v>
      </c>
      <c r="C107" s="273" t="s">
        <v>9246</v>
      </c>
      <c r="D107" s="658"/>
      <c r="E107" s="277"/>
      <c r="F107" s="658">
        <v>13230</v>
      </c>
      <c r="G107" s="278" t="s">
        <v>9253</v>
      </c>
      <c r="H107" s="273">
        <v>179365</v>
      </c>
    </row>
    <row r="108" spans="2:8">
      <c r="B108" s="273" t="s">
        <v>9245</v>
      </c>
      <c r="C108" s="273" t="s">
        <v>9247</v>
      </c>
      <c r="D108" s="658"/>
      <c r="E108" s="277"/>
      <c r="F108" s="658">
        <v>13500</v>
      </c>
      <c r="G108" s="278" t="s">
        <v>9254</v>
      </c>
      <c r="H108" s="273">
        <v>192865</v>
      </c>
    </row>
    <row r="109" spans="2:8">
      <c r="B109" s="273" t="s">
        <v>9245</v>
      </c>
      <c r="C109" s="273" t="s">
        <v>9248</v>
      </c>
      <c r="D109" s="658"/>
      <c r="E109" s="277"/>
      <c r="F109" s="658">
        <v>14175</v>
      </c>
      <c r="G109" s="278" t="s">
        <v>9255</v>
      </c>
      <c r="H109" s="273">
        <v>207040</v>
      </c>
    </row>
    <row r="110" spans="2:8">
      <c r="B110" s="273" t="s">
        <v>9245</v>
      </c>
      <c r="C110" s="273" t="s">
        <v>9249</v>
      </c>
      <c r="D110" s="658"/>
      <c r="E110" s="277"/>
      <c r="F110" s="658">
        <v>13500</v>
      </c>
      <c r="G110" s="278" t="s">
        <v>9256</v>
      </c>
      <c r="H110" s="273">
        <v>220540</v>
      </c>
    </row>
    <row r="111" spans="2:8">
      <c r="B111" s="273" t="s">
        <v>9260</v>
      </c>
      <c r="C111" s="273" t="s">
        <v>9250</v>
      </c>
      <c r="D111" s="658"/>
      <c r="E111" s="277"/>
      <c r="F111" s="658">
        <v>3780</v>
      </c>
      <c r="G111" s="278" t="s">
        <v>9257</v>
      </c>
      <c r="H111" s="273">
        <v>224320</v>
      </c>
    </row>
    <row r="112" spans="2:8">
      <c r="B112" s="273" t="s">
        <v>9260</v>
      </c>
      <c r="C112" s="273" t="s">
        <v>9251</v>
      </c>
      <c r="D112" s="658"/>
      <c r="E112" s="277"/>
      <c r="F112" s="658">
        <v>11340</v>
      </c>
      <c r="G112" s="278" t="s">
        <v>9258</v>
      </c>
      <c r="H112" s="273">
        <v>235660</v>
      </c>
    </row>
    <row r="113" spans="2:8">
      <c r="B113" s="273" t="s">
        <v>9260</v>
      </c>
      <c r="C113" s="273" t="s">
        <v>9252</v>
      </c>
      <c r="D113" s="658"/>
      <c r="E113" s="277"/>
      <c r="F113" s="658">
        <v>12600</v>
      </c>
      <c r="G113" s="278" t="s">
        <v>9259</v>
      </c>
      <c r="H113" s="273">
        <v>248260</v>
      </c>
    </row>
    <row r="114" spans="2:8">
      <c r="B114" s="273" t="s">
        <v>9270</v>
      </c>
      <c r="C114" s="273" t="s">
        <v>9272</v>
      </c>
      <c r="D114" s="658"/>
      <c r="E114" s="277"/>
      <c r="F114" s="658">
        <v>11970</v>
      </c>
      <c r="G114" s="278" t="s">
        <v>9276</v>
      </c>
      <c r="H114" s="273">
        <v>120143</v>
      </c>
    </row>
    <row r="115" spans="2:8">
      <c r="B115" s="273" t="s">
        <v>9271</v>
      </c>
      <c r="C115" s="273" t="s">
        <v>9273</v>
      </c>
      <c r="D115" s="658"/>
      <c r="E115" s="277"/>
      <c r="F115" s="658">
        <v>20475</v>
      </c>
      <c r="G115" s="278" t="s">
        <v>9277</v>
      </c>
      <c r="H115" s="273">
        <v>145028</v>
      </c>
    </row>
    <row r="116" spans="2:8">
      <c r="B116" s="273" t="s">
        <v>9271</v>
      </c>
      <c r="C116" s="273" t="s">
        <v>9274</v>
      </c>
      <c r="D116" s="658"/>
      <c r="E116" s="277"/>
      <c r="F116" s="658">
        <v>14175</v>
      </c>
      <c r="G116" s="278" t="s">
        <v>9278</v>
      </c>
      <c r="H116" s="273">
        <v>159203</v>
      </c>
    </row>
    <row r="117" spans="2:8">
      <c r="B117" s="273" t="s">
        <v>9271</v>
      </c>
      <c r="C117" s="273" t="s">
        <v>9275</v>
      </c>
      <c r="D117" s="658"/>
      <c r="E117" s="277"/>
      <c r="F117" s="658">
        <v>14175</v>
      </c>
      <c r="G117" s="278" t="s">
        <v>9279</v>
      </c>
      <c r="H117" s="273">
        <v>173378</v>
      </c>
    </row>
    <row r="118" spans="2:8">
      <c r="B118" s="273" t="s">
        <v>9285</v>
      </c>
      <c r="C118" s="273" t="s">
        <v>9286</v>
      </c>
      <c r="D118" s="658"/>
      <c r="E118" s="277"/>
      <c r="F118" s="658">
        <v>17325</v>
      </c>
      <c r="G118" s="278" t="s">
        <v>9287</v>
      </c>
      <c r="H118" s="273">
        <v>196228</v>
      </c>
    </row>
    <row r="119" spans="2:8">
      <c r="B119" s="273" t="s">
        <v>9288</v>
      </c>
      <c r="C119" s="273" t="s">
        <v>9289</v>
      </c>
      <c r="D119" s="658"/>
      <c r="E119" s="277"/>
      <c r="F119" s="658">
        <v>14175</v>
      </c>
      <c r="G119" s="278" t="s">
        <v>9290</v>
      </c>
      <c r="H119" s="273">
        <v>210448</v>
      </c>
    </row>
    <row r="120" spans="2:8">
      <c r="B120" s="273" t="s">
        <v>9297</v>
      </c>
      <c r="C120" s="273" t="s">
        <v>9298</v>
      </c>
      <c r="D120" s="658"/>
      <c r="E120" s="277"/>
      <c r="F120" s="658">
        <v>11970</v>
      </c>
      <c r="G120" s="278" t="s">
        <v>9301</v>
      </c>
      <c r="H120" s="273">
        <v>200390</v>
      </c>
    </row>
    <row r="121" spans="2:8">
      <c r="B121" s="273" t="s">
        <v>9297</v>
      </c>
      <c r="C121" s="273" t="s">
        <v>9299</v>
      </c>
      <c r="D121" s="658"/>
      <c r="E121" s="277"/>
      <c r="F121" s="658">
        <v>3780</v>
      </c>
      <c r="G121" s="278" t="s">
        <v>9302</v>
      </c>
      <c r="H121" s="273">
        <v>204170</v>
      </c>
    </row>
    <row r="122" spans="2:8">
      <c r="B122" s="273" t="s">
        <v>9297</v>
      </c>
      <c r="C122" s="273" t="s">
        <v>9300</v>
      </c>
      <c r="D122" s="658"/>
      <c r="E122" s="277"/>
      <c r="F122" s="658">
        <v>14175</v>
      </c>
      <c r="G122" s="278" t="s">
        <v>9303</v>
      </c>
      <c r="H122" s="273">
        <v>218345</v>
      </c>
    </row>
    <row r="123" spans="2:8">
      <c r="B123" s="273" t="s">
        <v>9313</v>
      </c>
      <c r="C123" s="273" t="s">
        <v>9314</v>
      </c>
      <c r="D123" s="658"/>
      <c r="E123" s="277"/>
      <c r="F123" s="658">
        <v>14175</v>
      </c>
      <c r="G123" s="278" t="s">
        <v>9317</v>
      </c>
      <c r="H123" s="273">
        <v>103952</v>
      </c>
    </row>
    <row r="124" spans="2:8">
      <c r="B124" s="273" t="s">
        <v>9313</v>
      </c>
      <c r="C124" s="273" t="s">
        <v>9315</v>
      </c>
      <c r="D124" s="658"/>
      <c r="E124" s="277"/>
      <c r="F124" s="658">
        <v>16380</v>
      </c>
      <c r="G124" s="278" t="s">
        <v>9318</v>
      </c>
      <c r="H124" s="273">
        <v>120332</v>
      </c>
    </row>
    <row r="125" spans="2:8">
      <c r="B125" s="273" t="s">
        <v>9313</v>
      </c>
      <c r="C125" s="273" t="s">
        <v>9316</v>
      </c>
      <c r="D125" s="658"/>
      <c r="E125" s="277"/>
      <c r="F125" s="658">
        <v>14175</v>
      </c>
      <c r="G125" s="278" t="s">
        <v>9319</v>
      </c>
      <c r="H125" s="273">
        <v>134507</v>
      </c>
    </row>
    <row r="126" spans="2:8">
      <c r="B126" s="273" t="s">
        <v>9324</v>
      </c>
      <c r="C126" s="273" t="s">
        <v>9325</v>
      </c>
      <c r="D126" s="658"/>
      <c r="E126" s="277"/>
      <c r="F126" s="658">
        <v>12000</v>
      </c>
      <c r="G126" s="278" t="s">
        <v>9326</v>
      </c>
      <c r="H126" s="273">
        <v>124583</v>
      </c>
    </row>
    <row r="127" spans="2:8">
      <c r="B127" s="273" t="s">
        <v>9332</v>
      </c>
      <c r="C127" s="273" t="s">
        <v>9335</v>
      </c>
      <c r="D127" s="658"/>
      <c r="E127" s="277"/>
      <c r="F127" s="658">
        <v>14175</v>
      </c>
      <c r="G127" s="278" t="s">
        <v>9340</v>
      </c>
      <c r="H127" s="273">
        <v>128804</v>
      </c>
    </row>
    <row r="128" spans="2:8">
      <c r="B128" s="273" t="s">
        <v>9333</v>
      </c>
      <c r="C128" s="273" t="s">
        <v>9336</v>
      </c>
      <c r="D128" s="658"/>
      <c r="E128" s="277"/>
      <c r="F128" s="658">
        <v>10800</v>
      </c>
      <c r="G128" s="278" t="s">
        <v>9341</v>
      </c>
      <c r="H128" s="273">
        <v>139604</v>
      </c>
    </row>
    <row r="129" spans="2:8">
      <c r="B129" s="273" t="s">
        <v>9334</v>
      </c>
      <c r="C129" s="273" t="s">
        <v>9337</v>
      </c>
      <c r="D129" s="658"/>
      <c r="E129" s="277"/>
      <c r="F129" s="658">
        <v>11340</v>
      </c>
      <c r="G129" s="278" t="s">
        <v>9342</v>
      </c>
      <c r="H129" s="273">
        <v>150944</v>
      </c>
    </row>
    <row r="130" spans="2:8">
      <c r="B130" s="273" t="s">
        <v>9334</v>
      </c>
      <c r="C130" s="273" t="s">
        <v>9338</v>
      </c>
      <c r="D130" s="658"/>
      <c r="E130" s="277"/>
      <c r="F130" s="658">
        <v>3780</v>
      </c>
      <c r="G130" s="278" t="s">
        <v>9343</v>
      </c>
      <c r="H130" s="273">
        <v>154724</v>
      </c>
    </row>
    <row r="131" spans="2:8">
      <c r="B131" s="273" t="s">
        <v>9334</v>
      </c>
      <c r="C131" s="273" t="s">
        <v>9339</v>
      </c>
      <c r="D131" s="658"/>
      <c r="E131" s="277"/>
      <c r="F131" s="658">
        <v>13500</v>
      </c>
      <c r="G131" s="278" t="s">
        <v>9344</v>
      </c>
      <c r="H131" s="273">
        <v>168224</v>
      </c>
    </row>
    <row r="132" spans="2:8">
      <c r="B132" s="273" t="s">
        <v>9348</v>
      </c>
      <c r="C132" s="273" t="s">
        <v>9349</v>
      </c>
      <c r="D132" s="658"/>
      <c r="E132" s="277"/>
      <c r="F132" s="658">
        <v>20475</v>
      </c>
      <c r="G132" s="278" t="s">
        <v>9350</v>
      </c>
      <c r="H132" s="273">
        <v>161204</v>
      </c>
    </row>
    <row r="133" spans="2:8">
      <c r="B133" s="273" t="s">
        <v>9355</v>
      </c>
      <c r="C133" s="273" t="s">
        <v>9357</v>
      </c>
      <c r="D133" s="658"/>
      <c r="E133" s="277"/>
      <c r="F133" s="658">
        <v>12600</v>
      </c>
      <c r="G133" s="278" t="s">
        <v>9359</v>
      </c>
      <c r="H133" s="273">
        <v>48203</v>
      </c>
    </row>
    <row r="134" spans="2:8">
      <c r="B134" s="273" t="s">
        <v>9356</v>
      </c>
      <c r="C134" s="273" t="s">
        <v>9358</v>
      </c>
      <c r="D134" s="658"/>
      <c r="E134" s="277"/>
      <c r="F134" s="658">
        <v>20475</v>
      </c>
      <c r="G134" s="278" t="s">
        <v>9360</v>
      </c>
      <c r="H134" s="273">
        <v>68678</v>
      </c>
    </row>
    <row r="135" spans="2:8">
      <c r="B135" s="273" t="s">
        <v>9362</v>
      </c>
      <c r="C135" s="273" t="s">
        <v>9363</v>
      </c>
      <c r="D135" s="658"/>
      <c r="E135" s="277"/>
      <c r="F135" s="658">
        <v>14175</v>
      </c>
      <c r="G135" s="278" t="s">
        <v>9364</v>
      </c>
      <c r="H135" s="273">
        <v>87263</v>
      </c>
    </row>
    <row r="136" spans="2:8">
      <c r="B136" s="273" t="s">
        <v>9369</v>
      </c>
      <c r="C136" s="273" t="s">
        <v>9371</v>
      </c>
      <c r="D136" s="658"/>
      <c r="E136" s="277"/>
      <c r="F136" s="658">
        <v>14175</v>
      </c>
      <c r="G136" s="278" t="s">
        <v>9376</v>
      </c>
      <c r="H136" s="273">
        <v>106030</v>
      </c>
    </row>
    <row r="137" spans="2:8">
      <c r="B137" s="273" t="s">
        <v>9370</v>
      </c>
      <c r="C137" s="273" t="s">
        <v>9372</v>
      </c>
      <c r="D137" s="658"/>
      <c r="E137" s="277"/>
      <c r="F137" s="658">
        <v>16380</v>
      </c>
      <c r="G137" s="278" t="s">
        <v>9377</v>
      </c>
      <c r="H137" s="273">
        <v>122410</v>
      </c>
    </row>
    <row r="138" spans="2:8">
      <c r="B138" s="273" t="s">
        <v>9370</v>
      </c>
      <c r="C138" s="273" t="s">
        <v>9373</v>
      </c>
      <c r="D138" s="658"/>
      <c r="E138" s="277"/>
      <c r="F138" s="658">
        <v>20475</v>
      </c>
      <c r="G138" s="278" t="s">
        <v>9377</v>
      </c>
      <c r="H138" s="273">
        <v>142885</v>
      </c>
    </row>
    <row r="139" spans="2:8">
      <c r="B139" s="273" t="s">
        <v>9370</v>
      </c>
      <c r="C139" s="273" t="s">
        <v>9374</v>
      </c>
      <c r="D139" s="658"/>
      <c r="E139" s="277"/>
      <c r="F139" s="658">
        <v>20475</v>
      </c>
      <c r="G139" s="278" t="s">
        <v>9378</v>
      </c>
      <c r="H139" s="273">
        <v>163360</v>
      </c>
    </row>
    <row r="140" spans="2:8">
      <c r="B140" s="273" t="s">
        <v>9370</v>
      </c>
      <c r="C140" s="273" t="s">
        <v>9375</v>
      </c>
      <c r="D140" s="658"/>
      <c r="E140" s="277"/>
      <c r="F140" s="658">
        <v>20475</v>
      </c>
      <c r="G140" s="278" t="s">
        <v>9379</v>
      </c>
      <c r="H140" s="273">
        <v>183835</v>
      </c>
    </row>
    <row r="141" spans="2:8">
      <c r="B141" s="273" t="s">
        <v>9384</v>
      </c>
      <c r="C141" s="273" t="s">
        <v>9385</v>
      </c>
      <c r="D141" s="658"/>
      <c r="E141" s="277"/>
      <c r="F141" s="658">
        <v>13500</v>
      </c>
      <c r="G141" s="278" t="s">
        <v>9389</v>
      </c>
      <c r="H141" s="273">
        <v>192272</v>
      </c>
    </row>
    <row r="142" spans="2:8">
      <c r="B142" s="273" t="s">
        <v>9384</v>
      </c>
      <c r="C142" s="273" t="s">
        <v>9386</v>
      </c>
      <c r="D142" s="658"/>
      <c r="E142" s="277"/>
      <c r="F142" s="658">
        <v>14175</v>
      </c>
      <c r="G142" s="278" t="s">
        <v>9390</v>
      </c>
      <c r="H142" s="273">
        <v>206447</v>
      </c>
    </row>
    <row r="143" spans="2:8">
      <c r="B143" s="273" t="s">
        <v>9384</v>
      </c>
      <c r="C143" s="273" t="s">
        <v>9387</v>
      </c>
      <c r="D143" s="658"/>
      <c r="E143" s="277"/>
      <c r="F143" s="658">
        <v>13230</v>
      </c>
      <c r="G143" s="278" t="s">
        <v>9391</v>
      </c>
      <c r="H143" s="273">
        <v>219677</v>
      </c>
    </row>
    <row r="144" spans="2:8">
      <c r="B144" s="273" t="s">
        <v>9384</v>
      </c>
      <c r="C144" s="273" t="s">
        <v>9388</v>
      </c>
      <c r="D144" s="658"/>
      <c r="E144" s="277"/>
      <c r="F144" s="658">
        <v>13500</v>
      </c>
      <c r="G144" s="278" t="s">
        <v>9392</v>
      </c>
      <c r="H144" s="273">
        <v>233177</v>
      </c>
    </row>
    <row r="145" spans="2:8">
      <c r="B145" s="273" t="s">
        <v>9406</v>
      </c>
      <c r="C145" s="273" t="s">
        <v>9408</v>
      </c>
      <c r="D145" s="658"/>
      <c r="E145" s="277"/>
      <c r="F145" s="658">
        <v>17325</v>
      </c>
      <c r="G145" s="278" t="s">
        <v>9413</v>
      </c>
      <c r="H145" s="273">
        <v>43322</v>
      </c>
    </row>
    <row r="146" spans="2:8">
      <c r="B146" s="273" t="s">
        <v>9406</v>
      </c>
      <c r="C146" s="273" t="s">
        <v>9409</v>
      </c>
      <c r="D146" s="658"/>
      <c r="E146" s="277"/>
      <c r="F146" s="658">
        <v>12600</v>
      </c>
      <c r="G146" s="278" t="s">
        <v>9414</v>
      </c>
      <c r="H146" s="273">
        <v>55922</v>
      </c>
    </row>
    <row r="147" spans="2:8">
      <c r="B147" s="273" t="s">
        <v>9407</v>
      </c>
      <c r="C147" s="273" t="s">
        <v>9410</v>
      </c>
      <c r="D147" s="658"/>
      <c r="E147" s="277"/>
      <c r="F147" s="658">
        <v>14175</v>
      </c>
      <c r="G147" s="278" t="s">
        <v>9415</v>
      </c>
      <c r="H147" s="273">
        <v>70097</v>
      </c>
    </row>
    <row r="148" spans="2:8">
      <c r="B148" s="273" t="s">
        <v>9407</v>
      </c>
      <c r="C148" s="273" t="s">
        <v>9411</v>
      </c>
      <c r="D148" s="658"/>
      <c r="E148" s="277"/>
      <c r="F148" s="658">
        <v>14175</v>
      </c>
      <c r="G148" s="278" t="s">
        <v>9416</v>
      </c>
      <c r="H148" s="273">
        <v>84272</v>
      </c>
    </row>
    <row r="149" spans="2:8">
      <c r="B149" s="273" t="s">
        <v>9407</v>
      </c>
      <c r="C149" s="273" t="s">
        <v>9412</v>
      </c>
      <c r="D149" s="658"/>
      <c r="E149" s="277"/>
      <c r="F149" s="658">
        <v>20475</v>
      </c>
      <c r="G149" s="278" t="s">
        <v>9417</v>
      </c>
      <c r="H149" s="273">
        <v>104747</v>
      </c>
    </row>
    <row r="150" spans="2:8">
      <c r="B150" s="273" t="s">
        <v>9421</v>
      </c>
      <c r="C150" s="273" t="s">
        <v>9422</v>
      </c>
      <c r="D150" s="658"/>
      <c r="E150" s="277"/>
      <c r="F150" s="658">
        <v>17325</v>
      </c>
      <c r="G150" s="278" t="s">
        <v>9424</v>
      </c>
      <c r="H150" s="273">
        <v>161343</v>
      </c>
    </row>
    <row r="151" spans="2:8">
      <c r="B151" s="273" t="s">
        <v>9421</v>
      </c>
      <c r="C151" s="273" t="s">
        <v>9423</v>
      </c>
      <c r="D151" s="658"/>
      <c r="E151" s="277"/>
      <c r="F151" s="658">
        <v>14175</v>
      </c>
      <c r="G151" s="278" t="s">
        <v>9425</v>
      </c>
      <c r="H151" s="273">
        <v>175518</v>
      </c>
    </row>
    <row r="152" spans="2:8">
      <c r="B152" s="273" t="s">
        <v>9426</v>
      </c>
      <c r="C152" s="273" t="s">
        <v>9427</v>
      </c>
      <c r="D152" s="658"/>
      <c r="E152" s="277"/>
      <c r="F152" s="658">
        <v>14175</v>
      </c>
      <c r="G152" s="278" t="s">
        <v>9428</v>
      </c>
      <c r="H152" s="273">
        <v>169693</v>
      </c>
    </row>
    <row r="153" spans="2:8">
      <c r="B153" s="273" t="s">
        <v>9435</v>
      </c>
      <c r="C153" s="273" t="s">
        <v>9436</v>
      </c>
      <c r="D153" s="658"/>
      <c r="E153" s="277"/>
      <c r="F153" s="658">
        <v>12600</v>
      </c>
      <c r="G153" s="278" t="s">
        <v>9438</v>
      </c>
      <c r="H153" s="273">
        <v>157327</v>
      </c>
    </row>
    <row r="154" spans="2:8">
      <c r="B154" s="273" t="s">
        <v>9435</v>
      </c>
      <c r="C154" s="273" t="s">
        <v>9437</v>
      </c>
      <c r="D154" s="658"/>
      <c r="E154" s="277"/>
      <c r="F154" s="662">
        <v>11970</v>
      </c>
      <c r="G154" s="657" t="s">
        <v>9439</v>
      </c>
      <c r="H154" s="273">
        <v>169297</v>
      </c>
    </row>
    <row r="155" spans="2:8">
      <c r="B155" s="273" t="s">
        <v>9445</v>
      </c>
      <c r="C155" s="273" t="s">
        <v>9446</v>
      </c>
      <c r="D155" s="658"/>
      <c r="E155" s="277"/>
      <c r="F155" s="662">
        <v>3780</v>
      </c>
      <c r="G155" s="657" t="s">
        <v>9447</v>
      </c>
      <c r="H155" s="273">
        <v>145597</v>
      </c>
    </row>
    <row r="156" spans="2:8">
      <c r="B156" s="273" t="s">
        <v>9445</v>
      </c>
      <c r="C156" s="273" t="s">
        <v>9448</v>
      </c>
      <c r="D156" s="658"/>
      <c r="E156" s="277"/>
      <c r="F156" s="662">
        <v>13230</v>
      </c>
      <c r="G156" s="657" t="s">
        <v>9450</v>
      </c>
      <c r="H156" s="273">
        <v>158827</v>
      </c>
    </row>
    <row r="157" spans="2:8">
      <c r="B157" s="273" t="s">
        <v>9445</v>
      </c>
      <c r="C157" s="273" t="s">
        <v>9449</v>
      </c>
      <c r="D157" s="658"/>
      <c r="E157" s="277"/>
      <c r="F157" s="662">
        <v>3780</v>
      </c>
      <c r="G157" s="657" t="s">
        <v>9451</v>
      </c>
      <c r="H157" s="273">
        <v>162607</v>
      </c>
    </row>
    <row r="158" spans="2:8">
      <c r="B158" s="273" t="s">
        <v>9458</v>
      </c>
      <c r="C158" s="273" t="s">
        <v>9460</v>
      </c>
      <c r="D158" s="658"/>
      <c r="E158" s="277"/>
      <c r="F158" s="662">
        <v>11970</v>
      </c>
      <c r="G158" s="657" t="s">
        <v>9465</v>
      </c>
      <c r="H158" s="273">
        <v>40633</v>
      </c>
    </row>
    <row r="159" spans="2:8">
      <c r="B159" s="273" t="s">
        <v>9458</v>
      </c>
      <c r="C159" s="273" t="s">
        <v>9461</v>
      </c>
      <c r="D159" s="658"/>
      <c r="E159" s="277"/>
      <c r="F159" s="662">
        <v>14175</v>
      </c>
      <c r="G159" s="657" t="s">
        <v>9466</v>
      </c>
      <c r="H159" s="273">
        <v>54808</v>
      </c>
    </row>
    <row r="160" spans="2:8">
      <c r="B160" s="273" t="s">
        <v>9458</v>
      </c>
      <c r="C160" s="273" t="s">
        <v>9462</v>
      </c>
      <c r="D160" s="658"/>
      <c r="E160" s="277"/>
      <c r="F160" s="662">
        <v>16380</v>
      </c>
      <c r="G160" s="657" t="s">
        <v>9467</v>
      </c>
      <c r="H160" s="273">
        <v>71188</v>
      </c>
    </row>
    <row r="161" spans="2:8">
      <c r="B161" s="273" t="s">
        <v>9473</v>
      </c>
      <c r="C161" s="273" t="s">
        <v>9474</v>
      </c>
      <c r="D161" s="658"/>
      <c r="E161" s="277"/>
      <c r="F161" s="658">
        <v>12000</v>
      </c>
      <c r="G161" s="278" t="s">
        <v>9475</v>
      </c>
      <c r="H161" s="273">
        <v>26901</v>
      </c>
    </row>
    <row r="162" spans="2:8">
      <c r="B162" s="273" t="s">
        <v>9482</v>
      </c>
      <c r="C162" s="273" t="s">
        <v>9483</v>
      </c>
      <c r="D162" s="658"/>
      <c r="E162" s="277"/>
      <c r="F162" s="658">
        <v>14175</v>
      </c>
      <c r="G162" s="278" t="s">
        <v>9484</v>
      </c>
      <c r="H162" s="273">
        <v>49908</v>
      </c>
    </row>
    <row r="163" spans="2:8">
      <c r="B163" s="273" t="s">
        <v>9485</v>
      </c>
      <c r="C163" s="273" t="s">
        <v>9487</v>
      </c>
      <c r="D163" s="658"/>
      <c r="E163" s="277"/>
      <c r="F163" s="658">
        <v>10800</v>
      </c>
      <c r="G163" s="278" t="s">
        <v>9492</v>
      </c>
      <c r="H163" s="273">
        <v>55708</v>
      </c>
    </row>
    <row r="164" spans="2:8">
      <c r="B164" s="273" t="s">
        <v>9486</v>
      </c>
      <c r="C164" s="273" t="s">
        <v>9488</v>
      </c>
      <c r="D164" s="658"/>
      <c r="E164" s="277"/>
      <c r="F164" s="658">
        <v>11340</v>
      </c>
      <c r="G164" s="278" t="s">
        <v>9493</v>
      </c>
      <c r="H164" s="273">
        <v>67048</v>
      </c>
    </row>
    <row r="165" spans="2:8">
      <c r="B165" s="273" t="s">
        <v>9486</v>
      </c>
      <c r="C165" s="273" t="s">
        <v>9489</v>
      </c>
      <c r="D165" s="658"/>
      <c r="E165" s="277"/>
      <c r="F165" s="658">
        <v>14175</v>
      </c>
      <c r="G165" s="278" t="s">
        <v>9494</v>
      </c>
      <c r="H165" s="273">
        <v>81223</v>
      </c>
    </row>
    <row r="166" spans="2:8">
      <c r="B166" s="273" t="s">
        <v>9486</v>
      </c>
      <c r="C166" s="273" t="s">
        <v>9490</v>
      </c>
      <c r="D166" s="658"/>
      <c r="E166" s="277"/>
      <c r="F166" s="658">
        <v>3780</v>
      </c>
      <c r="G166" s="278" t="s">
        <v>9495</v>
      </c>
      <c r="H166" s="273">
        <v>85003</v>
      </c>
    </row>
    <row r="167" spans="2:8">
      <c r="B167" s="273" t="s">
        <v>9486</v>
      </c>
      <c r="C167" s="273" t="s">
        <v>9491</v>
      </c>
      <c r="D167" s="658"/>
      <c r="E167" s="277"/>
      <c r="F167" s="658">
        <v>13500</v>
      </c>
      <c r="G167" s="278" t="s">
        <v>9496</v>
      </c>
      <c r="H167" s="273">
        <v>98503</v>
      </c>
    </row>
    <row r="168" spans="2:8">
      <c r="B168" s="273" t="s">
        <v>9505</v>
      </c>
      <c r="C168" s="273" t="s">
        <v>9506</v>
      </c>
      <c r="D168" s="658"/>
      <c r="E168" s="277"/>
      <c r="F168" s="658">
        <v>20475</v>
      </c>
      <c r="G168" s="278" t="s">
        <v>9507</v>
      </c>
      <c r="H168" s="273">
        <v>43184</v>
      </c>
    </row>
    <row r="169" spans="2:8">
      <c r="B169" s="273" t="s">
        <v>9509</v>
      </c>
      <c r="C169" s="273" t="s">
        <v>9510</v>
      </c>
      <c r="D169" s="658"/>
      <c r="E169" s="277"/>
      <c r="F169" s="658">
        <v>14175</v>
      </c>
      <c r="G169" s="278" t="s">
        <v>9511</v>
      </c>
      <c r="H169" s="273">
        <v>61769</v>
      </c>
    </row>
    <row r="170" spans="2:8">
      <c r="B170" s="273" t="s">
        <v>9515</v>
      </c>
      <c r="C170" s="273" t="s">
        <v>9516</v>
      </c>
      <c r="D170" s="658"/>
      <c r="E170" s="277"/>
      <c r="F170" s="658">
        <v>14175</v>
      </c>
      <c r="G170" s="278" t="s">
        <v>9517</v>
      </c>
      <c r="H170" s="273">
        <v>21079</v>
      </c>
    </row>
    <row r="171" spans="2:8">
      <c r="B171" s="273" t="s">
        <v>9522</v>
      </c>
      <c r="C171" s="273" t="s">
        <v>9523</v>
      </c>
      <c r="D171" s="658"/>
      <c r="E171" s="277"/>
      <c r="F171" s="658">
        <v>20475</v>
      </c>
      <c r="G171" s="278" t="s">
        <v>9524</v>
      </c>
      <c r="H171" s="273">
        <v>236834</v>
      </c>
    </row>
    <row r="172" spans="2:8">
      <c r="B172" s="273" t="s">
        <v>9522</v>
      </c>
      <c r="C172" s="273" t="s">
        <v>9525</v>
      </c>
      <c r="D172" s="658"/>
      <c r="E172" s="277"/>
      <c r="F172" s="658">
        <v>20475</v>
      </c>
      <c r="G172" s="278" t="s">
        <v>9526</v>
      </c>
      <c r="H172" s="273">
        <v>257309</v>
      </c>
    </row>
    <row r="173" spans="2:8">
      <c r="B173" s="273" t="s">
        <v>9533</v>
      </c>
      <c r="C173" s="273" t="s">
        <v>9536</v>
      </c>
      <c r="D173" s="658"/>
      <c r="E173" s="277"/>
      <c r="F173" s="658">
        <v>20475</v>
      </c>
      <c r="G173" s="278" t="s">
        <v>9545</v>
      </c>
      <c r="H173" s="273">
        <v>137339</v>
      </c>
    </row>
    <row r="174" spans="2:8">
      <c r="B174" s="273" t="s">
        <v>9534</v>
      </c>
      <c r="C174" s="273" t="s">
        <v>9537</v>
      </c>
      <c r="D174" s="658"/>
      <c r="E174" s="277"/>
      <c r="F174" s="658">
        <v>16380</v>
      </c>
      <c r="G174" s="278" t="s">
        <v>9548</v>
      </c>
      <c r="H174" s="273">
        <v>153719</v>
      </c>
    </row>
    <row r="175" spans="2:8">
      <c r="B175" s="273" t="s">
        <v>9534</v>
      </c>
      <c r="C175" s="273" t="s">
        <v>9538</v>
      </c>
      <c r="D175" s="658"/>
      <c r="E175" s="277"/>
      <c r="F175" s="658">
        <v>119700</v>
      </c>
      <c r="G175" s="278" t="s">
        <v>9546</v>
      </c>
      <c r="H175" s="273">
        <v>273419</v>
      </c>
    </row>
    <row r="176" spans="2:8">
      <c r="B176" s="273" t="s">
        <v>9534</v>
      </c>
      <c r="C176" s="273" t="s">
        <v>9539</v>
      </c>
      <c r="D176" s="658"/>
      <c r="E176" s="277"/>
      <c r="F176" s="658">
        <v>20475</v>
      </c>
      <c r="G176" s="278" t="s">
        <v>9547</v>
      </c>
      <c r="H176" s="273">
        <v>293894</v>
      </c>
    </row>
    <row r="177" spans="2:8">
      <c r="B177" s="273" t="s">
        <v>9534</v>
      </c>
      <c r="C177" s="273" t="s">
        <v>9540</v>
      </c>
      <c r="D177" s="658"/>
      <c r="E177" s="277"/>
      <c r="F177" s="658">
        <v>13500</v>
      </c>
      <c r="G177" s="278" t="s">
        <v>9389</v>
      </c>
      <c r="H177" s="273">
        <v>307394</v>
      </c>
    </row>
    <row r="178" spans="2:8">
      <c r="B178" s="273" t="s">
        <v>9534</v>
      </c>
      <c r="C178" s="273" t="s">
        <v>9541</v>
      </c>
      <c r="D178" s="658"/>
      <c r="E178" s="277"/>
      <c r="F178" s="658">
        <v>14175</v>
      </c>
      <c r="G178" s="278" t="s">
        <v>9549</v>
      </c>
      <c r="H178" s="273">
        <v>321569</v>
      </c>
    </row>
    <row r="179" spans="2:8">
      <c r="B179" s="273" t="s">
        <v>9534</v>
      </c>
      <c r="C179" s="273" t="s">
        <v>9542</v>
      </c>
      <c r="D179" s="658"/>
      <c r="E179" s="277"/>
      <c r="F179" s="658">
        <v>13230</v>
      </c>
      <c r="G179" s="278" t="s">
        <v>9550</v>
      </c>
      <c r="H179" s="273">
        <v>334799</v>
      </c>
    </row>
    <row r="180" spans="2:8">
      <c r="B180" s="273" t="s">
        <v>9534</v>
      </c>
      <c r="C180" s="273" t="s">
        <v>9543</v>
      </c>
      <c r="D180" s="658"/>
      <c r="E180" s="277"/>
      <c r="F180" s="658">
        <v>13500</v>
      </c>
      <c r="G180" s="278" t="s">
        <v>9551</v>
      </c>
      <c r="H180" s="273">
        <v>348299</v>
      </c>
    </row>
    <row r="181" spans="2:8">
      <c r="B181" s="273" t="s">
        <v>9535</v>
      </c>
      <c r="C181" s="273" t="s">
        <v>9544</v>
      </c>
      <c r="D181" s="658"/>
      <c r="E181" s="277"/>
      <c r="F181" s="658">
        <v>3780</v>
      </c>
      <c r="G181" s="278" t="s">
        <v>9552</v>
      </c>
      <c r="H181" s="273">
        <v>352079</v>
      </c>
    </row>
    <row r="182" spans="2:8">
      <c r="B182" s="273" t="s">
        <v>9556</v>
      </c>
      <c r="C182" s="273" t="s">
        <v>9557</v>
      </c>
      <c r="D182" s="658"/>
      <c r="E182" s="277"/>
      <c r="F182" s="658">
        <v>12600</v>
      </c>
      <c r="G182" s="278" t="s">
        <v>9559</v>
      </c>
      <c r="H182" s="273">
        <v>334169</v>
      </c>
    </row>
    <row r="183" spans="2:8">
      <c r="B183" s="273" t="s">
        <v>9556</v>
      </c>
      <c r="C183" s="273" t="s">
        <v>9558</v>
      </c>
      <c r="D183" s="658"/>
      <c r="E183" s="277"/>
      <c r="F183" s="658">
        <v>17325</v>
      </c>
      <c r="G183" s="278" t="s">
        <v>9560</v>
      </c>
      <c r="H183" s="273">
        <v>351494</v>
      </c>
    </row>
    <row r="184" spans="2:8">
      <c r="B184" s="273" t="s">
        <v>9569</v>
      </c>
      <c r="C184" s="273" t="s">
        <v>9570</v>
      </c>
      <c r="D184" s="658"/>
      <c r="E184" s="277"/>
      <c r="F184" s="658">
        <v>20475</v>
      </c>
      <c r="G184" s="278" t="s">
        <v>9573</v>
      </c>
      <c r="H184" s="273">
        <v>106442</v>
      </c>
    </row>
    <row r="185" spans="2:8">
      <c r="B185" s="273" t="s">
        <v>9569</v>
      </c>
      <c r="C185" s="273" t="s">
        <v>9571</v>
      </c>
      <c r="D185" s="658"/>
      <c r="E185" s="277"/>
      <c r="F185" s="658">
        <v>14175</v>
      </c>
      <c r="G185" s="278" t="s">
        <v>9574</v>
      </c>
      <c r="H185" s="273">
        <v>120617</v>
      </c>
    </row>
    <row r="186" spans="2:8">
      <c r="B186" s="273" t="s">
        <v>9569</v>
      </c>
      <c r="C186" s="273" t="s">
        <v>9572</v>
      </c>
      <c r="D186" s="658"/>
      <c r="E186" s="277"/>
      <c r="F186" s="658">
        <v>14175</v>
      </c>
      <c r="G186" s="278" t="s">
        <v>9575</v>
      </c>
      <c r="H186" s="273">
        <v>134792</v>
      </c>
    </row>
    <row r="187" spans="2:8">
      <c r="B187" s="273" t="s">
        <v>9579</v>
      </c>
      <c r="C187" s="273" t="s">
        <v>9580</v>
      </c>
      <c r="D187" s="658"/>
      <c r="E187" s="277"/>
      <c r="F187" s="658">
        <v>17325</v>
      </c>
      <c r="G187" s="278" t="s">
        <v>9582</v>
      </c>
      <c r="H187" s="273">
        <v>141860</v>
      </c>
    </row>
    <row r="188" spans="2:8">
      <c r="B188" s="273" t="s">
        <v>9579</v>
      </c>
      <c r="C188" s="273" t="s">
        <v>9581</v>
      </c>
      <c r="D188" s="658"/>
      <c r="E188" s="277"/>
      <c r="F188" s="658">
        <v>14175</v>
      </c>
      <c r="G188" s="278" t="s">
        <v>9583</v>
      </c>
      <c r="H188" s="273">
        <v>156035</v>
      </c>
    </row>
    <row r="189" spans="2:8">
      <c r="B189" s="273" t="s">
        <v>9584</v>
      </c>
      <c r="C189" s="273" t="s">
        <v>9585</v>
      </c>
      <c r="D189" s="658"/>
      <c r="E189" s="277"/>
      <c r="F189" s="658">
        <v>14175</v>
      </c>
      <c r="G189" s="278" t="s">
        <v>9586</v>
      </c>
      <c r="H189" s="273">
        <v>170255</v>
      </c>
    </row>
    <row r="190" spans="2:8">
      <c r="B190" s="273" t="s">
        <v>9004</v>
      </c>
      <c r="C190" s="273" t="s">
        <v>9005</v>
      </c>
      <c r="D190" s="658">
        <v>6183</v>
      </c>
      <c r="E190" s="277"/>
      <c r="F190" s="658"/>
      <c r="G190" s="278"/>
      <c r="H190" s="273">
        <v>202692</v>
      </c>
    </row>
    <row r="191" spans="2:8">
      <c r="B191" s="273" t="s">
        <v>9046</v>
      </c>
      <c r="C191" s="273" t="s">
        <v>9047</v>
      </c>
      <c r="D191" s="658">
        <v>6183</v>
      </c>
      <c r="E191" s="277"/>
      <c r="F191" s="658"/>
      <c r="G191" s="278"/>
      <c r="H191" s="273">
        <v>70384</v>
      </c>
    </row>
    <row r="192" spans="2:8">
      <c r="B192" s="273" t="s">
        <v>9112</v>
      </c>
      <c r="C192" s="273" t="s">
        <v>9113</v>
      </c>
      <c r="D192" s="658">
        <v>6268</v>
      </c>
      <c r="E192" s="277"/>
      <c r="F192" s="658"/>
      <c r="G192" s="278"/>
      <c r="H192" s="273">
        <v>196402</v>
      </c>
    </row>
    <row r="193" spans="2:8">
      <c r="B193" s="273" t="s">
        <v>9152</v>
      </c>
      <c r="C193" s="273" t="s">
        <v>9160</v>
      </c>
      <c r="D193" s="658">
        <v>6268</v>
      </c>
      <c r="E193" s="277"/>
      <c r="F193" s="658"/>
      <c r="G193" s="278"/>
      <c r="H193" s="273">
        <v>146638</v>
      </c>
    </row>
    <row r="194" spans="2:8">
      <c r="B194" s="273" t="s">
        <v>9189</v>
      </c>
      <c r="C194" s="273" t="s">
        <v>9227</v>
      </c>
      <c r="D194" s="658">
        <v>6268</v>
      </c>
      <c r="E194" s="277"/>
      <c r="F194" s="658"/>
      <c r="G194" s="278"/>
      <c r="H194" s="273">
        <v>104712</v>
      </c>
    </row>
    <row r="195" spans="2:8">
      <c r="B195" s="273" t="s">
        <v>9260</v>
      </c>
      <c r="C195" s="273" t="s">
        <v>9261</v>
      </c>
      <c r="D195" s="658">
        <v>6268</v>
      </c>
      <c r="E195" s="277"/>
      <c r="F195" s="658"/>
      <c r="G195" s="278"/>
      <c r="H195" s="273">
        <v>241992</v>
      </c>
    </row>
    <row r="196" spans="2:8">
      <c r="B196" s="273" t="s">
        <v>9304</v>
      </c>
      <c r="C196" s="273" t="s">
        <v>9305</v>
      </c>
      <c r="D196" s="658">
        <v>6268</v>
      </c>
      <c r="E196" s="277"/>
      <c r="F196" s="658"/>
      <c r="G196" s="278"/>
      <c r="H196" s="273">
        <v>212077</v>
      </c>
    </row>
    <row r="197" spans="2:8">
      <c r="B197" s="273" t="s">
        <v>9334</v>
      </c>
      <c r="C197" s="273" t="s">
        <v>9345</v>
      </c>
      <c r="D197" s="658">
        <v>6268</v>
      </c>
      <c r="E197" s="277"/>
      <c r="F197" s="658"/>
      <c r="G197" s="278"/>
      <c r="H197" s="273">
        <v>161956</v>
      </c>
    </row>
    <row r="198" spans="2:8">
      <c r="B198" s="273" t="s">
        <v>9393</v>
      </c>
      <c r="C198" s="273" t="s">
        <v>9394</v>
      </c>
      <c r="D198" s="658">
        <v>6268</v>
      </c>
      <c r="E198" s="277"/>
      <c r="F198" s="658"/>
      <c r="G198" s="278"/>
      <c r="H198" s="273">
        <v>226909</v>
      </c>
    </row>
    <row r="199" spans="2:8">
      <c r="B199" s="273" t="s">
        <v>9442</v>
      </c>
      <c r="C199" s="273" t="s">
        <v>9443</v>
      </c>
      <c r="D199" s="658">
        <v>6268</v>
      </c>
      <c r="E199" s="277"/>
      <c r="F199" s="658"/>
      <c r="G199" s="278"/>
      <c r="H199" s="273">
        <v>146029</v>
      </c>
    </row>
    <row r="200" spans="2:8">
      <c r="B200" s="273" t="s">
        <v>9486</v>
      </c>
      <c r="C200" s="273" t="s">
        <v>9497</v>
      </c>
      <c r="D200" s="658">
        <v>6268</v>
      </c>
      <c r="E200" s="277"/>
      <c r="F200" s="658"/>
      <c r="G200" s="278"/>
      <c r="H200" s="273">
        <v>92235</v>
      </c>
    </row>
    <row r="201" spans="2:8">
      <c r="B201" s="273" t="s">
        <v>9535</v>
      </c>
      <c r="C201" s="273" t="s">
        <v>9553</v>
      </c>
      <c r="D201" s="658">
        <v>6268</v>
      </c>
      <c r="E201" s="277"/>
      <c r="F201" s="658"/>
      <c r="G201" s="278"/>
      <c r="H201" s="273">
        <v>345811</v>
      </c>
    </row>
    <row r="202" spans="2:8">
      <c r="B202" s="273" t="s">
        <v>9004</v>
      </c>
      <c r="C202" s="273" t="s">
        <v>9006</v>
      </c>
      <c r="D202" s="658">
        <v>4153</v>
      </c>
      <c r="E202" s="277"/>
      <c r="F202" s="658"/>
      <c r="G202" s="278"/>
      <c r="H202" s="273">
        <v>198539</v>
      </c>
    </row>
    <row r="203" spans="2:8">
      <c r="B203" s="273" t="s">
        <v>9046</v>
      </c>
      <c r="C203" s="273" t="s">
        <v>9048</v>
      </c>
      <c r="D203" s="658">
        <v>4153</v>
      </c>
      <c r="E203" s="277"/>
      <c r="F203" s="658"/>
      <c r="G203" s="278"/>
      <c r="H203" s="273">
        <v>66231</v>
      </c>
    </row>
    <row r="204" spans="2:8">
      <c r="B204" s="273" t="s">
        <v>9112</v>
      </c>
      <c r="C204" s="273" t="s">
        <v>9114</v>
      </c>
      <c r="D204" s="658">
        <v>4153</v>
      </c>
      <c r="E204" s="277"/>
      <c r="F204" s="658"/>
      <c r="G204" s="278"/>
      <c r="H204" s="273">
        <v>192249</v>
      </c>
    </row>
    <row r="205" spans="2:8">
      <c r="B205" s="273" t="s">
        <v>9152</v>
      </c>
      <c r="C205" s="273" t="s">
        <v>9161</v>
      </c>
      <c r="D205" s="658">
        <v>4212</v>
      </c>
      <c r="E205" s="277"/>
      <c r="F205" s="658"/>
      <c r="G205" s="278"/>
      <c r="H205" s="273">
        <v>142426</v>
      </c>
    </row>
    <row r="206" spans="2:8">
      <c r="B206" s="273" t="s">
        <v>9189</v>
      </c>
      <c r="C206" s="273" t="s">
        <v>9228</v>
      </c>
      <c r="D206" s="658">
        <v>4212</v>
      </c>
      <c r="E206" s="277"/>
      <c r="F206" s="658"/>
      <c r="G206" s="278"/>
      <c r="H206" s="273">
        <v>100500</v>
      </c>
    </row>
    <row r="207" spans="2:8">
      <c r="B207" s="273" t="s">
        <v>9260</v>
      </c>
      <c r="C207" s="273" t="s">
        <v>9262</v>
      </c>
      <c r="D207" s="658">
        <v>4212</v>
      </c>
      <c r="E207" s="277"/>
      <c r="F207" s="658"/>
      <c r="G207" s="278"/>
      <c r="H207" s="273">
        <v>237780</v>
      </c>
    </row>
    <row r="208" spans="2:8">
      <c r="B208" s="273" t="s">
        <v>9304</v>
      </c>
      <c r="C208" s="273" t="s">
        <v>9306</v>
      </c>
      <c r="D208" s="658">
        <v>4212</v>
      </c>
      <c r="E208" s="277"/>
      <c r="F208" s="658"/>
      <c r="G208" s="278"/>
      <c r="H208" s="273">
        <v>207865</v>
      </c>
    </row>
    <row r="209" spans="2:8">
      <c r="B209" s="273" t="s">
        <v>9334</v>
      </c>
      <c r="C209" s="273" t="s">
        <v>9346</v>
      </c>
      <c r="D209" s="658">
        <v>4212</v>
      </c>
      <c r="E209" s="277"/>
      <c r="F209" s="658"/>
      <c r="G209" s="278"/>
      <c r="H209" s="273">
        <v>157744</v>
      </c>
    </row>
    <row r="210" spans="2:8">
      <c r="B210" s="273" t="s">
        <v>9393</v>
      </c>
      <c r="C210" s="273" t="s">
        <v>9395</v>
      </c>
      <c r="D210" s="658">
        <v>4212</v>
      </c>
      <c r="E210" s="277"/>
      <c r="F210" s="658"/>
      <c r="G210" s="278"/>
      <c r="H210" s="273">
        <v>222697</v>
      </c>
    </row>
    <row r="211" spans="2:8">
      <c r="B211" s="273" t="s">
        <v>9442</v>
      </c>
      <c r="C211" s="273" t="s">
        <v>9444</v>
      </c>
      <c r="D211" s="658">
        <v>4212</v>
      </c>
      <c r="E211" s="277"/>
      <c r="F211" s="658"/>
      <c r="G211" s="278"/>
      <c r="H211" s="273">
        <v>141817</v>
      </c>
    </row>
    <row r="212" spans="2:8">
      <c r="B212" s="273" t="s">
        <v>9486</v>
      </c>
      <c r="C212" s="273" t="s">
        <v>9498</v>
      </c>
      <c r="D212" s="658">
        <v>4212</v>
      </c>
      <c r="E212" s="277"/>
      <c r="F212" s="658"/>
      <c r="G212" s="278"/>
      <c r="H212" s="273">
        <v>88023</v>
      </c>
    </row>
    <row r="213" spans="2:8">
      <c r="B213" s="273" t="s">
        <v>9535</v>
      </c>
      <c r="C213" s="273" t="s">
        <v>9554</v>
      </c>
      <c r="D213" s="658">
        <v>4212</v>
      </c>
      <c r="E213" s="277"/>
      <c r="F213" s="658"/>
      <c r="G213" s="278"/>
      <c r="H213" s="273">
        <v>341599</v>
      </c>
    </row>
    <row r="214" spans="2:8">
      <c r="B214" s="273" t="s">
        <v>9007</v>
      </c>
      <c r="C214" s="273" t="s">
        <v>1283</v>
      </c>
      <c r="D214" s="658">
        <v>30000</v>
      </c>
      <c r="E214" s="277" t="s">
        <v>5013</v>
      </c>
      <c r="F214" s="658"/>
      <c r="G214" s="278"/>
      <c r="H214" s="273">
        <v>101280</v>
      </c>
    </row>
    <row r="215" spans="2:8">
      <c r="B215" s="273" t="s">
        <v>9012</v>
      </c>
      <c r="C215" s="273" t="s">
        <v>1283</v>
      </c>
      <c r="D215" s="658"/>
      <c r="E215" s="277"/>
      <c r="F215" s="660">
        <v>4410</v>
      </c>
      <c r="G215" s="278" t="s">
        <v>9013</v>
      </c>
      <c r="H215" s="273">
        <v>105690</v>
      </c>
    </row>
    <row r="216" spans="2:8">
      <c r="B216" s="273" t="s">
        <v>8977</v>
      </c>
      <c r="C216" s="273" t="s">
        <v>1283</v>
      </c>
      <c r="D216" s="658">
        <v>20030</v>
      </c>
      <c r="E216" s="277" t="s">
        <v>9063</v>
      </c>
      <c r="F216" s="658"/>
      <c r="G216" s="278"/>
      <c r="H216" s="273">
        <v>14558</v>
      </c>
    </row>
    <row r="217" spans="2:8">
      <c r="B217" s="273" t="s">
        <v>9064</v>
      </c>
      <c r="C217" s="273" t="s">
        <v>1283</v>
      </c>
      <c r="D217" s="658"/>
      <c r="E217" s="277"/>
      <c r="F217" s="660">
        <v>4410</v>
      </c>
      <c r="G217" s="278" t="s">
        <v>9065</v>
      </c>
      <c r="H217" s="273">
        <v>18968</v>
      </c>
    </row>
    <row r="218" spans="2:8">
      <c r="B218" s="273" t="s">
        <v>9077</v>
      </c>
      <c r="C218" s="273" t="s">
        <v>8988</v>
      </c>
      <c r="D218" s="658">
        <v>16000</v>
      </c>
      <c r="E218" s="277" t="s">
        <v>9079</v>
      </c>
      <c r="F218" s="658"/>
      <c r="G218" s="278"/>
      <c r="H218" s="273">
        <v>339029</v>
      </c>
    </row>
    <row r="219" spans="2:8">
      <c r="B219" s="275" t="s">
        <v>8978</v>
      </c>
      <c r="C219" s="273" t="s">
        <v>8988</v>
      </c>
      <c r="D219" s="659"/>
      <c r="F219" s="661">
        <v>14000</v>
      </c>
      <c r="G219" s="273" t="s">
        <v>9087</v>
      </c>
      <c r="H219" s="273">
        <v>430834</v>
      </c>
    </row>
    <row r="220" spans="2:8">
      <c r="B220" s="275" t="s">
        <v>8978</v>
      </c>
      <c r="C220" s="273" t="s">
        <v>8988</v>
      </c>
      <c r="D220" s="659">
        <v>277060</v>
      </c>
      <c r="E220" s="273" t="s">
        <v>9088</v>
      </c>
      <c r="F220" s="661"/>
      <c r="H220" s="273">
        <v>153774</v>
      </c>
    </row>
    <row r="221" spans="2:8">
      <c r="B221" s="273" t="s">
        <v>9094</v>
      </c>
      <c r="C221" s="273" t="s">
        <v>1283</v>
      </c>
      <c r="D221" s="658"/>
      <c r="E221" s="277"/>
      <c r="F221" s="660">
        <v>14165</v>
      </c>
      <c r="G221" s="278" t="s">
        <v>9111</v>
      </c>
      <c r="H221" s="273">
        <v>202670</v>
      </c>
    </row>
    <row r="222" spans="2:8">
      <c r="B222" s="273" t="s">
        <v>9122</v>
      </c>
      <c r="C222" s="273" t="s">
        <v>1283</v>
      </c>
      <c r="D222" s="658"/>
      <c r="E222" s="277"/>
      <c r="F222" s="660">
        <v>4410</v>
      </c>
      <c r="G222" s="278" t="s">
        <v>9124</v>
      </c>
      <c r="H222" s="273">
        <v>117754</v>
      </c>
    </row>
    <row r="223" spans="2:8">
      <c r="B223" s="273" t="s">
        <v>9129</v>
      </c>
      <c r="C223" s="273" t="s">
        <v>1283</v>
      </c>
      <c r="D223" s="658"/>
      <c r="E223" s="277"/>
      <c r="F223" s="660">
        <v>13485</v>
      </c>
      <c r="G223" s="278" t="s">
        <v>9134</v>
      </c>
      <c r="H223" s="273">
        <v>116405</v>
      </c>
    </row>
    <row r="224" spans="2:8">
      <c r="B224" s="273" t="s">
        <v>9146</v>
      </c>
      <c r="C224" s="273" t="s">
        <v>8988</v>
      </c>
      <c r="D224" s="658">
        <v>6000</v>
      </c>
      <c r="E224" s="277" t="s">
        <v>9079</v>
      </c>
      <c r="F224" s="658"/>
      <c r="G224" s="278"/>
      <c r="H224" s="273">
        <v>144991</v>
      </c>
    </row>
    <row r="225" spans="2:8">
      <c r="B225" s="273" t="s">
        <v>9167</v>
      </c>
      <c r="C225" s="273" t="s">
        <v>1283</v>
      </c>
      <c r="D225" s="658"/>
      <c r="E225" s="277"/>
      <c r="F225" s="660">
        <v>4410</v>
      </c>
      <c r="G225" s="278" t="s">
        <v>9171</v>
      </c>
      <c r="H225" s="273">
        <v>30410</v>
      </c>
    </row>
    <row r="226" spans="2:8">
      <c r="B226" s="273" t="s">
        <v>9180</v>
      </c>
      <c r="C226" s="273" t="s">
        <v>1283</v>
      </c>
      <c r="D226" s="658"/>
      <c r="E226" s="277"/>
      <c r="F226" s="660">
        <v>14165</v>
      </c>
      <c r="G226" s="278" t="s">
        <v>9183</v>
      </c>
      <c r="H226" s="273">
        <v>79737</v>
      </c>
    </row>
    <row r="227" spans="2:8">
      <c r="B227" s="273" t="s">
        <v>9233</v>
      </c>
      <c r="C227" s="273" t="s">
        <v>1283</v>
      </c>
      <c r="D227" s="658"/>
      <c r="E227" s="277"/>
      <c r="F227" s="660">
        <v>4410</v>
      </c>
      <c r="G227" s="278" t="s">
        <v>9234</v>
      </c>
      <c r="H227" s="273">
        <v>55570</v>
      </c>
    </row>
    <row r="228" spans="2:8">
      <c r="B228" s="273" t="s">
        <v>9268</v>
      </c>
      <c r="C228" s="273" t="s">
        <v>1283</v>
      </c>
      <c r="D228" s="658"/>
      <c r="E228" s="277"/>
      <c r="F228" s="660">
        <v>4410</v>
      </c>
      <c r="G228" s="278" t="s">
        <v>9269</v>
      </c>
      <c r="H228" s="273">
        <v>124553</v>
      </c>
    </row>
    <row r="229" spans="2:8">
      <c r="B229" s="273" t="s">
        <v>9271</v>
      </c>
      <c r="C229" s="273" t="s">
        <v>1283</v>
      </c>
      <c r="D229" s="658"/>
      <c r="E229" s="277"/>
      <c r="F229" s="660">
        <v>13485</v>
      </c>
      <c r="G229" s="278" t="s">
        <v>9280</v>
      </c>
      <c r="H229" s="273">
        <v>186863</v>
      </c>
    </row>
    <row r="230" spans="2:8">
      <c r="B230" s="273" t="s">
        <v>9310</v>
      </c>
      <c r="C230" s="273" t="s">
        <v>1283</v>
      </c>
      <c r="D230" s="658"/>
      <c r="E230" s="277"/>
      <c r="F230" s="660">
        <v>4410</v>
      </c>
      <c r="G230" s="278" t="s">
        <v>9311</v>
      </c>
      <c r="H230" s="273">
        <v>102013</v>
      </c>
    </row>
    <row r="231" spans="2:8">
      <c r="B231" s="273" t="s">
        <v>9320</v>
      </c>
      <c r="C231" s="273" t="s">
        <v>8988</v>
      </c>
      <c r="D231" s="658">
        <v>30000</v>
      </c>
      <c r="E231" s="277" t="s">
        <v>9079</v>
      </c>
      <c r="F231" s="658"/>
      <c r="G231" s="278"/>
      <c r="H231" s="273">
        <v>104507</v>
      </c>
    </row>
    <row r="232" spans="2:8">
      <c r="B232" s="273" t="s">
        <v>9321</v>
      </c>
      <c r="C232" s="273" t="s">
        <v>1283</v>
      </c>
      <c r="D232" s="658"/>
      <c r="E232" s="277"/>
      <c r="F232" s="660">
        <v>14165</v>
      </c>
      <c r="G232" s="278" t="s">
        <v>9323</v>
      </c>
      <c r="H232" s="273">
        <v>112583</v>
      </c>
    </row>
    <row r="233" spans="2:8">
      <c r="B233" s="273" t="s">
        <v>9356</v>
      </c>
      <c r="C233" s="273" t="s">
        <v>1283</v>
      </c>
      <c r="D233" s="658"/>
      <c r="E233" s="277"/>
      <c r="F233" s="660">
        <v>4410</v>
      </c>
      <c r="G233" s="278" t="s">
        <v>9361</v>
      </c>
      <c r="H233" s="273">
        <v>73088</v>
      </c>
    </row>
    <row r="234" spans="2:8">
      <c r="B234" s="273" t="s">
        <v>9362</v>
      </c>
      <c r="C234" s="273" t="s">
        <v>1283</v>
      </c>
      <c r="D234" s="658"/>
      <c r="E234" s="277"/>
      <c r="F234" s="660">
        <v>13485</v>
      </c>
      <c r="G234" s="278" t="s">
        <v>9365</v>
      </c>
      <c r="H234" s="273">
        <v>100748</v>
      </c>
    </row>
    <row r="235" spans="2:8">
      <c r="B235" s="273" t="s">
        <v>9403</v>
      </c>
      <c r="C235" s="273" t="s">
        <v>1283</v>
      </c>
      <c r="D235" s="658"/>
      <c r="E235" s="277"/>
      <c r="F235" s="660">
        <v>4410</v>
      </c>
      <c r="G235" s="278" t="s">
        <v>9404</v>
      </c>
      <c r="H235" s="273">
        <v>48821</v>
      </c>
    </row>
    <row r="236" spans="2:8">
      <c r="B236" s="273" t="s">
        <v>9418</v>
      </c>
      <c r="C236" s="273" t="s">
        <v>1283</v>
      </c>
      <c r="D236" s="658"/>
      <c r="E236" s="277"/>
      <c r="F236" s="660">
        <v>45360</v>
      </c>
      <c r="G236" s="278" t="s">
        <v>9420</v>
      </c>
      <c r="H236" s="273">
        <v>144018</v>
      </c>
    </row>
    <row r="237" spans="2:8">
      <c r="B237" s="273" t="s">
        <v>9433</v>
      </c>
      <c r="C237" s="273" t="s">
        <v>1283</v>
      </c>
      <c r="D237" s="658">
        <v>19994</v>
      </c>
      <c r="E237" s="277" t="s">
        <v>9434</v>
      </c>
      <c r="F237" s="660"/>
      <c r="G237" s="278"/>
      <c r="H237" s="273">
        <v>144727</v>
      </c>
    </row>
    <row r="238" spans="2:8">
      <c r="B238" s="273" t="s">
        <v>8984</v>
      </c>
      <c r="C238" s="273" t="s">
        <v>1283</v>
      </c>
      <c r="D238" s="658"/>
      <c r="E238" s="277"/>
      <c r="F238" s="660">
        <v>4410</v>
      </c>
      <c r="G238" s="278" t="s">
        <v>9463</v>
      </c>
      <c r="H238" s="273">
        <v>28663</v>
      </c>
    </row>
    <row r="239" spans="2:8">
      <c r="B239" s="273" t="s">
        <v>9459</v>
      </c>
      <c r="C239" s="273" t="s">
        <v>1283</v>
      </c>
      <c r="D239" s="658"/>
      <c r="E239" s="277"/>
      <c r="F239" s="660">
        <v>14165</v>
      </c>
      <c r="G239" s="278" t="s">
        <v>9464</v>
      </c>
      <c r="H239" s="273">
        <v>85353</v>
      </c>
    </row>
    <row r="240" spans="2:8">
      <c r="B240" s="273" t="s">
        <v>9476</v>
      </c>
      <c r="C240" s="273" t="s">
        <v>1283</v>
      </c>
      <c r="D240" s="658"/>
      <c r="E240" s="277"/>
      <c r="F240" s="660">
        <v>14165</v>
      </c>
      <c r="G240" s="278" t="s">
        <v>9477</v>
      </c>
      <c r="H240" s="273">
        <v>41066</v>
      </c>
    </row>
    <row r="241" spans="2:8">
      <c r="B241" s="273" t="s">
        <v>9505</v>
      </c>
      <c r="C241" s="273" t="s">
        <v>1283</v>
      </c>
      <c r="D241" s="658"/>
      <c r="E241" s="277"/>
      <c r="F241" s="660">
        <v>4410</v>
      </c>
      <c r="G241" s="278" t="s">
        <v>9508</v>
      </c>
      <c r="H241" s="273">
        <v>47594</v>
      </c>
    </row>
    <row r="242" spans="2:8">
      <c r="B242" s="273" t="s">
        <v>9509</v>
      </c>
      <c r="C242" s="273" t="s">
        <v>1283</v>
      </c>
      <c r="D242" s="658"/>
      <c r="E242" s="277"/>
      <c r="F242" s="660">
        <v>13485</v>
      </c>
      <c r="G242" s="278" t="s">
        <v>9512</v>
      </c>
      <c r="H242" s="273">
        <v>75254</v>
      </c>
    </row>
    <row r="243" spans="2:8">
      <c r="B243" s="273" t="s">
        <v>9515</v>
      </c>
      <c r="C243" s="273" t="s">
        <v>1283</v>
      </c>
      <c r="D243" s="658"/>
      <c r="E243" s="277"/>
      <c r="F243" s="660">
        <v>113400</v>
      </c>
      <c r="G243" s="278" t="s">
        <v>9519</v>
      </c>
      <c r="H243" s="273">
        <v>134479</v>
      </c>
    </row>
    <row r="244" spans="2:8">
      <c r="B244" s="273" t="s">
        <v>9518</v>
      </c>
      <c r="C244" s="273" t="s">
        <v>1283</v>
      </c>
      <c r="D244" s="658"/>
      <c r="E244" s="277"/>
      <c r="F244" s="660">
        <v>6290</v>
      </c>
      <c r="G244" s="278" t="s">
        <v>9521</v>
      </c>
      <c r="H244" s="273">
        <v>140769</v>
      </c>
    </row>
    <row r="245" spans="2:8">
      <c r="B245" s="273" t="s">
        <v>9518</v>
      </c>
      <c r="C245" s="273" t="s">
        <v>1283</v>
      </c>
      <c r="D245" s="658"/>
      <c r="E245" s="277"/>
      <c r="F245" s="660">
        <v>75590</v>
      </c>
      <c r="G245" s="278" t="s">
        <v>9520</v>
      </c>
      <c r="H245" s="273">
        <v>216359</v>
      </c>
    </row>
    <row r="246" spans="2:8">
      <c r="B246" s="273" t="s">
        <v>9527</v>
      </c>
      <c r="C246" s="273" t="s">
        <v>8988</v>
      </c>
      <c r="D246" s="659">
        <v>104030</v>
      </c>
      <c r="E246" s="273" t="s">
        <v>9532</v>
      </c>
      <c r="F246" s="661"/>
      <c r="H246" s="273">
        <v>116864</v>
      </c>
    </row>
    <row r="247" spans="2:8">
      <c r="B247" s="273" t="s">
        <v>9556</v>
      </c>
      <c r="C247" s="273" t="s">
        <v>8988</v>
      </c>
      <c r="D247" s="659">
        <v>114521</v>
      </c>
      <c r="E247" s="273" t="s">
        <v>9532</v>
      </c>
      <c r="F247" s="661"/>
      <c r="H247" s="273">
        <v>177326</v>
      </c>
    </row>
    <row r="248" spans="2:8">
      <c r="B248" s="273" t="s">
        <v>9566</v>
      </c>
      <c r="C248" s="273" t="s">
        <v>1283</v>
      </c>
      <c r="D248" s="658"/>
      <c r="E248" s="277"/>
      <c r="F248" s="660">
        <v>14165</v>
      </c>
      <c r="G248" s="278" t="s">
        <v>9567</v>
      </c>
      <c r="H248" s="273">
        <v>81557</v>
      </c>
    </row>
    <row r="249" spans="2:8">
      <c r="B249" s="273" t="s">
        <v>9566</v>
      </c>
      <c r="C249" s="273" t="s">
        <v>1283</v>
      </c>
      <c r="D249" s="658"/>
      <c r="E249" s="277"/>
      <c r="F249" s="660">
        <v>4410</v>
      </c>
      <c r="G249" s="278" t="s">
        <v>9568</v>
      </c>
      <c r="H249" s="273">
        <v>85967</v>
      </c>
    </row>
    <row r="250" spans="2:8">
      <c r="B250" s="273" t="s">
        <v>9584</v>
      </c>
      <c r="C250" s="273" t="s">
        <v>1283</v>
      </c>
      <c r="D250" s="658"/>
      <c r="E250" s="277"/>
      <c r="F250" s="660">
        <v>14165</v>
      </c>
      <c r="G250" s="278" t="s">
        <v>9587</v>
      </c>
      <c r="H250" s="273">
        <v>184420</v>
      </c>
    </row>
    <row r="251" spans="2:8">
      <c r="B251" s="273" t="s">
        <v>9177</v>
      </c>
      <c r="C251" s="273" t="s">
        <v>9284</v>
      </c>
      <c r="D251" s="658">
        <v>1304</v>
      </c>
      <c r="E251" s="277"/>
      <c r="F251" s="658"/>
      <c r="G251" s="278"/>
      <c r="H251" s="273">
        <v>59661</v>
      </c>
    </row>
    <row r="252" spans="2:8">
      <c r="B252" s="273" t="s">
        <v>9281</v>
      </c>
      <c r="C252" s="273" t="s">
        <v>9283</v>
      </c>
      <c r="D252" s="658">
        <v>1871</v>
      </c>
      <c r="E252" s="277"/>
      <c r="F252" s="658"/>
      <c r="G252" s="278"/>
      <c r="H252" s="273">
        <v>178903</v>
      </c>
    </row>
    <row r="253" spans="2:8">
      <c r="B253" s="273" t="s">
        <v>9366</v>
      </c>
      <c r="C253" s="273" t="s">
        <v>9368</v>
      </c>
      <c r="D253" s="658">
        <v>2804</v>
      </c>
      <c r="E253" s="277"/>
      <c r="F253" s="658"/>
      <c r="G253" s="278"/>
      <c r="H253" s="273">
        <v>91855</v>
      </c>
    </row>
    <row r="254" spans="2:8">
      <c r="B254" s="273" t="s">
        <v>9470</v>
      </c>
      <c r="C254" s="273" t="s">
        <v>9472</v>
      </c>
      <c r="D254" s="658">
        <v>2909</v>
      </c>
      <c r="E254" s="277"/>
      <c r="F254" s="658"/>
      <c r="G254" s="278"/>
      <c r="H254" s="273">
        <v>14901</v>
      </c>
    </row>
    <row r="255" spans="2:8">
      <c r="B255" s="273" t="s">
        <v>9569</v>
      </c>
      <c r="C255" s="273" t="s">
        <v>9576</v>
      </c>
      <c r="D255" s="658">
        <v>1907</v>
      </c>
      <c r="E255" s="277"/>
      <c r="F255" s="658"/>
      <c r="G255" s="278"/>
      <c r="H255" s="273">
        <v>132885</v>
      </c>
    </row>
    <row r="256" spans="2:8">
      <c r="B256" s="273" t="s">
        <v>9031</v>
      </c>
      <c r="C256" s="273" t="s">
        <v>9032</v>
      </c>
      <c r="D256" s="658">
        <v>1234</v>
      </c>
      <c r="E256" s="277"/>
      <c r="F256" s="658"/>
      <c r="G256" s="278"/>
      <c r="H256" s="273">
        <v>27106</v>
      </c>
    </row>
    <row r="257" spans="2:8">
      <c r="B257" s="273" t="s">
        <v>9118</v>
      </c>
      <c r="C257" s="273" t="s">
        <v>9119</v>
      </c>
      <c r="D257" s="658">
        <v>1232</v>
      </c>
      <c r="E257" s="277"/>
      <c r="F257" s="658"/>
      <c r="G257" s="278"/>
      <c r="H257" s="273">
        <v>142370</v>
      </c>
    </row>
    <row r="258" spans="2:8">
      <c r="B258" s="273" t="s">
        <v>9147</v>
      </c>
      <c r="C258" s="273" t="s">
        <v>9148</v>
      </c>
      <c r="D258" s="658">
        <v>1231</v>
      </c>
      <c r="E258" s="277"/>
      <c r="F258" s="658"/>
      <c r="G258" s="278"/>
      <c r="H258" s="273">
        <v>143760</v>
      </c>
    </row>
    <row r="259" spans="2:8">
      <c r="B259" s="273" t="s">
        <v>9184</v>
      </c>
      <c r="C259" s="273" t="s">
        <v>9185</v>
      </c>
      <c r="D259" s="658">
        <v>1239</v>
      </c>
      <c r="E259" s="277"/>
      <c r="F259" s="658"/>
      <c r="G259" s="278"/>
      <c r="H259" s="273">
        <v>78498</v>
      </c>
    </row>
    <row r="260" spans="2:8">
      <c r="B260" s="273" t="s">
        <v>9241</v>
      </c>
      <c r="C260" s="273" t="s">
        <v>9242</v>
      </c>
      <c r="D260" s="658">
        <v>1229</v>
      </c>
      <c r="E260" s="277"/>
      <c r="F260" s="658"/>
      <c r="G260" s="278"/>
      <c r="H260" s="273">
        <v>169882</v>
      </c>
    </row>
    <row r="261" spans="2:8">
      <c r="B261" s="273" t="s">
        <v>9291</v>
      </c>
      <c r="C261" s="273" t="s">
        <v>9292</v>
      </c>
      <c r="D261" s="658">
        <v>1232</v>
      </c>
      <c r="E261" s="277"/>
      <c r="F261" s="658"/>
      <c r="G261" s="278"/>
      <c r="H261" s="273">
        <v>209216</v>
      </c>
    </row>
    <row r="262" spans="2:8">
      <c r="B262" s="273" t="s">
        <v>9328</v>
      </c>
      <c r="C262" s="273" t="s">
        <v>9329</v>
      </c>
      <c r="D262" s="658">
        <v>1231</v>
      </c>
      <c r="E262" s="277"/>
      <c r="F262" s="658"/>
      <c r="G262" s="278"/>
      <c r="H262" s="273">
        <v>118352</v>
      </c>
    </row>
    <row r="263" spans="2:8">
      <c r="B263" s="273" t="s">
        <v>9380</v>
      </c>
      <c r="C263" s="273" t="s">
        <v>9381</v>
      </c>
      <c r="D263" s="658">
        <v>1231</v>
      </c>
      <c r="E263" s="277"/>
      <c r="F263" s="658"/>
      <c r="G263" s="278"/>
      <c r="H263" s="273">
        <v>182604</v>
      </c>
    </row>
    <row r="264" spans="2:8">
      <c r="B264" s="273" t="s">
        <v>9429</v>
      </c>
      <c r="C264" s="273" t="s">
        <v>9430</v>
      </c>
      <c r="D264" s="658">
        <v>1236</v>
      </c>
      <c r="E264" s="277"/>
      <c r="F264" s="658"/>
      <c r="G264" s="278"/>
      <c r="H264" s="273">
        <v>168457</v>
      </c>
    </row>
    <row r="265" spans="2:8">
      <c r="B265" s="273" t="s">
        <v>9478</v>
      </c>
      <c r="C265" s="273" t="s">
        <v>9479</v>
      </c>
      <c r="D265" s="658">
        <v>1229</v>
      </c>
      <c r="E265" s="277"/>
      <c r="F265" s="658"/>
      <c r="G265" s="278"/>
      <c r="H265" s="273">
        <v>39837</v>
      </c>
    </row>
    <row r="266" spans="2:8">
      <c r="B266" s="273" t="s">
        <v>9527</v>
      </c>
      <c r="C266" s="273" t="s">
        <v>9528</v>
      </c>
      <c r="D266" s="658">
        <v>1237</v>
      </c>
      <c r="E266" s="277"/>
      <c r="F266" s="658"/>
      <c r="G266" s="278"/>
      <c r="H266" s="273">
        <v>256072</v>
      </c>
    </row>
    <row r="267" spans="2:8">
      <c r="B267" s="273" t="s">
        <v>9588</v>
      </c>
      <c r="C267" s="273" t="s">
        <v>9589</v>
      </c>
      <c r="D267" s="658">
        <v>1229</v>
      </c>
      <c r="E267" s="277"/>
      <c r="F267" s="658"/>
      <c r="G267" s="278"/>
      <c r="H267" s="273">
        <v>183191</v>
      </c>
    </row>
    <row r="268" spans="2:8">
      <c r="B268" s="273" t="s">
        <v>9031</v>
      </c>
      <c r="C268" s="273" t="s">
        <v>9033</v>
      </c>
      <c r="D268" s="658">
        <v>1752</v>
      </c>
      <c r="E268" s="277"/>
      <c r="F268" s="658"/>
      <c r="G268" s="278"/>
      <c r="H268" s="273">
        <v>25354</v>
      </c>
    </row>
    <row r="269" spans="2:8">
      <c r="B269" s="273" t="s">
        <v>9118</v>
      </c>
      <c r="C269" s="273" t="s">
        <v>9120</v>
      </c>
      <c r="D269" s="658">
        <v>1707</v>
      </c>
      <c r="E269" s="277"/>
      <c r="F269" s="658"/>
      <c r="G269" s="278"/>
      <c r="H269" s="273">
        <v>140663</v>
      </c>
    </row>
    <row r="270" spans="2:8">
      <c r="B270" s="273" t="s">
        <v>9147</v>
      </c>
      <c r="C270" s="273" t="s">
        <v>9149</v>
      </c>
      <c r="D270" s="658">
        <v>1704</v>
      </c>
      <c r="E270" s="277"/>
      <c r="F270" s="658"/>
      <c r="G270" s="278"/>
      <c r="H270" s="273">
        <v>142056</v>
      </c>
    </row>
    <row r="271" spans="2:8">
      <c r="B271" s="273" t="s">
        <v>9184</v>
      </c>
      <c r="C271" s="273" t="s">
        <v>9186</v>
      </c>
      <c r="D271" s="658">
        <v>1763</v>
      </c>
      <c r="E271" s="277"/>
      <c r="F271" s="658"/>
      <c r="G271" s="278"/>
      <c r="H271" s="273">
        <v>76735</v>
      </c>
    </row>
    <row r="272" spans="2:8">
      <c r="B272" s="273" t="s">
        <v>9241</v>
      </c>
      <c r="C272" s="273" t="s">
        <v>9243</v>
      </c>
      <c r="D272" s="658">
        <v>1694</v>
      </c>
      <c r="E272" s="277"/>
      <c r="F272" s="658"/>
      <c r="G272" s="278"/>
      <c r="H272" s="273">
        <v>168188</v>
      </c>
    </row>
    <row r="273" spans="2:8">
      <c r="B273" s="273" t="s">
        <v>9291</v>
      </c>
      <c r="C273" s="273" t="s">
        <v>9293</v>
      </c>
      <c r="D273" s="658">
        <v>1790</v>
      </c>
      <c r="E273" s="277"/>
      <c r="F273" s="658"/>
      <c r="G273" s="278"/>
      <c r="H273" s="273">
        <v>207426</v>
      </c>
    </row>
    <row r="274" spans="2:8">
      <c r="B274" s="273" t="s">
        <v>9328</v>
      </c>
      <c r="C274" s="273" t="s">
        <v>9330</v>
      </c>
      <c r="D274" s="658">
        <v>1684</v>
      </c>
      <c r="E274" s="277"/>
      <c r="F274" s="658"/>
      <c r="G274" s="278"/>
      <c r="H274" s="273">
        <v>116668</v>
      </c>
    </row>
    <row r="275" spans="2:8">
      <c r="B275" s="273" t="s">
        <v>9380</v>
      </c>
      <c r="C275" s="273" t="s">
        <v>9382</v>
      </c>
      <c r="D275" s="658">
        <v>1781</v>
      </c>
      <c r="E275" s="277"/>
      <c r="F275" s="658"/>
      <c r="G275" s="278"/>
      <c r="H275" s="273">
        <v>180823</v>
      </c>
    </row>
    <row r="276" spans="2:8">
      <c r="B276" s="273" t="s">
        <v>9429</v>
      </c>
      <c r="C276" s="273" t="s">
        <v>9431</v>
      </c>
      <c r="D276" s="658">
        <v>1670</v>
      </c>
      <c r="E276" s="277"/>
      <c r="F276" s="658"/>
      <c r="G276" s="278"/>
      <c r="H276" s="273">
        <v>166787</v>
      </c>
    </row>
    <row r="277" spans="2:8">
      <c r="B277" s="273" t="s">
        <v>9478</v>
      </c>
      <c r="C277" s="273" t="s">
        <v>9480</v>
      </c>
      <c r="D277" s="658">
        <v>1859</v>
      </c>
      <c r="E277" s="277"/>
      <c r="F277" s="658"/>
      <c r="G277" s="278"/>
      <c r="H277" s="273">
        <v>37978</v>
      </c>
    </row>
    <row r="278" spans="2:8">
      <c r="B278" s="273" t="s">
        <v>9527</v>
      </c>
      <c r="C278" s="273" t="s">
        <v>9529</v>
      </c>
      <c r="D278" s="658">
        <v>1707</v>
      </c>
      <c r="E278" s="277"/>
      <c r="F278" s="658"/>
      <c r="G278" s="278"/>
      <c r="H278" s="273">
        <v>254365</v>
      </c>
    </row>
    <row r="279" spans="2:8">
      <c r="B279" s="273" t="s">
        <v>9588</v>
      </c>
      <c r="C279" s="273" t="s">
        <v>9590</v>
      </c>
      <c r="D279" s="658">
        <v>1761</v>
      </c>
      <c r="E279" s="277"/>
      <c r="F279" s="658"/>
      <c r="G279" s="278"/>
      <c r="H279" s="273">
        <v>181430</v>
      </c>
    </row>
    <row r="280" spans="2:8">
      <c r="B280" s="273" t="s">
        <v>9031</v>
      </c>
      <c r="C280" s="273" t="s">
        <v>9034</v>
      </c>
      <c r="D280" s="658">
        <v>2112</v>
      </c>
      <c r="E280" s="277"/>
      <c r="F280" s="658"/>
      <c r="G280" s="278"/>
      <c r="H280" s="273">
        <v>23242</v>
      </c>
    </row>
    <row r="281" spans="2:8">
      <c r="B281" s="273" t="s">
        <v>9118</v>
      </c>
      <c r="C281" s="273" t="s">
        <v>9121</v>
      </c>
      <c r="D281" s="658">
        <v>2029</v>
      </c>
      <c r="E281" s="277"/>
      <c r="F281" s="658"/>
      <c r="G281" s="278"/>
      <c r="H281" s="273">
        <v>138634</v>
      </c>
    </row>
    <row r="282" spans="2:8">
      <c r="B282" s="273" t="s">
        <v>9147</v>
      </c>
      <c r="C282" s="273" t="s">
        <v>9150</v>
      </c>
      <c r="D282" s="658">
        <v>2060</v>
      </c>
      <c r="E282" s="277"/>
      <c r="F282" s="658"/>
      <c r="G282" s="278"/>
      <c r="H282" s="273">
        <v>139996</v>
      </c>
    </row>
    <row r="283" spans="2:8">
      <c r="B283" s="273" t="s">
        <v>9184</v>
      </c>
      <c r="C283" s="273" t="s">
        <v>9187</v>
      </c>
      <c r="D283" s="658">
        <v>2065</v>
      </c>
      <c r="E283" s="277"/>
      <c r="F283" s="658"/>
      <c r="G283" s="278"/>
      <c r="H283" s="273">
        <v>74670</v>
      </c>
    </row>
    <row r="284" spans="2:8">
      <c r="B284" s="273" t="s">
        <v>9241</v>
      </c>
      <c r="C284" s="273" t="s">
        <v>9244</v>
      </c>
      <c r="D284" s="658">
        <v>2053</v>
      </c>
      <c r="E284" s="277"/>
      <c r="F284" s="658"/>
      <c r="G284" s="278"/>
      <c r="H284" s="273">
        <v>166135</v>
      </c>
    </row>
    <row r="285" spans="2:8">
      <c r="B285" s="273" t="s">
        <v>9291</v>
      </c>
      <c r="C285" s="273" t="s">
        <v>9294</v>
      </c>
      <c r="D285" s="658">
        <v>1991</v>
      </c>
      <c r="E285" s="277"/>
      <c r="F285" s="658"/>
      <c r="G285" s="278"/>
      <c r="H285" s="273">
        <v>205435</v>
      </c>
    </row>
    <row r="286" spans="2:8">
      <c r="B286" s="273" t="s">
        <v>9328</v>
      </c>
      <c r="C286" s="273" t="s">
        <v>9331</v>
      </c>
      <c r="D286" s="658">
        <v>2039</v>
      </c>
      <c r="E286" s="277"/>
      <c r="F286" s="658"/>
      <c r="G286" s="278"/>
      <c r="H286" s="273">
        <v>114629</v>
      </c>
    </row>
    <row r="287" spans="2:8">
      <c r="B287" s="273" t="s">
        <v>9380</v>
      </c>
      <c r="C287" s="273" t="s">
        <v>9383</v>
      </c>
      <c r="D287" s="658">
        <v>2051</v>
      </c>
      <c r="E287" s="277"/>
      <c r="F287" s="658"/>
      <c r="G287" s="278"/>
      <c r="H287" s="273">
        <v>178772</v>
      </c>
    </row>
    <row r="288" spans="2:8">
      <c r="B288" s="273" t="s">
        <v>9429</v>
      </c>
      <c r="C288" s="273" t="s">
        <v>9432</v>
      </c>
      <c r="D288" s="658">
        <v>2066</v>
      </c>
      <c r="E288" s="277"/>
      <c r="F288" s="658"/>
      <c r="G288" s="278"/>
      <c r="H288" s="273">
        <v>164721</v>
      </c>
    </row>
    <row r="289" spans="2:8">
      <c r="B289" s="273" t="s">
        <v>9478</v>
      </c>
      <c r="C289" s="273" t="s">
        <v>9481</v>
      </c>
      <c r="D289" s="658">
        <v>2245</v>
      </c>
      <c r="E289" s="277"/>
      <c r="F289" s="658"/>
      <c r="G289" s="278"/>
      <c r="H289" s="273">
        <v>35733</v>
      </c>
    </row>
    <row r="290" spans="2:8">
      <c r="B290" s="273" t="s">
        <v>9527</v>
      </c>
      <c r="C290" s="273" t="s">
        <v>9530</v>
      </c>
      <c r="D290" s="658">
        <v>2017</v>
      </c>
      <c r="E290" s="277"/>
      <c r="F290" s="658"/>
      <c r="G290" s="278"/>
      <c r="H290" s="273">
        <v>252348</v>
      </c>
    </row>
    <row r="291" spans="2:8">
      <c r="B291" s="273" t="s">
        <v>9588</v>
      </c>
      <c r="C291" s="273" t="s">
        <v>9591</v>
      </c>
      <c r="D291" s="658">
        <v>2055</v>
      </c>
      <c r="E291" s="277"/>
      <c r="F291" s="658"/>
      <c r="G291" s="278"/>
      <c r="H291" s="273">
        <v>179375</v>
      </c>
    </row>
    <row r="292" spans="2:8">
      <c r="B292" s="273" t="s">
        <v>9030</v>
      </c>
      <c r="C292" s="273" t="s">
        <v>892</v>
      </c>
      <c r="D292" s="658">
        <v>5000</v>
      </c>
      <c r="E292" s="277"/>
      <c r="F292" s="658"/>
      <c r="G292" s="278"/>
      <c r="H292" s="273">
        <v>28340</v>
      </c>
    </row>
    <row r="293" spans="2:8">
      <c r="B293" s="273" t="s">
        <v>9142</v>
      </c>
      <c r="C293" s="273" t="s">
        <v>892</v>
      </c>
      <c r="D293" s="658">
        <v>5000</v>
      </c>
      <c r="E293" s="277"/>
      <c r="F293" s="658"/>
      <c r="G293" s="278"/>
      <c r="H293" s="273">
        <v>136816</v>
      </c>
    </row>
    <row r="294" spans="2:8">
      <c r="B294" s="273" t="s">
        <v>9237</v>
      </c>
      <c r="C294" s="273" t="s">
        <v>892</v>
      </c>
      <c r="D294" s="658">
        <v>5000</v>
      </c>
      <c r="E294" s="277"/>
      <c r="F294" s="658"/>
      <c r="G294" s="278"/>
      <c r="H294" s="273">
        <v>93306</v>
      </c>
    </row>
    <row r="295" spans="2:8">
      <c r="B295" s="273" t="s">
        <v>9327</v>
      </c>
      <c r="C295" s="273" t="s">
        <v>892</v>
      </c>
      <c r="D295" s="658">
        <v>5000</v>
      </c>
      <c r="E295" s="277"/>
      <c r="F295" s="658"/>
      <c r="G295" s="278"/>
      <c r="H295" s="273">
        <v>119583</v>
      </c>
    </row>
    <row r="296" spans="2:8">
      <c r="B296" s="273" t="s">
        <v>9401</v>
      </c>
      <c r="C296" s="273" t="s">
        <v>892</v>
      </c>
      <c r="D296" s="658">
        <v>5000</v>
      </c>
      <c r="E296" s="277"/>
      <c r="F296" s="658"/>
      <c r="G296" s="278"/>
      <c r="H296" s="273">
        <v>85865</v>
      </c>
    </row>
    <row r="297" spans="2:8">
      <c r="B297" s="273" t="s">
        <v>9482</v>
      </c>
      <c r="C297" s="273" t="s">
        <v>892</v>
      </c>
      <c r="D297" s="658">
        <v>5000</v>
      </c>
      <c r="E297" s="277"/>
      <c r="F297" s="658"/>
      <c r="G297" s="278"/>
      <c r="H297" s="273">
        <v>44908</v>
      </c>
    </row>
    <row r="298" spans="2:8">
      <c r="B298" s="273" t="s">
        <v>9592</v>
      </c>
      <c r="C298" s="273" t="s">
        <v>892</v>
      </c>
      <c r="D298" s="658">
        <v>5000</v>
      </c>
      <c r="E298" s="277"/>
      <c r="F298" s="658"/>
      <c r="G298" s="278"/>
      <c r="H298" s="273">
        <v>174375</v>
      </c>
    </row>
    <row r="299" spans="2:8">
      <c r="B299" s="273" t="s">
        <v>9007</v>
      </c>
      <c r="C299" s="273" t="s">
        <v>9011</v>
      </c>
      <c r="D299" s="658">
        <v>26897</v>
      </c>
      <c r="E299" s="277"/>
      <c r="F299" s="658"/>
      <c r="G299" s="278"/>
      <c r="H299" s="273">
        <v>131280</v>
      </c>
    </row>
    <row r="300" spans="2:8">
      <c r="B300" s="273" t="s">
        <v>9050</v>
      </c>
      <c r="C300" s="273" t="s">
        <v>9058</v>
      </c>
      <c r="D300" s="658">
        <v>29647</v>
      </c>
      <c r="E300" s="277"/>
      <c r="F300" s="658"/>
      <c r="G300" s="278"/>
      <c r="H300" s="273">
        <v>51969</v>
      </c>
    </row>
    <row r="301" spans="2:8">
      <c r="B301" s="273" t="s">
        <v>9115</v>
      </c>
      <c r="C301" s="273" t="s">
        <v>9117</v>
      </c>
      <c r="D301" s="658">
        <v>29647</v>
      </c>
      <c r="E301" s="277"/>
      <c r="F301" s="658"/>
      <c r="G301" s="278"/>
      <c r="H301" s="273">
        <v>143602</v>
      </c>
    </row>
    <row r="302" spans="2:8">
      <c r="B302" s="273" t="s">
        <v>9167</v>
      </c>
      <c r="C302" s="273" t="s">
        <v>9169</v>
      </c>
      <c r="D302" s="658">
        <v>29647</v>
      </c>
      <c r="E302" s="277"/>
      <c r="F302" s="658"/>
      <c r="G302" s="278"/>
      <c r="H302" s="273">
        <v>87454</v>
      </c>
    </row>
    <row r="303" spans="2:8">
      <c r="B303" s="273" t="s">
        <v>9190</v>
      </c>
      <c r="C303" s="273" t="s">
        <v>9229</v>
      </c>
      <c r="D303" s="658">
        <v>29647</v>
      </c>
      <c r="E303" s="277"/>
      <c r="F303" s="658"/>
      <c r="G303" s="278"/>
      <c r="H303" s="273">
        <v>121253</v>
      </c>
    </row>
    <row r="304" spans="2:8">
      <c r="B304" s="273" t="s">
        <v>9263</v>
      </c>
      <c r="C304" s="273" t="s">
        <v>9264</v>
      </c>
      <c r="D304" s="658">
        <v>29647</v>
      </c>
      <c r="E304" s="277"/>
      <c r="F304" s="658"/>
      <c r="G304" s="278"/>
      <c r="H304" s="273">
        <v>191118</v>
      </c>
    </row>
    <row r="305" spans="2:8">
      <c r="B305" s="273" t="s">
        <v>9307</v>
      </c>
      <c r="C305" s="273" t="s">
        <v>9308</v>
      </c>
      <c r="D305" s="658">
        <v>29647</v>
      </c>
      <c r="E305" s="277"/>
      <c r="F305" s="658"/>
      <c r="G305" s="278"/>
      <c r="H305" s="273">
        <v>160218</v>
      </c>
    </row>
    <row r="306" spans="2:8">
      <c r="B306" s="273" t="s">
        <v>9348</v>
      </c>
      <c r="C306" s="273" t="s">
        <v>9353</v>
      </c>
      <c r="D306" s="658">
        <v>29647</v>
      </c>
      <c r="E306" s="277"/>
      <c r="F306" s="658"/>
      <c r="G306" s="278"/>
      <c r="H306" s="273">
        <v>118057</v>
      </c>
    </row>
    <row r="307" spans="2:8">
      <c r="B307" s="273" t="s">
        <v>9397</v>
      </c>
      <c r="C307" s="273" t="s">
        <v>9399</v>
      </c>
      <c r="D307" s="658">
        <v>29647</v>
      </c>
      <c r="E307" s="277"/>
      <c r="F307" s="658"/>
      <c r="G307" s="278"/>
      <c r="H307" s="273">
        <v>132535</v>
      </c>
    </row>
    <row r="308" spans="2:8">
      <c r="B308" s="273" t="s">
        <v>9445</v>
      </c>
      <c r="C308" s="273" t="s">
        <v>9453</v>
      </c>
      <c r="D308" s="658">
        <v>29647</v>
      </c>
      <c r="E308" s="277"/>
      <c r="F308" s="658"/>
      <c r="G308" s="278"/>
      <c r="H308" s="273">
        <v>93160</v>
      </c>
    </row>
    <row r="309" spans="2:8">
      <c r="B309" s="273" t="s">
        <v>9500</v>
      </c>
      <c r="C309" s="273" t="s">
        <v>9503</v>
      </c>
      <c r="D309" s="658">
        <v>29647</v>
      </c>
      <c r="E309" s="277"/>
      <c r="F309" s="658"/>
      <c r="G309" s="278"/>
      <c r="H309" s="273">
        <v>30846</v>
      </c>
    </row>
    <row r="310" spans="2:8">
      <c r="B310" s="273" t="s">
        <v>9556</v>
      </c>
      <c r="C310" s="273" t="s">
        <v>9561</v>
      </c>
      <c r="D310" s="658">
        <v>29647</v>
      </c>
      <c r="E310" s="277"/>
      <c r="F310" s="658"/>
      <c r="G310" s="278"/>
      <c r="H310" s="273">
        <v>321847</v>
      </c>
    </row>
    <row r="311" spans="2:8">
      <c r="B311" s="273" t="s">
        <v>9007</v>
      </c>
      <c r="C311" s="273" t="s">
        <v>9010</v>
      </c>
      <c r="D311" s="658">
        <v>18000</v>
      </c>
      <c r="E311" s="277"/>
      <c r="F311" s="658"/>
      <c r="G311" s="278"/>
      <c r="H311" s="273">
        <v>158177</v>
      </c>
    </row>
    <row r="312" spans="2:8">
      <c r="B312" s="273" t="s">
        <v>9050</v>
      </c>
      <c r="C312" s="273" t="s">
        <v>9057</v>
      </c>
      <c r="D312" s="658">
        <v>18000</v>
      </c>
      <c r="E312" s="277"/>
      <c r="F312" s="658"/>
      <c r="G312" s="278"/>
      <c r="H312" s="273">
        <v>81616</v>
      </c>
    </row>
    <row r="313" spans="2:8">
      <c r="B313" s="273" t="s">
        <v>9115</v>
      </c>
      <c r="C313" s="273" t="s">
        <v>9116</v>
      </c>
      <c r="D313" s="658">
        <v>19000</v>
      </c>
      <c r="E313" s="277"/>
      <c r="F313" s="658"/>
      <c r="G313" s="278"/>
      <c r="H313" s="273">
        <v>173249</v>
      </c>
    </row>
    <row r="314" spans="2:8">
      <c r="B314" s="273" t="s">
        <v>9167</v>
      </c>
      <c r="C314" s="273" t="s">
        <v>9168</v>
      </c>
      <c r="D314" s="658">
        <v>53000</v>
      </c>
      <c r="E314" s="277"/>
      <c r="F314" s="658"/>
      <c r="G314" s="278"/>
      <c r="H314" s="273">
        <v>117101</v>
      </c>
    </row>
    <row r="315" spans="2:8">
      <c r="B315" s="273" t="s">
        <v>9307</v>
      </c>
      <c r="C315" s="273" t="s">
        <v>9351</v>
      </c>
      <c r="D315" s="658">
        <v>18000</v>
      </c>
      <c r="E315" s="277"/>
      <c r="F315" s="658"/>
      <c r="G315" s="278"/>
      <c r="H315" s="273">
        <v>189865</v>
      </c>
    </row>
    <row r="316" spans="2:8">
      <c r="B316" s="273" t="s">
        <v>9348</v>
      </c>
      <c r="C316" s="273" t="s">
        <v>9352</v>
      </c>
      <c r="D316" s="658">
        <v>13500</v>
      </c>
      <c r="E316" s="277"/>
      <c r="F316" s="658"/>
      <c r="G316" s="278"/>
      <c r="H316" s="273">
        <v>147704</v>
      </c>
    </row>
    <row r="317" spans="2:8">
      <c r="B317" s="273" t="s">
        <v>9397</v>
      </c>
      <c r="C317" s="273" t="s">
        <v>9398</v>
      </c>
      <c r="D317" s="658">
        <v>43500</v>
      </c>
      <c r="E317" s="277"/>
      <c r="F317" s="658"/>
      <c r="G317" s="278"/>
      <c r="H317" s="273">
        <v>162182</v>
      </c>
    </row>
    <row r="318" spans="2:8">
      <c r="B318" s="273" t="s">
        <v>9445</v>
      </c>
      <c r="C318" s="273" t="s">
        <v>9452</v>
      </c>
      <c r="D318" s="658">
        <v>39800</v>
      </c>
      <c r="E318" s="277"/>
      <c r="F318" s="658"/>
      <c r="G318" s="278"/>
      <c r="H318" s="273">
        <v>122807</v>
      </c>
    </row>
    <row r="319" spans="2:8">
      <c r="B319" s="273" t="s">
        <v>9500</v>
      </c>
      <c r="C319" s="273" t="s">
        <v>9502</v>
      </c>
      <c r="D319" s="658">
        <v>7500</v>
      </c>
      <c r="E319" s="277"/>
      <c r="F319" s="658"/>
      <c r="G319" s="278"/>
      <c r="H319" s="273">
        <v>60493</v>
      </c>
    </row>
    <row r="320" spans="2:8">
      <c r="B320" s="273" t="s">
        <v>9023</v>
      </c>
      <c r="C320" s="273" t="s">
        <v>9024</v>
      </c>
      <c r="D320" s="658">
        <v>61454</v>
      </c>
      <c r="E320" s="277"/>
      <c r="F320" s="658"/>
      <c r="G320" s="278"/>
      <c r="H320" s="273">
        <v>31340</v>
      </c>
    </row>
    <row r="321" spans="2:8">
      <c r="B321" s="273" t="s">
        <v>9028</v>
      </c>
      <c r="C321" s="273" t="s">
        <v>9024</v>
      </c>
      <c r="D321" s="658">
        <v>10000</v>
      </c>
      <c r="E321" s="277" t="s">
        <v>9029</v>
      </c>
      <c r="F321" s="658"/>
      <c r="G321" s="278"/>
      <c r="H321" s="273">
        <v>33340</v>
      </c>
    </row>
    <row r="322" spans="2:8">
      <c r="B322" s="273" t="s">
        <v>9066</v>
      </c>
      <c r="C322" s="273" t="s">
        <v>9024</v>
      </c>
      <c r="D322" s="658">
        <v>10000</v>
      </c>
      <c r="E322" s="277" t="s">
        <v>9068</v>
      </c>
      <c r="F322" s="658"/>
      <c r="G322" s="278"/>
      <c r="H322" s="273">
        <v>8968</v>
      </c>
    </row>
    <row r="323" spans="2:8">
      <c r="B323" s="273" t="s">
        <v>9067</v>
      </c>
      <c r="C323" s="273" t="s">
        <v>9024</v>
      </c>
      <c r="D323" s="658">
        <v>8000</v>
      </c>
      <c r="E323" s="277" t="s">
        <v>9069</v>
      </c>
      <c r="F323" s="658"/>
      <c r="G323" s="278"/>
      <c r="H323" s="273">
        <v>968</v>
      </c>
    </row>
    <row r="324" spans="2:8">
      <c r="B324" s="273" t="s">
        <v>9089</v>
      </c>
      <c r="C324" s="273" t="s">
        <v>9024</v>
      </c>
      <c r="D324" s="658">
        <v>2000</v>
      </c>
      <c r="E324" s="277" t="s">
        <v>9092</v>
      </c>
      <c r="F324" s="658"/>
      <c r="G324" s="278"/>
      <c r="H324" s="273">
        <v>172249</v>
      </c>
    </row>
    <row r="325" spans="2:8">
      <c r="B325" s="273" t="s">
        <v>9089</v>
      </c>
      <c r="C325" s="273" t="s">
        <v>9093</v>
      </c>
      <c r="D325" s="658">
        <v>61454</v>
      </c>
      <c r="E325" s="277"/>
      <c r="F325" s="658"/>
      <c r="G325" s="278"/>
      <c r="H325" s="273">
        <v>110795</v>
      </c>
    </row>
    <row r="326" spans="2:8">
      <c r="B326" s="273" t="s">
        <v>9125</v>
      </c>
      <c r="C326" s="273" t="s">
        <v>9128</v>
      </c>
      <c r="D326" s="658">
        <v>61454</v>
      </c>
      <c r="E326" s="277"/>
      <c r="F326" s="658"/>
      <c r="G326" s="278"/>
      <c r="H326" s="273">
        <v>68270</v>
      </c>
    </row>
    <row r="327" spans="2:8">
      <c r="B327" s="273" t="s">
        <v>9167</v>
      </c>
      <c r="C327" s="273" t="s">
        <v>9170</v>
      </c>
      <c r="D327" s="658">
        <v>61454</v>
      </c>
      <c r="E327" s="277"/>
      <c r="F327" s="658"/>
      <c r="G327" s="278"/>
      <c r="H327" s="273">
        <v>26000</v>
      </c>
    </row>
    <row r="328" spans="2:8">
      <c r="B328" s="273" t="s">
        <v>9193</v>
      </c>
      <c r="C328" s="273" t="s">
        <v>9232</v>
      </c>
      <c r="D328" s="658">
        <v>61454</v>
      </c>
      <c r="E328" s="277"/>
      <c r="F328" s="658"/>
      <c r="G328" s="278"/>
      <c r="H328" s="273">
        <v>51160</v>
      </c>
    </row>
    <row r="329" spans="2:8">
      <c r="B329" s="273" t="s">
        <v>9263</v>
      </c>
      <c r="C329" s="273" t="s">
        <v>9265</v>
      </c>
      <c r="D329" s="658">
        <v>61454</v>
      </c>
      <c r="E329" s="277"/>
      <c r="F329" s="658"/>
      <c r="G329" s="278"/>
      <c r="H329" s="273">
        <v>129664</v>
      </c>
    </row>
    <row r="330" spans="2:8">
      <c r="B330" s="273" t="s">
        <v>9307</v>
      </c>
      <c r="C330" s="273" t="s">
        <v>9309</v>
      </c>
      <c r="D330" s="658">
        <v>61454</v>
      </c>
      <c r="E330" s="277"/>
      <c r="F330" s="658"/>
      <c r="G330" s="278"/>
      <c r="H330" s="273">
        <v>98764</v>
      </c>
    </row>
    <row r="331" spans="2:8">
      <c r="B331" s="273" t="s">
        <v>9348</v>
      </c>
      <c r="C331" s="273" t="s">
        <v>9354</v>
      </c>
      <c r="D331" s="658">
        <v>61454</v>
      </c>
      <c r="E331" s="277"/>
      <c r="F331" s="658"/>
      <c r="G331" s="278"/>
      <c r="H331" s="273">
        <v>56603</v>
      </c>
    </row>
    <row r="332" spans="2:8">
      <c r="B332" s="273" t="s">
        <v>9401</v>
      </c>
      <c r="C332" s="273" t="s">
        <v>9402</v>
      </c>
      <c r="D332" s="658">
        <v>41454</v>
      </c>
      <c r="E332" s="277"/>
      <c r="F332" s="658"/>
      <c r="G332" s="278"/>
      <c r="H332" s="273">
        <v>44411</v>
      </c>
    </row>
    <row r="333" spans="2:8">
      <c r="B333" s="273" t="s">
        <v>9421</v>
      </c>
      <c r="C333" s="273" t="s">
        <v>9402</v>
      </c>
      <c r="D333" s="658">
        <v>20000</v>
      </c>
      <c r="E333" s="277"/>
      <c r="F333" s="658"/>
      <c r="G333" s="278"/>
      <c r="H333" s="273">
        <v>155518</v>
      </c>
    </row>
    <row r="334" spans="2:8">
      <c r="B334" s="273" t="s">
        <v>9468</v>
      </c>
      <c r="C334" s="273" t="s">
        <v>9469</v>
      </c>
      <c r="D334" s="658">
        <v>61454</v>
      </c>
      <c r="E334" s="277"/>
      <c r="F334" s="658"/>
      <c r="G334" s="278"/>
      <c r="H334" s="273">
        <v>23899</v>
      </c>
    </row>
    <row r="335" spans="2:8">
      <c r="B335" s="273" t="s">
        <v>9527</v>
      </c>
      <c r="C335" s="273" t="s">
        <v>9531</v>
      </c>
      <c r="D335" s="658">
        <v>31454</v>
      </c>
      <c r="E335" s="277"/>
      <c r="F335" s="658"/>
      <c r="G335" s="278"/>
      <c r="H335" s="273">
        <v>220894</v>
      </c>
    </row>
    <row r="336" spans="2:8">
      <c r="B336" s="273" t="s">
        <v>9556</v>
      </c>
      <c r="C336" s="273" t="s">
        <v>9531</v>
      </c>
      <c r="D336" s="658">
        <v>30000</v>
      </c>
      <c r="E336" s="277"/>
      <c r="F336" s="658"/>
      <c r="G336" s="278"/>
      <c r="H336" s="273">
        <v>291847</v>
      </c>
    </row>
    <row r="337" spans="2:14">
      <c r="B337" s="273" t="s">
        <v>9556</v>
      </c>
      <c r="C337" s="273" t="s">
        <v>9562</v>
      </c>
      <c r="D337" s="658">
        <v>61454</v>
      </c>
      <c r="E337" s="277"/>
      <c r="F337" s="658"/>
      <c r="G337" s="278"/>
      <c r="H337" s="273">
        <v>115872</v>
      </c>
    </row>
    <row r="338" spans="2:14">
      <c r="B338" s="273" t="s">
        <v>9122</v>
      </c>
      <c r="C338" s="273" t="s">
        <v>9455</v>
      </c>
      <c r="D338" s="658"/>
      <c r="E338" s="277"/>
      <c r="F338" s="660">
        <v>3150</v>
      </c>
      <c r="G338" s="278" t="s">
        <v>9594</v>
      </c>
      <c r="H338" s="273">
        <v>113344</v>
      </c>
    </row>
    <row r="339" spans="2:14">
      <c r="B339" s="273" t="s">
        <v>9454</v>
      </c>
      <c r="C339" s="273" t="s">
        <v>9455</v>
      </c>
      <c r="D339" s="658">
        <v>50000</v>
      </c>
      <c r="E339" s="277" t="s">
        <v>9456</v>
      </c>
      <c r="F339" s="658"/>
      <c r="G339" s="278"/>
      <c r="H339" s="273">
        <v>43160</v>
      </c>
    </row>
    <row r="340" spans="2:14">
      <c r="B340" s="273" t="s">
        <v>9509</v>
      </c>
      <c r="C340" s="273" t="s">
        <v>9455</v>
      </c>
      <c r="D340" s="658">
        <v>60000</v>
      </c>
      <c r="E340" s="277" t="s">
        <v>9456</v>
      </c>
      <c r="F340" s="658"/>
      <c r="G340" s="278"/>
      <c r="H340" s="273">
        <v>15254</v>
      </c>
    </row>
    <row r="341" spans="2:14">
      <c r="B341" s="273" t="s">
        <v>9556</v>
      </c>
      <c r="C341" s="273" t="s">
        <v>9455</v>
      </c>
      <c r="D341" s="658">
        <v>3832</v>
      </c>
      <c r="E341" s="277" t="s">
        <v>9563</v>
      </c>
      <c r="F341" s="658"/>
      <c r="G341" s="278"/>
      <c r="H341" s="273">
        <v>112040</v>
      </c>
    </row>
    <row r="344" spans="2:14">
      <c r="D344" s="277"/>
      <c r="E344" s="277"/>
      <c r="F344" s="277"/>
      <c r="G344" s="278"/>
    </row>
    <row r="346" spans="2:14">
      <c r="D346" s="277"/>
      <c r="E346" s="277"/>
      <c r="F346" s="277"/>
      <c r="G346" s="278"/>
    </row>
    <row r="348" spans="2:14">
      <c r="D348" s="277"/>
      <c r="E348" s="277"/>
      <c r="F348" s="277"/>
      <c r="G348" s="278"/>
    </row>
    <row r="350" spans="2:14">
      <c r="C350" s="274" t="s">
        <v>479</v>
      </c>
    </row>
    <row r="351" spans="2:14">
      <c r="B351" s="273" t="s">
        <v>241</v>
      </c>
      <c r="C351" s="273" t="s">
        <v>474</v>
      </c>
      <c r="D351" s="273" t="s">
        <v>475</v>
      </c>
      <c r="E351" s="273" t="s">
        <v>480</v>
      </c>
      <c r="F351" s="273" t="s">
        <v>2991</v>
      </c>
      <c r="G351" s="273" t="s">
        <v>481</v>
      </c>
      <c r="H351" s="273" t="s">
        <v>476</v>
      </c>
      <c r="I351" s="273" t="s">
        <v>477</v>
      </c>
      <c r="J351" s="273" t="s">
        <v>478</v>
      </c>
      <c r="K351" s="273" t="s">
        <v>1385</v>
      </c>
      <c r="L351" s="273" t="s">
        <v>1275</v>
      </c>
      <c r="M351" s="273" t="s">
        <v>265</v>
      </c>
      <c r="N351" s="273" t="s">
        <v>2992</v>
      </c>
    </row>
    <row r="352" spans="2:14">
      <c r="H352" s="273">
        <v>1173</v>
      </c>
    </row>
    <row r="353" spans="1:8" s="276" customFormat="1" ht="3" customHeight="1"/>
    <row r="354" spans="1:8">
      <c r="A354" s="273" t="s">
        <v>482</v>
      </c>
      <c r="B354" s="275" t="s">
        <v>8977</v>
      </c>
      <c r="C354" s="273" t="s">
        <v>8988</v>
      </c>
      <c r="F354" s="273">
        <v>13230</v>
      </c>
      <c r="G354" s="273" t="s">
        <v>8989</v>
      </c>
      <c r="H354" s="273">
        <v>14403</v>
      </c>
    </row>
    <row r="355" spans="1:8">
      <c r="B355" s="275" t="s">
        <v>8978</v>
      </c>
      <c r="C355" s="273" t="s">
        <v>8988</v>
      </c>
      <c r="D355" s="273">
        <v>14000</v>
      </c>
      <c r="E355" s="273" t="s">
        <v>8990</v>
      </c>
      <c r="F355" s="655"/>
      <c r="H355" s="273">
        <v>403</v>
      </c>
    </row>
    <row r="356" spans="1:8">
      <c r="B356" s="275" t="s">
        <v>8979</v>
      </c>
      <c r="C356" s="273" t="s">
        <v>8991</v>
      </c>
      <c r="F356" s="655">
        <v>1</v>
      </c>
      <c r="H356" s="273">
        <v>404</v>
      </c>
    </row>
    <row r="357" spans="1:8">
      <c r="B357" s="275" t="s">
        <v>8981</v>
      </c>
      <c r="C357" s="273" t="s">
        <v>8988</v>
      </c>
      <c r="F357" s="655">
        <v>13230</v>
      </c>
      <c r="G357" s="273" t="s">
        <v>8996</v>
      </c>
      <c r="H357" s="273">
        <v>13634</v>
      </c>
    </row>
    <row r="358" spans="1:8">
      <c r="B358" s="275" t="s">
        <v>8983</v>
      </c>
      <c r="C358" s="273" t="s">
        <v>8993</v>
      </c>
      <c r="D358" s="273">
        <v>13502</v>
      </c>
      <c r="E358" s="273" t="s">
        <v>8994</v>
      </c>
      <c r="F358" s="655"/>
      <c r="H358" s="273">
        <v>132</v>
      </c>
    </row>
    <row r="359" spans="1:8">
      <c r="B359" s="275" t="s">
        <v>8985</v>
      </c>
      <c r="C359" s="273" t="s">
        <v>8988</v>
      </c>
      <c r="F359" s="655">
        <v>13230</v>
      </c>
      <c r="G359" s="273" t="s">
        <v>8992</v>
      </c>
      <c r="H359" s="273">
        <v>13362</v>
      </c>
    </row>
    <row r="360" spans="1:8">
      <c r="B360" s="275" t="s">
        <v>8986</v>
      </c>
      <c r="C360" s="273" t="s">
        <v>8995</v>
      </c>
      <c r="D360" s="273">
        <v>10670</v>
      </c>
      <c r="F360" s="656"/>
      <c r="H360" s="273">
        <v>2692</v>
      </c>
    </row>
    <row r="361" spans="1:8">
      <c r="B361" s="275" t="s">
        <v>8987</v>
      </c>
      <c r="C361" s="273" t="s">
        <v>8991</v>
      </c>
      <c r="F361" s="273">
        <v>2</v>
      </c>
      <c r="H361" s="273">
        <v>2694</v>
      </c>
    </row>
    <row r="370" spans="1:14">
      <c r="C370" s="274" t="s">
        <v>4461</v>
      </c>
    </row>
    <row r="371" spans="1:14">
      <c r="B371" s="273" t="s">
        <v>241</v>
      </c>
      <c r="C371" s="273" t="s">
        <v>474</v>
      </c>
      <c r="D371" s="273" t="s">
        <v>475</v>
      </c>
      <c r="E371" s="273" t="s">
        <v>480</v>
      </c>
      <c r="F371" s="273" t="s">
        <v>2991</v>
      </c>
      <c r="G371" s="273" t="s">
        <v>481</v>
      </c>
      <c r="H371" s="273" t="s">
        <v>476</v>
      </c>
      <c r="I371" s="273" t="s">
        <v>477</v>
      </c>
      <c r="J371" s="273" t="s">
        <v>478</v>
      </c>
      <c r="K371" s="273" t="s">
        <v>1385</v>
      </c>
      <c r="L371" s="273" t="s">
        <v>1275</v>
      </c>
      <c r="M371" s="273" t="s">
        <v>265</v>
      </c>
      <c r="N371" s="273" t="s">
        <v>2992</v>
      </c>
    </row>
    <row r="372" spans="1:14">
      <c r="H372" s="273">
        <v>2386</v>
      </c>
    </row>
    <row r="373" spans="1:14" s="276" customFormat="1" ht="3" customHeight="1"/>
    <row r="374" spans="1:14">
      <c r="A374" s="273" t="s">
        <v>483</v>
      </c>
      <c r="B374" s="273" t="s">
        <v>8976</v>
      </c>
      <c r="H374" s="273">
        <v>2386</v>
      </c>
    </row>
    <row r="375" spans="1:14">
      <c r="C375" s="562"/>
      <c r="G375" s="334"/>
    </row>
    <row r="377" spans="1:14">
      <c r="C377" s="562"/>
      <c r="G377" s="334"/>
    </row>
    <row r="379" spans="1:14">
      <c r="C379" s="562"/>
      <c r="G379" s="334"/>
    </row>
    <row r="383" spans="1:14">
      <c r="C383" s="274" t="s">
        <v>484</v>
      </c>
    </row>
    <row r="384" spans="1:14">
      <c r="B384" s="273" t="s">
        <v>241</v>
      </c>
      <c r="C384" s="273" t="s">
        <v>474</v>
      </c>
      <c r="D384" s="273" t="s">
        <v>475</v>
      </c>
      <c r="E384" s="273" t="s">
        <v>480</v>
      </c>
      <c r="F384" s="273" t="s">
        <v>2991</v>
      </c>
      <c r="G384" s="273" t="s">
        <v>481</v>
      </c>
      <c r="H384" s="273" t="s">
        <v>476</v>
      </c>
      <c r="I384" s="273" t="s">
        <v>477</v>
      </c>
      <c r="J384" s="273" t="s">
        <v>478</v>
      </c>
      <c r="K384" s="273" t="s">
        <v>1385</v>
      </c>
      <c r="L384" s="273" t="s">
        <v>1275</v>
      </c>
      <c r="M384" s="273" t="s">
        <v>265</v>
      </c>
      <c r="N384" s="273" t="s">
        <v>2992</v>
      </c>
    </row>
    <row r="385" spans="1:8">
      <c r="H385" s="273">
        <v>1948</v>
      </c>
    </row>
    <row r="386" spans="1:8" s="276" customFormat="1" ht="3" customHeight="1"/>
    <row r="387" spans="1:8">
      <c r="A387" s="273" t="s">
        <v>482</v>
      </c>
      <c r="B387" s="273" t="s">
        <v>8976</v>
      </c>
      <c r="H387" s="273">
        <v>1948</v>
      </c>
    </row>
    <row r="388" spans="1:8">
      <c r="A388" s="273" t="s">
        <v>485</v>
      </c>
    </row>
  </sheetData>
  <phoneticPr fontId="3" type="noConversion"/>
  <pageMargins left="0.7" right="0.7" top="0.75" bottom="0.75" header="0.3" footer="0.3"/>
  <pageSetup paperSize="9" orientation="portrait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8"/>
  <sheetViews>
    <sheetView zoomScaleNormal="100" workbookViewId="0">
      <pane ySplit="4" topLeftCell="A60" activePane="bottomLeft" state="frozen"/>
      <selection activeCell="F179" sqref="F179"/>
      <selection pane="bottomLeft" activeCell="D64" activeCellId="6" sqref="D39 D40 D51 D52 D53 D63 D64"/>
    </sheetView>
  </sheetViews>
  <sheetFormatPr defaultColWidth="9" defaultRowHeight="16.5"/>
  <cols>
    <col min="1" max="1" width="8.5" style="273" customWidth="1"/>
    <col min="2" max="2" width="9.125" style="273" bestFit="1" customWidth="1"/>
    <col min="3" max="3" width="30.75" style="273" customWidth="1"/>
    <col min="4" max="6" width="9" style="273"/>
    <col min="7" max="7" width="22.25" style="273" customWidth="1"/>
    <col min="8" max="8" width="9" style="273"/>
    <col min="9" max="9" width="9.375" style="273" customWidth="1"/>
    <col min="10" max="10" width="8.5" style="273" customWidth="1"/>
    <col min="11" max="11" width="19" style="273" bestFit="1" customWidth="1"/>
    <col min="12" max="16384" width="9" style="273"/>
  </cols>
  <sheetData>
    <row r="1" spans="1:14">
      <c r="C1" s="274" t="s">
        <v>4478</v>
      </c>
    </row>
    <row r="2" spans="1:14">
      <c r="B2" s="273" t="s">
        <v>241</v>
      </c>
      <c r="C2" s="273" t="s">
        <v>474</v>
      </c>
      <c r="D2" s="273" t="s">
        <v>475</v>
      </c>
      <c r="E2" s="275" t="s">
        <v>299</v>
      </c>
      <c r="F2" s="273" t="s">
        <v>2991</v>
      </c>
      <c r="G2" s="275" t="s">
        <v>300</v>
      </c>
      <c r="H2" s="273" t="s">
        <v>476</v>
      </c>
      <c r="I2" s="273" t="s">
        <v>477</v>
      </c>
      <c r="J2" s="273" t="s">
        <v>478</v>
      </c>
      <c r="K2" s="273" t="s">
        <v>1385</v>
      </c>
      <c r="L2" s="273" t="s">
        <v>1275</v>
      </c>
      <c r="M2" s="273" t="s">
        <v>265</v>
      </c>
      <c r="N2" s="273" t="s">
        <v>2992</v>
      </c>
    </row>
    <row r="3" spans="1:14">
      <c r="A3" s="273" t="s">
        <v>4500</v>
      </c>
      <c r="D3" s="273">
        <f>SUM(D5:D341)</f>
        <v>2798292</v>
      </c>
      <c r="F3" s="273">
        <f>SUM(F5:F341)</f>
        <v>2900893.2114285715</v>
      </c>
      <c r="G3" s="273">
        <f>H3+F3-D3</f>
        <v>276976.21142857149</v>
      </c>
      <c r="H3" s="273">
        <v>174375</v>
      </c>
    </row>
    <row r="4" spans="1:14" s="276" customFormat="1" ht="3" customHeight="1"/>
    <row r="5" spans="1:14">
      <c r="B5" s="273" t="s">
        <v>10336</v>
      </c>
      <c r="C5" s="273" t="s">
        <v>10337</v>
      </c>
      <c r="D5" s="658">
        <v>34335</v>
      </c>
      <c r="E5" s="277"/>
      <c r="F5" s="658"/>
      <c r="G5" s="278"/>
      <c r="H5" s="273">
        <v>39414</v>
      </c>
    </row>
    <row r="6" spans="1:14">
      <c r="B6" s="273" t="s">
        <v>10188</v>
      </c>
      <c r="C6" s="273" t="s">
        <v>10338</v>
      </c>
      <c r="D6" s="658">
        <v>17387</v>
      </c>
      <c r="E6" s="277"/>
      <c r="F6" s="658"/>
      <c r="G6" s="278"/>
      <c r="H6" s="273">
        <v>55372</v>
      </c>
    </row>
    <row r="7" spans="1:14">
      <c r="B7" s="273" t="s">
        <v>10467</v>
      </c>
      <c r="C7" s="273" t="s">
        <v>10339</v>
      </c>
      <c r="D7" s="658">
        <v>5569</v>
      </c>
      <c r="E7" s="277"/>
      <c r="F7" s="658"/>
      <c r="G7" s="278"/>
      <c r="H7" s="273">
        <v>61691</v>
      </c>
    </row>
    <row r="8" spans="1:14">
      <c r="B8" s="273" t="s">
        <v>10559</v>
      </c>
      <c r="C8" s="273" t="s">
        <v>10340</v>
      </c>
      <c r="D8" s="658">
        <v>23835</v>
      </c>
      <c r="E8" s="277"/>
      <c r="F8" s="658"/>
      <c r="G8" s="278"/>
      <c r="H8" s="273">
        <v>63628</v>
      </c>
    </row>
    <row r="9" spans="1:14">
      <c r="B9" s="273" t="s">
        <v>14915</v>
      </c>
      <c r="C9" s="273" t="s">
        <v>10341</v>
      </c>
      <c r="D9" s="658">
        <v>19517</v>
      </c>
      <c r="E9" s="277"/>
      <c r="F9" s="658"/>
      <c r="G9" s="278"/>
      <c r="H9" s="273">
        <v>38851</v>
      </c>
    </row>
    <row r="10" spans="1:14">
      <c r="B10" s="273" t="s">
        <v>15003</v>
      </c>
      <c r="C10" s="273" t="s">
        <v>15004</v>
      </c>
      <c r="D10" s="658">
        <v>10725</v>
      </c>
      <c r="E10" s="277"/>
      <c r="F10" s="658"/>
      <c r="G10" s="278"/>
      <c r="H10" s="273">
        <v>20524</v>
      </c>
    </row>
    <row r="11" spans="1:14">
      <c r="B11" s="273" t="s">
        <v>10374</v>
      </c>
      <c r="C11" s="273" t="s">
        <v>15248</v>
      </c>
      <c r="D11" s="658">
        <v>15090</v>
      </c>
      <c r="E11" s="277" t="s">
        <v>5017</v>
      </c>
      <c r="F11" s="658">
        <v>15089.650000000001</v>
      </c>
      <c r="G11" s="294"/>
      <c r="H11" s="273">
        <v>69141</v>
      </c>
    </row>
    <row r="12" spans="1:14">
      <c r="B12" s="273" t="s">
        <v>15241</v>
      </c>
      <c r="C12" s="273" t="s">
        <v>15242</v>
      </c>
      <c r="D12" s="686">
        <v>476</v>
      </c>
      <c r="E12" s="277" t="s">
        <v>5018</v>
      </c>
      <c r="G12" s="294"/>
      <c r="H12" s="273">
        <v>7211</v>
      </c>
    </row>
    <row r="13" spans="1:14">
      <c r="B13" s="273" t="s">
        <v>10415</v>
      </c>
      <c r="C13" s="273" t="s">
        <v>10416</v>
      </c>
      <c r="D13" s="658">
        <v>400</v>
      </c>
      <c r="E13" s="277" t="s">
        <v>5018</v>
      </c>
      <c r="F13" s="658">
        <v>400</v>
      </c>
      <c r="G13" s="294"/>
      <c r="H13" s="273">
        <v>72759</v>
      </c>
    </row>
    <row r="14" spans="1:14">
      <c r="B14" s="273" t="s">
        <v>10454</v>
      </c>
      <c r="C14" s="273" t="s">
        <v>10455</v>
      </c>
      <c r="D14" s="658">
        <v>9375</v>
      </c>
      <c r="E14" s="277" t="s">
        <v>5018</v>
      </c>
      <c r="F14" s="658">
        <v>9374.57</v>
      </c>
      <c r="G14" s="294"/>
      <c r="H14" s="273">
        <v>189212</v>
      </c>
    </row>
    <row r="15" spans="1:14">
      <c r="B15" s="273" t="s">
        <v>10498</v>
      </c>
      <c r="C15" s="273" t="s">
        <v>10527</v>
      </c>
      <c r="D15" s="658">
        <v>36441</v>
      </c>
      <c r="E15" s="277" t="s">
        <v>10528</v>
      </c>
      <c r="F15" s="658">
        <v>36440.990000000005</v>
      </c>
      <c r="G15" s="294"/>
      <c r="H15" s="273">
        <v>71777</v>
      </c>
    </row>
    <row r="16" spans="1:14">
      <c r="B16" s="273" t="s">
        <v>10550</v>
      </c>
      <c r="C16" s="273" t="s">
        <v>10553</v>
      </c>
      <c r="D16" s="658">
        <v>16602</v>
      </c>
      <c r="E16" s="277" t="s">
        <v>5017</v>
      </c>
      <c r="G16" s="294"/>
      <c r="H16" s="273">
        <v>67503</v>
      </c>
    </row>
    <row r="17" spans="2:8">
      <c r="B17" s="273" t="s">
        <v>10550</v>
      </c>
      <c r="C17" s="273" t="s">
        <v>10554</v>
      </c>
      <c r="D17" s="658">
        <v>800</v>
      </c>
      <c r="E17" s="277" t="s">
        <v>5018</v>
      </c>
      <c r="F17" s="658">
        <v>17402.43</v>
      </c>
      <c r="G17" s="294"/>
      <c r="H17" s="273">
        <v>66703</v>
      </c>
    </row>
    <row r="18" spans="2:8">
      <c r="B18" s="273" t="s">
        <v>10588</v>
      </c>
      <c r="C18" s="273" t="s">
        <v>15243</v>
      </c>
      <c r="D18" s="686">
        <v>11285</v>
      </c>
      <c r="E18" s="277" t="s">
        <v>10590</v>
      </c>
      <c r="G18" s="294"/>
      <c r="H18" s="273">
        <v>8299</v>
      </c>
    </row>
    <row r="19" spans="2:8">
      <c r="B19" s="273" t="s">
        <v>14899</v>
      </c>
      <c r="C19" s="273" t="s">
        <v>10589</v>
      </c>
      <c r="D19" s="686">
        <v>10000</v>
      </c>
      <c r="E19" s="277" t="s">
        <v>14901</v>
      </c>
      <c r="F19" s="686">
        <v>21284.47</v>
      </c>
      <c r="G19" s="294"/>
      <c r="H19" s="273">
        <v>26582</v>
      </c>
    </row>
    <row r="20" spans="2:8">
      <c r="B20" s="273" t="s">
        <v>14910</v>
      </c>
      <c r="C20" s="273" t="s">
        <v>14911</v>
      </c>
      <c r="D20" s="658">
        <v>2148</v>
      </c>
      <c r="E20" s="277" t="s">
        <v>14912</v>
      </c>
      <c r="F20" s="658">
        <v>2148</v>
      </c>
      <c r="G20" s="294"/>
      <c r="H20" s="273">
        <v>53958</v>
      </c>
    </row>
    <row r="21" spans="2:8">
      <c r="B21" s="273" t="s">
        <v>14968</v>
      </c>
      <c r="C21" s="273" t="s">
        <v>14969</v>
      </c>
      <c r="D21" s="658">
        <v>317</v>
      </c>
      <c r="E21" s="277" t="s">
        <v>14971</v>
      </c>
      <c r="G21" s="294"/>
      <c r="H21" s="273">
        <v>58255</v>
      </c>
    </row>
    <row r="22" spans="2:8">
      <c r="B22" s="273" t="s">
        <v>14970</v>
      </c>
      <c r="C22" s="273" t="s">
        <v>14969</v>
      </c>
      <c r="D22" s="658">
        <v>283</v>
      </c>
      <c r="E22" s="277" t="s">
        <v>14972</v>
      </c>
      <c r="F22" s="658">
        <v>600</v>
      </c>
      <c r="G22" s="294"/>
      <c r="H22" s="273">
        <v>57972</v>
      </c>
    </row>
    <row r="23" spans="2:8">
      <c r="B23" s="273" t="s">
        <v>15009</v>
      </c>
      <c r="C23" s="273" t="s">
        <v>15010</v>
      </c>
      <c r="D23" s="658">
        <v>23342</v>
      </c>
      <c r="E23" s="277" t="s">
        <v>14901</v>
      </c>
      <c r="F23" s="658">
        <v>23342.481428571431</v>
      </c>
      <c r="G23" s="294"/>
      <c r="H23" s="273">
        <v>94218</v>
      </c>
    </row>
    <row r="24" spans="2:8">
      <c r="B24" s="273" t="s">
        <v>15050</v>
      </c>
      <c r="C24" s="273" t="s">
        <v>15051</v>
      </c>
      <c r="D24" s="658">
        <v>4988</v>
      </c>
      <c r="E24" s="277" t="s">
        <v>15052</v>
      </c>
      <c r="F24" s="658">
        <v>4987.62</v>
      </c>
      <c r="G24" s="294"/>
      <c r="H24" s="273">
        <v>191585</v>
      </c>
    </row>
    <row r="25" spans="2:8">
      <c r="B25" s="273" t="s">
        <v>10190</v>
      </c>
      <c r="C25" s="273" t="s">
        <v>3483</v>
      </c>
      <c r="D25" s="658"/>
      <c r="E25" s="277"/>
      <c r="F25" s="658">
        <v>58</v>
      </c>
      <c r="G25" s="278"/>
      <c r="H25" s="273">
        <v>136791</v>
      </c>
    </row>
    <row r="26" spans="2:8">
      <c r="B26" s="273" t="s">
        <v>15074</v>
      </c>
      <c r="C26" s="273" t="s">
        <v>3483</v>
      </c>
      <c r="D26" s="658"/>
      <c r="E26" s="277"/>
      <c r="F26" s="658">
        <v>50</v>
      </c>
      <c r="G26" s="278"/>
      <c r="H26" s="273">
        <v>95286</v>
      </c>
    </row>
    <row r="27" spans="2:8">
      <c r="B27" s="273" t="s">
        <v>10207</v>
      </c>
      <c r="C27" s="273" t="s">
        <v>10218</v>
      </c>
      <c r="D27" s="658">
        <v>20000</v>
      </c>
      <c r="E27" s="277"/>
      <c r="F27" s="658"/>
      <c r="G27" s="278"/>
      <c r="H27" s="273">
        <v>210130</v>
      </c>
    </row>
    <row r="28" spans="2:8">
      <c r="B28" s="273" t="s">
        <v>10361</v>
      </c>
      <c r="C28" s="273" t="s">
        <v>10219</v>
      </c>
      <c r="D28" s="658">
        <v>20000</v>
      </c>
      <c r="E28" s="277"/>
      <c r="F28" s="658"/>
      <c r="G28" s="278"/>
      <c r="H28" s="273">
        <v>125878</v>
      </c>
    </row>
    <row r="29" spans="2:8">
      <c r="B29" s="273" t="s">
        <v>10392</v>
      </c>
      <c r="C29" s="273" t="s">
        <v>10220</v>
      </c>
      <c r="D29" s="658">
        <v>20000</v>
      </c>
      <c r="E29" s="277"/>
      <c r="F29" s="658"/>
      <c r="G29" s="278"/>
      <c r="H29" s="273">
        <v>149297</v>
      </c>
    </row>
    <row r="30" spans="2:8">
      <c r="B30" s="273" t="s">
        <v>10442</v>
      </c>
      <c r="C30" s="273" t="s">
        <v>10221</v>
      </c>
      <c r="D30" s="658">
        <v>20000</v>
      </c>
      <c r="E30" s="277"/>
      <c r="F30" s="658"/>
      <c r="G30" s="278"/>
      <c r="H30" s="273">
        <v>314126</v>
      </c>
    </row>
    <row r="31" spans="2:8">
      <c r="B31" s="273" t="s">
        <v>10464</v>
      </c>
      <c r="C31" s="273" t="s">
        <v>10222</v>
      </c>
      <c r="D31" s="658">
        <v>20010</v>
      </c>
      <c r="E31" s="277" t="s">
        <v>10465</v>
      </c>
      <c r="F31" s="658"/>
      <c r="G31" s="278"/>
      <c r="H31" s="273">
        <v>158631</v>
      </c>
    </row>
    <row r="32" spans="2:8">
      <c r="B32" s="273" t="s">
        <v>10496</v>
      </c>
      <c r="C32" s="273" t="s">
        <v>10223</v>
      </c>
      <c r="D32" s="658">
        <v>20010</v>
      </c>
      <c r="E32" s="277"/>
      <c r="F32" s="658"/>
      <c r="G32" s="278"/>
      <c r="H32" s="273">
        <v>147440</v>
      </c>
    </row>
    <row r="33" spans="2:8">
      <c r="B33" s="273" t="s">
        <v>10539</v>
      </c>
      <c r="C33" s="273" t="s">
        <v>10224</v>
      </c>
      <c r="D33" s="658">
        <v>20010</v>
      </c>
      <c r="E33" s="277"/>
      <c r="F33" s="658"/>
      <c r="G33" s="278"/>
      <c r="H33" s="273">
        <v>152889</v>
      </c>
    </row>
    <row r="34" spans="2:8">
      <c r="B34" s="273" t="s">
        <v>10585</v>
      </c>
      <c r="C34" s="273" t="s">
        <v>10225</v>
      </c>
      <c r="D34" s="658">
        <v>20010</v>
      </c>
      <c r="E34" s="277"/>
      <c r="F34" s="658"/>
      <c r="G34" s="278"/>
      <c r="H34" s="273">
        <v>128685</v>
      </c>
    </row>
    <row r="35" spans="2:8">
      <c r="B35" s="273" t="s">
        <v>14904</v>
      </c>
      <c r="C35" s="273" t="s">
        <v>10226</v>
      </c>
      <c r="D35" s="658">
        <v>20010</v>
      </c>
      <c r="E35" s="277"/>
      <c r="F35" s="658"/>
      <c r="G35" s="278"/>
      <c r="H35" s="273">
        <v>133220</v>
      </c>
    </row>
    <row r="36" spans="2:8">
      <c r="B36" s="273" t="s">
        <v>14964</v>
      </c>
      <c r="C36" s="273" t="s">
        <v>10227</v>
      </c>
      <c r="D36" s="658">
        <v>20010</v>
      </c>
      <c r="E36" s="277"/>
      <c r="F36" s="658"/>
      <c r="G36" s="278"/>
      <c r="H36" s="273">
        <v>270257</v>
      </c>
    </row>
    <row r="37" spans="2:8">
      <c r="B37" s="273" t="s">
        <v>14998</v>
      </c>
      <c r="C37" s="273" t="s">
        <v>10228</v>
      </c>
      <c r="D37" s="658">
        <v>20010</v>
      </c>
      <c r="E37" s="277"/>
      <c r="F37" s="658"/>
      <c r="G37" s="278"/>
      <c r="H37" s="273">
        <v>109529</v>
      </c>
    </row>
    <row r="38" spans="2:8">
      <c r="B38" s="273" t="s">
        <v>15045</v>
      </c>
      <c r="C38" s="273" t="s">
        <v>10229</v>
      </c>
      <c r="D38" s="658">
        <v>20010</v>
      </c>
      <c r="E38" s="277"/>
      <c r="F38" s="658"/>
      <c r="G38" s="278"/>
      <c r="H38" s="273">
        <v>290474</v>
      </c>
    </row>
    <row r="39" spans="2:8">
      <c r="B39" s="273" t="s">
        <v>15079</v>
      </c>
      <c r="C39" s="273" t="s">
        <v>10241</v>
      </c>
      <c r="D39" s="658">
        <v>6268</v>
      </c>
      <c r="E39" s="277"/>
      <c r="F39" s="658"/>
      <c r="G39" s="278"/>
      <c r="H39" s="273">
        <v>203862</v>
      </c>
    </row>
    <row r="40" spans="2:8">
      <c r="B40" s="273" t="s">
        <v>10361</v>
      </c>
      <c r="C40" s="273" t="s">
        <v>10242</v>
      </c>
      <c r="D40" s="658">
        <v>6268</v>
      </c>
      <c r="E40" s="277"/>
      <c r="F40" s="658"/>
      <c r="G40" s="278"/>
      <c r="H40" s="273">
        <v>145878</v>
      </c>
    </row>
    <row r="41" spans="2:8">
      <c r="B41" s="273" t="s">
        <v>10408</v>
      </c>
      <c r="C41" s="273" t="s">
        <v>10243</v>
      </c>
      <c r="D41" s="658">
        <v>6660</v>
      </c>
      <c r="E41" s="277"/>
      <c r="F41" s="658"/>
      <c r="G41" s="278"/>
      <c r="H41" s="273">
        <v>172562</v>
      </c>
    </row>
    <row r="42" spans="2:8">
      <c r="B42" s="273" t="s">
        <v>10452</v>
      </c>
      <c r="C42" s="273" t="s">
        <v>10244</v>
      </c>
      <c r="D42" s="658">
        <v>6660</v>
      </c>
      <c r="E42" s="277"/>
      <c r="F42" s="658"/>
      <c r="G42" s="278"/>
      <c r="H42" s="273">
        <v>307466</v>
      </c>
    </row>
    <row r="43" spans="2:8">
      <c r="B43" s="273" t="s">
        <v>10464</v>
      </c>
      <c r="C43" s="273" t="s">
        <v>10245</v>
      </c>
      <c r="D43" s="658">
        <v>6660</v>
      </c>
      <c r="E43" s="277"/>
      <c r="F43" s="658"/>
      <c r="G43" s="278"/>
      <c r="H43" s="273">
        <v>178641</v>
      </c>
    </row>
    <row r="44" spans="2:8">
      <c r="B44" s="273" t="s">
        <v>10522</v>
      </c>
      <c r="C44" s="273" t="s">
        <v>10246</v>
      </c>
      <c r="D44" s="658">
        <v>6660</v>
      </c>
      <c r="E44" s="277"/>
      <c r="F44" s="658"/>
      <c r="G44" s="278"/>
      <c r="H44" s="273">
        <v>171728</v>
      </c>
    </row>
    <row r="45" spans="2:8">
      <c r="B45" s="273" t="s">
        <v>10549</v>
      </c>
      <c r="C45" s="273" t="s">
        <v>10247</v>
      </c>
      <c r="D45" s="658">
        <v>6660</v>
      </c>
      <c r="E45" s="277"/>
      <c r="F45" s="658"/>
      <c r="G45" s="278"/>
      <c r="H45" s="273">
        <v>201984</v>
      </c>
    </row>
    <row r="46" spans="2:8">
      <c r="B46" s="273" t="s">
        <v>10584</v>
      </c>
      <c r="C46" s="273" t="s">
        <v>10248</v>
      </c>
      <c r="D46" s="658">
        <v>6660</v>
      </c>
      <c r="E46" s="277"/>
      <c r="F46" s="658"/>
      <c r="G46" s="278"/>
      <c r="H46" s="273">
        <v>148695</v>
      </c>
    </row>
    <row r="47" spans="2:8">
      <c r="B47" s="273" t="s">
        <v>14905</v>
      </c>
      <c r="C47" s="273" t="s">
        <v>10249</v>
      </c>
      <c r="D47" s="658">
        <v>6660</v>
      </c>
      <c r="E47" s="277"/>
      <c r="F47" s="658"/>
      <c r="G47" s="278"/>
      <c r="H47" s="273">
        <v>126560</v>
      </c>
    </row>
    <row r="48" spans="2:8">
      <c r="B48" s="273" t="s">
        <v>14963</v>
      </c>
      <c r="C48" s="273" t="s">
        <v>10250</v>
      </c>
      <c r="D48" s="658">
        <v>6660</v>
      </c>
      <c r="E48" s="277"/>
      <c r="F48" s="658"/>
      <c r="G48" s="278"/>
      <c r="H48" s="273">
        <v>294545</v>
      </c>
    </row>
    <row r="49" spans="2:8">
      <c r="B49" s="273" t="s">
        <v>14996</v>
      </c>
      <c r="C49" s="273" t="s">
        <v>10251</v>
      </c>
      <c r="D49" s="658">
        <v>6660</v>
      </c>
      <c r="E49" s="277"/>
      <c r="F49" s="658"/>
      <c r="G49" s="278"/>
      <c r="H49" s="273">
        <v>133817</v>
      </c>
    </row>
    <row r="50" spans="2:8">
      <c r="B50" s="273" t="s">
        <v>15046</v>
      </c>
      <c r="C50" s="273" t="s">
        <v>10252</v>
      </c>
      <c r="D50" s="658">
        <v>10693</v>
      </c>
      <c r="E50" s="277"/>
      <c r="F50" s="658"/>
      <c r="G50" s="278"/>
      <c r="H50" s="273">
        <v>279781</v>
      </c>
    </row>
    <row r="51" spans="2:8">
      <c r="B51" s="273" t="s">
        <v>10371</v>
      </c>
      <c r="C51" s="273" t="s">
        <v>10253</v>
      </c>
      <c r="D51" s="658">
        <v>4212</v>
      </c>
      <c r="E51" s="277"/>
      <c r="F51" s="658"/>
      <c r="G51" s="278"/>
      <c r="H51" s="273">
        <v>199650</v>
      </c>
    </row>
    <row r="52" spans="2:8">
      <c r="B52" s="273" t="s">
        <v>10361</v>
      </c>
      <c r="C52" s="273" t="s">
        <v>10254</v>
      </c>
      <c r="D52" s="658">
        <v>4212</v>
      </c>
      <c r="E52" s="277"/>
      <c r="F52" s="658"/>
      <c r="G52" s="278"/>
      <c r="H52" s="273">
        <v>152146</v>
      </c>
    </row>
    <row r="53" spans="2:8">
      <c r="B53" s="273" t="s">
        <v>10408</v>
      </c>
      <c r="C53" s="273" t="s">
        <v>10255</v>
      </c>
      <c r="D53" s="658">
        <v>4212</v>
      </c>
      <c r="E53" s="277"/>
      <c r="F53" s="658"/>
      <c r="G53" s="278"/>
      <c r="H53" s="273">
        <v>168350</v>
      </c>
    </row>
    <row r="54" spans="2:8">
      <c r="B54" s="273" t="s">
        <v>10452</v>
      </c>
      <c r="C54" s="273" t="s">
        <v>10256</v>
      </c>
      <c r="D54" s="658">
        <v>4278</v>
      </c>
      <c r="E54" s="277"/>
      <c r="F54" s="658"/>
      <c r="G54" s="278"/>
      <c r="H54" s="273">
        <v>303188</v>
      </c>
    </row>
    <row r="55" spans="2:8">
      <c r="B55" s="273" t="s">
        <v>10463</v>
      </c>
      <c r="C55" s="273" t="s">
        <v>10257</v>
      </c>
      <c r="D55" s="658">
        <v>4278</v>
      </c>
      <c r="E55" s="277"/>
      <c r="F55" s="658"/>
      <c r="G55" s="278"/>
      <c r="H55" s="273">
        <v>185301</v>
      </c>
    </row>
    <row r="56" spans="2:8">
      <c r="B56" s="273" t="s">
        <v>10522</v>
      </c>
      <c r="C56" s="273" t="s">
        <v>10258</v>
      </c>
      <c r="D56" s="658">
        <v>4278</v>
      </c>
      <c r="E56" s="277"/>
      <c r="F56" s="658"/>
      <c r="G56" s="278"/>
      <c r="H56" s="273">
        <v>167450</v>
      </c>
    </row>
    <row r="57" spans="2:8">
      <c r="B57" s="273" t="s">
        <v>10549</v>
      </c>
      <c r="C57" s="273" t="s">
        <v>10259</v>
      </c>
      <c r="D57" s="658">
        <v>4278</v>
      </c>
      <c r="E57" s="277"/>
      <c r="F57" s="658"/>
      <c r="G57" s="278"/>
      <c r="H57" s="273">
        <v>197706</v>
      </c>
    </row>
    <row r="58" spans="2:8">
      <c r="B58" s="273" t="s">
        <v>10584</v>
      </c>
      <c r="C58" s="273" t="s">
        <v>10260</v>
      </c>
      <c r="D58" s="658">
        <v>4278</v>
      </c>
      <c r="E58" s="277"/>
      <c r="F58" s="658"/>
      <c r="G58" s="278"/>
      <c r="H58" s="273">
        <v>155355</v>
      </c>
    </row>
    <row r="59" spans="2:8">
      <c r="B59" s="273" t="s">
        <v>14906</v>
      </c>
      <c r="C59" s="273" t="s">
        <v>10261</v>
      </c>
      <c r="D59" s="658">
        <v>4278</v>
      </c>
      <c r="E59" s="277"/>
      <c r="F59" s="658"/>
      <c r="G59" s="278"/>
      <c r="H59" s="273">
        <v>122282</v>
      </c>
    </row>
    <row r="60" spans="2:8">
      <c r="B60" s="273" t="s">
        <v>14963</v>
      </c>
      <c r="C60" s="273" t="s">
        <v>10262</v>
      </c>
      <c r="D60" s="658">
        <v>4278</v>
      </c>
      <c r="E60" s="277"/>
      <c r="F60" s="658"/>
      <c r="G60" s="278"/>
      <c r="H60" s="273">
        <v>290267</v>
      </c>
    </row>
    <row r="61" spans="2:8">
      <c r="B61" s="273" t="s">
        <v>14997</v>
      </c>
      <c r="C61" s="273" t="s">
        <v>10263</v>
      </c>
      <c r="D61" s="658">
        <v>4278</v>
      </c>
      <c r="E61" s="277"/>
      <c r="F61" s="658"/>
      <c r="G61" s="278"/>
      <c r="H61" s="273">
        <v>129539</v>
      </c>
    </row>
    <row r="62" spans="2:8">
      <c r="B62" s="273" t="s">
        <v>15047</v>
      </c>
      <c r="C62" s="273" t="s">
        <v>10264</v>
      </c>
      <c r="D62" s="658">
        <v>4278</v>
      </c>
      <c r="E62" s="277"/>
      <c r="F62" s="658"/>
      <c r="G62" s="278"/>
      <c r="H62" s="273">
        <v>275503</v>
      </c>
    </row>
    <row r="63" spans="2:8">
      <c r="B63" s="273" t="s">
        <v>10352</v>
      </c>
      <c r="C63" s="273" t="s">
        <v>10230</v>
      </c>
      <c r="D63" s="658">
        <v>8350</v>
      </c>
      <c r="E63" s="277"/>
      <c r="F63" s="658"/>
      <c r="G63" s="278"/>
      <c r="H63" s="273">
        <v>91469</v>
      </c>
    </row>
    <row r="64" spans="2:8">
      <c r="B64" s="273" t="s">
        <v>10378</v>
      </c>
      <c r="C64" s="273" t="s">
        <v>10231</v>
      </c>
      <c r="D64" s="658">
        <v>6089</v>
      </c>
      <c r="E64" s="277"/>
      <c r="F64" s="658"/>
      <c r="G64" s="278"/>
      <c r="H64" s="273">
        <v>15297</v>
      </c>
    </row>
    <row r="65" spans="2:8">
      <c r="B65" s="273" t="s">
        <v>10437</v>
      </c>
      <c r="C65" s="273" t="s">
        <v>10232</v>
      </c>
      <c r="D65" s="658">
        <v>6105</v>
      </c>
      <c r="E65" s="277"/>
      <c r="F65" s="658"/>
      <c r="G65" s="278"/>
      <c r="H65" s="273">
        <v>315567</v>
      </c>
    </row>
    <row r="66" spans="2:8">
      <c r="B66" s="273" t="s">
        <v>10459</v>
      </c>
      <c r="C66" s="273" t="s">
        <v>10233</v>
      </c>
      <c r="D66" s="658">
        <v>6105</v>
      </c>
      <c r="E66" s="277"/>
      <c r="F66" s="658"/>
      <c r="G66" s="278"/>
      <c r="H66" s="273">
        <v>203882</v>
      </c>
    </row>
    <row r="67" spans="2:8">
      <c r="B67" s="273" t="s">
        <v>10492</v>
      </c>
      <c r="C67" s="273" t="s">
        <v>10234</v>
      </c>
      <c r="D67" s="658">
        <v>6105</v>
      </c>
      <c r="E67" s="277"/>
      <c r="F67" s="658"/>
      <c r="G67" s="278"/>
      <c r="H67" s="273">
        <v>142516</v>
      </c>
    </row>
    <row r="68" spans="2:8">
      <c r="B68" s="273" t="s">
        <v>10531</v>
      </c>
      <c r="C68" s="273" t="s">
        <v>10235</v>
      </c>
      <c r="D68" s="658">
        <v>6105</v>
      </c>
      <c r="E68" s="277"/>
      <c r="F68" s="658"/>
      <c r="G68" s="278"/>
      <c r="H68" s="273">
        <v>105233</v>
      </c>
    </row>
    <row r="69" spans="2:8">
      <c r="B69" s="273" t="s">
        <v>10560</v>
      </c>
      <c r="C69" s="273" t="s">
        <v>10236</v>
      </c>
      <c r="D69" s="658">
        <v>6105</v>
      </c>
      <c r="E69" s="277"/>
      <c r="F69" s="658"/>
      <c r="G69" s="278"/>
      <c r="H69" s="273">
        <v>57523</v>
      </c>
    </row>
    <row r="70" spans="2:8">
      <c r="B70" s="273" t="s">
        <v>14873</v>
      </c>
      <c r="C70" s="273" t="s">
        <v>10237</v>
      </c>
      <c r="D70" s="658">
        <v>6105</v>
      </c>
      <c r="E70" s="277"/>
      <c r="F70" s="658"/>
      <c r="G70" s="278"/>
      <c r="H70" s="273">
        <v>20089</v>
      </c>
    </row>
    <row r="71" spans="2:8">
      <c r="B71" s="273" t="s">
        <v>14930</v>
      </c>
      <c r="C71" s="273" t="s">
        <v>10238</v>
      </c>
      <c r="D71" s="658">
        <v>8366</v>
      </c>
      <c r="E71" s="277"/>
      <c r="F71" s="658"/>
      <c r="G71" s="278"/>
      <c r="H71" s="273">
        <v>44660</v>
      </c>
    </row>
    <row r="72" spans="2:8">
      <c r="B72" s="273" t="s">
        <v>14975</v>
      </c>
      <c r="C72" s="273" t="s">
        <v>10239</v>
      </c>
      <c r="D72" s="658">
        <v>8366</v>
      </c>
      <c r="E72" s="277"/>
      <c r="F72" s="658"/>
      <c r="G72" s="278"/>
      <c r="H72" s="273">
        <v>243916</v>
      </c>
    </row>
    <row r="73" spans="2:8">
      <c r="B73" s="273" t="s">
        <v>15012</v>
      </c>
      <c r="C73" s="273" t="s">
        <v>10240</v>
      </c>
      <c r="D73" s="658">
        <v>8366</v>
      </c>
      <c r="E73" s="277"/>
      <c r="F73" s="658"/>
      <c r="G73" s="278"/>
      <c r="H73" s="273">
        <v>89532</v>
      </c>
    </row>
    <row r="74" spans="2:8">
      <c r="B74" s="273" t="s">
        <v>15072</v>
      </c>
      <c r="C74" s="273" t="s">
        <v>15233</v>
      </c>
      <c r="D74" s="658">
        <v>8366</v>
      </c>
      <c r="E74" s="277"/>
      <c r="F74" s="658"/>
      <c r="G74" s="278"/>
      <c r="H74" s="273">
        <v>223736</v>
      </c>
    </row>
    <row r="75" spans="2:8">
      <c r="B75" s="273" t="s">
        <v>14938</v>
      </c>
      <c r="C75" s="273" t="s">
        <v>15235</v>
      </c>
      <c r="D75" s="658">
        <v>24674</v>
      </c>
      <c r="E75" s="277" t="s">
        <v>15234</v>
      </c>
      <c r="F75" s="658"/>
      <c r="G75" s="278"/>
      <c r="H75" s="273">
        <v>193543</v>
      </c>
    </row>
    <row r="76" spans="2:8">
      <c r="B76" s="273" t="s">
        <v>10207</v>
      </c>
      <c r="C76" s="273" t="s">
        <v>10208</v>
      </c>
      <c r="D76" s="658"/>
      <c r="E76" s="277"/>
      <c r="F76" s="658">
        <v>12600</v>
      </c>
      <c r="G76" s="278" t="s">
        <v>10213</v>
      </c>
      <c r="H76" s="273">
        <v>186975</v>
      </c>
    </row>
    <row r="77" spans="2:8">
      <c r="B77" s="273" t="s">
        <v>10207</v>
      </c>
      <c r="C77" s="273" t="s">
        <v>10209</v>
      </c>
      <c r="D77" s="658"/>
      <c r="E77" s="277"/>
      <c r="F77" s="658">
        <v>14175</v>
      </c>
      <c r="G77" s="278" t="s">
        <v>10214</v>
      </c>
      <c r="H77" s="273">
        <v>201150</v>
      </c>
    </row>
    <row r="78" spans="2:8">
      <c r="B78" s="273" t="s">
        <v>10207</v>
      </c>
      <c r="C78" s="273" t="s">
        <v>10210</v>
      </c>
      <c r="D78" s="658"/>
      <c r="E78" s="277"/>
      <c r="F78" s="658">
        <v>11970</v>
      </c>
      <c r="G78" s="278" t="s">
        <v>10215</v>
      </c>
      <c r="H78" s="273">
        <v>213120</v>
      </c>
    </row>
    <row r="79" spans="2:8">
      <c r="B79" s="273" t="s">
        <v>10207</v>
      </c>
      <c r="C79" s="273" t="s">
        <v>10211</v>
      </c>
      <c r="D79" s="658"/>
      <c r="E79" s="277"/>
      <c r="F79" s="658">
        <v>13230</v>
      </c>
      <c r="G79" s="278" t="s">
        <v>10216</v>
      </c>
      <c r="H79" s="273">
        <v>226350</v>
      </c>
    </row>
    <row r="80" spans="2:8">
      <c r="B80" s="273" t="s">
        <v>10207</v>
      </c>
      <c r="C80" s="273" t="s">
        <v>10212</v>
      </c>
      <c r="D80" s="658"/>
      <c r="E80" s="277"/>
      <c r="F80" s="658">
        <v>3780</v>
      </c>
      <c r="G80" s="278" t="s">
        <v>10217</v>
      </c>
      <c r="H80" s="273">
        <v>230130</v>
      </c>
    </row>
    <row r="81" spans="2:8">
      <c r="B81" s="273" t="s">
        <v>10342</v>
      </c>
      <c r="C81" s="273" t="s">
        <v>10344</v>
      </c>
      <c r="D81" s="658"/>
      <c r="E81" s="277"/>
      <c r="F81" s="658">
        <v>11970</v>
      </c>
      <c r="G81" s="278" t="s">
        <v>10346</v>
      </c>
      <c r="H81" s="273">
        <v>51384</v>
      </c>
    </row>
    <row r="82" spans="2:8">
      <c r="B82" s="273" t="s">
        <v>10343</v>
      </c>
      <c r="C82" s="273" t="s">
        <v>10345</v>
      </c>
      <c r="D82" s="658"/>
      <c r="E82" s="277"/>
      <c r="F82" s="658">
        <v>14175</v>
      </c>
      <c r="G82" s="278" t="s">
        <v>10347</v>
      </c>
      <c r="H82" s="273">
        <v>65559</v>
      </c>
    </row>
    <row r="83" spans="2:8">
      <c r="B83" s="273" t="s">
        <v>10353</v>
      </c>
      <c r="C83" s="273" t="s">
        <v>10354</v>
      </c>
      <c r="D83" s="658"/>
      <c r="E83" s="277"/>
      <c r="F83" s="658">
        <v>12000</v>
      </c>
      <c r="G83" s="278" t="s">
        <v>10355</v>
      </c>
      <c r="H83" s="273">
        <v>103469</v>
      </c>
    </row>
    <row r="84" spans="2:8">
      <c r="B84" s="273" t="s">
        <v>10359</v>
      </c>
      <c r="C84" s="273" t="s">
        <v>10362</v>
      </c>
      <c r="D84" s="658"/>
      <c r="E84" s="277"/>
      <c r="F84" s="658">
        <v>14175</v>
      </c>
      <c r="G84" s="278" t="s">
        <v>5012</v>
      </c>
      <c r="H84" s="273">
        <v>112528</v>
      </c>
    </row>
    <row r="85" spans="2:8">
      <c r="B85" s="273" t="s">
        <v>10360</v>
      </c>
      <c r="C85" s="273" t="s">
        <v>10363</v>
      </c>
      <c r="D85" s="658"/>
      <c r="E85" s="277"/>
      <c r="F85" s="658">
        <v>10800</v>
      </c>
      <c r="G85" s="278" t="s">
        <v>10367</v>
      </c>
      <c r="H85" s="273">
        <v>123328</v>
      </c>
    </row>
    <row r="86" spans="2:8">
      <c r="B86" s="273" t="s">
        <v>10361</v>
      </c>
      <c r="C86" s="273" t="s">
        <v>10364</v>
      </c>
      <c r="D86" s="658"/>
      <c r="E86" s="277"/>
      <c r="F86" s="658">
        <v>3780</v>
      </c>
      <c r="G86" s="278" t="s">
        <v>10368</v>
      </c>
      <c r="H86" s="273">
        <v>131518</v>
      </c>
    </row>
    <row r="87" spans="2:8">
      <c r="B87" s="273" t="s">
        <v>10361</v>
      </c>
      <c r="C87" s="273" t="s">
        <v>10365</v>
      </c>
      <c r="D87" s="658"/>
      <c r="E87" s="277"/>
      <c r="F87" s="658">
        <v>13500</v>
      </c>
      <c r="G87" s="278" t="s">
        <v>10369</v>
      </c>
      <c r="H87" s="273">
        <v>145018</v>
      </c>
    </row>
    <row r="88" spans="2:8">
      <c r="B88" s="273" t="s">
        <v>10361</v>
      </c>
      <c r="C88" s="273" t="s">
        <v>10366</v>
      </c>
      <c r="D88" s="658"/>
      <c r="E88" s="277"/>
      <c r="F88" s="658">
        <v>11340</v>
      </c>
      <c r="G88" s="278" t="s">
        <v>10370</v>
      </c>
      <c r="H88" s="273">
        <v>156358</v>
      </c>
    </row>
    <row r="89" spans="2:8">
      <c r="B89" s="273" t="s">
        <v>10375</v>
      </c>
      <c r="C89" s="273" t="s">
        <v>10376</v>
      </c>
      <c r="D89" s="658"/>
      <c r="E89" s="277"/>
      <c r="F89" s="658">
        <v>14175</v>
      </c>
      <c r="G89" s="278" t="s">
        <v>10377</v>
      </c>
      <c r="H89" s="273">
        <v>21386</v>
      </c>
    </row>
    <row r="90" spans="2:8">
      <c r="B90" s="273" t="s">
        <v>10383</v>
      </c>
      <c r="C90" s="273" t="s">
        <v>10384</v>
      </c>
      <c r="D90" s="658"/>
      <c r="E90" s="277"/>
      <c r="F90" s="658">
        <v>11340</v>
      </c>
      <c r="G90" s="278" t="s">
        <v>10385</v>
      </c>
      <c r="H90" s="273">
        <v>24976</v>
      </c>
    </row>
    <row r="91" spans="2:8">
      <c r="B91" s="273" t="s">
        <v>10386</v>
      </c>
      <c r="C91" s="273" t="s">
        <v>10393</v>
      </c>
      <c r="D91" s="658"/>
      <c r="E91" s="277"/>
      <c r="F91" s="658">
        <v>20475</v>
      </c>
      <c r="G91" s="278" t="s">
        <v>5022</v>
      </c>
      <c r="H91" s="273">
        <v>45451</v>
      </c>
    </row>
    <row r="92" spans="2:8">
      <c r="B92" s="273" t="s">
        <v>10387</v>
      </c>
      <c r="C92" s="273" t="s">
        <v>10394</v>
      </c>
      <c r="D92" s="658"/>
      <c r="E92" s="277"/>
      <c r="F92" s="658">
        <v>20475</v>
      </c>
      <c r="G92" s="278" t="s">
        <v>5016</v>
      </c>
      <c r="H92" s="273">
        <v>65926</v>
      </c>
    </row>
    <row r="93" spans="2:8">
      <c r="B93" s="273" t="s">
        <v>10386</v>
      </c>
      <c r="C93" s="273" t="s">
        <v>10395</v>
      </c>
      <c r="D93" s="658"/>
      <c r="E93" s="277"/>
      <c r="F93" s="658">
        <v>20475</v>
      </c>
      <c r="G93" s="278" t="s">
        <v>5023</v>
      </c>
      <c r="H93" s="273">
        <v>86401</v>
      </c>
    </row>
    <row r="94" spans="2:8">
      <c r="B94" s="273" t="s">
        <v>10388</v>
      </c>
      <c r="C94" s="273" t="s">
        <v>10396</v>
      </c>
      <c r="D94" s="658"/>
      <c r="E94" s="277"/>
      <c r="F94" s="658">
        <v>16380</v>
      </c>
      <c r="G94" s="278" t="s">
        <v>10403</v>
      </c>
      <c r="H94" s="273">
        <v>102781</v>
      </c>
    </row>
    <row r="95" spans="2:8">
      <c r="B95" s="273" t="s">
        <v>10389</v>
      </c>
      <c r="C95" s="273" t="s">
        <v>10397</v>
      </c>
      <c r="D95" s="658"/>
      <c r="E95" s="277"/>
      <c r="F95" s="658">
        <v>20475</v>
      </c>
      <c r="G95" s="278" t="s">
        <v>10404</v>
      </c>
      <c r="H95" s="273">
        <v>123256</v>
      </c>
    </row>
    <row r="96" spans="2:8">
      <c r="B96" s="273" t="s">
        <v>10390</v>
      </c>
      <c r="C96" s="273" t="s">
        <v>10398</v>
      </c>
      <c r="D96" s="658"/>
      <c r="E96" s="277"/>
      <c r="F96" s="658">
        <v>6300</v>
      </c>
      <c r="G96" s="278" t="s">
        <v>10405</v>
      </c>
      <c r="H96" s="273">
        <v>129556</v>
      </c>
    </row>
    <row r="97" spans="2:8">
      <c r="B97" s="273" t="s">
        <v>10391</v>
      </c>
      <c r="C97" s="273" t="s">
        <v>10399</v>
      </c>
      <c r="D97" s="658"/>
      <c r="E97" s="277"/>
      <c r="F97" s="658">
        <v>13230</v>
      </c>
      <c r="G97" s="278" t="s">
        <v>5014</v>
      </c>
      <c r="H97" s="273">
        <v>142786</v>
      </c>
    </row>
    <row r="98" spans="2:8">
      <c r="B98" s="273" t="s">
        <v>10392</v>
      </c>
      <c r="C98" s="273" t="s">
        <v>10400</v>
      </c>
      <c r="D98" s="658"/>
      <c r="E98" s="277"/>
      <c r="F98" s="658">
        <v>14175</v>
      </c>
      <c r="G98" s="278" t="s">
        <v>10406</v>
      </c>
      <c r="H98" s="273">
        <v>156961</v>
      </c>
    </row>
    <row r="99" spans="2:8">
      <c r="B99" s="273" t="s">
        <v>10391</v>
      </c>
      <c r="C99" s="273" t="s">
        <v>10401</v>
      </c>
      <c r="D99" s="658"/>
      <c r="E99" s="277"/>
      <c r="F99" s="658">
        <v>13500</v>
      </c>
      <c r="G99" s="278" t="s">
        <v>5025</v>
      </c>
      <c r="H99" s="273">
        <v>170461</v>
      </c>
    </row>
    <row r="100" spans="2:8">
      <c r="B100" s="273" t="s">
        <v>10391</v>
      </c>
      <c r="C100" s="273" t="s">
        <v>10402</v>
      </c>
      <c r="D100" s="658"/>
      <c r="E100" s="277"/>
      <c r="F100" s="658">
        <v>3780</v>
      </c>
      <c r="G100" s="278" t="s">
        <v>10407</v>
      </c>
      <c r="H100" s="273">
        <v>174241</v>
      </c>
    </row>
    <row r="101" spans="2:8">
      <c r="B101" s="273" t="s">
        <v>10408</v>
      </c>
      <c r="C101" s="273" t="s">
        <v>10409</v>
      </c>
      <c r="D101" s="658"/>
      <c r="E101" s="277"/>
      <c r="F101" s="658">
        <v>17325</v>
      </c>
      <c r="G101" s="278" t="s">
        <v>10411</v>
      </c>
      <c r="H101" s="273">
        <v>166622</v>
      </c>
    </row>
    <row r="102" spans="2:8">
      <c r="B102" s="273" t="s">
        <v>10408</v>
      </c>
      <c r="C102" s="273" t="s">
        <v>10410</v>
      </c>
      <c r="D102" s="658"/>
      <c r="E102" s="277"/>
      <c r="F102" s="658">
        <v>12600</v>
      </c>
      <c r="G102" s="278" t="s">
        <v>10412</v>
      </c>
      <c r="H102" s="273">
        <v>179222</v>
      </c>
    </row>
    <row r="103" spans="2:8">
      <c r="B103" s="273" t="s">
        <v>10421</v>
      </c>
      <c r="C103" s="273" t="s">
        <v>10424</v>
      </c>
      <c r="D103" s="658"/>
      <c r="E103" s="277"/>
      <c r="F103" s="658">
        <v>20475</v>
      </c>
      <c r="G103" s="278" t="s">
        <v>10431</v>
      </c>
      <c r="H103" s="273">
        <v>50257</v>
      </c>
    </row>
    <row r="104" spans="2:8">
      <c r="B104" s="273" t="s">
        <v>10421</v>
      </c>
      <c r="C104" s="273" t="s">
        <v>10425</v>
      </c>
      <c r="D104" s="658"/>
      <c r="E104" s="277"/>
      <c r="F104" s="658">
        <v>14175</v>
      </c>
      <c r="G104" s="278" t="s">
        <v>10432</v>
      </c>
      <c r="H104" s="273">
        <v>64432</v>
      </c>
    </row>
    <row r="105" spans="2:8">
      <c r="B105" s="273" t="s">
        <v>10421</v>
      </c>
      <c r="C105" s="273" t="s">
        <v>10426</v>
      </c>
      <c r="D105" s="658"/>
      <c r="E105" s="277"/>
      <c r="F105" s="658">
        <v>14175</v>
      </c>
      <c r="G105" s="278" t="s">
        <v>10433</v>
      </c>
      <c r="H105" s="273">
        <v>78607</v>
      </c>
    </row>
    <row r="106" spans="2:8">
      <c r="B106" s="273" t="s">
        <v>10421</v>
      </c>
      <c r="C106" s="273" t="s">
        <v>10427</v>
      </c>
      <c r="D106" s="658"/>
      <c r="E106" s="277"/>
      <c r="F106" s="658">
        <v>165900</v>
      </c>
      <c r="G106" s="278" t="s">
        <v>10434</v>
      </c>
      <c r="H106" s="273">
        <v>244507</v>
      </c>
    </row>
    <row r="107" spans="2:8">
      <c r="B107" s="273" t="s">
        <v>10422</v>
      </c>
      <c r="C107" s="273" t="s">
        <v>10428</v>
      </c>
      <c r="D107" s="658"/>
      <c r="E107" s="277"/>
      <c r="F107" s="658">
        <v>17325</v>
      </c>
      <c r="G107" s="278" t="s">
        <v>5021</v>
      </c>
      <c r="H107" s="273">
        <v>332892</v>
      </c>
    </row>
    <row r="108" spans="2:8">
      <c r="B108" s="273" t="s">
        <v>10422</v>
      </c>
      <c r="C108" s="273" t="s">
        <v>10429</v>
      </c>
      <c r="D108" s="658"/>
      <c r="E108" s="277"/>
      <c r="F108" s="658">
        <v>14175</v>
      </c>
      <c r="G108" s="278" t="s">
        <v>5026</v>
      </c>
      <c r="H108" s="273">
        <v>347067</v>
      </c>
    </row>
    <row r="109" spans="2:8">
      <c r="B109" s="273" t="s">
        <v>10423</v>
      </c>
      <c r="C109" s="273" t="s">
        <v>10430</v>
      </c>
      <c r="D109" s="658"/>
      <c r="E109" s="277"/>
      <c r="F109" s="658">
        <v>14175</v>
      </c>
      <c r="G109" s="278" t="s">
        <v>10435</v>
      </c>
      <c r="H109" s="273">
        <v>269122</v>
      </c>
    </row>
    <row r="110" spans="2:8">
      <c r="B110" s="273" t="s">
        <v>10442</v>
      </c>
      <c r="C110" s="273" t="s">
        <v>10443</v>
      </c>
      <c r="D110" s="658"/>
      <c r="E110" s="277"/>
      <c r="F110" s="658">
        <v>13230</v>
      </c>
      <c r="G110" s="278" t="s">
        <v>10448</v>
      </c>
      <c r="H110" s="273">
        <v>291601</v>
      </c>
    </row>
    <row r="111" spans="2:8">
      <c r="B111" s="273" t="s">
        <v>10442</v>
      </c>
      <c r="C111" s="273" t="s">
        <v>10444</v>
      </c>
      <c r="D111" s="658"/>
      <c r="E111" s="277"/>
      <c r="F111" s="658">
        <v>11970</v>
      </c>
      <c r="G111" s="278" t="s">
        <v>10449</v>
      </c>
      <c r="H111" s="273">
        <v>303571</v>
      </c>
    </row>
    <row r="112" spans="2:8">
      <c r="B112" s="273" t="s">
        <v>10442</v>
      </c>
      <c r="C112" s="273" t="s">
        <v>10445</v>
      </c>
      <c r="D112" s="658"/>
      <c r="E112" s="277"/>
      <c r="F112" s="658">
        <v>12600</v>
      </c>
      <c r="G112" s="278" t="s">
        <v>10450</v>
      </c>
      <c r="H112" s="273">
        <v>316171</v>
      </c>
    </row>
    <row r="113" spans="2:8">
      <c r="B113" s="273" t="s">
        <v>10442</v>
      </c>
      <c r="C113" s="273" t="s">
        <v>10446</v>
      </c>
      <c r="D113" s="658"/>
      <c r="E113" s="277"/>
      <c r="F113" s="658">
        <v>14175</v>
      </c>
      <c r="G113" s="278" t="s">
        <v>5032</v>
      </c>
      <c r="H113" s="273">
        <v>330346</v>
      </c>
    </row>
    <row r="114" spans="2:8">
      <c r="B114" s="273" t="s">
        <v>10442</v>
      </c>
      <c r="C114" s="273" t="s">
        <v>10447</v>
      </c>
      <c r="D114" s="658"/>
      <c r="E114" s="277"/>
      <c r="F114" s="658">
        <v>3780</v>
      </c>
      <c r="G114" s="278" t="s">
        <v>10451</v>
      </c>
      <c r="H114" s="273">
        <v>334126</v>
      </c>
    </row>
    <row r="115" spans="2:8">
      <c r="B115" s="273" t="s">
        <v>10470</v>
      </c>
      <c r="C115" s="273" t="s">
        <v>10473</v>
      </c>
      <c r="D115" s="658"/>
      <c r="E115" s="277"/>
      <c r="F115" s="658">
        <v>14175</v>
      </c>
      <c r="G115" s="278" t="s">
        <v>10483</v>
      </c>
      <c r="H115" s="273">
        <v>90136</v>
      </c>
    </row>
    <row r="116" spans="2:8">
      <c r="B116" s="273" t="s">
        <v>10470</v>
      </c>
      <c r="C116" s="273" t="s">
        <v>10474</v>
      </c>
      <c r="D116" s="658"/>
      <c r="E116" s="277"/>
      <c r="F116" s="658">
        <v>11970</v>
      </c>
      <c r="G116" s="278" t="s">
        <v>10484</v>
      </c>
      <c r="H116" s="273">
        <v>102106</v>
      </c>
    </row>
    <row r="117" spans="2:8">
      <c r="B117" s="273" t="s">
        <v>10470</v>
      </c>
      <c r="C117" s="273" t="s">
        <v>10475</v>
      </c>
      <c r="D117" s="658"/>
      <c r="E117" s="277"/>
      <c r="F117" s="658">
        <v>11340</v>
      </c>
      <c r="G117" s="278" t="s">
        <v>10485</v>
      </c>
      <c r="H117" s="273">
        <v>113446</v>
      </c>
    </row>
    <row r="118" spans="2:8">
      <c r="B118" s="273" t="s">
        <v>10470</v>
      </c>
      <c r="C118" s="273" t="s">
        <v>10476</v>
      </c>
      <c r="D118" s="658"/>
      <c r="E118" s="277"/>
      <c r="F118" s="658">
        <v>3780</v>
      </c>
      <c r="G118" s="278" t="s">
        <v>10486</v>
      </c>
      <c r="H118" s="273">
        <v>117226</v>
      </c>
    </row>
    <row r="119" spans="2:8">
      <c r="B119" s="273" t="s">
        <v>10470</v>
      </c>
      <c r="C119" s="273" t="s">
        <v>10477</v>
      </c>
      <c r="D119" s="658"/>
      <c r="E119" s="277"/>
      <c r="F119" s="658">
        <v>13500</v>
      </c>
      <c r="G119" s="278" t="s">
        <v>10487</v>
      </c>
      <c r="H119" s="273">
        <v>130726</v>
      </c>
    </row>
    <row r="120" spans="2:8">
      <c r="B120" s="273" t="s">
        <v>10471</v>
      </c>
      <c r="C120" s="273" t="s">
        <v>10478</v>
      </c>
      <c r="D120" s="658"/>
      <c r="E120" s="277"/>
      <c r="F120" s="658">
        <v>20475</v>
      </c>
      <c r="G120" s="278" t="s">
        <v>10488</v>
      </c>
      <c r="H120" s="273">
        <v>162991</v>
      </c>
    </row>
    <row r="121" spans="2:8">
      <c r="B121" s="273" t="s">
        <v>10472</v>
      </c>
      <c r="C121" s="273" t="s">
        <v>10479</v>
      </c>
      <c r="D121" s="658"/>
      <c r="E121" s="277"/>
      <c r="F121" s="658">
        <v>20475</v>
      </c>
      <c r="G121" s="278" t="s">
        <v>5039</v>
      </c>
      <c r="H121" s="273">
        <v>183466</v>
      </c>
    </row>
    <row r="122" spans="2:8">
      <c r="B122" s="273" t="s">
        <v>10472</v>
      </c>
      <c r="C122" s="273" t="s">
        <v>10480</v>
      </c>
      <c r="D122" s="658"/>
      <c r="E122" s="277"/>
      <c r="F122" s="658">
        <v>20475</v>
      </c>
      <c r="G122" s="278" t="s">
        <v>5034</v>
      </c>
      <c r="H122" s="273">
        <v>203941</v>
      </c>
    </row>
    <row r="123" spans="2:8">
      <c r="B123" s="273" t="s">
        <v>10472</v>
      </c>
      <c r="C123" s="273" t="s">
        <v>10481</v>
      </c>
      <c r="D123" s="658"/>
      <c r="E123" s="277"/>
      <c r="F123" s="658">
        <v>20475</v>
      </c>
      <c r="G123" s="278" t="s">
        <v>5038</v>
      </c>
      <c r="H123" s="273">
        <v>224416</v>
      </c>
    </row>
    <row r="124" spans="2:8">
      <c r="B124" s="273" t="s">
        <v>10472</v>
      </c>
      <c r="C124" s="273" t="s">
        <v>10482</v>
      </c>
      <c r="D124" s="658"/>
      <c r="E124" s="277"/>
      <c r="F124" s="658">
        <v>16380</v>
      </c>
      <c r="G124" s="278" t="s">
        <v>10489</v>
      </c>
      <c r="H124" s="273">
        <v>240796</v>
      </c>
    </row>
    <row r="125" spans="2:8">
      <c r="B125" s="273" t="s">
        <v>10495</v>
      </c>
      <c r="C125" s="273" t="s">
        <v>10503</v>
      </c>
      <c r="D125" s="658"/>
      <c r="E125" s="277"/>
      <c r="F125" s="658">
        <v>13500</v>
      </c>
      <c r="G125" s="278" t="s">
        <v>5040</v>
      </c>
      <c r="H125" s="273">
        <v>247833</v>
      </c>
    </row>
    <row r="126" spans="2:8">
      <c r="B126" s="273" t="s">
        <v>10495</v>
      </c>
      <c r="C126" s="273" t="s">
        <v>10504</v>
      </c>
      <c r="D126" s="658"/>
      <c r="E126" s="277"/>
      <c r="F126" s="658">
        <v>14175</v>
      </c>
      <c r="G126" s="278" t="s">
        <v>5015</v>
      </c>
      <c r="H126" s="273">
        <v>262008</v>
      </c>
    </row>
    <row r="127" spans="2:8">
      <c r="B127" s="273" t="s">
        <v>10496</v>
      </c>
      <c r="C127" s="273" t="s">
        <v>10505</v>
      </c>
      <c r="D127" s="658"/>
      <c r="E127" s="277"/>
      <c r="F127" s="658">
        <v>12600</v>
      </c>
      <c r="G127" s="278" t="s">
        <v>10514</v>
      </c>
      <c r="H127" s="273">
        <v>174608</v>
      </c>
    </row>
    <row r="128" spans="2:8">
      <c r="B128" s="273" t="s">
        <v>10496</v>
      </c>
      <c r="C128" s="273" t="s">
        <v>10506</v>
      </c>
      <c r="D128" s="658"/>
      <c r="E128" s="277"/>
      <c r="F128" s="658">
        <v>3780</v>
      </c>
      <c r="G128" s="278" t="s">
        <v>10515</v>
      </c>
      <c r="H128" s="273">
        <v>178388</v>
      </c>
    </row>
    <row r="129" spans="2:8">
      <c r="B129" s="273" t="s">
        <v>10497</v>
      </c>
      <c r="C129" s="273" t="s">
        <v>10507</v>
      </c>
      <c r="D129" s="658"/>
      <c r="E129" s="277"/>
      <c r="F129" s="658">
        <v>17325</v>
      </c>
      <c r="G129" s="278" t="s">
        <v>5035</v>
      </c>
      <c r="H129" s="273">
        <v>164765</v>
      </c>
    </row>
    <row r="130" spans="2:8">
      <c r="B130" s="273" t="s">
        <v>10498</v>
      </c>
      <c r="C130" s="273" t="s">
        <v>10508</v>
      </c>
      <c r="D130" s="658"/>
      <c r="E130" s="277"/>
      <c r="F130" s="658">
        <v>12600</v>
      </c>
      <c r="G130" s="278" t="s">
        <v>10516</v>
      </c>
      <c r="H130" s="273">
        <v>177365</v>
      </c>
    </row>
    <row r="131" spans="2:8">
      <c r="B131" s="273" t="s">
        <v>10499</v>
      </c>
      <c r="C131" s="273" t="s">
        <v>10509</v>
      </c>
      <c r="D131" s="658"/>
      <c r="E131" s="277"/>
      <c r="F131" s="658">
        <v>14175</v>
      </c>
      <c r="G131" s="278" t="s">
        <v>5037</v>
      </c>
      <c r="H131" s="273">
        <v>80952</v>
      </c>
    </row>
    <row r="132" spans="2:8">
      <c r="B132" s="273" t="s">
        <v>10499</v>
      </c>
      <c r="C132" s="273" t="s">
        <v>10510</v>
      </c>
      <c r="D132" s="658"/>
      <c r="E132" s="277"/>
      <c r="F132" s="658">
        <v>13500</v>
      </c>
      <c r="G132" s="278" t="s">
        <v>10517</v>
      </c>
      <c r="H132" s="273">
        <v>94452</v>
      </c>
    </row>
    <row r="133" spans="2:8">
      <c r="B133" s="273" t="s">
        <v>10500</v>
      </c>
      <c r="C133" s="273" t="s">
        <v>10511</v>
      </c>
      <c r="D133" s="658"/>
      <c r="E133" s="277"/>
      <c r="F133" s="658">
        <v>14175</v>
      </c>
      <c r="G133" s="278" t="s">
        <v>10518</v>
      </c>
      <c r="H133" s="273">
        <v>113037</v>
      </c>
    </row>
    <row r="134" spans="2:8">
      <c r="B134" s="273" t="s">
        <v>10501</v>
      </c>
      <c r="C134" s="273" t="s">
        <v>10512</v>
      </c>
      <c r="D134" s="658"/>
      <c r="E134" s="277"/>
      <c r="F134" s="658">
        <v>14175</v>
      </c>
      <c r="G134" s="278" t="s">
        <v>5043</v>
      </c>
      <c r="H134" s="273">
        <v>119408</v>
      </c>
    </row>
    <row r="135" spans="2:8">
      <c r="B135" s="273" t="s">
        <v>10502</v>
      </c>
      <c r="C135" s="273" t="s">
        <v>10513</v>
      </c>
      <c r="D135" s="658"/>
      <c r="E135" s="277"/>
      <c r="F135" s="658">
        <v>17325</v>
      </c>
      <c r="G135" s="278" t="s">
        <v>10519</v>
      </c>
      <c r="H135" s="273">
        <v>136733</v>
      </c>
    </row>
    <row r="136" spans="2:8" s="562" customFormat="1">
      <c r="B136" s="562" t="s">
        <v>10191</v>
      </c>
      <c r="C136" s="562" t="s">
        <v>15226</v>
      </c>
      <c r="D136" s="686"/>
      <c r="E136" s="687"/>
      <c r="F136" s="686">
        <v>14175</v>
      </c>
      <c r="G136" s="813" t="s">
        <v>15227</v>
      </c>
      <c r="H136" s="562">
        <v>163663</v>
      </c>
    </row>
    <row r="137" spans="2:8">
      <c r="B137" s="273" t="s">
        <v>10540</v>
      </c>
      <c r="C137" s="273" t="s">
        <v>10541</v>
      </c>
      <c r="D137" s="658"/>
      <c r="E137" s="277"/>
      <c r="F137" s="658">
        <v>13230</v>
      </c>
      <c r="G137" s="278" t="s">
        <v>5031</v>
      </c>
      <c r="H137" s="273">
        <v>166119</v>
      </c>
    </row>
    <row r="138" spans="2:8">
      <c r="B138" s="273" t="s">
        <v>10539</v>
      </c>
      <c r="C138" s="273" t="s">
        <v>10542</v>
      </c>
      <c r="D138" s="658"/>
      <c r="E138" s="277"/>
      <c r="F138" s="658">
        <v>11970</v>
      </c>
      <c r="G138" s="278" t="s">
        <v>10546</v>
      </c>
      <c r="H138" s="273">
        <v>178089</v>
      </c>
    </row>
    <row r="139" spans="2:8">
      <c r="B139" s="273" t="s">
        <v>10539</v>
      </c>
      <c r="C139" s="273" t="s">
        <v>10543</v>
      </c>
      <c r="D139" s="658"/>
      <c r="E139" s="277"/>
      <c r="F139" s="658">
        <v>14175</v>
      </c>
      <c r="G139" s="278" t="s">
        <v>5047</v>
      </c>
      <c r="H139" s="273">
        <v>192264</v>
      </c>
    </row>
    <row r="140" spans="2:8">
      <c r="B140" s="273" t="s">
        <v>10539</v>
      </c>
      <c r="C140" s="273" t="s">
        <v>10544</v>
      </c>
      <c r="D140" s="658"/>
      <c r="E140" s="277"/>
      <c r="F140" s="658">
        <v>3780</v>
      </c>
      <c r="G140" s="278" t="s">
        <v>10547</v>
      </c>
      <c r="H140" s="273">
        <v>196044</v>
      </c>
    </row>
    <row r="141" spans="2:8">
      <c r="B141" s="273" t="s">
        <v>10539</v>
      </c>
      <c r="C141" s="273" t="s">
        <v>10545</v>
      </c>
      <c r="D141" s="658"/>
      <c r="E141" s="277"/>
      <c r="F141" s="658">
        <v>12600</v>
      </c>
      <c r="G141" s="278" t="s">
        <v>10548</v>
      </c>
      <c r="H141" s="273">
        <v>208644</v>
      </c>
    </row>
    <row r="142" spans="2:8">
      <c r="B142" s="273" t="s">
        <v>10562</v>
      </c>
      <c r="C142" s="273" t="s">
        <v>10565</v>
      </c>
      <c r="D142" s="658"/>
      <c r="E142" s="277"/>
      <c r="F142" s="658">
        <v>13230</v>
      </c>
      <c r="G142" s="278" t="s">
        <v>10573</v>
      </c>
      <c r="H142" s="273">
        <v>96753</v>
      </c>
    </row>
    <row r="143" spans="2:8">
      <c r="B143" s="273" t="s">
        <v>10562</v>
      </c>
      <c r="C143" s="273" t="s">
        <v>10566</v>
      </c>
      <c r="D143" s="658"/>
      <c r="E143" s="277"/>
      <c r="F143" s="658">
        <v>14175</v>
      </c>
      <c r="G143" s="278" t="s">
        <v>5046</v>
      </c>
      <c r="H143" s="273">
        <v>110928</v>
      </c>
    </row>
    <row r="144" spans="2:8">
      <c r="B144" s="273" t="s">
        <v>10562</v>
      </c>
      <c r="C144" s="273" t="s">
        <v>10567</v>
      </c>
      <c r="D144" s="658"/>
      <c r="E144" s="277"/>
      <c r="F144" s="658">
        <v>11970</v>
      </c>
      <c r="G144" s="278" t="s">
        <v>10574</v>
      </c>
      <c r="H144" s="273">
        <v>122898</v>
      </c>
    </row>
    <row r="145" spans="2:8">
      <c r="B145" s="273" t="s">
        <v>10562</v>
      </c>
      <c r="C145" s="273" t="s">
        <v>10568</v>
      </c>
      <c r="D145" s="658"/>
      <c r="E145" s="277"/>
      <c r="F145" s="658">
        <v>20475</v>
      </c>
      <c r="G145" s="278" t="s">
        <v>5042</v>
      </c>
      <c r="H145" s="273">
        <v>143373</v>
      </c>
    </row>
    <row r="146" spans="2:8">
      <c r="B146" s="273" t="s">
        <v>10562</v>
      </c>
      <c r="C146" s="273" t="s">
        <v>10569</v>
      </c>
      <c r="D146" s="658"/>
      <c r="E146" s="277"/>
      <c r="F146" s="658">
        <v>11340</v>
      </c>
      <c r="G146" s="278" t="s">
        <v>10575</v>
      </c>
      <c r="H146" s="273">
        <v>154713</v>
      </c>
    </row>
    <row r="147" spans="2:8">
      <c r="B147" s="273" t="s">
        <v>10563</v>
      </c>
      <c r="C147" s="273" t="s">
        <v>10570</v>
      </c>
      <c r="D147" s="658"/>
      <c r="E147" s="277"/>
      <c r="F147" s="658">
        <v>14175</v>
      </c>
      <c r="G147" s="278" t="s">
        <v>5033</v>
      </c>
      <c r="H147" s="273">
        <v>142353</v>
      </c>
    </row>
    <row r="148" spans="2:8">
      <c r="B148" s="273" t="s">
        <v>10564</v>
      </c>
      <c r="C148" s="273" t="s">
        <v>10571</v>
      </c>
      <c r="D148" s="658"/>
      <c r="E148" s="277"/>
      <c r="F148" s="658">
        <v>3780</v>
      </c>
      <c r="G148" s="278" t="s">
        <v>10576</v>
      </c>
      <c r="H148" s="273">
        <v>146133</v>
      </c>
    </row>
    <row r="149" spans="2:8">
      <c r="B149" s="273" t="s">
        <v>10564</v>
      </c>
      <c r="C149" s="273" t="s">
        <v>10572</v>
      </c>
      <c r="D149" s="658"/>
      <c r="E149" s="277"/>
      <c r="F149" s="658">
        <v>13500</v>
      </c>
      <c r="G149" s="278" t="s">
        <v>10577</v>
      </c>
      <c r="H149" s="273">
        <v>159633</v>
      </c>
    </row>
    <row r="150" spans="2:8">
      <c r="B150" s="273" t="s">
        <v>14874</v>
      </c>
      <c r="C150" s="273" t="s">
        <v>14880</v>
      </c>
      <c r="D150" s="658"/>
      <c r="E150" s="277"/>
      <c r="F150" s="658">
        <v>20475</v>
      </c>
      <c r="G150" s="278" t="s">
        <v>5045</v>
      </c>
      <c r="H150" s="273">
        <v>38050</v>
      </c>
    </row>
    <row r="151" spans="2:8">
      <c r="B151" s="273" t="s">
        <v>14875</v>
      </c>
      <c r="C151" s="273" t="s">
        <v>14881</v>
      </c>
      <c r="D151" s="658"/>
      <c r="E151" s="277"/>
      <c r="F151" s="658">
        <v>20475</v>
      </c>
      <c r="G151" s="278" t="s">
        <v>5052</v>
      </c>
      <c r="H151" s="273">
        <v>47057</v>
      </c>
    </row>
    <row r="152" spans="2:8">
      <c r="B152" s="273" t="s">
        <v>14875</v>
      </c>
      <c r="C152" s="273" t="s">
        <v>14882</v>
      </c>
      <c r="D152" s="658"/>
      <c r="E152" s="277"/>
      <c r="F152" s="658">
        <v>16380</v>
      </c>
      <c r="G152" s="278" t="s">
        <v>14891</v>
      </c>
      <c r="H152" s="273">
        <v>63437</v>
      </c>
    </row>
    <row r="153" spans="2:8">
      <c r="B153" s="273" t="s">
        <v>14875</v>
      </c>
      <c r="C153" s="273" t="s">
        <v>14883</v>
      </c>
      <c r="D153" s="658"/>
      <c r="E153" s="277"/>
      <c r="F153" s="658">
        <v>20475</v>
      </c>
      <c r="G153" s="278" t="s">
        <v>14892</v>
      </c>
      <c r="H153" s="273">
        <v>83912</v>
      </c>
    </row>
    <row r="154" spans="2:8">
      <c r="B154" s="273" t="s">
        <v>14876</v>
      </c>
      <c r="C154" s="273" t="s">
        <v>14884</v>
      </c>
      <c r="D154" s="658"/>
      <c r="E154" s="277"/>
      <c r="F154" s="658">
        <v>20475</v>
      </c>
      <c r="G154" s="278" t="s">
        <v>14893</v>
      </c>
      <c r="H154" s="273">
        <v>99455</v>
      </c>
    </row>
    <row r="155" spans="2:8">
      <c r="B155" s="273" t="s">
        <v>14877</v>
      </c>
      <c r="C155" s="273" t="s">
        <v>14885</v>
      </c>
      <c r="D155" s="658"/>
      <c r="E155" s="277"/>
      <c r="F155" s="658">
        <v>14175</v>
      </c>
      <c r="G155" s="278" t="s">
        <v>5050</v>
      </c>
      <c r="H155" s="273">
        <v>113630</v>
      </c>
    </row>
    <row r="156" spans="2:8">
      <c r="B156" s="273" t="s">
        <v>14877</v>
      </c>
      <c r="C156" s="273" t="s">
        <v>14886</v>
      </c>
      <c r="D156" s="658"/>
      <c r="E156" s="277"/>
      <c r="F156" s="658">
        <v>13500</v>
      </c>
      <c r="G156" s="278" t="s">
        <v>14894</v>
      </c>
      <c r="H156" s="273">
        <v>127130</v>
      </c>
    </row>
    <row r="157" spans="2:8">
      <c r="B157" s="273" t="s">
        <v>14877</v>
      </c>
      <c r="C157" s="273" t="s">
        <v>14887</v>
      </c>
      <c r="D157" s="658"/>
      <c r="E157" s="277"/>
      <c r="F157" s="658">
        <v>13500</v>
      </c>
      <c r="G157" s="278" t="s">
        <v>14895</v>
      </c>
      <c r="H157" s="273">
        <v>140630</v>
      </c>
    </row>
    <row r="158" spans="2:8">
      <c r="B158" s="273" t="s">
        <v>14877</v>
      </c>
      <c r="C158" s="273" t="s">
        <v>14888</v>
      </c>
      <c r="D158" s="658"/>
      <c r="E158" s="277"/>
      <c r="F158" s="658">
        <v>12600</v>
      </c>
      <c r="G158" s="278" t="s">
        <v>14896</v>
      </c>
      <c r="H158" s="273">
        <v>153230</v>
      </c>
    </row>
    <row r="159" spans="2:8">
      <c r="B159" s="273" t="s">
        <v>14878</v>
      </c>
      <c r="C159" s="273" t="s">
        <v>14889</v>
      </c>
      <c r="D159" s="658"/>
      <c r="E159" s="277"/>
      <c r="F159" s="658">
        <v>17325</v>
      </c>
      <c r="G159" s="278" t="s">
        <v>14897</v>
      </c>
      <c r="H159" s="273">
        <v>134607</v>
      </c>
    </row>
    <row r="160" spans="2:8">
      <c r="B160" s="273" t="s">
        <v>14879</v>
      </c>
      <c r="C160" s="273" t="s">
        <v>14890</v>
      </c>
      <c r="D160" s="658"/>
      <c r="E160" s="277"/>
      <c r="F160" s="658">
        <v>12600</v>
      </c>
      <c r="G160" s="278" t="s">
        <v>14898</v>
      </c>
      <c r="H160" s="273">
        <v>147207</v>
      </c>
    </row>
    <row r="161" spans="2:8">
      <c r="B161" s="273" t="s">
        <v>14916</v>
      </c>
      <c r="C161" s="273" t="s">
        <v>14921</v>
      </c>
      <c r="D161" s="658"/>
      <c r="E161" s="277"/>
      <c r="F161" s="658">
        <v>14175</v>
      </c>
      <c r="G161" s="278" t="s">
        <v>14926</v>
      </c>
      <c r="H161" s="273">
        <v>53026</v>
      </c>
    </row>
    <row r="162" spans="2:8">
      <c r="B162" s="273" t="s">
        <v>14917</v>
      </c>
      <c r="C162" s="273" t="s">
        <v>14922</v>
      </c>
      <c r="D162" s="658"/>
      <c r="E162" s="277"/>
      <c r="F162" s="658">
        <v>14175</v>
      </c>
      <c r="G162" s="278" t="s">
        <v>14927</v>
      </c>
      <c r="H162" s="273">
        <v>157000</v>
      </c>
    </row>
    <row r="163" spans="2:8">
      <c r="B163" s="273" t="s">
        <v>14918</v>
      </c>
      <c r="C163" s="273" t="s">
        <v>14923</v>
      </c>
      <c r="D163" s="658"/>
      <c r="E163" s="277"/>
      <c r="F163" s="658">
        <v>17325</v>
      </c>
      <c r="G163" s="278" t="s">
        <v>14928</v>
      </c>
      <c r="H163" s="273">
        <v>174325</v>
      </c>
    </row>
    <row r="164" spans="2:8">
      <c r="B164" s="273" t="s">
        <v>14919</v>
      </c>
      <c r="C164" s="273" t="s">
        <v>14924</v>
      </c>
      <c r="D164" s="658"/>
      <c r="E164" s="277"/>
      <c r="F164" s="658">
        <v>14175</v>
      </c>
      <c r="G164" s="278" t="s">
        <v>5027</v>
      </c>
      <c r="H164" s="273">
        <v>207718</v>
      </c>
    </row>
    <row r="165" spans="2:8">
      <c r="B165" s="273" t="s">
        <v>14920</v>
      </c>
      <c r="C165" s="273" t="s">
        <v>14925</v>
      </c>
      <c r="D165" s="658"/>
      <c r="E165" s="277"/>
      <c r="F165" s="658">
        <v>13230</v>
      </c>
      <c r="G165" s="278" t="s">
        <v>14929</v>
      </c>
      <c r="H165" s="273">
        <v>287975</v>
      </c>
    </row>
    <row r="166" spans="2:8">
      <c r="B166" s="273" t="s">
        <v>14920</v>
      </c>
      <c r="C166" s="273" t="s">
        <v>14949</v>
      </c>
      <c r="D166" s="658"/>
      <c r="E166" s="277"/>
      <c r="F166" s="658">
        <v>13230</v>
      </c>
      <c r="G166" s="278" t="s">
        <v>5054</v>
      </c>
      <c r="H166" s="273">
        <v>301205</v>
      </c>
    </row>
    <row r="167" spans="2:8">
      <c r="B167" s="273" t="s">
        <v>14944</v>
      </c>
      <c r="C167" s="273" t="s">
        <v>14956</v>
      </c>
      <c r="D167" s="658"/>
      <c r="E167" s="277"/>
      <c r="F167" s="658">
        <v>12600</v>
      </c>
      <c r="G167" s="278" t="s">
        <v>14957</v>
      </c>
      <c r="H167" s="273">
        <v>152847</v>
      </c>
    </row>
    <row r="168" spans="2:8">
      <c r="B168" s="273" t="s">
        <v>14945</v>
      </c>
      <c r="C168" s="273" t="s">
        <v>14955</v>
      </c>
      <c r="D168" s="658"/>
      <c r="E168" s="277"/>
      <c r="F168" s="658">
        <v>11970</v>
      </c>
      <c r="G168" s="278" t="s">
        <v>14958</v>
      </c>
      <c r="H168" s="273">
        <v>164817</v>
      </c>
    </row>
    <row r="169" spans="2:8">
      <c r="B169" s="273" t="s">
        <v>14946</v>
      </c>
      <c r="C169" s="273" t="s">
        <v>14954</v>
      </c>
      <c r="D169" s="658"/>
      <c r="E169" s="277"/>
      <c r="F169" s="658">
        <v>14175</v>
      </c>
      <c r="G169" s="278" t="s">
        <v>5059</v>
      </c>
      <c r="H169" s="273">
        <v>72147</v>
      </c>
    </row>
    <row r="170" spans="2:8">
      <c r="B170" s="273" t="s">
        <v>14946</v>
      </c>
      <c r="C170" s="273" t="s">
        <v>14950</v>
      </c>
      <c r="D170" s="658"/>
      <c r="E170" s="277"/>
      <c r="F170" s="658">
        <v>11970</v>
      </c>
      <c r="G170" s="278" t="s">
        <v>14959</v>
      </c>
      <c r="H170" s="273">
        <v>84117</v>
      </c>
    </row>
    <row r="171" spans="2:8">
      <c r="B171" s="273" t="s">
        <v>14948</v>
      </c>
      <c r="C171" s="273" t="s">
        <v>14951</v>
      </c>
      <c r="D171" s="658"/>
      <c r="E171" s="277"/>
      <c r="F171" s="658">
        <v>20475</v>
      </c>
      <c r="G171" s="278" t="s">
        <v>14960</v>
      </c>
      <c r="H171" s="273">
        <v>120942</v>
      </c>
    </row>
    <row r="172" spans="2:8">
      <c r="B172" s="273" t="s">
        <v>14947</v>
      </c>
      <c r="C172" s="273" t="s">
        <v>14953</v>
      </c>
      <c r="D172" s="658"/>
      <c r="E172" s="277"/>
      <c r="F172" s="658">
        <v>120000</v>
      </c>
      <c r="G172" s="278" t="s">
        <v>14961</v>
      </c>
      <c r="H172" s="273">
        <v>240942</v>
      </c>
    </row>
    <row r="173" spans="2:8">
      <c r="B173" s="273" t="s">
        <v>14948</v>
      </c>
      <c r="C173" s="273" t="s">
        <v>14952</v>
      </c>
      <c r="D173" s="658"/>
      <c r="E173" s="277"/>
      <c r="F173" s="658">
        <v>11340</v>
      </c>
      <c r="G173" s="278" t="s">
        <v>14962</v>
      </c>
      <c r="H173" s="273">
        <v>252282</v>
      </c>
    </row>
    <row r="174" spans="2:8">
      <c r="B174" s="273" t="s">
        <v>14982</v>
      </c>
      <c r="C174" s="273" t="s">
        <v>14987</v>
      </c>
      <c r="D174" s="658"/>
      <c r="E174" s="277"/>
      <c r="F174" s="658">
        <v>14175</v>
      </c>
      <c r="G174" s="278" t="s">
        <v>14993</v>
      </c>
      <c r="H174" s="273">
        <v>112802</v>
      </c>
    </row>
    <row r="175" spans="2:8">
      <c r="B175" s="273" t="s">
        <v>14983</v>
      </c>
      <c r="C175" s="273" t="s">
        <v>14988</v>
      </c>
      <c r="D175" s="658"/>
      <c r="E175" s="277"/>
      <c r="F175" s="658">
        <v>14175</v>
      </c>
      <c r="G175" s="278" t="s">
        <v>14994</v>
      </c>
      <c r="H175" s="273">
        <v>126977</v>
      </c>
    </row>
    <row r="176" spans="2:8">
      <c r="B176" s="273" t="s">
        <v>14983</v>
      </c>
      <c r="C176" s="273" t="s">
        <v>14989</v>
      </c>
      <c r="D176" s="658"/>
      <c r="E176" s="277"/>
      <c r="F176" s="658">
        <v>13500</v>
      </c>
      <c r="G176" s="278" t="s">
        <v>14995</v>
      </c>
      <c r="H176" s="273">
        <v>140477</v>
      </c>
    </row>
    <row r="177" spans="2:8">
      <c r="B177" s="273" t="s">
        <v>14984</v>
      </c>
      <c r="C177" s="273" t="s">
        <v>14990</v>
      </c>
      <c r="D177" s="658"/>
      <c r="E177" s="277"/>
      <c r="F177" s="658">
        <v>14175</v>
      </c>
      <c r="G177" s="278" t="s">
        <v>5044</v>
      </c>
      <c r="H177" s="273">
        <v>37839</v>
      </c>
    </row>
    <row r="178" spans="2:8">
      <c r="B178" s="273" t="s">
        <v>14985</v>
      </c>
      <c r="C178" s="273" t="s">
        <v>14991</v>
      </c>
      <c r="D178" s="658"/>
      <c r="E178" s="277"/>
      <c r="F178" s="658">
        <v>20475</v>
      </c>
      <c r="G178" s="278" t="s">
        <v>5061</v>
      </c>
      <c r="H178" s="273">
        <v>97085</v>
      </c>
    </row>
    <row r="179" spans="2:8">
      <c r="B179" s="273" t="s">
        <v>14986</v>
      </c>
      <c r="C179" s="273" t="s">
        <v>14992</v>
      </c>
      <c r="D179" s="658"/>
      <c r="E179" s="277"/>
      <c r="F179" s="658">
        <v>20475</v>
      </c>
      <c r="G179" s="278" t="s">
        <v>5064</v>
      </c>
      <c r="H179" s="273">
        <v>117560</v>
      </c>
    </row>
    <row r="180" spans="2:8">
      <c r="B180" s="273" t="s">
        <v>15012</v>
      </c>
      <c r="C180" s="273" t="s">
        <v>15021</v>
      </c>
      <c r="D180" s="658"/>
      <c r="E180" s="277"/>
      <c r="F180" s="658">
        <v>22680</v>
      </c>
      <c r="G180" s="278" t="s">
        <v>15031</v>
      </c>
      <c r="H180" s="273">
        <v>97898</v>
      </c>
    </row>
    <row r="181" spans="2:8">
      <c r="B181" s="273" t="s">
        <v>15013</v>
      </c>
      <c r="C181" s="273" t="s">
        <v>15022</v>
      </c>
      <c r="D181" s="658"/>
      <c r="E181" s="277"/>
      <c r="F181" s="658">
        <v>20475</v>
      </c>
      <c r="G181" s="278" t="s">
        <v>5058</v>
      </c>
      <c r="H181" s="273">
        <v>223397</v>
      </c>
    </row>
    <row r="182" spans="2:8">
      <c r="B182" s="273" t="s">
        <v>15014</v>
      </c>
      <c r="C182" s="273" t="s">
        <v>15023</v>
      </c>
      <c r="D182" s="658"/>
      <c r="E182" s="277"/>
      <c r="F182" s="658">
        <v>20475</v>
      </c>
      <c r="G182" s="278" t="s">
        <v>15032</v>
      </c>
      <c r="H182" s="273">
        <v>239866</v>
      </c>
    </row>
    <row r="183" spans="2:8">
      <c r="B183" s="273" t="s">
        <v>15015</v>
      </c>
      <c r="C183" s="273" t="s">
        <v>15024</v>
      </c>
      <c r="D183" s="658"/>
      <c r="E183" s="277"/>
      <c r="F183" s="658">
        <v>20475</v>
      </c>
      <c r="G183" s="278" t="s">
        <v>5062</v>
      </c>
      <c r="H183" s="273">
        <v>260341</v>
      </c>
    </row>
    <row r="184" spans="2:8">
      <c r="B184" s="273" t="s">
        <v>15016</v>
      </c>
      <c r="C184" s="273" t="s">
        <v>15025</v>
      </c>
      <c r="D184" s="658"/>
      <c r="E184" s="277"/>
      <c r="F184" s="658">
        <v>16380</v>
      </c>
      <c r="G184" s="278" t="s">
        <v>15033</v>
      </c>
      <c r="H184" s="273">
        <v>276721</v>
      </c>
    </row>
    <row r="185" spans="2:8">
      <c r="B185" s="273" t="s">
        <v>15017</v>
      </c>
      <c r="C185" s="273" t="s">
        <v>15026</v>
      </c>
      <c r="D185" s="658"/>
      <c r="E185" s="277"/>
      <c r="F185" s="658">
        <v>13500</v>
      </c>
      <c r="G185" s="278" t="s">
        <v>5053</v>
      </c>
      <c r="H185" s="273">
        <v>283709</v>
      </c>
    </row>
    <row r="186" spans="2:8">
      <c r="B186" s="273" t="s">
        <v>15018</v>
      </c>
      <c r="C186" s="273" t="s">
        <v>15027</v>
      </c>
      <c r="D186" s="658"/>
      <c r="E186" s="277"/>
      <c r="F186" s="658">
        <v>14175</v>
      </c>
      <c r="G186" s="278" t="s">
        <v>15034</v>
      </c>
      <c r="H186" s="273">
        <v>297884</v>
      </c>
    </row>
    <row r="187" spans="2:8">
      <c r="B187" s="273" t="s">
        <v>15017</v>
      </c>
      <c r="C187" s="273" t="s">
        <v>15028</v>
      </c>
      <c r="D187" s="658"/>
      <c r="E187" s="277"/>
      <c r="F187" s="658">
        <v>12600</v>
      </c>
      <c r="G187" s="278" t="s">
        <v>15035</v>
      </c>
      <c r="H187" s="273">
        <v>310484</v>
      </c>
    </row>
    <row r="188" spans="2:8">
      <c r="B188" s="273" t="s">
        <v>15019</v>
      </c>
      <c r="C188" s="273" t="s">
        <v>15029</v>
      </c>
      <c r="D188" s="658"/>
      <c r="E188" s="277"/>
      <c r="F188" s="658">
        <v>12600</v>
      </c>
      <c r="G188" s="278" t="s">
        <v>15036</v>
      </c>
      <c r="H188" s="273">
        <v>288103</v>
      </c>
    </row>
    <row r="189" spans="2:8">
      <c r="B189" s="273" t="s">
        <v>15020</v>
      </c>
      <c r="C189" s="273" t="s">
        <v>15030</v>
      </c>
      <c r="D189" s="658"/>
      <c r="E189" s="277"/>
      <c r="F189" s="658">
        <v>17325</v>
      </c>
      <c r="G189" s="278" t="s">
        <v>15037</v>
      </c>
      <c r="H189" s="273">
        <v>305428</v>
      </c>
    </row>
    <row r="190" spans="2:8">
      <c r="B190" s="273" t="s">
        <v>15053</v>
      </c>
      <c r="C190" s="273" t="s">
        <v>15058</v>
      </c>
      <c r="D190" s="658"/>
      <c r="E190" s="277"/>
      <c r="F190" s="658">
        <v>14175</v>
      </c>
      <c r="G190" s="278" t="s">
        <v>5055</v>
      </c>
      <c r="H190" s="273">
        <v>205760</v>
      </c>
    </row>
    <row r="191" spans="2:8">
      <c r="B191" s="273" t="s">
        <v>15054</v>
      </c>
      <c r="C191" s="273" t="s">
        <v>15059</v>
      </c>
      <c r="D191" s="658"/>
      <c r="E191" s="277"/>
      <c r="F191" s="658">
        <v>14175</v>
      </c>
      <c r="G191" s="278" t="s">
        <v>5051</v>
      </c>
      <c r="H191" s="273">
        <v>219935</v>
      </c>
    </row>
    <row r="192" spans="2:8">
      <c r="B192" s="273" t="s">
        <v>15054</v>
      </c>
      <c r="C192" s="273" t="s">
        <v>15060</v>
      </c>
      <c r="D192" s="658"/>
      <c r="E192" s="277"/>
      <c r="F192" s="658">
        <v>14175</v>
      </c>
      <c r="G192" s="278" t="s">
        <v>5057</v>
      </c>
      <c r="H192" s="273">
        <v>234110</v>
      </c>
    </row>
    <row r="193" spans="2:8">
      <c r="B193" s="273" t="s">
        <v>15055</v>
      </c>
      <c r="C193" s="273" t="s">
        <v>15061</v>
      </c>
      <c r="D193" s="658"/>
      <c r="E193" s="277"/>
      <c r="F193" s="658">
        <v>17325</v>
      </c>
      <c r="G193" s="278" t="s">
        <v>15066</v>
      </c>
      <c r="H193" s="273">
        <v>81061</v>
      </c>
    </row>
    <row r="194" spans="2:8">
      <c r="B194" s="273" t="s">
        <v>15055</v>
      </c>
      <c r="C194" s="273" t="s">
        <v>15062</v>
      </c>
      <c r="D194" s="658"/>
      <c r="E194" s="277"/>
      <c r="F194" s="658">
        <v>14175</v>
      </c>
      <c r="G194" s="278" t="s">
        <v>15067</v>
      </c>
      <c r="H194" s="273">
        <v>95236</v>
      </c>
    </row>
    <row r="195" spans="2:8">
      <c r="B195" s="273" t="s">
        <v>15056</v>
      </c>
      <c r="C195" s="273" t="s">
        <v>15063</v>
      </c>
      <c r="D195" s="658"/>
      <c r="E195" s="277"/>
      <c r="F195" s="658">
        <v>13230</v>
      </c>
      <c r="G195" s="278" t="s">
        <v>15068</v>
      </c>
      <c r="H195" s="273">
        <v>107048</v>
      </c>
    </row>
    <row r="196" spans="2:8">
      <c r="B196" s="273" t="s">
        <v>15057</v>
      </c>
      <c r="C196" s="273" t="s">
        <v>15064</v>
      </c>
      <c r="D196" s="658"/>
      <c r="E196" s="277"/>
      <c r="F196" s="658">
        <v>13230</v>
      </c>
      <c r="G196" s="278" t="s">
        <v>15069</v>
      </c>
      <c r="H196" s="273">
        <v>133936</v>
      </c>
    </row>
    <row r="197" spans="2:8">
      <c r="B197" s="273" t="s">
        <v>10185</v>
      </c>
      <c r="C197" s="273" t="s">
        <v>15065</v>
      </c>
      <c r="D197" s="658"/>
      <c r="E197" s="277"/>
      <c r="F197" s="658">
        <v>11970</v>
      </c>
      <c r="G197" s="278" t="s">
        <v>15070</v>
      </c>
      <c r="H197" s="273">
        <v>145906</v>
      </c>
    </row>
    <row r="198" spans="2:8">
      <c r="B198" s="273" t="s">
        <v>10461</v>
      </c>
      <c r="C198" s="277" t="s">
        <v>10466</v>
      </c>
      <c r="D198" s="658">
        <v>1468</v>
      </c>
      <c r="E198" s="277" t="s">
        <v>10466</v>
      </c>
      <c r="F198" s="658"/>
      <c r="G198" s="278"/>
      <c r="H198" s="273">
        <v>194538</v>
      </c>
    </row>
    <row r="199" spans="2:8">
      <c r="B199" s="273" t="s">
        <v>10494</v>
      </c>
      <c r="C199" s="277" t="s">
        <v>10533</v>
      </c>
      <c r="D199" s="658">
        <v>1468</v>
      </c>
      <c r="E199" s="277" t="s">
        <v>10533</v>
      </c>
      <c r="F199" s="658"/>
      <c r="G199" s="278"/>
      <c r="H199" s="273">
        <v>234333</v>
      </c>
    </row>
    <row r="200" spans="2:8">
      <c r="B200" s="273" t="s">
        <v>10534</v>
      </c>
      <c r="C200" s="277" t="s">
        <v>10535</v>
      </c>
      <c r="D200" s="658">
        <v>1468</v>
      </c>
      <c r="E200" s="277" t="s">
        <v>10535</v>
      </c>
      <c r="F200" s="658"/>
      <c r="G200" s="278"/>
      <c r="H200" s="273">
        <v>149488</v>
      </c>
    </row>
    <row r="201" spans="2:8">
      <c r="B201" s="273" t="s">
        <v>10578</v>
      </c>
      <c r="C201" s="277" t="s">
        <v>10579</v>
      </c>
      <c r="D201" s="658">
        <v>1468</v>
      </c>
      <c r="E201" s="277" t="s">
        <v>10579</v>
      </c>
      <c r="F201" s="658"/>
      <c r="G201" s="278"/>
      <c r="H201" s="273">
        <v>153245</v>
      </c>
    </row>
    <row r="202" spans="2:8">
      <c r="B202" s="273" t="s">
        <v>14899</v>
      </c>
      <c r="C202" s="277" t="s">
        <v>14900</v>
      </c>
      <c r="D202" s="658">
        <v>1468</v>
      </c>
      <c r="E202" s="277" t="s">
        <v>14900</v>
      </c>
      <c r="F202" s="658"/>
      <c r="G202" s="278"/>
      <c r="H202" s="273">
        <v>36582</v>
      </c>
    </row>
    <row r="203" spans="2:8">
      <c r="B203" s="273" t="s">
        <v>14934</v>
      </c>
      <c r="C203" s="277" t="s">
        <v>14935</v>
      </c>
      <c r="D203" s="658">
        <v>1468</v>
      </c>
      <c r="E203" s="277" t="s">
        <v>14935</v>
      </c>
      <c r="F203" s="658"/>
      <c r="G203" s="278"/>
      <c r="H203" s="273">
        <v>172857</v>
      </c>
    </row>
    <row r="204" spans="2:8">
      <c r="B204" s="273" t="s">
        <v>14980</v>
      </c>
      <c r="C204" s="277" t="s">
        <v>14981</v>
      </c>
      <c r="D204" s="658">
        <v>1468</v>
      </c>
      <c r="E204" s="277" t="s">
        <v>14981</v>
      </c>
      <c r="F204" s="658"/>
      <c r="G204" s="278"/>
      <c r="H204" s="273">
        <v>98627</v>
      </c>
    </row>
    <row r="205" spans="2:8">
      <c r="B205" s="273" t="s">
        <v>15043</v>
      </c>
      <c r="C205" s="277" t="s">
        <v>15044</v>
      </c>
      <c r="D205" s="658">
        <v>1468</v>
      </c>
      <c r="E205" s="277" t="s">
        <v>15044</v>
      </c>
      <c r="F205" s="658"/>
      <c r="G205" s="278"/>
      <c r="H205" s="273">
        <v>270209</v>
      </c>
    </row>
    <row r="206" spans="2:8">
      <c r="B206" s="273" t="s">
        <v>15075</v>
      </c>
      <c r="C206" s="277" t="s">
        <v>15076</v>
      </c>
      <c r="D206" s="658">
        <v>1468</v>
      </c>
      <c r="E206" s="277" t="s">
        <v>15076</v>
      </c>
      <c r="F206" s="658"/>
      <c r="G206" s="278"/>
      <c r="H206" s="273">
        <v>93818</v>
      </c>
    </row>
    <row r="207" spans="2:8">
      <c r="B207" s="273" t="s">
        <v>10265</v>
      </c>
      <c r="C207" s="273" t="s">
        <v>1283</v>
      </c>
      <c r="D207" s="658">
        <v>16800</v>
      </c>
      <c r="E207" s="277" t="s">
        <v>5013</v>
      </c>
      <c r="F207" s="658"/>
      <c r="G207" s="278"/>
      <c r="H207" s="273">
        <v>182850</v>
      </c>
    </row>
    <row r="208" spans="2:8">
      <c r="B208" s="273" t="s">
        <v>10438</v>
      </c>
      <c r="C208" s="273" t="s">
        <v>1283</v>
      </c>
      <c r="D208" s="658">
        <v>92120</v>
      </c>
      <c r="E208" s="277" t="s">
        <v>9532</v>
      </c>
      <c r="F208" s="658"/>
      <c r="G208" s="278"/>
      <c r="H208" s="273">
        <v>254947</v>
      </c>
    </row>
    <row r="209" spans="2:8">
      <c r="B209" s="273" t="s">
        <v>10460</v>
      </c>
      <c r="C209" s="273" t="s">
        <v>1283</v>
      </c>
      <c r="D209" s="658">
        <v>6600</v>
      </c>
      <c r="E209" s="277" t="s">
        <v>5013</v>
      </c>
      <c r="F209" s="658"/>
      <c r="G209" s="278"/>
      <c r="H209" s="273">
        <v>196006</v>
      </c>
    </row>
    <row r="210" spans="2:8">
      <c r="B210" s="273" t="s">
        <v>10520</v>
      </c>
      <c r="C210" s="273" t="s">
        <v>1283</v>
      </c>
      <c r="D210" s="686">
        <v>37960</v>
      </c>
      <c r="E210" s="687" t="s">
        <v>10521</v>
      </c>
      <c r="F210" s="658"/>
      <c r="G210" s="278"/>
      <c r="H210" s="273">
        <v>162008</v>
      </c>
    </row>
    <row r="211" spans="2:8">
      <c r="B211" s="273" t="s">
        <v>10495</v>
      </c>
      <c r="C211" s="273" t="s">
        <v>1283</v>
      </c>
      <c r="D211" s="686">
        <v>30</v>
      </c>
      <c r="E211" s="687" t="s">
        <v>10521</v>
      </c>
      <c r="F211" s="658"/>
      <c r="G211" s="278"/>
      <c r="H211" s="273">
        <v>162008</v>
      </c>
    </row>
    <row r="212" spans="2:8">
      <c r="B212" s="273" t="s">
        <v>10582</v>
      </c>
      <c r="C212" s="273" t="s">
        <v>1283</v>
      </c>
      <c r="D212" s="658">
        <v>20000</v>
      </c>
      <c r="E212" s="277" t="s">
        <v>10583</v>
      </c>
      <c r="F212" s="658"/>
      <c r="G212" s="278"/>
      <c r="H212" s="273">
        <v>128178</v>
      </c>
    </row>
    <row r="213" spans="2:8">
      <c r="B213" s="273" t="s">
        <v>14943</v>
      </c>
      <c r="C213" s="273" t="s">
        <v>1283</v>
      </c>
      <c r="D213" s="658">
        <v>12000</v>
      </c>
      <c r="E213" s="277" t="s">
        <v>5013</v>
      </c>
      <c r="F213" s="658"/>
      <c r="G213" s="278"/>
      <c r="H213" s="273">
        <v>274745</v>
      </c>
    </row>
    <row r="214" spans="2:8">
      <c r="B214" s="273" t="s">
        <v>14964</v>
      </c>
      <c r="C214" s="273" t="s">
        <v>1283</v>
      </c>
      <c r="D214" s="658">
        <v>130010</v>
      </c>
      <c r="E214" s="277" t="s">
        <v>9532</v>
      </c>
      <c r="F214" s="658"/>
      <c r="G214" s="278"/>
      <c r="H214" s="273">
        <v>140247</v>
      </c>
    </row>
    <row r="215" spans="2:8">
      <c r="B215" s="273" t="s">
        <v>14977</v>
      </c>
      <c r="C215" s="273" t="s">
        <v>1283</v>
      </c>
      <c r="D215" s="658">
        <v>150010</v>
      </c>
      <c r="E215" s="277" t="s">
        <v>9532</v>
      </c>
      <c r="F215" s="658"/>
      <c r="G215" s="278"/>
      <c r="H215" s="273">
        <v>105010</v>
      </c>
    </row>
    <row r="216" spans="2:8">
      <c r="B216" s="273" t="s">
        <v>14997</v>
      </c>
      <c r="C216" s="273" t="s">
        <v>1283</v>
      </c>
      <c r="D216" s="658">
        <v>4010</v>
      </c>
      <c r="E216" s="277" t="s">
        <v>9456</v>
      </c>
      <c r="F216" s="658"/>
      <c r="G216" s="278"/>
      <c r="H216" s="273">
        <v>105519</v>
      </c>
    </row>
    <row r="217" spans="2:8">
      <c r="B217" s="273" t="s">
        <v>15003</v>
      </c>
      <c r="C217" s="273" t="s">
        <v>1283</v>
      </c>
      <c r="D217" s="658">
        <v>7004</v>
      </c>
      <c r="E217" s="277" t="s">
        <v>9532</v>
      </c>
      <c r="F217" s="658"/>
      <c r="G217" s="278"/>
      <c r="H217" s="273">
        <v>13520</v>
      </c>
    </row>
    <row r="218" spans="2:8" s="562" customFormat="1">
      <c r="B218" s="273" t="s">
        <v>15006</v>
      </c>
      <c r="C218" s="273" t="s">
        <v>1283</v>
      </c>
      <c r="D218" s="658">
        <v>7510</v>
      </c>
      <c r="E218" s="277" t="s">
        <v>9456</v>
      </c>
      <c r="F218" s="658"/>
      <c r="G218" s="278"/>
      <c r="H218" s="273">
        <v>1010</v>
      </c>
    </row>
    <row r="219" spans="2:8">
      <c r="B219" s="273" t="s">
        <v>15013</v>
      </c>
      <c r="C219" s="273" t="s">
        <v>1283</v>
      </c>
      <c r="D219" s="658">
        <v>18171</v>
      </c>
      <c r="E219" s="277" t="s">
        <v>9532</v>
      </c>
      <c r="F219" s="658"/>
      <c r="G219" s="278"/>
      <c r="H219" s="273">
        <v>205226</v>
      </c>
    </row>
    <row r="220" spans="2:8">
      <c r="B220" s="273" t="s">
        <v>15073</v>
      </c>
      <c r="C220" s="273" t="s">
        <v>1283</v>
      </c>
      <c r="D220" s="658">
        <v>160000</v>
      </c>
      <c r="E220" s="277" t="s">
        <v>9532</v>
      </c>
      <c r="F220" s="658"/>
      <c r="G220" s="278"/>
      <c r="H220" s="273">
        <v>63736</v>
      </c>
    </row>
    <row r="221" spans="2:8">
      <c r="B221" s="273" t="s">
        <v>10414</v>
      </c>
      <c r="C221" s="273" t="s">
        <v>1283</v>
      </c>
      <c r="D221" s="658">
        <v>4090</v>
      </c>
      <c r="E221" s="277" t="s">
        <v>5067</v>
      </c>
      <c r="F221" s="658"/>
      <c r="G221" s="278"/>
      <c r="H221" s="273">
        <v>73159</v>
      </c>
    </row>
    <row r="222" spans="2:8">
      <c r="B222" s="273" t="s">
        <v>10342</v>
      </c>
      <c r="C222" s="273" t="s">
        <v>1283</v>
      </c>
      <c r="D222" s="658"/>
      <c r="E222" s="277"/>
      <c r="F222" s="658">
        <v>4410</v>
      </c>
      <c r="G222" s="278" t="s">
        <v>10348</v>
      </c>
      <c r="H222" s="273">
        <v>69969</v>
      </c>
    </row>
    <row r="223" spans="2:8">
      <c r="B223" s="273" t="s">
        <v>10342</v>
      </c>
      <c r="C223" s="273" t="s">
        <v>1283</v>
      </c>
      <c r="D223" s="658"/>
      <c r="E223" s="277"/>
      <c r="F223" s="658">
        <v>16365</v>
      </c>
      <c r="G223" s="278" t="s">
        <v>10349</v>
      </c>
      <c r="H223" s="273">
        <v>86334</v>
      </c>
    </row>
    <row r="224" spans="2:8">
      <c r="B224" s="273" t="s">
        <v>10350</v>
      </c>
      <c r="C224" s="273" t="s">
        <v>1283</v>
      </c>
      <c r="D224" s="658"/>
      <c r="E224" s="277"/>
      <c r="F224" s="658">
        <v>13485</v>
      </c>
      <c r="G224" s="278" t="s">
        <v>10351</v>
      </c>
      <c r="H224" s="273">
        <v>99819</v>
      </c>
    </row>
    <row r="225" spans="2:8">
      <c r="B225" s="273" t="s">
        <v>10357</v>
      </c>
      <c r="C225" s="273" t="s">
        <v>1283</v>
      </c>
      <c r="D225" s="658"/>
      <c r="E225" s="277"/>
      <c r="F225" s="658">
        <v>4410</v>
      </c>
      <c r="G225" s="278" t="s">
        <v>10358</v>
      </c>
      <c r="H225" s="273">
        <v>127738</v>
      </c>
    </row>
    <row r="226" spans="2:8">
      <c r="B226" s="273" t="s">
        <v>10188</v>
      </c>
      <c r="C226" s="273" t="s">
        <v>1283</v>
      </c>
      <c r="D226" s="658"/>
      <c r="E226" s="277"/>
      <c r="F226" s="658">
        <v>4410</v>
      </c>
      <c r="G226" s="278" t="s">
        <v>10417</v>
      </c>
      <c r="H226" s="273">
        <v>59782</v>
      </c>
    </row>
    <row r="227" spans="2:8">
      <c r="B227" s="273" t="s">
        <v>10421</v>
      </c>
      <c r="C227" s="273" t="s">
        <v>1283</v>
      </c>
      <c r="D227" s="658"/>
      <c r="E227" s="277"/>
      <c r="F227" s="658">
        <v>63000</v>
      </c>
      <c r="G227" s="278" t="s">
        <v>10436</v>
      </c>
      <c r="H227" s="273">
        <v>307507</v>
      </c>
    </row>
    <row r="228" spans="2:8">
      <c r="B228" s="273" t="s">
        <v>10421</v>
      </c>
      <c r="C228" s="273" t="s">
        <v>1283</v>
      </c>
      <c r="D228" s="658"/>
      <c r="E228" s="277"/>
      <c r="F228" s="658">
        <v>14165</v>
      </c>
      <c r="G228" s="278" t="s">
        <v>5019</v>
      </c>
      <c r="H228" s="273">
        <v>321672</v>
      </c>
    </row>
    <row r="229" spans="2:8">
      <c r="B229" s="273" t="s">
        <v>10439</v>
      </c>
      <c r="C229" s="273" t="s">
        <v>1283</v>
      </c>
      <c r="D229" s="658"/>
      <c r="E229" s="277"/>
      <c r="F229" s="658">
        <v>14165</v>
      </c>
      <c r="G229" s="278" t="s">
        <v>10440</v>
      </c>
      <c r="H229" s="273">
        <v>283287</v>
      </c>
    </row>
    <row r="230" spans="2:8">
      <c r="B230" s="273" t="s">
        <v>10456</v>
      </c>
      <c r="C230" s="273" t="s">
        <v>1283</v>
      </c>
      <c r="D230" s="658"/>
      <c r="E230" s="277"/>
      <c r="F230" s="658">
        <v>16365</v>
      </c>
      <c r="G230" s="278" t="s">
        <v>10458</v>
      </c>
      <c r="H230" s="273">
        <v>205577</v>
      </c>
    </row>
    <row r="231" spans="2:8">
      <c r="B231" s="273" t="s">
        <v>10457</v>
      </c>
      <c r="C231" s="273" t="s">
        <v>1283</v>
      </c>
      <c r="D231" s="658"/>
      <c r="E231" s="277"/>
      <c r="F231" s="658">
        <v>4410</v>
      </c>
      <c r="G231" s="278" t="s">
        <v>5030</v>
      </c>
      <c r="H231" s="273">
        <v>209987</v>
      </c>
    </row>
    <row r="232" spans="2:8">
      <c r="B232" s="273" t="s">
        <v>10189</v>
      </c>
      <c r="C232" s="273" t="s">
        <v>1283</v>
      </c>
      <c r="D232" s="658"/>
      <c r="E232" s="277"/>
      <c r="F232" s="658">
        <v>14000</v>
      </c>
      <c r="G232" s="278" t="s">
        <v>10469</v>
      </c>
      <c r="H232" s="273">
        <v>75961</v>
      </c>
    </row>
    <row r="233" spans="2:8">
      <c r="B233" s="273" t="s">
        <v>10490</v>
      </c>
      <c r="C233" s="273" t="s">
        <v>1283</v>
      </c>
      <c r="D233" s="658"/>
      <c r="E233" s="277"/>
      <c r="F233" s="658">
        <v>4410</v>
      </c>
      <c r="G233" s="278" t="s">
        <v>5036</v>
      </c>
      <c r="H233" s="273">
        <v>135136</v>
      </c>
    </row>
    <row r="234" spans="2:8">
      <c r="B234" s="273" t="s">
        <v>10491</v>
      </c>
      <c r="C234" s="273" t="s">
        <v>1283</v>
      </c>
      <c r="D234" s="658"/>
      <c r="E234" s="277"/>
      <c r="F234" s="658">
        <v>13485</v>
      </c>
      <c r="G234" s="278" t="s">
        <v>5020</v>
      </c>
      <c r="H234" s="273">
        <v>148621</v>
      </c>
    </row>
    <row r="235" spans="2:8">
      <c r="B235" s="273" t="s">
        <v>10529</v>
      </c>
      <c r="C235" s="273" t="s">
        <v>1283</v>
      </c>
      <c r="D235" s="658"/>
      <c r="E235" s="277"/>
      <c r="F235" s="658">
        <v>4410</v>
      </c>
      <c r="G235" s="278" t="s">
        <v>5041</v>
      </c>
      <c r="H235" s="273">
        <v>98862</v>
      </c>
    </row>
    <row r="236" spans="2:8">
      <c r="B236" s="273" t="s">
        <v>10532</v>
      </c>
      <c r="C236" s="273" t="s">
        <v>1283</v>
      </c>
      <c r="D236" s="658"/>
      <c r="E236" s="277"/>
      <c r="F236" s="658">
        <v>14165</v>
      </c>
      <c r="G236" s="278" t="s">
        <v>5049</v>
      </c>
      <c r="H236" s="273">
        <v>150956</v>
      </c>
    </row>
    <row r="237" spans="2:8">
      <c r="B237" s="273" t="s">
        <v>10536</v>
      </c>
      <c r="C237" s="273" t="s">
        <v>1283</v>
      </c>
      <c r="D237" s="658"/>
      <c r="E237" s="277"/>
      <c r="F237" s="658">
        <v>14165</v>
      </c>
      <c r="G237" s="278" t="s">
        <v>10537</v>
      </c>
      <c r="H237" s="273">
        <v>177828</v>
      </c>
    </row>
    <row r="238" spans="2:8">
      <c r="B238" s="273" t="s">
        <v>10555</v>
      </c>
      <c r="C238" s="273" t="s">
        <v>1283</v>
      </c>
      <c r="D238" s="658"/>
      <c r="E238" s="277"/>
      <c r="F238" s="658">
        <v>4410</v>
      </c>
      <c r="G238" s="278" t="s">
        <v>10556</v>
      </c>
      <c r="H238" s="273">
        <v>71113</v>
      </c>
    </row>
    <row r="239" spans="2:8">
      <c r="B239" s="273" t="s">
        <v>10557</v>
      </c>
      <c r="C239" s="273" t="s">
        <v>1283</v>
      </c>
      <c r="D239" s="658"/>
      <c r="E239" s="277"/>
      <c r="F239" s="658">
        <v>16350</v>
      </c>
      <c r="G239" s="278" t="s">
        <v>10558</v>
      </c>
      <c r="H239" s="273">
        <v>87463</v>
      </c>
    </row>
    <row r="240" spans="2:8">
      <c r="B240" s="273" t="s">
        <v>10561</v>
      </c>
      <c r="C240" s="273" t="s">
        <v>1283</v>
      </c>
      <c r="D240" s="658"/>
      <c r="E240" s="277"/>
      <c r="F240" s="658">
        <v>26000</v>
      </c>
      <c r="G240" s="278" t="s">
        <v>10469</v>
      </c>
      <c r="H240" s="273">
        <v>83523</v>
      </c>
    </row>
    <row r="241" spans="2:8">
      <c r="B241" s="273" t="s">
        <v>10591</v>
      </c>
      <c r="C241" s="273" t="s">
        <v>1283</v>
      </c>
      <c r="D241" s="658"/>
      <c r="E241" s="277"/>
      <c r="F241" s="658">
        <v>4410</v>
      </c>
      <c r="G241" s="278" t="s">
        <v>5048</v>
      </c>
      <c r="H241" s="273">
        <v>12709</v>
      </c>
    </row>
    <row r="242" spans="2:8">
      <c r="B242" s="273" t="s">
        <v>14872</v>
      </c>
      <c r="C242" s="273" t="s">
        <v>1283</v>
      </c>
      <c r="D242" s="658"/>
      <c r="E242" s="277"/>
      <c r="F242" s="658">
        <v>13485</v>
      </c>
      <c r="G242" s="278" t="s">
        <v>5028</v>
      </c>
      <c r="H242" s="273">
        <v>26194</v>
      </c>
    </row>
    <row r="243" spans="2:8">
      <c r="B243" s="273" t="s">
        <v>14913</v>
      </c>
      <c r="C243" s="273" t="s">
        <v>1283</v>
      </c>
      <c r="D243" s="658"/>
      <c r="E243" s="277"/>
      <c r="F243" s="658">
        <v>4410</v>
      </c>
      <c r="G243" s="278" t="s">
        <v>14914</v>
      </c>
      <c r="H243" s="273">
        <v>58368</v>
      </c>
    </row>
    <row r="244" spans="2:8">
      <c r="B244" s="273" t="s">
        <v>14931</v>
      </c>
      <c r="C244" s="273" t="s">
        <v>1283</v>
      </c>
      <c r="D244" s="658"/>
      <c r="E244" s="277"/>
      <c r="F244" s="658">
        <v>14165</v>
      </c>
      <c r="G244" s="278" t="s">
        <v>5056</v>
      </c>
      <c r="H244" s="273">
        <v>58825</v>
      </c>
    </row>
    <row r="245" spans="2:8">
      <c r="B245" s="273" t="s">
        <v>14932</v>
      </c>
      <c r="C245" s="273" t="s">
        <v>1283</v>
      </c>
      <c r="D245" s="658"/>
      <c r="E245" s="277"/>
      <c r="F245" s="658">
        <v>84000</v>
      </c>
      <c r="G245" s="278" t="s">
        <v>14933</v>
      </c>
      <c r="H245" s="273">
        <v>142825</v>
      </c>
    </row>
    <row r="246" spans="2:8">
      <c r="B246" s="273" t="s">
        <v>14936</v>
      </c>
      <c r="C246" s="273" t="s">
        <v>1283</v>
      </c>
      <c r="D246" s="658"/>
      <c r="E246" s="277"/>
      <c r="F246" s="658">
        <v>45360</v>
      </c>
      <c r="G246" s="278" t="s">
        <v>14937</v>
      </c>
      <c r="H246" s="273">
        <v>218217</v>
      </c>
    </row>
    <row r="247" spans="2:8">
      <c r="B247" s="273" t="s">
        <v>14939</v>
      </c>
      <c r="C247" s="273" t="s">
        <v>1283</v>
      </c>
      <c r="D247" s="658"/>
      <c r="E247" s="277"/>
      <c r="F247" s="658">
        <v>84000</v>
      </c>
      <c r="G247" s="278" t="s">
        <v>14940</v>
      </c>
      <c r="H247" s="273">
        <v>291718</v>
      </c>
    </row>
    <row r="248" spans="2:8">
      <c r="B248" s="273" t="s">
        <v>14965</v>
      </c>
      <c r="C248" s="273" t="s">
        <v>1283</v>
      </c>
      <c r="D248" s="658"/>
      <c r="E248" s="277"/>
      <c r="F248" s="658">
        <v>4410</v>
      </c>
      <c r="G248" s="278" t="s">
        <v>5060</v>
      </c>
      <c r="H248" s="273">
        <v>169227</v>
      </c>
    </row>
    <row r="249" spans="2:8">
      <c r="B249" s="273" t="s">
        <v>14973</v>
      </c>
      <c r="C249" s="273" t="s">
        <v>1283</v>
      </c>
      <c r="D249" s="658"/>
      <c r="E249" s="277"/>
      <c r="F249" s="658">
        <v>16350</v>
      </c>
      <c r="G249" s="278" t="s">
        <v>14974</v>
      </c>
      <c r="H249" s="273">
        <v>100467</v>
      </c>
    </row>
    <row r="250" spans="2:8">
      <c r="B250" s="273" t="s">
        <v>14976</v>
      </c>
      <c r="C250" s="273" t="s">
        <v>1283</v>
      </c>
      <c r="D250" s="658"/>
      <c r="E250" s="277"/>
      <c r="F250" s="658">
        <v>14165</v>
      </c>
      <c r="G250" s="278" t="s">
        <v>5029</v>
      </c>
      <c r="H250" s="273">
        <v>255020</v>
      </c>
    </row>
    <row r="251" spans="2:8">
      <c r="B251" s="273" t="s">
        <v>15002</v>
      </c>
      <c r="C251" s="273" t="s">
        <v>1283</v>
      </c>
      <c r="D251" s="658"/>
      <c r="E251" s="277"/>
      <c r="F251" s="658">
        <v>4410</v>
      </c>
      <c r="G251" s="278" t="s">
        <v>5024</v>
      </c>
      <c r="H251" s="273">
        <v>31249</v>
      </c>
    </row>
    <row r="252" spans="2:8">
      <c r="B252" s="273" t="s">
        <v>15007</v>
      </c>
      <c r="C252" s="273" t="s">
        <v>1283</v>
      </c>
      <c r="D252" s="658"/>
      <c r="E252" s="277"/>
      <c r="F252" s="658">
        <v>75600</v>
      </c>
      <c r="G252" s="278" t="s">
        <v>15008</v>
      </c>
      <c r="H252" s="273">
        <v>76610</v>
      </c>
    </row>
    <row r="253" spans="2:8">
      <c r="B253" s="562" t="s">
        <v>15012</v>
      </c>
      <c r="C253" s="562" t="s">
        <v>1283</v>
      </c>
      <c r="D253" s="686"/>
      <c r="E253" s="687"/>
      <c r="F253" s="686">
        <v>113390</v>
      </c>
      <c r="G253" s="813" t="s">
        <v>9546</v>
      </c>
      <c r="H253" s="562">
        <v>202922</v>
      </c>
    </row>
    <row r="254" spans="2:8">
      <c r="B254" s="273" t="s">
        <v>15038</v>
      </c>
      <c r="C254" s="273" t="s">
        <v>1283</v>
      </c>
      <c r="D254" s="658"/>
      <c r="E254" s="277"/>
      <c r="F254" s="658">
        <v>14165</v>
      </c>
      <c r="G254" s="278" t="s">
        <v>15039</v>
      </c>
      <c r="H254" s="273">
        <v>219391</v>
      </c>
    </row>
    <row r="255" spans="2:8">
      <c r="B255" s="273" t="s">
        <v>15056</v>
      </c>
      <c r="C255" s="273" t="s">
        <v>1283</v>
      </c>
      <c r="D255" s="658"/>
      <c r="E255" s="277"/>
      <c r="F255" s="658">
        <v>14165</v>
      </c>
      <c r="G255" s="278" t="s">
        <v>15080</v>
      </c>
      <c r="H255" s="273">
        <v>121213</v>
      </c>
    </row>
    <row r="256" spans="2:8">
      <c r="B256" s="273" t="s">
        <v>15078</v>
      </c>
      <c r="C256" s="273" t="s">
        <v>1283</v>
      </c>
      <c r="D256" s="658"/>
      <c r="E256" s="277"/>
      <c r="F256" s="658">
        <v>4410</v>
      </c>
      <c r="G256" s="278" t="s">
        <v>5063</v>
      </c>
      <c r="H256" s="273">
        <v>120706</v>
      </c>
    </row>
    <row r="257" spans="2:8">
      <c r="B257" s="273" t="s">
        <v>10379</v>
      </c>
      <c r="C257" s="273" t="s">
        <v>10380</v>
      </c>
      <c r="D257" s="658">
        <v>1661</v>
      </c>
      <c r="E257" s="277"/>
      <c r="F257" s="658"/>
      <c r="G257" s="278"/>
      <c r="H257" s="273">
        <v>13636</v>
      </c>
    </row>
    <row r="258" spans="2:8">
      <c r="B258" s="273" t="s">
        <v>10459</v>
      </c>
      <c r="C258" s="273" t="s">
        <v>10381</v>
      </c>
      <c r="D258" s="658">
        <v>1276</v>
      </c>
      <c r="E258" s="277"/>
      <c r="F258" s="658"/>
      <c r="G258" s="278"/>
      <c r="H258" s="273">
        <v>202606</v>
      </c>
    </row>
    <row r="259" spans="2:8">
      <c r="B259" s="273" t="s">
        <v>10530</v>
      </c>
      <c r="C259" s="273" t="s">
        <v>10334</v>
      </c>
      <c r="D259" s="658">
        <v>1699</v>
      </c>
      <c r="E259" s="277"/>
      <c r="F259" s="658"/>
      <c r="G259" s="278"/>
      <c r="H259" s="273">
        <v>111338</v>
      </c>
    </row>
    <row r="260" spans="2:8">
      <c r="B260" s="273" t="s">
        <v>14873</v>
      </c>
      <c r="C260" s="273" t="s">
        <v>10335</v>
      </c>
      <c r="D260" s="658">
        <v>2514</v>
      </c>
      <c r="E260" s="277"/>
      <c r="F260" s="658"/>
      <c r="G260" s="278"/>
      <c r="H260" s="273">
        <v>17575</v>
      </c>
    </row>
    <row r="261" spans="2:8">
      <c r="B261" s="273" t="s">
        <v>14975</v>
      </c>
      <c r="C261" s="273" t="s">
        <v>10382</v>
      </c>
      <c r="D261" s="658">
        <v>3061</v>
      </c>
      <c r="E261" s="277"/>
      <c r="F261" s="658"/>
      <c r="G261" s="278"/>
      <c r="H261" s="273">
        <v>240855</v>
      </c>
    </row>
    <row r="262" spans="2:8">
      <c r="B262" s="273" t="s">
        <v>15054</v>
      </c>
      <c r="C262" s="273" t="s">
        <v>15071</v>
      </c>
      <c r="D262" s="658">
        <v>2008</v>
      </c>
      <c r="E262" s="277"/>
      <c r="F262" s="658"/>
      <c r="G262" s="278"/>
      <c r="H262" s="273">
        <v>232102</v>
      </c>
    </row>
    <row r="263" spans="2:8">
      <c r="B263" s="273" t="s">
        <v>10356</v>
      </c>
      <c r="C263" s="273" t="s">
        <v>10322</v>
      </c>
      <c r="D263" s="658">
        <v>1235</v>
      </c>
      <c r="E263" s="277"/>
      <c r="F263" s="658"/>
      <c r="G263" s="278"/>
      <c r="H263" s="273">
        <v>102234</v>
      </c>
    </row>
    <row r="264" spans="2:8">
      <c r="B264" s="273" t="s">
        <v>10391</v>
      </c>
      <c r="C264" s="273" t="s">
        <v>10323</v>
      </c>
      <c r="D264" s="658">
        <v>1232</v>
      </c>
      <c r="E264" s="277"/>
      <c r="F264" s="658"/>
      <c r="G264" s="278"/>
      <c r="H264" s="273">
        <v>173009</v>
      </c>
    </row>
    <row r="265" spans="2:8">
      <c r="B265" s="273" t="s">
        <v>10441</v>
      </c>
      <c r="C265" s="273" t="s">
        <v>10324</v>
      </c>
      <c r="D265" s="658">
        <v>1234</v>
      </c>
      <c r="E265" s="277"/>
      <c r="F265" s="658"/>
      <c r="G265" s="278"/>
      <c r="H265" s="273">
        <v>282053</v>
      </c>
    </row>
    <row r="266" spans="2:8">
      <c r="B266" s="273" t="s">
        <v>10462</v>
      </c>
      <c r="C266" s="273" t="s">
        <v>10325</v>
      </c>
      <c r="D266" s="658">
        <v>1229</v>
      </c>
      <c r="E266" s="277"/>
      <c r="F266" s="658"/>
      <c r="G266" s="278"/>
      <c r="H266" s="273">
        <v>193309</v>
      </c>
    </row>
    <row r="267" spans="2:8">
      <c r="B267" s="273" t="s">
        <v>10493</v>
      </c>
      <c r="C267" s="273" t="s">
        <v>10326</v>
      </c>
      <c r="D267" s="658">
        <v>1228</v>
      </c>
      <c r="E267" s="277"/>
      <c r="F267" s="658"/>
      <c r="G267" s="278"/>
      <c r="H267" s="273">
        <v>239568</v>
      </c>
    </row>
    <row r="268" spans="2:8">
      <c r="B268" s="273" t="s">
        <v>10580</v>
      </c>
      <c r="C268" s="273" t="s">
        <v>10327</v>
      </c>
      <c r="D268" s="658">
        <v>1231</v>
      </c>
      <c r="E268" s="277"/>
      <c r="F268" s="658"/>
      <c r="G268" s="278"/>
      <c r="H268" s="273">
        <v>176597</v>
      </c>
    </row>
    <row r="269" spans="2:8">
      <c r="B269" s="273" t="s">
        <v>10581</v>
      </c>
      <c r="C269" s="273" t="s">
        <v>10328</v>
      </c>
      <c r="D269" s="658">
        <v>1231</v>
      </c>
      <c r="E269" s="277"/>
      <c r="F269" s="658"/>
      <c r="G269" s="278"/>
      <c r="H269" s="273">
        <v>152014</v>
      </c>
    </row>
    <row r="270" spans="2:8">
      <c r="B270" s="273" t="s">
        <v>14902</v>
      </c>
      <c r="C270" s="273" t="s">
        <v>10329</v>
      </c>
      <c r="D270" s="658">
        <v>1235</v>
      </c>
      <c r="E270" s="277"/>
      <c r="F270" s="658"/>
      <c r="G270" s="278"/>
      <c r="H270" s="273">
        <v>82677</v>
      </c>
    </row>
    <row r="271" spans="2:8">
      <c r="B271" s="273" t="s">
        <v>14941</v>
      </c>
      <c r="C271" s="273" t="s">
        <v>10330</v>
      </c>
      <c r="D271" s="658">
        <v>1234</v>
      </c>
      <c r="E271" s="277"/>
      <c r="F271" s="658"/>
      <c r="G271" s="278"/>
      <c r="H271" s="273">
        <v>290484</v>
      </c>
    </row>
    <row r="272" spans="2:8">
      <c r="B272" s="273" t="s">
        <v>14978</v>
      </c>
      <c r="C272" s="273" t="s">
        <v>10331</v>
      </c>
      <c r="D272" s="658">
        <v>1228</v>
      </c>
      <c r="E272" s="277"/>
      <c r="F272" s="658"/>
      <c r="G272" s="278"/>
      <c r="H272" s="273">
        <v>103782</v>
      </c>
    </row>
    <row r="273" spans="2:8">
      <c r="B273" s="273" t="s">
        <v>15040</v>
      </c>
      <c r="C273" s="273" t="s">
        <v>10332</v>
      </c>
      <c r="D273" s="658">
        <v>1230</v>
      </c>
      <c r="E273" s="277"/>
      <c r="F273" s="658"/>
      <c r="G273" s="278"/>
      <c r="H273" s="273">
        <v>275491</v>
      </c>
    </row>
    <row r="274" spans="2:8">
      <c r="B274" s="273" t="s">
        <v>15077</v>
      </c>
      <c r="C274" s="273" t="s">
        <v>10333</v>
      </c>
      <c r="D274" s="658">
        <v>1232</v>
      </c>
      <c r="E274" s="277"/>
      <c r="F274" s="658"/>
      <c r="G274" s="278"/>
      <c r="H274" s="273">
        <v>119981</v>
      </c>
    </row>
    <row r="275" spans="2:8">
      <c r="B275" s="273" t="s">
        <v>10356</v>
      </c>
      <c r="C275" s="273" t="s">
        <v>10310</v>
      </c>
      <c r="D275" s="658">
        <v>1696</v>
      </c>
      <c r="E275" s="277"/>
      <c r="F275" s="658"/>
      <c r="G275" s="278"/>
      <c r="H275" s="273">
        <v>100538</v>
      </c>
    </row>
    <row r="276" spans="2:8">
      <c r="B276" s="273" t="s">
        <v>10391</v>
      </c>
      <c r="C276" s="273" t="s">
        <v>10311</v>
      </c>
      <c r="D276" s="658">
        <v>1685</v>
      </c>
      <c r="E276" s="277"/>
      <c r="F276" s="658"/>
      <c r="G276" s="278"/>
      <c r="H276" s="273">
        <v>171324</v>
      </c>
    </row>
    <row r="277" spans="2:8">
      <c r="B277" s="273" t="s">
        <v>10441</v>
      </c>
      <c r="C277" s="273" t="s">
        <v>10312</v>
      </c>
      <c r="D277" s="658">
        <v>1678</v>
      </c>
      <c r="E277" s="277"/>
      <c r="F277" s="658"/>
      <c r="G277" s="278"/>
      <c r="H277" s="273">
        <v>283075</v>
      </c>
    </row>
    <row r="278" spans="2:8">
      <c r="B278" s="273" t="s">
        <v>10462</v>
      </c>
      <c r="C278" s="273" t="s">
        <v>10313</v>
      </c>
      <c r="D278" s="658">
        <v>1707</v>
      </c>
      <c r="E278" s="277"/>
      <c r="F278" s="658"/>
      <c r="G278" s="278"/>
      <c r="H278" s="273">
        <v>191602</v>
      </c>
    </row>
    <row r="279" spans="2:8">
      <c r="B279" s="273" t="s">
        <v>10493</v>
      </c>
      <c r="C279" s="273" t="s">
        <v>10314</v>
      </c>
      <c r="D279" s="658">
        <v>1694</v>
      </c>
      <c r="E279" s="277"/>
      <c r="F279" s="658"/>
      <c r="G279" s="278"/>
      <c r="H279" s="273">
        <v>237874</v>
      </c>
    </row>
    <row r="280" spans="2:8">
      <c r="B280" s="273" t="s">
        <v>10538</v>
      </c>
      <c r="C280" s="273" t="s">
        <v>10315</v>
      </c>
      <c r="D280" s="658">
        <v>1704</v>
      </c>
      <c r="E280" s="277"/>
      <c r="F280" s="658"/>
      <c r="G280" s="278"/>
      <c r="H280" s="273">
        <v>174893</v>
      </c>
    </row>
    <row r="281" spans="2:8">
      <c r="B281" s="273" t="s">
        <v>10581</v>
      </c>
      <c r="C281" s="273" t="s">
        <v>10316</v>
      </c>
      <c r="D281" s="658">
        <v>1680</v>
      </c>
      <c r="E281" s="277"/>
      <c r="F281" s="658"/>
      <c r="G281" s="278"/>
      <c r="H281" s="273">
        <v>150334</v>
      </c>
    </row>
    <row r="282" spans="2:8">
      <c r="B282" s="273" t="s">
        <v>14903</v>
      </c>
      <c r="C282" s="273" t="s">
        <v>10317</v>
      </c>
      <c r="D282" s="658">
        <v>1669</v>
      </c>
      <c r="E282" s="277"/>
      <c r="F282" s="658"/>
      <c r="G282" s="278"/>
      <c r="H282" s="273">
        <v>81008</v>
      </c>
    </row>
    <row r="283" spans="2:8">
      <c r="B283" s="273" t="s">
        <v>14942</v>
      </c>
      <c r="C283" s="273" t="s">
        <v>10318</v>
      </c>
      <c r="D283" s="658">
        <v>1706</v>
      </c>
      <c r="E283" s="277"/>
      <c r="F283" s="658"/>
      <c r="G283" s="278"/>
      <c r="H283" s="273">
        <v>288778</v>
      </c>
    </row>
    <row r="284" spans="2:8">
      <c r="B284" s="273" t="s">
        <v>14979</v>
      </c>
      <c r="C284" s="273" t="s">
        <v>10319</v>
      </c>
      <c r="D284" s="658">
        <v>1698</v>
      </c>
      <c r="E284" s="277"/>
      <c r="F284" s="658"/>
      <c r="G284" s="278"/>
      <c r="H284" s="273">
        <v>102084</v>
      </c>
    </row>
    <row r="285" spans="2:8">
      <c r="B285" s="273" t="s">
        <v>15041</v>
      </c>
      <c r="C285" s="273" t="s">
        <v>10320</v>
      </c>
      <c r="D285" s="658">
        <v>1771</v>
      </c>
      <c r="E285" s="277"/>
      <c r="F285" s="658"/>
      <c r="G285" s="278"/>
      <c r="H285" s="273">
        <v>273720</v>
      </c>
    </row>
    <row r="286" spans="2:8">
      <c r="B286" s="273" t="s">
        <v>15077</v>
      </c>
      <c r="C286" s="273" t="s">
        <v>10321</v>
      </c>
      <c r="D286" s="658">
        <v>1673</v>
      </c>
      <c r="E286" s="277"/>
      <c r="F286" s="658"/>
      <c r="G286" s="278"/>
      <c r="H286" s="273">
        <v>118308</v>
      </c>
    </row>
    <row r="287" spans="2:8">
      <c r="B287" s="273" t="s">
        <v>10356</v>
      </c>
      <c r="C287" s="273" t="s">
        <v>10298</v>
      </c>
      <c r="D287" s="658">
        <v>2185</v>
      </c>
      <c r="E287" s="277"/>
      <c r="F287" s="658"/>
      <c r="G287" s="278"/>
      <c r="H287" s="273">
        <v>98353</v>
      </c>
    </row>
    <row r="288" spans="2:8">
      <c r="B288" s="273" t="s">
        <v>10391</v>
      </c>
      <c r="C288" s="273" t="s">
        <v>10299</v>
      </c>
      <c r="D288" s="658">
        <v>2027</v>
      </c>
      <c r="E288" s="277"/>
      <c r="F288" s="658"/>
      <c r="G288" s="278"/>
      <c r="H288" s="273">
        <v>169297</v>
      </c>
    </row>
    <row r="289" spans="2:8">
      <c r="B289" s="273" t="s">
        <v>10441</v>
      </c>
      <c r="C289" s="273" t="s">
        <v>10300</v>
      </c>
      <c r="D289" s="658">
        <v>2004</v>
      </c>
      <c r="E289" s="277"/>
      <c r="F289" s="658"/>
      <c r="G289" s="278"/>
      <c r="H289" s="273">
        <v>278371</v>
      </c>
    </row>
    <row r="290" spans="2:8">
      <c r="B290" s="273" t="s">
        <v>10462</v>
      </c>
      <c r="C290" s="273" t="s">
        <v>10301</v>
      </c>
      <c r="D290" s="658">
        <v>2023</v>
      </c>
      <c r="E290" s="277"/>
      <c r="F290" s="658"/>
      <c r="G290" s="278"/>
      <c r="H290" s="273">
        <v>189579</v>
      </c>
    </row>
    <row r="291" spans="2:8">
      <c r="B291" s="273" t="s">
        <v>10493</v>
      </c>
      <c r="C291" s="273" t="s">
        <v>10302</v>
      </c>
      <c r="D291" s="658">
        <v>2073</v>
      </c>
      <c r="E291" s="277"/>
      <c r="F291" s="658"/>
      <c r="G291" s="278"/>
      <c r="H291" s="273">
        <v>235801</v>
      </c>
    </row>
    <row r="292" spans="2:8">
      <c r="B292" s="273" t="s">
        <v>10538</v>
      </c>
      <c r="C292" s="273" t="s">
        <v>10303</v>
      </c>
      <c r="D292" s="658">
        <v>1994</v>
      </c>
      <c r="E292" s="277"/>
      <c r="F292" s="658"/>
      <c r="G292" s="278"/>
      <c r="H292" s="273">
        <v>172899</v>
      </c>
    </row>
    <row r="293" spans="2:8">
      <c r="B293" s="273" t="s">
        <v>10581</v>
      </c>
      <c r="C293" s="273" t="s">
        <v>10304</v>
      </c>
      <c r="D293" s="658">
        <v>2156</v>
      </c>
      <c r="E293" s="277"/>
      <c r="F293" s="658"/>
      <c r="G293" s="278"/>
      <c r="H293" s="273">
        <v>148178</v>
      </c>
    </row>
    <row r="294" spans="2:8">
      <c r="B294" s="273" t="s">
        <v>14902</v>
      </c>
      <c r="C294" s="273" t="s">
        <v>10305</v>
      </c>
      <c r="D294" s="658">
        <v>2028</v>
      </c>
      <c r="E294" s="277"/>
      <c r="F294" s="658"/>
      <c r="G294" s="278"/>
      <c r="H294" s="273">
        <v>78980</v>
      </c>
    </row>
    <row r="295" spans="2:8">
      <c r="B295" s="273" t="s">
        <v>14942</v>
      </c>
      <c r="C295" s="273" t="s">
        <v>10306</v>
      </c>
      <c r="D295" s="658">
        <v>2033</v>
      </c>
      <c r="E295" s="277"/>
      <c r="F295" s="658"/>
      <c r="G295" s="278"/>
      <c r="H295" s="273">
        <v>286745</v>
      </c>
    </row>
    <row r="296" spans="2:8">
      <c r="B296" s="273" t="s">
        <v>14978</v>
      </c>
      <c r="C296" s="273" t="s">
        <v>10307</v>
      </c>
      <c r="D296" s="658">
        <v>1989</v>
      </c>
      <c r="E296" s="277"/>
      <c r="F296" s="658"/>
      <c r="G296" s="278"/>
      <c r="H296" s="273">
        <v>100095</v>
      </c>
    </row>
    <row r="297" spans="2:8">
      <c r="B297" s="273" t="s">
        <v>15042</v>
      </c>
      <c r="C297" s="273" t="s">
        <v>10308</v>
      </c>
      <c r="D297" s="658">
        <v>2043</v>
      </c>
      <c r="E297" s="277"/>
      <c r="F297" s="658"/>
      <c r="G297" s="278"/>
      <c r="H297" s="273">
        <v>271677</v>
      </c>
    </row>
    <row r="298" spans="2:8">
      <c r="B298" s="273" t="s">
        <v>15077</v>
      </c>
      <c r="C298" s="273" t="s">
        <v>10309</v>
      </c>
      <c r="D298" s="658">
        <v>2012</v>
      </c>
      <c r="E298" s="277"/>
      <c r="F298" s="658"/>
      <c r="G298" s="278"/>
      <c r="H298" s="273">
        <v>116296</v>
      </c>
    </row>
    <row r="299" spans="2:8">
      <c r="B299" s="273" t="s">
        <v>10418</v>
      </c>
      <c r="C299" s="273" t="s">
        <v>892</v>
      </c>
      <c r="D299" s="658">
        <v>5000</v>
      </c>
      <c r="E299" s="277"/>
      <c r="F299" s="658"/>
      <c r="G299" s="278"/>
      <c r="H299" s="273">
        <v>54782</v>
      </c>
    </row>
    <row r="300" spans="2:8">
      <c r="B300" s="273" t="s">
        <v>10495</v>
      </c>
      <c r="C300" s="273" t="s">
        <v>1283</v>
      </c>
      <c r="D300" s="686">
        <v>556</v>
      </c>
      <c r="E300" s="687" t="s">
        <v>10521</v>
      </c>
      <c r="F300" s="658"/>
      <c r="G300" s="278"/>
      <c r="H300" s="273">
        <v>162008</v>
      </c>
    </row>
    <row r="301" spans="2:8">
      <c r="B301" s="273" t="s">
        <v>10498</v>
      </c>
      <c r="C301" s="273" t="s">
        <v>892</v>
      </c>
      <c r="D301" s="658">
        <v>5000</v>
      </c>
      <c r="E301" s="277"/>
      <c r="F301" s="658"/>
      <c r="G301" s="278"/>
      <c r="H301" s="273">
        <v>66777</v>
      </c>
    </row>
    <row r="302" spans="2:8">
      <c r="B302" s="273" t="s">
        <v>14907</v>
      </c>
      <c r="C302" s="273" t="s">
        <v>892</v>
      </c>
      <c r="D302" s="658">
        <v>5000</v>
      </c>
      <c r="E302" s="277"/>
      <c r="F302" s="658"/>
      <c r="G302" s="278"/>
      <c r="H302" s="273">
        <v>117282</v>
      </c>
    </row>
    <row r="303" spans="2:8">
      <c r="B303" s="273" t="s">
        <v>15005</v>
      </c>
      <c r="C303" s="273" t="s">
        <v>892</v>
      </c>
      <c r="D303" s="658">
        <v>5000</v>
      </c>
      <c r="E303" s="277"/>
      <c r="F303" s="658"/>
      <c r="G303" s="278"/>
      <c r="H303" s="273">
        <v>8520</v>
      </c>
    </row>
    <row r="304" spans="2:8">
      <c r="B304" s="273" t="s">
        <v>10279</v>
      </c>
      <c r="C304" s="273" t="s">
        <v>10278</v>
      </c>
      <c r="D304" s="658">
        <v>18000</v>
      </c>
      <c r="E304" s="277"/>
      <c r="F304" s="658"/>
      <c r="G304" s="278"/>
      <c r="H304" s="273">
        <v>164850</v>
      </c>
    </row>
    <row r="305" spans="2:8">
      <c r="B305" s="273" t="s">
        <v>10372</v>
      </c>
      <c r="C305" s="273" t="s">
        <v>10280</v>
      </c>
      <c r="D305" s="658">
        <v>12000</v>
      </c>
      <c r="E305" s="277"/>
      <c r="F305" s="658"/>
      <c r="G305" s="278"/>
      <c r="H305" s="273">
        <v>113878</v>
      </c>
    </row>
    <row r="306" spans="2:8">
      <c r="B306" s="273" t="s">
        <v>10453</v>
      </c>
      <c r="C306" s="273" t="s">
        <v>10281</v>
      </c>
      <c r="D306" s="658">
        <v>13500</v>
      </c>
      <c r="E306" s="277"/>
      <c r="F306" s="658"/>
      <c r="G306" s="278"/>
      <c r="H306" s="273">
        <v>289688</v>
      </c>
    </row>
    <row r="307" spans="2:8">
      <c r="B307" s="273" t="s">
        <v>10526</v>
      </c>
      <c r="C307" s="273" t="s">
        <v>10525</v>
      </c>
      <c r="D307" s="658">
        <v>39500</v>
      </c>
      <c r="E307" s="277"/>
      <c r="F307" s="658"/>
      <c r="G307" s="278"/>
      <c r="H307" s="273">
        <v>108218</v>
      </c>
    </row>
    <row r="308" spans="2:8">
      <c r="B308" s="273" t="s">
        <v>10550</v>
      </c>
      <c r="C308" s="273" t="s">
        <v>10282</v>
      </c>
      <c r="D308" s="658">
        <v>22500</v>
      </c>
      <c r="E308" s="277"/>
      <c r="F308" s="658"/>
      <c r="G308" s="278"/>
      <c r="H308" s="273">
        <v>175206</v>
      </c>
    </row>
    <row r="309" spans="2:8">
      <c r="B309" s="273" t="s">
        <v>10587</v>
      </c>
      <c r="C309" s="273" t="s">
        <v>10283</v>
      </c>
      <c r="D309" s="658">
        <v>18000</v>
      </c>
      <c r="E309" s="277"/>
      <c r="F309" s="658"/>
      <c r="G309" s="278"/>
      <c r="H309" s="273">
        <v>109685</v>
      </c>
    </row>
    <row r="310" spans="2:8">
      <c r="B310" s="273" t="s">
        <v>14966</v>
      </c>
      <c r="C310" s="273" t="s">
        <v>10284</v>
      </c>
      <c r="D310" s="658">
        <v>19800</v>
      </c>
      <c r="E310" s="277"/>
      <c r="F310" s="658"/>
      <c r="G310" s="278"/>
      <c r="H310" s="273">
        <v>149427</v>
      </c>
    </row>
    <row r="311" spans="2:8">
      <c r="B311" s="273" t="s">
        <v>14999</v>
      </c>
      <c r="C311" s="273" t="s">
        <v>10285</v>
      </c>
      <c r="D311" s="658">
        <v>21000</v>
      </c>
      <c r="E311" s="277"/>
      <c r="F311" s="658"/>
      <c r="G311" s="278"/>
      <c r="H311" s="273">
        <v>84519</v>
      </c>
    </row>
    <row r="312" spans="2:8">
      <c r="B312" s="273" t="s">
        <v>15048</v>
      </c>
      <c r="C312" s="273" t="s">
        <v>15049</v>
      </c>
      <c r="D312" s="658">
        <v>18000</v>
      </c>
      <c r="E312" s="277"/>
      <c r="F312" s="658"/>
      <c r="G312" s="278"/>
      <c r="H312" s="273">
        <v>287428</v>
      </c>
    </row>
    <row r="313" spans="2:8">
      <c r="B313" s="273" t="s">
        <v>10373</v>
      </c>
      <c r="C313" s="273" t="s">
        <v>10266</v>
      </c>
      <c r="D313" s="658">
        <v>29647</v>
      </c>
      <c r="E313" s="277"/>
      <c r="F313" s="658"/>
      <c r="G313" s="278"/>
      <c r="H313" s="273">
        <v>135203</v>
      </c>
    </row>
    <row r="314" spans="2:8">
      <c r="B314" s="273" t="s">
        <v>10372</v>
      </c>
      <c r="C314" s="273" t="s">
        <v>10267</v>
      </c>
      <c r="D314" s="658">
        <v>29647</v>
      </c>
      <c r="E314" s="277"/>
      <c r="F314" s="658"/>
      <c r="G314" s="278"/>
      <c r="H314" s="273">
        <v>84231</v>
      </c>
    </row>
    <row r="315" spans="2:8">
      <c r="B315" s="273" t="s">
        <v>10408</v>
      </c>
      <c r="C315" s="273" t="s">
        <v>10268</v>
      </c>
      <c r="D315" s="658">
        <v>29647</v>
      </c>
      <c r="E315" s="277"/>
      <c r="F315" s="658"/>
      <c r="G315" s="278"/>
      <c r="H315" s="273">
        <v>138703</v>
      </c>
    </row>
    <row r="316" spans="2:8">
      <c r="B316" s="273" t="s">
        <v>10453</v>
      </c>
      <c r="C316" s="273" t="s">
        <v>10269</v>
      </c>
      <c r="D316" s="658">
        <v>29647</v>
      </c>
      <c r="E316" s="277"/>
      <c r="F316" s="658"/>
      <c r="G316" s="278"/>
      <c r="H316" s="273">
        <v>260041</v>
      </c>
    </row>
    <row r="317" spans="2:8">
      <c r="B317" s="273" t="s">
        <v>10467</v>
      </c>
      <c r="C317" s="273" t="s">
        <v>10270</v>
      </c>
      <c r="D317" s="658">
        <v>29647</v>
      </c>
      <c r="E317" s="277"/>
      <c r="F317" s="658"/>
      <c r="G317" s="278"/>
      <c r="H317" s="273">
        <v>128984</v>
      </c>
    </row>
    <row r="318" spans="2:8">
      <c r="B318" s="273" t="s">
        <v>10498</v>
      </c>
      <c r="C318" s="273" t="s">
        <v>10271</v>
      </c>
      <c r="D318" s="658">
        <v>29647</v>
      </c>
      <c r="E318" s="277"/>
      <c r="F318" s="658"/>
      <c r="G318" s="278"/>
      <c r="H318" s="273">
        <v>147718</v>
      </c>
    </row>
    <row r="319" spans="2:8">
      <c r="B319" s="273" t="s">
        <v>10551</v>
      </c>
      <c r="C319" s="273" t="s">
        <v>10272</v>
      </c>
      <c r="D319" s="658">
        <v>29647</v>
      </c>
      <c r="E319" s="277"/>
      <c r="F319" s="658"/>
      <c r="G319" s="278"/>
      <c r="H319" s="273">
        <v>145559</v>
      </c>
    </row>
    <row r="320" spans="2:8">
      <c r="B320" s="273" t="s">
        <v>10587</v>
      </c>
      <c r="C320" s="273" t="s">
        <v>10273</v>
      </c>
      <c r="D320" s="658">
        <v>29647</v>
      </c>
      <c r="E320" s="277"/>
      <c r="F320" s="658"/>
      <c r="G320" s="278"/>
      <c r="H320" s="273">
        <v>80038</v>
      </c>
    </row>
    <row r="321" spans="2:8">
      <c r="B321" s="273" t="s">
        <v>14908</v>
      </c>
      <c r="C321" s="273" t="s">
        <v>10274</v>
      </c>
      <c r="D321" s="658">
        <v>29647</v>
      </c>
      <c r="E321" s="277"/>
      <c r="F321" s="658"/>
      <c r="G321" s="278"/>
      <c r="H321" s="273">
        <v>117560</v>
      </c>
    </row>
    <row r="322" spans="2:8">
      <c r="B322" s="273" t="s">
        <v>14967</v>
      </c>
      <c r="C322" s="273" t="s">
        <v>10275</v>
      </c>
      <c r="D322" s="658">
        <v>29575</v>
      </c>
      <c r="E322" s="277"/>
      <c r="F322" s="658"/>
      <c r="G322" s="278"/>
      <c r="H322" s="273">
        <v>119852</v>
      </c>
    </row>
    <row r="323" spans="2:8">
      <c r="B323" s="273" t="s">
        <v>14999</v>
      </c>
      <c r="C323" s="273" t="s">
        <v>10276</v>
      </c>
      <c r="D323" s="658">
        <v>29575</v>
      </c>
      <c r="E323" s="277"/>
      <c r="F323" s="658"/>
      <c r="G323" s="278"/>
      <c r="H323" s="273">
        <v>54944</v>
      </c>
    </row>
    <row r="324" spans="2:8">
      <c r="B324" s="273" t="s">
        <v>15019</v>
      </c>
      <c r="C324" s="273" t="s">
        <v>10277</v>
      </c>
      <c r="D324" s="658">
        <v>29575</v>
      </c>
      <c r="E324" s="277"/>
      <c r="F324" s="658"/>
      <c r="G324" s="278"/>
      <c r="H324" s="273">
        <v>257853</v>
      </c>
    </row>
    <row r="325" spans="2:8">
      <c r="B325" s="273" t="s">
        <v>10279</v>
      </c>
      <c r="C325" s="273" t="s">
        <v>10286</v>
      </c>
      <c r="D325" s="658">
        <v>61454</v>
      </c>
      <c r="E325" s="277"/>
      <c r="F325" s="658"/>
      <c r="G325" s="278"/>
      <c r="H325" s="273">
        <v>73749</v>
      </c>
    </row>
    <row r="326" spans="2:8">
      <c r="B326" s="273" t="s">
        <v>10374</v>
      </c>
      <c r="C326" s="273" t="s">
        <v>10287</v>
      </c>
      <c r="D326" s="658">
        <v>61454</v>
      </c>
      <c r="E326" s="277"/>
      <c r="F326" s="658"/>
      <c r="G326" s="278"/>
      <c r="H326" s="273">
        <v>7687</v>
      </c>
    </row>
    <row r="327" spans="2:8">
      <c r="B327" s="273" t="s">
        <v>10413</v>
      </c>
      <c r="C327" s="273" t="s">
        <v>10288</v>
      </c>
      <c r="D327" s="658">
        <v>61454</v>
      </c>
      <c r="E327" s="277"/>
      <c r="F327" s="658"/>
      <c r="G327" s="278"/>
      <c r="H327" s="273">
        <v>77249</v>
      </c>
    </row>
    <row r="328" spans="2:8">
      <c r="B328" s="273" t="s">
        <v>10418</v>
      </c>
      <c r="C328" s="273" t="s">
        <v>10419</v>
      </c>
      <c r="D328" s="658">
        <v>25000</v>
      </c>
      <c r="E328" s="277" t="s">
        <v>10420</v>
      </c>
      <c r="F328" s="658"/>
      <c r="G328" s="278"/>
      <c r="H328" s="273">
        <v>29782</v>
      </c>
    </row>
    <row r="329" spans="2:8">
      <c r="B329" s="273" t="s">
        <v>10453</v>
      </c>
      <c r="C329" s="273" t="s">
        <v>10289</v>
      </c>
      <c r="D329" s="658">
        <v>61454</v>
      </c>
      <c r="E329" s="277"/>
      <c r="F329" s="658"/>
      <c r="G329" s="278"/>
      <c r="H329" s="273">
        <v>198587</v>
      </c>
    </row>
    <row r="330" spans="2:8">
      <c r="B330" s="273" t="s">
        <v>10468</v>
      </c>
      <c r="C330" s="273" t="s">
        <v>10290</v>
      </c>
      <c r="D330" s="658">
        <v>61454</v>
      </c>
      <c r="E330" s="277"/>
      <c r="F330" s="658"/>
      <c r="G330" s="278"/>
      <c r="H330" s="273">
        <v>67530</v>
      </c>
    </row>
    <row r="331" spans="2:8">
      <c r="B331" s="273" t="s">
        <v>10523</v>
      </c>
      <c r="C331" s="273" t="s">
        <v>10291</v>
      </c>
      <c r="D331" s="658"/>
      <c r="E331" s="687" t="s">
        <v>10524</v>
      </c>
      <c r="F331" s="658"/>
      <c r="G331" s="278"/>
    </row>
    <row r="332" spans="2:8">
      <c r="B332" s="273" t="s">
        <v>10495</v>
      </c>
      <c r="C332" s="273" t="s">
        <v>1283</v>
      </c>
      <c r="D332" s="686">
        <v>61454</v>
      </c>
      <c r="E332" s="687" t="s">
        <v>10521</v>
      </c>
      <c r="F332" s="658"/>
      <c r="G332" s="278"/>
      <c r="H332" s="273">
        <v>162008</v>
      </c>
    </row>
    <row r="333" spans="2:8">
      <c r="B333" s="273" t="s">
        <v>10552</v>
      </c>
      <c r="C333" s="273" t="s">
        <v>10292</v>
      </c>
      <c r="D333" s="658">
        <v>61454</v>
      </c>
      <c r="E333" s="277"/>
      <c r="F333" s="658"/>
      <c r="G333" s="278"/>
      <c r="H333" s="273">
        <v>84105</v>
      </c>
    </row>
    <row r="334" spans="2:8">
      <c r="B334" s="273" t="s">
        <v>10586</v>
      </c>
      <c r="C334" s="273" t="s">
        <v>10293</v>
      </c>
      <c r="D334" s="658">
        <v>1000</v>
      </c>
      <c r="E334" s="277"/>
      <c r="F334" s="658"/>
      <c r="G334" s="278"/>
      <c r="H334" s="273">
        <v>127685</v>
      </c>
    </row>
    <row r="335" spans="2:8">
      <c r="B335" s="273" t="s">
        <v>10587</v>
      </c>
      <c r="C335" s="273" t="s">
        <v>10293</v>
      </c>
      <c r="D335" s="658">
        <v>60454</v>
      </c>
      <c r="E335" s="277"/>
      <c r="F335" s="658"/>
      <c r="G335" s="278"/>
      <c r="H335" s="273">
        <v>19584</v>
      </c>
    </row>
    <row r="336" spans="2:8">
      <c r="B336" s="273" t="s">
        <v>14909</v>
      </c>
      <c r="C336" s="273" t="s">
        <v>10294</v>
      </c>
      <c r="D336" s="658">
        <v>61454</v>
      </c>
      <c r="E336" s="277"/>
      <c r="F336" s="658"/>
      <c r="G336" s="278"/>
      <c r="H336" s="273">
        <v>56106</v>
      </c>
    </row>
    <row r="337" spans="2:14">
      <c r="B337" s="273" t="s">
        <v>14966</v>
      </c>
      <c r="C337" s="273" t="s">
        <v>10295</v>
      </c>
      <c r="D337" s="658">
        <v>61280</v>
      </c>
      <c r="E337" s="277"/>
      <c r="F337" s="658"/>
      <c r="G337" s="278"/>
      <c r="H337" s="273">
        <v>58572</v>
      </c>
    </row>
    <row r="338" spans="2:14">
      <c r="B338" s="273" t="s">
        <v>15000</v>
      </c>
      <c r="C338" s="273" t="s">
        <v>10296</v>
      </c>
      <c r="D338" s="658">
        <v>31280</v>
      </c>
      <c r="E338" s="277"/>
      <c r="F338" s="658"/>
      <c r="G338" s="278"/>
      <c r="H338" s="273">
        <v>23664</v>
      </c>
    </row>
    <row r="339" spans="2:14">
      <c r="B339" s="273" t="s">
        <v>15001</v>
      </c>
      <c r="C339" s="273" t="s">
        <v>10296</v>
      </c>
      <c r="D339" s="658">
        <v>11000</v>
      </c>
      <c r="E339" s="277"/>
      <c r="F339" s="658"/>
      <c r="G339" s="278"/>
      <c r="H339" s="273">
        <v>26839</v>
      </c>
    </row>
    <row r="340" spans="2:14">
      <c r="B340" s="273" t="s">
        <v>15011</v>
      </c>
      <c r="C340" s="273" t="s">
        <v>10296</v>
      </c>
      <c r="D340" s="658">
        <v>19000</v>
      </c>
      <c r="E340" s="277"/>
      <c r="F340" s="658"/>
      <c r="G340" s="278"/>
      <c r="H340" s="273">
        <v>75218</v>
      </c>
    </row>
    <row r="341" spans="2:14">
      <c r="B341" s="273" t="s">
        <v>15019</v>
      </c>
      <c r="C341" s="273" t="s">
        <v>10297</v>
      </c>
      <c r="D341" s="658">
        <v>61280</v>
      </c>
      <c r="E341" s="277"/>
      <c r="F341" s="658"/>
      <c r="G341" s="278"/>
      <c r="H341" s="273">
        <v>196573</v>
      </c>
    </row>
    <row r="344" spans="2:14">
      <c r="D344" s="277"/>
      <c r="E344" s="277"/>
      <c r="F344" s="277"/>
      <c r="G344" s="278"/>
    </row>
    <row r="346" spans="2:14">
      <c r="D346" s="277"/>
      <c r="E346" s="277"/>
      <c r="F346" s="277"/>
      <c r="G346" s="278"/>
    </row>
    <row r="348" spans="2:14">
      <c r="D348" s="277"/>
      <c r="E348" s="277"/>
      <c r="F348" s="277"/>
      <c r="G348" s="278"/>
    </row>
    <row r="350" spans="2:14">
      <c r="C350" s="274" t="s">
        <v>479</v>
      </c>
    </row>
    <row r="351" spans="2:14">
      <c r="B351" s="273" t="s">
        <v>241</v>
      </c>
      <c r="C351" s="273" t="s">
        <v>474</v>
      </c>
      <c r="D351" s="273" t="s">
        <v>475</v>
      </c>
      <c r="E351" s="273" t="s">
        <v>480</v>
      </c>
      <c r="F351" s="273" t="s">
        <v>2991</v>
      </c>
      <c r="G351" s="273" t="s">
        <v>481</v>
      </c>
      <c r="H351" s="273" t="s">
        <v>476</v>
      </c>
      <c r="I351" s="273" t="s">
        <v>477</v>
      </c>
      <c r="J351" s="273" t="s">
        <v>478</v>
      </c>
      <c r="K351" s="273" t="s">
        <v>1385</v>
      </c>
      <c r="L351" s="273" t="s">
        <v>1275</v>
      </c>
      <c r="M351" s="273" t="s">
        <v>265</v>
      </c>
      <c r="N351" s="273" t="s">
        <v>2992</v>
      </c>
    </row>
    <row r="352" spans="2:14">
      <c r="H352" s="273">
        <v>2694</v>
      </c>
    </row>
    <row r="353" spans="1:8" s="276" customFormat="1" ht="3" customHeight="1"/>
    <row r="354" spans="1:8">
      <c r="A354" s="273" t="s">
        <v>482</v>
      </c>
      <c r="B354" s="275" t="s">
        <v>10186</v>
      </c>
      <c r="C354" s="273" t="s">
        <v>5011</v>
      </c>
      <c r="F354" s="273">
        <v>13230</v>
      </c>
      <c r="G354" s="273" t="s">
        <v>10202</v>
      </c>
      <c r="H354" s="273">
        <v>15924</v>
      </c>
    </row>
    <row r="355" spans="1:8">
      <c r="B355" s="275" t="s">
        <v>10187</v>
      </c>
      <c r="C355" s="273" t="s">
        <v>10195</v>
      </c>
      <c r="D355" s="273">
        <v>15000</v>
      </c>
      <c r="E355" s="273" t="s">
        <v>10200</v>
      </c>
      <c r="F355" s="655"/>
      <c r="H355" s="273">
        <v>924</v>
      </c>
    </row>
    <row r="356" spans="1:8">
      <c r="B356" s="275" t="s">
        <v>10188</v>
      </c>
      <c r="C356" s="273" t="s">
        <v>10196</v>
      </c>
      <c r="F356" s="655">
        <v>13230</v>
      </c>
      <c r="G356" s="273" t="s">
        <v>10201</v>
      </c>
      <c r="H356" s="273">
        <v>14154</v>
      </c>
    </row>
    <row r="357" spans="1:8">
      <c r="B357" s="275" t="s">
        <v>10189</v>
      </c>
      <c r="C357" s="273" t="s">
        <v>5011</v>
      </c>
      <c r="D357" s="273">
        <v>14000</v>
      </c>
      <c r="E357" s="273" t="s">
        <v>10205</v>
      </c>
      <c r="F357" s="655"/>
      <c r="H357" s="273">
        <v>154</v>
      </c>
    </row>
    <row r="358" spans="1:8">
      <c r="B358" s="275" t="s">
        <v>10190</v>
      </c>
      <c r="C358" s="273" t="s">
        <v>10197</v>
      </c>
      <c r="F358" s="655">
        <v>2</v>
      </c>
      <c r="H358" s="273">
        <v>156</v>
      </c>
    </row>
    <row r="359" spans="1:8">
      <c r="B359" s="275" t="s">
        <v>10191</v>
      </c>
      <c r="C359" s="273" t="s">
        <v>5011</v>
      </c>
      <c r="F359" s="655">
        <v>26460</v>
      </c>
      <c r="G359" s="273" t="s">
        <v>10203</v>
      </c>
      <c r="H359" s="273">
        <v>26616</v>
      </c>
    </row>
    <row r="360" spans="1:8">
      <c r="B360" s="275" t="s">
        <v>10192</v>
      </c>
      <c r="C360" s="273" t="s">
        <v>5011</v>
      </c>
      <c r="D360" s="273">
        <v>26000</v>
      </c>
      <c r="E360" s="273" t="s">
        <v>10206</v>
      </c>
      <c r="F360" s="656"/>
      <c r="H360" s="273">
        <v>616</v>
      </c>
    </row>
    <row r="361" spans="1:8">
      <c r="B361" s="275" t="s">
        <v>10193</v>
      </c>
      <c r="C361" s="273" t="s">
        <v>10198</v>
      </c>
      <c r="F361" s="273">
        <v>13230</v>
      </c>
      <c r="G361" s="273" t="s">
        <v>10204</v>
      </c>
      <c r="H361" s="273">
        <v>13846</v>
      </c>
    </row>
    <row r="362" spans="1:8">
      <c r="B362" s="273" t="s">
        <v>10194</v>
      </c>
      <c r="C362" s="273" t="s">
        <v>10199</v>
      </c>
      <c r="F362" s="273">
        <v>1</v>
      </c>
      <c r="H362" s="273">
        <v>13847</v>
      </c>
    </row>
    <row r="370" spans="1:14">
      <c r="C370" s="274" t="s">
        <v>4461</v>
      </c>
    </row>
    <row r="371" spans="1:14">
      <c r="B371" s="273" t="s">
        <v>241</v>
      </c>
      <c r="C371" s="273" t="s">
        <v>474</v>
      </c>
      <c r="D371" s="273" t="s">
        <v>475</v>
      </c>
      <c r="E371" s="273" t="s">
        <v>480</v>
      </c>
      <c r="F371" s="273" t="s">
        <v>2991</v>
      </c>
      <c r="G371" s="273" t="s">
        <v>481</v>
      </c>
      <c r="H371" s="273" t="s">
        <v>476</v>
      </c>
      <c r="I371" s="273" t="s">
        <v>477</v>
      </c>
      <c r="J371" s="273" t="s">
        <v>478</v>
      </c>
      <c r="K371" s="273" t="s">
        <v>1385</v>
      </c>
      <c r="L371" s="273" t="s">
        <v>1275</v>
      </c>
      <c r="M371" s="273" t="s">
        <v>265</v>
      </c>
      <c r="N371" s="273" t="s">
        <v>2992</v>
      </c>
    </row>
    <row r="372" spans="1:14">
      <c r="H372" s="273">
        <v>2386</v>
      </c>
    </row>
    <row r="373" spans="1:14" s="276" customFormat="1" ht="3" customHeight="1"/>
    <row r="374" spans="1:14">
      <c r="A374" s="273" t="s">
        <v>483</v>
      </c>
      <c r="B374" s="273" t="s">
        <v>10185</v>
      </c>
      <c r="H374" s="273">
        <v>2386</v>
      </c>
    </row>
    <row r="375" spans="1:14">
      <c r="C375" s="562"/>
      <c r="G375" s="334"/>
    </row>
    <row r="377" spans="1:14">
      <c r="C377" s="562"/>
      <c r="G377" s="334"/>
    </row>
    <row r="379" spans="1:14">
      <c r="C379" s="562"/>
      <c r="G379" s="334"/>
    </row>
    <row r="383" spans="1:14">
      <c r="C383" s="274" t="s">
        <v>484</v>
      </c>
    </row>
    <row r="384" spans="1:14">
      <c r="B384" s="273" t="s">
        <v>241</v>
      </c>
      <c r="C384" s="273" t="s">
        <v>474</v>
      </c>
      <c r="D384" s="273" t="s">
        <v>475</v>
      </c>
      <c r="E384" s="273" t="s">
        <v>480</v>
      </c>
      <c r="F384" s="273" t="s">
        <v>2991</v>
      </c>
      <c r="G384" s="273" t="s">
        <v>481</v>
      </c>
      <c r="H384" s="273" t="s">
        <v>476</v>
      </c>
      <c r="I384" s="273" t="s">
        <v>477</v>
      </c>
      <c r="J384" s="273" t="s">
        <v>478</v>
      </c>
      <c r="K384" s="273" t="s">
        <v>1385</v>
      </c>
      <c r="L384" s="273" t="s">
        <v>1275</v>
      </c>
      <c r="M384" s="273" t="s">
        <v>265</v>
      </c>
      <c r="N384" s="273" t="s">
        <v>2992</v>
      </c>
    </row>
    <row r="385" spans="1:8">
      <c r="H385" s="273">
        <v>1948</v>
      </c>
    </row>
    <row r="386" spans="1:8" s="276" customFormat="1" ht="3" customHeight="1"/>
    <row r="387" spans="1:8">
      <c r="A387" s="273" t="s">
        <v>482</v>
      </c>
      <c r="B387" s="273" t="s">
        <v>10185</v>
      </c>
      <c r="H387" s="273">
        <v>1948</v>
      </c>
    </row>
    <row r="388" spans="1:8">
      <c r="A388" s="273" t="s">
        <v>485</v>
      </c>
    </row>
  </sheetData>
  <sortState ref="B198:H255">
    <sortCondition ref="C198:C255"/>
  </sortState>
  <phoneticPr fontId="3" type="noConversion"/>
  <pageMargins left="0.7" right="0.7" top="0.75" bottom="0.75" header="0.3" footer="0.3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391"/>
  <sheetViews>
    <sheetView zoomScaleNormal="100" workbookViewId="0">
      <pane ySplit="4" topLeftCell="A333" activePane="bottomLeft" state="frozen"/>
      <selection activeCell="F179" sqref="F179"/>
      <selection pane="bottomLeft" activeCell="D302" sqref="D302:D344"/>
    </sheetView>
  </sheetViews>
  <sheetFormatPr defaultColWidth="9" defaultRowHeight="16.5"/>
  <cols>
    <col min="1" max="1" width="8.5" style="273" customWidth="1"/>
    <col min="2" max="2" width="9.125" style="273" bestFit="1" customWidth="1"/>
    <col min="3" max="3" width="30.75" style="273" customWidth="1"/>
    <col min="4" max="6" width="9" style="273"/>
    <col min="7" max="7" width="22.25" style="273" customWidth="1"/>
    <col min="8" max="8" width="9" style="273"/>
    <col min="9" max="9" width="9.375" style="273" customWidth="1"/>
    <col min="10" max="10" width="8.5" style="273" customWidth="1"/>
    <col min="11" max="11" width="19" style="273" bestFit="1" customWidth="1"/>
    <col min="12" max="16384" width="9" style="273"/>
  </cols>
  <sheetData>
    <row r="1" spans="1:14">
      <c r="B1" s="820" t="s">
        <v>15263</v>
      </c>
      <c r="C1" s="274" t="s">
        <v>4478</v>
      </c>
    </row>
    <row r="2" spans="1:14">
      <c r="B2" s="273" t="s">
        <v>241</v>
      </c>
      <c r="C2" s="273" t="s">
        <v>474</v>
      </c>
      <c r="D2" s="273" t="s">
        <v>475</v>
      </c>
      <c r="E2" s="275" t="s">
        <v>299</v>
      </c>
      <c r="F2" s="273" t="s">
        <v>2991</v>
      </c>
      <c r="G2" s="275" t="s">
        <v>300</v>
      </c>
      <c r="H2" s="273" t="s">
        <v>476</v>
      </c>
      <c r="I2" s="273" t="s">
        <v>477</v>
      </c>
      <c r="J2" s="273" t="s">
        <v>478</v>
      </c>
      <c r="K2" s="273" t="s">
        <v>1385</v>
      </c>
      <c r="L2" s="273" t="s">
        <v>1275</v>
      </c>
      <c r="M2" s="273" t="s">
        <v>265</v>
      </c>
      <c r="N2" s="273" t="s">
        <v>2992</v>
      </c>
    </row>
    <row r="3" spans="1:14">
      <c r="A3" s="273" t="s">
        <v>4500</v>
      </c>
      <c r="D3" s="659">
        <f>SUM(D5:D344)</f>
        <v>2938588</v>
      </c>
      <c r="F3" s="659">
        <f>SUM(F5:F344)</f>
        <v>2891072</v>
      </c>
      <c r="G3" s="273">
        <f>H3+F3-D3</f>
        <v>98390</v>
      </c>
      <c r="H3" s="273">
        <v>145906</v>
      </c>
    </row>
    <row r="4" spans="1:14" s="276" customFormat="1" ht="3" customHeight="1"/>
    <row r="5" spans="1:14">
      <c r="B5" s="273" t="s">
        <v>15265</v>
      </c>
      <c r="C5" s="273" t="s">
        <v>15299</v>
      </c>
      <c r="D5" s="658">
        <v>43064</v>
      </c>
      <c r="E5" s="277"/>
      <c r="F5" s="658"/>
      <c r="G5" s="278"/>
      <c r="H5" s="273">
        <v>61237</v>
      </c>
    </row>
    <row r="6" spans="1:14">
      <c r="B6" s="273" t="s">
        <v>15403</v>
      </c>
      <c r="C6" s="273" t="s">
        <v>15404</v>
      </c>
      <c r="D6" s="658">
        <v>19416</v>
      </c>
      <c r="E6" s="277"/>
      <c r="F6" s="658"/>
      <c r="G6" s="278"/>
      <c r="H6" s="273">
        <v>11646</v>
      </c>
    </row>
    <row r="7" spans="1:14">
      <c r="B7" s="273" t="s">
        <v>15485</v>
      </c>
      <c r="C7" s="273" t="s">
        <v>15486</v>
      </c>
      <c r="D7" s="658">
        <v>11206</v>
      </c>
      <c r="E7" s="277"/>
      <c r="F7" s="658"/>
      <c r="G7" s="278"/>
      <c r="H7" s="273">
        <v>7187</v>
      </c>
    </row>
    <row r="8" spans="1:14">
      <c r="B8" s="273" t="s">
        <v>15610</v>
      </c>
      <c r="C8" s="273" t="s">
        <v>15611</v>
      </c>
      <c r="D8" s="658">
        <v>40059</v>
      </c>
      <c r="E8" s="277"/>
      <c r="F8" s="658"/>
      <c r="G8" s="278"/>
      <c r="H8" s="273">
        <v>34664</v>
      </c>
    </row>
    <row r="9" spans="1:14">
      <c r="B9" s="273" t="s">
        <v>15693</v>
      </c>
      <c r="C9" s="273" t="s">
        <v>15694</v>
      </c>
      <c r="D9" s="658">
        <v>29089</v>
      </c>
      <c r="E9" s="277"/>
      <c r="F9" s="658"/>
      <c r="G9" s="278"/>
      <c r="H9" s="273">
        <v>675</v>
      </c>
    </row>
    <row r="10" spans="1:14">
      <c r="B10" s="273" t="s">
        <v>15791</v>
      </c>
      <c r="C10" s="273" t="s">
        <v>15792</v>
      </c>
      <c r="D10" s="658">
        <v>17544</v>
      </c>
      <c r="E10" s="277"/>
      <c r="F10" s="658"/>
      <c r="G10" s="278"/>
      <c r="H10" s="273">
        <v>160581</v>
      </c>
    </row>
    <row r="11" spans="1:14">
      <c r="B11" s="273" t="s">
        <v>15289</v>
      </c>
      <c r="C11" s="273" t="s">
        <v>15290</v>
      </c>
      <c r="D11" s="658">
        <v>15830</v>
      </c>
      <c r="E11" s="277" t="s">
        <v>15291</v>
      </c>
      <c r="F11" s="658"/>
      <c r="G11" s="294"/>
      <c r="H11" s="273">
        <v>46981</v>
      </c>
    </row>
    <row r="12" spans="1:14">
      <c r="B12" s="273" t="s">
        <v>15298</v>
      </c>
      <c r="C12" s="273" t="s">
        <v>15290</v>
      </c>
      <c r="D12" s="822">
        <v>16930</v>
      </c>
      <c r="E12" s="277" t="s">
        <v>5018</v>
      </c>
      <c r="G12" s="294"/>
      <c r="H12" s="273">
        <v>104301</v>
      </c>
    </row>
    <row r="13" spans="1:14">
      <c r="B13" s="273" t="s">
        <v>15384</v>
      </c>
      <c r="C13" s="273" t="s">
        <v>15467</v>
      </c>
      <c r="D13" s="658">
        <v>760</v>
      </c>
      <c r="E13" s="277" t="s">
        <v>15385</v>
      </c>
      <c r="F13" s="658"/>
      <c r="G13" s="294"/>
      <c r="H13" s="273">
        <v>92267</v>
      </c>
    </row>
    <row r="14" spans="1:14">
      <c r="B14" s="273" t="s">
        <v>15381</v>
      </c>
      <c r="C14" s="273" t="s">
        <v>15466</v>
      </c>
      <c r="D14" s="658">
        <v>18010</v>
      </c>
      <c r="E14" s="277" t="s">
        <v>5018</v>
      </c>
      <c r="F14" s="658"/>
      <c r="G14" s="294"/>
      <c r="H14" s="273">
        <v>74257</v>
      </c>
    </row>
    <row r="15" spans="1:14">
      <c r="B15" s="273" t="s">
        <v>15464</v>
      </c>
      <c r="C15" s="273" t="s">
        <v>15465</v>
      </c>
      <c r="D15" s="658">
        <v>557</v>
      </c>
      <c r="E15" s="277" t="s">
        <v>5018</v>
      </c>
      <c r="F15" s="658"/>
      <c r="G15" s="294"/>
      <c r="H15" s="273">
        <v>21436</v>
      </c>
    </row>
    <row r="16" spans="1:14">
      <c r="B16" s="273" t="s">
        <v>15542</v>
      </c>
      <c r="C16" s="273" t="s">
        <v>15548</v>
      </c>
      <c r="D16" s="658">
        <v>400</v>
      </c>
      <c r="E16" s="277" t="s">
        <v>5017</v>
      </c>
      <c r="G16" s="294"/>
      <c r="H16" s="273">
        <v>175624</v>
      </c>
    </row>
    <row r="17" spans="2:8">
      <c r="B17" s="273" t="s">
        <v>15542</v>
      </c>
      <c r="C17" s="273" t="s">
        <v>15549</v>
      </c>
      <c r="D17" s="658">
        <v>16957</v>
      </c>
      <c r="E17" s="277" t="s">
        <v>5018</v>
      </c>
      <c r="F17" s="658"/>
      <c r="G17" s="294"/>
      <c r="H17" s="273">
        <v>158667</v>
      </c>
    </row>
    <row r="18" spans="2:8">
      <c r="B18" s="273" t="s">
        <v>15598</v>
      </c>
      <c r="C18" s="273" t="s">
        <v>15599</v>
      </c>
      <c r="D18" s="822">
        <v>5413</v>
      </c>
      <c r="E18" s="277" t="s">
        <v>5018</v>
      </c>
      <c r="G18" s="294"/>
      <c r="H18" s="273">
        <v>21011</v>
      </c>
    </row>
    <row r="19" spans="2:8">
      <c r="B19" s="273" t="s">
        <v>15691</v>
      </c>
      <c r="C19" s="273" t="s">
        <v>15692</v>
      </c>
      <c r="D19" s="822">
        <v>9324</v>
      </c>
      <c r="E19" s="277" t="s">
        <v>5018</v>
      </c>
      <c r="F19" s="686"/>
      <c r="G19" s="294"/>
      <c r="H19" s="273">
        <v>30172</v>
      </c>
    </row>
    <row r="20" spans="2:8">
      <c r="B20" s="273" t="s">
        <v>15691</v>
      </c>
      <c r="C20" s="273" t="s">
        <v>15692</v>
      </c>
      <c r="D20" s="658">
        <v>408</v>
      </c>
      <c r="E20" s="277" t="s">
        <v>5017</v>
      </c>
      <c r="F20" s="658"/>
      <c r="G20" s="294"/>
      <c r="H20" s="273">
        <v>29764</v>
      </c>
    </row>
    <row r="21" spans="2:8">
      <c r="B21" s="273" t="s">
        <v>15782</v>
      </c>
      <c r="C21" s="273" t="s">
        <v>15811</v>
      </c>
      <c r="D21" s="658">
        <v>8584</v>
      </c>
      <c r="E21" s="277" t="s">
        <v>5017</v>
      </c>
      <c r="G21" s="294"/>
      <c r="H21" s="273">
        <v>102337</v>
      </c>
    </row>
    <row r="22" spans="2:8">
      <c r="B22" s="273" t="s">
        <v>15782</v>
      </c>
      <c r="C22" s="273" t="s">
        <v>15812</v>
      </c>
      <c r="D22" s="658">
        <v>2474</v>
      </c>
      <c r="E22" s="277" t="s">
        <v>5018</v>
      </c>
      <c r="F22" s="658"/>
      <c r="G22" s="294"/>
      <c r="H22" s="273">
        <v>99863</v>
      </c>
    </row>
    <row r="23" spans="2:8">
      <c r="B23" s="273" t="s">
        <v>15810</v>
      </c>
      <c r="C23" s="273" t="s">
        <v>15783</v>
      </c>
      <c r="D23" s="658">
        <v>8584</v>
      </c>
      <c r="E23" s="277" t="s">
        <v>5018</v>
      </c>
      <c r="F23" s="658"/>
      <c r="G23" s="294"/>
      <c r="H23" s="273">
        <v>256367</v>
      </c>
    </row>
    <row r="24" spans="2:8">
      <c r="B24" s="273" t="s">
        <v>15840</v>
      </c>
      <c r="C24" s="273" t="s">
        <v>15848</v>
      </c>
      <c r="D24" s="658">
        <v>13473</v>
      </c>
      <c r="E24" s="277" t="s">
        <v>5018</v>
      </c>
      <c r="F24" s="658"/>
      <c r="G24" s="294"/>
      <c r="H24" s="273">
        <v>448466</v>
      </c>
    </row>
    <row r="25" spans="2:8">
      <c r="B25" s="273" t="s">
        <v>15272</v>
      </c>
      <c r="C25" s="273" t="s">
        <v>3483</v>
      </c>
      <c r="D25" s="658"/>
      <c r="E25" s="277"/>
      <c r="F25" s="658">
        <v>17</v>
      </c>
      <c r="G25" s="278"/>
      <c r="H25" s="273">
        <v>28069</v>
      </c>
    </row>
    <row r="26" spans="2:8">
      <c r="B26" s="273" t="s">
        <v>15860</v>
      </c>
      <c r="C26" s="273" t="s">
        <v>3483</v>
      </c>
      <c r="D26" s="658"/>
      <c r="E26" s="277"/>
      <c r="F26" s="658">
        <v>26</v>
      </c>
      <c r="G26" s="278"/>
      <c r="H26" s="273">
        <v>119202</v>
      </c>
    </row>
    <row r="27" spans="2:8">
      <c r="B27" s="273" t="s">
        <v>15280</v>
      </c>
      <c r="C27" s="273" t="s">
        <v>15283</v>
      </c>
      <c r="D27" s="658">
        <v>20010</v>
      </c>
      <c r="E27" s="277"/>
      <c r="F27" s="658"/>
      <c r="G27" s="278"/>
      <c r="H27" s="273">
        <v>123386</v>
      </c>
    </row>
    <row r="28" spans="2:8">
      <c r="B28" s="273" t="s">
        <v>15322</v>
      </c>
      <c r="C28" s="273" t="s">
        <v>15330</v>
      </c>
      <c r="D28" s="658">
        <v>20010</v>
      </c>
      <c r="E28" s="277"/>
      <c r="F28" s="658"/>
      <c r="G28" s="278"/>
      <c r="H28" s="273">
        <v>28767</v>
      </c>
    </row>
    <row r="29" spans="2:8">
      <c r="B29" s="273" t="s">
        <v>15377</v>
      </c>
      <c r="C29" s="273" t="s">
        <v>15378</v>
      </c>
      <c r="D29" s="658">
        <v>20010</v>
      </c>
      <c r="E29" s="277"/>
      <c r="F29" s="658"/>
      <c r="G29" s="278"/>
      <c r="H29" s="273">
        <v>143200</v>
      </c>
    </row>
    <row r="30" spans="2:8">
      <c r="B30" s="273" t="s">
        <v>15438</v>
      </c>
      <c r="C30" s="273" t="s">
        <v>15439</v>
      </c>
      <c r="D30" s="658">
        <v>20010</v>
      </c>
      <c r="E30" s="277"/>
      <c r="F30" s="658"/>
      <c r="G30" s="278"/>
      <c r="H30" s="273">
        <v>76344</v>
      </c>
    </row>
    <row r="31" spans="2:8">
      <c r="B31" s="273" t="s">
        <v>15480</v>
      </c>
      <c r="C31" s="273" t="s">
        <v>15528</v>
      </c>
      <c r="D31" s="686">
        <v>20010</v>
      </c>
      <c r="E31" s="277"/>
      <c r="F31" s="658"/>
      <c r="G31" s="278"/>
    </row>
    <row r="32" spans="2:8">
      <c r="B32" s="273" t="s">
        <v>15526</v>
      </c>
      <c r="C32" s="273" t="s">
        <v>15527</v>
      </c>
      <c r="D32" s="658">
        <v>20010</v>
      </c>
      <c r="E32" s="277"/>
      <c r="F32" s="658"/>
      <c r="G32" s="278"/>
      <c r="H32" s="273">
        <v>155754</v>
      </c>
    </row>
    <row r="33" spans="2:8">
      <c r="B33" s="273" t="s">
        <v>15580</v>
      </c>
      <c r="C33" s="273" t="s">
        <v>15589</v>
      </c>
      <c r="D33" s="658">
        <v>20010</v>
      </c>
      <c r="E33" s="277"/>
      <c r="F33" s="658"/>
      <c r="G33" s="278"/>
      <c r="H33" s="273">
        <v>104279</v>
      </c>
    </row>
    <row r="34" spans="2:8">
      <c r="B34" s="273" t="s">
        <v>15628</v>
      </c>
      <c r="C34" s="273" t="s">
        <v>15629</v>
      </c>
      <c r="D34" s="658">
        <v>20010</v>
      </c>
      <c r="E34" s="277"/>
      <c r="F34" s="658"/>
      <c r="G34" s="278"/>
      <c r="H34" s="273">
        <v>4204</v>
      </c>
    </row>
    <row r="35" spans="2:8">
      <c r="B35" s="273" t="s">
        <v>15729</v>
      </c>
      <c r="C35" s="273" t="s">
        <v>15730</v>
      </c>
      <c r="D35" s="658">
        <v>20010</v>
      </c>
      <c r="E35" s="277"/>
      <c r="F35" s="658"/>
      <c r="G35" s="278"/>
      <c r="H35" s="273">
        <v>94493</v>
      </c>
    </row>
    <row r="36" spans="2:8">
      <c r="B36" s="273" t="s">
        <v>15769</v>
      </c>
      <c r="C36" s="273" t="s">
        <v>15770</v>
      </c>
      <c r="D36" s="658">
        <v>20010</v>
      </c>
      <c r="E36" s="277"/>
      <c r="F36" s="658"/>
      <c r="G36" s="278"/>
      <c r="H36" s="273">
        <v>177066</v>
      </c>
    </row>
    <row r="37" spans="2:8">
      <c r="B37" s="273" t="s">
        <v>15836</v>
      </c>
      <c r="C37" s="273" t="s">
        <v>15839</v>
      </c>
      <c r="D37" s="658">
        <v>20010</v>
      </c>
      <c r="E37" s="277"/>
      <c r="F37" s="658"/>
      <c r="G37" s="278"/>
      <c r="H37" s="273">
        <v>431729</v>
      </c>
    </row>
    <row r="38" spans="2:8">
      <c r="B38" s="273" t="s">
        <v>15045</v>
      </c>
      <c r="C38" s="273" t="s">
        <v>10229</v>
      </c>
      <c r="D38" s="658">
        <v>20010</v>
      </c>
      <c r="E38" s="277"/>
      <c r="F38" s="658"/>
      <c r="G38" s="278"/>
      <c r="H38" s="273">
        <v>290474</v>
      </c>
    </row>
    <row r="39" spans="2:8">
      <c r="B39" s="273" t="s">
        <v>15280</v>
      </c>
      <c r="C39" s="273" t="s">
        <v>15281</v>
      </c>
      <c r="D39" s="658">
        <v>10832</v>
      </c>
      <c r="E39" s="277"/>
      <c r="F39" s="658"/>
      <c r="G39" s="278"/>
      <c r="H39" s="273">
        <v>147674</v>
      </c>
    </row>
    <row r="40" spans="2:8">
      <c r="B40" s="273" t="s">
        <v>15322</v>
      </c>
      <c r="C40" s="273" t="s">
        <v>15323</v>
      </c>
      <c r="D40" s="658">
        <v>10832</v>
      </c>
      <c r="E40" s="277"/>
      <c r="F40" s="658"/>
      <c r="G40" s="278"/>
      <c r="H40" s="273">
        <v>58111</v>
      </c>
    </row>
    <row r="41" spans="2:8">
      <c r="B41" s="273" t="s">
        <v>15381</v>
      </c>
      <c r="C41" s="273" t="s">
        <v>15382</v>
      </c>
      <c r="D41" s="658">
        <v>10895</v>
      </c>
      <c r="E41" s="277"/>
      <c r="F41" s="658"/>
      <c r="G41" s="278"/>
      <c r="H41" s="273">
        <v>128027</v>
      </c>
    </row>
    <row r="42" spans="2:8">
      <c r="B42" s="273" t="s">
        <v>15434</v>
      </c>
      <c r="C42" s="273" t="s">
        <v>15435</v>
      </c>
      <c r="D42" s="658">
        <v>10895</v>
      </c>
      <c r="E42" s="277"/>
      <c r="F42" s="658"/>
      <c r="G42" s="278"/>
      <c r="H42" s="273">
        <v>100674</v>
      </c>
    </row>
    <row r="43" spans="2:8">
      <c r="B43" s="273" t="s">
        <v>15480</v>
      </c>
      <c r="C43" s="273" t="s">
        <v>15481</v>
      </c>
      <c r="D43" s="658">
        <v>10895</v>
      </c>
      <c r="E43" s="277"/>
      <c r="F43" s="658"/>
      <c r="G43" s="278"/>
      <c r="H43" s="273">
        <v>18303</v>
      </c>
    </row>
    <row r="44" spans="2:8">
      <c r="B44" s="273" t="s">
        <v>15535</v>
      </c>
      <c r="C44" s="273" t="s">
        <v>15536</v>
      </c>
      <c r="D44" s="658">
        <v>10895</v>
      </c>
      <c r="E44" s="277"/>
      <c r="F44" s="658"/>
      <c r="G44" s="278"/>
      <c r="H44" s="273">
        <v>144859</v>
      </c>
    </row>
    <row r="45" spans="2:8">
      <c r="B45" s="273" t="s">
        <v>15586</v>
      </c>
      <c r="C45" s="273" t="s">
        <v>15587</v>
      </c>
      <c r="D45" s="658">
        <v>10895</v>
      </c>
      <c r="E45" s="277"/>
      <c r="F45" s="658"/>
      <c r="G45" s="278"/>
      <c r="H45" s="273">
        <v>128609</v>
      </c>
    </row>
    <row r="46" spans="2:8">
      <c r="B46" s="273" t="s">
        <v>15625</v>
      </c>
      <c r="C46" s="273" t="s">
        <v>15626</v>
      </c>
      <c r="D46" s="658">
        <v>10895</v>
      </c>
      <c r="E46" s="277"/>
      <c r="F46" s="658"/>
      <c r="G46" s="278"/>
      <c r="H46" s="273">
        <v>28534</v>
      </c>
    </row>
    <row r="47" spans="2:8">
      <c r="B47" s="273" t="s">
        <v>15675</v>
      </c>
      <c r="C47" s="273" t="s">
        <v>15679</v>
      </c>
      <c r="D47" s="658">
        <v>10895</v>
      </c>
      <c r="E47" s="277"/>
      <c r="F47" s="658"/>
      <c r="G47" s="278"/>
      <c r="H47" s="273">
        <v>282101</v>
      </c>
    </row>
    <row r="48" spans="2:8">
      <c r="B48" s="273" t="s">
        <v>15716</v>
      </c>
      <c r="C48" s="273" t="s">
        <v>15727</v>
      </c>
      <c r="D48" s="658">
        <v>10895</v>
      </c>
      <c r="E48" s="277"/>
      <c r="F48" s="658"/>
      <c r="G48" s="278"/>
      <c r="H48" s="273">
        <v>118823</v>
      </c>
    </row>
    <row r="49" spans="2:8">
      <c r="B49" s="273" t="s">
        <v>15771</v>
      </c>
      <c r="C49" s="273" t="s">
        <v>15772</v>
      </c>
      <c r="D49" s="658">
        <v>10895</v>
      </c>
      <c r="E49" s="277"/>
      <c r="F49" s="658"/>
      <c r="G49" s="278"/>
      <c r="H49" s="273">
        <v>166171</v>
      </c>
    </row>
    <row r="50" spans="2:8">
      <c r="B50" s="273" t="s">
        <v>15836</v>
      </c>
      <c r="C50" s="273" t="s">
        <v>15837</v>
      </c>
      <c r="D50" s="658">
        <v>10895</v>
      </c>
      <c r="E50" s="277"/>
      <c r="F50" s="658"/>
      <c r="G50" s="278"/>
      <c r="H50" s="273">
        <v>456059</v>
      </c>
    </row>
    <row r="51" spans="2:8">
      <c r="B51" s="273" t="s">
        <v>15280</v>
      </c>
      <c r="C51" s="273" t="s">
        <v>15282</v>
      </c>
      <c r="D51" s="658">
        <v>4278</v>
      </c>
      <c r="E51" s="277"/>
      <c r="F51" s="658"/>
      <c r="G51" s="278"/>
      <c r="H51" s="273">
        <v>143396</v>
      </c>
    </row>
    <row r="52" spans="2:8">
      <c r="B52" s="273" t="s">
        <v>15322</v>
      </c>
      <c r="C52" s="273" t="s">
        <v>15329</v>
      </c>
      <c r="D52" s="658">
        <v>4278</v>
      </c>
      <c r="E52" s="277"/>
      <c r="F52" s="658"/>
      <c r="G52" s="278"/>
      <c r="H52" s="273">
        <v>48777</v>
      </c>
    </row>
    <row r="53" spans="2:8">
      <c r="B53" s="273" t="s">
        <v>15379</v>
      </c>
      <c r="C53" s="273" t="s">
        <v>15380</v>
      </c>
      <c r="D53" s="658">
        <v>4278</v>
      </c>
      <c r="E53" s="277"/>
      <c r="F53" s="658"/>
      <c r="G53" s="278"/>
      <c r="H53" s="273">
        <v>138922</v>
      </c>
    </row>
    <row r="54" spans="2:8">
      <c r="B54" s="273" t="s">
        <v>15436</v>
      </c>
      <c r="C54" s="273" t="s">
        <v>15437</v>
      </c>
      <c r="D54" s="658">
        <v>4320</v>
      </c>
      <c r="E54" s="277"/>
      <c r="F54" s="658"/>
      <c r="G54" s="278"/>
      <c r="H54" s="273">
        <v>96354</v>
      </c>
    </row>
    <row r="55" spans="2:8">
      <c r="B55" s="273" t="s">
        <v>15482</v>
      </c>
      <c r="C55" s="273" t="s">
        <v>15483</v>
      </c>
      <c r="D55" s="658">
        <v>4320</v>
      </c>
      <c r="E55" s="277"/>
      <c r="F55" s="658"/>
      <c r="G55" s="278"/>
      <c r="H55" s="273">
        <v>13983</v>
      </c>
    </row>
    <row r="56" spans="2:8">
      <c r="B56" s="273" t="s">
        <v>15535</v>
      </c>
      <c r="C56" s="273" t="s">
        <v>15537</v>
      </c>
      <c r="D56" s="658">
        <v>4320</v>
      </c>
      <c r="E56" s="277"/>
      <c r="F56" s="658"/>
      <c r="G56" s="278"/>
      <c r="H56" s="273">
        <v>140539</v>
      </c>
    </row>
    <row r="57" spans="2:8">
      <c r="B57" s="273" t="s">
        <v>15580</v>
      </c>
      <c r="C57" s="273" t="s">
        <v>15588</v>
      </c>
      <c r="D57" s="658">
        <v>4320</v>
      </c>
      <c r="E57" s="277"/>
      <c r="F57" s="658"/>
      <c r="G57" s="278"/>
      <c r="H57" s="273">
        <v>124289</v>
      </c>
    </row>
    <row r="58" spans="2:8">
      <c r="B58" s="273" t="s">
        <v>15625</v>
      </c>
      <c r="C58" s="273" t="s">
        <v>15627</v>
      </c>
      <c r="D58" s="658">
        <v>4320</v>
      </c>
      <c r="E58" s="277"/>
      <c r="F58" s="658"/>
      <c r="G58" s="278"/>
      <c r="H58" s="273">
        <v>24214</v>
      </c>
    </row>
    <row r="59" spans="2:8">
      <c r="B59" s="273" t="s">
        <v>15680</v>
      </c>
      <c r="C59" s="273" t="s">
        <v>15681</v>
      </c>
      <c r="D59" s="658">
        <v>4320</v>
      </c>
      <c r="E59" s="277"/>
      <c r="F59" s="658"/>
      <c r="G59" s="278"/>
      <c r="H59" s="273">
        <v>277781</v>
      </c>
    </row>
    <row r="60" spans="2:8">
      <c r="B60" s="273" t="s">
        <v>15716</v>
      </c>
      <c r="C60" s="273" t="s">
        <v>15728</v>
      </c>
      <c r="D60" s="658">
        <v>4320</v>
      </c>
      <c r="E60" s="277"/>
      <c r="F60" s="658"/>
      <c r="G60" s="278"/>
      <c r="H60" s="273">
        <v>114503</v>
      </c>
    </row>
    <row r="61" spans="2:8">
      <c r="B61" s="273" t="s">
        <v>15773</v>
      </c>
      <c r="C61" s="273" t="s">
        <v>15774</v>
      </c>
      <c r="D61" s="658">
        <v>4320</v>
      </c>
      <c r="E61" s="277"/>
      <c r="F61" s="658"/>
      <c r="G61" s="278"/>
      <c r="H61" s="273">
        <v>161851</v>
      </c>
    </row>
    <row r="62" spans="2:8">
      <c r="B62" s="273" t="s">
        <v>15836</v>
      </c>
      <c r="C62" s="273" t="s">
        <v>15838</v>
      </c>
      <c r="D62" s="658">
        <v>4320</v>
      </c>
      <c r="E62" s="277"/>
      <c r="F62" s="658"/>
      <c r="G62" s="278"/>
      <c r="H62" s="273">
        <v>451739</v>
      </c>
    </row>
    <row r="63" spans="2:8">
      <c r="B63" s="273" t="s">
        <v>15314</v>
      </c>
      <c r="C63" s="273" t="s">
        <v>15315</v>
      </c>
      <c r="D63" s="658">
        <v>6105</v>
      </c>
      <c r="E63" s="277"/>
      <c r="F63" s="658"/>
      <c r="G63" s="278"/>
      <c r="H63" s="273">
        <v>118336</v>
      </c>
    </row>
    <row r="64" spans="2:8">
      <c r="B64" s="273" t="s">
        <v>15338</v>
      </c>
      <c r="C64" s="273" t="s">
        <v>15340</v>
      </c>
      <c r="D64" s="658">
        <v>6105</v>
      </c>
      <c r="E64" s="277"/>
      <c r="F64" s="658"/>
      <c r="G64" s="278"/>
      <c r="H64" s="273">
        <v>19848</v>
      </c>
    </row>
    <row r="65" spans="2:8">
      <c r="B65" s="273" t="s">
        <v>15400</v>
      </c>
      <c r="C65" s="273" t="s">
        <v>15401</v>
      </c>
      <c r="D65" s="658">
        <v>6080</v>
      </c>
      <c r="E65" s="277"/>
      <c r="F65" s="658"/>
      <c r="G65" s="278"/>
      <c r="H65" s="273">
        <v>17832</v>
      </c>
    </row>
    <row r="66" spans="2:8">
      <c r="B66" s="273" t="s">
        <v>15460</v>
      </c>
      <c r="C66" s="273" t="s">
        <v>15461</v>
      </c>
      <c r="D66" s="658">
        <v>6080</v>
      </c>
      <c r="E66" s="277"/>
      <c r="F66" s="658"/>
      <c r="G66" s="278"/>
      <c r="H66" s="273">
        <v>33589</v>
      </c>
    </row>
    <row r="67" spans="2:8">
      <c r="B67" s="273" t="s">
        <v>15490</v>
      </c>
      <c r="C67" s="273" t="s">
        <v>15491</v>
      </c>
      <c r="D67" s="658">
        <v>6080</v>
      </c>
      <c r="E67" s="277"/>
      <c r="F67" s="658"/>
      <c r="G67" s="278"/>
      <c r="H67" s="273">
        <v>21582</v>
      </c>
    </row>
    <row r="68" spans="2:8">
      <c r="B68" s="273" t="s">
        <v>15559</v>
      </c>
      <c r="C68" s="273" t="s">
        <v>15560</v>
      </c>
      <c r="D68" s="658">
        <v>6080</v>
      </c>
      <c r="E68" s="277"/>
      <c r="F68" s="658"/>
      <c r="G68" s="278"/>
      <c r="H68" s="273">
        <v>16052</v>
      </c>
    </row>
    <row r="69" spans="2:8">
      <c r="B69" s="273" t="s">
        <v>15608</v>
      </c>
      <c r="C69" s="273" t="s">
        <v>15609</v>
      </c>
      <c r="D69" s="658">
        <v>6080</v>
      </c>
      <c r="E69" s="277"/>
      <c r="F69" s="658"/>
      <c r="G69" s="278"/>
      <c r="H69" s="273">
        <v>74723</v>
      </c>
    </row>
    <row r="70" spans="2:8">
      <c r="B70" s="273" t="s">
        <v>15646</v>
      </c>
      <c r="C70" s="273" t="s">
        <v>15650</v>
      </c>
      <c r="D70" s="658">
        <v>6080</v>
      </c>
      <c r="E70" s="277"/>
      <c r="F70" s="658"/>
      <c r="G70" s="278"/>
      <c r="H70" s="273">
        <v>168062</v>
      </c>
    </row>
    <row r="71" spans="2:8">
      <c r="B71" s="273" t="s">
        <v>15697</v>
      </c>
      <c r="C71" s="273" t="s">
        <v>15698</v>
      </c>
      <c r="D71" s="658">
        <v>6080</v>
      </c>
      <c r="E71" s="277"/>
      <c r="F71" s="658"/>
      <c r="G71" s="278"/>
      <c r="H71" s="273">
        <v>13180</v>
      </c>
    </row>
    <row r="72" spans="2:8">
      <c r="B72" s="273" t="s">
        <v>15746</v>
      </c>
      <c r="C72" s="273" t="s">
        <v>15747</v>
      </c>
      <c r="D72" s="658">
        <v>6080</v>
      </c>
      <c r="E72" s="277"/>
      <c r="F72" s="658"/>
      <c r="G72" s="278"/>
      <c r="H72" s="273">
        <v>277878</v>
      </c>
    </row>
    <row r="73" spans="2:8">
      <c r="B73" s="273" t="s">
        <v>15795</v>
      </c>
      <c r="C73" s="273" t="s">
        <v>15796</v>
      </c>
      <c r="D73" s="658">
        <v>6080</v>
      </c>
      <c r="E73" s="277"/>
      <c r="F73" s="658"/>
      <c r="G73" s="278"/>
      <c r="H73" s="273">
        <v>174976</v>
      </c>
    </row>
    <row r="74" spans="2:8">
      <c r="B74" s="273" t="s">
        <v>15857</v>
      </c>
      <c r="C74" s="273" t="s">
        <v>15858</v>
      </c>
      <c r="D74" s="658">
        <v>6080</v>
      </c>
      <c r="E74" s="277"/>
      <c r="F74" s="658"/>
      <c r="G74" s="278"/>
      <c r="H74" s="273">
        <v>120971</v>
      </c>
    </row>
    <row r="75" spans="2:8">
      <c r="B75" s="273" t="s">
        <v>15277</v>
      </c>
      <c r="C75" s="273" t="s">
        <v>15278</v>
      </c>
      <c r="D75" s="658"/>
      <c r="E75" s="277"/>
      <c r="F75" s="658">
        <v>12600</v>
      </c>
      <c r="G75" s="278" t="s">
        <v>15279</v>
      </c>
      <c r="H75" s="273">
        <v>158506</v>
      </c>
    </row>
    <row r="76" spans="2:8">
      <c r="B76" s="273" t="s">
        <v>15265</v>
      </c>
      <c r="C76" s="273" t="s">
        <v>15294</v>
      </c>
      <c r="D76" s="658"/>
      <c r="E76" s="277"/>
      <c r="F76" s="658">
        <v>10800</v>
      </c>
      <c r="G76" s="278" t="s">
        <v>15295</v>
      </c>
      <c r="H76" s="273">
        <v>129891</v>
      </c>
    </row>
    <row r="77" spans="2:8">
      <c r="B77" s="273" t="s">
        <v>15265</v>
      </c>
      <c r="C77" s="273" t="s">
        <v>15296</v>
      </c>
      <c r="D77" s="658"/>
      <c r="E77" s="277"/>
      <c r="F77" s="658">
        <v>11340</v>
      </c>
      <c r="G77" s="278" t="s">
        <v>15297</v>
      </c>
      <c r="H77" s="273">
        <v>141231</v>
      </c>
    </row>
    <row r="78" spans="2:8">
      <c r="B78" s="273" t="s">
        <v>15302</v>
      </c>
      <c r="C78" s="273" t="s">
        <v>15303</v>
      </c>
      <c r="D78" s="658"/>
      <c r="E78" s="277"/>
      <c r="F78" s="658">
        <v>11970</v>
      </c>
      <c r="G78" s="278" t="s">
        <v>15304</v>
      </c>
      <c r="H78" s="273">
        <v>87054</v>
      </c>
    </row>
    <row r="79" spans="2:8">
      <c r="B79" s="273" t="s">
        <v>15302</v>
      </c>
      <c r="C79" s="273" t="s">
        <v>15305</v>
      </c>
      <c r="D79" s="658"/>
      <c r="E79" s="277"/>
      <c r="F79" s="658">
        <v>14175</v>
      </c>
      <c r="G79" s="278" t="s">
        <v>9020</v>
      </c>
      <c r="H79" s="273">
        <v>101229</v>
      </c>
    </row>
    <row r="80" spans="2:8">
      <c r="B80" s="273" t="s">
        <v>15311</v>
      </c>
      <c r="C80" s="273" t="s">
        <v>15312</v>
      </c>
      <c r="D80" s="658"/>
      <c r="E80" s="277"/>
      <c r="F80" s="658">
        <v>11340</v>
      </c>
      <c r="G80" s="278" t="s">
        <v>15313</v>
      </c>
      <c r="H80" s="273">
        <v>124441</v>
      </c>
    </row>
    <row r="81" spans="2:8">
      <c r="B81" s="273" t="s">
        <v>15317</v>
      </c>
      <c r="C81" s="273" t="s">
        <v>15318</v>
      </c>
      <c r="D81" s="658"/>
      <c r="E81" s="277"/>
      <c r="F81" s="658">
        <v>14175</v>
      </c>
      <c r="G81" s="278" t="s">
        <v>15319</v>
      </c>
      <c r="H81" s="273">
        <v>70411</v>
      </c>
    </row>
    <row r="82" spans="2:8">
      <c r="B82" s="273" t="s">
        <v>15335</v>
      </c>
      <c r="C82" s="273" t="s">
        <v>15336</v>
      </c>
      <c r="D82" s="658"/>
      <c r="E82" s="277"/>
      <c r="F82" s="658">
        <v>20475</v>
      </c>
      <c r="G82" s="278" t="s">
        <v>15337</v>
      </c>
      <c r="H82" s="273">
        <v>27652</v>
      </c>
    </row>
    <row r="83" spans="2:8">
      <c r="B83" s="273" t="s">
        <v>15341</v>
      </c>
      <c r="C83" s="273" t="s">
        <v>15342</v>
      </c>
      <c r="D83" s="658"/>
      <c r="E83" s="277"/>
      <c r="F83" s="658">
        <v>20475</v>
      </c>
      <c r="G83" s="278" t="s">
        <v>15343</v>
      </c>
      <c r="H83" s="273">
        <v>40323</v>
      </c>
    </row>
    <row r="84" spans="2:8">
      <c r="B84" s="273" t="s">
        <v>15348</v>
      </c>
      <c r="C84" s="273" t="s">
        <v>15349</v>
      </c>
      <c r="D84" s="658"/>
      <c r="E84" s="277"/>
      <c r="F84" s="658">
        <v>20475</v>
      </c>
      <c r="G84" s="278" t="s">
        <v>15350</v>
      </c>
      <c r="H84" s="273">
        <v>43683</v>
      </c>
    </row>
    <row r="85" spans="2:8">
      <c r="B85" s="273" t="s">
        <v>15351</v>
      </c>
      <c r="C85" s="273" t="s">
        <v>15352</v>
      </c>
      <c r="D85" s="658"/>
      <c r="E85" s="277"/>
      <c r="F85" s="658">
        <v>20475</v>
      </c>
      <c r="G85" s="278" t="s">
        <v>15353</v>
      </c>
      <c r="H85" s="273">
        <v>64158</v>
      </c>
    </row>
    <row r="86" spans="2:8">
      <c r="B86" s="273" t="s">
        <v>15351</v>
      </c>
      <c r="C86" s="273" t="s">
        <v>15354</v>
      </c>
      <c r="D86" s="658"/>
      <c r="E86" s="277"/>
      <c r="F86" s="658">
        <v>20475</v>
      </c>
      <c r="G86" s="278" t="s">
        <v>15355</v>
      </c>
      <c r="H86" s="273">
        <v>84633</v>
      </c>
    </row>
    <row r="87" spans="2:8">
      <c r="B87" s="273" t="s">
        <v>15356</v>
      </c>
      <c r="C87" s="273" t="s">
        <v>15357</v>
      </c>
      <c r="D87" s="658"/>
      <c r="E87" s="277"/>
      <c r="F87" s="658">
        <v>16380</v>
      </c>
      <c r="G87" s="278" t="s">
        <v>15358</v>
      </c>
      <c r="H87" s="273">
        <v>101013</v>
      </c>
    </row>
    <row r="88" spans="2:8">
      <c r="B88" s="273" t="s">
        <v>15367</v>
      </c>
      <c r="C88" s="273" t="s">
        <v>15368</v>
      </c>
      <c r="D88" s="658"/>
      <c r="E88" s="277"/>
      <c r="F88" s="658">
        <v>14175</v>
      </c>
      <c r="G88" s="278" t="s">
        <v>9062</v>
      </c>
      <c r="H88" s="273">
        <v>108760</v>
      </c>
    </row>
    <row r="89" spans="2:8">
      <c r="B89" s="273" t="s">
        <v>15367</v>
      </c>
      <c r="C89" s="273" t="s">
        <v>15369</v>
      </c>
      <c r="D89" s="658"/>
      <c r="E89" s="277"/>
      <c r="F89" s="658">
        <v>14175</v>
      </c>
      <c r="G89" s="278" t="s">
        <v>15373</v>
      </c>
      <c r="H89" s="273">
        <v>122935</v>
      </c>
    </row>
    <row r="90" spans="2:8">
      <c r="B90" s="273" t="s">
        <v>15367</v>
      </c>
      <c r="C90" s="273" t="s">
        <v>15370</v>
      </c>
      <c r="D90" s="658"/>
      <c r="E90" s="277"/>
      <c r="F90" s="658">
        <v>13500</v>
      </c>
      <c r="G90" s="278" t="s">
        <v>15374</v>
      </c>
      <c r="H90" s="273">
        <v>136435</v>
      </c>
    </row>
    <row r="91" spans="2:8">
      <c r="B91" s="273" t="s">
        <v>15367</v>
      </c>
      <c r="C91" s="273" t="s">
        <v>15371</v>
      </c>
      <c r="D91" s="658"/>
      <c r="E91" s="277"/>
      <c r="F91" s="658">
        <v>14175</v>
      </c>
      <c r="G91" s="278" t="s">
        <v>15375</v>
      </c>
      <c r="H91" s="273">
        <v>150610</v>
      </c>
    </row>
    <row r="92" spans="2:8">
      <c r="B92" s="273" t="s">
        <v>15367</v>
      </c>
      <c r="C92" s="273" t="s">
        <v>15372</v>
      </c>
      <c r="D92" s="658"/>
      <c r="E92" s="277"/>
      <c r="F92" s="658">
        <v>12600</v>
      </c>
      <c r="G92" s="278" t="s">
        <v>15376</v>
      </c>
      <c r="H92" s="273">
        <v>163210</v>
      </c>
    </row>
    <row r="93" spans="2:8">
      <c r="B93" s="273" t="s">
        <v>15386</v>
      </c>
      <c r="C93" s="273" t="s">
        <v>15387</v>
      </c>
      <c r="D93" s="658"/>
      <c r="E93" s="277"/>
      <c r="F93" s="658">
        <v>12600</v>
      </c>
      <c r="G93" s="278" t="s">
        <v>15389</v>
      </c>
      <c r="H93" s="273">
        <v>86857</v>
      </c>
    </row>
    <row r="94" spans="2:8">
      <c r="B94" s="273" t="s">
        <v>15386</v>
      </c>
      <c r="C94" s="273" t="s">
        <v>15388</v>
      </c>
      <c r="D94" s="658"/>
      <c r="E94" s="277"/>
      <c r="F94" s="658">
        <v>17325</v>
      </c>
      <c r="G94" s="278" t="s">
        <v>15389</v>
      </c>
      <c r="H94" s="273">
        <v>104182</v>
      </c>
    </row>
    <row r="95" spans="2:8">
      <c r="B95" s="273" t="s">
        <v>15397</v>
      </c>
      <c r="C95" s="273" t="s">
        <v>15398</v>
      </c>
      <c r="D95" s="658"/>
      <c r="E95" s="277"/>
      <c r="F95" s="658">
        <v>14175</v>
      </c>
      <c r="G95" s="278" t="s">
        <v>15399</v>
      </c>
      <c r="H95" s="273">
        <v>23912</v>
      </c>
    </row>
    <row r="96" spans="2:8">
      <c r="B96" s="273" t="s">
        <v>15405</v>
      </c>
      <c r="C96" s="273" t="s">
        <v>15406</v>
      </c>
      <c r="D96" s="658"/>
      <c r="E96" s="277"/>
      <c r="F96" s="658">
        <v>14175</v>
      </c>
      <c r="G96" s="278" t="s">
        <v>9141</v>
      </c>
      <c r="H96" s="273">
        <v>25821</v>
      </c>
    </row>
    <row r="97" spans="2:8">
      <c r="B97" s="273" t="s">
        <v>15419</v>
      </c>
      <c r="C97" s="273" t="s">
        <v>15421</v>
      </c>
      <c r="D97" s="658"/>
      <c r="E97" s="277"/>
      <c r="F97" s="658">
        <v>13230</v>
      </c>
      <c r="G97" s="278" t="s">
        <v>9042</v>
      </c>
      <c r="H97" s="273">
        <v>36854</v>
      </c>
    </row>
    <row r="98" spans="2:8">
      <c r="B98" s="273" t="s">
        <v>15420</v>
      </c>
      <c r="C98" s="273" t="s">
        <v>15422</v>
      </c>
      <c r="D98" s="658"/>
      <c r="E98" s="277"/>
      <c r="F98" s="658">
        <v>11970</v>
      </c>
      <c r="G98" s="278" t="s">
        <v>15428</v>
      </c>
      <c r="H98" s="273">
        <v>48824</v>
      </c>
    </row>
    <row r="99" spans="2:8">
      <c r="B99" s="273" t="s">
        <v>15420</v>
      </c>
      <c r="C99" s="273" t="s">
        <v>15423</v>
      </c>
      <c r="D99" s="658"/>
      <c r="E99" s="277"/>
      <c r="F99" s="658">
        <v>11400</v>
      </c>
      <c r="G99" s="278" t="s">
        <v>15429</v>
      </c>
      <c r="H99" s="273">
        <v>60224</v>
      </c>
    </row>
    <row r="100" spans="2:8">
      <c r="B100" s="273" t="s">
        <v>15420</v>
      </c>
      <c r="C100" s="273" t="s">
        <v>15424</v>
      </c>
      <c r="D100" s="658"/>
      <c r="E100" s="277"/>
      <c r="F100" s="658">
        <v>13230</v>
      </c>
      <c r="G100" s="278" t="s">
        <v>15430</v>
      </c>
      <c r="H100" s="273">
        <v>73454</v>
      </c>
    </row>
    <row r="101" spans="2:8">
      <c r="B101" s="273" t="s">
        <v>15420</v>
      </c>
      <c r="C101" s="273" t="s">
        <v>15425</v>
      </c>
      <c r="D101" s="658"/>
      <c r="E101" s="277"/>
      <c r="F101" s="658">
        <v>14175</v>
      </c>
      <c r="G101" s="278" t="s">
        <v>15431</v>
      </c>
      <c r="H101" s="273">
        <v>87629</v>
      </c>
    </row>
    <row r="102" spans="2:8">
      <c r="B102" s="273" t="s">
        <v>15420</v>
      </c>
      <c r="C102" s="273" t="s">
        <v>15426</v>
      </c>
      <c r="D102" s="658"/>
      <c r="E102" s="277"/>
      <c r="F102" s="658">
        <v>12600</v>
      </c>
      <c r="G102" s="278" t="s">
        <v>15432</v>
      </c>
      <c r="H102" s="273">
        <v>100229</v>
      </c>
    </row>
    <row r="103" spans="2:8">
      <c r="B103" s="273" t="s">
        <v>15420</v>
      </c>
      <c r="C103" s="273" t="s">
        <v>15427</v>
      </c>
      <c r="D103" s="658"/>
      <c r="E103" s="277"/>
      <c r="F103" s="658">
        <v>11340</v>
      </c>
      <c r="G103" s="278" t="s">
        <v>15433</v>
      </c>
      <c r="H103" s="273">
        <v>111569</v>
      </c>
    </row>
    <row r="104" spans="2:8">
      <c r="B104" s="273" t="s">
        <v>15440</v>
      </c>
      <c r="C104" s="273" t="s">
        <v>15441</v>
      </c>
      <c r="D104" s="658"/>
      <c r="E104" s="277"/>
      <c r="F104" s="658">
        <v>10800</v>
      </c>
      <c r="G104" s="278" t="s">
        <v>15442</v>
      </c>
      <c r="H104" s="273">
        <v>87144</v>
      </c>
    </row>
    <row r="105" spans="2:8">
      <c r="B105" s="273" t="s">
        <v>15447</v>
      </c>
      <c r="C105" s="273" t="s">
        <v>15448</v>
      </c>
      <c r="D105" s="658"/>
      <c r="E105" s="277"/>
      <c r="F105" s="658">
        <v>14175</v>
      </c>
      <c r="G105" s="278" t="s">
        <v>15450</v>
      </c>
      <c r="H105" s="273">
        <v>28464</v>
      </c>
    </row>
    <row r="106" spans="2:8">
      <c r="B106" s="273" t="s">
        <v>15447</v>
      </c>
      <c r="C106" s="273" t="s">
        <v>15449</v>
      </c>
      <c r="D106" s="658"/>
      <c r="E106" s="277"/>
      <c r="F106" s="658">
        <v>11970</v>
      </c>
      <c r="G106" s="278" t="s">
        <v>15451</v>
      </c>
      <c r="H106" s="273">
        <v>40434</v>
      </c>
    </row>
    <row r="107" spans="2:8">
      <c r="B107" s="273" t="s">
        <v>15457</v>
      </c>
      <c r="C107" s="273" t="s">
        <v>15458</v>
      </c>
      <c r="D107" s="658"/>
      <c r="E107" s="277"/>
      <c r="F107" s="658">
        <v>11340</v>
      </c>
      <c r="G107" s="278" t="s">
        <v>15459</v>
      </c>
      <c r="H107" s="273">
        <v>39669</v>
      </c>
    </row>
    <row r="108" spans="2:8">
      <c r="B108" s="273" t="s">
        <v>15477</v>
      </c>
      <c r="C108" s="273" t="s">
        <v>15478</v>
      </c>
      <c r="D108" s="658"/>
      <c r="E108" s="277"/>
      <c r="F108" s="658">
        <v>14175</v>
      </c>
      <c r="G108" s="278" t="s">
        <v>15479</v>
      </c>
      <c r="H108" s="273">
        <v>29198</v>
      </c>
    </row>
    <row r="109" spans="2:8">
      <c r="B109" s="273" t="s">
        <v>15487</v>
      </c>
      <c r="C109" s="273" t="s">
        <v>15488</v>
      </c>
      <c r="D109" s="658"/>
      <c r="E109" s="277"/>
      <c r="F109" s="658">
        <v>20475</v>
      </c>
      <c r="G109" s="278" t="s">
        <v>15489</v>
      </c>
      <c r="H109" s="273">
        <v>27662</v>
      </c>
    </row>
    <row r="110" spans="2:8">
      <c r="B110" s="273" t="s">
        <v>15492</v>
      </c>
      <c r="C110" s="273" t="s">
        <v>15493</v>
      </c>
      <c r="D110" s="658"/>
      <c r="E110" s="277"/>
      <c r="F110" s="658">
        <v>20475</v>
      </c>
      <c r="G110" s="278" t="s">
        <v>15499</v>
      </c>
      <c r="H110" s="273">
        <v>42057</v>
      </c>
    </row>
    <row r="111" spans="2:8">
      <c r="B111" s="273" t="s">
        <v>15492</v>
      </c>
      <c r="C111" s="273" t="s">
        <v>15494</v>
      </c>
      <c r="D111" s="658"/>
      <c r="E111" s="277"/>
      <c r="F111" s="658">
        <v>17325</v>
      </c>
      <c r="G111" s="278" t="s">
        <v>15500</v>
      </c>
      <c r="H111" s="273">
        <v>59382</v>
      </c>
    </row>
    <row r="112" spans="2:8">
      <c r="B112" s="273" t="s">
        <v>15492</v>
      </c>
      <c r="C112" s="273" t="s">
        <v>15495</v>
      </c>
      <c r="D112" s="658"/>
      <c r="E112" s="277"/>
      <c r="F112" s="658">
        <v>16380</v>
      </c>
      <c r="G112" s="278" t="s">
        <v>15501</v>
      </c>
      <c r="H112" s="273">
        <v>75762</v>
      </c>
    </row>
    <row r="113" spans="2:8">
      <c r="B113" s="273" t="s">
        <v>15492</v>
      </c>
      <c r="C113" s="273" t="s">
        <v>15496</v>
      </c>
      <c r="D113" s="658"/>
      <c r="E113" s="277"/>
      <c r="F113" s="658">
        <v>20475</v>
      </c>
      <c r="G113" s="278" t="s">
        <v>9240</v>
      </c>
      <c r="H113" s="273">
        <v>96237</v>
      </c>
    </row>
    <row r="114" spans="2:8">
      <c r="B114" s="273" t="s">
        <v>15492</v>
      </c>
      <c r="C114" s="273" t="s">
        <v>15497</v>
      </c>
      <c r="D114" s="658"/>
      <c r="E114" s="277"/>
      <c r="F114" s="658">
        <v>20475</v>
      </c>
      <c r="G114" s="278" t="s">
        <v>15501</v>
      </c>
      <c r="H114" s="273">
        <v>116712</v>
      </c>
    </row>
    <row r="115" spans="2:8">
      <c r="B115" s="273" t="s">
        <v>15492</v>
      </c>
      <c r="C115" s="273" t="s">
        <v>15498</v>
      </c>
      <c r="D115" s="658"/>
      <c r="E115" s="277"/>
      <c r="F115" s="658">
        <v>20475</v>
      </c>
      <c r="G115" s="278" t="s">
        <v>9217</v>
      </c>
      <c r="H115" s="273">
        <v>137187</v>
      </c>
    </row>
    <row r="116" spans="2:8">
      <c r="B116" s="273" t="s">
        <v>15513</v>
      </c>
      <c r="C116" s="273" t="s">
        <v>15515</v>
      </c>
      <c r="D116" s="658"/>
      <c r="E116" s="277"/>
      <c r="F116" s="658">
        <v>14175</v>
      </c>
      <c r="G116" s="278" t="s">
        <v>15521</v>
      </c>
      <c r="H116" s="273">
        <v>115644</v>
      </c>
    </row>
    <row r="117" spans="2:8">
      <c r="B117" s="273" t="s">
        <v>15513</v>
      </c>
      <c r="C117" s="273" t="s">
        <v>15516</v>
      </c>
      <c r="D117" s="658"/>
      <c r="E117" s="277"/>
      <c r="F117" s="658">
        <v>5670</v>
      </c>
      <c r="G117" s="278" t="s">
        <v>15522</v>
      </c>
      <c r="H117" s="273">
        <v>121314</v>
      </c>
    </row>
    <row r="118" spans="2:8">
      <c r="B118" s="273" t="s">
        <v>15514</v>
      </c>
      <c r="C118" s="273" t="s">
        <v>15517</v>
      </c>
      <c r="D118" s="658"/>
      <c r="E118" s="277"/>
      <c r="F118" s="658">
        <v>14175</v>
      </c>
      <c r="G118" s="278" t="s">
        <v>9104</v>
      </c>
      <c r="H118" s="273">
        <v>135489</v>
      </c>
    </row>
    <row r="119" spans="2:8">
      <c r="B119" s="273" t="s">
        <v>15514</v>
      </c>
      <c r="C119" s="273" t="s">
        <v>15518</v>
      </c>
      <c r="D119" s="658"/>
      <c r="E119" s="277"/>
      <c r="F119" s="658">
        <v>14175</v>
      </c>
      <c r="G119" s="278" t="s">
        <v>15523</v>
      </c>
      <c r="H119" s="273">
        <v>149664</v>
      </c>
    </row>
    <row r="120" spans="2:8">
      <c r="B120" s="273" t="s">
        <v>15514</v>
      </c>
      <c r="C120" s="273" t="s">
        <v>15519</v>
      </c>
      <c r="D120" s="658"/>
      <c r="E120" s="277"/>
      <c r="F120" s="658">
        <v>13500</v>
      </c>
      <c r="G120" s="278" t="s">
        <v>15524</v>
      </c>
      <c r="H120" s="273">
        <v>163164</v>
      </c>
    </row>
    <row r="121" spans="2:8">
      <c r="B121" s="273" t="s">
        <v>15514</v>
      </c>
      <c r="C121" s="273" t="s">
        <v>15520</v>
      </c>
      <c r="D121" s="658"/>
      <c r="E121" s="277"/>
      <c r="F121" s="658">
        <v>12600</v>
      </c>
      <c r="G121" s="278" t="s">
        <v>15525</v>
      </c>
      <c r="H121" s="273">
        <v>175764</v>
      </c>
    </row>
    <row r="122" spans="2:8">
      <c r="B122" s="273" t="s">
        <v>15539</v>
      </c>
      <c r="C122" s="273" t="s">
        <v>15540</v>
      </c>
      <c r="D122" s="658"/>
      <c r="E122" s="277"/>
      <c r="F122" s="658">
        <v>17325</v>
      </c>
      <c r="G122" s="278" t="s">
        <v>15066</v>
      </c>
      <c r="H122" s="273">
        <v>265864</v>
      </c>
    </row>
    <row r="123" spans="2:8">
      <c r="B123" s="273" t="s">
        <v>15539</v>
      </c>
      <c r="C123" s="273" t="s">
        <v>15541</v>
      </c>
      <c r="D123" s="658"/>
      <c r="E123" s="277"/>
      <c r="F123" s="658">
        <v>12600</v>
      </c>
      <c r="G123" s="278" t="s">
        <v>15066</v>
      </c>
      <c r="H123" s="273">
        <v>278464</v>
      </c>
    </row>
    <row r="124" spans="2:8">
      <c r="B124" s="273" t="s">
        <v>15552</v>
      </c>
      <c r="C124" s="273" t="s">
        <v>15553</v>
      </c>
      <c r="D124" s="658"/>
      <c r="E124" s="277"/>
      <c r="F124" s="658">
        <v>14175</v>
      </c>
      <c r="G124" s="278" t="s">
        <v>15554</v>
      </c>
      <c r="H124" s="273">
        <v>71832</v>
      </c>
    </row>
    <row r="125" spans="2:8">
      <c r="B125" s="273" t="s">
        <v>15561</v>
      </c>
      <c r="C125" s="273" t="s">
        <v>15562</v>
      </c>
      <c r="D125" s="658"/>
      <c r="E125" s="277"/>
      <c r="F125" s="658">
        <v>12000</v>
      </c>
      <c r="G125" s="278" t="s">
        <v>15563</v>
      </c>
      <c r="H125" s="273">
        <v>28052</v>
      </c>
    </row>
    <row r="126" spans="2:8">
      <c r="B126" s="273" t="s">
        <v>15564</v>
      </c>
      <c r="C126" s="273" t="s">
        <v>15565</v>
      </c>
      <c r="D126" s="658"/>
      <c r="E126" s="277"/>
      <c r="F126" s="658">
        <v>14175</v>
      </c>
      <c r="G126" s="278" t="s">
        <v>15566</v>
      </c>
      <c r="H126" s="273">
        <v>42244</v>
      </c>
    </row>
    <row r="127" spans="2:8">
      <c r="B127" s="273" t="s">
        <v>15568</v>
      </c>
      <c r="C127" s="273" t="s">
        <v>15569</v>
      </c>
      <c r="D127" s="658"/>
      <c r="E127" s="277"/>
      <c r="F127" s="658">
        <v>11970</v>
      </c>
      <c r="G127" s="278" t="s">
        <v>9301</v>
      </c>
      <c r="H127" s="273">
        <v>68379</v>
      </c>
    </row>
    <row r="128" spans="2:8">
      <c r="B128" s="273" t="s">
        <v>15568</v>
      </c>
      <c r="C128" s="273" t="s">
        <v>15570</v>
      </c>
      <c r="D128" s="658"/>
      <c r="E128" s="277"/>
      <c r="F128" s="658">
        <v>13230</v>
      </c>
      <c r="G128" s="278" t="s">
        <v>9253</v>
      </c>
      <c r="H128" s="273">
        <v>81609</v>
      </c>
    </row>
    <row r="129" spans="2:8">
      <c r="B129" s="273" t="s">
        <v>15568</v>
      </c>
      <c r="C129" s="273" t="s">
        <v>15571</v>
      </c>
      <c r="D129" s="658"/>
      <c r="E129" s="277"/>
      <c r="F129" s="658">
        <v>11400</v>
      </c>
      <c r="G129" s="278" t="s">
        <v>9103</v>
      </c>
      <c r="H129" s="273">
        <v>93009</v>
      </c>
    </row>
    <row r="130" spans="2:8">
      <c r="B130" s="273" t="s">
        <v>15568</v>
      </c>
      <c r="C130" s="273" t="s">
        <v>15572</v>
      </c>
      <c r="D130" s="658"/>
      <c r="E130" s="277"/>
      <c r="F130" s="658">
        <v>13230</v>
      </c>
      <c r="G130" s="278" t="s">
        <v>15573</v>
      </c>
      <c r="H130" s="273">
        <v>106239</v>
      </c>
    </row>
    <row r="131" spans="2:8">
      <c r="B131" s="273" t="s">
        <v>15580</v>
      </c>
      <c r="C131" s="273" t="s">
        <v>15581</v>
      </c>
      <c r="D131" s="658"/>
      <c r="E131" s="277"/>
      <c r="F131" s="658">
        <v>14175</v>
      </c>
      <c r="G131" s="278" t="s">
        <v>15584</v>
      </c>
      <c r="H131" s="273">
        <v>113989</v>
      </c>
    </row>
    <row r="132" spans="2:8">
      <c r="B132" s="273" t="s">
        <v>15580</v>
      </c>
      <c r="C132" s="273" t="s">
        <v>15582</v>
      </c>
      <c r="D132" s="658"/>
      <c r="E132" s="277"/>
      <c r="F132" s="658">
        <v>11340</v>
      </c>
      <c r="G132" s="278" t="s">
        <v>15585</v>
      </c>
      <c r="H132" s="273">
        <v>125329</v>
      </c>
    </row>
    <row r="133" spans="2:8">
      <c r="B133" s="273" t="s">
        <v>15580</v>
      </c>
      <c r="C133" s="273" t="s">
        <v>15583</v>
      </c>
      <c r="D133" s="658"/>
      <c r="E133" s="277"/>
      <c r="F133" s="658">
        <v>14175</v>
      </c>
      <c r="G133" s="278" t="s">
        <v>9317</v>
      </c>
      <c r="H133" s="273">
        <v>139504</v>
      </c>
    </row>
    <row r="134" spans="2:8">
      <c r="B134" s="273" t="s">
        <v>15590</v>
      </c>
      <c r="C134" s="273" t="s">
        <v>15591</v>
      </c>
      <c r="D134" s="658"/>
      <c r="E134" s="277"/>
      <c r="F134" s="658">
        <v>10800</v>
      </c>
      <c r="G134" s="278" t="s">
        <v>15592</v>
      </c>
      <c r="H134" s="273">
        <v>115079</v>
      </c>
    </row>
    <row r="135" spans="2:8" s="562" customFormat="1">
      <c r="B135" s="823" t="s">
        <v>15600</v>
      </c>
      <c r="C135" s="823" t="s">
        <v>15601</v>
      </c>
      <c r="D135" s="822"/>
      <c r="E135" s="824"/>
      <c r="F135" s="822">
        <v>11970</v>
      </c>
      <c r="G135" s="825" t="s">
        <v>9127</v>
      </c>
      <c r="H135" s="823">
        <v>32981</v>
      </c>
    </row>
    <row r="136" spans="2:8">
      <c r="B136" s="273" t="s">
        <v>15602</v>
      </c>
      <c r="C136" s="273" t="s">
        <v>15603</v>
      </c>
      <c r="D136" s="658"/>
      <c r="E136" s="277"/>
      <c r="F136" s="658">
        <v>14175</v>
      </c>
      <c r="G136" s="278" t="s">
        <v>15605</v>
      </c>
      <c r="H136" s="273">
        <v>47156</v>
      </c>
    </row>
    <row r="137" spans="2:8">
      <c r="B137" s="273" t="s">
        <v>15602</v>
      </c>
      <c r="C137" s="273" t="s">
        <v>15604</v>
      </c>
      <c r="D137" s="658"/>
      <c r="E137" s="277"/>
      <c r="F137" s="658">
        <v>11340</v>
      </c>
      <c r="G137" s="278" t="s">
        <v>15606</v>
      </c>
      <c r="H137" s="273">
        <v>80803</v>
      </c>
    </row>
    <row r="138" spans="2:8">
      <c r="B138" s="273" t="s">
        <v>15622</v>
      </c>
      <c r="C138" s="273" t="s">
        <v>15623</v>
      </c>
      <c r="D138" s="658"/>
      <c r="E138" s="277"/>
      <c r="F138" s="658">
        <v>14175</v>
      </c>
      <c r="G138" s="278" t="s">
        <v>15624</v>
      </c>
      <c r="H138" s="273">
        <v>39429</v>
      </c>
    </row>
    <row r="139" spans="2:8">
      <c r="B139" s="273" t="s">
        <v>15630</v>
      </c>
      <c r="C139" s="273" t="s">
        <v>15631</v>
      </c>
      <c r="D139" s="658"/>
      <c r="E139" s="277"/>
      <c r="F139" s="658">
        <v>17325</v>
      </c>
      <c r="G139" s="278" t="s">
        <v>15633</v>
      </c>
      <c r="H139" s="273">
        <v>21529</v>
      </c>
    </row>
    <row r="140" spans="2:8">
      <c r="B140" s="273" t="s">
        <v>15630</v>
      </c>
      <c r="C140" s="273" t="s">
        <v>15632</v>
      </c>
      <c r="D140" s="658"/>
      <c r="E140" s="277"/>
      <c r="F140" s="658">
        <v>12600</v>
      </c>
      <c r="G140" s="278" t="s">
        <v>15634</v>
      </c>
      <c r="H140" s="273">
        <v>34129</v>
      </c>
    </row>
    <row r="141" spans="2:8">
      <c r="B141" s="273" t="s">
        <v>15640</v>
      </c>
      <c r="C141" s="273" t="s">
        <v>15641</v>
      </c>
      <c r="D141" s="658"/>
      <c r="E141" s="277"/>
      <c r="F141" s="658">
        <v>20475</v>
      </c>
      <c r="G141" s="278" t="s">
        <v>9417</v>
      </c>
      <c r="H141" s="273">
        <v>29439</v>
      </c>
    </row>
    <row r="142" spans="2:8">
      <c r="B142" s="273" t="s">
        <v>15640</v>
      </c>
      <c r="C142" s="273" t="s">
        <v>15642</v>
      </c>
      <c r="D142" s="658"/>
      <c r="E142" s="277"/>
      <c r="F142" s="658">
        <v>120000</v>
      </c>
      <c r="G142" s="278" t="s">
        <v>15643</v>
      </c>
      <c r="H142" s="273">
        <v>149439</v>
      </c>
    </row>
    <row r="143" spans="2:8">
      <c r="B143" s="273" t="s">
        <v>15646</v>
      </c>
      <c r="C143" s="273" t="s">
        <v>15647</v>
      </c>
      <c r="D143" s="658"/>
      <c r="E143" s="277"/>
      <c r="F143" s="658">
        <v>14175</v>
      </c>
      <c r="G143" s="278" t="s">
        <v>15649</v>
      </c>
      <c r="H143" s="273">
        <v>161542</v>
      </c>
    </row>
    <row r="144" spans="2:8">
      <c r="B144" s="273" t="s">
        <v>15646</v>
      </c>
      <c r="C144" s="273" t="s">
        <v>15648</v>
      </c>
      <c r="D144" s="658"/>
      <c r="E144" s="277"/>
      <c r="F144" s="658">
        <v>12600</v>
      </c>
      <c r="G144" s="278" t="s">
        <v>9359</v>
      </c>
      <c r="H144" s="273">
        <v>174142</v>
      </c>
    </row>
    <row r="145" spans="2:8">
      <c r="B145" s="273" t="s">
        <v>15651</v>
      </c>
      <c r="C145" s="273" t="s">
        <v>15652</v>
      </c>
      <c r="D145" s="658"/>
      <c r="E145" s="277"/>
      <c r="F145" s="658">
        <v>20475</v>
      </c>
      <c r="G145" s="278" t="s">
        <v>9360</v>
      </c>
      <c r="H145" s="273">
        <v>188537</v>
      </c>
    </row>
    <row r="146" spans="2:8">
      <c r="B146" s="273" t="s">
        <v>15651</v>
      </c>
      <c r="C146" s="273" t="s">
        <v>15653</v>
      </c>
      <c r="D146" s="658"/>
      <c r="E146" s="277"/>
      <c r="F146" s="658">
        <v>17325</v>
      </c>
      <c r="G146" s="278" t="s">
        <v>15654</v>
      </c>
      <c r="H146" s="273">
        <v>205862</v>
      </c>
    </row>
    <row r="147" spans="2:8">
      <c r="B147" s="273" t="s">
        <v>15656</v>
      </c>
      <c r="C147" s="273" t="s">
        <v>15657</v>
      </c>
      <c r="D147" s="658"/>
      <c r="E147" s="277"/>
      <c r="F147" s="658">
        <v>20475</v>
      </c>
      <c r="G147" s="278" t="s">
        <v>9378</v>
      </c>
      <c r="H147" s="273">
        <v>240502</v>
      </c>
    </row>
    <row r="148" spans="2:8">
      <c r="B148" s="273" t="s">
        <v>15656</v>
      </c>
      <c r="C148" s="273" t="s">
        <v>15658</v>
      </c>
      <c r="D148" s="658"/>
      <c r="E148" s="277"/>
      <c r="F148" s="658">
        <v>20475</v>
      </c>
      <c r="G148" s="278" t="s">
        <v>15661</v>
      </c>
      <c r="H148" s="273">
        <v>260977</v>
      </c>
    </row>
    <row r="149" spans="2:8">
      <c r="B149" s="273" t="s">
        <v>15656</v>
      </c>
      <c r="C149" s="273" t="s">
        <v>15659</v>
      </c>
      <c r="D149" s="658"/>
      <c r="E149" s="277"/>
      <c r="F149" s="658">
        <v>20475</v>
      </c>
      <c r="G149" s="278" t="s">
        <v>15662</v>
      </c>
      <c r="H149" s="273">
        <v>281452</v>
      </c>
    </row>
    <row r="150" spans="2:8">
      <c r="B150" s="273" t="s">
        <v>15656</v>
      </c>
      <c r="C150" s="273" t="s">
        <v>15660</v>
      </c>
      <c r="D150" s="658"/>
      <c r="E150" s="277"/>
      <c r="F150" s="658">
        <v>16380</v>
      </c>
      <c r="G150" s="278" t="s">
        <v>15663</v>
      </c>
      <c r="H150" s="273">
        <v>297832</v>
      </c>
    </row>
    <row r="151" spans="2:8">
      <c r="B151" s="273" t="s">
        <v>15670</v>
      </c>
      <c r="C151" s="273" t="s">
        <v>15671</v>
      </c>
      <c r="D151" s="658"/>
      <c r="E151" s="277"/>
      <c r="F151" s="658">
        <v>14175</v>
      </c>
      <c r="G151" s="278" t="s">
        <v>15676</v>
      </c>
      <c r="H151" s="273">
        <v>252721</v>
      </c>
    </row>
    <row r="152" spans="2:8">
      <c r="B152" s="273" t="s">
        <v>15670</v>
      </c>
      <c r="C152" s="273" t="s">
        <v>15672</v>
      </c>
      <c r="D152" s="658"/>
      <c r="E152" s="277"/>
      <c r="F152" s="658">
        <v>14175</v>
      </c>
      <c r="G152" s="278" t="s">
        <v>15677</v>
      </c>
      <c r="H152" s="273">
        <v>266896</v>
      </c>
    </row>
    <row r="153" spans="2:8">
      <c r="B153" s="273" t="s">
        <v>15670</v>
      </c>
      <c r="C153" s="273" t="s">
        <v>15673</v>
      </c>
      <c r="D153" s="658"/>
      <c r="E153" s="277"/>
      <c r="F153" s="658">
        <v>13500</v>
      </c>
      <c r="G153" s="278" t="s">
        <v>9254</v>
      </c>
      <c r="H153" s="273">
        <v>280396</v>
      </c>
    </row>
    <row r="154" spans="2:8">
      <c r="B154" s="273" t="s">
        <v>15675</v>
      </c>
      <c r="C154" s="273" t="s">
        <v>15674</v>
      </c>
      <c r="D154" s="658"/>
      <c r="E154" s="277"/>
      <c r="F154" s="658">
        <v>12600</v>
      </c>
      <c r="G154" s="278" t="s">
        <v>15678</v>
      </c>
      <c r="H154" s="273">
        <v>292996</v>
      </c>
    </row>
    <row r="155" spans="2:8">
      <c r="B155" s="273" t="s">
        <v>15682</v>
      </c>
      <c r="C155" s="273" t="s">
        <v>15683</v>
      </c>
      <c r="D155" s="658"/>
      <c r="E155" s="277"/>
      <c r="F155" s="658">
        <v>3360</v>
      </c>
      <c r="G155" s="278" t="s">
        <v>15684</v>
      </c>
      <c r="H155" s="273">
        <v>261131</v>
      </c>
    </row>
    <row r="156" spans="2:8">
      <c r="B156" s="273" t="s">
        <v>15695</v>
      </c>
      <c r="C156" s="273" t="s">
        <v>15696</v>
      </c>
      <c r="D156" s="658"/>
      <c r="E156" s="277"/>
      <c r="F156" s="658">
        <v>14175</v>
      </c>
      <c r="G156" s="278" t="s">
        <v>9279</v>
      </c>
      <c r="H156" s="273">
        <v>14850</v>
      </c>
    </row>
    <row r="157" spans="2:8">
      <c r="B157" s="273" t="s">
        <v>15699</v>
      </c>
      <c r="C157" s="273" t="s">
        <v>15701</v>
      </c>
      <c r="D157" s="658"/>
      <c r="E157" s="277"/>
      <c r="F157" s="658">
        <v>3360</v>
      </c>
      <c r="G157" s="278" t="s">
        <v>15704</v>
      </c>
      <c r="H157" s="273">
        <v>16540</v>
      </c>
    </row>
    <row r="158" spans="2:8">
      <c r="B158" s="273" t="s">
        <v>15699</v>
      </c>
      <c r="C158" s="273" t="s">
        <v>15702</v>
      </c>
      <c r="D158" s="658"/>
      <c r="E158" s="277"/>
      <c r="F158" s="658">
        <v>12000</v>
      </c>
      <c r="G158" s="278" t="s">
        <v>15705</v>
      </c>
      <c r="H158" s="273">
        <v>28540</v>
      </c>
    </row>
    <row r="159" spans="2:8">
      <c r="B159" s="273" t="s">
        <v>15700</v>
      </c>
      <c r="C159" s="273" t="s">
        <v>15703</v>
      </c>
      <c r="D159" s="658"/>
      <c r="E159" s="277"/>
      <c r="F159" s="658">
        <v>14175</v>
      </c>
      <c r="G159" s="278" t="s">
        <v>9145</v>
      </c>
      <c r="H159" s="273">
        <v>42715</v>
      </c>
    </row>
    <row r="160" spans="2:8">
      <c r="B160" s="273" t="s">
        <v>15715</v>
      </c>
      <c r="C160" s="273" t="s">
        <v>15717</v>
      </c>
      <c r="D160" s="658"/>
      <c r="E160" s="277"/>
      <c r="F160" s="658">
        <v>14175</v>
      </c>
      <c r="G160" s="278" t="s">
        <v>15724</v>
      </c>
      <c r="H160" s="273">
        <v>56803</v>
      </c>
    </row>
    <row r="161" spans="2:8">
      <c r="B161" s="273" t="s">
        <v>15715</v>
      </c>
      <c r="C161" s="273" t="s">
        <v>15718</v>
      </c>
      <c r="D161" s="658"/>
      <c r="E161" s="277"/>
      <c r="F161" s="658">
        <v>11970</v>
      </c>
      <c r="G161" s="278" t="s">
        <v>15725</v>
      </c>
      <c r="H161" s="273">
        <v>68773</v>
      </c>
    </row>
    <row r="162" spans="2:8">
      <c r="B162" s="273" t="s">
        <v>15715</v>
      </c>
      <c r="C162" s="273" t="s">
        <v>15719</v>
      </c>
      <c r="D162" s="658"/>
      <c r="E162" s="277"/>
      <c r="F162" s="658">
        <v>11400</v>
      </c>
      <c r="G162" s="278" t="s">
        <v>9256</v>
      </c>
      <c r="H162" s="273">
        <v>80173</v>
      </c>
    </row>
    <row r="163" spans="2:8">
      <c r="B163" s="273" t="s">
        <v>15715</v>
      </c>
      <c r="C163" s="273" t="s">
        <v>15720</v>
      </c>
      <c r="D163" s="658"/>
      <c r="E163" s="277"/>
      <c r="F163" s="658">
        <v>13230</v>
      </c>
      <c r="G163" s="278" t="s">
        <v>9391</v>
      </c>
      <c r="H163" s="273">
        <v>93403</v>
      </c>
    </row>
    <row r="164" spans="2:8">
      <c r="B164" s="273" t="s">
        <v>15716</v>
      </c>
      <c r="C164" s="273" t="s">
        <v>15721</v>
      </c>
      <c r="D164" s="658"/>
      <c r="E164" s="277"/>
      <c r="F164" s="658">
        <v>11340</v>
      </c>
      <c r="G164" s="278" t="s">
        <v>9045</v>
      </c>
      <c r="H164" s="273">
        <v>104743</v>
      </c>
    </row>
    <row r="165" spans="2:8">
      <c r="B165" s="273" t="s">
        <v>15716</v>
      </c>
      <c r="C165" s="273" t="s">
        <v>15722</v>
      </c>
      <c r="D165" s="658"/>
      <c r="E165" s="277"/>
      <c r="F165" s="658">
        <v>10800</v>
      </c>
      <c r="G165" s="278" t="s">
        <v>15726</v>
      </c>
      <c r="H165" s="273">
        <v>115543</v>
      </c>
    </row>
    <row r="166" spans="2:8">
      <c r="B166" s="273" t="s">
        <v>15716</v>
      </c>
      <c r="C166" s="273" t="s">
        <v>15723</v>
      </c>
      <c r="D166" s="658"/>
      <c r="E166" s="277"/>
      <c r="F166" s="658">
        <v>14175</v>
      </c>
      <c r="G166" s="278" t="s">
        <v>9494</v>
      </c>
      <c r="H166" s="273">
        <v>129718</v>
      </c>
    </row>
    <row r="167" spans="2:8">
      <c r="B167" s="273" t="s">
        <v>15739</v>
      </c>
      <c r="C167" s="273" t="s">
        <v>15740</v>
      </c>
      <c r="D167" s="658"/>
      <c r="E167" s="277"/>
      <c r="F167" s="658">
        <v>14175</v>
      </c>
      <c r="G167" s="278" t="s">
        <v>9466</v>
      </c>
      <c r="H167" s="273">
        <v>254723</v>
      </c>
    </row>
    <row r="168" spans="2:8">
      <c r="B168" s="273" t="s">
        <v>15744</v>
      </c>
      <c r="C168" s="273" t="s">
        <v>15745</v>
      </c>
      <c r="D168" s="658"/>
      <c r="E168" s="277"/>
      <c r="F168" s="658">
        <v>11340</v>
      </c>
      <c r="G168" s="278" t="s">
        <v>9258</v>
      </c>
      <c r="H168" s="273">
        <v>283958</v>
      </c>
    </row>
    <row r="169" spans="2:8">
      <c r="B169" s="273" t="s">
        <v>15751</v>
      </c>
      <c r="C169" s="273" t="s">
        <v>15752</v>
      </c>
      <c r="D169" s="658"/>
      <c r="E169" s="277"/>
      <c r="F169" s="658">
        <v>3360</v>
      </c>
      <c r="G169" s="278" t="s">
        <v>15753</v>
      </c>
      <c r="H169" s="273">
        <v>167842</v>
      </c>
    </row>
    <row r="170" spans="2:8">
      <c r="B170" s="273" t="s">
        <v>15762</v>
      </c>
      <c r="C170" s="273" t="s">
        <v>15763</v>
      </c>
      <c r="D170" s="658"/>
      <c r="E170" s="277"/>
      <c r="F170" s="658">
        <v>11970</v>
      </c>
      <c r="G170" s="278" t="s">
        <v>9166</v>
      </c>
      <c r="H170" s="273">
        <v>170301</v>
      </c>
    </row>
    <row r="171" spans="2:8">
      <c r="B171" s="273" t="s">
        <v>15764</v>
      </c>
      <c r="C171" s="273" t="s">
        <v>15765</v>
      </c>
      <c r="D171" s="658"/>
      <c r="E171" s="277"/>
      <c r="F171" s="658">
        <v>14175</v>
      </c>
      <c r="G171" s="278" t="s">
        <v>9340</v>
      </c>
      <c r="H171" s="273">
        <v>184476</v>
      </c>
    </row>
    <row r="172" spans="2:8">
      <c r="B172" s="273" t="s">
        <v>15766</v>
      </c>
      <c r="C172" s="273" t="s">
        <v>15767</v>
      </c>
      <c r="D172" s="658"/>
      <c r="E172" s="277"/>
      <c r="F172" s="658">
        <v>12600</v>
      </c>
      <c r="G172" s="278" t="s">
        <v>15768</v>
      </c>
      <c r="H172" s="273">
        <v>197076</v>
      </c>
    </row>
    <row r="173" spans="2:8">
      <c r="B173" s="273" t="s">
        <v>15775</v>
      </c>
      <c r="C173" s="273" t="s">
        <v>15776</v>
      </c>
      <c r="D173" s="658"/>
      <c r="E173" s="277"/>
      <c r="F173" s="658">
        <v>12600</v>
      </c>
      <c r="G173" s="278" t="s">
        <v>9287</v>
      </c>
      <c r="H173" s="273">
        <v>174451</v>
      </c>
    </row>
    <row r="174" spans="2:8">
      <c r="B174" s="273" t="s">
        <v>15775</v>
      </c>
      <c r="C174" s="273" t="s">
        <v>15777</v>
      </c>
      <c r="D174" s="658"/>
      <c r="E174" s="277"/>
      <c r="F174" s="658">
        <v>17325</v>
      </c>
      <c r="G174" s="278" t="s">
        <v>9287</v>
      </c>
      <c r="H174" s="273">
        <v>191776</v>
      </c>
    </row>
    <row r="175" spans="2:8">
      <c r="B175" s="273" t="s">
        <v>15793</v>
      </c>
      <c r="C175" s="273" t="s">
        <v>15794</v>
      </c>
      <c r="D175" s="658"/>
      <c r="E175" s="277"/>
      <c r="F175" s="658">
        <v>20475</v>
      </c>
      <c r="G175" s="278" t="s">
        <v>9573</v>
      </c>
      <c r="H175" s="273">
        <v>181056</v>
      </c>
    </row>
    <row r="176" spans="2:8">
      <c r="B176" s="273" t="s">
        <v>15797</v>
      </c>
      <c r="C176" s="273" t="s">
        <v>15800</v>
      </c>
      <c r="D176" s="658"/>
      <c r="E176" s="277"/>
      <c r="F176" s="658">
        <v>14175</v>
      </c>
      <c r="G176" s="278" t="s">
        <v>15805</v>
      </c>
      <c r="H176" s="273">
        <v>189151</v>
      </c>
    </row>
    <row r="177" spans="2:8">
      <c r="B177" s="273" t="s">
        <v>15797</v>
      </c>
      <c r="C177" s="273" t="s">
        <v>15801</v>
      </c>
      <c r="D177" s="658"/>
      <c r="E177" s="277"/>
      <c r="F177" s="658">
        <v>20475</v>
      </c>
      <c r="G177" s="278" t="s">
        <v>15806</v>
      </c>
      <c r="H177" s="273">
        <v>209626</v>
      </c>
    </row>
    <row r="178" spans="2:8">
      <c r="B178" s="273" t="s">
        <v>15798</v>
      </c>
      <c r="C178" s="273" t="s">
        <v>15802</v>
      </c>
      <c r="D178" s="658"/>
      <c r="E178" s="277"/>
      <c r="F178" s="658">
        <v>3360</v>
      </c>
      <c r="G178" s="278" t="s">
        <v>15807</v>
      </c>
      <c r="H178" s="273">
        <v>212986</v>
      </c>
    </row>
    <row r="179" spans="2:8">
      <c r="B179" s="273" t="s">
        <v>15799</v>
      </c>
      <c r="C179" s="273" t="s">
        <v>15803</v>
      </c>
      <c r="D179" s="658"/>
      <c r="E179" s="277"/>
      <c r="F179" s="658">
        <v>20475</v>
      </c>
      <c r="G179" s="278" t="s">
        <v>9507</v>
      </c>
      <c r="H179" s="273">
        <v>233461</v>
      </c>
    </row>
    <row r="180" spans="2:8">
      <c r="B180" s="273" t="s">
        <v>15799</v>
      </c>
      <c r="C180" s="273" t="s">
        <v>15804</v>
      </c>
      <c r="D180" s="658"/>
      <c r="E180" s="277"/>
      <c r="F180" s="658">
        <v>17325</v>
      </c>
      <c r="G180" s="278" t="s">
        <v>10412</v>
      </c>
      <c r="H180" s="273">
        <v>250786</v>
      </c>
    </row>
    <row r="181" spans="2:8">
      <c r="B181" s="273" t="s">
        <v>15813</v>
      </c>
      <c r="C181" s="273" t="s">
        <v>15814</v>
      </c>
      <c r="D181" s="658"/>
      <c r="E181" s="277"/>
      <c r="F181" s="658">
        <v>16380</v>
      </c>
      <c r="G181" s="278" t="s">
        <v>15818</v>
      </c>
      <c r="H181" s="273">
        <v>242747</v>
      </c>
    </row>
    <row r="182" spans="2:8">
      <c r="B182" s="273" t="s">
        <v>15813</v>
      </c>
      <c r="C182" s="273" t="s">
        <v>15815</v>
      </c>
      <c r="D182" s="658"/>
      <c r="E182" s="277"/>
      <c r="F182" s="658">
        <v>20475</v>
      </c>
      <c r="G182" s="278" t="s">
        <v>15817</v>
      </c>
      <c r="H182" s="273">
        <v>263222</v>
      </c>
    </row>
    <row r="183" spans="2:8">
      <c r="B183" s="273" t="s">
        <v>15813</v>
      </c>
      <c r="C183" s="273" t="s">
        <v>15816</v>
      </c>
      <c r="D183" s="658"/>
      <c r="E183" s="277"/>
      <c r="F183" s="658">
        <v>113400</v>
      </c>
      <c r="G183" s="278" t="s">
        <v>15819</v>
      </c>
      <c r="H183" s="273">
        <v>376622</v>
      </c>
    </row>
    <row r="184" spans="2:8">
      <c r="B184" s="273" t="s">
        <v>15827</v>
      </c>
      <c r="C184" s="273" t="s">
        <v>15828</v>
      </c>
      <c r="D184" s="658"/>
      <c r="E184" s="277"/>
      <c r="F184" s="658">
        <v>14175</v>
      </c>
      <c r="G184" s="278" t="s">
        <v>9511</v>
      </c>
      <c r="H184" s="273">
        <v>381319</v>
      </c>
    </row>
    <row r="185" spans="2:8">
      <c r="B185" s="273" t="s">
        <v>15827</v>
      </c>
      <c r="C185" s="273" t="s">
        <v>15829</v>
      </c>
      <c r="D185" s="658"/>
      <c r="E185" s="277"/>
      <c r="F185" s="658">
        <v>14175</v>
      </c>
      <c r="G185" s="278" t="s">
        <v>15831</v>
      </c>
      <c r="H185" s="273">
        <v>395494</v>
      </c>
    </row>
    <row r="186" spans="2:8">
      <c r="B186" s="273" t="s">
        <v>15827</v>
      </c>
      <c r="C186" s="273" t="s">
        <v>15830</v>
      </c>
      <c r="D186" s="658"/>
      <c r="E186" s="277"/>
      <c r="F186" s="658">
        <v>13500</v>
      </c>
      <c r="G186" s="278" t="s">
        <v>15832</v>
      </c>
      <c r="H186" s="273">
        <v>408994</v>
      </c>
    </row>
    <row r="187" spans="2:8">
      <c r="B187" s="273" t="s">
        <v>15834</v>
      </c>
      <c r="C187" s="273" t="s">
        <v>15835</v>
      </c>
      <c r="D187" s="658"/>
      <c r="E187" s="277"/>
      <c r="F187" s="658">
        <v>12600</v>
      </c>
      <c r="G187" s="278" t="s">
        <v>9109</v>
      </c>
      <c r="H187" s="273">
        <v>466954</v>
      </c>
    </row>
    <row r="188" spans="2:8">
      <c r="B188" s="273" t="s">
        <v>15840</v>
      </c>
      <c r="C188" s="273" t="s">
        <v>15841</v>
      </c>
      <c r="D188" s="658"/>
      <c r="E188" s="277"/>
      <c r="F188" s="658">
        <v>20475</v>
      </c>
      <c r="G188" s="278" t="s">
        <v>9545</v>
      </c>
      <c r="H188" s="273">
        <v>452204</v>
      </c>
    </row>
    <row r="189" spans="2:8">
      <c r="B189" s="273" t="s">
        <v>15854</v>
      </c>
      <c r="C189" s="273" t="s">
        <v>15855</v>
      </c>
      <c r="D189" s="658"/>
      <c r="E189" s="277"/>
      <c r="F189" s="658">
        <v>14175</v>
      </c>
      <c r="G189" s="278" t="s">
        <v>15856</v>
      </c>
      <c r="H189" s="273">
        <v>127051</v>
      </c>
    </row>
    <row r="190" spans="2:8">
      <c r="B190" s="273" t="s">
        <v>15860</v>
      </c>
      <c r="C190" s="273" t="s">
        <v>15861</v>
      </c>
      <c r="D190" s="658"/>
      <c r="E190" s="277"/>
      <c r="F190" s="658">
        <v>3360</v>
      </c>
      <c r="G190" s="278" t="s">
        <v>15863</v>
      </c>
      <c r="H190" s="273">
        <v>122562</v>
      </c>
    </row>
    <row r="191" spans="2:8">
      <c r="B191" s="273" t="s">
        <v>15860</v>
      </c>
      <c r="C191" s="273" t="s">
        <v>15862</v>
      </c>
      <c r="D191" s="658"/>
      <c r="E191" s="277"/>
      <c r="F191" s="658">
        <v>12000</v>
      </c>
      <c r="G191" s="278" t="s">
        <v>15864</v>
      </c>
      <c r="H191" s="273">
        <v>134562</v>
      </c>
    </row>
    <row r="192" spans="2:8">
      <c r="B192" s="273" t="s">
        <v>15866</v>
      </c>
      <c r="C192" s="273" t="s">
        <v>15867</v>
      </c>
      <c r="D192" s="658"/>
      <c r="E192" s="277"/>
      <c r="F192" s="658">
        <v>13230</v>
      </c>
      <c r="G192" s="278" t="s">
        <v>15869</v>
      </c>
      <c r="H192" s="273">
        <v>146054</v>
      </c>
    </row>
    <row r="193" spans="2:8">
      <c r="B193" s="273" t="s">
        <v>15866</v>
      </c>
      <c r="C193" s="273" t="s">
        <v>15868</v>
      </c>
      <c r="D193" s="658"/>
      <c r="E193" s="277"/>
      <c r="F193" s="658">
        <v>14175</v>
      </c>
      <c r="G193" s="278" t="s">
        <v>9290</v>
      </c>
      <c r="H193" s="273">
        <v>160229</v>
      </c>
    </row>
    <row r="194" spans="2:8">
      <c r="B194" s="273" t="s">
        <v>15876</v>
      </c>
      <c r="C194" s="273" t="s">
        <v>15878</v>
      </c>
      <c r="D194" s="658"/>
      <c r="E194" s="277"/>
      <c r="F194" s="658">
        <v>11970</v>
      </c>
      <c r="G194" s="278" t="s">
        <v>9278</v>
      </c>
      <c r="H194" s="273">
        <v>165845</v>
      </c>
    </row>
    <row r="195" spans="2:8">
      <c r="B195" s="273" t="s">
        <v>15877</v>
      </c>
      <c r="C195" s="273" t="s">
        <v>15879</v>
      </c>
      <c r="D195" s="658"/>
      <c r="E195" s="277"/>
      <c r="F195" s="658">
        <v>11400</v>
      </c>
      <c r="G195" s="278" t="s">
        <v>15882</v>
      </c>
      <c r="H195" s="273">
        <v>177245</v>
      </c>
    </row>
    <row r="196" spans="2:8">
      <c r="B196" s="273" t="s">
        <v>15877</v>
      </c>
      <c r="C196" s="273" t="s">
        <v>15880</v>
      </c>
      <c r="D196" s="658"/>
      <c r="E196" s="277"/>
      <c r="F196" s="658">
        <v>14175</v>
      </c>
      <c r="G196" s="278" t="s">
        <v>9583</v>
      </c>
      <c r="H196" s="273">
        <v>191420</v>
      </c>
    </row>
    <row r="197" spans="2:8">
      <c r="B197" s="273" t="s">
        <v>15877</v>
      </c>
      <c r="C197" s="273" t="s">
        <v>15881</v>
      </c>
      <c r="D197" s="658"/>
      <c r="E197" s="277"/>
      <c r="F197" s="658">
        <v>11970</v>
      </c>
      <c r="G197" s="278" t="s">
        <v>10215</v>
      </c>
      <c r="H197" s="273">
        <v>203390</v>
      </c>
    </row>
    <row r="198" spans="2:8">
      <c r="B198" s="273" t="s">
        <v>15320</v>
      </c>
      <c r="C198" s="277" t="s">
        <v>15321</v>
      </c>
      <c r="D198" s="658">
        <v>1468</v>
      </c>
      <c r="E198" s="277" t="s">
        <v>15410</v>
      </c>
      <c r="F198" s="658"/>
      <c r="G198" s="278"/>
      <c r="H198" s="273">
        <v>68943</v>
      </c>
    </row>
    <row r="199" spans="2:8">
      <c r="B199" s="273" t="s">
        <v>15364</v>
      </c>
      <c r="C199" s="277" t="s">
        <v>15365</v>
      </c>
      <c r="D199" s="658">
        <v>1468</v>
      </c>
      <c r="E199" s="277" t="s">
        <v>15366</v>
      </c>
      <c r="F199" s="658"/>
      <c r="G199" s="278"/>
      <c r="H199" s="273">
        <v>94585</v>
      </c>
    </row>
    <row r="200" spans="2:8">
      <c r="B200" s="273" t="s">
        <v>15407</v>
      </c>
      <c r="C200" s="277" t="s">
        <v>15408</v>
      </c>
      <c r="D200" s="658">
        <v>1468</v>
      </c>
      <c r="E200" s="277" t="s">
        <v>15409</v>
      </c>
      <c r="F200" s="658"/>
      <c r="G200" s="278"/>
      <c r="H200" s="273">
        <v>24353</v>
      </c>
    </row>
    <row r="201" spans="2:8">
      <c r="B201" s="273" t="s">
        <v>15468</v>
      </c>
      <c r="C201" s="277" t="s">
        <v>15469</v>
      </c>
      <c r="D201" s="658">
        <v>1468</v>
      </c>
      <c r="E201" s="277" t="s">
        <v>15470</v>
      </c>
      <c r="F201" s="658"/>
      <c r="G201" s="278"/>
      <c r="H201" s="273">
        <v>19968</v>
      </c>
    </row>
    <row r="202" spans="2:8">
      <c r="B202" s="273" t="s">
        <v>15502</v>
      </c>
      <c r="C202" s="277" t="s">
        <v>10533</v>
      </c>
      <c r="D202" s="658">
        <v>1468</v>
      </c>
      <c r="E202" s="277" t="s">
        <v>15503</v>
      </c>
      <c r="F202" s="658"/>
      <c r="G202" s="278"/>
      <c r="H202" s="273">
        <v>135719</v>
      </c>
    </row>
    <row r="203" spans="2:8">
      <c r="B203" s="273" t="s">
        <v>15579</v>
      </c>
      <c r="C203" s="277" t="s">
        <v>10535</v>
      </c>
      <c r="D203" s="658">
        <v>1468</v>
      </c>
      <c r="E203" s="277" t="s">
        <v>10535</v>
      </c>
      <c r="F203" s="658"/>
      <c r="G203" s="278"/>
      <c r="H203" s="273">
        <v>99814</v>
      </c>
    </row>
    <row r="204" spans="2:8">
      <c r="B204" s="273" t="s">
        <v>15614</v>
      </c>
      <c r="C204" s="277" t="s">
        <v>15615</v>
      </c>
      <c r="D204" s="658">
        <v>1468</v>
      </c>
      <c r="E204" s="277" t="s">
        <v>10579</v>
      </c>
      <c r="F204" s="658"/>
      <c r="G204" s="278"/>
      <c r="H204" s="273">
        <v>30196</v>
      </c>
    </row>
    <row r="205" spans="2:8">
      <c r="B205" s="273" t="s">
        <v>15656</v>
      </c>
      <c r="C205" s="277" t="s">
        <v>14900</v>
      </c>
      <c r="D205" s="658">
        <v>1468</v>
      </c>
      <c r="E205" s="277" t="s">
        <v>14900</v>
      </c>
      <c r="F205" s="658"/>
      <c r="G205" s="278"/>
      <c r="H205" s="273">
        <v>296364</v>
      </c>
    </row>
    <row r="206" spans="2:8">
      <c r="B206" s="273" t="s">
        <v>15712</v>
      </c>
      <c r="C206" s="277" t="s">
        <v>15713</v>
      </c>
      <c r="D206" s="658">
        <v>1468</v>
      </c>
      <c r="E206" s="277" t="s">
        <v>15714</v>
      </c>
      <c r="F206" s="658"/>
      <c r="G206" s="278"/>
      <c r="H206" s="273">
        <v>42628</v>
      </c>
    </row>
    <row r="207" spans="2:8">
      <c r="B207" s="273" t="s">
        <v>15755</v>
      </c>
      <c r="C207" s="277" t="s">
        <v>15756</v>
      </c>
      <c r="D207" s="658">
        <v>1468</v>
      </c>
      <c r="E207" s="277" t="s">
        <v>14981</v>
      </c>
      <c r="F207" s="658"/>
      <c r="G207" s="278"/>
      <c r="H207" s="273">
        <v>163374</v>
      </c>
    </row>
    <row r="208" spans="2:8">
      <c r="B208" s="273" t="s">
        <v>15826</v>
      </c>
      <c r="C208" s="277" t="s">
        <v>15044</v>
      </c>
      <c r="D208" s="658">
        <v>1468</v>
      </c>
      <c r="E208" s="277" t="s">
        <v>15044</v>
      </c>
      <c r="F208" s="658"/>
      <c r="G208" s="278"/>
      <c r="H208" s="273">
        <v>367144</v>
      </c>
    </row>
    <row r="209" spans="2:18">
      <c r="B209" s="273" t="s">
        <v>15866</v>
      </c>
      <c r="C209" s="277" t="s">
        <v>15076</v>
      </c>
      <c r="D209" s="658">
        <v>1468</v>
      </c>
      <c r="E209" s="277" t="s">
        <v>15076</v>
      </c>
      <c r="F209" s="658"/>
      <c r="G209" s="278"/>
      <c r="H209" s="273">
        <v>158761</v>
      </c>
    </row>
    <row r="210" spans="2:18">
      <c r="B210" s="273" t="s">
        <v>15306</v>
      </c>
      <c r="C210" s="273" t="s">
        <v>1283</v>
      </c>
      <c r="D210" s="658">
        <v>8888</v>
      </c>
      <c r="E210" s="277" t="s">
        <v>5013</v>
      </c>
      <c r="F210" s="658"/>
      <c r="G210" s="278"/>
      <c r="H210" s="273">
        <v>92341</v>
      </c>
    </row>
    <row r="211" spans="2:18">
      <c r="B211" s="273" t="s">
        <v>15316</v>
      </c>
      <c r="C211" s="273" t="s">
        <v>1283</v>
      </c>
      <c r="D211" s="658">
        <v>62100</v>
      </c>
      <c r="E211" s="277" t="s">
        <v>9532</v>
      </c>
      <c r="F211" s="658"/>
      <c r="G211" s="278"/>
      <c r="H211" s="273">
        <v>56236</v>
      </c>
    </row>
    <row r="212" spans="2:18">
      <c r="B212" s="273" t="s">
        <v>15457</v>
      </c>
      <c r="C212" s="273" t="s">
        <v>1283</v>
      </c>
      <c r="D212" s="658">
        <v>9999</v>
      </c>
      <c r="E212" s="277" t="s">
        <v>5013</v>
      </c>
      <c r="F212" s="658"/>
      <c r="G212" s="278"/>
      <c r="H212" s="273">
        <v>21993</v>
      </c>
    </row>
    <row r="213" spans="2:18">
      <c r="B213" s="273" t="s">
        <v>15509</v>
      </c>
      <c r="C213" s="273" t="s">
        <v>1283</v>
      </c>
      <c r="D213" s="658">
        <v>3366</v>
      </c>
      <c r="E213" s="277" t="s">
        <v>15510</v>
      </c>
      <c r="F213" s="658"/>
      <c r="G213" s="278"/>
      <c r="H213" s="273">
        <v>141499</v>
      </c>
    </row>
    <row r="214" spans="2:18">
      <c r="B214" s="273" t="s">
        <v>15511</v>
      </c>
      <c r="C214" s="273" t="s">
        <v>1283</v>
      </c>
      <c r="D214" s="658">
        <v>40030</v>
      </c>
      <c r="E214" s="277" t="s">
        <v>15512</v>
      </c>
      <c r="F214" s="658"/>
      <c r="G214" s="278"/>
      <c r="H214" s="273">
        <v>101469</v>
      </c>
    </row>
    <row r="215" spans="2:18">
      <c r="B215" s="273" t="s">
        <v>15550</v>
      </c>
      <c r="C215" s="273" t="s">
        <v>1283</v>
      </c>
      <c r="D215" s="686">
        <v>101010</v>
      </c>
      <c r="E215" s="277" t="s">
        <v>15551</v>
      </c>
      <c r="F215" s="658"/>
      <c r="G215" s="278"/>
      <c r="H215" s="273">
        <v>57657</v>
      </c>
      <c r="K215" s="183"/>
      <c r="L215" s="696"/>
      <c r="M215" s="183"/>
      <c r="N215" s="183"/>
      <c r="O215" s="183"/>
      <c r="P215" s="183"/>
      <c r="Q215" s="183"/>
      <c r="R215" s="183"/>
    </row>
    <row r="216" spans="2:18">
      <c r="B216" s="273" t="s">
        <v>15669</v>
      </c>
      <c r="C216" s="273" t="s">
        <v>1283</v>
      </c>
      <c r="D216" s="658">
        <v>52920</v>
      </c>
      <c r="E216" s="277" t="s">
        <v>9532</v>
      </c>
      <c r="F216" s="658"/>
      <c r="G216" s="278"/>
      <c r="H216" s="273">
        <v>238546</v>
      </c>
      <c r="K216" s="183"/>
      <c r="L216" s="183"/>
      <c r="M216" s="696"/>
      <c r="N216" s="183"/>
      <c r="O216" s="183"/>
      <c r="P216" s="183"/>
      <c r="Q216" s="183"/>
      <c r="R216" s="183"/>
    </row>
    <row r="217" spans="2:18">
      <c r="B217" s="273" t="s">
        <v>15750</v>
      </c>
      <c r="C217" s="273" t="s">
        <v>1283</v>
      </c>
      <c r="D217" s="658">
        <v>111740</v>
      </c>
      <c r="E217" s="277" t="s">
        <v>9532</v>
      </c>
      <c r="F217" s="658"/>
      <c r="G217" s="278"/>
      <c r="H217" s="273">
        <v>164482</v>
      </c>
      <c r="K217" s="183"/>
      <c r="L217" s="183"/>
      <c r="M217" s="696"/>
      <c r="N217" s="183"/>
      <c r="O217" s="183"/>
      <c r="P217" s="183"/>
      <c r="Q217" s="183"/>
      <c r="R217" s="183"/>
    </row>
    <row r="218" spans="2:18">
      <c r="B218" s="273" t="s">
        <v>15784</v>
      </c>
      <c r="C218" s="273" t="s">
        <v>1283</v>
      </c>
      <c r="D218" s="658">
        <v>1738</v>
      </c>
      <c r="E218" s="277" t="s">
        <v>15865</v>
      </c>
      <c r="F218" s="658"/>
      <c r="G218" s="278"/>
      <c r="H218" s="273">
        <v>98125</v>
      </c>
      <c r="K218" s="183"/>
      <c r="L218" s="183"/>
      <c r="M218" s="696"/>
      <c r="N218" s="183"/>
      <c r="O218" s="183"/>
      <c r="P218" s="183"/>
      <c r="Q218" s="183"/>
      <c r="R218" s="183"/>
    </row>
    <row r="219" spans="2:18" s="562" customFormat="1">
      <c r="B219" s="273" t="s">
        <v>15840</v>
      </c>
      <c r="C219" s="273" t="s">
        <v>1283</v>
      </c>
      <c r="D219" s="658">
        <v>170000</v>
      </c>
      <c r="E219" s="277" t="s">
        <v>15849</v>
      </c>
      <c r="F219" s="658"/>
      <c r="G219" s="278"/>
      <c r="H219" s="273">
        <v>278466</v>
      </c>
      <c r="K219" s="183"/>
      <c r="L219" s="183"/>
      <c r="M219" s="712"/>
      <c r="N219" s="715"/>
      <c r="O219" s="696"/>
      <c r="P219" s="183"/>
      <c r="Q219" s="183"/>
      <c r="R219" s="183"/>
    </row>
    <row r="220" spans="2:18">
      <c r="B220" s="273" t="s">
        <v>15850</v>
      </c>
      <c r="C220" s="273" t="s">
        <v>1283</v>
      </c>
      <c r="D220" s="658">
        <v>73040</v>
      </c>
      <c r="E220" s="277" t="s">
        <v>9532</v>
      </c>
      <c r="F220" s="658"/>
      <c r="G220" s="278"/>
      <c r="H220" s="273">
        <v>205426</v>
      </c>
    </row>
    <row r="221" spans="2:18">
      <c r="B221" s="273" t="s">
        <v>15851</v>
      </c>
      <c r="C221" s="273" t="s">
        <v>1283</v>
      </c>
      <c r="D221" s="658">
        <v>96960</v>
      </c>
      <c r="E221" s="277" t="s">
        <v>9532</v>
      </c>
      <c r="F221" s="658"/>
      <c r="G221" s="278"/>
      <c r="H221" s="273">
        <v>108466</v>
      </c>
    </row>
    <row r="222" spans="2:18">
      <c r="B222" s="273" t="s">
        <v>15860</v>
      </c>
      <c r="C222" s="273" t="s">
        <v>1283</v>
      </c>
      <c r="D222" s="658">
        <v>1738</v>
      </c>
      <c r="E222" s="277" t="s">
        <v>15510</v>
      </c>
      <c r="F222" s="658"/>
      <c r="G222" s="278"/>
      <c r="H222" s="273">
        <v>132824</v>
      </c>
    </row>
    <row r="223" spans="2:18">
      <c r="B223" s="273" t="s">
        <v>15300</v>
      </c>
      <c r="C223" s="273" t="s">
        <v>1283</v>
      </c>
      <c r="D223" s="658"/>
      <c r="E223" s="277"/>
      <c r="F223" s="658">
        <v>13847</v>
      </c>
      <c r="G223" s="278" t="s">
        <v>15301</v>
      </c>
      <c r="H223" s="273">
        <v>75084</v>
      </c>
    </row>
    <row r="224" spans="2:18">
      <c r="B224" s="273" t="s">
        <v>15268</v>
      </c>
      <c r="C224" s="273" t="s">
        <v>1283</v>
      </c>
      <c r="D224" s="658"/>
      <c r="E224" s="277"/>
      <c r="F224" s="658">
        <v>13230</v>
      </c>
      <c r="G224" s="278" t="s">
        <v>15402</v>
      </c>
      <c r="H224" s="273">
        <v>31062</v>
      </c>
    </row>
    <row r="225" spans="2:8">
      <c r="B225" s="273" t="s">
        <v>15274</v>
      </c>
      <c r="C225" s="273" t="s">
        <v>1283</v>
      </c>
      <c r="D225" s="658"/>
      <c r="E225" s="277"/>
      <c r="F225" s="658">
        <v>13280</v>
      </c>
      <c r="G225" s="278" t="s">
        <v>15736</v>
      </c>
      <c r="H225" s="273">
        <v>251878</v>
      </c>
    </row>
    <row r="226" spans="2:8">
      <c r="B226" s="273" t="s">
        <v>15455</v>
      </c>
      <c r="C226" s="273" t="s">
        <v>1283</v>
      </c>
      <c r="D226" s="658"/>
      <c r="E226" s="277"/>
      <c r="F226" s="658">
        <v>13485</v>
      </c>
      <c r="G226" s="278" t="s">
        <v>15456</v>
      </c>
      <c r="H226" s="273">
        <v>28329</v>
      </c>
    </row>
    <row r="227" spans="2:8">
      <c r="B227" s="273" t="s">
        <v>15602</v>
      </c>
      <c r="C227" s="273" t="s">
        <v>1283</v>
      </c>
      <c r="D227" s="658"/>
      <c r="E227" s="277"/>
      <c r="F227" s="658">
        <v>13487</v>
      </c>
      <c r="G227" s="278" t="s">
        <v>15607</v>
      </c>
      <c r="H227" s="273">
        <v>60643</v>
      </c>
    </row>
    <row r="228" spans="2:8">
      <c r="B228" s="273" t="s">
        <v>15742</v>
      </c>
      <c r="C228" s="273" t="s">
        <v>1283</v>
      </c>
      <c r="D228" s="658"/>
      <c r="E228" s="277"/>
      <c r="F228" s="658">
        <v>13485</v>
      </c>
      <c r="G228" s="278" t="s">
        <v>15743</v>
      </c>
      <c r="H228" s="273">
        <v>272618</v>
      </c>
    </row>
    <row r="229" spans="2:8">
      <c r="B229" s="273" t="s">
        <v>15309</v>
      </c>
      <c r="C229" s="273" t="s">
        <v>1283</v>
      </c>
      <c r="D229" s="658"/>
      <c r="E229" s="277"/>
      <c r="F229" s="658">
        <v>16350</v>
      </c>
      <c r="G229" s="278" t="s">
        <v>15310</v>
      </c>
      <c r="H229" s="273">
        <v>113101</v>
      </c>
    </row>
    <row r="230" spans="2:8">
      <c r="B230" s="273" t="s">
        <v>15827</v>
      </c>
      <c r="C230" s="273" t="s">
        <v>1283</v>
      </c>
      <c r="D230" s="658"/>
      <c r="E230" s="277"/>
      <c r="F230" s="658">
        <v>45360</v>
      </c>
      <c r="G230" s="278" t="s">
        <v>15833</v>
      </c>
      <c r="H230" s="273">
        <v>454354</v>
      </c>
    </row>
    <row r="231" spans="2:8">
      <c r="B231" s="273" t="s">
        <v>15413</v>
      </c>
      <c r="C231" s="273" t="s">
        <v>1283</v>
      </c>
      <c r="D231" s="658"/>
      <c r="E231" s="277"/>
      <c r="F231" s="658">
        <v>14165</v>
      </c>
      <c r="G231" s="278" t="s">
        <v>15414</v>
      </c>
      <c r="H231" s="273">
        <v>28518</v>
      </c>
    </row>
    <row r="232" spans="2:8">
      <c r="B232" s="273" t="s">
        <v>15567</v>
      </c>
      <c r="C232" s="273" t="s">
        <v>1283</v>
      </c>
      <c r="D232" s="658"/>
      <c r="E232" s="277"/>
      <c r="F232" s="658">
        <v>14165</v>
      </c>
      <c r="G232" s="278" t="s">
        <v>9111</v>
      </c>
      <c r="H232" s="273">
        <v>56409</v>
      </c>
    </row>
    <row r="233" spans="2:8">
      <c r="B233" s="273" t="s">
        <v>15346</v>
      </c>
      <c r="C233" s="273" t="s">
        <v>1283</v>
      </c>
      <c r="D233" s="658"/>
      <c r="E233" s="277"/>
      <c r="F233" s="658">
        <v>14165</v>
      </c>
      <c r="G233" s="278" t="s">
        <v>15347</v>
      </c>
      <c r="H233" s="273">
        <v>23208</v>
      </c>
    </row>
    <row r="234" spans="2:8">
      <c r="B234" s="273" t="s">
        <v>15504</v>
      </c>
      <c r="C234" s="273" t="s">
        <v>1283</v>
      </c>
      <c r="D234" s="658"/>
      <c r="E234" s="277"/>
      <c r="F234" s="658">
        <v>14165</v>
      </c>
      <c r="G234" s="278" t="s">
        <v>9323</v>
      </c>
      <c r="H234" s="273">
        <v>149884</v>
      </c>
    </row>
    <row r="235" spans="2:8">
      <c r="B235" s="273" t="s">
        <v>15655</v>
      </c>
      <c r="C235" s="273" t="s">
        <v>1283</v>
      </c>
      <c r="D235" s="658"/>
      <c r="E235" s="277"/>
      <c r="F235" s="658">
        <v>14165</v>
      </c>
      <c r="G235" s="278" t="s">
        <v>9464</v>
      </c>
      <c r="H235" s="273">
        <v>220027</v>
      </c>
    </row>
    <row r="236" spans="2:8">
      <c r="B236" s="273" t="s">
        <v>15808</v>
      </c>
      <c r="C236" s="273" t="s">
        <v>1283</v>
      </c>
      <c r="D236" s="658"/>
      <c r="E236" s="277"/>
      <c r="F236" s="658">
        <v>14165</v>
      </c>
      <c r="G236" s="278" t="s">
        <v>15809</v>
      </c>
      <c r="H236" s="273">
        <v>264951</v>
      </c>
    </row>
    <row r="237" spans="2:8">
      <c r="B237" s="273" t="s">
        <v>15716</v>
      </c>
      <c r="C237" s="273" t="s">
        <v>1283</v>
      </c>
      <c r="D237" s="658"/>
      <c r="E237" s="277"/>
      <c r="F237" s="658">
        <v>125990</v>
      </c>
      <c r="G237" s="278" t="s">
        <v>15789</v>
      </c>
      <c r="H237" s="273">
        <v>346473</v>
      </c>
    </row>
    <row r="238" spans="2:8">
      <c r="B238" s="273" t="s">
        <v>15292</v>
      </c>
      <c r="C238" s="273" t="s">
        <v>1283</v>
      </c>
      <c r="D238" s="658"/>
      <c r="E238" s="277"/>
      <c r="F238" s="658">
        <v>113390</v>
      </c>
      <c r="G238" s="278" t="s">
        <v>15293</v>
      </c>
      <c r="H238" s="273">
        <v>119091</v>
      </c>
    </row>
    <row r="239" spans="2:8">
      <c r="B239" s="273" t="s">
        <v>15842</v>
      </c>
      <c r="C239" s="273" t="s">
        <v>1283</v>
      </c>
      <c r="D239" s="658"/>
      <c r="E239" s="277"/>
      <c r="F239" s="658">
        <v>113390</v>
      </c>
      <c r="G239" s="278" t="s">
        <v>9519</v>
      </c>
      <c r="H239" s="273">
        <v>565594</v>
      </c>
    </row>
    <row r="240" spans="2:8">
      <c r="B240" s="273" t="s">
        <v>15307</v>
      </c>
      <c r="C240" s="273" t="s">
        <v>1283</v>
      </c>
      <c r="D240" s="658"/>
      <c r="E240" s="277"/>
      <c r="F240" s="658">
        <v>4410</v>
      </c>
      <c r="G240" s="278" t="s">
        <v>15308</v>
      </c>
      <c r="H240" s="273">
        <v>96751</v>
      </c>
    </row>
    <row r="241" spans="2:8">
      <c r="B241" s="273" t="s">
        <v>15333</v>
      </c>
      <c r="C241" s="273" t="s">
        <v>1283</v>
      </c>
      <c r="D241" s="658"/>
      <c r="E241" s="277"/>
      <c r="F241" s="658">
        <v>4410</v>
      </c>
      <c r="G241" s="278" t="s">
        <v>15334</v>
      </c>
      <c r="H241" s="273">
        <v>7177</v>
      </c>
    </row>
    <row r="242" spans="2:8">
      <c r="B242" s="273" t="s">
        <v>15395</v>
      </c>
      <c r="C242" s="273" t="s">
        <v>1283</v>
      </c>
      <c r="D242" s="658"/>
      <c r="E242" s="277"/>
      <c r="F242" s="658">
        <v>4410</v>
      </c>
      <c r="G242" s="278" t="s">
        <v>15396</v>
      </c>
      <c r="H242" s="273">
        <v>9737</v>
      </c>
    </row>
    <row r="243" spans="2:8">
      <c r="B243" s="273" t="s">
        <v>15447</v>
      </c>
      <c r="C243" s="273" t="s">
        <v>1283</v>
      </c>
      <c r="D243" s="658"/>
      <c r="E243" s="277"/>
      <c r="F243" s="658">
        <v>4410</v>
      </c>
      <c r="G243" s="278" t="s">
        <v>15452</v>
      </c>
      <c r="H243" s="273">
        <v>44844</v>
      </c>
    </row>
    <row r="244" spans="2:8">
      <c r="B244" s="273" t="s">
        <v>15484</v>
      </c>
      <c r="C244" s="273" t="s">
        <v>1283</v>
      </c>
      <c r="D244" s="658"/>
      <c r="E244" s="277"/>
      <c r="F244" s="658">
        <v>4410</v>
      </c>
      <c r="G244" s="278" t="s">
        <v>9234</v>
      </c>
      <c r="H244" s="273">
        <v>18393</v>
      </c>
    </row>
    <row r="245" spans="2:8">
      <c r="B245" s="273" t="s">
        <v>15602</v>
      </c>
      <c r="C245" s="273" t="s">
        <v>1283</v>
      </c>
      <c r="D245" s="658"/>
      <c r="E245" s="277"/>
      <c r="F245" s="658">
        <v>8820</v>
      </c>
      <c r="G245" s="278" t="s">
        <v>15638</v>
      </c>
      <c r="H245" s="273">
        <v>69463</v>
      </c>
    </row>
    <row r="246" spans="2:8">
      <c r="B246" s="273" t="s">
        <v>15637</v>
      </c>
      <c r="C246" s="273" t="s">
        <v>1283</v>
      </c>
      <c r="D246" s="658"/>
      <c r="E246" s="277"/>
      <c r="F246" s="658">
        <v>4410</v>
      </c>
      <c r="G246" s="278" t="s">
        <v>9361</v>
      </c>
      <c r="H246" s="273">
        <v>8964</v>
      </c>
    </row>
    <row r="247" spans="2:8">
      <c r="B247" s="273" t="s">
        <v>15695</v>
      </c>
      <c r="C247" s="273" t="s">
        <v>1283</v>
      </c>
      <c r="D247" s="658"/>
      <c r="E247" s="277"/>
      <c r="F247" s="658">
        <v>4410</v>
      </c>
      <c r="G247" s="278" t="s">
        <v>9404</v>
      </c>
      <c r="H247" s="273">
        <v>19260</v>
      </c>
    </row>
    <row r="248" spans="2:8">
      <c r="B248" s="273" t="s">
        <v>15741</v>
      </c>
      <c r="C248" s="273" t="s">
        <v>1283</v>
      </c>
      <c r="D248" s="658"/>
      <c r="E248" s="277"/>
      <c r="F248" s="658">
        <v>4410</v>
      </c>
      <c r="G248" s="278" t="s">
        <v>9463</v>
      </c>
      <c r="H248" s="273">
        <v>259133</v>
      </c>
    </row>
    <row r="249" spans="2:8">
      <c r="B249" s="273" t="s">
        <v>15790</v>
      </c>
      <c r="C249" s="273" t="s">
        <v>1283</v>
      </c>
      <c r="D249" s="658"/>
      <c r="E249" s="277"/>
      <c r="F249" s="658">
        <v>4410</v>
      </c>
      <c r="G249" s="278" t="s">
        <v>9508</v>
      </c>
      <c r="H249" s="273">
        <v>178125</v>
      </c>
    </row>
    <row r="250" spans="2:8">
      <c r="B250" s="823" t="s">
        <v>15852</v>
      </c>
      <c r="C250" s="823" t="s">
        <v>1283</v>
      </c>
      <c r="D250" s="822"/>
      <c r="E250" s="824"/>
      <c r="F250" s="822">
        <v>4410</v>
      </c>
      <c r="G250" s="825" t="s">
        <v>15853</v>
      </c>
      <c r="H250" s="823">
        <v>112876</v>
      </c>
    </row>
    <row r="251" spans="2:8">
      <c r="B251" s="273" t="s">
        <v>15538</v>
      </c>
      <c r="C251" s="273" t="s">
        <v>1283</v>
      </c>
      <c r="D251" s="658"/>
      <c r="E251" s="277"/>
      <c r="F251" s="658">
        <v>108000</v>
      </c>
      <c r="G251" s="278" t="s">
        <v>15639</v>
      </c>
      <c r="H251" s="273">
        <v>248539</v>
      </c>
    </row>
    <row r="252" spans="2:8">
      <c r="B252" s="273" t="s">
        <v>15700</v>
      </c>
      <c r="C252" s="273" t="s">
        <v>1283</v>
      </c>
      <c r="D252" s="658"/>
      <c r="E252" s="277"/>
      <c r="F252" s="658">
        <v>6300</v>
      </c>
      <c r="G252" s="278" t="s">
        <v>15787</v>
      </c>
      <c r="H252" s="273">
        <v>49015</v>
      </c>
    </row>
    <row r="253" spans="2:8">
      <c r="B253" s="273" t="s">
        <v>15785</v>
      </c>
      <c r="C253" s="273" t="s">
        <v>1283</v>
      </c>
      <c r="D253" s="658"/>
      <c r="E253" s="277"/>
      <c r="F253" s="658">
        <v>75590</v>
      </c>
      <c r="G253" s="278" t="s">
        <v>15786</v>
      </c>
      <c r="H253" s="273">
        <v>173715</v>
      </c>
    </row>
    <row r="254" spans="2:8">
      <c r="B254" s="273" t="s">
        <v>15716</v>
      </c>
      <c r="C254" s="273" t="s">
        <v>1283</v>
      </c>
      <c r="D254" s="658"/>
      <c r="E254" s="277"/>
      <c r="F254" s="658">
        <v>125990</v>
      </c>
      <c r="G254" s="278" t="s">
        <v>15788</v>
      </c>
      <c r="H254" s="273">
        <v>220483</v>
      </c>
    </row>
    <row r="255" spans="2:8">
      <c r="B255" s="273" t="s">
        <v>15338</v>
      </c>
      <c r="C255" s="273" t="s">
        <v>15339</v>
      </c>
      <c r="D255" s="658">
        <v>1699</v>
      </c>
      <c r="E255" s="277"/>
      <c r="F255" s="658"/>
      <c r="G255" s="278"/>
      <c r="H255" s="273">
        <v>25953</v>
      </c>
    </row>
    <row r="256" spans="2:8">
      <c r="B256" s="273" t="s">
        <v>15462</v>
      </c>
      <c r="C256" s="273" t="s">
        <v>15463</v>
      </c>
      <c r="D256" s="658">
        <v>1597</v>
      </c>
      <c r="E256" s="277"/>
      <c r="F256" s="658"/>
      <c r="G256" s="278"/>
      <c r="H256" s="273">
        <v>31992</v>
      </c>
    </row>
    <row r="257" spans="2:8">
      <c r="B257" s="273" t="s">
        <v>15557</v>
      </c>
      <c r="C257" s="273" t="s">
        <v>15558</v>
      </c>
      <c r="D257" s="658">
        <v>1650</v>
      </c>
      <c r="E257" s="277"/>
      <c r="F257" s="658"/>
      <c r="G257" s="278"/>
      <c r="H257" s="273">
        <v>22132</v>
      </c>
    </row>
    <row r="258" spans="2:8">
      <c r="B258" s="273" t="s">
        <v>15644</v>
      </c>
      <c r="C258" s="273" t="s">
        <v>15645</v>
      </c>
      <c r="D258" s="658">
        <v>2072</v>
      </c>
      <c r="E258" s="277"/>
      <c r="F258" s="658"/>
      <c r="G258" s="278"/>
      <c r="H258" s="273">
        <v>147367</v>
      </c>
    </row>
    <row r="259" spans="2:8">
      <c r="B259" s="273" t="s">
        <v>15748</v>
      </c>
      <c r="C259" s="273" t="s">
        <v>15749</v>
      </c>
      <c r="D259" s="658">
        <v>1656</v>
      </c>
      <c r="E259" s="277"/>
      <c r="F259" s="658"/>
      <c r="G259" s="278"/>
      <c r="H259" s="273">
        <v>276222</v>
      </c>
    </row>
    <row r="260" spans="2:8">
      <c r="B260" s="273" t="s">
        <v>15857</v>
      </c>
      <c r="C260" s="273" t="s">
        <v>15859</v>
      </c>
      <c r="D260" s="658">
        <v>1795</v>
      </c>
      <c r="E260" s="277"/>
      <c r="F260" s="658"/>
      <c r="G260" s="278"/>
      <c r="H260" s="273">
        <v>119176</v>
      </c>
    </row>
    <row r="261" spans="2:8">
      <c r="B261" s="273" t="s">
        <v>15324</v>
      </c>
      <c r="C261" s="273" t="s">
        <v>15325</v>
      </c>
      <c r="D261" s="658">
        <v>1228</v>
      </c>
      <c r="E261" s="277"/>
      <c r="F261" s="658"/>
      <c r="G261" s="278"/>
      <c r="H261" s="273">
        <v>56883</v>
      </c>
    </row>
    <row r="262" spans="2:8">
      <c r="B262" s="273" t="s">
        <v>15359</v>
      </c>
      <c r="C262" s="273" t="s">
        <v>15360</v>
      </c>
      <c r="D262" s="658">
        <v>1230</v>
      </c>
      <c r="E262" s="277"/>
      <c r="F262" s="658"/>
      <c r="G262" s="278"/>
      <c r="H262" s="273">
        <v>99783</v>
      </c>
    </row>
    <row r="263" spans="2:8">
      <c r="B263" s="273" t="s">
        <v>15415</v>
      </c>
      <c r="C263" s="273" t="s">
        <v>15416</v>
      </c>
      <c r="D263" s="658">
        <v>1230</v>
      </c>
      <c r="E263" s="277"/>
      <c r="F263" s="658"/>
      <c r="G263" s="278"/>
      <c r="H263" s="273">
        <v>27288</v>
      </c>
    </row>
    <row r="264" spans="2:8">
      <c r="B264" s="273" t="s">
        <v>15471</v>
      </c>
      <c r="C264" s="273" t="s">
        <v>15472</v>
      </c>
      <c r="D264" s="658">
        <v>1228</v>
      </c>
      <c r="E264" s="277"/>
      <c r="F264" s="658"/>
      <c r="G264" s="278"/>
      <c r="H264" s="273">
        <v>18740</v>
      </c>
    </row>
    <row r="265" spans="2:8">
      <c r="B265" s="273" t="s">
        <v>15505</v>
      </c>
      <c r="C265" s="273" t="s">
        <v>15506</v>
      </c>
      <c r="D265" s="658">
        <v>1222</v>
      </c>
      <c r="E265" s="277"/>
      <c r="F265" s="658"/>
      <c r="G265" s="278"/>
      <c r="H265" s="273">
        <v>148662</v>
      </c>
    </row>
    <row r="266" spans="2:8">
      <c r="B266" s="273" t="s">
        <v>15574</v>
      </c>
      <c r="C266" s="273" t="s">
        <v>15575</v>
      </c>
      <c r="D266" s="658">
        <v>1222</v>
      </c>
      <c r="E266" s="277"/>
      <c r="F266" s="658"/>
      <c r="G266" s="278"/>
      <c r="H266" s="273">
        <v>105017</v>
      </c>
    </row>
    <row r="267" spans="2:8">
      <c r="B267" s="273" t="s">
        <v>15616</v>
      </c>
      <c r="C267" s="273" t="s">
        <v>15617</v>
      </c>
      <c r="D267" s="658">
        <v>1220</v>
      </c>
      <c r="E267" s="277"/>
      <c r="F267" s="658"/>
      <c r="G267" s="278"/>
      <c r="H267" s="273">
        <v>28976</v>
      </c>
    </row>
    <row r="268" spans="2:8">
      <c r="B268" s="273" t="s">
        <v>15664</v>
      </c>
      <c r="C268" s="273" t="s">
        <v>15665</v>
      </c>
      <c r="D268" s="658">
        <v>1222</v>
      </c>
      <c r="E268" s="277"/>
      <c r="F268" s="658"/>
      <c r="G268" s="278"/>
      <c r="H268" s="273">
        <v>295142</v>
      </c>
    </row>
    <row r="269" spans="2:8">
      <c r="B269" s="273" t="s">
        <v>15706</v>
      </c>
      <c r="C269" s="273" t="s">
        <v>15707</v>
      </c>
      <c r="D269" s="658">
        <v>1228</v>
      </c>
      <c r="E269" s="277"/>
      <c r="F269" s="658"/>
      <c r="G269" s="278"/>
      <c r="H269" s="273">
        <v>47787</v>
      </c>
    </row>
    <row r="270" spans="2:8">
      <c r="B270" s="273" t="s">
        <v>15757</v>
      </c>
      <c r="C270" s="273" t="s">
        <v>15758</v>
      </c>
      <c r="D270" s="658">
        <v>1220</v>
      </c>
      <c r="E270" s="277"/>
      <c r="F270" s="658"/>
      <c r="G270" s="278"/>
      <c r="H270" s="273">
        <v>162154</v>
      </c>
    </row>
    <row r="271" spans="2:8">
      <c r="B271" s="273" t="s">
        <v>15820</v>
      </c>
      <c r="C271" s="273" t="s">
        <v>15821</v>
      </c>
      <c r="D271" s="658">
        <v>1325</v>
      </c>
      <c r="E271" s="277"/>
      <c r="F271" s="658"/>
      <c r="G271" s="278"/>
      <c r="H271" s="273">
        <v>375297</v>
      </c>
    </row>
    <row r="272" spans="2:8">
      <c r="B272" s="273" t="s">
        <v>15870</v>
      </c>
      <c r="C272" s="273" t="s">
        <v>15871</v>
      </c>
      <c r="D272" s="658">
        <v>1222</v>
      </c>
      <c r="E272" s="277"/>
      <c r="F272" s="658"/>
      <c r="G272" s="278"/>
      <c r="H272" s="273">
        <v>157539</v>
      </c>
    </row>
    <row r="273" spans="2:8">
      <c r="B273" s="273" t="s">
        <v>15326</v>
      </c>
      <c r="C273" s="273" t="s">
        <v>15327</v>
      </c>
      <c r="D273" s="658">
        <v>1684</v>
      </c>
      <c r="E273" s="277"/>
      <c r="F273" s="658"/>
      <c r="G273" s="278"/>
      <c r="H273" s="273">
        <v>55199</v>
      </c>
    </row>
    <row r="274" spans="2:8">
      <c r="B274" s="273" t="s">
        <v>15359</v>
      </c>
      <c r="C274" s="273" t="s">
        <v>15361</v>
      </c>
      <c r="D274" s="658">
        <v>1666</v>
      </c>
      <c r="E274" s="277"/>
      <c r="F274" s="658"/>
      <c r="G274" s="278"/>
      <c r="H274" s="273">
        <v>98117</v>
      </c>
    </row>
    <row r="275" spans="2:8">
      <c r="B275" s="273" t="s">
        <v>15415</v>
      </c>
      <c r="C275" s="273" t="s">
        <v>15417</v>
      </c>
      <c r="D275" s="658">
        <v>1689</v>
      </c>
      <c r="E275" s="277"/>
      <c r="F275" s="658"/>
      <c r="G275" s="278"/>
      <c r="H275" s="273">
        <v>25599</v>
      </c>
    </row>
    <row r="276" spans="2:8">
      <c r="B276" s="273" t="s">
        <v>15473</v>
      </c>
      <c r="C276" s="273" t="s">
        <v>15474</v>
      </c>
      <c r="D276" s="658">
        <v>1702</v>
      </c>
      <c r="E276" s="277"/>
      <c r="F276" s="658"/>
      <c r="G276" s="278"/>
      <c r="H276" s="273">
        <v>17038</v>
      </c>
    </row>
    <row r="277" spans="2:8">
      <c r="B277" s="273" t="s">
        <v>15505</v>
      </c>
      <c r="C277" s="273" t="s">
        <v>15507</v>
      </c>
      <c r="D277" s="658">
        <v>1680</v>
      </c>
      <c r="E277" s="277"/>
      <c r="F277" s="658"/>
      <c r="G277" s="278"/>
      <c r="H277" s="273">
        <v>146982</v>
      </c>
    </row>
    <row r="278" spans="2:8">
      <c r="B278" s="273" t="s">
        <v>15576</v>
      </c>
      <c r="C278" s="273" t="s">
        <v>15577</v>
      </c>
      <c r="D278" s="658">
        <v>1738</v>
      </c>
      <c r="E278" s="277"/>
      <c r="F278" s="658"/>
      <c r="G278" s="278"/>
      <c r="H278" s="273">
        <v>103279</v>
      </c>
    </row>
    <row r="279" spans="2:8">
      <c r="B279" s="273" t="s">
        <v>15618</v>
      </c>
      <c r="C279" s="273" t="s">
        <v>15619</v>
      </c>
      <c r="D279" s="658">
        <v>1683</v>
      </c>
      <c r="E279" s="277"/>
      <c r="F279" s="658"/>
      <c r="G279" s="278"/>
      <c r="H279" s="273">
        <v>27293</v>
      </c>
    </row>
    <row r="280" spans="2:8">
      <c r="B280" s="273" t="s">
        <v>15664</v>
      </c>
      <c r="C280" s="273" t="s">
        <v>15666</v>
      </c>
      <c r="D280" s="658">
        <v>1664</v>
      </c>
      <c r="E280" s="277"/>
      <c r="F280" s="658"/>
      <c r="G280" s="278"/>
      <c r="H280" s="273">
        <v>293478</v>
      </c>
    </row>
    <row r="281" spans="2:8">
      <c r="B281" s="273" t="s">
        <v>15708</v>
      </c>
      <c r="C281" s="273" t="s">
        <v>15709</v>
      </c>
      <c r="D281" s="658">
        <v>1700</v>
      </c>
      <c r="E281" s="277"/>
      <c r="F281" s="658"/>
      <c r="G281" s="278"/>
      <c r="H281" s="273">
        <v>46087</v>
      </c>
    </row>
    <row r="282" spans="2:8">
      <c r="B282" s="273" t="s">
        <v>15759</v>
      </c>
      <c r="C282" s="273" t="s">
        <v>15760</v>
      </c>
      <c r="D282" s="658">
        <v>1670</v>
      </c>
      <c r="E282" s="277"/>
      <c r="F282" s="658"/>
      <c r="G282" s="278"/>
      <c r="H282" s="273">
        <v>160484</v>
      </c>
    </row>
    <row r="283" spans="2:8">
      <c r="B283" s="273" t="s">
        <v>15820</v>
      </c>
      <c r="C283" s="273" t="s">
        <v>15822</v>
      </c>
      <c r="D283" s="658">
        <v>1673</v>
      </c>
      <c r="E283" s="277"/>
      <c r="F283" s="658"/>
      <c r="G283" s="278"/>
      <c r="H283" s="273">
        <v>373624</v>
      </c>
    </row>
    <row r="284" spans="2:8">
      <c r="B284" s="273" t="s">
        <v>15872</v>
      </c>
      <c r="C284" s="273" t="s">
        <v>15873</v>
      </c>
      <c r="D284" s="658">
        <v>1673</v>
      </c>
      <c r="E284" s="277"/>
      <c r="F284" s="658"/>
      <c r="G284" s="278"/>
      <c r="H284" s="273">
        <v>155866</v>
      </c>
    </row>
    <row r="285" spans="2:8">
      <c r="B285" s="273" t="s">
        <v>15324</v>
      </c>
      <c r="C285" s="273" t="s">
        <v>15328</v>
      </c>
      <c r="D285" s="658">
        <v>2144</v>
      </c>
      <c r="E285" s="277"/>
      <c r="F285" s="658"/>
      <c r="G285" s="278"/>
      <c r="H285" s="273">
        <v>53055</v>
      </c>
    </row>
    <row r="286" spans="2:8">
      <c r="B286" s="273" t="s">
        <v>15362</v>
      </c>
      <c r="C286" s="273" t="s">
        <v>15363</v>
      </c>
      <c r="D286" s="658">
        <v>2064</v>
      </c>
      <c r="E286" s="277"/>
      <c r="F286" s="658"/>
      <c r="G286" s="278"/>
      <c r="H286" s="273">
        <v>96053</v>
      </c>
    </row>
    <row r="287" spans="2:8">
      <c r="B287" s="273" t="s">
        <v>15415</v>
      </c>
      <c r="C287" s="273" t="s">
        <v>15418</v>
      </c>
      <c r="D287" s="658">
        <v>1975</v>
      </c>
      <c r="E287" s="277"/>
      <c r="F287" s="658"/>
      <c r="G287" s="278"/>
      <c r="H287" s="273">
        <v>23624</v>
      </c>
    </row>
    <row r="288" spans="2:8">
      <c r="B288" s="273" t="s">
        <v>15475</v>
      </c>
      <c r="C288" s="273" t="s">
        <v>15476</v>
      </c>
      <c r="D288" s="658">
        <v>2015</v>
      </c>
      <c r="E288" s="277"/>
      <c r="F288" s="658"/>
      <c r="G288" s="278"/>
      <c r="H288" s="273">
        <v>15023</v>
      </c>
    </row>
    <row r="289" spans="2:8">
      <c r="B289" s="273" t="s">
        <v>15505</v>
      </c>
      <c r="C289" s="273" t="s">
        <v>15508</v>
      </c>
      <c r="D289" s="658">
        <v>2117</v>
      </c>
      <c r="E289" s="277"/>
      <c r="F289" s="658"/>
      <c r="G289" s="278"/>
      <c r="H289" s="273">
        <v>144865</v>
      </c>
    </row>
    <row r="290" spans="2:8">
      <c r="B290" s="273" t="s">
        <v>15576</v>
      </c>
      <c r="C290" s="273" t="s">
        <v>15578</v>
      </c>
      <c r="D290" s="658">
        <v>1997</v>
      </c>
      <c r="E290" s="277"/>
      <c r="F290" s="658"/>
      <c r="G290" s="278"/>
      <c r="H290" s="273">
        <v>101282</v>
      </c>
    </row>
    <row r="291" spans="2:8">
      <c r="B291" s="273" t="s">
        <v>15620</v>
      </c>
      <c r="C291" s="273" t="s">
        <v>15621</v>
      </c>
      <c r="D291" s="658">
        <v>2039</v>
      </c>
      <c r="E291" s="277"/>
      <c r="F291" s="658"/>
      <c r="G291" s="278"/>
      <c r="H291" s="273">
        <v>25254</v>
      </c>
    </row>
    <row r="292" spans="2:8">
      <c r="B292" s="273" t="s">
        <v>15667</v>
      </c>
      <c r="C292" s="273" t="s">
        <v>15668</v>
      </c>
      <c r="D292" s="658">
        <v>2012</v>
      </c>
      <c r="E292" s="277"/>
      <c r="F292" s="658"/>
      <c r="G292" s="278"/>
      <c r="H292" s="273">
        <v>291466</v>
      </c>
    </row>
    <row r="293" spans="2:8">
      <c r="B293" s="273" t="s">
        <v>15710</v>
      </c>
      <c r="C293" s="273" t="s">
        <v>15711</v>
      </c>
      <c r="D293" s="658">
        <v>1991</v>
      </c>
      <c r="E293" s="277"/>
      <c r="F293" s="658"/>
      <c r="G293" s="278"/>
      <c r="H293" s="273">
        <v>44096</v>
      </c>
    </row>
    <row r="294" spans="2:8">
      <c r="B294" s="273" t="s">
        <v>15759</v>
      </c>
      <c r="C294" s="273" t="s">
        <v>15761</v>
      </c>
      <c r="D294" s="658">
        <v>2153</v>
      </c>
      <c r="E294" s="277"/>
      <c r="F294" s="658"/>
      <c r="G294" s="278"/>
      <c r="H294" s="273">
        <v>158331</v>
      </c>
    </row>
    <row r="295" spans="2:8">
      <c r="B295" s="273" t="s">
        <v>15823</v>
      </c>
      <c r="C295" s="273" t="s">
        <v>15824</v>
      </c>
      <c r="D295" s="658">
        <v>2012</v>
      </c>
      <c r="E295" s="277"/>
      <c r="F295" s="658"/>
      <c r="G295" s="278"/>
      <c r="H295" s="273">
        <v>371612</v>
      </c>
    </row>
    <row r="296" spans="2:8">
      <c r="B296" s="273" t="s">
        <v>15874</v>
      </c>
      <c r="C296" s="273" t="s">
        <v>15875</v>
      </c>
      <c r="D296" s="658">
        <v>1991</v>
      </c>
      <c r="E296" s="277"/>
      <c r="F296" s="658"/>
      <c r="G296" s="278"/>
      <c r="H296" s="273">
        <v>153875</v>
      </c>
    </row>
    <row r="297" spans="2:8">
      <c r="B297" s="273" t="s">
        <v>15383</v>
      </c>
      <c r="C297" s="273" t="s">
        <v>15613</v>
      </c>
      <c r="D297" s="658">
        <v>5000</v>
      </c>
      <c r="E297" s="277"/>
      <c r="F297" s="658"/>
      <c r="G297" s="278"/>
      <c r="H297" s="273">
        <v>123027</v>
      </c>
    </row>
    <row r="298" spans="2:8">
      <c r="B298" s="273" t="s">
        <v>15612</v>
      </c>
      <c r="C298" s="273" t="s">
        <v>15613</v>
      </c>
      <c r="D298" s="822">
        <v>3000</v>
      </c>
      <c r="E298" s="687"/>
      <c r="F298" s="658"/>
      <c r="G298" s="278"/>
      <c r="H298" s="273">
        <v>31664</v>
      </c>
    </row>
    <row r="299" spans="2:8">
      <c r="B299" s="273" t="s">
        <v>15754</v>
      </c>
      <c r="C299" s="273" t="s">
        <v>892</v>
      </c>
      <c r="D299" s="658">
        <v>3000</v>
      </c>
      <c r="E299" s="277"/>
      <c r="F299" s="658"/>
      <c r="G299" s="278"/>
      <c r="H299" s="273">
        <v>164842</v>
      </c>
    </row>
    <row r="300" spans="2:8">
      <c r="B300" s="273" t="s">
        <v>15825</v>
      </c>
      <c r="C300" s="273" t="s">
        <v>892</v>
      </c>
      <c r="D300" s="658">
        <v>3000</v>
      </c>
      <c r="E300" s="277"/>
      <c r="F300" s="658"/>
      <c r="G300" s="278"/>
      <c r="H300" s="273">
        <v>368612</v>
      </c>
    </row>
    <row r="301" spans="2:8">
      <c r="B301" s="273" t="s">
        <v>15003</v>
      </c>
      <c r="C301" s="273" t="s">
        <v>892</v>
      </c>
      <c r="D301" s="658">
        <v>5000</v>
      </c>
      <c r="E301" s="277"/>
      <c r="F301" s="658"/>
      <c r="G301" s="278"/>
      <c r="H301" s="273">
        <v>8520</v>
      </c>
    </row>
    <row r="302" spans="2:8">
      <c r="B302" s="273" t="s">
        <v>15284</v>
      </c>
      <c r="C302" s="273" t="s">
        <v>15285</v>
      </c>
      <c r="D302" s="658">
        <v>31000</v>
      </c>
      <c r="E302" s="277"/>
      <c r="F302" s="658"/>
      <c r="G302" s="278"/>
      <c r="H302" s="273">
        <v>92386</v>
      </c>
    </row>
    <row r="303" spans="2:8">
      <c r="B303" s="273" t="s">
        <v>15386</v>
      </c>
      <c r="C303" s="273" t="s">
        <v>15391</v>
      </c>
      <c r="D303" s="658">
        <v>18000</v>
      </c>
      <c r="E303" s="277"/>
      <c r="F303" s="658"/>
      <c r="G303" s="278"/>
      <c r="H303" s="273">
        <v>56607</v>
      </c>
    </row>
    <row r="304" spans="2:8">
      <c r="B304" s="273" t="s">
        <v>15444</v>
      </c>
      <c r="C304" s="273" t="s">
        <v>15445</v>
      </c>
      <c r="D304" s="658">
        <v>12000</v>
      </c>
      <c r="E304" s="277"/>
      <c r="F304" s="658"/>
      <c r="G304" s="278"/>
      <c r="H304" s="273">
        <v>45569</v>
      </c>
    </row>
    <row r="305" spans="2:8">
      <c r="B305" s="273" t="s">
        <v>15531</v>
      </c>
      <c r="C305" s="273" t="s">
        <v>15532</v>
      </c>
      <c r="D305" s="686">
        <v>26000</v>
      </c>
      <c r="E305" s="277"/>
      <c r="F305" s="658"/>
      <c r="G305" s="278"/>
    </row>
    <row r="306" spans="2:8">
      <c r="B306" s="273" t="s">
        <v>15544</v>
      </c>
      <c r="C306" s="273" t="s">
        <v>15545</v>
      </c>
      <c r="D306" s="658">
        <v>36000</v>
      </c>
      <c r="E306" s="277"/>
      <c r="F306" s="658"/>
      <c r="G306" s="278"/>
      <c r="H306" s="273">
        <v>212889</v>
      </c>
    </row>
    <row r="307" spans="2:8">
      <c r="B307" s="273" t="s">
        <v>15595</v>
      </c>
      <c r="C307" s="273" t="s">
        <v>15596</v>
      </c>
      <c r="D307" s="658">
        <v>27800</v>
      </c>
      <c r="E307" s="277"/>
      <c r="F307" s="658"/>
      <c r="G307" s="278"/>
      <c r="H307" s="273">
        <v>57704</v>
      </c>
    </row>
    <row r="308" spans="2:8">
      <c r="B308" s="273" t="s">
        <v>15685</v>
      </c>
      <c r="C308" s="273" t="s">
        <v>15689</v>
      </c>
      <c r="D308" s="658">
        <v>49500</v>
      </c>
      <c r="E308" s="277"/>
      <c r="F308" s="658"/>
      <c r="G308" s="278"/>
      <c r="H308" s="273">
        <v>69071</v>
      </c>
    </row>
    <row r="309" spans="2:8">
      <c r="B309" s="273" t="s">
        <v>15732</v>
      </c>
      <c r="C309" s="273" t="s">
        <v>15733</v>
      </c>
      <c r="D309" s="658">
        <v>18300</v>
      </c>
      <c r="E309" s="277"/>
      <c r="F309" s="658"/>
      <c r="G309" s="278"/>
      <c r="H309" s="273">
        <v>298598</v>
      </c>
    </row>
    <row r="310" spans="2:8">
      <c r="B310" s="273" t="s">
        <v>15773</v>
      </c>
      <c r="C310" s="273" t="s">
        <v>15779</v>
      </c>
      <c r="D310" s="658">
        <v>20000</v>
      </c>
      <c r="E310" s="277"/>
      <c r="F310" s="658"/>
      <c r="G310" s="278"/>
      <c r="H310" s="273">
        <v>142201</v>
      </c>
    </row>
    <row r="311" spans="2:8">
      <c r="B311" s="273" t="s">
        <v>15840</v>
      </c>
      <c r="C311" s="273" t="s">
        <v>15843</v>
      </c>
      <c r="D311" s="658">
        <v>12800</v>
      </c>
      <c r="E311" s="277"/>
      <c r="F311" s="658"/>
      <c r="G311" s="278"/>
      <c r="H311" s="273">
        <v>552794</v>
      </c>
    </row>
    <row r="312" spans="2:8">
      <c r="B312" s="273" t="s">
        <v>15286</v>
      </c>
      <c r="C312" s="273" t="s">
        <v>15287</v>
      </c>
      <c r="D312" s="658">
        <v>29575</v>
      </c>
      <c r="E312" s="277"/>
      <c r="F312" s="658"/>
      <c r="G312" s="278"/>
      <c r="H312" s="273">
        <v>62811</v>
      </c>
    </row>
    <row r="313" spans="2:8">
      <c r="B313" s="273" t="s">
        <v>15331</v>
      </c>
      <c r="C313" s="273" t="s">
        <v>15332</v>
      </c>
      <c r="D313" s="686">
        <v>26000</v>
      </c>
      <c r="E313" s="277"/>
      <c r="F313" s="658"/>
      <c r="G313" s="278"/>
      <c r="H313" s="273">
        <v>2767</v>
      </c>
    </row>
    <row r="314" spans="2:8">
      <c r="B314" s="273" t="s">
        <v>15386</v>
      </c>
      <c r="C314" s="273" t="s">
        <v>15390</v>
      </c>
      <c r="D314" s="658">
        <v>29575</v>
      </c>
      <c r="E314" s="277"/>
      <c r="F314" s="658"/>
      <c r="G314" s="278"/>
      <c r="H314" s="273">
        <v>74607</v>
      </c>
    </row>
    <row r="315" spans="2:8">
      <c r="B315" s="273" t="s">
        <v>15440</v>
      </c>
      <c r="C315" s="273" t="s">
        <v>15443</v>
      </c>
      <c r="D315" s="658">
        <v>29575</v>
      </c>
      <c r="E315" s="277"/>
      <c r="F315" s="658"/>
      <c r="G315" s="278"/>
      <c r="H315" s="273">
        <v>57569</v>
      </c>
    </row>
    <row r="316" spans="2:8">
      <c r="B316" s="273" t="s">
        <v>15529</v>
      </c>
      <c r="C316" s="273" t="s">
        <v>15530</v>
      </c>
      <c r="D316" s="686">
        <v>29575</v>
      </c>
      <c r="E316" s="277"/>
      <c r="F316" s="658"/>
      <c r="G316" s="278"/>
    </row>
    <row r="317" spans="2:8">
      <c r="B317" s="273" t="s">
        <v>15542</v>
      </c>
      <c r="C317" s="273" t="s">
        <v>15543</v>
      </c>
      <c r="D317" s="658">
        <v>29575</v>
      </c>
      <c r="E317" s="277"/>
      <c r="F317" s="658"/>
      <c r="G317" s="278"/>
      <c r="H317" s="273">
        <v>248889</v>
      </c>
    </row>
    <row r="318" spans="2:8">
      <c r="B318" s="273" t="s">
        <v>15593</v>
      </c>
      <c r="C318" s="273" t="s">
        <v>15594</v>
      </c>
      <c r="D318" s="658">
        <v>29575</v>
      </c>
      <c r="E318" s="277"/>
      <c r="F318" s="658"/>
      <c r="G318" s="278"/>
      <c r="H318" s="273">
        <v>85504</v>
      </c>
    </row>
    <row r="319" spans="2:8">
      <c r="B319" s="273" t="s">
        <v>15635</v>
      </c>
      <c r="C319" s="273" t="s">
        <v>15636</v>
      </c>
      <c r="D319" s="658">
        <v>29575</v>
      </c>
      <c r="E319" s="277"/>
      <c r="F319" s="658"/>
      <c r="G319" s="278"/>
      <c r="H319" s="273">
        <v>4554</v>
      </c>
    </row>
    <row r="320" spans="2:8">
      <c r="B320" s="273" t="s">
        <v>15685</v>
      </c>
      <c r="C320" s="273" t="s">
        <v>15690</v>
      </c>
      <c r="D320" s="658">
        <v>29575</v>
      </c>
      <c r="E320" s="277"/>
      <c r="F320" s="658"/>
      <c r="G320" s="278"/>
      <c r="H320" s="273">
        <v>39496</v>
      </c>
    </row>
    <row r="321" spans="2:8">
      <c r="B321" s="273" t="s">
        <v>15716</v>
      </c>
      <c r="C321" s="273" t="s">
        <v>15731</v>
      </c>
      <c r="D321" s="658">
        <v>29575</v>
      </c>
      <c r="E321" s="277"/>
      <c r="F321" s="658"/>
      <c r="G321" s="278"/>
      <c r="H321" s="273">
        <v>316898</v>
      </c>
    </row>
    <row r="322" spans="2:8">
      <c r="B322" s="273" t="s">
        <v>15773</v>
      </c>
      <c r="C322" s="273" t="s">
        <v>15778</v>
      </c>
      <c r="D322" s="658">
        <v>29575</v>
      </c>
      <c r="E322" s="277"/>
      <c r="F322" s="658"/>
      <c r="G322" s="278"/>
      <c r="H322" s="273">
        <v>162201</v>
      </c>
    </row>
    <row r="323" spans="2:8">
      <c r="B323" s="273" t="s">
        <v>15844</v>
      </c>
      <c r="C323" s="273" t="s">
        <v>15845</v>
      </c>
      <c r="D323" s="658">
        <v>29575</v>
      </c>
      <c r="E323" s="277"/>
      <c r="F323" s="658"/>
      <c r="G323" s="278"/>
      <c r="H323" s="273">
        <v>523219</v>
      </c>
    </row>
    <row r="324" spans="2:8">
      <c r="B324" s="273" t="s">
        <v>15286</v>
      </c>
      <c r="C324" s="273" t="s">
        <v>15288</v>
      </c>
      <c r="D324" s="658">
        <v>41280</v>
      </c>
      <c r="E324" s="277"/>
      <c r="F324" s="658"/>
      <c r="G324" s="278"/>
      <c r="H324" s="273">
        <v>5701</v>
      </c>
    </row>
    <row r="325" spans="2:8">
      <c r="B325" s="273" t="s">
        <v>15265</v>
      </c>
      <c r="C325" s="273" t="s">
        <v>15288</v>
      </c>
      <c r="D325" s="658">
        <v>20000</v>
      </c>
      <c r="E325" s="277"/>
      <c r="F325" s="658"/>
      <c r="G325" s="278"/>
      <c r="H325" s="273">
        <v>121231</v>
      </c>
    </row>
    <row r="326" spans="2:8">
      <c r="B326" s="273" t="s">
        <v>15344</v>
      </c>
      <c r="C326" s="273" t="s">
        <v>15345</v>
      </c>
      <c r="D326" s="658">
        <v>31280</v>
      </c>
      <c r="E326" s="277"/>
      <c r="F326" s="658"/>
      <c r="G326" s="278"/>
      <c r="H326" s="273">
        <v>9043</v>
      </c>
    </row>
    <row r="327" spans="2:8">
      <c r="B327" s="273" t="s">
        <v>15381</v>
      </c>
      <c r="C327" s="273" t="s">
        <v>15345</v>
      </c>
      <c r="D327" s="658">
        <v>30000</v>
      </c>
      <c r="E327" s="277"/>
      <c r="F327" s="658"/>
      <c r="G327" s="278"/>
      <c r="H327" s="273">
        <v>93027</v>
      </c>
    </row>
    <row r="328" spans="2:8">
      <c r="B328" s="273" t="s">
        <v>15386</v>
      </c>
      <c r="C328" s="273" t="s">
        <v>15392</v>
      </c>
      <c r="D328" s="658">
        <v>18000</v>
      </c>
      <c r="E328" s="277"/>
      <c r="F328" s="658"/>
      <c r="G328" s="278"/>
      <c r="H328" s="273">
        <v>38607</v>
      </c>
    </row>
    <row r="329" spans="2:8">
      <c r="B329" s="273" t="s">
        <v>15393</v>
      </c>
      <c r="C329" s="273" t="s">
        <v>15394</v>
      </c>
      <c r="D329" s="658">
        <v>33280</v>
      </c>
      <c r="E329" s="277"/>
      <c r="F329" s="658"/>
      <c r="G329" s="278"/>
      <c r="H329" s="273">
        <v>5327</v>
      </c>
    </row>
    <row r="330" spans="2:8">
      <c r="B330" s="273" t="s">
        <v>15411</v>
      </c>
      <c r="C330" s="273" t="s">
        <v>15412</v>
      </c>
      <c r="D330" s="658">
        <v>10000</v>
      </c>
      <c r="E330" s="687"/>
      <c r="F330" s="658"/>
      <c r="G330" s="278"/>
      <c r="H330" s="273">
        <v>14353</v>
      </c>
    </row>
    <row r="331" spans="2:8">
      <c r="B331" s="273" t="s">
        <v>15440</v>
      </c>
      <c r="C331" s="273" t="s">
        <v>15446</v>
      </c>
      <c r="D331" s="658">
        <v>31280</v>
      </c>
      <c r="E331" s="277"/>
      <c r="F331" s="658"/>
      <c r="G331" s="278"/>
      <c r="H331" s="273">
        <v>14289</v>
      </c>
    </row>
    <row r="332" spans="2:8">
      <c r="B332" s="273" t="s">
        <v>15453</v>
      </c>
      <c r="C332" s="273" t="s">
        <v>15454</v>
      </c>
      <c r="D332" s="658">
        <v>30000</v>
      </c>
      <c r="E332" s="277"/>
      <c r="F332" s="658"/>
      <c r="G332" s="278"/>
      <c r="H332" s="273">
        <v>14844</v>
      </c>
    </row>
    <row r="333" spans="2:8">
      <c r="B333" s="273" t="s">
        <v>15533</v>
      </c>
      <c r="C333" s="273" t="s">
        <v>15534</v>
      </c>
      <c r="D333" s="686">
        <v>24415</v>
      </c>
      <c r="E333" s="277"/>
      <c r="F333" s="658"/>
      <c r="G333" s="278"/>
    </row>
    <row r="334" spans="2:8">
      <c r="B334" s="273" t="s">
        <v>15546</v>
      </c>
      <c r="C334" s="273" t="s">
        <v>15547</v>
      </c>
      <c r="D334" s="658">
        <v>36865</v>
      </c>
      <c r="E334" s="277"/>
      <c r="F334" s="658"/>
      <c r="G334" s="278"/>
      <c r="H334" s="273">
        <v>176024</v>
      </c>
    </row>
    <row r="335" spans="2:8">
      <c r="B335" s="273" t="s">
        <v>15555</v>
      </c>
      <c r="C335" s="273" t="s">
        <v>15556</v>
      </c>
      <c r="D335" s="658">
        <v>48050</v>
      </c>
      <c r="E335" s="277"/>
      <c r="F335" s="658"/>
      <c r="G335" s="278"/>
      <c r="H335" s="273">
        <v>23782</v>
      </c>
    </row>
    <row r="336" spans="2:8">
      <c r="B336" s="273" t="s">
        <v>15593</v>
      </c>
      <c r="C336" s="273" t="s">
        <v>15597</v>
      </c>
      <c r="D336" s="658">
        <v>31280</v>
      </c>
      <c r="E336" s="277"/>
      <c r="F336" s="658"/>
      <c r="G336" s="278"/>
      <c r="H336" s="273">
        <v>26424</v>
      </c>
    </row>
    <row r="337" spans="2:8">
      <c r="B337" s="273" t="s">
        <v>15685</v>
      </c>
      <c r="C337" s="273" t="s">
        <v>15686</v>
      </c>
      <c r="D337" s="658">
        <v>30000</v>
      </c>
      <c r="E337" s="277"/>
      <c r="F337" s="658"/>
      <c r="G337" s="278"/>
      <c r="H337" s="273">
        <v>231131</v>
      </c>
    </row>
    <row r="338" spans="2:8">
      <c r="B338" s="273" t="s">
        <v>15685</v>
      </c>
      <c r="C338" s="273" t="s">
        <v>15687</v>
      </c>
      <c r="D338" s="658">
        <v>61280</v>
      </c>
      <c r="E338" s="277"/>
      <c r="F338" s="658"/>
      <c r="G338" s="278"/>
      <c r="H338" s="273">
        <v>169851</v>
      </c>
    </row>
    <row r="339" spans="2:8">
      <c r="B339" s="273" t="s">
        <v>15685</v>
      </c>
      <c r="C339" s="273" t="s">
        <v>15688</v>
      </c>
      <c r="D339" s="658">
        <v>51280</v>
      </c>
      <c r="E339" s="277"/>
      <c r="F339" s="658"/>
      <c r="G339" s="278"/>
      <c r="H339" s="273">
        <v>118571</v>
      </c>
    </row>
    <row r="340" spans="2:8">
      <c r="B340" s="273" t="s">
        <v>15734</v>
      </c>
      <c r="C340" s="273" t="s">
        <v>15735</v>
      </c>
      <c r="D340" s="658">
        <v>60000</v>
      </c>
      <c r="E340" s="277"/>
      <c r="F340" s="658"/>
      <c r="G340" s="278"/>
      <c r="H340" s="273">
        <v>238598</v>
      </c>
    </row>
    <row r="341" spans="2:8">
      <c r="B341" s="273" t="s">
        <v>15734</v>
      </c>
      <c r="C341" s="273" t="s">
        <v>15737</v>
      </c>
      <c r="D341" s="658">
        <v>11330</v>
      </c>
      <c r="E341" s="277"/>
      <c r="F341" s="658"/>
      <c r="G341" s="278"/>
      <c r="H341" s="273">
        <v>238598</v>
      </c>
    </row>
    <row r="342" spans="2:8">
      <c r="B342" s="273" t="s">
        <v>15780</v>
      </c>
      <c r="C342" s="273" t="s">
        <v>15781</v>
      </c>
      <c r="D342" s="658">
        <v>31280</v>
      </c>
      <c r="E342" s="277"/>
      <c r="F342" s="658"/>
      <c r="G342" s="278"/>
      <c r="H342" s="273">
        <v>110921</v>
      </c>
    </row>
    <row r="343" spans="2:8">
      <c r="B343" s="273" t="s">
        <v>15810</v>
      </c>
      <c r="C343" s="273" t="s">
        <v>15781</v>
      </c>
      <c r="D343" s="658">
        <v>30000</v>
      </c>
      <c r="E343" s="277"/>
      <c r="F343" s="658"/>
      <c r="G343" s="278"/>
      <c r="H343" s="273">
        <v>226367</v>
      </c>
    </row>
    <row r="344" spans="2:8">
      <c r="B344" s="273" t="s">
        <v>15846</v>
      </c>
      <c r="C344" s="273" t="s">
        <v>15847</v>
      </c>
      <c r="D344" s="658">
        <v>61280</v>
      </c>
      <c r="E344" s="277"/>
      <c r="F344" s="658"/>
      <c r="G344" s="278"/>
      <c r="H344" s="273">
        <v>461939</v>
      </c>
    </row>
    <row r="347" spans="2:8">
      <c r="D347" s="277"/>
      <c r="E347" s="277"/>
      <c r="F347" s="277"/>
      <c r="G347" s="278"/>
    </row>
    <row r="349" spans="2:8">
      <c r="D349" s="277"/>
      <c r="E349" s="277"/>
      <c r="F349" s="277"/>
      <c r="G349" s="278"/>
    </row>
    <row r="351" spans="2:8">
      <c r="D351" s="277"/>
      <c r="E351" s="277"/>
      <c r="F351" s="277"/>
      <c r="G351" s="278"/>
    </row>
    <row r="353" spans="1:14">
      <c r="B353" s="820" t="s">
        <v>15263</v>
      </c>
      <c r="C353" s="274" t="s">
        <v>479</v>
      </c>
    </row>
    <row r="354" spans="1:14">
      <c r="B354" s="273" t="s">
        <v>241</v>
      </c>
      <c r="C354" s="273" t="s">
        <v>474</v>
      </c>
      <c r="D354" s="273" t="s">
        <v>475</v>
      </c>
      <c r="E354" s="273" t="s">
        <v>480</v>
      </c>
      <c r="F354" s="273" t="s">
        <v>2991</v>
      </c>
      <c r="G354" s="273" t="s">
        <v>481</v>
      </c>
      <c r="H354" s="273" t="s">
        <v>476</v>
      </c>
      <c r="I354" s="273" t="s">
        <v>477</v>
      </c>
      <c r="J354" s="273" t="s">
        <v>478</v>
      </c>
      <c r="K354" s="273" t="s">
        <v>1385</v>
      </c>
      <c r="L354" s="273" t="s">
        <v>1275</v>
      </c>
      <c r="M354" s="273" t="s">
        <v>265</v>
      </c>
      <c r="N354" s="273" t="s">
        <v>2992</v>
      </c>
    </row>
    <row r="355" spans="1:14">
      <c r="H355" s="273">
        <v>13847</v>
      </c>
    </row>
    <row r="356" spans="1:14" s="276" customFormat="1" ht="3" customHeight="1"/>
    <row r="357" spans="1:14">
      <c r="A357" s="273" t="s">
        <v>482</v>
      </c>
      <c r="B357" s="275" t="s">
        <v>15265</v>
      </c>
      <c r="C357" s="273" t="s">
        <v>5011</v>
      </c>
      <c r="D357" s="273">
        <v>13847</v>
      </c>
      <c r="E357" s="273" t="s">
        <v>8990</v>
      </c>
      <c r="H357" s="273">
        <v>0</v>
      </c>
    </row>
    <row r="358" spans="1:14">
      <c r="B358" s="275" t="s">
        <v>15266</v>
      </c>
      <c r="C358" s="273" t="s">
        <v>15267</v>
      </c>
      <c r="F358" s="655">
        <v>13230</v>
      </c>
      <c r="G358" s="273" t="s">
        <v>8989</v>
      </c>
      <c r="H358" s="273">
        <v>13230</v>
      </c>
    </row>
    <row r="359" spans="1:14">
      <c r="B359" s="275" t="s">
        <v>15268</v>
      </c>
      <c r="C359" s="273" t="s">
        <v>5011</v>
      </c>
      <c r="D359" s="273">
        <v>13230</v>
      </c>
      <c r="E359" s="273" t="s">
        <v>8990</v>
      </c>
      <c r="F359" s="655"/>
      <c r="H359" s="273">
        <v>0</v>
      </c>
    </row>
    <row r="360" spans="1:14">
      <c r="B360" s="275" t="s">
        <v>15269</v>
      </c>
      <c r="C360" s="273" t="s">
        <v>5011</v>
      </c>
      <c r="F360" s="655">
        <v>13230</v>
      </c>
      <c r="G360" s="273" t="s">
        <v>15270</v>
      </c>
      <c r="H360" s="273">
        <v>13230</v>
      </c>
    </row>
    <row r="361" spans="1:14">
      <c r="B361" s="275" t="s">
        <v>15271</v>
      </c>
      <c r="C361" s="273" t="s">
        <v>5011</v>
      </c>
      <c r="D361" s="273">
        <v>13230</v>
      </c>
      <c r="E361" s="273" t="s">
        <v>15738</v>
      </c>
      <c r="F361" s="655"/>
      <c r="H361" s="273">
        <v>0</v>
      </c>
    </row>
    <row r="362" spans="1:14">
      <c r="B362" s="275" t="s">
        <v>15272</v>
      </c>
      <c r="C362" s="273" t="s">
        <v>10197</v>
      </c>
      <c r="F362" s="655">
        <v>1</v>
      </c>
      <c r="H362" s="273">
        <v>1</v>
      </c>
    </row>
    <row r="363" spans="1:14">
      <c r="B363" s="275" t="s">
        <v>15273</v>
      </c>
      <c r="C363" s="273" t="s">
        <v>5011</v>
      </c>
      <c r="F363" s="655">
        <v>13230</v>
      </c>
      <c r="G363" s="273" t="s">
        <v>8992</v>
      </c>
      <c r="H363" s="273">
        <v>13231</v>
      </c>
    </row>
    <row r="364" spans="1:14" ht="33">
      <c r="B364" s="275" t="s">
        <v>15274</v>
      </c>
      <c r="C364" s="273" t="s">
        <v>15275</v>
      </c>
      <c r="F364" s="562">
        <v>50</v>
      </c>
      <c r="G364" s="821" t="s">
        <v>15276</v>
      </c>
      <c r="H364" s="273">
        <v>13281</v>
      </c>
    </row>
    <row r="365" spans="1:14">
      <c r="B365" s="275" t="s">
        <v>15274</v>
      </c>
      <c r="C365" s="273" t="s">
        <v>5011</v>
      </c>
      <c r="D365" s="273">
        <v>13280</v>
      </c>
      <c r="E365" s="273" t="s">
        <v>8990</v>
      </c>
      <c r="H365" s="273">
        <v>1</v>
      </c>
    </row>
    <row r="373" spans="1:14">
      <c r="B373" s="820" t="s">
        <v>15261</v>
      </c>
      <c r="C373" s="274" t="s">
        <v>4461</v>
      </c>
    </row>
    <row r="374" spans="1:14">
      <c r="B374" s="273" t="s">
        <v>241</v>
      </c>
      <c r="C374" s="273" t="s">
        <v>474</v>
      </c>
      <c r="D374" s="273" t="s">
        <v>475</v>
      </c>
      <c r="E374" s="273" t="s">
        <v>480</v>
      </c>
      <c r="F374" s="273" t="s">
        <v>2991</v>
      </c>
      <c r="G374" s="273" t="s">
        <v>481</v>
      </c>
      <c r="H374" s="273" t="s">
        <v>476</v>
      </c>
      <c r="I374" s="273" t="s">
        <v>477</v>
      </c>
      <c r="J374" s="273" t="s">
        <v>478</v>
      </c>
      <c r="K374" s="273" t="s">
        <v>1385</v>
      </c>
      <c r="L374" s="273" t="s">
        <v>1275</v>
      </c>
      <c r="M374" s="273" t="s">
        <v>265</v>
      </c>
      <c r="N374" s="273" t="s">
        <v>2992</v>
      </c>
    </row>
    <row r="375" spans="1:14">
      <c r="H375" s="273">
        <v>2386</v>
      </c>
    </row>
    <row r="376" spans="1:14" s="276" customFormat="1" ht="3" customHeight="1"/>
    <row r="377" spans="1:14">
      <c r="A377" s="273" t="s">
        <v>483</v>
      </c>
      <c r="B377" s="273" t="s">
        <v>15262</v>
      </c>
      <c r="H377" s="273">
        <v>2386</v>
      </c>
    </row>
    <row r="378" spans="1:14">
      <c r="C378" s="562"/>
      <c r="G378" s="334"/>
    </row>
    <row r="380" spans="1:14">
      <c r="C380" s="562"/>
      <c r="G380" s="334"/>
    </row>
    <row r="382" spans="1:14">
      <c r="C382" s="562"/>
      <c r="G382" s="334"/>
    </row>
    <row r="386" spans="1:14">
      <c r="B386" s="820" t="s">
        <v>15263</v>
      </c>
      <c r="C386" s="274" t="s">
        <v>484</v>
      </c>
    </row>
    <row r="387" spans="1:14">
      <c r="B387" s="273" t="s">
        <v>241</v>
      </c>
      <c r="C387" s="273" t="s">
        <v>474</v>
      </c>
      <c r="D387" s="273" t="s">
        <v>475</v>
      </c>
      <c r="E387" s="273" t="s">
        <v>480</v>
      </c>
      <c r="F387" s="273" t="s">
        <v>2991</v>
      </c>
      <c r="G387" s="273" t="s">
        <v>481</v>
      </c>
      <c r="H387" s="273" t="s">
        <v>476</v>
      </c>
      <c r="I387" s="273" t="s">
        <v>477</v>
      </c>
      <c r="J387" s="273" t="s">
        <v>478</v>
      </c>
      <c r="K387" s="273" t="s">
        <v>1385</v>
      </c>
      <c r="L387" s="273" t="s">
        <v>1275</v>
      </c>
      <c r="M387" s="273" t="s">
        <v>265</v>
      </c>
      <c r="N387" s="273" t="s">
        <v>2992</v>
      </c>
    </row>
    <row r="388" spans="1:14">
      <c r="H388" s="273">
        <v>1948</v>
      </c>
    </row>
    <row r="389" spans="1:14" s="276" customFormat="1" ht="3" customHeight="1"/>
    <row r="390" spans="1:14">
      <c r="A390" s="273" t="s">
        <v>482</v>
      </c>
      <c r="B390" s="273" t="s">
        <v>15264</v>
      </c>
      <c r="H390" s="273">
        <v>1948</v>
      </c>
    </row>
    <row r="391" spans="1:14">
      <c r="A391" s="273" t="s">
        <v>485</v>
      </c>
    </row>
  </sheetData>
  <sortState ref="A226:H254">
    <sortCondition ref="G226:G254"/>
  </sortState>
  <phoneticPr fontId="3" type="noConversion"/>
  <pageMargins left="0.7" right="0.7" top="0.75" bottom="0.75" header="0.3" footer="0.3"/>
  <pageSetup paperSize="9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35</vt:i4>
      </vt:variant>
    </vt:vector>
  </HeadingPairs>
  <TitlesOfParts>
    <vt:vector size="35" baseType="lpstr">
      <vt:lpstr>7收</vt:lpstr>
      <vt:lpstr>8收</vt:lpstr>
      <vt:lpstr>9收</vt:lpstr>
      <vt:lpstr>7票</vt:lpstr>
      <vt:lpstr>8票</vt:lpstr>
      <vt:lpstr>9票</vt:lpstr>
      <vt:lpstr>7銀</vt:lpstr>
      <vt:lpstr>8銀</vt:lpstr>
      <vt:lpstr>9銀</vt:lpstr>
      <vt:lpstr>7零0</vt:lpstr>
      <vt:lpstr>7零</vt:lpstr>
      <vt:lpstr>8零0</vt:lpstr>
      <vt:lpstr>8零</vt:lpstr>
      <vt:lpstr>9零0</vt:lpstr>
      <vt:lpstr>9零</vt:lpstr>
      <vt:lpstr>6薪</vt:lpstr>
      <vt:lpstr>7薪</vt:lpstr>
      <vt:lpstr>8薪</vt:lpstr>
      <vt:lpstr>9薪</vt:lpstr>
      <vt:lpstr>6卡</vt:lpstr>
      <vt:lpstr>7卡</vt:lpstr>
      <vt:lpstr>8卡</vt:lpstr>
      <vt:lpstr>9卡</vt:lpstr>
      <vt:lpstr>7進</vt:lpstr>
      <vt:lpstr>8進</vt:lpstr>
      <vt:lpstr>9進</vt:lpstr>
      <vt:lpstr>存</vt:lpstr>
      <vt:lpstr>主機</vt:lpstr>
      <vt:lpstr>5正</vt:lpstr>
      <vt:lpstr>6正</vt:lpstr>
      <vt:lpstr>7正</vt:lpstr>
      <vt:lpstr>8正</vt:lpstr>
      <vt:lpstr>9正</vt:lpstr>
      <vt:lpstr>余額</vt:lpstr>
      <vt:lpstr>工作表1</vt:lpstr>
    </vt:vector>
  </TitlesOfParts>
  <Company>da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dv</dc:creator>
  <cp:lastModifiedBy>dv-10</cp:lastModifiedBy>
  <dcterms:created xsi:type="dcterms:W3CDTF">2002-11-25T01:20:36Z</dcterms:created>
  <dcterms:modified xsi:type="dcterms:W3CDTF">2021-06-02T10:55:51Z</dcterms:modified>
</cp:coreProperties>
</file>